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29.xml" ContentType="application/vnd.openxmlformats-officedocument.spreadsheetml.table+xml"/>
  <Override PartName="/xl/tables/table28.xml" ContentType="application/vnd.openxmlformats-officedocument.spreadsheetml.table+xml"/>
  <Override PartName="/xl/tables/table2.xml" ContentType="application/vnd.openxmlformats-officedocument.spreadsheetml.table+xml"/>
  <Override PartName="/xl/tables/table26.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27.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Compare" sheetId="1" state="visible" r:id="rId3"/>
    <sheet name="Pricing" sheetId="2" state="visible" r:id="rId4"/>
    <sheet name="Competitor delivery" sheetId="3" state="visible" r:id="rId5"/>
    <sheet name="Delivery cost" sheetId="4" state="visible" r:id="rId6"/>
    <sheet name="Review" sheetId="5" state="visible" r:id="rId7"/>
    <sheet name="Offers" sheetId="6" state="visible" r:id="rId8"/>
    <sheet name="Benchmarks" sheetId="7" state="visible" r:id="rId9"/>
    <sheet name="Sources" sheetId="8" state="visible" r:id="rId10"/>
    <sheet name="Change log" sheetId="9" state="visible" r:id="rId11"/>
    <sheet name="Source HU" sheetId="10" state="visible" r:id="rId12"/>
    <sheet name="Source RO" sheetId="11" state="visible" r:id="rId13"/>
    <sheet name="Source AT" sheetId="12" state="visible" r:id="rId14"/>
    <sheet name="Source DE" sheetId="13" state="visible" r:id="rId15"/>
    <sheet name="Source CZ" sheetId="14" state="visible" r:id="rId16"/>
    <sheet name="Source SK" sheetId="15" state="visible" r:id="rId17"/>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B591" authorId="0">
      <text>
        <r>
          <rPr>
            <sz val="10"/>
            <rFont val="Arial"/>
            <family val="2"/>
          </rPr>
          <t xml:space="preserve">Row added 30 Sep 2026: present in the current research_AT.xlsx but missing from the master. Listed price 46.99 EUR confirmed on the live page. See Change log.</t>
        </r>
      </text>
    </comment>
    <comment ref="B592" authorId="0">
      <text>
        <r>
          <rPr>
            <sz val="10"/>
            <rFont val="Arial"/>
            <family val="2"/>
          </rPr>
          <t xml:space="preserve">Row added 30 Sep 2026: present in the current research_AT.xlsx but missing from the master. Listed price 23.00 EUR confirmed on the live page. See Change log.</t>
        </r>
      </text>
    </comment>
    <comment ref="B593" authorId="0">
      <text>
        <r>
          <rPr>
            <sz val="10"/>
            <rFont val="Arial"/>
            <family val="2"/>
          </rPr>
          <t xml:space="preserve">Row added 30 Sep 2026: present in the current research_AT.xlsx but missing from the master. Listed price 60.99 EUR confirmed on the live page. See Change log.</t>
        </r>
      </text>
    </comment>
    <comment ref="B594" authorId="0">
      <text>
        <r>
          <rPr>
            <sz val="10"/>
            <rFont val="Arial"/>
            <family val="2"/>
          </rPr>
          <t xml:space="preserve">Row added 30 Sep 2026: present in the current research_AT.xlsx but missing from the master. Listed price 21.00 EUR confirmed on the live page. See Change log.</t>
        </r>
      </text>
    </comment>
    <comment ref="B595" authorId="0">
      <text>
        <r>
          <rPr>
            <sz val="10"/>
            <rFont val="Arial"/>
            <family val="2"/>
          </rPr>
          <t xml:space="preserve">Row added 30 Sep 2026: present in the current research_AT.xlsx but missing from the master. Listed price 39.99 EUR confirmed on the live page. See Change log.</t>
        </r>
      </text>
    </comment>
    <comment ref="B596" authorId="0">
      <text>
        <r>
          <rPr>
            <sz val="10"/>
            <rFont val="Arial"/>
            <family val="2"/>
          </rPr>
          <t xml:space="preserve">Row added 30 Sep 2026: present in the current research_AT.xlsx but missing from the master. Listed price 4.75 EUR confirmed on the live page. See Change log.</t>
        </r>
      </text>
    </comment>
    <comment ref="B597" authorId="0">
      <text>
        <r>
          <rPr>
            <sz val="10"/>
            <rFont val="Arial"/>
            <family val="2"/>
          </rPr>
          <t xml:space="preserve">Row added 30 Sep 2026: present in the current research_AT.xlsx but missing from the master. Listed price 29.49 EUR confirmed on the live page. See Change log.</t>
        </r>
      </text>
    </comment>
    <comment ref="B598" authorId="0">
      <text>
        <r>
          <rPr>
            <sz val="10"/>
            <rFont val="Arial"/>
            <family val="2"/>
          </rPr>
          <t xml:space="preserve">Row added 30 Sep 2026: present in the current research_AT.xlsx but missing from the master. Listed price 5.55 EUR confirmed on the live page. See Change log.</t>
        </r>
      </text>
    </comment>
    <comment ref="B599" authorId="0">
      <text>
        <r>
          <rPr>
            <sz val="10"/>
            <rFont val="Arial"/>
            <family val="2"/>
          </rPr>
          <t xml:space="preserve">Row added 30 Sep 2026: present in the current research_AT.xlsx but missing from the master. Listed price 51.99 EUR confirmed on the live page. See Change log.</t>
        </r>
      </text>
    </comment>
    <comment ref="B600" authorId="0">
      <text>
        <r>
          <rPr>
            <sz val="10"/>
            <rFont val="Arial"/>
            <family val="2"/>
          </rPr>
          <t xml:space="preserve">Row added 30 Sep 2026: present in the current research_AT.xlsx but missing from the master. Listed price 35.99 EUR confirmed on the live page. See Change log.</t>
        </r>
      </text>
    </comment>
    <comment ref="B601" authorId="0">
      <text>
        <r>
          <rPr>
            <sz val="10"/>
            <rFont val="Arial"/>
            <family val="2"/>
          </rPr>
          <t xml:space="preserve">Row added 30 Sep 2026: present in the current research_AT.xlsx but missing from the master. Listed price 28.99 EUR confirmed on the live page. See Change log.</t>
        </r>
      </text>
    </comment>
    <comment ref="B602" authorId="0">
      <text>
        <r>
          <rPr>
            <sz val="10"/>
            <rFont val="Arial"/>
            <family val="2"/>
          </rPr>
          <t xml:space="preserve">Row added 30 Sep 2026: present in the current research_AT.xlsx but missing from the master. Listed price 26.49 EUR confirmed on the live page. See Change log.</t>
        </r>
      </text>
    </comment>
    <comment ref="B603" authorId="0">
      <text>
        <r>
          <rPr>
            <sz val="10"/>
            <rFont val="Arial"/>
            <family val="2"/>
          </rPr>
          <t xml:space="preserve">Row added 30 Sep 2026: present in the current research_AT.xlsx but missing from the master. Listed price 29.49 EUR confirmed on the live page. See Change log.</t>
        </r>
      </text>
    </comment>
    <comment ref="B604" authorId="0">
      <text>
        <r>
          <rPr>
            <sz val="10"/>
            <rFont val="Arial"/>
            <family val="2"/>
          </rPr>
          <t xml:space="preserve">Row added 30 Sep 2026: present in the current research_AT.xlsx but missing from the master. Listed price 88.99 EUR confirmed on the live page. See Change log.</t>
        </r>
      </text>
    </comment>
    <comment ref="B605" authorId="0">
      <text>
        <r>
          <rPr>
            <sz val="10"/>
            <rFont val="Arial"/>
            <family val="2"/>
          </rPr>
          <t xml:space="preserve">Row added 30 Sep 2026: present in the current research_AT.xlsx but missing from the master. Listed price 76.99 EUR confirmed on the live page. See Change log.</t>
        </r>
      </text>
    </comment>
    <comment ref="B606" authorId="0">
      <text>
        <r>
          <rPr>
            <sz val="10"/>
            <rFont val="Arial"/>
            <family val="2"/>
          </rPr>
          <t xml:space="preserve">Row added 30 Sep 2026: present in the current research_AT.xlsx but missing from the master. Listed price 289.99 EUR confirmed on the live page. See Change log.</t>
        </r>
      </text>
    </comment>
    <comment ref="B607" authorId="0">
      <text>
        <r>
          <rPr>
            <sz val="10"/>
            <rFont val="Arial"/>
            <family val="2"/>
          </rPr>
          <t xml:space="preserve">Row added 30 Sep 2026: present in the current research_AT.xlsx but missing from the master. Listed price 561.00 EUR confirmed on the live page. See Change log.</t>
        </r>
      </text>
    </comment>
    <comment ref="B608" authorId="0">
      <text>
        <r>
          <rPr>
            <sz val="10"/>
            <rFont val="Arial"/>
            <family val="2"/>
          </rPr>
          <t xml:space="preserve">Row added 30 Sep 2026: present in the current research_AT.xlsx but missing from the master. Listed price 43.99 EUR confirmed on the live page. See Change log.</t>
        </r>
      </text>
    </comment>
    <comment ref="F15" authorId="0">
      <text>
        <r>
          <rPr>
            <sz val="10"/>
            <rFont val="Arial"/>
            <family val="2"/>
          </rPr>
          <t xml:space="preserve">Was 132.98 RON (VAT-inclusive: 109.90 x 1.21). Live net price 91.90 lei fără TVA on 30 Sep 2026. See Change log.</t>
        </r>
      </text>
    </comment>
    <comment ref="G18" authorId="0">
      <text>
        <r>
          <rPr>
            <sz val="10"/>
            <rFont val="Arial"/>
            <family val="2"/>
          </rPr>
          <t xml:space="preserve">Was 42.05 RON. Lancom lists this item at 8.00 € / buc fara TVA (30 Sep 2026). Converted to RON/EUR with the Erste rates in Sources. See Change log.</t>
        </r>
      </text>
    </comment>
    <comment ref="G19" authorId="0">
      <text>
        <r>
          <rPr>
            <sz val="10"/>
            <rFont val="Arial"/>
            <family val="2"/>
          </rPr>
          <t xml:space="preserve">Was 42.05 RON. Lancom lists this item at 8.00 € / buc fara TVA (30 Sep 2026). Converted to RON/EUR with the Erste rates in Sources. See Change log.</t>
        </r>
      </text>
    </comment>
    <comment ref="G55" authorId="0">
      <text>
        <r>
          <rPr>
            <sz val="10"/>
            <rFont val="Arial"/>
            <family val="2"/>
          </rPr>
          <t xml:space="preserve">Was 26.28 RON. Lancom lists this item at 5.00 € / buc fara TVA (discounted from 6.24 €) (30 Sep 2026). Converted to RON/EUR with the Erste rates in Sources. See Change log.</t>
        </r>
      </text>
    </comment>
    <comment ref="K51" authorId="0">
      <text>
        <r>
          <rPr>
            <sz val="10"/>
            <rFont val="Arial"/>
            <family val="2"/>
          </rPr>
          <t xml:space="preserve">Was 30.06.2028 (impossible date) with 85.27 RON. Re-checked live on 30 Sep 2026: 102.90 lei incl. TVA = 85.04 lei net. See Change log.</t>
        </r>
      </text>
    </comment>
  </commentList>
</comments>
</file>

<file path=xl/sharedStrings.xml><?xml version="1.0" encoding="utf-8"?>
<sst xmlns="http://schemas.openxmlformats.org/spreadsheetml/2006/main" count="51643" uniqueCount="7324">
  <si>
    <t xml:space="preserve">YES Gastro market comparison</t>
  </si>
  <si>
    <t xml:space="preserve">Original benchmark basket plus Austria and Czechia additions; Austria/Germany expansion and corrections of 2 Oct 2026; GN container and lid expansion of 2 Oct 2026 (45 further GN variants, AT/DE/CZ/SK/RO; see Change log). Net prices per piece.</t>
  </si>
  <si>
    <t xml:space="preserve">Statistic</t>
  </si>
  <si>
    <t xml:space="preserve">Median</t>
  </si>
  <si>
    <t xml:space="preserve">View</t>
  </si>
  <si>
    <t xml:space="preserve">Net per piece EUR</t>
  </si>
  <si>
    <t xml:space="preserve">Match</t>
  </si>
  <si>
    <t xml:space="preserve">EXACT + CLOSE</t>
  </si>
  <si>
    <t xml:space="preserve">Product detail</t>
  </si>
  <si>
    <t xml:space="preserve">GN 1/1 PC container, 65 mm</t>
  </si>
  <si>
    <t xml:space="preserve">A dash means no qualifying price. Green marks the lowest available EUR price for each product.</t>
  </si>
  <si>
    <t xml:space="preserve">Net price per piece in EUR</t>
  </si>
  <si>
    <t xml:space="preserve">Product</t>
  </si>
  <si>
    <t xml:space="preserve">Hungary</t>
  </si>
  <si>
    <t xml:space="preserve">Romania</t>
  </si>
  <si>
    <t xml:space="preserve">Austria</t>
  </si>
  <si>
    <t xml:space="preserve">Germany</t>
  </si>
  <si>
    <t xml:space="preserve">Czech</t>
  </si>
  <si>
    <t xml:space="preserve">Slovakia</t>
  </si>
  <si>
    <t xml:space="preserve">Market</t>
  </si>
  <si>
    <t xml:space="preserve">Minimum</t>
  </si>
  <si>
    <t xml:space="preserve">Maximum</t>
  </si>
  <si>
    <t xml:space="preserve">GN 1/2 PC container, 150 mm</t>
  </si>
  <si>
    <t xml:space="preserve">GN 1/3 PP container, 100 mm</t>
  </si>
  <si>
    <t xml:space="preserve">GN 1/1 PP lid</t>
  </si>
  <si>
    <t xml:space="preserve">Squeeze bottle 500 ml, PP, single tip</t>
  </si>
  <si>
    <t xml:space="preserve">Squeeze bottle 1,000 ml, PP, single tip</t>
  </si>
  <si>
    <t xml:space="preserve">Squeeze bottle 500 ml, triple tip</t>
  </si>
  <si>
    <t xml:space="preserve">Sauce pump dispenser with stand</t>
  </si>
  <si>
    <t xml:space="preserve">PE cutting board 530 × 325 × 20 mm</t>
  </si>
  <si>
    <t xml:space="preserve">Price basis</t>
  </si>
  <si>
    <t xml:space="preserve">PE cutting board 600 × 400 × 20 mm</t>
  </si>
  <si>
    <t xml:space="preserve">Hungary and Romania prices are net per piece, as confirmed by you.</t>
  </si>
  <si>
    <t xml:space="preserve">PE cutting board 300 × 200 × 10 mm</t>
  </si>
  <si>
    <t xml:space="preserve">PP dough box 600 × 400 × 100 mm</t>
  </si>
  <si>
    <t xml:space="preserve">Lid for 600 × 400 mm dough box</t>
  </si>
  <si>
    <t xml:space="preserve">Current FX</t>
  </si>
  <si>
    <t xml:space="preserve">PE dough box 600 × 400 × 75 mm</t>
  </si>
  <si>
    <t xml:space="preserve">Erste rates are applied to analytical conversions. Historical prices and research dates remain unchanged.</t>
  </si>
  <si>
    <t xml:space="preserve">Front-load GN 1/1 thermobox, 80–90 L</t>
  </si>
  <si>
    <t xml:space="preserve">Service tray approx. 370 × 530 mm</t>
  </si>
  <si>
    <t xml:space="preserve">Thermo tray + lid, 5–6 compartments</t>
  </si>
  <si>
    <t xml:space="preserve">Your review</t>
  </si>
  <si>
    <t xml:space="preserve">GN 1/1 PP container, 65 mm</t>
  </si>
  <si>
    <t xml:space="preserve">Record decisions, priorities and comments in Review. Add offer-specific comments in Offers.</t>
  </si>
  <si>
    <t xml:space="preserve">GN 1/3 PC container, 100 mm</t>
  </si>
  <si>
    <t xml:space="preserve">GN 1/2 PP container, 150 mm</t>
  </si>
  <si>
    <t xml:space="preserve">GN 1/1 PC lid</t>
  </si>
  <si>
    <t xml:space="preserve">Match scope</t>
  </si>
  <si>
    <t xml:space="preserve">GN 1/6 PP container, 100 mm</t>
  </si>
  <si>
    <t xml:space="preserve">All mapped includes near matches and incomplete specifications. Check their notes before deciding.</t>
  </si>
  <si>
    <t xml:space="preserve">GN 1/9 PP container, 100 mm</t>
  </si>
  <si>
    <t xml:space="preserve">Squeeze bottle 250 ml, PP, single tip</t>
  </si>
  <si>
    <t xml:space="preserve">Squeeze bottle 750 ml, PP, single tip</t>
  </si>
  <si>
    <t xml:space="preserve">Additional variants</t>
  </si>
  <si>
    <t xml:space="preserve">Red PE cutting board 400 × 300 × 20 mm</t>
  </si>
  <si>
    <t xml:space="preserve">Additional variants have research for Austria and Czechia (basket additions) or for AT/DE/CZ/SK/RO (GN expansion of 2 Oct 2026). A dash in the other markets means no offer has been recorded.</t>
  </si>
  <si>
    <t xml:space="preserve">PP dough box 600 × 400 × 75 mm, no lid</t>
  </si>
  <si>
    <t xml:space="preserve">GN 1/1 PC container, 100 mm</t>
  </si>
  <si>
    <t xml:space="preserve">GN 1/6 PC container, 100 mm</t>
  </si>
  <si>
    <t xml:space="preserve">Red PE cutting board 530 × 325 × 15 mm</t>
  </si>
  <si>
    <t xml:space="preserve">GN 1/3 PP lid</t>
  </si>
  <si>
    <t xml:space="preserve">Squeeze bottle 750 ml, PP/PE, wide covered tip</t>
  </si>
  <si>
    <t xml:space="preserve">Red PE cutting board 300 × 200 × 20 mm</t>
  </si>
  <si>
    <t xml:space="preserve">PP dough box 400 × 300 × 100 mm, no lid</t>
  </si>
  <si>
    <t xml:space="preserve">Ketchup pump dispenser 2 L, PP</t>
  </si>
  <si>
    <t xml:space="preserve">GN 1/1 PC container, 150 mm</t>
  </si>
  <si>
    <t xml:space="preserve">GN 1/1 PC container, 200 mm</t>
  </si>
  <si>
    <t xml:space="preserve">GN 1/2 PC container, 65 mm</t>
  </si>
  <si>
    <t xml:space="preserve">GN 1/2 PC container, 100 mm</t>
  </si>
  <si>
    <t xml:space="preserve">GN 1/2 PC container, 200 mm</t>
  </si>
  <si>
    <t xml:space="preserve">GN 1/3 PC container, 65 mm</t>
  </si>
  <si>
    <t xml:space="preserve">GN 1/3 PC container, 150 mm</t>
  </si>
  <si>
    <t xml:space="preserve">GN 1/3 PC container, 200 mm</t>
  </si>
  <si>
    <t xml:space="preserve">GN 1/4 PC container, 65 mm</t>
  </si>
  <si>
    <t xml:space="preserve">GN 1/4 PC container, 100 mm</t>
  </si>
  <si>
    <t xml:space="preserve">GN 1/4 PC container, 150 mm</t>
  </si>
  <si>
    <t xml:space="preserve">GN 1/4 PC container, 200 mm</t>
  </si>
  <si>
    <t xml:space="preserve">GN 1/6 PC container, 65 mm</t>
  </si>
  <si>
    <t xml:space="preserve">GN 1/6 PC container, 150 mm</t>
  </si>
  <si>
    <t xml:space="preserve">GN 1/6 PC container, 200 mm</t>
  </si>
  <si>
    <t xml:space="preserve">GN 1/9 PC container, 65 mm</t>
  </si>
  <si>
    <t xml:space="preserve">GN 1/9 PC container, 100 mm</t>
  </si>
  <si>
    <t xml:space="preserve">GN 1/9 PC container, 150 mm</t>
  </si>
  <si>
    <t xml:space="preserve">GN 1/1 PP container, 100 mm</t>
  </si>
  <si>
    <t xml:space="preserve">GN 1/1 PP container, 150 mm</t>
  </si>
  <si>
    <t xml:space="preserve">GN 1/1 PP container, 200 mm</t>
  </si>
  <si>
    <t xml:space="preserve">GN 1/2 PP container, 65 mm</t>
  </si>
  <si>
    <t xml:space="preserve">GN 1/2 PP container, 100 mm</t>
  </si>
  <si>
    <t xml:space="preserve">GN 1/2 PP container, 200 mm</t>
  </si>
  <si>
    <t xml:space="preserve">GN 1/3 PP container, 65 mm</t>
  </si>
  <si>
    <t xml:space="preserve">GN 1/3 PP container, 150 mm</t>
  </si>
  <si>
    <t xml:space="preserve">GN 1/3 PP container, 200 mm</t>
  </si>
  <si>
    <t xml:space="preserve">GN 1/4 PP container, 65 mm</t>
  </si>
  <si>
    <t xml:space="preserve">GN 1/4 PP container, 100 mm</t>
  </si>
  <si>
    <t xml:space="preserve">GN 1/4 PP container, 150 mm</t>
  </si>
  <si>
    <t xml:space="preserve">GN 1/4 PP container, 200 mm</t>
  </si>
  <si>
    <t xml:space="preserve">GN 1/6 PP container, 65 mm</t>
  </si>
  <si>
    <t xml:space="preserve">GN 1/6 PP container, 150 mm</t>
  </si>
  <si>
    <t xml:space="preserve">GN 1/6 PP container, 200 mm</t>
  </si>
  <si>
    <t xml:space="preserve">GN 1/9 PP container, 65 mm</t>
  </si>
  <si>
    <t xml:space="preserve">GN 1/9 PP container, 150 mm</t>
  </si>
  <si>
    <t xml:space="preserve">GN 1/2 PC lid</t>
  </si>
  <si>
    <t xml:space="preserve">GN 1/3 PC lid</t>
  </si>
  <si>
    <t xml:space="preserve">GN 1/4 PC lid</t>
  </si>
  <si>
    <t xml:space="preserve">GN 1/6 PC lid</t>
  </si>
  <si>
    <t xml:space="preserve">GN 1/9 PC lid</t>
  </si>
  <si>
    <t xml:space="preserve">GN 1/2 PP lid</t>
  </si>
  <si>
    <t xml:space="preserve">GN 1/4 PP lid</t>
  </si>
  <si>
    <t xml:space="preserve">GN 1/6 PP lid</t>
  </si>
  <si>
    <t xml:space="preserve">GN 1/9 PP lid</t>
  </si>
  <si>
    <t xml:space="preserve">Research dates</t>
  </si>
  <si>
    <t xml:space="preserve">Oldest date</t>
  </si>
  <si>
    <t xml:space="preserve">Newest date</t>
  </si>
  <si>
    <t xml:space="preserve">Research dates come from the supplied files, except rows re-checked live on 30 Sep 2026 (see Change log). The remaining future date in the Romania source is unchanged and highlighted.</t>
  </si>
  <si>
    <t xml:space="preserve">Market-entry net prices per piece</t>
  </si>
  <si>
    <t xml:space="preserve">Goal: a price that makes a buyer who does not know YES Gastro choose it over the shop they already use. Rule: undercut the cheapest qualifying competitor by C6 — unless that cheapest offer is an outlier (more than C7 below the market median: typically a clearance price, a 6/12-pack or an out-of-stock listing), in which case the price is set C5 below the median and the outlier is left alone. The price never exceeds the median minus C5, is deepened by C8 where fewer than 3 offers exist, is rounded DOWN to the step in row 9, and never falls below cost x (1 + C10). Cost = column "EUR" of the Gastroplast price list (2026, EXW Budapest; list price plus the price list's own uplift, mostly +10%, cutting boards +30%). Markup over cost = entry price / cost - 1. Cheapest / median / max come from the Review sheet (EXACT + CLOSE offers under the Compare filter, net per piece, Erste mid-rates).</t>
  </si>
  <si>
    <t xml:space="preserve">Entry discount below median</t>
  </si>
  <si>
    <t xml:space="preserve">Amber cells are inputs; every entry price follows them. Column D (cost) is taken from the Gastroplast price list and can be overwritten.</t>
  </si>
  <si>
    <t xml:space="preserve">Undercut below the cheapest competitor</t>
  </si>
  <si>
    <t xml:space="preserve">Outlier guard: ignore the cheapest if it is more than this below the median</t>
  </si>
  <si>
    <t xml:space="preserve">Extra discount when fewer than 3 offers</t>
  </si>
  <si>
    <t xml:space="preserve">Rounding step (EUR): below 10 / 10-100 / above 100</t>
  </si>
  <si>
    <t xml:space="preserve">Minimum markup over cost (price never below cost x (1 + this))</t>
  </si>
  <si>
    <t xml:space="preserve">Product prices exclude delivery: delivery is charged as a separate fee on the invoice (see the Competitor delivery and Delivery cost sheets).</t>
  </si>
  <si>
    <t xml:space="preserve">YES Gastro code</t>
  </si>
  <si>
    <t xml:space="preserve">My cost EUR (price list)</t>
  </si>
  <si>
    <t xml:space="preserve">Offers</t>
  </si>
  <si>
    <t xml:space="preserve">Cheapest EUR</t>
  </si>
  <si>
    <t xml:space="preserve">Median EUR</t>
  </si>
  <si>
    <t xml:space="preserve">Max EUR</t>
  </si>
  <si>
    <t xml:space="preserve">Basis</t>
  </si>
  <si>
    <t xml:space="preserve">Entry price EUR</t>
  </si>
  <si>
    <t xml:space="preserve">My cost EUR</t>
  </si>
  <si>
    <t xml:space="preserve">Markup over cost</t>
  </si>
  <si>
    <t xml:space="preserve">vs cheapest</t>
  </si>
  <si>
    <t xml:space="preserve">vs median</t>
  </si>
  <si>
    <t xml:space="preserve">Entry price CZK</t>
  </si>
  <si>
    <t xml:space="preserve">Entry price RON</t>
  </si>
  <si>
    <t xml:space="preserve">Entry price HUF</t>
  </si>
  <si>
    <t xml:space="preserve">GNP-1165</t>
  </si>
  <si>
    <t xml:space="preserve">GNP-12150</t>
  </si>
  <si>
    <t xml:space="preserve">GNPP-13100</t>
  </si>
  <si>
    <t xml:space="preserve">GNPPL-11</t>
  </si>
  <si>
    <t xml:space="preserve">GPS-500</t>
  </si>
  <si>
    <t xml:space="preserve">GPS-1000</t>
  </si>
  <si>
    <t xml:space="preserve">GBT-500</t>
  </si>
  <si>
    <t xml:space="preserve">GDK-01</t>
  </si>
  <si>
    <t xml:space="preserve">PE-53322/W</t>
  </si>
  <si>
    <t xml:space="preserve">PE-60402/W</t>
  </si>
  <si>
    <t xml:space="preserve">PE-30201/W</t>
  </si>
  <si>
    <t xml:space="preserve">GPH-100</t>
  </si>
  <si>
    <t xml:space="preserve">GPHL-01</t>
  </si>
  <si>
    <t xml:space="preserve">GPHPE-75</t>
  </si>
  <si>
    <t xml:space="preserve">TCB-600</t>
  </si>
  <si>
    <t xml:space="preserve">GT-3753/BR</t>
  </si>
  <si>
    <t xml:space="preserve">TT-5NL</t>
  </si>
  <si>
    <t xml:space="preserve">GNPP-1165</t>
  </si>
  <si>
    <t xml:space="preserve">GNP-13100</t>
  </si>
  <si>
    <t xml:space="preserve">GNPP-12150</t>
  </si>
  <si>
    <t xml:space="preserve">GNPL-11</t>
  </si>
  <si>
    <t xml:space="preserve">GNPP-16100</t>
  </si>
  <si>
    <t xml:space="preserve">GNPP-19100</t>
  </si>
  <si>
    <t xml:space="preserve">GPS-250</t>
  </si>
  <si>
    <t xml:space="preserve">GPS-750</t>
  </si>
  <si>
    <t xml:space="preserve">PE-40302/R</t>
  </si>
  <si>
    <t xml:space="preserve">GPH-75</t>
  </si>
  <si>
    <t xml:space="preserve">GNP-11100</t>
  </si>
  <si>
    <t xml:space="preserve">GNP-16100</t>
  </si>
  <si>
    <t xml:space="preserve">PE-53321/R</t>
  </si>
  <si>
    <t xml:space="preserve">GNPPL-13</t>
  </si>
  <si>
    <t xml:space="preserve">GBC-750</t>
  </si>
  <si>
    <t xml:space="preserve">PE-30202/R</t>
  </si>
  <si>
    <t xml:space="preserve">GPH-100/2</t>
  </si>
  <si>
    <t xml:space="preserve">GDK-02</t>
  </si>
  <si>
    <t xml:space="preserve">GNP-11150 / GNP-11150/B</t>
  </si>
  <si>
    <t xml:space="preserve">GNP-11200 / GNP-11200/B</t>
  </si>
  <si>
    <t xml:space="preserve">GNP-1265 / GNP-1265/B</t>
  </si>
  <si>
    <t xml:space="preserve">GNP-12100 / GNP-12100/B</t>
  </si>
  <si>
    <t xml:space="preserve">GNP-12200 / GNP-12200/B</t>
  </si>
  <si>
    <t xml:space="preserve">GNP-1365 / GNP-1365/B</t>
  </si>
  <si>
    <t xml:space="preserve">GNP-13150 / GNP-13150/B</t>
  </si>
  <si>
    <t xml:space="preserve">GNP-13200 / GNP-13200/B</t>
  </si>
  <si>
    <t xml:space="preserve">GNP-1465 / GNP-1465/B</t>
  </si>
  <si>
    <t xml:space="preserve">GNP-14100 / GNP-14100/B</t>
  </si>
  <si>
    <t xml:space="preserve">GNP-14150 / GNP-14150/B</t>
  </si>
  <si>
    <t xml:space="preserve">GNP-14200 / GNP-14200/B</t>
  </si>
  <si>
    <t xml:space="preserve">GNP-1665 / GNP-1665/B</t>
  </si>
  <si>
    <t xml:space="preserve">GNP-16150 / GNP-16150/B</t>
  </si>
  <si>
    <t xml:space="preserve">GNP-16200 / GNP-16200/B</t>
  </si>
  <si>
    <t xml:space="preserve">GNP-1965 / GNP-1965/B</t>
  </si>
  <si>
    <t xml:space="preserve">GNP-19100 / GNP-19100/B</t>
  </si>
  <si>
    <t xml:space="preserve">GNP-19150 / GNP-19150/B</t>
  </si>
  <si>
    <t xml:space="preserve">GNPP-11100</t>
  </si>
  <si>
    <t xml:space="preserve">GNPP-11150</t>
  </si>
  <si>
    <t xml:space="preserve">GNPP-11200</t>
  </si>
  <si>
    <t xml:space="preserve">GNPP-1265</t>
  </si>
  <si>
    <t xml:space="preserve">GNPP-12100</t>
  </si>
  <si>
    <t xml:space="preserve">GNPP-12200</t>
  </si>
  <si>
    <t xml:space="preserve">GNPP-1365</t>
  </si>
  <si>
    <t xml:space="preserve">GNPP-13150</t>
  </si>
  <si>
    <t xml:space="preserve">GNPP-13200</t>
  </si>
  <si>
    <t xml:space="preserve">GNPP-1465</t>
  </si>
  <si>
    <t xml:space="preserve">GNPP-14100</t>
  </si>
  <si>
    <t xml:space="preserve">GNPP-14150</t>
  </si>
  <si>
    <t xml:space="preserve">GNPP-14200</t>
  </si>
  <si>
    <t xml:space="preserve">GNPP-1665</t>
  </si>
  <si>
    <t xml:space="preserve">GNPP-16150</t>
  </si>
  <si>
    <t xml:space="preserve">GNPP-16200</t>
  </si>
  <si>
    <t xml:space="preserve">GNPP-1965</t>
  </si>
  <si>
    <t xml:space="preserve">GNPP-19150</t>
  </si>
  <si>
    <t xml:space="preserve">GNPL-12</t>
  </si>
  <si>
    <t xml:space="preserve">GNPL-13</t>
  </si>
  <si>
    <t xml:space="preserve">GNPL-14</t>
  </si>
  <si>
    <t xml:space="preserve">GNPL-16</t>
  </si>
  <si>
    <t xml:space="preserve">GNPL-19</t>
  </si>
  <si>
    <t xml:space="preserve">GNPPL-12</t>
  </si>
  <si>
    <t xml:space="preserve">GNPPL-14</t>
  </si>
  <si>
    <t xml:space="preserve">GNPPL-16</t>
  </si>
  <si>
    <t xml:space="preserve">GNPPL-19</t>
  </si>
  <si>
    <t xml:space="preserve">How to read it</t>
  </si>
  <si>
    <t xml:space="preserve">Green "vs cheapest" = the entry price is the lowest qualifying price in that market (the normal case). Red = the cheapest competitor is an outlier the rule deliberately does not chase; the entry price is still 25% below the median — check the Offers sheet to see what that outlier is (clearance, multi-pack, out of stock) before deciding to match it.</t>
  </si>
  <si>
    <t xml:space="preserve">"Markup over cost" = entry price / cost - 1 (so +120% means the price is 2.2 x cost). Cells below +50% are shaded red as a warning: after shipping from Budapest, payment fees and returns there is little left. Cost is the "EUR" column of the Gastroplast price list; overwrite column D if your real landed cost differs.</t>
  </si>
  <si>
    <t xml:space="preserve">Delivery is not in these prices: it is invoiced as a separate fee. The "Competitor delivery" sheet shows what each competitor charges and the "Delivery cost" sheet what an Express One parcel costs you.</t>
  </si>
  <si>
    <t xml:space="preserve">"Basis" says which anchor produced the price: "undercut cheapest" (cheapest minus C6), "median" (median minus C5 was lower than undercutting) or "median (cheapest is an outlier)".</t>
  </si>
  <si>
    <t xml:space="preserve">Markets with 1-2 offers (Slovakia, Romania, Hungary for most additions; some German and Czech items) carry the extra discount C8 and remain indicative only.</t>
  </si>
  <si>
    <t xml:space="preserve">Competitor prices exclude shipping; YES Gastro ships from Budapest, so a delivered-price comparison will differ by market and basket size. The Compare sheet filter (Match) drives which offers count.</t>
  </si>
  <si>
    <t xml:space="preserve">No cost available (item not in the Gastroplast price list): Squeeze bottle 500 ml, triple tip (GBT-500); Squeeze bottle 750 ml, PP/PE, wide covered tip (GBC-750). GN expansion of 2 Oct 2026 (45 GN variants, rows 50-94): the Gastroplast price list was not supplied with this update, so column D is empty, "My cost" shows n/a and "Markup over cost" a dash until the EUR cost is entered in the amber cells.</t>
  </si>
  <si>
    <t xml:space="preserve">What competitors charge for delivery (business customer, parcel, shop's own country)</t>
  </si>
  <si>
    <t xml:space="preserve">Rows dated 30 Sep 2026 come from the original research (Competitors blocks of the Source sheets); rows dated 2 Oct 2026 were read on the shops' delivery / terms pages today. "Fee EUR net" and "Free from EUR net" convert the stated amounts to net EUR (VAT removed where the shop states a gross figure: AT 20%, DE 19%, CZ 21%, SK 23%, RO 21%; CZK and RON at the Erste mid-rates on the Sources sheet). A blank fee means the shop does not publish a figure (cost shown in cart or on request). The summary at the bottom puts the market norm next to what an Express One parcel costs YES Gastro (Delivery cost sheet) so the delivery fee can be set deliberately.</t>
  </si>
  <si>
    <t xml:space="preserve">Competitor</t>
  </si>
  <si>
    <t xml:space="preserve">Parcel fee (stated)</t>
  </si>
  <si>
    <t xml:space="preserve">Currency</t>
  </si>
  <si>
    <t xml:space="preserve">Fee stated</t>
  </si>
  <si>
    <t xml:space="preserve">Fee EUR net</t>
  </si>
  <si>
    <t xml:space="preserve">Free delivery from (stated)</t>
  </si>
  <si>
    <t xml:space="preserve">Threshold stated</t>
  </si>
  <si>
    <t xml:space="preserve">Free from EUR net</t>
  </si>
  <si>
    <t xml:space="preserve">Minimum order</t>
  </si>
  <si>
    <t xml:space="preserve">Carrier / delivery time</t>
  </si>
  <si>
    <t xml:space="preserve">Notes</t>
  </si>
  <si>
    <t xml:space="preserve">Source</t>
  </si>
  <si>
    <t xml:space="preserve">Date checked</t>
  </si>
  <si>
    <t xml:space="preserve">ALLPAX Österreich</t>
  </si>
  <si>
    <t xml:space="preserve">EUR</t>
  </si>
  <si>
    <t xml:space="preserve">net</t>
  </si>
  <si>
    <t xml:space="preserve">not stated</t>
  </si>
  <si>
    <t xml:space="preserve">—</t>
  </si>
  <si>
    <t xml:space="preserve">DHL Ausland / DPD</t>
  </si>
  <si>
    <t xml:space="preserve">Parcel 3.70-9.51 depending on article; freight 54-174; shown in cart</t>
  </si>
  <si>
    <t xml:space="preserve">allpax.at/ShippingInfo</t>
  </si>
  <si>
    <t xml:space="preserve">30 Sep 2026</t>
  </si>
  <si>
    <t xml:space="preserve">expondo Österreich</t>
  </si>
  <si>
    <t xml:space="preserve">Parcels DPD/GLS/UPS 2-4 Werktage; freight (&gt;40 kg or oversized) Raben/Dachser/Hermes 2-5 Werktage, kerbside only</t>
  </si>
  <si>
    <t xml:space="preserve">none stated; freight delivered 'nur bis Bordsteinkante'; no COD (Nachnahme) offered in AGB payment list | Not stated on AT shop (expondo runs separate country shops, e.g. expondo.de); AGB only mention deliveries outside EU generically</t>
  </si>
  <si>
    <t xml:space="preserve">https://www.expondo.at/versandinformationen/ ; https://www.expondo.at/agb/</t>
  </si>
  <si>
    <t xml:space="preserve">2 Oct 2026</t>
  </si>
  <si>
    <t xml:space="preserve">Gastro Star</t>
  </si>
  <si>
    <t xml:space="preserve">Frei Haus from 300 net</t>
  </si>
  <si>
    <t xml:space="preserve">Charge below the threshold not published</t>
  </si>
  <si>
    <t xml:space="preserve">gastro-star.at</t>
  </si>
  <si>
    <t xml:space="preserve">Gastro Zimml</t>
  </si>
  <si>
    <t xml:space="preserve">not published</t>
  </si>
  <si>
    <t xml:space="preserve">https://www.gastrozimml.at/ ; https://www.gastrozimml.at/impressum/ ; https://www.gastrozimml.at/produkt/led-menueboard-a4-schwarz/</t>
  </si>
  <si>
    <t xml:space="preserve">Gastrodax</t>
  </si>
  <si>
    <t xml:space="preserve">incl.</t>
  </si>
  <si>
    <t xml:space="preserve">Parcel (DE shop delivering to AT)</t>
  </si>
  <si>
    <t xml:space="preserve">Same terms for DE and AT; freight items by forwarder</t>
  </si>
  <si>
    <t xml:space="preserve">gastrodax.de</t>
  </si>
  <si>
    <t xml:space="preserve">GastroHero Österreich</t>
  </si>
  <si>
    <t xml:space="preserve">Komfort-Lieferung</t>
  </si>
  <si>
    <t xml:space="preserve">Options with transport protection / tail-lift 19.90-39.90 net</t>
  </si>
  <si>
    <t xml:space="preserve">gastro-hero.at</t>
  </si>
  <si>
    <t xml:space="preserve">Gastroladen.at (Harotec GmbH)</t>
  </si>
  <si>
    <t xml:space="preserve">Parcel</t>
  </si>
  <si>
    <t xml:space="preserve">7.95 for some brands; Bartscher by weight from 10.80; freight 90.00</t>
  </si>
  <si>
    <t xml:space="preserve">gastroladen.at</t>
  </si>
  <si>
    <t xml:space="preserve">GGM Gastro (Austrian storefront)</t>
  </si>
  <si>
    <t xml:space="preserve">Free delivery</t>
  </si>
  <si>
    <t xml:space="preserve">Prices stated "inkl. Lieferung"</t>
  </si>
  <si>
    <t xml:space="preserve">ggmgastro.com/de-at-eur</t>
  </si>
  <si>
    <t xml:space="preserve">Intergastro (AT shop)</t>
  </si>
  <si>
    <t xml:space="preserve">DPD parcel up to 31.5 kg</t>
  </si>
  <si>
    <t xml:space="preserve">Flat per order; bulky items by freight (cost in cart)</t>
  </si>
  <si>
    <t xml:space="preserve">intergastro.at shipping page</t>
  </si>
  <si>
    <t xml:space="preserve">Jungheinrich PROFISHOP Austria</t>
  </si>
  <si>
    <t xml:space="preserve">Business customers only</t>
  </si>
  <si>
    <t xml:space="preserve">jungheinrich-profishop.at</t>
  </si>
  <si>
    <t xml:space="preserve">LUSINI Österreich</t>
  </si>
  <si>
    <t xml:space="preserve">none for business customers; private customers 20,00 EUR incl. VAT excl. shipping</t>
  </si>
  <si>
    <t xml:space="preserve">DPD parcel 1-3 Werktage (FAQ says 3-4); Spedition Schenker for larger deliveries 3-5 Werktage (FAQ 4-6); orders Mo-Fr before 12:00 ship same day</t>
  </si>
  <si>
    <t xml:space="preserve">Sperrgut/freight flat 39 EUR net (46,80 EUR gross) per order regardless of value; Nachlieferungen (back-orders) shipped free; no COD surcharge mentioned | No - 'Bestellungen und Lieferungen sind nur innerhalb Österreichs möglich' (separate LUSINI country shops exist)</t>
  </si>
  <si>
    <t xml:space="preserve">https://www.lusini.com/de-at/helpandservice/bestellung/versand-und-lieferung/ ; https://www.lusini.com/de-at/helpandservice/faq/</t>
  </si>
  <si>
    <t xml:space="preserve">shopbuero.com</t>
  </si>
  <si>
    <t xml:space="preserve">Parcel (DE shop)</t>
  </si>
  <si>
    <t xml:space="preserve">"from 19.90" to Austria; exact cost calculated in cart</t>
  </si>
  <si>
    <t xml:space="preserve">ALLPAX</t>
  </si>
  <si>
    <t xml:space="preserve">DHL Inland / DPD</t>
  </si>
  <si>
    <t xml:space="preserve">Parcel 0.00-5.87 depending on article; shown in cart</t>
  </si>
  <si>
    <t xml:space="preserve">allpax.de/ShippingInfo</t>
  </si>
  <si>
    <t xml:space="preserve">Esmeyer Shop</t>
  </si>
  <si>
    <t xml:space="preserve">none stated (but orders under 25 EUR Warenwert pay 17,75 EUR shipping)</t>
  </si>
  <si>
    <t xml:space="preserve">Paketdienst (brand not named) Mo-Fr, Spedition for larger quantities, pickup near Düsseldorf; in-stock items ship same day or next working day ('Heute bestellt, morgen geliefert')</t>
  </si>
  <si>
    <t xml:space="preserve">Sperrgutzuschlag 29 EUR for bulky items on orders under 400 EUR; no COD/island surcharge mentioned | Yes, EU parcel zones per Paket max 30 kg: Zone 1 (Austria, Belgium, Luxembourg, Netherlands, Czech Republic, Denmark, Hungary, Poland, Slovenia, France) 9,90 EUR/Paket; Zone 2 Monaco 14,90; Zone 3 Italy, Slovakia 19,90; Zone 4 (Sweden, Spain, Baltics, Finland, Nordics, Croatia, Ireland, Portugal, Bulgaria, Greece, Romania etc.) 29,00 EUR/Paket; net/gross basis of foreign rates not stated</t>
  </si>
  <si>
    <t xml:space="preserve">https://www.esmeyer-shop.de/versandkosten-arten ; https://www.esmeyer-shop.de/</t>
  </si>
  <si>
    <t xml:space="preserve">Gastro-Spirit</t>
  </si>
  <si>
    <t xml:space="preserve">DPD, GLS, DHL or Spedition depending on order; 3-5 Werktage within Germany, Mo-Fr excl. public holidays</t>
  </si>
  <si>
    <t xml:space="preserve">German islands +32,00 EUR brutto (26,89 EUR netto) per order (total 40,90 brutto), contact before ordering; items marked 'versandkostenfrei' free only to mainland Germany; no COD surcharge stated | Austria: 19,90 EUR brutto per order, 5-10 Werktage; other countries only on request by e-mail (quote)</t>
  </si>
  <si>
    <t xml:space="preserve">https://gastro-spirit.de/Versandinformationen</t>
  </si>
  <si>
    <t xml:space="preserve">Gastrodax [substitute]</t>
  </si>
  <si>
    <t xml:space="preserve">Same terms for DE and AT</t>
  </si>
  <si>
    <t xml:space="preserve">GastroHero</t>
  </si>
  <si>
    <t xml:space="preserve">gastro-hero.de</t>
  </si>
  <si>
    <t xml:space="preserve">Gastroladen.de (Harotec GmbH) [substitute]</t>
  </si>
  <si>
    <t xml:space="preserve">Parcel and freight</t>
  </si>
  <si>
    <t xml:space="preserve">Bartscher/Saro by weight from 8.35</t>
  </si>
  <si>
    <t xml:space="preserve">gastroladen.de</t>
  </si>
  <si>
    <t xml:space="preserve">GGM Gastro</t>
  </si>
  <si>
    <t xml:space="preserve">Free delivery (mainland)</t>
  </si>
  <si>
    <t xml:space="preserve">Free from 30 EUR order value; island surcharges</t>
  </si>
  <si>
    <t xml:space="preserve">ggmgastro.com/de-de-eur</t>
  </si>
  <si>
    <t xml:space="preserve">Intergastro</t>
  </si>
  <si>
    <t xml:space="preserve">Parcel up to ~30 kg</t>
  </si>
  <si>
    <t xml:space="preserve">Flat per order; island surcharge 12.50; express +18.00</t>
  </si>
  <si>
    <t xml:space="preserve">intergastro.de</t>
  </si>
  <si>
    <t xml:space="preserve">LUSINI Deutschland</t>
  </si>
  <si>
    <t xml:space="preserve">DPD parcel 2-3 Werktage; Spedition for bulky goods 2-3 Werktage Mo-Fr; 24h express option</t>
  </si>
  <si>
    <t xml:space="preserve">Sperrgut/freight tiered by order value: 29,99 EUR net (35,69 gross) up to 999,99 net, 59,99 net up to 1.999,99 net, 99,99 net from 2.000 net; 24h express +12,99 EUR net, Saturday delivery +19,99 EUR net; certain postcode areas/islands excluded; no COD surcharge mentioned | No - 'Bestellungen und Lieferungen sind nur innerhalb Deutschlands möglich' (Austria served by separate lusini.com/de-at shop)</t>
  </si>
  <si>
    <t xml:space="preserve">https://www.lusini.com/de-de/helpandservice/bestellung/versand-und-lieferung/ ; https://www.lusini.com/de-de/helpandservice/faq/</t>
  </si>
  <si>
    <t xml:space="preserve">Nisbets</t>
  </si>
  <si>
    <t xml:space="preserve">Standard 2-4 working days</t>
  </si>
  <si>
    <t xml:space="preserve">nisbets.de</t>
  </si>
  <si>
    <t xml:space="preserve">Gastro Novotný</t>
  </si>
  <si>
    <t xml:space="preserve">CZK</t>
  </si>
  <si>
    <t xml:space="preserve">500 CZK net</t>
  </si>
  <si>
    <t xml:space="preserve">PPL up to 20 kg</t>
  </si>
  <si>
    <t xml:space="preserve">TopTrans 990 for large items; pick-up Brno free; COD +45</t>
  </si>
  <si>
    <t xml:space="preserve">eshop.gastronovotny.cz</t>
  </si>
  <si>
    <t xml:space="preserve">Gastrofans</t>
  </si>
  <si>
    <t xml:space="preserve">Parcel up to 30 kg via GLS and PPL; Zásilkovna only under 5 kg; GLS/PPL pickup points/boxes up to 10 kg; pallet for oversized; delivery time shown per product (e.g. 'Můžeme doručit do: 7.10.2026', stock in Troubsko)</t>
  </si>
  <si>
    <t xml:space="preserve">dobírka (COD) offered; if a COD parcel is not collected, transport and packing costs are charged; no fixed amounts published | No - 'Zboží dodáváme pouze v rámci České republiky'; Slovak customers directed to separate shop gastrofans.sk</t>
  </si>
  <si>
    <t xml:space="preserve">https://www.gastrofans.cz/jak-nakupovat/ ; https://www.gastrofans.cz/obchodni-podminky/ ; https://www.gastrofans.cz/talir-melky-25-5-cm/</t>
  </si>
  <si>
    <t xml:space="preserve">Gastromania</t>
  </si>
  <si>
    <t xml:space="preserve">PPL up to 31.5 kg</t>
  </si>
  <si>
    <t xml:space="preserve">169 with cash on delivery</t>
  </si>
  <si>
    <t xml:space="preserve">gastromania.cz/zpusoby-dopravy</t>
  </si>
  <si>
    <t xml:space="preserve">Gastrozone</t>
  </si>
  <si>
    <t xml:space="preserve">DPD/GLS/PPL address delivery</t>
  </si>
  <si>
    <t xml:space="preserve">Pick-up points 49-79</t>
  </si>
  <si>
    <t xml:space="preserve">gastrozone.cz/informace/doprava-a-platba</t>
  </si>
  <si>
    <t xml:space="preserve">Gastrošance</t>
  </si>
  <si>
    <t xml:space="preserve">DPD parcel (one piece = one shipment, max 31,5 kg, max 80x60x200 cm, not on pallet); Toptrans for pallets/large items; delivery time not published</t>
  </si>
  <si>
    <t xml:space="preserve">Toptrans pallet/heavy up to 100 kg 750 Kč, heavier quoted individually by weight and distance; dobírka (COD) offered, no separate fee stated; selected stainless furniture category 'doprava zdarma' | Not offered/stated - published shipping costs 'platí pouze v případech, kdy je zboží doručováno v rámci území České republiky'; no Slovakia terms</t>
  </si>
  <si>
    <t xml:space="preserve">https://www.gastrosance.cz/page/doprava-baliku/124 ; https://www.gastrosance.cz/page/obchodni-podminky/3</t>
  </si>
  <si>
    <t xml:space="preserve">GGM Gastro (CZ storefront)</t>
  </si>
  <si>
    <t xml:space="preserve">Prices "včetně dodávky"</t>
  </si>
  <si>
    <t xml:space="preserve">ggmgastro.com/cs-cz-czk/shipping-cost</t>
  </si>
  <si>
    <t xml:space="preserve">Promos Gastro</t>
  </si>
  <si>
    <t xml:space="preserve">PPL (parcel) / Toptrans (freight); personal pickup Havířov, Dělnická 51 free; delivery time not published</t>
  </si>
  <si>
    <t xml:space="preserve">orders under 10 000 Kč bez DPH: shipping price calculated individually and sent for approval (no fixed parcel fee); dobírka and card on delivery offered, surcharge not stated; service/transport/installation price list in separate PDF | not stated (Czech-only shop, no Slovakia terms found)</t>
  </si>
  <si>
    <t xml:space="preserve">https://www.promos-gastro.cz/index.php?id_product=593&amp;controller=product ; https://www.promos-gastro.cz/content/3-obchodni-podminky-internetovy-obchod-promos-e-shop</t>
  </si>
  <si>
    <t xml:space="preserve">TOMGAST</t>
  </si>
  <si>
    <t xml:space="preserve">GLS / PPL</t>
  </si>
  <si>
    <t xml:space="preserve">Pick-up Karviná free; cash on delivery +39</t>
  </si>
  <si>
    <t xml:space="preserve">tomgast.cz/doprava-a-platba</t>
  </si>
  <si>
    <t xml:space="preserve">Gastromania.sk (GASTROMANIA CZ s.r.o., CZ)</t>
  </si>
  <si>
    <t xml:space="preserve">SPS courier, parcels up to 31.5 kg</t>
  </si>
  <si>
    <t xml:space="preserve">9.00 with cash on delivery</t>
  </si>
  <si>
    <t xml:space="preserve">gastromania.sk/sposoby-dorucenia</t>
  </si>
  <si>
    <t xml:space="preserve">Gastrozone.sk (GASTROZONE, spol. s r.o., CZ)</t>
  </si>
  <si>
    <t xml:space="preserve">Courier home delivery</t>
  </si>
  <si>
    <t xml:space="preserve">Pick-up points 3.90; Express One 4.20; COD +1.80; 4.90 = 3.98 net</t>
  </si>
  <si>
    <t xml:space="preserve">gastrozone.sk/informacie/doprava-a-platba</t>
  </si>
  <si>
    <t xml:space="preserve">Direca</t>
  </si>
  <si>
    <t xml:space="preserve">RON</t>
  </si>
  <si>
    <t xml:space="preserve">NOT READABLE - direca.ro blocked (robots.txt ConnectTimeout on / and /livrare); web search returned no snippets. Note: magora.ro is operated by SC DIRECA DEPO SRL, but its terms are not assumed to apply to direca.ro</t>
  </si>
  <si>
    <t xml:space="preserve">Not readable</t>
  </si>
  <si>
    <t xml:space="preserve">https://www.direca.ro/livrare</t>
  </si>
  <si>
    <t xml:space="preserve">FiMax</t>
  </si>
  <si>
    <t xml:space="preserve">NOT READABLE - /livrare returned an image-only response, homepage and /termeni-si-conditii contain no delivery terms, web search returned no snippets</t>
  </si>
  <si>
    <t xml:space="preserve">https://www.fimax.ro/termeni-si-conditii</t>
  </si>
  <si>
    <t xml:space="preserve">gastroprofesional</t>
  </si>
  <si>
    <t xml:space="preserve">Not stated on readable pages (delivery-methods page content loads dynamically; only the header banner is readable)</t>
  </si>
  <si>
    <t xml:space="preserve">Not stated on readable pages | Not stated (site offers EUR and RON currency display)</t>
  </si>
  <si>
    <t xml:space="preserve">https://gastroprofesional.ro/content/metode-de-livrare</t>
  </si>
  <si>
    <t xml:space="preserve">Packeta 19 lei (15.70 net), DPD Pickup / GLS ParcelShop / DHL ParcelShop 23 lei (19.00 net), PPL home delivery 29 lei (23.97 net); delivery time not stated on the page (product listings show a 1-2 day date window)</t>
  </si>
  <si>
    <t xml:space="preserve">Cash on delivery 10 lei (8.26 net); bank transfer and card free; no pallet surcharge stated | Not stated on the Romanian page (gastrozone group also runs CZ/SK/HU/PL sites)</t>
  </si>
  <si>
    <t xml:space="preserve">https://www.gastrozone.ro/informatii/transport-si-plata/</t>
  </si>
  <si>
    <t xml:space="preserve">Hendi</t>
  </si>
  <si>
    <t xml:space="preserve">NOT READABLE - homepage fetched (footer has a 'Cum comand' page) but /livrare and /cum-comand are blocked by robots.txt/timeouts; web search returned no snippets</t>
  </si>
  <si>
    <t xml:space="preserve">https://www.hendi.ro/</t>
  </si>
  <si>
    <t xml:space="preserve">Horecamag</t>
  </si>
  <si>
    <t xml:space="preserve">Fan Courier for parcels; PALLEX for oversized/pallet; delivery time not stated; transport cost communicated at order confirmation</t>
  </si>
  <si>
    <t xml:space="preserve">Parcel cost varies by parcel size and destination; pallet/oversized via PALLEX 250 lei incl. TVA per pallet; COD via Fan Courier only, not with PALLEX | S.C. Suport Horeca S.R.L. trimite produse numai pe teritoriul Romaniei</t>
  </si>
  <si>
    <t xml:space="preserve">https://www.horecamag.ro/termeni-si-conditii/</t>
  </si>
  <si>
    <t xml:space="preserve">Lancom</t>
  </si>
  <si>
    <t xml:space="preserve">Fan Courier; 24-48h from order confirmation (confirmation by phone for COD, or payment date for card/bank transfer); oversized items via third-party transport</t>
  </si>
  <si>
    <t xml:space="preserve">Oversized/bulky (agabaritice) transport fully at buyer's cost; transport price approximate, buyer contacted if higher; return shipping paid by buyer | Not mentioned (prices in EUR ex VAT, invoiced in RON at BNR rate)</t>
  </si>
  <si>
    <t xml:space="preserve">https://www.lancom.ro/termeni-si-conditii</t>
  </si>
  <si>
    <t xml:space="preserve">Magora</t>
  </si>
  <si>
    <t xml:space="preserve">Courier (not named); in-stock: 24h (1 working day) if confirmed by 15:00, else 48h; out-of-stock 2-3 weeks</t>
  </si>
  <si>
    <t xml:space="preserve">Under 1000 lei transport at customer's cost, varies by destination, weight and parcel size (courier tariff); COD available, no COD fee stated; return transport both ways paid by client | Delivery stated for Romania only (oriunde pe teritoriul Romaniei); operator SC DIRECA DEPO SRL</t>
  </si>
  <si>
    <t xml:space="preserve">https://www.magora.ro/livrare</t>
  </si>
  <si>
    <t xml:space="preserve">mmgastro</t>
  </si>
  <si>
    <t xml:space="preserve">NOT READABLE - homepage fetched but truncated before footer; /ro/content/1-livrare and /ro/sitemap return 404; web search returned no snippets</t>
  </si>
  <si>
    <t xml:space="preserve">Not readable (homepage banner only shows a free-gift promo: minimum 300 RON net order gets a free gift) | Not readable (Polish group site, RO storefront)</t>
  </si>
  <si>
    <t xml:space="preserve">https://www.mmgastro.ro/</t>
  </si>
  <si>
    <t xml:space="preserve">Patiser.ro</t>
  </si>
  <si>
    <t xml:space="preserve">Courier door-to-door from Sibiu (carrier not named); 24h if ordered Mon-Fri before 15:00, 48h after 15:00, Tuesday for Friday-afternoon/weekend orders</t>
  </si>
  <si>
    <t xml:space="preserve">25 lei per parcel applies to baking trays (max 10 trays per parcel, up to 40 trays per order); delivery cost not included in product prices; COD available with parcel inspection, no COD fee stated</t>
  </si>
  <si>
    <t xml:space="preserve">https://www.patiser.ro/</t>
  </si>
  <si>
    <t xml:space="preserve">pentrubar.ro</t>
  </si>
  <si>
    <t xml:space="preserve">Unnamed courier firms (site mentions multiple couriers at checkout); delivery times stated as estimates only; personal pickup in Oradea</t>
  </si>
  <si>
    <t xml:space="preserve">Transport cost displayed/communicated before order completion; possible extra costs outside standard delivery area; COD (ramburs) and card via EuPlatesc available, no COD fee stated</t>
  </si>
  <si>
    <t xml:space="preserve">https://pentrubar.ro/ro/content/1-livrare-retur-garantii</t>
  </si>
  <si>
    <t xml:space="preserve">Pro-cucina</t>
  </si>
  <si>
    <t xml:space="preserve">Carrier not named; in-stock products max 3 working days (7-15, max 20 days in holiday/promo periods; non-stock up to 45 working days)</t>
  </si>
  <si>
    <t xml:space="preserve">Under 6000 EUR ex VAT buyer pays transport (quoted before delivery); COD not available for orders over 1000 lei ex VAT; lift-truck delivery extra; ground-floor delivery only; failed delivery charged to customer | Comenzile efectuate prin intermediul site-ului se livreaza exclusiv pe teritoriul Romaniei</t>
  </si>
  <si>
    <t xml:space="preserve">https://www.pro-cucina.ro/livrare</t>
  </si>
  <si>
    <t xml:space="preserve">Stylehoreca</t>
  </si>
  <si>
    <t xml:space="preserve">Carrier not named; only 'LIVRARE RAPIDA oriunde in tara' claim; no delivery time stated</t>
  </si>
  <si>
    <t xml:space="preserve">Not stated; page directs customers to phone 0756022540 / office@stylehoreca.ro for shipping details</t>
  </si>
  <si>
    <t xml:space="preserve">https://www.stylehoreca.ro/info/livrare</t>
  </si>
  <si>
    <t xml:space="preserve">Market norm vs our cost</t>
  </si>
  <si>
    <t xml:space="preserve">Shops with a published fee</t>
  </si>
  <si>
    <t xml:space="preserve">Lowest fee EUR net</t>
  </si>
  <si>
    <t xml:space="preserve">Median fee EUR net</t>
  </si>
  <si>
    <t xml:space="preserve">Highest fee EUR net</t>
  </si>
  <si>
    <t xml:space="preserve">Shops offering free delivery</t>
  </si>
  <si>
    <t xml:space="preserve">Median free-from EUR net</t>
  </si>
  <si>
    <t xml:space="preserve">Our Express One cost EUR: 5 kg parcel</t>
  </si>
  <si>
    <t xml:space="preserve">10 kg parcel</t>
  </si>
  <si>
    <t xml:space="preserve">20 kg parcel</t>
  </si>
  <si>
    <t xml:space="preserve">Suggested delivery fee EUR net</t>
  </si>
  <si>
    <t xml:space="preserve">Suggested free-delivery threshold EUR net</t>
  </si>
  <si>
    <t xml:space="preserve">Subsidy per 10 kg parcel at the suggested fee</t>
  </si>
  <si>
    <t xml:space="preserve">Reading the summary</t>
  </si>
  <si>
    <t xml:space="preserve">Shops that print no fee (cost shown in the cart, "on request") are excluded from the fee statistics; GGM Gastro and expondo count as free delivery (fee 0).</t>
  </si>
  <si>
    <t xml:space="preserve">Our cost columns are the Express One contract rate for a parcel of that weight to the country, plus the 10.5% e-toll and the assumed fuel surcharge, in EUR net (Delivery cost sheet, amber inputs).</t>
  </si>
  <si>
    <t xml:space="preserve">The suggested fee (amber) is set at the market norm so the delivery line on the invoice looks familiar to the buyer; the subsidy column shows what a 10 kg parcel then costs YES Gastro beyond the fee - that money has to come from the product margin. Raise the fee or the free-delivery threshold to reduce it; the free-delivery threshold should be high enough that a free parcel is heavy (a 250 EUR order of GN containers weighs 20-25 kg and costs 17-30 EUR to ship).</t>
  </si>
  <si>
    <t xml:space="preserve">Not readable (bot protection): FiMax, Hendi.ro, mmgastro, Direca (RO); Gastro Zimml publishes no terms (inquiry catalogue); ALLPAX and Gastrofans show the fee only in the cart.</t>
  </si>
  <si>
    <t xml:space="preserve">Our delivery cost (Express One export tariff) - what the delivery fee has to cover</t>
  </si>
  <si>
    <t xml:space="preserve">Rate card: Express One Hungary international contract offer SZK056966/202608040002/1 (4 Aug 2026), HUF net per parcel by weight band, pickup in Budapest. Surcharges on top of the tariff: e-toll 10.5% (parcels from Budapest 1000-1999 to any foreign destination, per the contract) and the fuel surcharge (percentage set by Express One's terms; the contract table is blank, so C6 is an assumption to confirm). Delivery is allocated per chargeable kilogram: the cost of a typical parcel to each market (row 29, amber) divided by its weight. Chargeable weight per piece = the larger of the actual weight and the carton's volumetric weight (L x W x H / divisor C7) divided by the pieces in the carton. Piece and carton data come from BOX DIMENSIONS.xlsx; rows marked "estimate" (cutting boards, PE dough box, thermo tray) are calculated from PE density and should be replaced by measured values.</t>
  </si>
  <si>
    <t xml:space="preserve">E-toll surcharge (contract, parcels from Budapest)</t>
  </si>
  <si>
    <t xml:space="preserve">Fuel surcharge (assumption - confirm with Express One)</t>
  </si>
  <si>
    <t xml:space="preserve">Volumetric divisor, cm3 per kg (0 = actual weight only)</t>
  </si>
  <si>
    <t xml:space="preserve">HUF per EUR (Sources sheet)</t>
  </si>
  <si>
    <t xml:space="preserve">Rate card - HUF net per parcel</t>
  </si>
  <si>
    <t xml:space="preserve">From kg</t>
  </si>
  <si>
    <t xml:space="preserve">To kg</t>
  </si>
  <si>
    <t xml:space="preserve">Surcharge factor on the tariff (1 + e-toll + fuel)</t>
  </si>
  <si>
    <t xml:space="preserve">Pieces per carton</t>
  </si>
  <si>
    <t xml:space="preserve">Piece weight (kg)</t>
  </si>
  <si>
    <t xml:space="preserve">Carton L (mm)</t>
  </si>
  <si>
    <t xml:space="preserve">Carton W (mm)</t>
  </si>
  <si>
    <t xml:space="preserve">Carton H (mm)</t>
  </si>
  <si>
    <t xml:space="preserve">Carton actual (kg, +5% packaging)</t>
  </si>
  <si>
    <t xml:space="preserve">Carton volumetric (kg)</t>
  </si>
  <si>
    <t xml:space="preserve">Assumed order qty (pieces)</t>
  </si>
  <si>
    <t xml:space="preserve">Parcel chargeable kg</t>
  </si>
  <si>
    <t xml:space="preserve">Tariff band from (kg)</t>
  </si>
  <si>
    <t xml:space="preserve">Data source</t>
  </si>
  <si>
    <t xml:space="preserve">Parcel cost EUR - Austria</t>
  </si>
  <si>
    <t xml:space="preserve">Parcel cost EUR - Germany</t>
  </si>
  <si>
    <t xml:space="preserve">Parcel cost EUR - Czech</t>
  </si>
  <si>
    <t xml:space="preserve">Parcel cost EUR - Slovakia</t>
  </si>
  <si>
    <t xml:space="preserve">Parcel cost EUR - Romania</t>
  </si>
  <si>
    <t xml:space="preserve">Delivery / pc EUR - Austria</t>
  </si>
  <si>
    <t xml:space="preserve">Delivery / pc EUR - Germany</t>
  </si>
  <si>
    <t xml:space="preserve">Delivery / pc EUR - Czech</t>
  </si>
  <si>
    <t xml:space="preserve">Delivery / pc EUR - Slovakia</t>
  </si>
  <si>
    <t xml:space="preserve">Delivery / pc EUR - Romania</t>
  </si>
  <si>
    <t xml:space="preserve">box file</t>
  </si>
  <si>
    <t xml:space="preserve">not in price list / box file</t>
  </si>
  <si>
    <t xml:space="preserve">estimate (PE 0.95 g/cm3)</t>
  </si>
  <si>
    <t xml:space="preserve">estimate (as GPH-75)</t>
  </si>
  <si>
    <t xml:space="preserve">estimate</t>
  </si>
  <si>
    <t xml:space="preserve">Model: the assumed order quantity (column K, amber - default one supplier carton; 6 pieces for items packed singly, 1 for the thermobox) travels as one parcel; its chargeable weight is the larger of actual and volumetric weight scaled to that quantity; the tariff band for that weight gives the parcel cost, divided by the quantity = delivery per piece. Lower the quantity to see what small orders cost: e.g. 24 bottles instead of 96 roughly triples the delivery per bottle. Light, bulky items (bottles, lids, dough boxes) are driven by volumetric weight, boards and the thermobox by actual weight.</t>
  </si>
  <si>
    <t xml:space="preserve">Market review</t>
  </si>
  <si>
    <t xml:space="preserve">Net price per piece. Filter by product or country, then record your decision.</t>
  </si>
  <si>
    <t xml:space="preserve">Amber = your decisions and comments. Prices follow the match filter on Compare.</t>
  </si>
  <si>
    <t xml:space="preserve">Country</t>
  </si>
  <si>
    <t xml:space="preserve">Min local</t>
  </si>
  <si>
    <t xml:space="preserve">Median local</t>
  </si>
  <si>
    <t xml:space="preserve">Max local</t>
  </si>
  <si>
    <t xml:space="preserve">Min EUR</t>
  </si>
  <si>
    <t xml:space="preserve">Your decision</t>
  </si>
  <si>
    <t xml:space="preserve">Priority</t>
  </si>
  <si>
    <t xml:space="preserve">Your comments</t>
  </si>
  <si>
    <t xml:space="preserve">Selected statistic</t>
  </si>
  <si>
    <t xml:space="preserve">HUF</t>
  </si>
  <si>
    <t xml:space="preserve">Net per piece</t>
  </si>
  <si>
    <t xml:space="preserve">Benchmark offers</t>
  </si>
  <si>
    <t xml:space="preserve">Filter by product name, country, competitor or match quality.</t>
  </si>
  <si>
    <t xml:space="preserve">Amber = your comments. Source prices are preserved; analysis columns use current net-per-piece conversions.</t>
  </si>
  <si>
    <t xml:space="preserve">Product name (source)</t>
  </si>
  <si>
    <t xml:space="preserve">Listed price (source)</t>
  </si>
  <si>
    <t xml:space="preserve">Currency (source)</t>
  </si>
  <si>
    <t xml:space="preserve">Selected net/pc local</t>
  </si>
  <si>
    <t xml:space="preserve">Selected net/pc EUR</t>
  </si>
  <si>
    <t xml:space="preserve">Master match</t>
  </si>
  <si>
    <t xml:space="preserve">Date checked (source)</t>
  </si>
  <si>
    <t xml:space="preserve">Your comment</t>
  </si>
  <si>
    <t xml:space="preserve">Notes (source)</t>
  </si>
  <si>
    <t xml:space="preserve">URL (source)</t>
  </si>
  <si>
    <t xml:space="preserve">Brand (source)</t>
  </si>
  <si>
    <t xml:space="preserve">VAT (source)</t>
  </si>
  <si>
    <t xml:space="preserve">VAT rate (source)</t>
  </si>
  <si>
    <t xml:space="preserve">Pack size (source)</t>
  </si>
  <si>
    <t xml:space="preserve">Price basis (source)</t>
  </si>
  <si>
    <t xml:space="preserve">Match (source)</t>
  </si>
  <si>
    <t xml:space="preserve">Matching note</t>
  </si>
  <si>
    <t xml:space="preserve">Net/pc saved (source)</t>
  </si>
  <si>
    <t xml:space="preserve">Historical FX saved (source)</t>
  </si>
  <si>
    <t xml:space="preserve">Source file</t>
  </si>
  <si>
    <t xml:space="preserve">Checked by (source)</t>
  </si>
  <si>
    <t xml:space="preserve">In stock? (source)</t>
  </si>
  <si>
    <t xml:space="preserve">Reliability (source)</t>
  </si>
  <si>
    <t xml:space="preserve">Native currency</t>
  </si>
  <si>
    <t xml:space="preserve">Source eligible</t>
  </si>
  <si>
    <t xml:space="preserve">Net/pc local calculation</t>
  </si>
  <si>
    <t xml:space="preserve">Included by filter</t>
  </si>
  <si>
    <t xml:space="preserve">Local calculation order</t>
  </si>
  <si>
    <t xml:space="preserve">EUR calculation order</t>
  </si>
  <si>
    <t xml:space="preserve">Local price available</t>
  </si>
  <si>
    <t xml:space="preserve">EUR price available</t>
  </si>
  <si>
    <t xml:space="preserve">Research date calculation</t>
  </si>
  <si>
    <t xml:space="preserve">Date issue</t>
  </si>
  <si>
    <t xml:space="preserve">Attase</t>
  </si>
  <si>
    <t xml:space="preserve">GN 1/1 65mm - Polycarbonate</t>
  </si>
  <si>
    <t xml:space="preserve">EXACT</t>
  </si>
  <si>
    <t xml:space="preserve">08.06.2026</t>
  </si>
  <si>
    <t xml:space="preserve">Source sheet: GN Containers; size: GN 1/1 65mm; material: Polycarbonate</t>
  </si>
  <si>
    <t xml:space="preserve">https://www.attase.hu/konyhai-eszkozok/gn-edeny/polikarbonat-gn-edenyek</t>
  </si>
  <si>
    <t xml:space="preserve">GN size, depth and material agree. Colour is unrestricted in the benchmark.</t>
  </si>
  <si>
    <t xml:space="preserve">YES Gastro Hungary Market Research.xlsx</t>
  </si>
  <si>
    <t xml:space="preserve">Live 02.10.2026: Rendelhető, 3–4 hét</t>
  </si>
  <si>
    <t xml:space="preserve">Direct</t>
  </si>
  <si>
    <t xml:space="preserve">yes</t>
  </si>
  <si>
    <t xml:space="preserve">Gammo</t>
  </si>
  <si>
    <t xml:space="preserve">https://gammo.hu/edeny-tepsi/gasztronorm-gn-edeny</t>
  </si>
  <si>
    <t xml:space="preserve">Gasztronagyker</t>
  </si>
  <si>
    <t xml:space="preserve">02.10.2026</t>
  </si>
  <si>
    <t xml:space="preserve">https://www.gasztronagyker.hu/gn-edeny-1-1-65-mm-6-l-polikarbonat</t>
  </si>
  <si>
    <t xml:space="preserve">GN size, depth and material agree. Colour is unrestricted in the benchmark. Live check 2 Oct 2026: 9 190 Ft gross / 7 236 Ft net; price corrected.</t>
  </si>
  <si>
    <t xml:space="preserve">Live 02.10.2026: Saját raktáron (4 db)</t>
  </si>
  <si>
    <t xml:space="preserve">HFSE</t>
  </si>
  <si>
    <t xml:space="preserve">https://hfse.hu/termekkategoria/konyhai-eszkozok/gn-edenyek/</t>
  </si>
  <si>
    <t xml:space="preserve">Hunnia</t>
  </si>
  <si>
    <t xml:space="preserve">https://hunniakristaly.hu/nagy-konyha/gn-edenyek-rozsdamentes-acelbol-polipropilenb-l-polikarbonat/gn-edenyek-torhetetlen-viztiszta-polikarbonatbol</t>
  </si>
  <si>
    <t xml:space="preserve">Inox-Pláza</t>
  </si>
  <si>
    <t xml:space="preserve">https://www.inoxplaza.hu/edenyzet/gn-edeny</t>
  </si>
  <si>
    <t xml:space="preserve">GN 1/1 65mm - Polycarbonate </t>
  </si>
  <si>
    <t xml:space="preserve">1.07.2026</t>
  </si>
  <si>
    <t xml:space="preserve">PC</t>
  </si>
  <si>
    <t xml:space="preserve">https://www.fimax.ro/categorie/echipamente-catering-autoservire-si-cuve-inox-gastronorm/cuve-gastronorm-gn/cuve-gn-policarbonat-transparent/</t>
  </si>
  <si>
    <t xml:space="preserve">YES Gastro Romania Market Research.xlsx</t>
  </si>
  <si>
    <t xml:space="preserve">Gabi</t>
  </si>
  <si>
    <t xml:space="preserve">GN 1/1 65 mm -  Polycarbonate Black</t>
  </si>
  <si>
    <t xml:space="preserve">4.07.2026</t>
  </si>
  <si>
    <t xml:space="preserve">https://www.fimax.ro/categorie/echipamente-catering-autoservire-si-cuve-inox-gastronorm/cuve-gastronorm-gn/cuve-gn-policarbonat-negru/</t>
  </si>
  <si>
    <t xml:space="preserve">GN 1/1 65 mm -  Polycarbonate</t>
  </si>
  <si>
    <t xml:space="preserve">30.09.2026</t>
  </si>
  <si>
    <t xml:space="preserve">PC. Live check 30.09.2026: ARAVEN GN 1/1 PC 65 mm, 8.6 l - 111.20 lei incl. TVA / 91.90 lei fără TVA (on order, 3-5 weeks). Previously recorded 132.98 RON = 109.90 x 1.21, i.e. a VAT-inclusive figure treated as net.</t>
  </si>
  <si>
    <t xml:space="preserve">https://www.gastrozone.ro/araven-gn-containere-1-1-policarbonat-adancime-65-mm-capacitate-8-6-l.html</t>
  </si>
  <si>
    <t xml:space="preserve">Araven</t>
  </si>
  <si>
    <t xml:space="preserve">30.06.2026</t>
  </si>
  <si>
    <t xml:space="preserve">https://www.hendi.ro/tavi-gastronorm/containere-gn?filter=25819/l/478606|25820/l/478616</t>
  </si>
  <si>
    <t xml:space="preserve">GN size, depth and material agree. Colour is unrestricted in the benchmark. Date typo corrected 2 Oct 2026; hendi.ro blocks fetching — price unverified.</t>
  </si>
  <si>
    <t xml:space="preserve">2026-09-12 00:00:00</t>
  </si>
  <si>
    <t xml:space="preserve">PC. Live check 30.09.2026: 8.00 € / buc fara TVA; Lancom prices in EUR and invoices in RON at the BNR rate. Previously recorded as 42.05 RON (the EUR price converted at about 5.26).</t>
  </si>
  <si>
    <t xml:space="preserve">https://www.lancom.ro/tava-gastronorm-gn-11-65-policarbonat-6936</t>
  </si>
  <si>
    <t xml:space="preserve">GastroPlast</t>
  </si>
  <si>
    <t xml:space="preserve">GN 1/1 65mm - Polycarbonate Black</t>
  </si>
  <si>
    <t xml:space="preserve">https://www.lancom.ro/tava-policarbonat-gn-1-1-65-mm-neagra-6937</t>
  </si>
  <si>
    <t xml:space="preserve">https://pro-cucina.ro/tavi-gn/</t>
  </si>
  <si>
    <t xml:space="preserve">GN size, depth and material agree. Colour is unrestricted in the benchmark. Duplicate of row 24 (colour option of the same SKU); excluded 2 Oct 2026.</t>
  </si>
  <si>
    <t xml:space="preserve">no</t>
  </si>
  <si>
    <t xml:space="preserve">2.07.2026</t>
  </si>
  <si>
    <t xml:space="preserve">https://gastroprofesional.ro/accesorii-horeca/tavi-si-cuve-profesionale/tavi-gn-si-cuve-policarbonat?q=Standard+t%C4%83vi+%5C/+recipiente-GN+1%5C/1</t>
  </si>
  <si>
    <t xml:space="preserve">https://mmgastro.ro/ro/search?text=gn+1%2F1+policarbonat</t>
  </si>
  <si>
    <t xml:space="preserve">Yato-YG</t>
  </si>
  <si>
    <t xml:space="preserve">https://mmgastro.ro/ro/menu/categorii/vase-gastronomice/vase-gn-din-policarbonat-11707?filter_text=&amp;filter_producer=&amp;filter_price=&amp;filter_traits[47062]=70730&amp;filter_traits[21]=76590&amp;filter_traits[47060]=&amp;filter_traits[69787]=&amp;filter_traits[73752]=</t>
  </si>
  <si>
    <t xml:space="preserve">pro-cucina</t>
  </si>
  <si>
    <t xml:space="preserve">https://pro-cucina.ro/tavi-gn/page/1/</t>
  </si>
  <si>
    <t xml:space="preserve">Schneider Polycarbonat GN 1/1 Behälter 65 mm, 8,5 l</t>
  </si>
  <si>
    <t xml:space="preserve">2026-09-30</t>
  </si>
  <si>
    <t xml:space="preserve">Sale price (normal 21.39); minimum order quantity 4 pcs</t>
  </si>
  <si>
    <t xml:space="preserve">https://www.gastro-hero.at/products/schneider-polycarbonat-gn-11-behaelter-65-mm-85-l-530100</t>
  </si>
  <si>
    <t xml:space="preserve">Schneider</t>
  </si>
  <si>
    <t xml:space="preserve">excl.</t>
  </si>
  <si>
    <t xml:space="preserve">Existing benchmark assignment and match quality retained.</t>
  </si>
  <si>
    <t xml:space="preserve">YES Gastro Austria Market Research.xlsx</t>
  </si>
  <si>
    <t xml:space="preserve">Hendi Gastronorm-Behälter 1/1, GN 1/1, 9L, Transparent, 530x325x(H)65mm – Polycarbonat</t>
  </si>
  <si>
    <t xml:space="preserve">https://www.gastrodax.de/hendi-gastronorm-behaelter-polykarbonat-transparent-gn-1-1-9-l-530-x-325-x-h-65-mm</t>
  </si>
  <si>
    <t xml:space="preserve">Vogue Polycarbonat GN-Behälter GN1/1 65mm</t>
  </si>
  <si>
    <t xml:space="preserve">Currently 'zurzeit nicht am Lager' (out of stock)</t>
  </si>
  <si>
    <t xml:space="preserve">https://www.gastroladen.at/3020@GN-U224/Vogue-Polycarbonat-GN-Beh%C3%A4lter-GN1-1-65mm.htm</t>
  </si>
  <si>
    <t xml:space="preserve">Vogue</t>
  </si>
  <si>
    <t xml:space="preserve">Live 02.10.2026: zurzeit nicht am Lager</t>
  </si>
  <si>
    <t xml:space="preserve">Gastronormbehälter GN 1/1 x 65 mm GN 94 Polycarbonat transparent</t>
  </si>
  <si>
    <t xml:space="preserve">Gross 16.88 incl. 20% VAT; tier prices from 3 pcs</t>
  </si>
  <si>
    <t xml:space="preserve">https://www.intergastro.at/gastronormbehaelter-gn-1-1-x-65-mm-gn-94-polycarbonat-transparent-252042</t>
  </si>
  <si>
    <t xml:space="preserve">WAS Germany</t>
  </si>
  <si>
    <t xml:space="preserve">GN-Behälter - GN 1/1 (530 x 325 mm) - 65 mm - Inhalt 9,0 l - Polycarbonat</t>
  </si>
  <si>
    <t xml:space="preserve">Regular price 22.55</t>
  </si>
  <si>
    <t xml:space="preserve">https://shopbuero.com/gn-behaelter-gn-1-1-530-x-325-mm-65-mm-inhalt-9-0-l-polycarbonat/530100-C</t>
  </si>
  <si>
    <t xml:space="preserve">(6 Stück) Polycarbonat-Behälter GN 1/1 - Transparent - Höhe: 65mm</t>
  </si>
  <si>
    <t xml:space="preserve">RRP 87.99</t>
  </si>
  <si>
    <t xml:space="preserve">https://www.ggmgastro.com/de-de-eur/6-stueck-polycarbonat-behaelter-gn-1-1-transparent-hoehe-65mm-gpcp1165</t>
  </si>
  <si>
    <t xml:space="preserve">GGM</t>
  </si>
  <si>
    <t xml:space="preserve">set of 6</t>
  </si>
  <si>
    <t xml:space="preserve">YES Gastro Germany Market Research.xlsx</t>
  </si>
  <si>
    <t xml:space="preserve">Live 02.10.2026: Lieferzeit 5–6 Wochen (not in stock)</t>
  </si>
  <si>
    <t xml:space="preserve">Min. order qty 4</t>
  </si>
  <si>
    <t xml:space="preserve">https://www.gastro-hero.de/products/schneider-polycarbonat-gn-11-behaelter-65-mm-85-l-530100</t>
  </si>
  <si>
    <t xml:space="preserve">https://www.gastroladen.de/3020@GN-U224/Vogue-Polycarbonat-GN-Beh%C3%A4lter-GN1-1-65mm.htm</t>
  </si>
  <si>
    <t xml:space="preserve">Gross 16.74 incl. 19% VAT; tier prices from 3 pcs</t>
  </si>
  <si>
    <t xml:space="preserve">https://www.intergastro.de/gastronormbehaelter-gn-1-1-x-65-mm-gn-94-polycarbonat-transparent-252042</t>
  </si>
  <si>
    <t xml:space="preserve">Reduced web price (UVP 15.29, -53%); 'Nicht vorrätig' (out of stock) on 2026-09-30</t>
  </si>
  <si>
    <t xml:space="preserve">https://www.nisbets.de/vogue-polycarbonat-gn-behlter-65mm/u224</t>
  </si>
  <si>
    <t xml:space="preserve">Live 02.10.2026: Nicht vorrätig</t>
  </si>
  <si>
    <t xml:space="preserve">(6 ks) Gastronádoba GN GN 1/1 - polykarbonát - čirá - Výška: 65 mm</t>
  </si>
  <si>
    <t xml:space="preserve">Net CZK price as displayed; page footnote: "* čistá cena | hrubá cena vč. 19% DPH" (German VAT 19% used on the CZ storefront). SKU GPCP1165, pack of 6; gross 1,360.99 CZK; delivery 5-6 weeks.</t>
  </si>
  <si>
    <t xml:space="preserve">https://www.ggmgastro.com/cs-cz-czk/6-ks-gastronadoba-gn-gn-1-1-polykarbonat-cira-vyska-65-mm-gpcp1165</t>
  </si>
  <si>
    <t xml:space="preserve">per pack</t>
  </si>
  <si>
    <t xml:space="preserve">YES Gastro Czech Market Research.xlsx</t>
  </si>
  <si>
    <t xml:space="preserve">Live 02.10.2026: Doba doručení 5–6 týdnů (not in stock)</t>
  </si>
  <si>
    <t xml:space="preserve">Gastronádoba PC 1/1 100</t>
  </si>
  <si>
    <t xml:space="preserve">APPROX</t>
  </si>
  <si>
    <t xml:space="preserve">Polycarbonate GN 1/1 but 100 mm deep (no 65 mm PC listed; PC range 1/1 = 100 and 200 mm only). 349.69 CZK incl. VAT. Availability "Na dotaz".</t>
  </si>
  <si>
    <t xml:space="preserve">https://eshop.gastronovotny.cz/gastronadoba-pc-1-1-100--0835126/</t>
  </si>
  <si>
    <t xml:space="preserve">per piece</t>
  </si>
  <si>
    <t xml:space="preserve">Gastronádoba z polykarbonátu GN 1/1 65 mm | HENDI, Profi Line</t>
  </si>
  <si>
    <t xml:space="preserve">PC, 9 l. Current price 262 CZK excl. / 317 incl. is an "Outlet" discount from 368 excl. / 445 incl. (30-day low shown 445). Regular-priced alternative: Stalgast Bufet PC GN 1/1 65 mm 286 excl. / 346 incl.</t>
  </si>
  <si>
    <t xml:space="preserve">https://www.gastromania.cz/gastronadoby-polykarbonatove/gastronadoba-z-polykarbonatu-gn-1-1-65-mm-hendi-profi-line</t>
  </si>
  <si>
    <t xml:space="preserve">ARAVEN Gastronádoba GN 1/1, polykarbonát, hloubka: 65 mm, objem: 8,6 L</t>
  </si>
  <si>
    <t xml:space="preserve">414.88 CZK bez DPH; availability "Na objednávku (3-5 týdnů)". In-stock alternative: ARAVEN PC GN 1/1 65 mm with integrated label 601 CZK.</t>
  </si>
  <si>
    <t xml:space="preserve">https://www.gastrozone.cz/araven-gn-box-1-1-polykarbonat-hloubka-65-mm-objem-8-6-l.html</t>
  </si>
  <si>
    <t xml:space="preserve">Gastronádoba polykarbonátová GN 1/1 65 mm</t>
  </si>
  <si>
    <t xml:space="preserve">Code R-M211065; site shows 331 CZK bez DPH; in stock</t>
  </si>
  <si>
    <t xml:space="preserve">https://www.tomgast.cz/gastronadoba-polykarbonatova-gn-1-1-65-mm/</t>
  </si>
  <si>
    <t xml:space="preserve">Cambro</t>
  </si>
  <si>
    <t xml:space="preserve">Polykarbonátová gastronádoba GN1/1 65 mm | CONTACTO, 8211/065</t>
  </si>
  <si>
    <t xml:space="preserve">Listed 'Cena bez DPH' 20.48 EUR / 'Cena s DPH' 25.19 EUR. PC, GN 1/1, 65 mm, 8,5 l. Promo price; base 22,75 bez DPH / 27,98 s DPH. Availability 30 days.</t>
  </si>
  <si>
    <t xml:space="preserve">https://gastromania.sk/gastronadoby-polykarbonatove/polykarbonatova-gastronadoba-gn1-1-65-mm-contacto-8211-065</t>
  </si>
  <si>
    <t xml:space="preserve">Contacto</t>
  </si>
  <si>
    <t xml:space="preserve">n/a</t>
  </si>
  <si>
    <t xml:space="preserve">YES Gastro Slovakia Market Research.xlsx</t>
  </si>
  <si>
    <t xml:space="preserve">ARAVEN Gastronádoba GN 1/1, polykarbonát, Hĺbka: 65 mm, Objem: 8,6 L</t>
  </si>
  <si>
    <t xml:space="preserve">Page shows 20,24 EUR / 16,46 EUR bez DPH. Availability: to order (3-5 weeks).</t>
  </si>
  <si>
    <t xml:space="preserve">https://www.gastrozone.sk/araven-gn-box-1-1-polykarbonat-hloubka-65-mm-objem-8-6-l.html</t>
  </si>
  <si>
    <t xml:space="preserve">GN 1/2 150 - Polycarbonate</t>
  </si>
  <si>
    <t xml:space="preserve">Source sheet: GN Containers; size: GN 1/2 150; material: Polycarbonate</t>
  </si>
  <si>
    <t xml:space="preserve">https://www.gasztronagyker.hu/gn-edenyek</t>
  </si>
  <si>
    <t xml:space="preserve">GN 1/2 150mm - Polycarbonate</t>
  </si>
  <si>
    <t xml:space="preserve">GN 1/2 150mm - Polycarbonate Black</t>
  </si>
  <si>
    <t xml:space="preserve">5.07.2026</t>
  </si>
  <si>
    <t xml:space="preserve">GN 1/2 150 mm - Polycarbonate</t>
  </si>
  <si>
    <t xml:space="preserve">PC. Live check 30.09.2026: ARAVEN GN 1/2 PC 150 mm, 8 l - 102.90 lei incl. TVA = 85.04 lei net (on order, 3-5 weeks). Replaces the impossible source date 30.06.2028 (source price 85.27 RON net).</t>
  </si>
  <si>
    <t xml:space="preserve">https://www.gastrozone.ro/cautare/?text=gn+1/2+150mm+policarbonat</t>
  </si>
  <si>
    <t xml:space="preserve">https://www.gastrozone.ro/vase-gastro/marime=gn-1-2/inalta=150/material=policarbonat/</t>
  </si>
  <si>
    <t xml:space="preserve">APS</t>
  </si>
  <si>
    <t xml:space="preserve">https://www.hendi.ro/tavi-gastronorm/containere-gn?filter=25820/l/478616</t>
  </si>
  <si>
    <t xml:space="preserve">https://www.hendi.ro/tavi-gastronorm/containere-gn?filter=25819/l/478607|25820/l/478616|25821/l/478668;478669</t>
  </si>
  <si>
    <t xml:space="preserve">PC. Live check 30.09.2026: 5.00 € / buc fara TVA (discounted from 6.24 €); Lancom prices in EUR and invoices in RON at the BNR rate. Previously recorded as 26.28 RON (the EUR price converted at about 5.26).</t>
  </si>
  <si>
    <t xml:space="preserve">https://www.lancom.ro/tava-gastronorm-gn-12-150-policarbonat-6940</t>
  </si>
  <si>
    <t xml:space="preserve">https://mmgastro.ro/ro/menu/categorii/vase-gastronomice/vase-gn-din-policarbonat-11707?filter_text=&amp;filter_producer=&amp;filter_price=&amp;filter_traits[47062]=70733&amp;filter_traits[21]=&amp;filter_traits[47060]=50734&amp;filter_traits[69787]=&amp;filter_traits[73752]=</t>
  </si>
  <si>
    <t xml:space="preserve">Forgast</t>
  </si>
  <si>
    <t xml:space="preserve">PC GN 1/2 Höhe 150 mm schwarz</t>
  </si>
  <si>
    <t xml:space="preserve">'jetzt' price; regular 10.35</t>
  </si>
  <si>
    <t xml:space="preserve">https://www.allpax.at/product_info.php/info/PC-GN-1-2-Hoehe-150-mm-schwarz.html</t>
  </si>
  <si>
    <t xml:space="preserve">Vogue GN-Behälter 1/2 Polycarbonat - Tiefe 150 mm</t>
  </si>
  <si>
    <t xml:space="preserve">Sale price (normal 11.89); min. qty 4. Schneider equivalent 17.39</t>
  </si>
  <si>
    <t xml:space="preserve">https://www.gastro-hero.at/products/vogue-gn-behaelter-12-polycarbonat-tiefe-150-mm-u230</t>
  </si>
  <si>
    <t xml:space="preserve">Hendi Gastronorm-Behälter 1/2, GN 1/2, 9,5L, Transparent, 325x265x(H)150mm – Polycarbonat</t>
  </si>
  <si>
    <t xml:space="preserve">https://www.gastrodax.de/hendi-gastronorm-behaelter-gn-1-2-9-5-l-polykarbonat-transparent-325-x-265-x-h-150-mm</t>
  </si>
  <si>
    <t xml:space="preserve">Vogue Polycarbonat GN-Behälter GN1/2 150mm</t>
  </si>
  <si>
    <t xml:space="preserve">https://www.gastroladen.at/3020@GN-U230/Vogue-Polycarbonat-GN-Beh%C3%A4lter-GN1-2-150mm.htm</t>
  </si>
  <si>
    <t xml:space="preserve">Gastronorm Behälter GN 1/2 GN 96 BLACK Polycarbonat schwarz H 150 mm</t>
  </si>
  <si>
    <t xml:space="preserve">Black PC; gross 12.20</t>
  </si>
  <si>
    <t xml:space="preserve">https://www.intergastro.at/gastronorm-behaelter-gn-1-2-gn-96-black-polycarbonat-schwarz-h-150-mm-1016774</t>
  </si>
  <si>
    <t xml:space="preserve">Stalgast ARAVEN Gastronormbehälter mit Deckel, Polypropylen, GN 1/2 (150 mm)</t>
  </si>
  <si>
    <t xml:space="preserve">Polypropylene (not polycarbonate) and includes lid; no PC GN 1/2 150 mm found</t>
  </si>
  <si>
    <t xml:space="preserve">https://www.jh-profishop.at/p/stalgast-araven-gastronormbehaelter-mit-deckel-polypropylen-gn-1-2-150-mm-928334-347849/</t>
  </si>
  <si>
    <t xml:space="preserve">Stalgast / Araven</t>
  </si>
  <si>
    <t xml:space="preserve">GN-Behälter - GN 1/2 (325 x 265 mm) - 150 mm - Inhalt 9,0 l - Polycarbonat</t>
  </si>
  <si>
    <t xml:space="preserve">Regular price 17.20</t>
  </si>
  <si>
    <t xml:space="preserve">https://shopbuero.com/gn-behaelter-gn-1-2-325-x-265-mm-150-mm-inhalt-9-0-l-polycarbonat/530112-C</t>
  </si>
  <si>
    <t xml:space="preserve">https://www.allpax.de/product_info.php/info/PC-GN-1-2-Hoehe-150-mm-schwarz.html</t>
  </si>
  <si>
    <t xml:space="preserve">(6 Stück) CAMBRO CAMVIEW Copolymer-Behälter GN 1/2 - Höhe 150mm - BPA-frei</t>
  </si>
  <si>
    <t xml:space="preserve">Copolyester (Tritan-type), not polycarbonate; no PC GN 1/2 150 mm found in GGM sitemap</t>
  </si>
  <si>
    <t xml:space="preserve">https://www.ggmgastro.com/de-de-eur/6-stueck-cambro-camview-r-copolymer-behaelter-gn-1-2-transparent-hoehe-150mm-bpa-frei-26cv135</t>
  </si>
  <si>
    <t xml:space="preserve">Min. qty 4. (Schneider equivalent available too)</t>
  </si>
  <si>
    <t xml:space="preserve">https://www.gastro-hero.de/products/vogue-gn-behaelter-12-polycarbonat-tiefe-150-mm-u230</t>
  </si>
  <si>
    <t xml:space="preserve">https://www.gastroladen.de/3020@GN-U230/Vogue-Polycarbonat-GN-Beh%C3%A4lter-GN1-2-150mm.htm</t>
  </si>
  <si>
    <t xml:space="preserve">Black PC</t>
  </si>
  <si>
    <t xml:space="preserve">https://www.intergastro.de/gastronorm-behaelter-gn-1-2-gn-96-black-polycarbonat-schwarz-h-150-mm-1016774</t>
  </si>
  <si>
    <t xml:space="preserve">Vogue Polycarbonat GN-Behälter 1/2, 150mm, transparent</t>
  </si>
  <si>
    <t xml:space="preserve">Reduced web price (UVP 12.19, -52%)</t>
  </si>
  <si>
    <t xml:space="preserve">https://www.nisbets.de/vogue-polycarbonat-gn-behlter-150mm/u230</t>
  </si>
  <si>
    <t xml:space="preserve">(6 ks) CAMBRO Camview – kopolymerové nádoby GN 1/2 – průhledné – výška: 150 mm – bez BPA</t>
  </si>
  <si>
    <t xml:space="preserve">CLOSE</t>
  </si>
  <si>
    <t xml:space="preserve">Net CZK price as displayed; page footnote: "* čistá cena | hrubá cena vč. 19% DPH" (German VAT 19% used on the CZ storefront). SKU 26CV135, pack of 6; copolymer (Camview), not polycarbonate - no clear PC GN 1/2 150 mm listed. Gross 1,737.52 CZK; in stock 3-5 days.</t>
  </si>
  <si>
    <t xml:space="preserve">https://www.ggmgastro.com/cs-cz-czk/6-ks-cambro-camview-r-kopolymerove-nadoby-gn-1-2-pruhledne-vyska-150-mm-bez-bpa-26cv135</t>
  </si>
  <si>
    <t xml:space="preserve">Gastronádoba PC 1/2 150</t>
  </si>
  <si>
    <t xml:space="preserve">Code 0835123; 326.70 CZK incl. VAT; availability "Na dotaz"</t>
  </si>
  <si>
    <t xml:space="preserve">https://eshop.gastronovotny.cz/gastronadoba-pc-1-2-150--0835123/</t>
  </si>
  <si>
    <t xml:space="preserve">Gastronádoba GN 1/2 polykarbonátová 150 mm | REDFOX, GNP-1/2-150</t>
  </si>
  <si>
    <t xml:space="preserve">PC, 9.2 l; 289 CZK incl.; availability 5 days. (APS 82116 at 132 excl. is named polycarbonate but its parameters say polypropylene - conflicting, not used.)</t>
  </si>
  <si>
    <t xml:space="preserve">https://www.gastromania.cz/kuchynsky-inventar/gastronadoba-gn-1-2-polykarbonatova-150-mm-redfox-gnp-1-2-150</t>
  </si>
  <si>
    <t xml:space="preserve">Redfox</t>
  </si>
  <si>
    <t xml:space="preserve">ARAVEN Gastronádoba GN 1/2, polykarbonát, Hloubka: 150 mm, Objem: 8 L</t>
  </si>
  <si>
    <t xml:space="preserve">383.47 CZK bez DPH; to order 3-5 weeks. In-stock alternative: Pujadas GN 1/2 PC 150 mm 630 CZK.</t>
  </si>
  <si>
    <t xml:space="preserve">https://www.gastrozone.cz/araven-gn-nadoba-1-2-polykarbonat-hloubka-150-mm-objem-8-l.html</t>
  </si>
  <si>
    <t xml:space="preserve">Gastronádoba polykarbonátová GN 1/2 150 mm</t>
  </si>
  <si>
    <t xml:space="preserve">Code R-M212150; 294 CZK bez DPH; in stock</t>
  </si>
  <si>
    <t xml:space="preserve">https://www.tomgast.cz/gastronadoba-polykarbonatova-gn-1-2-150-mm-2/</t>
  </si>
  <si>
    <t xml:space="preserve">Polykarbonátová gastronádoba GN1/2 150 mm | CONTACTO, 8212/150</t>
  </si>
  <si>
    <t xml:space="preserve">Listed 'Cena bez DPH' 16.15 EUR / 'Cena s DPH' 19.86 EUR. PC, GN 1/2, 150 mm, 9 l. Promo price; base 17,94 / 22,07. Availability 30 days.</t>
  </si>
  <si>
    <t xml:space="preserve">https://gastromania.sk/gastronadoby-polykarbonatove/polykarbonatova-gastronadoba-gn1-2-150-mm-contacto-8212-150</t>
  </si>
  <si>
    <t xml:space="preserve">ARAVEN Gastronádoba GN 1/2, polykarbonát, hĺbka: 150 mm, objem: 8 L</t>
  </si>
  <si>
    <t xml:space="preserve">Page shows 18,73 EUR / 15,23 EUR bez DPH. Availability: to order (3-5 weeks).</t>
  </si>
  <si>
    <t xml:space="preserve">https://www.gastrozone.sk/araven-gn-nadoba-1-2-polykarbonat-hloubka-150-mm-objem-8-l.html</t>
  </si>
  <si>
    <t xml:space="preserve">GN 1/3 100 - Polypropylene</t>
  </si>
  <si>
    <t xml:space="preserve">Source sheet: GN Containers; size: GN 1/3 100; material: Polypropylene</t>
  </si>
  <si>
    <t xml:space="preserve">https://www.attase.hu/konyhai-eszkozok/gn-edeny/polipropilen-gn-edenyek</t>
  </si>
  <si>
    <t xml:space="preserve">https://hunniakristaly.hu/nagy-konyha/gn-edenyek-rozsdamentes-acelbol-polipropilenb-l-polikarbonat/gn-edenyek-polipropilenb-l</t>
  </si>
  <si>
    <t xml:space="preserve">GN 1/3 100mm - Polypropylene</t>
  </si>
  <si>
    <t xml:space="preserve">PP</t>
  </si>
  <si>
    <t xml:space="preserve">https://www.gastrozone.ro/polipropilenice/marime=gn-1-3/</t>
  </si>
  <si>
    <t xml:space="preserve">Pujadas</t>
  </si>
  <si>
    <t xml:space="preserve">https://gastroprofesional.ro/accesorii-horeca/tavi-si-cuve-profesionale/tavi-gn-si-capace-polipropilena?q=Standard+t%C4%83vi+%5C/+recipiente-GN+1%5C/3</t>
  </si>
  <si>
    <t xml:space="preserve">Stalgast</t>
  </si>
  <si>
    <t xml:space="preserve">https://mmgastro.ro/ro/menu/categorii/vase-gastronomice/vase-gn-din-polipropilena-11725?filter_text=&amp;filter_producer=&amp;filter_price=&amp;filter_traits[47062]=72558&amp;filter_traits[47060]=&amp;filter_traits[47034]=&amp;filter_traits[69787]=&amp;filter_traits[73752]=</t>
  </si>
  <si>
    <t xml:space="preserve">Araven GN1/3 Lebensmittelbehälter blau 100 mm</t>
  </si>
  <si>
    <t xml:space="preserve">Polypropylene, colour-coded blue; sale price (normal 18.59)</t>
  </si>
  <si>
    <t xml:space="preserve">https://www.gastro-hero.at/products/araven-gn13-lebensmittelbehaelter-blau-100-mm-gp579</t>
  </si>
  <si>
    <t xml:space="preserve">Hendi Gastronorm-Behälter 1/3, GN 1/3, 4L, Transparent, 325x176x(H)100mm – Polypropylen</t>
  </si>
  <si>
    <t xml:space="preserve">https://www.gastrodax.de/hendi-haccp-aufbewahrungsbehaelter-gn-1-3-4-l-transparent-325-x-176-x-h-100-mm</t>
  </si>
  <si>
    <t xml:space="preserve">Cambro Polypropylen GN 1/3 Behälter 100mm</t>
  </si>
  <si>
    <t xml:space="preserve">3.6 l</t>
  </si>
  <si>
    <t xml:space="preserve">https://www.gastroladen.at/3030@GN-DW504/Cambro-Polypropylen-GN-1-3-Beh%C3%A4lter-100mm.htm</t>
  </si>
  <si>
    <t xml:space="preserve">GN-Behälter GN 1/3 x 100 mm Kunststoff transparent-weiß (Polypropylen)</t>
  </si>
  <si>
    <t xml:space="preserve">Gross 12.00</t>
  </si>
  <si>
    <t xml:space="preserve">https://www.intergastro.at/gn-behaelter-gn-1-3-x-100-mm-kunststoff-transparent-weiss-251459</t>
  </si>
  <si>
    <t xml:space="preserve">Stalgast Gastronormbehälter, Polypropylen, GN 1/3 (100 mm)</t>
  </si>
  <si>
    <t xml:space="preserve">https://www.jh-profishop.at/p/stalgast-gastronormbehaelter-polypropylen-gn-1-3-100-mm-928342-347857/</t>
  </si>
  <si>
    <t xml:space="preserve">GN-Behälter - Inhalt 3,8 l - GN 1/3 (325 x 176 mm) - 100 mm - Polypropylen</t>
  </si>
  <si>
    <t xml:space="preserve">Regular price 6.90</t>
  </si>
  <si>
    <t xml:space="preserve">https://shopbuero.com/gn-behaelter-inhalt-3-8-l-gn-1-3-325-x-176-mm-100-mm-polypropylen/530021-C</t>
  </si>
  <si>
    <t xml:space="preserve">(12 Stück) Polypropylen-Behälter GN 1/3 - Milchig - Höhe: 100mm</t>
  </si>
  <si>
    <t xml:space="preserve">The 6-piece version of the same item is listed at 174.99 net (looks like a listing error; not used)</t>
  </si>
  <si>
    <t xml:space="preserve">https://www.ggmgastro.com/de-de-eur/12-stueck-polypropylen-behaelter-gn-1-3-milchig-hoehe-100mm-gpp13100</t>
  </si>
  <si>
    <t xml:space="preserve">set of 12</t>
  </si>
  <si>
    <t xml:space="preserve">Polypropylene, colour-coded blue</t>
  </si>
  <si>
    <t xml:space="preserve">https://www.gastro-hero.de/products/araven-gn13-lebensmittelbehaelter-blau-100-mm-gp579</t>
  </si>
  <si>
    <t xml:space="preserve">https://www.gastroladen.de/3030@GN-DW504/Cambro-Polypropylen-GN-1-3-Beh%C3%A4lter-100mm.htm</t>
  </si>
  <si>
    <t xml:space="preserve">https://www.intergastro.de/gn-behaelter-gn-1-3-x-100-mm-kunststoff-transparent-weiss-251459</t>
  </si>
  <si>
    <t xml:space="preserve">Cambro Polypropylen GN 1/3 Gastronorm-Behälter 100mm</t>
  </si>
  <si>
    <t xml:space="preserve">UVP 4.59; Nisbets Essentials HZ340 same spec 4.09</t>
  </si>
  <si>
    <t xml:space="preserve">https://www.nisbets.de/cambro-polypropylen-gn-13-behlter-100mm/dw504</t>
  </si>
  <si>
    <t xml:space="preserve">(12 ks) Gastronádoba polypropylen GN 1/3 - Mléčná - Výška: 100 mm</t>
  </si>
  <si>
    <t xml:space="preserve">Net CZK price as displayed; page footnote: "* čistá cena | hrubá cena vč. 19% DPH" (German VAT 19% used on the CZ storefront). SKU GPP13100, pack of 12 (3.6 l); gross 1,158.25 CZK. A 6-pack SKU GPP13100#6 is listed at 4,040.03 CZK net (anomalous, ~8x the per-piece price) - not used.</t>
  </si>
  <si>
    <t xml:space="preserve">https://www.ggmgastro.com/cs-cz-czk/12-ks-gastronadoba-polypropylen-gn-1-3-mlecna-vyska-100-mm-gpp13100</t>
  </si>
  <si>
    <t xml:space="preserve">Gastronádoba 1/3 100 polypropylen</t>
  </si>
  <si>
    <t xml:space="preserve">Code 1814707-10; 325x180x100 mm, 3.6 l; 121 CZK incl. VAT; in stock</t>
  </si>
  <si>
    <t xml:space="preserve">https://eshop.gastronovotny.cz/gastronadoba-1-3-100-polypropylen-/</t>
  </si>
  <si>
    <t xml:space="preserve">Gastronádoba GN 1/3 - 100 polypropylenová | REDFOX, GNPP 1/3-100</t>
  </si>
  <si>
    <t xml:space="preserve">PP, 4 l; 120 CZK incl.; availability 5 days; new item.</t>
  </si>
  <si>
    <t xml:space="preserve">https://www.gastromania.cz/gastronadoby-polypropylenove/gastronadoba-gn-1-3-100-polypropylenova-redfox-gnpp-1-3-100</t>
  </si>
  <si>
    <t xml:space="preserve">APS GN-nádoba polypropylen, GN 1/3, objem: 3,60 litru, hloubka: 100 mm</t>
  </si>
  <si>
    <t xml:space="preserve">148.76 CZK bez DPH; to order 3-5 weeks. In-stock alternative: Pujadas GN 1/3 PP 100 mm 196 CZK.</t>
  </si>
  <si>
    <t xml:space="preserve">https://www.gastrozone.cz/aps-gn-nadoba-z-polypropylenu-gn-1-3-objem-3-60-litru-hloubka-100-mm.html</t>
  </si>
  <si>
    <t xml:space="preserve">Gastronádoba polypropylenová GN 1/3 100 mm</t>
  </si>
  <si>
    <t xml:space="preserve">Code R-MP13100; 118 CZK bez DPH; in stock</t>
  </si>
  <si>
    <t xml:space="preserve">https://www.tomgast.cz/gastronadoba-polypropylenova-gn-1-3-100-mm-2/</t>
  </si>
  <si>
    <t xml:space="preserve">Gastronádoba z polypropylénu GN 1/3, 100 mm | CONTACTO, 5013/100</t>
  </si>
  <si>
    <t xml:space="preserve">Listed 'Cena bez DPH' 17.61 EUR / 'Cena s DPH' 21.66 EUR. PP, GN 1/3, 100 mm, 4 l, but sold WITH lid and colour clips (container-only price not shown). Promo; base 19,57 / 24,07. Stock 1-2 pcs.</t>
  </si>
  <si>
    <t xml:space="preserve">https://gastromania.sk/gastronadoby-polypropylenove/gastronadoba-z-polypropylenu-gn-1-3-100-mm-contacto-5013-100</t>
  </si>
  <si>
    <t xml:space="preserve">Gastro nádoba GN 1/3 176x325 mm, polypropylén, výška 100 mm</t>
  </si>
  <si>
    <t xml:space="preserve">White PP, 100 mm high per description. Page shows 7,84 EUR / 6,37 EUR bez DPH. In stock.</t>
  </si>
  <si>
    <t xml:space="preserve">https://www.gastrozone.sk/pujadas-gastro-nadoba-gn-1-3-polyprepylen-v-100-mm-176x325-mm.html</t>
  </si>
  <si>
    <t xml:space="preserve">Vollrath Pujadas</t>
  </si>
  <si>
    <t xml:space="preserve">GN 1/1 Polypropylene Lid</t>
  </si>
  <si>
    <t xml:space="preserve">2026-09-07 00:00:00</t>
  </si>
  <si>
    <t xml:space="preserve">https://direca.ro/?s=capac+din+polipropilena+gn+1%2F1&amp;post_type=product&amp;type_aws=true</t>
  </si>
  <si>
    <t xml:space="preserve">GN size and lid material agree.</t>
  </si>
  <si>
    <t xml:space="preserve">2026-09-03 00:00:00</t>
  </si>
  <si>
    <t xml:space="preserve">https://www.hendi.ro/capac-gastronorm-gn-1-1-polipropilena-hendi</t>
  </si>
  <si>
    <t xml:space="preserve">https://mmgastro.ro/ro/search?text=capac+gn+1%2F1</t>
  </si>
  <si>
    <t xml:space="preserve">Schneider PP GN 1/1 Deckel, einrastend</t>
  </si>
  <si>
    <t xml:space="preserve">Min. qty 4</t>
  </si>
  <si>
    <t xml:space="preserve">https://www.gastro-hero.at/products/schneider-pp-gn-11-deckel-einrastend-530005</t>
  </si>
  <si>
    <t xml:space="preserve">Hendi Gastronorm-Deckel, GN 1/1, Transparent, 530x325mm</t>
  </si>
  <si>
    <t xml:space="preserve">Lid for Hendi polypropylene GN containers; lid material not explicitly stated</t>
  </si>
  <si>
    <t xml:space="preserve">https://www.gastrodax.de/hendi-gastronorm-deckel-gn-1-1-transparent-530-x-325-mm</t>
  </si>
  <si>
    <t xml:space="preserve">Cambro biegsamer Polypropylen Deckel GN 1/1</t>
  </si>
  <si>
    <t xml:space="preserve">Flexible PP lid with seal</t>
  </si>
  <si>
    <t xml:space="preserve">https://www.gastroladen.at/3030@GN-DM743/Cambro-biegsamer-Polypropylen-Deckel-GN-1-1.htm</t>
  </si>
  <si>
    <t xml:space="preserve">GN Deckel GN 89 GN 1/1 Polypropylen weiß</t>
  </si>
  <si>
    <t xml:space="preserve">Gross 9.00</t>
  </si>
  <si>
    <t xml:space="preserve">https://www.intergastro.at/gn-deckel-gn-89-gn-1-1-polypropylen-weiss-252554</t>
  </si>
  <si>
    <t xml:space="preserve">GN-Deckel - einrastend - GN 1/1 (530 x 325 mm) - Polypropylen</t>
  </si>
  <si>
    <t xml:space="preserve">Regular price 7.65. APS PP lid 82101-B: 4.20</t>
  </si>
  <si>
    <t xml:space="preserve">https://shopbuero.com/gn-deckel-einrastend-gn-1-1-530-x-325-mm-polypropylen/530005-C</t>
  </si>
  <si>
    <t xml:space="preserve">(12 Stück) Polypropylen-Deckel GN 1/1 - Milchig - mit 24 Codierclips</t>
  </si>
  <si>
    <t xml:space="preserve">Title says 12 pcs but spec table says 'Set Menge 6 Stk' - conflicting; if 6 pcs, net/pc would be 4.67</t>
  </si>
  <si>
    <t xml:space="preserve">https://www.ggmgastro.com/de-de-eur/12-stueck-polypropylen-deckel-gn-1-1-milchig-mit-24-codierclips-gppl11-12</t>
  </si>
  <si>
    <t xml:space="preserve">set of 12 (per title)</t>
  </si>
  <si>
    <t xml:space="preserve">Existing benchmark assignment and match quality retained. Live check 2 Oct 2026: title "12 Stück" but spec table "Set Menge: 6 Stk" — if 6, net/pc = 4.67 €; available from 19.10.2026.</t>
  </si>
  <si>
    <t xml:space="preserve">https://www.gastro-hero.de/products/schneider-pp-gn-11-deckel-einrastend-530005</t>
  </si>
  <si>
    <t xml:space="preserve">https://www.gastroladen.de/3030@GN-DM743/Cambro-biegsamer-Polypropylen-Deckel-GN-1-1.htm</t>
  </si>
  <si>
    <t xml:space="preserve">https://www.intergastro.de/gn-deckel-gn-89-gn-1-1-polypropylen-weiss-252554</t>
  </si>
  <si>
    <t xml:space="preserve">Nisbets Essentials Gastronorm-Deckel 1/1 aus Polypropylen, transparent</t>
  </si>
  <si>
    <t xml:space="preserve">UVP 6.49; Cambro soft-seal PP lid DM743: 6.09</t>
  </si>
  <si>
    <t xml:space="preserve">https://www.nisbets.de/nisbets-essentials-gastronorm-deckel-1zu1-aus-polypropylenkma-transparent/fa826</t>
  </si>
  <si>
    <t xml:space="preserve">Nisbets Essentials</t>
  </si>
  <si>
    <t xml:space="preserve">(6 kusů) CAMBRO SafeTrak - Polypropylenové víko GN 1/1 - červené</t>
  </si>
  <si>
    <t xml:space="preserve">Net CZK price as displayed; page footnote: "* čistá cena | hrubá cena vč. 19% DPH" (German VAT 19% used on the CZ storefront). SKU 10PPCWSC544, PP, pack of 6; gross 955.50 CZK; in stock. GGM own-brand PP lid GPPL11-12 (717.76 CZK) has conflicting pack size (title 12 pcs, specs 6 pcs) and is available only from 19.10.2026 - not used.</t>
  </si>
  <si>
    <t xml:space="preserve">https://www.ggmgastro.com/cs-cz-czk/6-kusu-cambro-safetrak-polypropylenove-viko-gn-1-1-cervene-10ppcwsc544</t>
  </si>
  <si>
    <t xml:space="preserve">Víko 1/1 polypropylen barevné</t>
  </si>
  <si>
    <t xml:space="preserve">Code 1814722-11; PP lid 530x325 mm, coloured; 127.05 CZK incl. VAT. Alternative: Víko 1/1 polypropylen PIAZZA 119.01 CZK excl.</t>
  </si>
  <si>
    <t xml:space="preserve">https://eshop.gastronovotny.cz/viko-1-1-polypropylen-barevne--1814722-11/</t>
  </si>
  <si>
    <t xml:space="preserve">Víko na nádobu GN 1/1 | APS, 82101</t>
  </si>
  <si>
    <t xml:space="preserve">PP lid 530x325; 117 CZK incl. Discounted from 190 excl. / 230 incl. (30-day low 207); availability 21 days. Regular-priced alternative: Redfox VPP 1/1 99 excl. / 120 incl.</t>
  </si>
  <si>
    <t xml:space="preserve">https://www.gastromania.cz/vika-gn-polypropylenove/viko-na-nadobu-gn-1-1-aps-82101</t>
  </si>
  <si>
    <t xml:space="preserve">víko na gastronádobu GN 1/1 polypropylen Pujadas</t>
  </si>
  <si>
    <t xml:space="preserve">289.26 CZK bez DPH; in stock</t>
  </si>
  <si>
    <t xml:space="preserve">https://www.gastrozone.cz/viko-na-gastronadobu-gn-1-1-polypropylen-pujadas.html</t>
  </si>
  <si>
    <t xml:space="preserve">Těsnící víko pro gastronádobu GN 1/1</t>
  </si>
  <si>
    <t xml:space="preserve">Code R-MP11001 (seal cover for PC and PP containers). Product page states material "polykarbonát", not polypropylene - material differs/unclear. Page text "Cena uvedena za 1 kus/6 ks v balení": price read as per piece. 169 CZK bez DPH. No PP GN 1/1 lid found.</t>
  </si>
  <si>
    <t xml:space="preserve">https://www.tomgast.cz/tesnici-viko-pro-gastronadobu-gn-1-1/</t>
  </si>
  <si>
    <t xml:space="preserve">Veko z polypropylénu pre GN1/1 5511 | CONTACTO, 5511/532</t>
  </si>
  <si>
    <t xml:space="preserve">Listed 'Cena bez DPH' 8.46 EUR / 'Cena s DPH' 10.41 EUR. PP lid GN 1/1, no seal/cut-outs. Promo; base 9,10 / 11,19. In stock 5-9 pcs.</t>
  </si>
  <si>
    <t xml:space="preserve">https://gastromania.sk/veka-gn-polypropylenove/veko-z-polypropylenu-pre-gn1-1-5511-contacto-5511-532</t>
  </si>
  <si>
    <t xml:space="preserve">Veko ku gastronádobe 1/1 polypropylén</t>
  </si>
  <si>
    <t xml:space="preserve">PP lid for GN 1/1. Page shows 14,06 EUR / 11,43 EUR bez DPH. In stock.</t>
  </si>
  <si>
    <t xml:space="preserve">https://www.gastrozone.sk/pujadas-veko-ku-gastronadobe-1-1-polyprepylen.html</t>
  </si>
  <si>
    <t xml:space="preserve">Quetschflasche PE 0,45 l, mit Schraubdeckel, 6 Stück</t>
  </si>
  <si>
    <t xml:space="preserve">450 ml, polyethylene (not PP); site shows 1 pc = 1.42</t>
  </si>
  <si>
    <t xml:space="preserve">https://www.allpax.at/product_info.php/info/Quetschflasche-PE-0-45-l-mit-Schraubdeckel-6-St-uuml-ck.html</t>
  </si>
  <si>
    <t xml:space="preserve">Schneider PP Quetschflasche transparent 500 ml</t>
  </si>
  <si>
    <t xml:space="preserve">Min. qty 12</t>
  </si>
  <si>
    <t xml:space="preserve">https://www.gastro-hero.at/products/schneider-pp-quetschflasche-transparent-500-ml-200491</t>
  </si>
  <si>
    <t xml:space="preserve">Contacto Quetschflasche 0,5 l</t>
  </si>
  <si>
    <t xml:space="preserve">Polyethylene (not PP), bottom-fill FIFO type with silicone valve; sale price, normal 2.90</t>
  </si>
  <si>
    <t xml:space="preserve">https://www.gastrodax.de/contacto-quetschflasche-0-5-l</t>
  </si>
  <si>
    <t xml:space="preserve">Vogue Quetschflasche extra breit klar 454ml</t>
  </si>
  <si>
    <t xml:space="preserve">454 ml, polyethylene (not PP), wide neck, single nozzle; sold singly</t>
  </si>
  <si>
    <t xml:space="preserve">https://www.gastroladen.at/G16771B@GN-E092/Vogue-Quetschflasche-extra-breit-klar-454ml.htm</t>
  </si>
  <si>
    <t xml:space="preserve">Quetschflasche 490 ml transparent Ø 70 mm H 200 mm (6er Set)</t>
  </si>
  <si>
    <t xml:space="preserve">490 ml; material polyethylene (not PP); price per set of 6, gross 10.48</t>
  </si>
  <si>
    <t xml:space="preserve">https://www.intergastro.at/quetschflasche-490-ml-transparent-70-mm-h-200-mm-985062</t>
  </si>
  <si>
    <t xml:space="preserve">https://www.allpax.de/product_info.php/info/Quetschflasche-PE-0-45-l-mit-Schraubdeckel-6-St-uuml-ck.html</t>
  </si>
  <si>
    <t xml:space="preserve">Live 02.10.2026: Lieferbar ab KW 46/2026 (back-order)</t>
  </si>
  <si>
    <t xml:space="preserve">(12 Stück) Quetschflasche mit mittlerer Membran - 473ml</t>
  </si>
  <si>
    <t xml:space="preserve">473 ml, FIFO type with valve; material not stated</t>
  </si>
  <si>
    <t xml:space="preserve">https://www.ggmgastro.com/de-de-eur/12-stueck-quetschflasche-mit-mittlerer-membran-473ml-ffo-002</t>
  </si>
  <si>
    <t xml:space="preserve">https://www.gastro-hero.de/products/schneider-pp-quetschflasche-transparent-500-ml-200491</t>
  </si>
  <si>
    <t xml:space="preserve">https://www.gastroladen.de/G16771B@GN-E092/Vogue-Quetschflasche-extra-breit-klar-454ml.htm</t>
  </si>
  <si>
    <t xml:space="preserve">490 ml; material polyethylene (not PP); price per set of 6</t>
  </si>
  <si>
    <t xml:space="preserve">https://www.intergastro.de/quetschflasche-490-ml-transparent-70-mm-h-200-mm-985062</t>
  </si>
  <si>
    <t xml:space="preserve">Araven klare tropffreie Soßenflasche 50cl</t>
  </si>
  <si>
    <t xml:space="preserve">500 ml, polyethylene (not PP), drip-free valve; Vogue 454 ml (E092) no longer listed</t>
  </si>
  <si>
    <t xml:space="preserve">https://www.nisbets.de/araven-klare-tropffreie-soenflasche-50cl/cw112</t>
  </si>
  <si>
    <t xml:space="preserve">(12 ks) Stlačovací lahev na omáčky se středovou membránou - 473 ml</t>
  </si>
  <si>
    <t xml:space="preserve">Net CZK price as displayed; page footnote: "* čistá cena | hrubá cena vč. 19% DPH" (German VAT 19% used on the CZ storefront). SKU FFO-002, 473 ml, pack of 12, valve (membrane) nozzle; material NOT stated (flagged). Gross 1,476.85 CZK. 3-pack version with screw cap FFO-007: 486.54 CZK.</t>
  </si>
  <si>
    <t xml:space="preserve">https://www.ggmgastro.com/cs-cz-czk/12-ks-stlacovaci-lahev-na-omacky-se-stredovou-membranou-473-ml-ffo-002</t>
  </si>
  <si>
    <t xml:space="preserve">Láhev plastová dávkovací čirá 354ml</t>
  </si>
  <si>
    <t xml:space="preserve">354 ml instead of 500 ml; plastic type not stated. 35.09 CZK incl. VAT. Red variant same price. Largest squeeze bottle is a 708 ml "zdobící" (decorating) bottle, 39 CZK excl.</t>
  </si>
  <si>
    <t xml:space="preserve">https://eshop.gastronovotny.cz/lahev-plastova-davkovaci-cira-354ml--255046026/</t>
  </si>
  <si>
    <t xml:space="preserve">Láhev na omáčky, 0,475 ml | NEUMARKER, FIFO</t>
  </si>
  <si>
    <t xml:space="preserve">475 ml FIFO squeeze bottle (refilled from the bottom); material NOT stated (flagged). 425 CZK incl.; discounted from 370 excl.; availability 40 days. Standard PE bottles only in 350/400/700 ml (e.g. Tomgast 400 ml PE 48 excl.).</t>
  </si>
  <si>
    <t xml:space="preserve">https://www.gastromania.cz/davkovace-omacek/lahev-na-omacky-0-475-ml-neumarker-fifo</t>
  </si>
  <si>
    <t xml:space="preserve">Neumarker</t>
  </si>
  <si>
    <t xml:space="preserve">Dávkovací mačkací láhev Schneider 500 ml</t>
  </si>
  <si>
    <t xml:space="preserve">500 ml, single nozzle with closure; material polyethylene (not PP). 259 CZK bez DPH. Cheaper non-500 ml options exist (Hendi 0.35/0.7 l from 67 CZK).</t>
  </si>
  <si>
    <t xml:space="preserve">https://www.gastrozone.cz/lahev-mackaci-s-uzaviranim-0-5-l-odolna-od-40c-do-95c-transparentni-pro-styk-s-potravinama-schneider-10134.html</t>
  </si>
  <si>
    <t xml:space="preserve">Dávkovač na omáčky 400 ml</t>
  </si>
  <si>
    <t xml:space="preserve">400 ml instead of 500 ml AND polyethylene instead of PP. 48 CZK bez DPH. No 500 ml bottle listed (sizes 250/360/400/700/720/1025 ml).</t>
  </si>
  <si>
    <t xml:space="preserve">https://www.tomgast.cz/davkovac-na-omacky-400-ml/</t>
  </si>
  <si>
    <t xml:space="preserve">Laco</t>
  </si>
  <si>
    <t xml:space="preserve">Fľaša na omáčky, 0,475 ml | NEUMARKER, FIFO</t>
  </si>
  <si>
    <t xml:space="preserve">Listed 'Cena bez DPH' 13.68 EUR / 'Cena s DPH' 16.83 EUR. 475 ml FIFO squeeze bottle (refilled from the bottom); MATERIAL AND TIP TYPE NOT STATED. No 500 ml PP single-tip bottle found (HENDI/Stalgast bottles are 0,35/0,7 l). Promo; base 14,40 / 17,71. Availability 40 days.</t>
  </si>
  <si>
    <t xml:space="preserve">https://gastromania.sk/davkovace-omacok/flasa-na-omacky-0-475-ml-neumarker-fifo</t>
  </si>
  <si>
    <t xml:space="preserve">Dávkovacia mačkacia fľaša Schneider 500 ml</t>
  </si>
  <si>
    <t xml:space="preserve">Material polyethylene (not PP); single nozzle with cap. No PP 500 ml squeeze bottle found. Page shows 13,16 / 10,70 bez DPH.</t>
  </si>
  <si>
    <t xml:space="preserve">https://www.gastrozone.sk/fasa-mackacie-s-uzatvaranim-0-5-l-odolna-od-40c-do-95c-transparentne-pre-styk-s-potravinama-schneider-10313.html</t>
  </si>
  <si>
    <t xml:space="preserve">APS Quetschflasche, transparent, 1,025 L</t>
  </si>
  <si>
    <t xml:space="preserve">1025 ml, polyethylene (not PP); min. qty 2</t>
  </si>
  <si>
    <t xml:space="preserve">https://www.gastro-hero.at/products/aps-quetschflasche-transparent-1025-l-aps93259</t>
  </si>
  <si>
    <t xml:space="preserve">Contacto Quetschflasche 0,95 l</t>
  </si>
  <si>
    <t xml:space="preserve">950 ml, polyethylene, FIFO bottom-fill; sale price, normal 3.45</t>
  </si>
  <si>
    <t xml:space="preserve">https://www.gastrodax.de/contacto-quetschflasche-0-95-l</t>
  </si>
  <si>
    <t xml:space="preserve">Vogue Quetschflasche klar 990ml</t>
  </si>
  <si>
    <t xml:space="preserve">990 ml, polyethylene (not PP)</t>
  </si>
  <si>
    <t xml:space="preserve">https://www.gastroladen.at/G16771B@GN-W832/Vogue-Quetschflasche-klar-990ml.htm</t>
  </si>
  <si>
    <t xml:space="preserve">Quetschflasche 1025 ml transparent Ø 80 mm H 265 mm</t>
  </si>
  <si>
    <t xml:space="preserve">1025 ml; material polyethylene (not PP); gross 2.34</t>
  </si>
  <si>
    <t xml:space="preserve">https://www.intergastro.at/quetschflasche-1025-ml-transparent-80-mm-h-265-mm-985068</t>
  </si>
  <si>
    <t xml:space="preserve">(6 Stück) Quetschflasche mit mittlerer Membran - 946ml</t>
  </si>
  <si>
    <t xml:space="preserve">946 ml, FIFO type; material not stated</t>
  </si>
  <si>
    <t xml:space="preserve">https://www.ggmgastro.com/de-de-eur/6-stueck-quetschflasche-mit-mittlerer-membran-946ml-ffo-005</t>
  </si>
  <si>
    <t xml:space="preserve">https://www.gastro-hero.de/products/aps-quetschflasche-transparent-1025-l-aps93259</t>
  </si>
  <si>
    <t xml:space="preserve">https://www.gastroladen.de/G16771B@GN-W832/Vogue-Quetschflasche-klar-990ml.htm</t>
  </si>
  <si>
    <t xml:space="preserve">1025 ml; material polyethylene (not PP)</t>
  </si>
  <si>
    <t xml:space="preserve">https://www.intergastro.de/quetschflasche-1025-ml-transparent-80-mm-h-265-mm-985068</t>
  </si>
  <si>
    <t xml:space="preserve">Vogue Quetschflasche für Saucen und Dressings transparent 994ml</t>
  </si>
  <si>
    <t xml:space="preserve">994 ml, polyethylene (not PP); 1.49 each from 10 pcs</t>
  </si>
  <si>
    <t xml:space="preserve">https://www.nisbets.de/vogue-quetschflasche-klar-990ml/w832</t>
  </si>
  <si>
    <t xml:space="preserve">(6 ks) Stlačovací lahev na omáčky se středovou membránou - 946 ml - se šroubovacím uzávěrem a uzavírací čepičkou</t>
  </si>
  <si>
    <t xml:space="preserve">Net CZK price as displayed; page footnote: "* čistá cena | hrubá cena vč. 19% DPH" (German VAT 19% used on the CZ storefront). SKU FFO-005, 946 ml, pack of 6; material NOT stated (flagged). Gross 1,013.43 CZK. (APS 1,020 ml PE 6-pack 93259#6 shown as not available for the selected delivery country.)</t>
  </si>
  <si>
    <t xml:space="preserve">https://www.ggmgastro.com/cs-cz-czk/6-ks-stlacovaci-lahev-na-omacky-se-stredovou-membranou-946-ml-se-sroubovacim-uzaverem-a-uzaviraci-cepickou-ffo-005</t>
  </si>
  <si>
    <t xml:space="preserve">Zásobník na omáčku 1,025 l, bílý | APS, 93259</t>
  </si>
  <si>
    <t xml:space="preserve">1.025 l squeeze bottle with screw cap; polyethylene, not PP. 88 CZK incl.; discounted from 77 excl.; in stock.</t>
  </si>
  <si>
    <t xml:space="preserve">https://www.gastromania.cz/davkovace-omacek/zasobnik-na-omacku-1-025-l-bily-aps-93259</t>
  </si>
  <si>
    <t xml:space="preserve">Dávkovací mačkací láhev Schneider 1000 ml, transparentní</t>
  </si>
  <si>
    <t xml:space="preserve">1000 ml; material polyethylene (not PP). 369 CZK bez DPH.</t>
  </si>
  <si>
    <t xml:space="preserve">https://www.gastrozone.cz/schneider-davkovaci-mackaci-lahev-1000-ml-transparentni.html</t>
  </si>
  <si>
    <t xml:space="preserve">Dávkovač na omáčky 1025 ml, žlutý</t>
  </si>
  <si>
    <t xml:space="preserve">1025 ml; material only "plast" (plastic type not stated - flagged); single thin nozzle. 40 CZK bez DPH. Transparent/red variants same price but awaiting stock.</t>
  </si>
  <si>
    <t xml:space="preserve">https://www.tomgast.cz/davkovac-na-omacky-1025-ml--zluty/</t>
  </si>
  <si>
    <t xml:space="preserve">Dávkovač omáčok 1025 ml, žltý | TOM-GAST, MA-957</t>
  </si>
  <si>
    <t xml:space="preserve">Listed 'Cena bez DPH' 1.28 EUR / 'Cena s DPH' 1.57 EUR. Squeeze bottle 1025 ml, 275 x ø80 mm; MATERIAL NOT STATED (only 'plast'). Alternative: Contacto 1465/104 PE bottle 1 l (price not checked). In stock 25-99 pcs.</t>
  </si>
  <si>
    <t xml:space="preserve">https://gastromania.sk/davkovace-omacok/davkovac-omacok-1025-ml-zlty-tom-gast-ma-957</t>
  </si>
  <si>
    <t xml:space="preserve">Tom-Gast</t>
  </si>
  <si>
    <t xml:space="preserve">Dávkovacia mačkacia fľaša Schneider 1000 ml, transparentná</t>
  </si>
  <si>
    <t xml:space="preserve">Material polyethylene (not PP). Cheaper alternative: APS 1,025 l squeeze bottle 4,50 EUR (material not stated, to order). Page shows 18,72 / 15,22 bez DPH.</t>
  </si>
  <si>
    <t xml:space="preserve">https://www.gastrozone.sk/schneider-davkovaci-mackaci-lahev-1000-ml-transparentni.html</t>
  </si>
  <si>
    <t xml:space="preserve">Schneider Quetschflasche 950 ml, 3 Öffnungen</t>
  </si>
  <si>
    <t xml:space="preserve">Triple tip PP but 950 ml instead of 500 ml; sale price (normal 7.09); min. qty 8</t>
  </si>
  <si>
    <t xml:space="preserve">https://www.gastro-hero.at/products/schneider-quetschflasche-950-ml-3-oeffnungen-150621</t>
  </si>
  <si>
    <t xml:space="preserve">Vogue transparente Quetschflasche mit 3 Spritzdüsen 68cl</t>
  </si>
  <si>
    <t xml:space="preserve">Triple tip but 680 ml instead of 500 ml; smallest triple-tip offered</t>
  </si>
  <si>
    <t xml:space="preserve">https://www.gastroladen.at/G16771B@GN-CW725/Vogue-transparente-Quetschflasche-mit-3-Spritzd%C3%BCsen-68cl.htm</t>
  </si>
  <si>
    <t xml:space="preserve">Quetschflasche Kunststoff 950 ml 3 Öffnungen transparent</t>
  </si>
  <si>
    <t xml:space="preserve">Triple tip PP bottle but 950 ml instead of 500 ml; no 500 ml triple-tip found</t>
  </si>
  <si>
    <t xml:space="preserve">https://www.intergastro.at/quetschflasche-kunststoff-950-ml-3-oeffnungen-transparent-80-mm-h-291-mm-960754</t>
  </si>
  <si>
    <t xml:space="preserve">Triple tip PP but 950 ml instead of 500 ml; min. qty 8</t>
  </si>
  <si>
    <t xml:space="preserve">https://www.gastro-hero.de/products/schneider-quetschflasche-950-ml-3-oeffnungen-150621</t>
  </si>
  <si>
    <t xml:space="preserve">https://www.gastroladen.de/G16771B@GN-CW725/Vogue-transparente-Quetschflasche-mit-3-Spritzd%C3%BCsen-68cl.htm</t>
  </si>
  <si>
    <t xml:space="preserve">https://www.intergastro.de/quetschflasche-kunststoff-950-ml-3-oeffnungen-transparent-80-mm-h-291-mm-960754</t>
  </si>
  <si>
    <t xml:space="preserve">Vogue klare Quetschflasche mit 3 Düsen 681ml</t>
  </si>
  <si>
    <t xml:space="preserve">Triple tip but 681 ml instead of 500 ml</t>
  </si>
  <si>
    <t xml:space="preserve">https://www.nisbets.de/vogue-klare-quetschflasche-mit-3-dsen-24oz/cw725</t>
  </si>
  <si>
    <t xml:space="preserve">ARAVEN Mačkací láhev, LDPE, průměr: 80 mm, výška: 253 mm, objem: 0,75 L, 3 trysky</t>
  </si>
  <si>
    <t xml:space="preserve">Triple-tip squeeze bottle but 750 ml (not 500 ml); LDPE. 129 CZK bez DPH.</t>
  </si>
  <si>
    <t xml:space="preserve">https://www.gastrozone.cz/araven-lahvicka-na-stlaceni-ldpe-o-80-mm-vyska-253-mm-objem-0-75-l-3-trysky.html</t>
  </si>
  <si>
    <t xml:space="preserve">Not found</t>
  </si>
  <si>
    <t xml:space="preserve">No triple-tip squeeze bottle found (searches 'dávkovač omáčok 3 trysky', '3 otvory' returned no products).</t>
  </si>
  <si>
    <t xml:space="preserve">https://gastromania.sk/products/search/language:slo?q=d%C3%A1vkova%C4%8D+om%C3%A1%C4%8Dok+3+otvory</t>
  </si>
  <si>
    <t xml:space="preserve">ARAVEN Stláčacia fľaša, LDPE, ø 80 mm, výška 253 mm, objem 0,75 L, 3 trysky</t>
  </si>
  <si>
    <t xml:space="preserve">Triple tip, but 750 ml instead of 500 ml; LDPE. No 500 ml triple-tip bottle found. Page shows 6,54 / 5,32 bez DPH.</t>
  </si>
  <si>
    <t xml:space="preserve">https://www.gastrozone.sk/araven-lahvicka-na-stlaceni-ldpe-o-80-mm-vyska-253-mm-objem-0-75-l-3-trysky.html</t>
  </si>
  <si>
    <t xml:space="preserve">Dispenser with Stand 2.5 L</t>
  </si>
  <si>
    <t xml:space="preserve">INCOMPLETE</t>
  </si>
  <si>
    <t xml:space="preserve">https://www.hendi.ro/cofetarie-patiserie-si-cafenea/preparare-decorare</t>
  </si>
  <si>
    <t xml:space="preserve">Sauce-dispenser type and stand agree. Pump mechanism is not explicit in the source row.</t>
  </si>
  <si>
    <t xml:space="preserve">Dispenser with Stand 350mm</t>
  </si>
  <si>
    <t xml:space="preserve">https://gastroprofesional.ro/accesorii-horeca/servire/dispensere-sosuri?resultsPerPage=60&amp;q=Pret-lei-6.00-1024.90</t>
  </si>
  <si>
    <t xml:space="preserve">https://mmgastro.ro/ro/menu/categorii/vase-gastronomice/dozatoare-si-recipiente-pentru-sosuri-reci-11719</t>
  </si>
  <si>
    <t xml:space="preserve">https://pentrubar.ro/en/fast-food/1001-mayonnaise-pump-dispenser-25l-8681285507297.html</t>
  </si>
  <si>
    <t xml:space="preserve">Sauce-dispenser type and stand agree. Pump mechanism is not explicit in the source row. Live check 2 Oct 2026: gross 106.27 lei → net 87.83 lei; includes stand.</t>
  </si>
  <si>
    <t xml:space="preserve">Live 02.10.2026: only 3 left</t>
  </si>
  <si>
    <t xml:space="preserve">Saucenspender (für Senf, Ketchup, Mayonnaise), 2 l</t>
  </si>
  <si>
    <t xml:space="preserve">Sauce pump dispenser 2 l (17x14x15.5 cm); price shown for default 2 l size; stand not mentioned</t>
  </si>
  <si>
    <t xml:space="preserve">https://www.allpax.at/product_info.php/info/p12858_Saucenspender.html</t>
  </si>
  <si>
    <t xml:space="preserve">Hendi Pump-Saucenspender, 2,5L, Weiß</t>
  </si>
  <si>
    <t xml:space="preserve">ABS housing/stand with pump</t>
  </si>
  <si>
    <t xml:space="preserve">https://www.gastro-hero.at/products/hendi-pump-saucenspender-2-5l-wei-c3-9f-230x210x-h-250mm</t>
  </si>
  <si>
    <t xml:space="preserve">Hendi Pump-Saucenspender, 2,5L, Weiß, 230x210x(H)327mm</t>
  </si>
  <si>
    <t xml:space="preserve">ABS housing/stand with PP sauce container, lid and pump</t>
  </si>
  <si>
    <t xml:space="preserve">https://www.gastrodax.de/hendi-pump-sossenspender-weiss</t>
  </si>
  <si>
    <t xml:space="preserve">Araven Soßenspender GN 1/9 Transparent 1,5L</t>
  </si>
  <si>
    <t xml:space="preserve">PP pump dispenser 1.5 l; stand only included in 2-/3-piece sets (3-set with acrylic stand 157.90)</t>
  </si>
  <si>
    <t xml:space="preserve">https://www.gastroladen.at/3300@GN-CR821/Araven-So%C3%9Fenspender-GN-1-9-Transparent-1-5L.htm</t>
  </si>
  <si>
    <t xml:space="preserve">Druckknopf-Dosierspender rot 2 ltr Ø 98 mm H 440 mm</t>
  </si>
  <si>
    <t xml:space="preserve">Free-standing glass/stainless push-button sauce pump dispenser, 2 l; gross 112.39</t>
  </si>
  <si>
    <t xml:space="preserve">https://www.intergastro.at/druckknopf-dosierspender-rot-2-ltr-98-mm-h-440-mm-100247</t>
  </si>
  <si>
    <t xml:space="preserve">Dosierspender - mit Druckknopf - 18,0 x 14,5 x 29,0 cm - Inhalt 2,0 l - Polyethylen</t>
  </si>
  <si>
    <t xml:space="preserve">Push-button sauce pump dispenser 2 l, free-standing; regular price 49.20</t>
  </si>
  <si>
    <t xml:space="preserve">https://shopbuero.com/dosierspender-mit-druckknopf-18-0-x-14-5-x-29-0-cm-inhalt-2-0-l-polyethylen/154710-C</t>
  </si>
  <si>
    <t xml:space="preserve">https://www.allpax.de/product_info.php/info/p12858_Saucenspender.html</t>
  </si>
  <si>
    <t xml:space="preserve">Ketchup / Saucenspender - 2 Liter - Polypropylen - mit Pumpe</t>
  </si>
  <si>
    <t xml:space="preserve">210x220x210 mm, PP with pump</t>
  </si>
  <si>
    <t xml:space="preserve">https://www.ggmgastro.com/de-de-eur/ketchup-saucenspender-2-liter-polypropylen-mit-pumpe-ksp2</t>
  </si>
  <si>
    <t xml:space="preserve">https://www.gastro-hero.de/products/hendi-pump-saucenspender-2-5l-wei-c3-9f-230x210x-h-250mm</t>
  </si>
  <si>
    <t xml:space="preserve">PP pump dispenser 1.5 l; stand only included in 2-/3-piece sets (3-set with acrylic stand also offered)</t>
  </si>
  <si>
    <t xml:space="preserve">https://www.gastroladen.de/3300@GN-CR821/Araven-So%C3%9Fenspender-GN-1-9-Transparent-1-5L.htm</t>
  </si>
  <si>
    <t xml:space="preserve">Free-standing glass/stainless push-button sauce pump dispenser, 2 l</t>
  </si>
  <si>
    <t xml:space="preserve">https://www.intergastro.de/druckknopf-dosierspender-rot-2-ltr-98-mm-h-440-mm-100247</t>
  </si>
  <si>
    <t xml:space="preserve">Araven Soßenspender GN 1/9 Transparent 1,5Ltr</t>
  </si>
  <si>
    <t xml:space="preserve">PP pump dispenser 1.5 l, no stand; 3-piece set with stand (CR823) 111.99</t>
  </si>
  <si>
    <t xml:space="preserve">https://www.nisbets.de/araven-soenspender-gn-19-transparent-15l/cr821</t>
  </si>
  <si>
    <t xml:space="preserve">Dávkovač omáčky - 2 L - Vč. nerezového podstavce</t>
  </si>
  <si>
    <t xml:space="preserve">Net CZK price as displayed; page footnote: "* čistá cena | hrubá cena vč. 19% DPH" (German VAT 19% used on the CZ storefront). SKU SSH12: PP container with portion pump (30 ml adjustable) on stainless-steel stand. Gross 1,187.22 CZK. Stand-less pump dispenser KSP2 2 l: 681.25 CZK.</t>
  </si>
  <si>
    <t xml:space="preserve">https://www.ggmgastro.com/cs-cz-czk/davkovac-omacky-2-l-vc-nerezoveho-podstavce-ssh12</t>
  </si>
  <si>
    <t xml:space="preserve">Dávkovač na omáčky s pumpičkou 2,5 l, červený | HENDI, 203521</t>
  </si>
  <si>
    <t xml:space="preserve">Free-standing pump dispenser: ABS housing, PP inner container and removable pump, 2.5 l, 20 ml dose; separate stand not mentioned. 770 CZK incl.; in stock.</t>
  </si>
  <si>
    <t xml:space="preserve">https://www.gastromania.cz/davkovace-omacek/davkovac-na-omacky-s-pumpickou-2-5-l-cerveny-hendi-203521</t>
  </si>
  <si>
    <t xml:space="preserve">Dávkovač omáčky Contacto 3 l</t>
  </si>
  <si>
    <t xml:space="preserve">Countertop pump dispenser for ketchup/mustard, white PE, ~30 ml portion, sliding cover, removable pump; free-standing unit - separate stand not mentioned. 1,195 CZK bez DPH.</t>
  </si>
  <si>
    <t xml:space="preserve">https://www.gastrozone.cz/contacto-davkovac-omacky-3-l.html</t>
  </si>
  <si>
    <t xml:space="preserve">Dávkovač 1,5 l</t>
  </si>
  <si>
    <t xml:space="preserve">Push-button portion dispenser (30 ml dose), polyethylene, 1.5 l; no stand/base mentioned - not a pump-on-stand unit. 725 CZK bez DPH.</t>
  </si>
  <si>
    <t xml:space="preserve">https://www.tomgast.cz/davkovac-1-5-l/</t>
  </si>
  <si>
    <t xml:space="preserve">Polyproplylénový dávkovač omáčok, 1,5 l, 130x90x290 mm | CONTACTO, 1324/150</t>
  </si>
  <si>
    <t xml:space="preserve">Listed 'Cena bez DPH' 19.42 EUR / 'Cena s DPH' 23.89 EUR. PP pump sauce dispenser 1,5 l; no stand mentioned. (HENDI 557983 'Držiak na dávkovač omáčok 3x 0,7 l' is a stand for bottles, sold separately, not priced here.) Stock 1-2 pcs.</t>
  </si>
  <si>
    <t xml:space="preserve">https://gastromania.sk/davkovace-omacok/polyproplylenovy-davkovac-omacok-1-5-l-130x90x290-mm-contacto-1324-150</t>
  </si>
  <si>
    <t xml:space="preserve">ARAVEN Dávkovač omáčok GN 1/6, polypropylén, objem 2,6 L</t>
  </si>
  <si>
    <t xml:space="preserve">PP pump dispenser in a GN 1/6 container (2,6 l); no stand. Page shows 26,69 / 21,70 bez DPH. Alternative: Contacto 3 l free-standing PE portion dispenser for ketchup/mustard, 75,35 EUR.</t>
  </si>
  <si>
    <t xml:space="preserve">https://www.gastrozone.sk/araven-gn-davkovac-omacek-1-6-polypropylen-obsah-2-6-l.html</t>
  </si>
  <si>
    <t xml:space="preserve">Cutting Board 530 x 325 x 20 mm</t>
  </si>
  <si>
    <t xml:space="preserve">24.06.2026</t>
  </si>
  <si>
    <t xml:space="preserve">Source sheet: Cutting Boards</t>
  </si>
  <si>
    <t xml:space="preserve">https://www.attase.hu/spd/PE-53322-GR/Vagodeszka-muanyag-53x325x2-cm-Zold</t>
  </si>
  <si>
    <t xml:space="preserve">Dimensions agree. PE material and HACCP specification are not stated in the source row.</t>
  </si>
  <si>
    <t xml:space="preserve">Taha</t>
  </si>
  <si>
    <t xml:space="preserve">https://www.gasztronagyker.hu/vagolapok</t>
  </si>
  <si>
    <t xml:space="preserve">Dimensions agree. PE material and HACCP specification are not stated in the source row. Live check 2 Oct 2026: price confirmed; material PP → APPROX.</t>
  </si>
  <si>
    <t xml:space="preserve">https://hunniakristaly.hu/kereses?description=0&amp;keyword=muanyag+v%C3%A1g%C3%B3deszka&amp;filters=%7B%22category_id%22%3A3817%7D&amp;sort_order=price_asc</t>
  </si>
  <si>
    <t xml:space="preserve">530 x 325 x 20 mm</t>
  </si>
  <si>
    <t xml:space="preserve">2026-07-11 00:00:00</t>
  </si>
  <si>
    <t xml:space="preserve">PE</t>
  </si>
  <si>
    <t xml:space="preserve">https://www.stylehoreca.ro/catalog/tocatoare-105</t>
  </si>
  <si>
    <t xml:space="preserve">Dimensions and PE material agree. HACCP/colour coding is not stated.</t>
  </si>
  <si>
    <t xml:space="preserve">Schneidbrett PRO 53x32 W-R</t>
  </si>
  <si>
    <t xml:space="preserve">HDPE white, 20 mm plate, juice groove, 530x325x24 mm incl. feet</t>
  </si>
  <si>
    <t xml:space="preserve">https://www.allpax.at/product_info.php/info/Schneidbrett-PRO-53x32-W-R.html</t>
  </si>
  <si>
    <t xml:space="preserve">Bartscher</t>
  </si>
  <si>
    <t xml:space="preserve">Schneidbrett GN 1/1 - 53 x 32,5 x 1,5 cm - HDPE blau</t>
  </si>
  <si>
    <t xml:space="preserve">15 mm instead of 20 mm; sale price (normal 39.29)</t>
  </si>
  <si>
    <t xml:space="preserve">https://www.gastro-hero.at/products/schneidbrett-gn-1-1-53-x-32-5-x-1-5-cm-hdpe-blau</t>
  </si>
  <si>
    <t xml:space="preserve">Hendi Schneidbrett HACCP Gastronorm 1/1, Weiß, 530x325mm</t>
  </si>
  <si>
    <t xml:space="preserve">15 mm thick instead of 20 mm; all HACCP colours same price</t>
  </si>
  <si>
    <t xml:space="preserve">https://www.gastrodax.de/hendi-schneidbretter-haccp-gastronorm-1-1-gn-1-1-weiss-530-x-325-mm</t>
  </si>
  <si>
    <t xml:space="preserve">Bartscher Schneidbrett PRO 53x32 W-R</t>
  </si>
  <si>
    <t xml:space="preserve">PE, 20 mm plate, HACCP white, rubber feet (530x24x325 overall)</t>
  </si>
  <si>
    <t xml:space="preserve">https://www.gastroladen.at/2310@A120511/Bartscher-Schneidbrett-PRO-53x32-W-R.htm</t>
  </si>
  <si>
    <t xml:space="preserve">HACCP Schneidbrett Polyethylen weiß 530 x 325 mm H 20 mm</t>
  </si>
  <si>
    <t xml:space="preserve">White; other HACCP colours listed separately; gross 26.51</t>
  </si>
  <si>
    <t xml:space="preserve">https://www.intergastro.at/haccp-schneidbrett-polyethylen-weiss-530-mm-x-325-mm-h-20-mm-159115</t>
  </si>
  <si>
    <t xml:space="preserve">Stalgast Schneidbrett, HACCP, Farbe weiß, GN1/1, Stärke 15 mm</t>
  </si>
  <si>
    <t xml:space="preserve">15 mm instead of 20 mm; material polypropylene (not PE); all 6 HACCP colours same price</t>
  </si>
  <si>
    <t xml:space="preserve">https://www.jh-profishop.at/p/stalgast-schneidbrett-haccp-farbe-weiss-gn1-1-staerke-15-mm-927572-346785/</t>
  </si>
  <si>
    <t xml:space="preserve">HACCP Schneidbrett - GN 1/1 - weiß - 2,0 cm - Polyethylen</t>
  </si>
  <si>
    <t xml:space="preserve">Regular price 27.00</t>
  </si>
  <si>
    <t xml:space="preserve">https://shopbuero.com/haccp-schneidbrett-gn-1-1-weiss-2-0-cm-polyethylen/1830530-A</t>
  </si>
  <si>
    <t xml:space="preserve">https://www.allpax.de/product_info.php/info/Schneidbrett-PRO-53x32-W-R.html</t>
  </si>
  <si>
    <t xml:space="preserve">Schneidebrett - 325x530mm - HACCP-Konform - Weiß</t>
  </si>
  <si>
    <t xml:space="preserve">PE, 325x530x20 mm</t>
  </si>
  <si>
    <t xml:space="preserve">https://www.ggmgastro.com/de-de-eur/schneidebrett-325x530mm-haccp-konform-weiss-sbp53w</t>
  </si>
  <si>
    <t xml:space="preserve">15 mm instead of 20 mm</t>
  </si>
  <si>
    <t xml:space="preserve">https://www.gastro-hero.de/products/schneidbrett-gn-1-1-53-x-32-5-x-1-5-cm-hdpe-blau</t>
  </si>
  <si>
    <t xml:space="preserve">https://www.gastroladen.de/2310@A120511/Bartscher-Schneidbrett-PRO-53x32-W-R.htm</t>
  </si>
  <si>
    <t xml:space="preserve">White; other HACCP colours listed separately</t>
  </si>
  <si>
    <t xml:space="preserve">https://www.intergastro.de/haccp-schneidbrett-polyethylen-weiss-530-mm-x-325-mm-h-20-mm-159115</t>
  </si>
  <si>
    <t xml:space="preserve">Gastro M Schneidebrett GN1/1 braun</t>
  </si>
  <si>
    <t xml:space="preserve">HDPE 530x325 but 15 mm thick (not 20); out of stock; UVP 37.49</t>
  </si>
  <si>
    <t xml:space="preserve">https://www.nisbets.de/gastro-m-schneidebrett-braun/gn340</t>
  </si>
  <si>
    <t xml:space="preserve">Gastro M</t>
  </si>
  <si>
    <t xml:space="preserve">Krájecí deska - 325x530 mm - Dle HACCP - Bílá</t>
  </si>
  <si>
    <t xml:space="preserve">Net CZK price as displayed; page footnote: "* čistá cena | hrubá cena vč. 19% DPH" (German VAT 19% used on the CZ storefront). SKU SBP53W, PE, 325 x 530 x 20 mm, HACCP colours (same price red etc.). Gross 752.76 CZK.</t>
  </si>
  <si>
    <t xml:space="preserve">https://www.ggmgastro.com/cs-cz-czk/krajeci-deska-325x530-mm-dle-haccp-bila-sbp53w</t>
  </si>
  <si>
    <t xml:space="preserve">Deska polyethylen GN 1/1 53x32,5x2cm nožičky, PE-HD červená</t>
  </si>
  <si>
    <t xml:space="preserve">HDPE, feet, colours white/yellow/red/blue/green/brown/black; 1,318.90 CZK incl. VAT; availability "Na dotaz" (some colours 3-6 weeks)</t>
  </si>
  <si>
    <t xml:space="preserve">https://eshop.gastronovotny.cz/deska-polyethylen-gn-1-1--53x32-5x2cm--nozicky-pe-hd--cervena/</t>
  </si>
  <si>
    <t xml:space="preserve">Deska na krájení HACCP 530x325x25 mm, červená | CONTACTO, 1524/539</t>
  </si>
  <si>
    <t xml:space="preserve">PE, HACCP colours, anti-slip feet; 25 mm thick (no 20 mm PE GN 1/1 board found). 1,418 CZK incl.; availability 30 days. Thinner options: Hendi 530x325x15 (PE/PP conflicting) 523 excl.; Hendi 10 mm 297 excl.</t>
  </si>
  <si>
    <t xml:space="preserve">https://www.gastromania.cz/plastove-krajeci-desky-haccp/deska-na-krajeni-haccp-530x325x25-mm-cervena-contacto-1524-539</t>
  </si>
  <si>
    <t xml:space="preserve">Prkénko krájecí plastové 53x32,5x2 cm GN 1/1, s drážkou, červené</t>
  </si>
  <si>
    <t xml:space="preserve">530 x 325 x 20 mm, HACCP colours; material only "plast" (plastic type not stated - flagged); has juice groove and rubber feet. 1,265 CZK bez DPH.</t>
  </si>
  <si>
    <t xml:space="preserve">https://www.gastrozone.cz/gastro-prkenko-krajeci-plastove-53x32-5x2-cm-gn-1-1-s-drazkou-cervene.html</t>
  </si>
  <si>
    <t xml:space="preserve">Gastro</t>
  </si>
  <si>
    <t xml:space="preserve">Deska 500 × 325 × 20 mm, červená</t>
  </si>
  <si>
    <t xml:space="preserve">PE, colour range (white/red/blue/green/yellow/brown), anti-slip feet; 500 mm long, not GN 1/1 530 mm. 840 CZK bez DPH. No 530 x 325 PE board listed.</t>
  </si>
  <si>
    <t xml:space="preserve">https://www.tomgast.cz/deska-500--325--20-mm--cervena/</t>
  </si>
  <si>
    <t xml:space="preserve">Doska na krájanie HACCP GN 1/1 fialová | HENDI, 826065</t>
  </si>
  <si>
    <t xml:space="preserve">Listed 'Cena bez DPH' 20.35 EUR / 'Cena s DPH' 25.03 EUR. HDPE 500, 530x325 mm, HACCP (purple/allergen); thickness 15 mm per parameters (18 mm per description) instead of 20 mm; not dishwasher-safe. Alternative: Contacto 1515/530 HDPE 530x325x25 mm (price not checked).</t>
  </si>
  <si>
    <t xml:space="preserve">https://gastromania.sk/plastove-krajacie-dosky-haccp/doska-na-krajanie-haccp-gn-1-1-fialova-hendi-826065</t>
  </si>
  <si>
    <t xml:space="preserve">Doštička na krájanie plastová 53x32,5x2 cm GN 1/1, s drážkou, biela</t>
  </si>
  <si>
    <t xml:space="preserve">Size and thickness match; HACCP, sold in HACCP colours (white/yellow/red/blue/green/brown). MATERIAL NOT STATED (only 'plast') - PE not confirmed. Has juice groove and rubber feet. Board without groove/feet: 82,21 EUR.</t>
  </si>
  <si>
    <t xml:space="preserve">https://www.gastrozone.sk/gastro-dosticka-na-krajanie-plastova-53x32-5x2-cm-gn-1-1-s-drazkou-biela.html</t>
  </si>
  <si>
    <t xml:space="preserve">Cutting Board 600 x 400 x 20 mm</t>
  </si>
  <si>
    <t xml:space="preserve">https://www.gasztronagyker.hu/vagolap-60x40x2-cm-feher-polipropilen</t>
  </si>
  <si>
    <t xml:space="preserve">Dimensions agree. PE material and HACCP specification are not stated in the source row. Live check 2 Oct 2026: material PP, not PE; price corrected to 11 732 Ft net.</t>
  </si>
  <si>
    <t xml:space="preserve">Inox-Bázis</t>
  </si>
  <si>
    <t xml:space="preserve">https://www.inoxbazis.hu/search/?q=v%C3%A1g%C3%B3deszka</t>
  </si>
  <si>
    <t xml:space="preserve">https://www.inoxplaza.hu/kereses?description=0&amp;keyword=v%C3%A1g%C3%B3deszka&amp;filters=%7B%22category_id%22%3A1641%7D</t>
  </si>
  <si>
    <t xml:space="preserve">600 x 400 x 20 mm</t>
  </si>
  <si>
    <t xml:space="preserve">https://direca.ro/shop/tocator-universal-alb-hdpe-600x400x20-mm-anti-alunecare/?srsltid=AfmBOorH-yBTBjTCh3lkwc1rW-ej1emQm06WvwMVOHLnPb7BUe_g6egT</t>
  </si>
  <si>
    <t xml:space="preserve">HD</t>
  </si>
  <si>
    <t xml:space="preserve">2026-07-09 00:00:00</t>
  </si>
  <si>
    <t xml:space="preserve">https://www.fimax.ro/categorie/cutite-si-tocatoare-produse-de-igiena-si-depozitare/cutite-si-tocatoare-profesionale/tocatoare-bucatarie-profesionale/page/2/</t>
  </si>
  <si>
    <t xml:space="preserve">Fimar</t>
  </si>
  <si>
    <t xml:space="preserve">https://www.magora.ro/tocatoare-bucatarie?p=1</t>
  </si>
  <si>
    <t xml:space="preserve">https://mmgastro.ro/ro/menu/categorii/ustensile-de-bucatarie-si-aparate-mici/placi-de-taiere-11837?filter_text=&amp;filter_producer=&amp;filter_price=&amp;filter_traits[63]=&amp;filter_traits[80]=&amp;filter_traits[47260]=&amp;filter_traits[47300]=&amp;filter_traits[47034]=&amp;filter_traits[21]=&amp;filter_traits[65]=&amp;filter_traits[73752]=74615</t>
  </si>
  <si>
    <t xml:space="preserve">Schneidbrett farbig 600 x 400 x 20 mm</t>
  </si>
  <si>
    <t xml:space="preserve">600x400x20 mm, 5 colours, rubber feet; material not stated. Bartscher 60x40 white (16 mm) 34.61</t>
  </si>
  <si>
    <t xml:space="preserve">https://www.allpax.at/product_info.php/info/p30393_Schneidbrett-farbig-600-x-400-x-20-mm.html</t>
  </si>
  <si>
    <t xml:space="preserve">Schneidebrett Gastro-M 600x400 weiß</t>
  </si>
  <si>
    <t xml:space="preserve">600x400x20 mm; material not stated on page; sale price (normal 52.90)</t>
  </si>
  <si>
    <t xml:space="preserve">https://www.gastro-hero.at/products/schneidebrett-gastro-m-600x400-weiss-gn344</t>
  </si>
  <si>
    <t xml:space="preserve">Gastro-M</t>
  </si>
  <si>
    <t xml:space="preserve">Hendi Schneidbretter HACCP 600x400, Weiß</t>
  </si>
  <si>
    <t xml:space="preserve">18 mm thick instead of 20 mm</t>
  </si>
  <si>
    <t xml:space="preserve">https://www.gastrodax.de/hendi-schneidbretter-haccp-600-x-400-mm-weiss</t>
  </si>
  <si>
    <t xml:space="preserve">Bartscher Schneidbrett 60x40 W</t>
  </si>
  <si>
    <t xml:space="preserve">PE, 16 mm plate (20 mm incl. feet), HACCP white</t>
  </si>
  <si>
    <t xml:space="preserve">https://www.gastroladen.at/2310@A120592/Bartscher-Schneidbrett-60x40-W.htm</t>
  </si>
  <si>
    <t xml:space="preserve">Schneidbrett Polyethylen weiß mit Saftrille 600 x 400 mm</t>
  </si>
  <si>
    <t xml:space="preserve">20 mm thick, with juice groove; gross 42.06</t>
  </si>
  <si>
    <t xml:space="preserve">https://www.intergastro.at/schneidbrett-polyethylen-weiss-mit-saftrille-600-mm-x-400-mm-159019</t>
  </si>
  <si>
    <t xml:space="preserve">Stalgast Schneidbrett, HACCP, Farbe weiß, 600 x 400 x 18 mm</t>
  </si>
  <si>
    <t xml:space="preserve">18 mm instead of 20 mm; material PP (not PE); blue/yellow/green/brown 28.90</t>
  </si>
  <si>
    <t xml:space="preserve">https://www.jh-profishop.at/p/stalgast-schneidbrett-haccp-farbe-weiss-600-x-400-x-18-mm-bxtxh-928737-348334/</t>
  </si>
  <si>
    <t xml:space="preserve">https://www.allpax.de/product_info.php/info/p30393_Schneidbrett-farbig-600-x-400-x-20-mm.html</t>
  </si>
  <si>
    <t xml:space="preserve">Schneidebrett - EN 600x400 - HACCP-Konform - Weiß</t>
  </si>
  <si>
    <t xml:space="preserve">PE, 600x400x20 mm</t>
  </si>
  <si>
    <t xml:space="preserve">https://www.ggmgastro.com/de-de-eur/schneidebrett-en-600x400-haccp-konform-weiss-sbp46w</t>
  </si>
  <si>
    <t xml:space="preserve">600x400x20 mm; material not stated on page</t>
  </si>
  <si>
    <t xml:space="preserve">https://www.gastro-hero.de/products/schneidebrett-gastro-m-600x400-weiss-gn344</t>
  </si>
  <si>
    <t xml:space="preserve">https://www.gastroladen.de/2310@A120592/Bartscher-Schneidbrett-60x40-W.htm</t>
  </si>
  <si>
    <t xml:space="preserve">20 mm thick, with juice groove</t>
  </si>
  <si>
    <t xml:space="preserve">https://www.intergastro.de/schneidbrett-polyethylen-weiss-mit-saftrille-600-mm-x-400-mm-159019</t>
  </si>
  <si>
    <t xml:space="preserve">Gastro M HDPE Schneidebrett blau 60x40x2cm</t>
  </si>
  <si>
    <t xml:space="preserve">HDPE 600x400x20 mm. Hygiplas 600x450x12 mm HDPE (J017 etc.) 25.49</t>
  </si>
  <si>
    <t xml:space="preserve">https://www.nisbets.de/gastro-m-hdpe-schneidebrett-blau/gn348</t>
  </si>
  <si>
    <t xml:space="preserve">Krájecí deska - EN 600x400 - Dle HACCP - Bílá</t>
  </si>
  <si>
    <t xml:space="preserve">Net CZK price as displayed; page footnote: "* čistá cena | hrubá cena vč. 19% DPH" (German VAT 19% used on the CZ storefront). SKU SBP46W, PE, 600 x 400 x 20 mm, HACCP colours. Gross 854.13 CZK.</t>
  </si>
  <si>
    <t xml:space="preserve">https://www.ggmgastro.com/cs-cz-czk/krajeci-deska-en-600x400-dle-haccp-bila-sbp46w</t>
  </si>
  <si>
    <t xml:space="preserve">Deska polyethylen 60x40x2cm nožičky PE-HD -bílá</t>
  </si>
  <si>
    <t xml:space="preserve">HDPE, feet; colour range (white/yellow/red/green/brown/black); white is the lowest-priced colour; 1,633.50 CZK incl. VAT; white on order 3-6 weeks (red 1,460 CZK excl., in stock).</t>
  </si>
  <si>
    <t xml:space="preserve">https://eshop.gastronovotny.cz/deska-polyethylen-60x40x2cm-nozicky-pe-hd-bila/</t>
  </si>
  <si>
    <t xml:space="preserve">Krájecí deska 600x400x20 mm, červená | YATO, YG-02180</t>
  </si>
  <si>
    <t xml:space="preserve">PE, 20 mm, HACCP colours (white/red/blue/green/yellow/brown); 695 CZK incl.; availability 5 days.</t>
  </si>
  <si>
    <t xml:space="preserve">https://www.gastromania.cz/plastove-krajeci-desky-haccp/krajeci-deska-600x400x20-mm-cervena-yato-yg-02180</t>
  </si>
  <si>
    <t xml:space="preserve">Yato</t>
  </si>
  <si>
    <t xml:space="preserve">Prkénko krájecí plastové 60x40x3 cm, s drážkou, červené</t>
  </si>
  <si>
    <t xml:space="preserve">600 x 400 but 30 mm thick (no 20 mm version); material only "plast" (flagged); HACCP colours; white 2,003 CZK. 1,839 CZK bez DPH.</t>
  </si>
  <si>
    <t xml:space="preserve">https://www.gastrozone.cz/gastro-prkenko-krajeci-plastove-60x40x3-cm-s-drazkou-cervene.html</t>
  </si>
  <si>
    <t xml:space="preserve">Deska 600 × 400 × 20 mm, červená</t>
  </si>
  <si>
    <t xml:space="preserve">PE, colours white/red/blue/green/yellow/brown; 1,190 CZK bez DPH</t>
  </si>
  <si>
    <t xml:space="preserve">https://www.tomgast.cz/deska-600--400--20-mm--cervena/</t>
  </si>
  <si>
    <t xml:space="preserve">Doska na krájanie 600x400x20 mm, červená | BARTSCHER, 60x40 R</t>
  </si>
  <si>
    <t xml:space="preserve">Listed 'Cena bez DPH' 32.85 EUR / 'Cena s DPH' 40.41 EUR. PE, 600x400x20 mm, HACCP colour range (red/yellow/green/blue/brown/purple/white). Promo; base 36,50 / 44,90; lowest price in 30 days 41,03 s DPH. Availability 14 days.</t>
  </si>
  <si>
    <t xml:space="preserve">https://gastromania.sk/plastove-krajacie-dosky-haccp/doska-na-krajanie-600x400x20-mm-cervena-bartscher-60x40-r</t>
  </si>
  <si>
    <t xml:space="preserve">Doštička na krájanie plastová 60x40x3 cm, s drážkou, biela</t>
  </si>
  <si>
    <t xml:space="preserve">30 mm thick instead of 20 mm AND material not stated (only 'plast'); HACCP colours available. No 600x400x20 board found.</t>
  </si>
  <si>
    <t xml:space="preserve">https://www.gastrozone.sk/gastrodosticka-na-krajanie-plastova-60x40x3-cm-s-drazkou-biela.html</t>
  </si>
  <si>
    <t xml:space="preserve">300 x 200 x 10 mm</t>
  </si>
  <si>
    <t xml:space="preserve">2026-07-10 00:00:00</t>
  </si>
  <si>
    <t xml:space="preserve">https://direca.ro/shop/tocator-polietilena-negru-300x200x10-mm-cu-maner-pentru-taiere/?srsltid=AfmBOor5Vg-8ELcwb8UL1lYcw03O6M1ZpTThr3cpyBMi2G-Lw-x2tBXZ</t>
  </si>
  <si>
    <t xml:space="preserve">https://direca.ro/cutite-profesionale/tocator-bucatarie/</t>
  </si>
  <si>
    <t xml:space="preserve">https://www.hendi.ro/tocator-universal-hendi-alb-cu-maner-300x200x-h-10-mm-polietilena-hdpe-ambele-parti-potrivite-pentru-taiere</t>
  </si>
  <si>
    <t xml:space="preserve">https://www.magora.ro/tocatoare-bucatarie?srsltid=AfmBOoqBen1tJwZaOge4D1OEi_AYmELkZTfTEDjmRBzTsS683pdHwzVJ</t>
  </si>
  <si>
    <t xml:space="preserve">https://mmgastro.ro/ro/menu/categorii/ustensile-de-bucatarie-si-aparate-mici/placi-de-taiere-11837?filter_text=&amp;filter_producer=&amp;filter_price=&amp;filter_traits[63]=&amp;filter_traits[80]=&amp;filter_traits[47260]=&amp;filter_traits[47300]=&amp;filter_traits[47034]=&amp;filter_traits[21]=&amp;filter_traits[65]=&amp;filter_traits[73752]=74901</t>
  </si>
  <si>
    <t xml:space="preserve">Schneidbrett GN 1/2 - 32,5 x 26,5 x 1,2 cm - HDPE weiß</t>
  </si>
  <si>
    <t xml:space="preserve">325x265x12 mm (GN 1/2) vs 300x200x10; no 300x200 board found</t>
  </si>
  <si>
    <t xml:space="preserve">https://www.gastro-hero.at/products/schneidbrett-gn-1-2-32-5-x-26-5-x-1-2-cm-hdpe-weiss</t>
  </si>
  <si>
    <t xml:space="preserve">Hendi Schneidbrett mit Griff, Weiß, 300x200mm</t>
  </si>
  <si>
    <t xml:space="preserve">300x200x10 mm HDPE, with handle</t>
  </si>
  <si>
    <t xml:space="preserve">https://www.gastrodax.de/hendi-schneidbrett-mit-griff-weiss-300-x-200-mm</t>
  </si>
  <si>
    <t xml:space="preserve">Hygiplas HDPE kleines Schneidebrett weiß 300x225x12mm</t>
  </si>
  <si>
    <t xml:space="preserve">300x225x12 mm vs 300x200x10</t>
  </si>
  <si>
    <t xml:space="preserve">https://www.gastroladen.at/2310@GN-HC867/Hygiplas-HDPE-kleines-Schneidebrett-wei%C3%9F-300x-225x12mm.htm</t>
  </si>
  <si>
    <t xml:space="preserve">Hygiplas</t>
  </si>
  <si>
    <t xml:space="preserve">Schneidbrett Polyethylen weiß 300 x 200 mm H 15 mm</t>
  </si>
  <si>
    <t xml:space="preserve">15 mm thick instead of 10 mm; gross 10.49</t>
  </si>
  <si>
    <t xml:space="preserve">https://www.intergastro.at/schneidbrett-polyethylen-weiss-300-mm-x-200-mm-h-15-mm-158986</t>
  </si>
  <si>
    <t xml:space="preserve">Stalgast Schneidbrett, rutschfest 270x190x9 mm, schwarz</t>
  </si>
  <si>
    <t xml:space="preserve">270x190x9 mm, black non-slip board, not HACCP colour-coded</t>
  </si>
  <si>
    <t xml:space="preserve">https://www.jh-profishop.at/p/stalgast-schneidbrett-rutschfest-270x190x9-mm-schwarz-928715-348311/</t>
  </si>
  <si>
    <t xml:space="preserve">Schneidebrett - 250x400mm - HACCP-Konform - Weiß</t>
  </si>
  <si>
    <t xml:space="preserve">Smallest HACCP board offered: 250x400 mm (vs 300x200x10); thickness not stated</t>
  </si>
  <si>
    <t xml:space="preserve">https://www.ggmgastro.com/de-de-eur/schneidebrett-250x400mm-haccp-konform-weiss-sbp25w</t>
  </si>
  <si>
    <t xml:space="preserve">https://www.gastro-hero.de/products/schneidbrett-gn-1-2-32-5-x-26-5-x-1-2-cm-hdpe-weiss</t>
  </si>
  <si>
    <t xml:space="preserve">https://www.gastroladen.de/2310@GN-HC867/Hygiplas-HDPE-kleines-Schneidebrett-wei%C3%9F-300x-225x12mm.htm</t>
  </si>
  <si>
    <t xml:space="preserve">15 mm thick instead of 10 mm</t>
  </si>
  <si>
    <t xml:space="preserve">https://www.intergastro.de/schneidbrett-polyethylen-weiss-300-mm-x-200-mm-h-15-mm-158986</t>
  </si>
  <si>
    <t xml:space="preserve">300x225x12 mm vs 300x200x10; other colours 4.89-6.09</t>
  </si>
  <si>
    <t xml:space="preserve">https://www.nisbets.de/hygiplas-hdpe-kleines-schneidebrett-wei-300x-225x12mm/hc867</t>
  </si>
  <si>
    <t xml:space="preserve">Krájecí deska - EN 250x400 - Dle HACCP - Bílá</t>
  </si>
  <si>
    <t xml:space="preserve">Net CZK price as displayed; page footnote: "* čistá cena | hrubá cena vč. 19% DPH" (German VAT 19% used on the CZ storefront). Smallest HACCP board: 250 x 400 x 20 mm PE (vs 300 x 200 x 10). Gross 521.05 CZK.</t>
  </si>
  <si>
    <t xml:space="preserve">https://www.ggmgastro.com/cs-cz-czk/krajeci-deska-en-250x400-dle-haccp-bila-sbp25w</t>
  </si>
  <si>
    <t xml:space="preserve">Prkénko na krájení s úchytem 30x20x1 cm, černé | HENDI, 826485</t>
  </si>
  <si>
    <t xml:space="preserve">HDPE 300 x 200 x 10 mm with handle; black only (not HACCP colour set). 192 CZK incl. Parameter list says "cena za: sadu" (price per set) while title/description describe one board - unit unclear, treated as 1 piece.</t>
  </si>
  <si>
    <t xml:space="preserve">https://www.gastromania.cz/plastove-krajeci-desky-haccp/prkenko-na-krajeni-s-uchytem-30x20x1-cm-cerne-hendi-826485</t>
  </si>
  <si>
    <t xml:space="preserve">Krájecí prkénko HENDI s rukojetí, 300 × 200 mm, bílé</t>
  </si>
  <si>
    <t xml:space="preserve">HDPE 300 x 200 x 10 mm with integrated handle; only white/black (no full HACCP colour set). 151 CZK bez DPH.</t>
  </si>
  <si>
    <t xml:space="preserve">https://www.gastrozone.cz/viceucelove-krajeci-prkenko-s-rukojeti-hendi-bila-300x200mm-obdelnikove.html</t>
  </si>
  <si>
    <t xml:space="preserve">Deska krájecí 20 × 30 × 1,2 cm</t>
  </si>
  <si>
    <t xml:space="preserve">PE 300 x 200 mm but 12 mm thick; white only (no colour range). 95 CZK bez DPH.</t>
  </si>
  <si>
    <t xml:space="preserve">https://www.tomgast.cz/deska-krajeci-20--30--1-2-cm/</t>
  </si>
  <si>
    <t xml:space="preserve">Doska na krájanie s držadlom 300x200x10 mm, biela | HENDI, 826355</t>
  </si>
  <si>
    <t xml:space="preserve">Listed 'Cena bez DPH' 6.18 EUR / 'Cena s DPH' 7.60 EUR. HDPE 300x200x10 mm with integrated handle; white only (not a HACCP colour set); not dishwasher-safe. In stock 100+.</t>
  </si>
  <si>
    <t xml:space="preserve">https://gastromania.sk/plastove-krajacie-dosky-biele/doska-na-krajanie-s-drzadlom-300x200x10-mm-biela-hendi-826355</t>
  </si>
  <si>
    <t xml:space="preserve">Doska na krájanie HENDI s rukoväťou, 300 × 200 mm, biela</t>
  </si>
  <si>
    <t xml:space="preserve">HDPE, 300x200x10 mm; integrated handle and only white/black offered (not a full HACCP colour set); not dishwasher-safe per spec. Page shows 8,61 / 7,00 bez DPH.</t>
  </si>
  <si>
    <t xml:space="preserve">https://www.gastrozone.sk/viceucelove-krajeci-prkenko-s-rukojeti-hendi-bila-300x200mm-obdelnikove.html</t>
  </si>
  <si>
    <t xml:space="preserve">PP Box 600 x 400 x 100 mm</t>
  </si>
  <si>
    <t xml:space="preserve">26.06.2026</t>
  </si>
  <si>
    <t xml:space="preserve">Source sheet: Pizza Dough Boxes &amp; Lids</t>
  </si>
  <si>
    <t xml:space="preserve">https://www.attase.hu/en/pizza-pan?infinite_page=2</t>
  </si>
  <si>
    <t xml:space="preserve">Dough-box dimensions and PP material agree.</t>
  </si>
  <si>
    <t xml:space="preserve">https://www.gasztronagyker.hu/shop_search.php?search=Pizzat%C3%A9szta+keleszt%C5%91</t>
  </si>
  <si>
    <t xml:space="preserve">https://www.inoxbazis.hu/search/?q=Pizza+keleszt%C5%91+doboz</t>
  </si>
  <si>
    <t xml:space="preserve">600 x 400 x 100 mm</t>
  </si>
  <si>
    <t xml:space="preserve">https://gastroprofesional.ro/accesorii-horeca/accesorii-pizzerie/casete-plastic-pentru-aluat</t>
  </si>
  <si>
    <t xml:space="preserve">GiMetal</t>
  </si>
  <si>
    <t xml:space="preserve">Dough-box dimensions and PP material agree. Flag 2 Oct 2026: sibling rows 307/308 from the 03.09.2026 batch were gross ÷ 1.266 instead of ÷ 1.21; this row could not be fetched (bot protection / JS) — re-check.</t>
  </si>
  <si>
    <t xml:space="preserve">AmerBox Pizzaballenbox 60 x 40 x 9,5 cm</t>
  </si>
  <si>
    <t xml:space="preserve">95 mm high and polyethylene (vs 100 mm PP), 18 l</t>
  </si>
  <si>
    <t xml:space="preserve">https://www.allpax.at/product_info.php/info/AmerBox-Pizzaballenbox-60-x-40-x-9-5-cm.html</t>
  </si>
  <si>
    <t xml:space="preserve">AmerBox</t>
  </si>
  <si>
    <t xml:space="preserve">Pizzateigbox 18 l 600x400x95 mm</t>
  </si>
  <si>
    <t xml:space="preserve">95 mm high; material PET (not PP)</t>
  </si>
  <si>
    <t xml:space="preserve">https://www.gastro-hero.at/products/pizzateigbox-18-l-600x400x95-mm</t>
  </si>
  <si>
    <t xml:space="preserve">Hendi Pizzateigbox 600x400, AmerBox, Kitchen Line, 18L, 600x400x(H)95mm</t>
  </si>
  <si>
    <t xml:space="preserve">95 mm instead of 100 mm; material not stated</t>
  </si>
  <si>
    <t xml:space="preserve">https://www.gastrodax.de/hendi-pizzateig-box-kitchen-line-18-l-600-x-400-x-h-95-mm</t>
  </si>
  <si>
    <t xml:space="preserve">Gastronoble Stapelbarer Pizzateigbehälter 9,5cm (60x40)</t>
  </si>
  <si>
    <t xml:space="preserve">95 mm high and polyethylene (vs 100 mm PP)</t>
  </si>
  <si>
    <t xml:space="preserve">https://www.gastroladen.at/x1090@GN-GN537/Gastronoble-Stapelbarer-Pizzateigbeh%C3%A4lter-9-5cm.htm</t>
  </si>
  <si>
    <t xml:space="preserve">Gastronoble</t>
  </si>
  <si>
    <t xml:space="preserve">Pizzaballenbehälter, Polyethylen 600x400x100 mm</t>
  </si>
  <si>
    <t xml:space="preserve">Polyethylene instead of PP; gross 25.42</t>
  </si>
  <si>
    <t xml:space="preserve">https://www.intergastro.at/pizzaballenbehaelter-polyethylen-600x400x100-mm-bxtxh-1027185</t>
  </si>
  <si>
    <t xml:space="preserve">Stalgast Pizzaballenbehälter aus Polypropylen 600x400x100 mm</t>
  </si>
  <si>
    <t xml:space="preserve">Title says polypropylene; spec table says 'Polyethylen (PE)' (conflicting)</t>
  </si>
  <si>
    <t xml:space="preserve">https://www.jh-profishop.at/p/stalgast-pizzaballenbehaelter-aus-polypropylen-600x400x100-mm-bxtxh-929478-349074/</t>
  </si>
  <si>
    <t xml:space="preserve">Existing benchmark assignment and match quality retained. Live check 2 Oct 2026: PP/PE conflict on page.</t>
  </si>
  <si>
    <t xml:space="preserve">Teigwanne - weiß - rechteckig - 60,0 x 40,0 x 9,5 cm - Inhalt 18 l - Polyethylen</t>
  </si>
  <si>
    <t xml:space="preserve">95 mm high and polyethylene (vs 100 mm PP); regular price 17.10</t>
  </si>
  <si>
    <t xml:space="preserve">https://shopbuero.com/teigwanne-weiss-rechteckig-60-0-x-40-0-x-9-5-cm-inhalt-18-l-polyethylen/202172-C</t>
  </si>
  <si>
    <t xml:space="preserve">https://www.allpax.de/product_info.php/info/AmerBox-Pizzaballenbox-60-x-40-x-9-5-cm.html</t>
  </si>
  <si>
    <t xml:space="preserve">9-tlg Teigbehälter-Set - 8 Behälter &amp; 1 Deckel - EN 600x400 - Höhe: 100mm - Polypropylen</t>
  </si>
  <si>
    <t xml:space="preserve">Only sold as a set of 8 boxes plus 1 lid; net per box includes a share of the lid</t>
  </si>
  <si>
    <t xml:space="preserve">https://www.ggmgastro.com/de-de-eur/9-tlg-teigbehaelter-set-8-behaelter-und-1-deckel-en-600x400-hoehe-100mm-polypropylen-weiss-tbpp6410</t>
  </si>
  <si>
    <t xml:space="preserve">8 boxes + 1 lid</t>
  </si>
  <si>
    <t xml:space="preserve">https://www.gastro-hero.de/products/pizzateigbox-18-l-600x400x95-mm</t>
  </si>
  <si>
    <t xml:space="preserve">https://www.gastroladen.de/x1090@GN-GN537/Gastronoble-Stapelbarer-Pizzateigbeh%C3%A4lter-9-5cm.htm</t>
  </si>
  <si>
    <t xml:space="preserve">Polyethylene instead of PP</t>
  </si>
  <si>
    <t xml:space="preserve">https://www.intergastro.de/pizzaballenbehaelter-polyethylen-600x400x100-mm-bxtxh-1027185</t>
  </si>
  <si>
    <t xml:space="preserve">Stapelbarer Pizzateigbehälter 9,5cm (60x40)</t>
  </si>
  <si>
    <t xml:space="preserve">https://www.nisbets.de/stapelbarer-pizzateigbehlter-95mm/gn537</t>
  </si>
  <si>
    <t xml:space="preserve">(9 tlg) Přepravka na těsto-set - 8 nádob &amp; 1 víko - EN 600x400 - Výška: 100 mm - Polypropylen - bílá</t>
  </si>
  <si>
    <t xml:space="preserve">Net CZK price as displayed; page footnote: "* čistá cena | hrubá cena vč. 19% DPH" (German VAT 19% used on the CZ storefront). SKU TBPP6410: set of 8 PP boxes 600x400x100 + 1 lid (not sold singly); per-piece value = set price / 8 boxes and therefore includes the lid - flagged. Gross 2,432.63 CZK.</t>
  </si>
  <si>
    <t xml:space="preserve">https://www.ggmgastro.com/cs-cz-czk/9-tlg-prepravka-na-testo-set-8-nadob-und-1-viko-en-600x400-vyska-100-mm-polypropylen-bila-tbpp6410</t>
  </si>
  <si>
    <t xml:space="preserve">Přepravka na pizzu 60x40x9cm</t>
  </si>
  <si>
    <t xml:space="preserve">600 x 400 x 90 mm (not 100 mm); material NOT stated on page (flagged). 471.90 CZK incl. VAT. Availability "Na dotaz". No lid listed.</t>
  </si>
  <si>
    <t xml:space="preserve">https://eshop.gastronovotny.cz/prepravka-na-pizzu-60x40x9cm--1841762-09/</t>
  </si>
  <si>
    <t xml:space="preserve">Nádoba na těsto na pizzu, polyetylenová, 600x400x100 mm | STALGAST, 563410</t>
  </si>
  <si>
    <t xml:space="preserve">600 x 400 x 100 mm; material conflicting: title says polyethylene, parameters say polypropylene (flagged). 560 CZK incl.; in stock.</t>
  </si>
  <si>
    <t xml:space="preserve">https://www.gastromania.cz/kose-na-pizza-testo/nadoba-na-testo-na-pizzu-polyetylenova-600x400x100-mm-stalgast-563410</t>
  </si>
  <si>
    <t xml:space="preserve">Araven Pizzabox na těsto PP, polypropylen, výška: 100 mm, délka: 600 mm, šířka: 400 mm</t>
  </si>
  <si>
    <t xml:space="preserve">451 CZK bez DPH</t>
  </si>
  <si>
    <t xml:space="preserve">https://www.gastrozone.cz/araven-pizzabox-pp-vyska-100-mm-delka-600-mm-sirka-400-mm.html</t>
  </si>
  <si>
    <t xml:space="preserve">Přepravka na pizzu 60 × 40 × 7,5 cm</t>
  </si>
  <si>
    <t xml:space="preserve">PP dough box but 75 mm deep, not 100 mm (15 l). Parameter table inconsistently says 60 x 40 x 2 cm. 280 CZK bez DPH. Lid sold separately.</t>
  </si>
  <si>
    <t xml:space="preserve">https://www.tomgast.cz/prepravka-na-pizzu-60--40--7-5-cm/</t>
  </si>
  <si>
    <t xml:space="preserve">Nádoba na cesto na pizzu, 600x400x95 mm | HENDI, 880913</t>
  </si>
  <si>
    <t xml:space="preserve">Listed 'Cena bez DPH' 12.65 EUR / 'Cena s DPH' 15.56 EUR. Stated PP, 600x400 mm, 95 mm high (5 mm lower), 18 l. NOTE: Gastrozone lists the same 18 l HENDI/AmerBox box as PET - material conflict between sites. Alternative: Stalgast 563410 600x400x100 mm 18,04 bez DPH (title says polyethylene, parameters say PP).</t>
  </si>
  <si>
    <t xml:space="preserve">https://gastromania.sk/nadoby-na-pizza-cesto/nadoba-na-cesto-na-pizzu-600x400x95-mm-hendi-880913</t>
  </si>
  <si>
    <t xml:space="preserve">Araven Pizzabox na cesto PP, polypropylén, výška 100 mm, 600 x 400 mm</t>
  </si>
  <si>
    <t xml:space="preserve">PP, 600x400x100 mm. Page shows 22,96 / 18,67 bez DPH. In stock.</t>
  </si>
  <si>
    <t xml:space="preserve">https://www.gastrozone.sk/araven-pizzabox-pp-vyska-100-mm-delka-600-mm-sirka-400-mm.html</t>
  </si>
  <si>
    <t xml:space="preserve">PE Lid 600 x 400 mm</t>
  </si>
  <si>
    <t xml:space="preserve">Dough-box lid size agrees. Benchmark does not restrict lid material.</t>
  </si>
  <si>
    <t xml:space="preserve">PP Lid 600 x 400 mm</t>
  </si>
  <si>
    <t xml:space="preserve">https://hfse.hu/?s=pizzat%C3%A9szta+keleszt%C5%91&amp;post_type=product&amp;dgwt_wcas=1</t>
  </si>
  <si>
    <t xml:space="preserve">https://hunniakristaly.hu/kereses?description=0&amp;search=+Pizza+keleszt%C5%91&amp;keyword=+Pizza+keleszt%C5%91</t>
  </si>
  <si>
    <t xml:space="preserve">Dough-box lid size agrees. Benchmark does not restrict lid material. Live check 2 Oct 2026: no 60×40 lid at 2 536 Ft found on hunniakristaly.hu (only the ASR/Contacto lid at 7 147 Ft net, row 300) — unverified.</t>
  </si>
  <si>
    <t xml:space="preserve">PE Contacto Lid 600 x 400 mm</t>
  </si>
  <si>
    <t xml:space="preserve">https://www.inoxplaza.hu/kereses?description=0&amp;keyword=Pizza+keleszt%C5%91</t>
  </si>
  <si>
    <t xml:space="preserve">600 x 400 </t>
  </si>
  <si>
    <t xml:space="preserve">https://direca.ro/shop/capac-caseta-aluat-pizza/</t>
  </si>
  <si>
    <t xml:space="preserve">Forcar</t>
  </si>
  <si>
    <t xml:space="preserve">Dough-box lid size agrees. Benchmark does not restrict lid material. Flag 2 Oct 2026: sibling rows 307/308 from the 03.09.2026 batch were gross ÷ 1.266 instead of ÷ 1.21; this row could not be fetched (bot protection / JS) — re-check.</t>
  </si>
  <si>
    <t xml:space="preserve">600 x 400</t>
  </si>
  <si>
    <t xml:space="preserve">https://www.fimax.ro/categorie/echipamente-pizzerie/accesorii-preparare-pizza/page/2/</t>
  </si>
  <si>
    <t xml:space="preserve">https://www.gastrozone.ro/araven-capac-pentru-cutie-de-pizza-pp-lungime-600-mm-latime-400-mm.html</t>
  </si>
  <si>
    <t xml:space="preserve">https://www.horecamag.ro/produs/capac-pentru-caseta-aluat-paline-pizza/</t>
  </si>
  <si>
    <t xml:space="preserve">https://www.patiser.ro/depozitare-transport/capac-cutie-casetă-aluat-pizza-paine-60-x-40.html?srsltid=AfmBOooCw4qgA7pJuSTQQp1fcsdZnXC7gcIpJQkh1e8z_KN2YhwLJOIS</t>
  </si>
  <si>
    <t xml:space="preserve">Dough-box lid size agrees. Benchmark does not restrict lid material. Live check 2 Oct 2026: 38.64 lei gross → 31.93 net; out of stock.</t>
  </si>
  <si>
    <t xml:space="preserve">Live 02.10.2026: Stoc epuizat</t>
  </si>
  <si>
    <t xml:space="preserve">https://gastroprofesional.ro/capac-caseta-aluat-600x400x20mm-stalgast.html</t>
  </si>
  <si>
    <t xml:space="preserve">Dough-box lid size agrees. Benchmark does not restrict lid material. Live check 2 Oct 2026: page shows 52.31 pre-tax / 63.29 with tax.</t>
  </si>
  <si>
    <t xml:space="preserve">https://mmgastro.ro/ro/menu/categorii/vase-gastronomice/containere-pentru-aluat-de-pizza-11722</t>
  </si>
  <si>
    <t xml:space="preserve">PET</t>
  </si>
  <si>
    <t xml:space="preserve">https://mmgastro.ro/ro/products/capac-pentru-recipiente-de-aluat-de-pizza-amerbox-880968-138502</t>
  </si>
  <si>
    <t xml:space="preserve">AMERBOX</t>
  </si>
  <si>
    <t xml:space="preserve">APS Deckel zu Pizzaballenbehälter</t>
  </si>
  <si>
    <t xml:space="preserve">PE, 600x400x10 mm; min. qty 2</t>
  </si>
  <si>
    <t xml:space="preserve">https://www.gastro-hero.at/products/aps-deckel-zu-pizzaballenbehaelter-aps82441</t>
  </si>
  <si>
    <t xml:space="preserve">Contacto Deckel zu Pizzaballenbehälter 600 x 400 mm</t>
  </si>
  <si>
    <t xml:space="preserve">HD-polyethylene; sale price, normal 10.00</t>
  </si>
  <si>
    <t xml:space="preserve">https://www.gastrodax.de/contacto-deckel-zu-pizzaballenbehaelter-fuer-2510</t>
  </si>
  <si>
    <t xml:space="preserve">Gastronoble Deckel für stapelbare Pizzateigbehälter 60x40cm</t>
  </si>
  <si>
    <t xml:space="preserve">PE lid</t>
  </si>
  <si>
    <t xml:space="preserve">https://www.gastroladen.at/x1090@GN-GN539/Gastronoble-Deckel-f%C3%BCr-stapelbare-Pizzateigbeh%C3%A4lter-60x40cm.htm</t>
  </si>
  <si>
    <t xml:space="preserve">Deckel für Pizzaballenbehälter, PP, 60 x 40 x 2 cm</t>
  </si>
  <si>
    <t xml:space="preserve">Gross 9.54</t>
  </si>
  <si>
    <t xml:space="preserve">https://www.intergastro.at/deckel-fuer-pizzaballenbehaelter-art-967927-pp-60-x-40-x-2-cm-967928</t>
  </si>
  <si>
    <t xml:space="preserve">Deckel - für Teigwanne (202180) - weiß - 60,0 x 40,0 x 3,5 cm - Polypropylen</t>
  </si>
  <si>
    <t xml:space="preserve">PP lid 600x400; regular price 25.10</t>
  </si>
  <si>
    <t xml:space="preserve">https://shopbuero.com/deckel-fuer-teigwanne-202180-weiss-rechteckig-60-0-x-40-0-x-3-5-cm-polypropylen/202181-C</t>
  </si>
  <si>
    <t xml:space="preserve">https://www.gastro-hero.de/products/aps-deckel-zu-pizzaballenbehaelter-aps82441</t>
  </si>
  <si>
    <t xml:space="preserve">https://www.gastroladen.de/x1090@GN-GN539/Gastronoble-Deckel-f%C3%BCr-stapelbare-Pizzateigbeh%C3%A4lter-60x40cm.htm</t>
  </si>
  <si>
    <t xml:space="preserve">https://www.intergastro.de/deckel-fuer-pizzaballenbehaelter-art-967927-pp-60-x-40-x-2-cm-967928</t>
  </si>
  <si>
    <t xml:space="preserve">Deckel für stapelbare Pizzateigbehälter 60x40cm</t>
  </si>
  <si>
    <t xml:space="preserve">https://www.nisbets.de/deckel-fr-stapelbare-pizzateigbehlter-60x40cm/gn539</t>
  </si>
  <si>
    <t xml:space="preserve">Víko k přepravce na pizzu 60x40 cm | TOM-GAST, ZT-6040-1</t>
  </si>
  <si>
    <t xml:space="preserve">Lid for 600x400 dough box; 236 CZK incl. (same item/price as tomgast.cz).</t>
  </si>
  <si>
    <t xml:space="preserve">https://www.gastromania.cz/vika-na-kose-na-testo/viko-k-prepravce-na-pizzu-60x40-cm-tom-gast-zt-6040-1</t>
  </si>
  <si>
    <t xml:space="preserve">Araven Víko na pizzabox na těsto PP, polypropylen, délka: 600 mm, šířka: 400 mm</t>
  </si>
  <si>
    <t xml:space="preserve">268 CZK bez DPH. Cheaper AmerBox 600x400 lid 228 CZK.</t>
  </si>
  <si>
    <t xml:space="preserve">https://www.gastrozone.cz/araven-viko-k-pizzove-krabici-z-pp-delka-600-mm-sirka-400-mm.html</t>
  </si>
  <si>
    <t xml:space="preserve">Víko k přepravce na pizzu 60 × 40 cm</t>
  </si>
  <si>
    <t xml:space="preserve">Lid for ZT-6040 dough box; material "plast". 195 CZK bez DPH.</t>
  </si>
  <si>
    <t xml:space="preserve">https://www.tomgast.cz/viko-k-prepravce-na-pizzu-60--40-cm/</t>
  </si>
  <si>
    <t xml:space="preserve">Veko na nádobu 2510/600 | CONTACTO, 2510/601</t>
  </si>
  <si>
    <t xml:space="preserve">Listed 'Cena bez DPH' 11.70 EUR / 'Cena s DPH' 14.39 EUR. PE lid for Contacto 600x400 dough box. Promo; base 13,00 / 15,99. Availability 30 days.</t>
  </si>
  <si>
    <t xml:space="preserve">https://gastromania.sk/veka-na-nadoby-na-cesto/veko-na-nadobu-2510-600-contacto-2510-601</t>
  </si>
  <si>
    <t xml:space="preserve">Araven Veko na pizzabox na cesto PP, 600 x 400 mm</t>
  </si>
  <si>
    <t xml:space="preserve">PP lid for 600x400 dough box. Page shows 13,61 / 11,07 bez DPH. AmerBox PET-box lid 11,50 EUR also listed.</t>
  </si>
  <si>
    <t xml:space="preserve">https://www.gastrozone.sk/araven-viko-k-pizzove-krabici-z-pp-delka-600-mm-sirka-400-mm.html</t>
  </si>
  <si>
    <t xml:space="preserve">PE Box 600 x 400 x 75 mm</t>
  </si>
  <si>
    <t xml:space="preserve">Dough-box dimensions and PE material agree.</t>
  </si>
  <si>
    <t xml:space="preserve">PE Contacto Box 600 x 400 x 75 mm</t>
  </si>
  <si>
    <t xml:space="preserve">AmerBox Pizzaballenbox 60 x 40 x 7,5 cm</t>
  </si>
  <si>
    <t xml:space="preserve">Polyethylene, 14 l</t>
  </si>
  <si>
    <t xml:space="preserve">https://www.allpax.at/product_info.php/info/AmerBox-Pizzaballenbox-60-x-40-x-7-5-cm.html</t>
  </si>
  <si>
    <t xml:space="preserve">Pizzaballenbehälter, weiß Polyethylen, 60x40x7,5cm</t>
  </si>
  <si>
    <t xml:space="preserve">Sale price (normal 38.09). APS 600x400x75 box (material not stated) 10.79, min. qty 2</t>
  </si>
  <si>
    <t xml:space="preserve">https://www.gastro-hero.at/products/pizzaballenbehaelter-weiss-polyethylen-60x40x75cm-2510600</t>
  </si>
  <si>
    <t xml:space="preserve">Contacto Pizzaballenbehälter 60 cm / 40 cm (600x400x75 mm)</t>
  </si>
  <si>
    <t xml:space="preserve">Polypropylene instead of PE; sale price, normal 12.35. Hendi 600x400x75 (material not stated) 19.43</t>
  </si>
  <si>
    <t xml:space="preserve">https://www.gastrodax.de/contacto-pizzaballenbehaelter-60-cm-40-cm</t>
  </si>
  <si>
    <t xml:space="preserve">Gastronoble Stapelbarer Pizzateigbehälter 7,5cm (60x40)</t>
  </si>
  <si>
    <t xml:space="preserve">https://www.gastroladen.at/x1090@GN-GN536/Gastronoble-Stapelbarer-Pizzateigbeh%C3%A4lter-7-5cm.htm</t>
  </si>
  <si>
    <t xml:space="preserve">Teigbehälter / Pizzaballenbehälter 14 ltr 600 x 400 mm H 75 mm (Polyethylen)</t>
  </si>
  <si>
    <t xml:space="preserve">Gross 11.96</t>
  </si>
  <si>
    <t xml:space="preserve">https://www.intergastro.at/teigbehaelter-pizzaballenbehaelter-14-ltr-600-mm-x-400-mm-h-75-mm-985534</t>
  </si>
  <si>
    <t xml:space="preserve">Stalgast Pizzaballenbehälter aus Polypropylen 600 x 400 x 70 mm</t>
  </si>
  <si>
    <t xml:space="preserve">70 mm instead of 75 mm; PP per title (spec asks PE)</t>
  </si>
  <si>
    <t xml:space="preserve">https://www.jh-profishop.at/p/stalgast-pizzaballenbehaelter-aus-polypropylen-600-x-400-x-70-mm-bxtxh-929475-349073/</t>
  </si>
  <si>
    <t xml:space="preserve">Teig- und Pizzaballenbehälter - weiß - 60,0 x 40,0 x 7,5 cm - Inhalt 14 l - Polyethylen</t>
  </si>
  <si>
    <t xml:space="preserve">Regular price 12.00; Schneider 202170-C same spec 9.50</t>
  </si>
  <si>
    <t xml:space="preserve">https://shopbuero.com/teig-und-pizzaballenbehaelter-weiss-60-0-x-40-0-x-7-5-cm-inhalt-14-l-polyethylen/82440-B</t>
  </si>
  <si>
    <t xml:space="preserve">https://www.allpax.de/product_info.php/info/AmerBox-Pizzaballenbox-60-x-40-x-7-5-cm.html</t>
  </si>
  <si>
    <t xml:space="preserve">(8 Stück) Teigbehälter - EN 600x400 - Weiß (70 mm)</t>
  </si>
  <si>
    <t xml:space="preserve">70 mm high, polypropylene (vs 75 mm PE)</t>
  </si>
  <si>
    <t xml:space="preserve">https://www.ggmgastro.com/de-de-eur/8-stueck-teigbehaelter-en-600x400-weiss-tbp647</t>
  </si>
  <si>
    <t xml:space="preserve">set of 8</t>
  </si>
  <si>
    <t xml:space="preserve">https://www.gastro-hero.de/products/pizzaballenbehaelter-weiss-polyethylen-60x40x75cm-2510600</t>
  </si>
  <si>
    <t xml:space="preserve">https://www.gastroladen.de/x1090@GN-GN536/Gastronoble-Stapelbarer-Pizzateigbeh%C3%A4lter-7-5cm.htm</t>
  </si>
  <si>
    <t xml:space="preserve">https://www.intergastro.de/teigbehaelter-pizzaballenbehaelter-14-ltr-600-mm-x-400-mm-h-75-mm-985534</t>
  </si>
  <si>
    <t xml:space="preserve">Stapelbehälter 60x40x7,5cm</t>
  </si>
  <si>
    <t xml:space="preserve">Polyethylene</t>
  </si>
  <si>
    <t xml:space="preserve">https://www.nisbets.de/stapelbarer-pizzateigbehlter-75mm/gn536</t>
  </si>
  <si>
    <t xml:space="preserve">(9 tlg) Přepravka na těsto-set - 8 nádob &amp; 1 víko - EN 600x400 - Výška: 75 mm - Polypropylen - bílá</t>
  </si>
  <si>
    <t xml:space="preserve">Net CZK price as displayed; page footnote: "* čistá cena | hrubá cena vč. 19% DPH" (German VAT 19% used on the CZ storefront). SKU TBPP647: set of 8 boxes 600x400x75 + 1 lid; polypropylene, not polyethylene; per-piece = set / 8 (includes lid) - flagged. Gross 2,085.07 CZK. Alternative 8-pack TBP647 (70 mm, no lid) 1,873.86 CZK.</t>
  </si>
  <si>
    <t xml:space="preserve">https://www.ggmgastro.com/cs-cz-czk/9-tlg-prepravka-na-testo-set-8-nadob-und-1-viko-en-600x400-vyska-75-mm-polypropylen-bila-tbpp647</t>
  </si>
  <si>
    <t xml:space="preserve">90 mm deep instead of 75 mm and material not stated. 471.90 CZK incl. VAT.</t>
  </si>
  <si>
    <t xml:space="preserve">Nádoba na pizza těsto 600x400x75 mm | CONTACTO, 2510/600</t>
  </si>
  <si>
    <t xml:space="preserve">PE, 600 x 400 x 75 mm; 473 CZK incl.; discounted from 434 excl. / 526 incl.; availability 30 days.</t>
  </si>
  <si>
    <t xml:space="preserve">https://www.gastromania.cz/kose-na-pizza-testo/nadoba-na-pizza-testo-600x400x75-mm-contacto-2510-600</t>
  </si>
  <si>
    <t xml:space="preserve">Nádoba AmerBox Kitchen Line na pizza těsto, 600 × 400 mm, 14 l</t>
  </si>
  <si>
    <t xml:space="preserve">600 x 400 x 75 mm, 14 l, but PET (polyethylene terephthalate), not PE. 236 CZK bez DPH.</t>
  </si>
  <si>
    <t xml:space="preserve">https://www.gastrozone.cz/nadoba-na-pizza-testo-600x400-amerbox-kitchen-line-14l-600x400x-h-75mm.html</t>
  </si>
  <si>
    <t xml:space="preserve">AmerBox (Hendi)</t>
  </si>
  <si>
    <t xml:space="preserve">600 x 400 x 75 mm but polypropylene, not polyethylene. 280 CZK bez DPH.</t>
  </si>
  <si>
    <t xml:space="preserve">Nádoba na pizza cesto 600x400x75 mm | CONTACTO, 2510/600</t>
  </si>
  <si>
    <t xml:space="preserve">Listed 'Cena bez DPH' 15.21 EUR / 'Cena s DPH' 18.71 EUR. White polyethylene, 600x400x75 mm. Promo; base 16,90 / 20,79. Availability 30 days.</t>
  </si>
  <si>
    <t xml:space="preserve">https://gastromania.sk/nadoby-na-pizza-cesto/nadoba-na-pizza-cesto-600x400x75-mm-contacto-2510-600</t>
  </si>
  <si>
    <t xml:space="preserve">Nádoba AmerBox Kitchen Line na cesto na pizzu, 600 × 400 mm, 14 l (výška 75 mm)</t>
  </si>
  <si>
    <t xml:space="preserve">600x400x75 mm but PET (polyethylene terephthalate), not PE. Page shows 12,30 / 10,00 bez DPH.</t>
  </si>
  <si>
    <t xml:space="preserve">https://www.gastrozone.sk/nadoba-na-pizza-testo-600x400-amerbox-kitchen-line-14l-600x400x-h-75mm.html</t>
  </si>
  <si>
    <t xml:space="preserve">AmerBox (HENDI)</t>
  </si>
  <si>
    <t xml:space="preserve">Hendi Thermobox für GN 1/1</t>
  </si>
  <si>
    <t xml:space="preserve">Front-loading LDPE box with rails, 477x680x620 mm; inner 335x533x590 mm (~105 l, above 80-90 l)</t>
  </si>
  <si>
    <t xml:space="preserve">https://www.allpax.at/product_info.php/info/Hendi-Thermobox-fuer-GN-1-1.html</t>
  </si>
  <si>
    <t xml:space="preserve">Thermobox ECO GN 1/1 - Frontlader (90 l)</t>
  </si>
  <si>
    <t xml:space="preserve">90 l, 652x445x646 mm; sale price (normal 349.00)</t>
  </si>
  <si>
    <t xml:space="preserve">https://www.gastro-hero.at/products/thermobox-eco-gn-1-1-frontlader-thbe90</t>
  </si>
  <si>
    <t xml:space="preserve">Live 02.10.2026: Lieferzeit 25–30 Tage</t>
  </si>
  <si>
    <t xml:space="preserve">Contacto Thermobox GN 1/1 Frontlader, 12 Auflageschienen</t>
  </si>
  <si>
    <t xml:space="preserve">Front loader GN 1/1, 495x635x630 mm outside; volume not stated; sale price, normal 342.00</t>
  </si>
  <si>
    <t xml:space="preserve">https://www.gastrodax.de/contacto-thermobox-gn-1-1-1</t>
  </si>
  <si>
    <t xml:space="preserve">Cambro isolierter Frontlader Lebensmitteltransportbehälter 86L</t>
  </si>
  <si>
    <t xml:space="preserve">For 4 x GN 1/1 100 mm; freight 90 EUR; currently out of stock. Thermo Future 93 l front-loader 226.90</t>
  </si>
  <si>
    <t xml:space="preserve">https://www.gastroladen.at/0860@GN-DW565/Cambro-isolierter-Frontlader-Lebensmitteltransportbeh%C3%A4lter-86L.htm</t>
  </si>
  <si>
    <t xml:space="preserve">Box COMBI schwarz, 12 Einschübe, 83 ltr, 630 x 500 x 580 mm</t>
  </si>
  <si>
    <t xml:space="preserve">Front-loader category; also Schneider Front-Box GN 1/1 91 l at 218.07 net</t>
  </si>
  <si>
    <t xml:space="preserve">https://www.intergastro.at/box-combi-schwarz-12-einschuebe-83-ltr-630-mm-x-500-mm-h-580-mm-305715</t>
  </si>
  <si>
    <t xml:space="preserve">Thermohauser</t>
  </si>
  <si>
    <t xml:space="preserve">FRONT-BOX - 62,8 x 44,5 x 62,5 cm - Inhalt 91 l - GN 1/1 - EPP</t>
  </si>
  <si>
    <t xml:space="preserve">91 l (slightly above 80-90 l), EPP front loader; regular price 318.75</t>
  </si>
  <si>
    <t xml:space="preserve">https://shopbuero.com/front-box-62-8-x-44-5-x-62-5-cm-inhalt-91-l-gn-1-1-epp/620660-C</t>
  </si>
  <si>
    <t xml:space="preserve">https://www.allpax.de/product_info.php/info/Hendi-Thermobox-fuer-GN-1-1.html</t>
  </si>
  <si>
    <t xml:space="preserve">Porter - Frontlader - 83 Liter - für 12x GN 1/1</t>
  </si>
  <si>
    <t xml:space="preserve">PP, 83 l. Cheaper PU 'Thermobox Frontlader 92 l' (tpbe92): 115.99 net</t>
  </si>
  <si>
    <t xml:space="preserve">https://www.ggmgastro.com/de-de-eur/porter-frontlader-83-liter-fuer-12x-gn-1-1-plb-300</t>
  </si>
  <si>
    <t xml:space="preserve">90 l; sale price (normal 349.00 net)</t>
  </si>
  <si>
    <t xml:space="preserve">https://www.gastro-hero.de/products/thermobox-eco-gn-1-1-frontlader-thbe90</t>
  </si>
  <si>
    <t xml:space="preserve">Live 02.10.2026: Lieferzeit 24–29 Tage</t>
  </si>
  <si>
    <t xml:space="preserve">For 4 x GN 1/1 100 mm; bulky item</t>
  </si>
  <si>
    <t xml:space="preserve">https://www.gastroladen.de/0860@GN-DW565/Cambro-isolierter-Frontlader-Lebensmitteltransportbeh%C3%A4lter-86L.htm</t>
  </si>
  <si>
    <t xml:space="preserve">https://www.intergastro.de/box-combi-schwarz-12-einschuebe-83-ltr-630-mm-x-500-mm-h-580-mm-305715</t>
  </si>
  <si>
    <t xml:space="preserve">Cambro isolierter Frontlader Lebensmitteltransportbehälter 86Ltr</t>
  </si>
  <si>
    <t xml:space="preserve">For 4 x GN 1/1 100 mm, PP; out of stock; UVP 264.99. Thermo Future 93 l front-loader (DL990) 209.99</t>
  </si>
  <si>
    <t xml:space="preserve">https://www.nisbets.de/cambro-isolierter-frontlader-lebensmitteltransportbehaelter-86ltr/dw565</t>
  </si>
  <si>
    <t xml:space="preserve">CAMBRO | CAM GOBOX - Termobox - Frontloader s předním plněním GN 1/1 - černý</t>
  </si>
  <si>
    <t xml:space="preserve">Net CZK price as displayed; page footnote: "* čistá cena | hrubá cena vč. 19% DPH" (German VAT 19% used on the CZ storefront). SKU EPP400110, EPP, 86 l, front loading. Gross 4,865.56 CZK; in stock 3-5 days. Alternative Porter PLB-300 83 l: 6,936.37 CZK.</t>
  </si>
  <si>
    <t xml:space="preserve">https://www.ggmgastro.com/cs-cz-czk/cambro-cam-gobox-r-termobox-frontloader-s-prednim-plnenim-gn-1-1-cerny-epp400110</t>
  </si>
  <si>
    <t xml:space="preserve">Termoport přední plnění 6xGN1/1 65</t>
  </si>
  <si>
    <t xml:space="preserve">Front-loading, polypropylene, holds 6 x GN 1/1 65 mm; volume in litres NOT stated (flagged). 7,139 CZK incl. VAT. Availability "Na dotaz". Alternative: Termoport GN 1/1 Front 20-TERMOP-F 7,089.26 CZK excl. (smaller: 3 x GN 1/1 65).</t>
  </si>
  <si>
    <t xml:space="preserve">https://eshop.gastronovotny.cz/termoport-predni-plneni-6xgn1-1-65--403191201/</t>
  </si>
  <si>
    <t xml:space="preserve">Thermo Case P-600M</t>
  </si>
  <si>
    <t xml:space="preserve">Termobox s předním plněním pro GN | CAMBRO, R-EPP400</t>
  </si>
  <si>
    <t xml:space="preserve">Same Cambro EPP400 front-loader (86 l) as TOMGAST, same price; 6,904 CZK incl.; in stock.</t>
  </si>
  <si>
    <t xml:space="preserve">https://www.gastromania.cz/termoizolacni/termobox-s-prednim-plnenim-pro-gn-cambro-r-epp400</t>
  </si>
  <si>
    <t xml:space="preserve">Termoizolační box Cambro Cam GoBox s horním plněním, GN 1/1, 86 l, černý</t>
  </si>
  <si>
    <t xml:space="preserve">86 l, GN 1/1, EPP; product title says "s horním plněním" (top loading) but description and URL say side/front loading ("boční plnění", door) - conflicting, flagged. Promotional price (-42%, was 9,455 CZK). 4,501 CZK bez DPH. Alternative: Cambro Ultra Pan Carrier front-loading GN 1/1 (PE) 6,536 CZK, volume not stated.</t>
  </si>
  <si>
    <t xml:space="preserve">https://www.gastrozone.cz/cambro-termoport-86-l-bocni-plneni.html</t>
  </si>
  <si>
    <t xml:space="preserve">Termobox s předním plněním pro GN</t>
  </si>
  <si>
    <t xml:space="preserve">Code R-EPP400, EPP, front loading, 86 l, GN 1/1, 12 fixed rails. 5,706 CZK bez DPH.</t>
  </si>
  <si>
    <t xml:space="preserve">https://www.tomgast.cz/termobox-s-prednim-plnenim-pro-gn/</t>
  </si>
  <si>
    <t xml:space="preserve">Termobox s predným plnením pre GN | CAMBRO, R-EPP400</t>
  </si>
  <si>
    <t xml:space="preserve">Listed 'Cena bez DPH' 228.24 EUR / 'Cena s DPH' 280.74 EUR. Front-loading, GN 1/1, 86 l, expanded polypropylene. In stock 5-9 pcs.</t>
  </si>
  <si>
    <t xml:space="preserve">https://gastromania.sk/termoizolacne/termobox-s-prednym-plnenim-pre-gn-cambro-r-epp400</t>
  </si>
  <si>
    <t xml:space="preserve">Termoizolačný box Cambro Cam GoBox, GN 1/1, 86 l, čierny</t>
  </si>
  <si>
    <t xml:space="preserve">86 l GN 1/1, EPP. Listing inconsistent: title says 's horným plnením' (top-loading) but URL and description say front loading with 270° door. Page shows 228,78 / 186,00 bez DPH. Cambro Ultra Pan Carrier front-loader (PE) 271,83 EUR, volume not stated.</t>
  </si>
  <si>
    <t xml:space="preserve">https://www.gastrozone.sk/cambro-termoport-86-l-bocni-plneni.html</t>
  </si>
  <si>
    <t xml:space="preserve">Tray 530 x 370 mm</t>
  </si>
  <si>
    <t xml:space="preserve">27.06.2026</t>
  </si>
  <si>
    <t xml:space="preserve">Source sheet: Trays</t>
  </si>
  <si>
    <t xml:space="preserve">https://hunniakristaly.hu/kereses?description=0&amp;keyword=%C3%96nkiszolg%C3%A1l%C3%B3+t%C3%A1lca</t>
  </si>
  <si>
    <t xml:space="preserve">Service-tray dimensions agree after rotating orientation. ABS/PP material is not stated.</t>
  </si>
  <si>
    <t xml:space="preserve">EN Tablett, Serie Tray 97, 53x37 cm</t>
  </si>
  <si>
    <t xml:space="preserve">Right size but fibreglass-reinforced polyester, not ABS/PP</t>
  </si>
  <si>
    <t xml:space="preserve">https://www.allpax.at/product_info.php/info/EN-Tablett.html</t>
  </si>
  <si>
    <t xml:space="preserve">WAS Germany Tablett PP - GN 1/1, lichtgrau</t>
  </si>
  <si>
    <t xml:space="preserve">PP but GN 1/1 size 530x325 (not 370x530); sale price (normal 7.39). WAS polyester EN 53x37 tray 12.29</t>
  </si>
  <si>
    <t xml:space="preserve">https://www.gastro-hero.at/products/was-germany-tablett-pp-gn-11-lichtgrau-9283530</t>
  </si>
  <si>
    <t xml:space="preserve">Hendi Serviertablett, rechteckig, Euronorm, 370x530mm</t>
  </si>
  <si>
    <t xml:space="preserve">Exact size; material not stated on page</t>
  </si>
  <si>
    <t xml:space="preserve">https://www.gastrodax.de/hendi-serviertablett-rechteckig-euronorm-370-x-530-mm</t>
  </si>
  <si>
    <t xml:space="preserve">Kristallon Serviertablett antirutsch 51 x 38cm</t>
  </si>
  <si>
    <t xml:space="preserve">510x380 mm, plastic (type not specified), non-slip</t>
  </si>
  <si>
    <t xml:space="preserve">https://www.gastroladen.at/G16801@GN-C560/Kristallon-Serviertablett-antirutsch-51-x-38cm.htm</t>
  </si>
  <si>
    <t xml:space="preserve">Kristallon</t>
  </si>
  <si>
    <t xml:space="preserve">Tablett Polyester titanfarben rechteckig 530 x 370 mm</t>
  </si>
  <si>
    <t xml:space="preserve">Right size but polyester/fibreglass, not ABS/PP; no ABS/PP tray of this size found</t>
  </si>
  <si>
    <t xml:space="preserve">https://www.intergastro.at/tablett-polyester-titanfarben-rechteckig-530-mm-x-370-mm-396106</t>
  </si>
  <si>
    <t xml:space="preserve">Euronorm-Tablett - Stapelnocken - Serie 9605 - lichtgrau - 53 x 37 cm - Polyester</t>
  </si>
  <si>
    <t xml:space="preserve">Right size but polyester (not ABS/PP); PP non-slip tray 46x36 cm 6.10; regular price 17.50</t>
  </si>
  <si>
    <t xml:space="preserve">https://shopbuero.com/euronorm-tablett-stapelnocken-serie-9605-lichtgrau-53-x-37-cm-polyester/9605531-A</t>
  </si>
  <si>
    <t xml:space="preserve">https://www.allpax.de/product_info.php/info/EN-Tablett.html</t>
  </si>
  <si>
    <t xml:space="preserve">(6 Stück) FAST FOOD Tablett - GN 1/1 - Polypropylen - Höhe 20mm - Schwarz</t>
  </si>
  <si>
    <t xml:space="preserve">PP but GN 1/1 size (530x325), not 530x370</t>
  </si>
  <si>
    <t xml:space="preserve">https://www.ggmgastro.com/de-de-eur/6-stueck-fast-food-tablett-gn-1-1-polypropylen-hoehe-20mm-schwarz-00553-6</t>
  </si>
  <si>
    <t xml:space="preserve">PP but GN 1/1 size (530x325), not 370x530</t>
  </si>
  <si>
    <t xml:space="preserve">https://www.gastro-hero.de/products/was-germany-tablett-pp-gn-11-lichtgrau-9283530</t>
  </si>
  <si>
    <t xml:space="preserve">https://www.gastroladen.de/G16801@GN-C560/Kristallon-Serviertablett-antirutsch-51-x-38cm.htm</t>
  </si>
  <si>
    <t xml:space="preserve">https://www.intergastro.de/tablett-polyester-titanfarben-rechteckig-530-mm-x-370-mm-396106</t>
  </si>
  <si>
    <t xml:space="preserve">Olympia Kristallon Serviertablett antirutsch 51 x 38cm</t>
  </si>
  <si>
    <t xml:space="preserve">510x380 mm, plastic (type not specified), non-slip; 4.49 each from 3 pcs</t>
  </si>
  <si>
    <t xml:space="preserve">https://www.nisbets.de/kristallon-anti-rutsch-serviertablett-rechteckig-51cm/c560</t>
  </si>
  <si>
    <t xml:space="preserve">Olympia Kristallon</t>
  </si>
  <si>
    <t xml:space="preserve">(10 ks) Jídelní podnos - ABS plast - 370x530 mm - Hnědý</t>
  </si>
  <si>
    <t xml:space="preserve">Net CZK price as displayed; page footnote: "* čistá cena | hrubá cena vč. 19% DPH" (German VAT 19% used on the CZ storefront). SKU GST3753#10, ABS, 370 x 530 mm, pack of 10. Gross 2,171.96 CZK.</t>
  </si>
  <si>
    <t xml:space="preserve">https://www.ggmgastro.com/cs-cz-czk/10-ks-jidelni-podnos-abs-plast-370x530-mm-hnedy-gst3753-10</t>
  </si>
  <si>
    <t xml:space="preserve">Podnos EURONORM 530x370mm</t>
  </si>
  <si>
    <t xml:space="preserve">100% PP, 530 x 370 mm, 30 colours; 363 CZK incl. VAT. Description mentions "balení 20ks" (carton of 20) but price/stock are shown per piece ("ks") - treated as per piece. Availability "Na dotaz".</t>
  </si>
  <si>
    <t xml:space="preserve">https://eshop.gastronovotny.cz/podnos-euronorm-530x370mm--14100503/</t>
  </si>
  <si>
    <t xml:space="preserve">Podnos jídelní 37x53 cm, šedá | CAMBRO, Versa</t>
  </si>
  <si>
    <t xml:space="preserve">370 x 530 mm but polyester/fibreglass, not ABS/PP. 289 CZK incl. PP trays listed only up to 350 x 450 mm and GN 1/1 530 x 325.</t>
  </si>
  <si>
    <t xml:space="preserve">https://www.gastromania.cz/obdelnikove-jidelni-podnosy/podnos-jidelni-37x53-cm-seda-cambro-versa</t>
  </si>
  <si>
    <t xml:space="preserve">CAMBRO Versa Podnos ze sklolaminátu 53 x 37 cm, černý</t>
  </si>
  <si>
    <t xml:space="preserve">530 x 370 mm but fibreglass-reinforced polyester, not ABS/PP (parameter table inconsistently shows width 265 mm). 475 CZK bez DPH. PP fast-food trays only up to 530 x 325 / 450 x 355 mm.</t>
  </si>
  <si>
    <t xml:space="preserve">https://www.gastrozone.cz/versa-1.html</t>
  </si>
  <si>
    <t xml:space="preserve">Versa podnos jídelní 37 × 53 cm, šedá</t>
  </si>
  <si>
    <t xml:space="preserve">370 x 530 mm but polyester + fibreglass, not ABS/PP. 239 CZK bez DPH. No ABS/PP 37 x 53 tray listed.</t>
  </si>
  <si>
    <t xml:space="preserve">https://www.tomgast.cz/versa-podnos-jidelni-37--53-cm--seda/</t>
  </si>
  <si>
    <t xml:space="preserve">Tácka z polypropylénu Fast Food 350x450 mm šedá | HENDI, 878804</t>
  </si>
  <si>
    <t xml:space="preserve">Listed 'Cena bez DPH' 4.88 EUR / 'Cena s DPH' 6.00 EUR. PP, but 350x450 mm instead of approx. 370x530 mm. 530x370 trays found are polyester/laminate/laminated wood (e.g. Contacto 4411 polyester EN 1/1, HENDI 507117 laminated wood 18,70 bez DPH).</t>
  </si>
  <si>
    <t xml:space="preserve">https://gastromania.sk/obdlznikove-jedalne-podnosy/tacka-z-polypropylenu-fast-food-350x450-mm-seda-hendi-878804</t>
  </si>
  <si>
    <t xml:space="preserve">APS Fast Food podnos, GN 1/1, hnedý, 530 x 325 x 20 mm</t>
  </si>
  <si>
    <t xml:space="preserve">PP, but 530x325 mm (GN 1/1) instead of approx. 530x370 mm. 530x370 trays found are other plastics: Roltex PYE (polyethylene) 40,32 EUR, Cambro fibreglass 35,31 EUR. To order (3-5 weeks).</t>
  </si>
  <si>
    <t xml:space="preserve">https://www.gastrozone.sk/aps-fast-food-tablett-gn-1-1-hnede-vyska-20-mm-delka-530-mm-sirka-325-mm.html</t>
  </si>
  <si>
    <t xml:space="preserve">Thermo Tray 5 elements 540 x 380 x 120 mm</t>
  </si>
  <si>
    <t xml:space="preserve">28.06.2026</t>
  </si>
  <si>
    <t xml:space="preserve">Source sheet: Thermoboxes and Thermo Trays</t>
  </si>
  <si>
    <t xml:space="preserve">https://www.attase.hu/shop_search.php?search=Thermobox</t>
  </si>
  <si>
    <t xml:space="preserve">Thermo-tray type and 5–6 elements agree. Lid and interpretation as compartments are not explicit.</t>
  </si>
  <si>
    <t xml:space="preserve">Thermo Tray 6 elements 540 x 380 x 120 mm</t>
  </si>
  <si>
    <t xml:space="preserve">https://www.gasztronagyker.hu/shop_search.php?search=thermo</t>
  </si>
  <si>
    <t xml:space="preserve">https://hunniakristaly.hu/etel-es-ital-szallitas-badelakkal-thermoladakkal/thermolada-termolada</t>
  </si>
  <si>
    <t xml:space="preserve">Thermo-tray type and 5–6 elements agree. Lid and interpretation as compartments are not explicit. Live check 2 Oct 2026: complete set incl. dishes → APPROX.</t>
  </si>
  <si>
    <t xml:space="preserve">Thermo-Tablett rechteckig 5-teilig 430x290x(H)150 mm</t>
  </si>
  <si>
    <t xml:space="preserve">5-piece set (ABS base, stainless tray, transparent hood, 2 cooling packs); 5 parts rather than 5 compartments</t>
  </si>
  <si>
    <t xml:space="preserve">https://www.allpax.at/product_info.php/info/Thermo-Tablett-rechteckig.html</t>
  </si>
  <si>
    <t xml:space="preserve">APS Thermo-Set 5-tlg. ca. Ø 38 cm, Höhe 24 cm</t>
  </si>
  <si>
    <t xml:space="preserve">Round 5-piece set (stainless bowl, tray, roll-top hood, 2 cooling packs); not a compartment tray; min. qty 2</t>
  </si>
  <si>
    <t xml:space="preserve">https://www.gastro-hero.at/products/aps-thermo-set-5-tlg-ca-38-cm-hoehe-24-cm-aps09082</t>
  </si>
  <si>
    <t xml:space="preserve">APS Thermo Tablett Set rechteckig (5-teilig)</t>
  </si>
  <si>
    <t xml:space="preserve">5-piece set: insulated plastic base, stainless tray, PS lid, 2 cooling packs; 430x290x140 mm; 5 parts rather than 5 compartments</t>
  </si>
  <si>
    <t xml:space="preserve">https://www.gastrodax.de/aps-thermo-tablett-set-rechteckig</t>
  </si>
  <si>
    <t xml:space="preserve">Cambro Tablotherm Isolierte Schale mit Porzellantellern 37 x 53 x 10,5 cm</t>
  </si>
  <si>
    <t xml:space="preserve">Insulated tray with porcelain 2-compartment plate + 3 bowls with lids; not a simple 5-6 compartment thermo tray</t>
  </si>
  <si>
    <t xml:space="preserve">https://www.gastroladen.at/0860@GN-CJ645/Cambro-Tablotherm-Isolierte-Schale-mit-Porzellantellern-37-x-53-x-10-5-cm.htm</t>
  </si>
  <si>
    <t xml:space="preserve">Tablett TABLOTHERM EURONORM isoliert mit Geschirr, Deckel, Pellet</t>
  </si>
  <si>
    <t xml:space="preserve">Insulated PP tray system incl. dishes, lid and heat pellet; not a simple 5-6 compartment thermo tray</t>
  </si>
  <si>
    <t xml:space="preserve">https://www.intergastro.at/tablett-tablotherm-euronorm-isoliert-mit-geschirr-deckel-pellet-325159</t>
  </si>
  <si>
    <t xml:space="preserve">https://www.allpax.de/product_info.php/info/Thermo-Tablett-rechteckig.html</t>
  </si>
  <si>
    <t xml:space="preserve">https://www.gastro-hero.de/products/aps-thermo-set-5-tlg-ca-38-cm-hoehe-24-cm-aps09082</t>
  </si>
  <si>
    <t xml:space="preserve">Existing benchmark assignment and match quality retained. Live check 2 Oct 2026: 5-part set → APPROX.</t>
  </si>
  <si>
    <t xml:space="preserve">https://www.gastroladen.de/0860@GN-CJ645/Cambro-Tablotherm-Isolierte-Schale-mit-Porzellantellern-37-x-53-x-10-5-cm.htm</t>
  </si>
  <si>
    <t xml:space="preserve">https://www.intergastro.de/tablett-tablotherm-euronorm-isoliert-mit-geschirr-deckel-pellet-325159</t>
  </si>
  <si>
    <t xml:space="preserve">Insulated tray with 2-compartment porcelain plate + 3 bowls with lids; not a simple 5-6 compartment thermo tray; 2-3 weeks delivery</t>
  </si>
  <si>
    <t xml:space="preserve">https://www.nisbets.de/cambro-tablotherm-isolierte-schale-mit-porzellantellern-37-x-53-x-105-cm/cj645</t>
  </si>
  <si>
    <t xml:space="preserve">MENÜMOBIL ECO-Classic-Box EPP</t>
  </si>
  <si>
    <t xml:space="preserve">Insulated EPP meal-tray transport box (400 x 310 x 110 mm) for plates/bowls; number of compartments not stated and dishes sold separately - not a moulded 5-6 compartment thermo tray. 1,777 CZK bez DPH.</t>
  </si>
  <si>
    <t xml:space="preserve">https://www.gastrozone.cz/menumobil-eco-classic-box-epp.html</t>
  </si>
  <si>
    <t xml:space="preserve">MENÜMOBIL</t>
  </si>
  <si>
    <t xml:space="preserve">No insulated compartment tray found; search 'termoizolačný podnos' returns only trolleys/racks for thermo trays (DORA METAL), 'podnos s priehradkami' only wooden boxes.</t>
  </si>
  <si>
    <t xml:space="preserve">https://gastromania.sk/products/search/language:slo?q=termoizola%C4%8Dn%C3%BD+podnos</t>
  </si>
  <si>
    <t xml:space="preserve">No insulated compartment tray with lid found (searched 'termoizolačný podnos', 'termo tácka priehradky', 'podnos s priehradkami veko', 'menu box termo').</t>
  </si>
  <si>
    <t xml:space="preserve">https://www.gastrozone.sk/vyhladavanie/?text=termoizola%C4%8Dn%C3%BD+podnos</t>
  </si>
  <si>
    <t xml:space="preserve">Hendi HACCP Aufbewahrungsbehälter GN 1/1, 65 mm</t>
  </si>
  <si>
    <t xml:space="preserve">PP, BPA-free, 9 l</t>
  </si>
  <si>
    <t xml:space="preserve">https://www.allpax.at/product_info.php/info/Hendi-HACCP-Aufbewahrungsbehaelter-GN-1-1-65-mm.html</t>
  </si>
  <si>
    <t xml:space="preserve">Additional Austria/Czechia benchmark. Original assignment and match quality retained.</t>
  </si>
  <si>
    <t xml:space="preserve">research_AT.xlsx</t>
  </si>
  <si>
    <t xml:space="preserve">(6 Stück) Polypropylen-Behälter GN 1/1 - Milchig - Höhe: 65mm</t>
  </si>
  <si>
    <t xml:space="preserve">RRP 83.99</t>
  </si>
  <si>
    <t xml:space="preserve">https://www.ggmgastro.com/de-at-eur/6-stueck-polypropylen-behaelter-gn-1-1-milchig-hoehe-65mm-gpp1165-6</t>
  </si>
  <si>
    <t xml:space="preserve">Live 02.10.2026: Verfügbar ab 19.10.2026 (pre-order)</t>
  </si>
  <si>
    <t xml:space="preserve">Hendi GN-Behälter mit Deckel und HACCP-Clips, GN 1/1, 65 mm, 8 L, PP</t>
  </si>
  <si>
    <t xml:space="preserve">Includes lid and HACCP clips</t>
  </si>
  <si>
    <t xml:space="preserve">https://www.gastro-hero.at/products/hendi-gn-behaelter-mit-deckel-und-haccp-clips-gn-11-65-mm-8-l-pp-873335</t>
  </si>
  <si>
    <t xml:space="preserve">Hendi Gastronorm-Behälter 1/1, 9L, Transparent, 530x325x(H)65mm – Polypropylen</t>
  </si>
  <si>
    <t xml:space="preserve">https://www.gastrodax.de/hendi-gastronorm-behaelter-gn-1-1-9-l-transparent-530-x-325-x-h-65-mm</t>
  </si>
  <si>
    <t xml:space="preserve">Gastronormbehälter GN 1/1 x 65 mm GN 84 Polypropylen transparent</t>
  </si>
  <si>
    <t xml:space="preserve">Gross 9.76</t>
  </si>
  <si>
    <t xml:space="preserve">https://www.intergastro.at/gastronormbehaelter-gn-1-1-x-65-mm-gn-84-polypropylen-transparent-252104</t>
  </si>
  <si>
    <t xml:space="preserve">GN-Behälter - Inhalt 9,0 l - GN 1/1 (530 x 325 mm) - 65 mm - Polypropylen</t>
  </si>
  <si>
    <t xml:space="preserve">Regular price 13.55</t>
  </si>
  <si>
    <t xml:space="preserve">https://shopbuero.com/gn-behaelter-inhalt-9-0-l-gn-1-1-530-x-325-mm-65-mm-polypropylen/530000-C</t>
  </si>
  <si>
    <t xml:space="preserve">(6 ks) Polypropylenová nádoba GN 1/1 - Mléčná - Výška: 65 mm</t>
  </si>
  <si>
    <t xml:space="preserve">Net CZK as displayed (gross 1,245.13 at German 19%); SKU GPP1165-6</t>
  </si>
  <si>
    <t xml:space="preserve">https://www.ggmgastro.com/cs-cz-czk/6-ks-polypropylenova-nadoba-gn-1-1-mlecna-vyska-65-mm-gpp1165-6</t>
  </si>
  <si>
    <t xml:space="preserve">research_CZ.xlsx</t>
  </si>
  <si>
    <t xml:space="preserve">Gastronádoba 1/1 100 polypropylen</t>
  </si>
  <si>
    <t xml:space="preserve">Code 1814702-10; PP GN 1/1 but 100 mm deep (PP 1/1 range is 100/150/200 mm only, no 65 mm); 266.20 CZK incl. VAT</t>
  </si>
  <si>
    <t xml:space="preserve">https://eshop.gastronovotny.cz/gastronadoba-1-1-100-polypropylen--1814702-10/</t>
  </si>
  <si>
    <t xml:space="preserve">Nádoba z polypropylenu, GN 1/1, 65 mm | STALGAST, Bufet</t>
  </si>
  <si>
    <t xml:space="preserve">Lowest PP GN 1/1 65 listed; Cambro R-MP11065 234 CZK. (APS 82104 207 CZK named polycarbonate but listed under PP - conflicting, not used); price incl. 21% VAT as published in product data (current price, in stock)</t>
  </si>
  <si>
    <t xml:space="preserve">https://www.gastromania.cz/gastronadoby-polypropylenove/nadoba-z-polypropylenu-gn-1-1-65-mm-stalgast-bufet</t>
  </si>
  <si>
    <t xml:space="preserve">Pujadas gastro nádoba GN 1/1 530x325 mm polypropylen v=65 mm</t>
  </si>
  <si>
    <t xml:space="preserve">366.12 CZK bez DPH; code 227705320; in stock (central warehouse)</t>
  </si>
  <si>
    <t xml:space="preserve">https://www.gastrozone.cz/pujadas-gastro-nadoba-gn-1-1-530x325-mm-polypropylen-v-65-mm.html</t>
  </si>
  <si>
    <t xml:space="preserve">Gastronádoba polypropylenová GN 1/1 65 mm</t>
  </si>
  <si>
    <t xml:space="preserve">Code R-MP11065; 193 CZK bez DPH; in stock</t>
  </si>
  <si>
    <t xml:space="preserve">https://www.tomgast.cz/gastronadoba-polypropylenova-gn-1-1-65-mm/</t>
  </si>
  <si>
    <t xml:space="preserve">PC GN 1/3 Höhe 100 mm schwarz</t>
  </si>
  <si>
    <t xml:space="preserve">'jetzt' price; regular 5.69</t>
  </si>
  <si>
    <t xml:space="preserve">https://www.allpax.at/product_info.php/info/PC-GN-1-3-Hoehe-100-mm-schwarz.html</t>
  </si>
  <si>
    <t xml:space="preserve">(12 Stück) Polycarbonat-Behälter GN 1/3 - Schwarz - Höhe: 100mm</t>
  </si>
  <si>
    <t xml:space="preserve">https://www.ggmgastro.com/de-at-eur/12-stueck-polycarbonat-behaelter-gn-1-3-schwarz-hoehe-100mm-gpcp13100s</t>
  </si>
  <si>
    <t xml:space="preserve">RIEBER GN 1/3 Polycarbonat-Behälter - Tiefe 100mm</t>
  </si>
  <si>
    <t xml:space="preserve">Gross 15.60</t>
  </si>
  <si>
    <t xml:space="preserve">https://www.gastro-star.at/produkt/riebergn13polycarbonat-behaelter-tiefe100mm/</t>
  </si>
  <si>
    <t xml:space="preserve">Rieber</t>
  </si>
  <si>
    <t xml:space="preserve">Vogue GN-Behälter 1/3 Polycarbonat - Tiefe 100 mm</t>
  </si>
  <si>
    <t xml:space="preserve">Sale price (normal 6.59); min. qty 4</t>
  </si>
  <si>
    <t xml:space="preserve">https://www.gastro-hero.at/products/vogue-gn-behaelter-13-polycarbonat-tiefe-100-mm-u233</t>
  </si>
  <si>
    <t xml:space="preserve">B.PRO Gastronorm-Behälter 3,8 Liter Polycarbonat-GN 1/3 - 100 mm</t>
  </si>
  <si>
    <t xml:space="preserve">Sale price (normal 17.10); Hendi PC GN 1/3 100 mm 20.93</t>
  </si>
  <si>
    <t xml:space="preserve">https://www.gastrodax.de/b-pro-gastronorm-behaelter-3-8-liter-polycarbonat-gn-1-3-100-mm</t>
  </si>
  <si>
    <t xml:space="preserve">B.PRO</t>
  </si>
  <si>
    <t xml:space="preserve">Cambro Camview BPA-freier GN 1/3 Behälter 100mm</t>
  </si>
  <si>
    <t xml:space="preserve">BPA-free Camview copolyester, not standard polycarbonate; Vogue PC GN 1/3 only offered in 65/150/200 mm</t>
  </si>
  <si>
    <t xml:space="preserve">https://www.gastroladen.at/3020@GN-DW539/Cambro-Camview-BPA-freier-GN-1-3-Beh%C3%A4lter-100mm.htm</t>
  </si>
  <si>
    <t xml:space="preserve">Gastronorm Behälter GN 1/3 GN 96 BLACK Polycarbonat schwarz H 100 mm</t>
  </si>
  <si>
    <t xml:space="preserve">https://www.intergastro.at/gastronorm-behaelter-gn-1-3-gn-96-black-polycarbonat-schwarz-h-100-mm-1016777</t>
  </si>
  <si>
    <t xml:space="preserve">Stalgast Gastronormbehälter, Polycarbonat, GN 1/3 (100 mm)</t>
  </si>
  <si>
    <t xml:space="preserve">Black version 16.30</t>
  </si>
  <si>
    <t xml:space="preserve">https://www.jh-profishop.at/p/stalgast-gastronormbehaelter-polycarbonat-gn-1-3-100-mm-928263-347758/</t>
  </si>
  <si>
    <t xml:space="preserve">GN-Behälter - GN 1/3 (325 x 176 mm) - 100 mm - Inhalt 3,8 l - Polycarbonat</t>
  </si>
  <si>
    <t xml:space="preserve">Regular price 10.30</t>
  </si>
  <si>
    <t xml:space="preserve">https://shopbuero.com/gn-behaelter-gn-1-3-325-x-176-mm-100-mm-inhalt-3-8-l-polycarbonat/530121-C</t>
  </si>
  <si>
    <t xml:space="preserve">(12 ks) Gastronádoba GN 1/3 - polykarbonát - čirá - Výška: 100 mm</t>
  </si>
  <si>
    <t xml:space="preserve">SKU GPCP13100S; CZ title says 'čirá' (clear) while the same SKU is 'schwarz' on the German/Austrian storefronts</t>
  </si>
  <si>
    <t xml:space="preserve">https://www.ggmgastro.com/cs-cz-czk/12-ks-gastronadoba-gn-1-3-polykarbonat-cira-vyska-100-mm-gpcp13100s</t>
  </si>
  <si>
    <t xml:space="preserve">Gastronádoba PC 1/3 100</t>
  </si>
  <si>
    <t xml:space="preserve">Code 0835131; 192.39 CZK incl. VAT</t>
  </si>
  <si>
    <t xml:space="preserve">https://eshop.gastronovotny.cz/gastronadoba-pc-1-3-100--0835131/</t>
  </si>
  <si>
    <t xml:space="preserve">Gastro nádoba GN 1/3 100 mm, polykarbonát | YATO, YG-00411</t>
  </si>
  <si>
    <t xml:space="preserve">Lowest PC GN 1/3 100; Stalgast Bufet PC 191, Cambro 229 CZK; price incl. 21% VAT as published in product data (current price, in stock)</t>
  </si>
  <si>
    <t xml:space="preserve">https://www.gastromania.cz/gastronadoby-polykarbonatove/gastro-nadoba-gn-1-3-100-mm-polykarbonat-yato-yg-00411</t>
  </si>
  <si>
    <t xml:space="preserve">ARAVEN Gastronádoba GN 1/3, polykarbonát, hloubka: 100 mm, objem: 3,7 L</t>
  </si>
  <si>
    <t xml:space="preserve">233.88 CZK bez DPH; lowest PC GN 1/3 100; alternatives APS 295, Pujadas 381 CZK</t>
  </si>
  <si>
    <t xml:space="preserve">https://www.gastrozone.cz/araven-gn-nadoba-1-3-polykarbonat-hloubka-100-mm-objem-3-7-l.html</t>
  </si>
  <si>
    <t xml:space="preserve">Gastronádoba polykarbonátová GN 1/3 100 mm</t>
  </si>
  <si>
    <t xml:space="preserve">Code R-M213100; 189 CZK bez DPH</t>
  </si>
  <si>
    <t xml:space="preserve">https://www.tomgast.cz/gastronadoba-polykarbonatova-gn-1-3-100-mm-2/</t>
  </si>
  <si>
    <t xml:space="preserve">GN Behälter 1/2, 150 mm aus Kunststoff</t>
  </si>
  <si>
    <t xml:space="preserve">Plastic type not stated; 'jetzt' price, regular 5.85</t>
  </si>
  <si>
    <t xml:space="preserve">https://www.allpax.at/product_info.php/info/GN-Behaelter-1-2-150-mm-aus-Kunststoff.html</t>
  </si>
  <si>
    <t xml:space="preserve">(12 Stück) Polypropylen-Behälter GN 1/2 - Milchig - Höhe: 150mm</t>
  </si>
  <si>
    <t xml:space="preserve">https://www.ggmgastro.com/de-at-eur/12-stueck-polypropylen-behaelter-gn-1-2-milchig-hoehe-150mm-gpp12150</t>
  </si>
  <si>
    <t xml:space="preserve">Polypropylen Behälter GN 1/2 – 325x265x150mm</t>
  </si>
  <si>
    <t xml:space="preserve">https://www.gastro-star.at/produkt/polypropylenbehaeltergn12-325x265x150mm/</t>
  </si>
  <si>
    <t xml:space="preserve">Schneider PP GN 1/2 Behälter 150 mm, 9 l</t>
  </si>
  <si>
    <t xml:space="preserve">Min. qty 8</t>
  </si>
  <si>
    <t xml:space="preserve">https://www.gastro-hero.at/products/schneider-pp-gn-12-behaelter-150-mm-9-l-530012</t>
  </si>
  <si>
    <t xml:space="preserve">Hendi Gastronorm-Behälter 1/2, 9,5L, Transparent, 325x265x(H)150mm – Polypropylen</t>
  </si>
  <si>
    <t xml:space="preserve">https://www.gastrodax.de/hendi-haccp-aufbewahrungsbehaelter-gn-1-2-9-5-l-transparent-325-x-265-x-h-150-mm</t>
  </si>
  <si>
    <t xml:space="preserve">Cambro Polypropylen GN 1/2 Behälter 150mm</t>
  </si>
  <si>
    <t xml:space="preserve">8.9 l</t>
  </si>
  <si>
    <t xml:space="preserve">https://www.gastroladen.at/3030@GN-DW503/Cambro-Polypropylen-GN-1-2-Beh%C3%A4lter-150mm.htm</t>
  </si>
  <si>
    <t xml:space="preserve">GN Behälter GN 1/2 x 150 mm Kunststoff</t>
  </si>
  <si>
    <t xml:space="preserve">Plastic type not stated on page (APS PP line); the WAS GN 84 PP 1/2 150 mm is only a variant option of the 65 mm page and not separately priced</t>
  </si>
  <si>
    <t xml:space="preserve">https://www.intergastro.at/gn-behaelter-gn-1-2-x-150-mm-kunststoff-253638</t>
  </si>
  <si>
    <t xml:space="preserve">Includes lid (container not sold separately)</t>
  </si>
  <si>
    <t xml:space="preserve">GN-Behälter - BPA frei - Serie 84 - 9,0 l - GN 1/2 - 150 mm - Polypropylen</t>
  </si>
  <si>
    <t xml:space="preserve">Regular price 7.40</t>
  </si>
  <si>
    <t xml:space="preserve">https://shopbuero.com/gn-behaelter-bpa-frei-serie-84-inhalt-9-0-l-gn-1-2-325-x-265-mm-150-mm-polypropylen-premium-qualitaet/8412150-A</t>
  </si>
  <si>
    <t xml:space="preserve">(12 ks) Gastronádoba GN 1/2 - polypropylen - mléčná - Výška: 150 mm</t>
  </si>
  <si>
    <t xml:space="preserve">SKU GPP12150</t>
  </si>
  <si>
    <t xml:space="preserve">https://www.ggmgastro.com/cs-cz-czk/12-ks-gastronadoba-gn-1-2-polypropylen-mlecna-vyska-150-mm-gpp12150</t>
  </si>
  <si>
    <t xml:space="preserve">Gastronádoba 1/2 150 polypropylen</t>
  </si>
  <si>
    <t xml:space="preserve">Code 1814705-15; 169.40 CZK incl. VAT</t>
  </si>
  <si>
    <t xml:space="preserve">https://eshop.gastronovotny.cz/gastronadoba-1-2-150-polypropylen--1814705-15/</t>
  </si>
  <si>
    <t xml:space="preserve">Nádoba z polypropylenu, GN 1/2, 150 mm | STALGAST, Bufet</t>
  </si>
  <si>
    <t xml:space="preserve">Cambro R-MP12150 227 CZK; price incl. 21% VAT as published in product data (current price, in stock)</t>
  </si>
  <si>
    <t xml:space="preserve">https://www.gastromania.cz/gastronadoby-polypropylenove/nadoba-z-polypropylenu-gn-1-2-150-mm-stalgast-bufet</t>
  </si>
  <si>
    <t xml:space="preserve">gastro nádoba GN 1/2 polypropylen v=150 mm Pujadas</t>
  </si>
  <si>
    <t xml:space="preserve">276.03 CZK bez DPH; in stock</t>
  </si>
  <si>
    <t xml:space="preserve">https://www.gastrozone.cz/gastro-nadoba-gn-1-2-polypropylen-v-150-mm-pujadas.html</t>
  </si>
  <si>
    <t xml:space="preserve">Gastronádoba polypropylenová GN 1/2 150 mm</t>
  </si>
  <si>
    <t xml:space="preserve">Code R-MP12150; 188 CZK bez DPH</t>
  </si>
  <si>
    <t xml:space="preserve">https://www.tomgast.cz/gastronadoba-polypropylenova-gn-1-2-150-mm-2/</t>
  </si>
  <si>
    <t xml:space="preserve">PC GN Deckel 1/1 schwarz</t>
  </si>
  <si>
    <t xml:space="preserve">Black PC; regular 9.29</t>
  </si>
  <si>
    <t xml:space="preserve">https://www.allpax.at/product_info.php/info/PC-GN-Deckel-1-1-schwarz.html</t>
  </si>
  <si>
    <t xml:space="preserve">(6 Stück) Polycarbonat-Deckel GN 1/1 - Höhe: 35mm</t>
  </si>
  <si>
    <t xml:space="preserve">PC lid with 35 mm height (raised rather than flat standard lid)</t>
  </si>
  <si>
    <t xml:space="preserve">https://www.ggmgastro.com/de-at-eur/6-stueck-polycarbonat-deckel-gn-1-1-hoehe-35mm-82001-6</t>
  </si>
  <si>
    <t xml:space="preserve">RIEBER-Polycarbonat Flachdeckel für GN 1/1 Behälter</t>
  </si>
  <si>
    <t xml:space="preserve">Flat PC lid</t>
  </si>
  <si>
    <t xml:space="preserve">https://www.gastro-star.at/produkt/rieber-polycarbonatflachdeckelfuergn11behaelter/</t>
  </si>
  <si>
    <t xml:space="preserve">Vogue GN-Deckel 1/1 Polycarbonat</t>
  </si>
  <si>
    <t xml:space="preserve">Sale price (normal 10.89); min. qty 4</t>
  </si>
  <si>
    <t xml:space="preserve">https://www.gastro-hero.at/products/vogue-gn-deckel-11-polycarbonat-u244</t>
  </si>
  <si>
    <t xml:space="preserve">Hendi Gastronorm-Deckel, GN 1/1, Polykarbonat transparent, 530 x 325 mm</t>
  </si>
  <si>
    <t xml:space="preserve">https://www.gastrodax.de/hendi-gastronorm-deckel-gn-1-1-polykarbonat-transparent-530-x-325-mm</t>
  </si>
  <si>
    <t xml:space="preserve">Cambro Polycarbonat Deckel GN 1/1 mit Griff</t>
  </si>
  <si>
    <t xml:space="preserve">Flat PC lid with handle</t>
  </si>
  <si>
    <t xml:space="preserve">https://www.gastroladen.at/3020@GN-DM742/Cambro-Polycarbonat-Deckel-GN-1-1-mit-Griff.htm</t>
  </si>
  <si>
    <t xml:space="preserve">GN Deckel GN 1/1 Polycarbonat transparent</t>
  </si>
  <si>
    <t xml:space="preserve">https://www.intergastro.at/gn-deckel-gn-1-1-polycarbonat-transparent-252033</t>
  </si>
  <si>
    <t xml:space="preserve">GN-Deckel - aufliegend - GN 1/1 (530 x 325 mm) - Polycarbonat</t>
  </si>
  <si>
    <t xml:space="preserve">Regular price 16.55</t>
  </si>
  <si>
    <t xml:space="preserve">https://shopbuero.com/gn-deckel-aufliegend-gn-1-1-530-x-325-mm-polycarbonat/530105-C</t>
  </si>
  <si>
    <t xml:space="preserve">(6 ks) GN kryt GN 1/1 - Polykarbonát - Výška: 35 mm</t>
  </si>
  <si>
    <t xml:space="preserve">PC lid 35 mm high (raised rather than flat standard lid)</t>
  </si>
  <si>
    <t xml:space="preserve">https://www.ggmgastro.com/cs-cz-czk/6-ks-gn-kryt-gn-1-1-polykarbonat-vyska-35-mm-82001-6</t>
  </si>
  <si>
    <t xml:space="preserve">Víko PC GN 1/1</t>
  </si>
  <si>
    <t xml:space="preserve">Code 0835161; polycarbonate plain lid; 301.29 CZK incl. VAT</t>
  </si>
  <si>
    <t xml:space="preserve">https://eshop.gastronovotny.cz/viko-pc-gn-1-1--0835161/</t>
  </si>
  <si>
    <t xml:space="preserve">Polykarbonátové víko, GN 1/1 | STALGAST, Bufet</t>
  </si>
  <si>
    <t xml:space="preserve">Plain PC lid; Stalgast Premium clear lid 269 CZK (material not in name), Cambro R-M211001 357 CZK; price incl. 21% VAT as published in product data (current price, in stock)</t>
  </si>
  <si>
    <t xml:space="preserve">https://www.gastromania.cz/vika-gn-polykarbonatove/polykarbonatove-viko-gn-1-1-stalgast-bufet</t>
  </si>
  <si>
    <t xml:space="preserve">ARAVEN Víko na gastronádobu GN 1/1, polykarbonát, volné</t>
  </si>
  <si>
    <t xml:space="preserve">314.05 CZK bez DPH; plain loose PC lid; APS PC lid 394 CZK</t>
  </si>
  <si>
    <t xml:space="preserve">https://www.gastrozone.cz/araven-gn-deckel-1-1-polykarbonat-volny.html</t>
  </si>
  <si>
    <t xml:space="preserve">Víko pro gastronádobu GN 1/1</t>
  </si>
  <si>
    <t xml:space="preserve">Code R-M211001; material polykarbonát, plain lid, price per 1 piece; 295 CZK bez DPH</t>
  </si>
  <si>
    <t xml:space="preserve">https://www.tomgast.cz/viko-pro-gastronadobu-gn-1-1/</t>
  </si>
  <si>
    <t xml:space="preserve">(12 Stück) Polypropylen-Behälter GN 1/6 - Milchig - Höhe: 100mm</t>
  </si>
  <si>
    <t xml:space="preserve">https://www.ggmgastro.com/de-at-eur/12-stueck-polypropylen-behaelter-gn-1-6-milchig-hoehe-100mm-gpp16100-12</t>
  </si>
  <si>
    <t xml:space="preserve">Polypropylen Behälter GN 1/6 – 176x162x100mm</t>
  </si>
  <si>
    <t xml:space="preserve">https://www.gastro-star.at/produkt/polypropylenbehaeltergn16-176x162x100mm/</t>
  </si>
  <si>
    <t xml:space="preserve">Schneider PP GN 1/6 Behälter 100 mm, 1,6 l</t>
  </si>
  <si>
    <t xml:space="preserve">https://www.gastro-hero.at/products/schneider-pp-gn-16-behaelter-100-mm-16-l-530041</t>
  </si>
  <si>
    <t xml:space="preserve">Hendi Gastronorm-Behälter 1/6, 1,6L, Transparent, 176x162x(H)100mm (HACCP-Aufbewahrungsbehälter)</t>
  </si>
  <si>
    <t xml:space="preserve">Hendi HACCP storage line, which is PP (the GN 1/3 sibling is labelled Polypropylen); this page does not state the material</t>
  </si>
  <si>
    <t xml:space="preserve">https://www.gastrodax.de/hendi-haccp-aufbewahrungsbehaelter-gn-1-6-1-6-l-transparent-176-x-162-x-h-100-mm</t>
  </si>
  <si>
    <t xml:space="preserve">Cambro Polypropylen GN 1/6 Behälter 100mm</t>
  </si>
  <si>
    <t xml:space="preserve">1.5 l</t>
  </si>
  <si>
    <t xml:space="preserve">https://www.gastroladen.at/3030@GN-DW508/Cambro-Polypropylen-GN-1-6-Beh%C3%A4lter-100mm.htm</t>
  </si>
  <si>
    <t xml:space="preserve">Gastronorm-Schale GN 1/6 x 100 mm Kunststoff transparent (Cambro PP)</t>
  </si>
  <si>
    <t xml:space="preserve">Price per piece but sold in VPE of 6; APS GN 1/6 x 100 mm 'Kunststoff' 2.86</t>
  </si>
  <si>
    <t xml:space="preserve">https://www.intergastro.at/gastronorm-schale-gn-1-6-x-100-mm-kunststoff-transparent-252808</t>
  </si>
  <si>
    <t xml:space="preserve">Stalgast Gastronormbehälter, Polypropylen, GN 1/6 (100 mm)</t>
  </si>
  <si>
    <t xml:space="preserve">https://www.jh-profishop.at/p/stalgast-gastronormbehaelter-polypropylen-gn-1-6-100-mm-928365-347888/</t>
  </si>
  <si>
    <t xml:space="preserve">GN-Behälter - Inhalt 1,6 l - GN 1/6 (176 x 162 mm) - 100 mm - Polypropylen</t>
  </si>
  <si>
    <t xml:space="preserve">Regular price 4.25</t>
  </si>
  <si>
    <t xml:space="preserve">https://shopbuero.com/gn-behaelter-inhalt-1-6-l-gn-1-6-176-x-162-mm-100-mm-polypropylen/530041-C</t>
  </si>
  <si>
    <t xml:space="preserve">(12 ks) Polypropylenová nádoba GN 1/6 - Mléčná - Výška: 100 mm</t>
  </si>
  <si>
    <t xml:space="preserve">https://www.ggmgastro.com/cs-cz-czk/12-ks-polypropylenova-nadoba-gn-1-6-mlecna-vyska-100-mm-gpp16100-12</t>
  </si>
  <si>
    <t xml:space="preserve">Gastronádoba 1/6 100 polypropylen</t>
  </si>
  <si>
    <t xml:space="preserve">Code 1814709-10; 90.75 CZK incl. VAT</t>
  </si>
  <si>
    <t xml:space="preserve">https://eshop.gastronovotny.cz/gastronadoba-1-6-100-polypropylen/</t>
  </si>
  <si>
    <t xml:space="preserve">Nádoba z polypropylenu, GN 1/6, 100 mm | STALGAST, Bufet</t>
  </si>
  <si>
    <t xml:space="preserve">Cambro R-MP16100 94 CZK; price incl. 21% VAT as published in product data (current price, in stock)</t>
  </si>
  <si>
    <t xml:space="preserve">https://www.gastromania.cz/gastronadoby-polypropylenove/nadoba-z-polypropylenu-gn-1-6-100-mm-stalgast-bufet</t>
  </si>
  <si>
    <t xml:space="preserve">Pujadas gastro nádoba GN 1/6 176x162 mm polypropylen v=100 mm</t>
  </si>
  <si>
    <t xml:space="preserve">107.44 CZK bez DPH; APS PP alternative 137 CZK</t>
  </si>
  <si>
    <t xml:space="preserve">https://www.gastrozone.cz/pujadas-gastro-nadoba-gn-1-6-176x162-mm-polypropylen-v-100-mm.html</t>
  </si>
  <si>
    <t xml:space="preserve">Gastronádoba polypropylenová GN 1/6 100 mm</t>
  </si>
  <si>
    <t xml:space="preserve">Code R-MP16100; 78 CZK bez DPH</t>
  </si>
  <si>
    <t xml:space="preserve">https://www.tomgast.cz/gastronadoba-polypropylenova-gn-1-6-100-mm-2/</t>
  </si>
  <si>
    <t xml:space="preserve">(12 Stück) Polypropylen-Behälter GN 1/9 - Milchig - Höhe: 100mm</t>
  </si>
  <si>
    <t xml:space="preserve">https://www.ggmgastro.com/de-at-eur/12-stueck-polypropylen-behaelter-gn-1-9-milchig-hoehe-100mm-gpp19100-12</t>
  </si>
  <si>
    <t xml:space="preserve">Polypropylen Behälter GN 1/9 – 176x108x100mm</t>
  </si>
  <si>
    <t xml:space="preserve">https://www.gastro-star.at/produkt/polypropylenbehaeltergn19-176x108x100mm/</t>
  </si>
  <si>
    <t xml:space="preserve">Hendi GN-Behälter mit Deckel und HACCP-Clips, GN 1/9, 100 mm, 1 L, PP</t>
  </si>
  <si>
    <t xml:space="preserve">https://www.gastro-hero.at/products/hendi-gn-behaelter-mit-deckel-und-haccp-clips-gn-19-100-mm-1-l-pp-873137</t>
  </si>
  <si>
    <t xml:space="preserve">Hendi Gastronorm-Behälter 1/9, 0,9L, Transparent, 176x108x(H)100mm (HACCP-Aufbewahrungsbehälter)</t>
  </si>
  <si>
    <t xml:space="preserve">Hendi HACCP storage line (PP); material not stated on this page</t>
  </si>
  <si>
    <t xml:space="preserve">https://www.gastrodax.de/hendi-haccp-aufbewahrungsbehaelter-gn-1-9-1-l-transparent-176-x-108-x-h-100-mm</t>
  </si>
  <si>
    <t xml:space="preserve">Gastronorm-Schale GN 1/9 x 100 mm Kunststoff transparent (Cambro PP)</t>
  </si>
  <si>
    <t xml:space="preserve">Price per piece, sold in VPE of 6</t>
  </si>
  <si>
    <t xml:space="preserve">https://www.intergastro.at/gastronorm-schale-gn-1-9-x-100-mm-kunststoff-transparent-252816</t>
  </si>
  <si>
    <t xml:space="preserve">Stalgast ARAVEN Gastronormbehälter mit Deckel, Polypropylen, GN 1/9 (100 mm)</t>
  </si>
  <si>
    <t xml:space="preserve">Includes lid</t>
  </si>
  <si>
    <t xml:space="preserve">https://www.jh-profishop.at/p/stalgast-araven-gastronormbehaelter-mit-deckel-polypropylen-gn-1-9-100-mm-928375-347898/</t>
  </si>
  <si>
    <t xml:space="preserve">GN-Behälter - Inhalt 0,9 l - GN 1/9 (176 x 108 mm) - 100 mm - Polypropylen</t>
  </si>
  <si>
    <t xml:space="preserve">Regular price 3.30</t>
  </si>
  <si>
    <t xml:space="preserve">https://shopbuero.com/gn-behaelter-inhalt-0-9-l-gn-1-9-176-x-108-mm-100-mm-polypropylen/530051-C</t>
  </si>
  <si>
    <t xml:space="preserve">(12 ks) Polypropylenová nádoba GN 1/9 - Mléčná - Výška: 100 mm</t>
  </si>
  <si>
    <t xml:space="preserve">https://www.ggmgastro.com/cs-cz-czk/12-ks-polypropylenova-nadoba-gn-1-9-mlecna-vyska-100-mm-gpp19100-12</t>
  </si>
  <si>
    <t xml:space="preserve">Nádoba z polypropylénu GN 1/9, 100 mm | STALGAST, Bufet Safe</t>
  </si>
  <si>
    <t xml:space="preserve">HENDI Profi Line PP 95, Cambro 105 CZK; price incl. 21% VAT as published in product data (current price, in stock)</t>
  </si>
  <si>
    <t xml:space="preserve">https://www.gastromania.cz/gastronadoby-polypropylenove/nadoba-z-polypropylenu-gn-1-9-100-mm-stalgast-bufet-safe</t>
  </si>
  <si>
    <t xml:space="preserve">APS GN-nádoba Polypropylen, GN 1/9, objem: 1,00 litr, hloubka: 100 mm</t>
  </si>
  <si>
    <t xml:space="preserve">102.48 CZK bez DPH; availability not shown as in stock; Pujadas PP 1/9 100 in stock 159 CZK</t>
  </si>
  <si>
    <t xml:space="preserve">https://www.gastrozone.cz/aps-gn-nadoba-z-polypropylenu-gn-1-9-obsah-1-00-litru-hloubka-100-mm.html</t>
  </si>
  <si>
    <t xml:space="preserve">Gastronádoba polypropylenová GN 1/9 100 mm</t>
  </si>
  <si>
    <t xml:space="preserve">Code R-MP19100; 87 CZK bez DPH. A clearance item MP-19100 (TOMGAST brand, "only until stock runs out") is 74 CZK incl.</t>
  </si>
  <si>
    <t xml:space="preserve">https://www.tomgast.cz/gastronadoba-polypropylenova-gn-1-9-100-mm/</t>
  </si>
  <si>
    <t xml:space="preserve">Hendi Quetschflasche in Transparent, 200 ml</t>
  </si>
  <si>
    <t xml:space="preserve">200 ml (vs 250); plastic type not stated; cap</t>
  </si>
  <si>
    <t xml:space="preserve">https://www.allpax.at/product_info.php/info/Hendi-Quetschflasche-in-Transparent-200-ml.html</t>
  </si>
  <si>
    <t xml:space="preserve">Dosierflasche, weiß, 250 ml, Schraubdeckel und Verschlusskappe</t>
  </si>
  <si>
    <t xml:space="preserve">Material not stated on page</t>
  </si>
  <si>
    <t xml:space="preserve">https://www.gastro-hero.at/products/dosierflasche-weiss-250-ml-schraubdeckel-und-verschlusskappe-1460251</t>
  </si>
  <si>
    <t xml:space="preserve">Contacto Quetschflasche 0,25 l</t>
  </si>
  <si>
    <t xml:space="preserve">Polyethylene (not PP), screw cap with closure cap; sale price (normal 1.05)</t>
  </si>
  <si>
    <t xml:space="preserve">https://www.gastrodax.de/contacto-quetschflasche-0-25-l-1</t>
  </si>
  <si>
    <t xml:space="preserve">Vogue Quetschflasche klar 237ml</t>
  </si>
  <si>
    <t xml:space="preserve">237 ml, polyethylene (not PP)</t>
  </si>
  <si>
    <t xml:space="preserve">https://www.gastroladen.at/G16771B@GN-K062/Vogue-Quetschflasche-klar-237ml.htm</t>
  </si>
  <si>
    <t xml:space="preserve">Quetschflasche Kunststoff 250 ml weiß transluzent Schraubdeckel</t>
  </si>
  <si>
    <t xml:space="preserve">Polyethylene (not PP)</t>
  </si>
  <si>
    <t xml:space="preserve">https://www.intergastro.at/quetschflasche-kunststoff-250-ml-weiss-transluzent-schraubdeckel-50-mm-h-190-mm-247045</t>
  </si>
  <si>
    <t xml:space="preserve">354 ml instead of 250 ml; plastic type not stated. Smallest squeeze bottle listed; 35.09 CZK incl. VAT</t>
  </si>
  <si>
    <t xml:space="preserve">Dávkovač na omáčky z polyethylenu 0,25 l průhledný | CONTACTO, 1460/251</t>
  </si>
  <si>
    <t xml:space="preserve">250 ml but polyethylene (not PP); 35 CZK bez DPH shown; price incl. 21% VAT as published in product data (current price, in stock)</t>
  </si>
  <si>
    <t xml:space="preserve">https://www.gastromania.cz/davkovace-omacek/davkovac-na-omacky-z-polyethylenu-0-25-l-pruhledny-contacto-1460-251</t>
  </si>
  <si>
    <t xml:space="preserve">Araven Mini Dávkovací láhev na omáčky, obsah: 0,25 l</t>
  </si>
  <si>
    <t xml:space="preserve">81.82 CZK bez DPH; 250 ml but HDPE (not PP), screw cap. HENDI 0.2 l LDPE 67 CZK</t>
  </si>
  <si>
    <t xml:space="preserve">https://www.gastrozone.cz/araven-mini-davkovaci-lahvicka-obsah-0-25-l-vyska-167-mm-prumer-56-mm.html</t>
  </si>
  <si>
    <t xml:space="preserve">Dávkovač na omáčky  250 ml</t>
  </si>
  <si>
    <t xml:space="preserve">Code E-61925; 250 ml but polyethylene (not PP); 43 CZK bez DPH</t>
  </si>
  <si>
    <t xml:space="preserve">https://www.tomgast.cz/davkovac-na-omacky--250-ml/</t>
  </si>
  <si>
    <t xml:space="preserve">Hendi Quetschflasche in Transparent, 700 ml</t>
  </si>
  <si>
    <t xml:space="preserve">700 ml; plastic type not stated; cap</t>
  </si>
  <si>
    <t xml:space="preserve">https://www.allpax.at/product_info.php/info/Hendi-Quetschflasche-in-Transparent-700-ml.html</t>
  </si>
  <si>
    <t xml:space="preserve">(6 Stück) Quetschflasche mit mittlerer Membran - 710ml</t>
  </si>
  <si>
    <t xml:space="preserve">710 ml, FIFO type with valve; material not stated</t>
  </si>
  <si>
    <t xml:space="preserve">https://www.ggmgastro.com/de-at-eur/6-stueck-quetschflasche-mit-mittlerer-membran-710ml-ffo-004</t>
  </si>
  <si>
    <t xml:space="preserve">Vogue Quetschflasche gelb 681ml</t>
  </si>
  <si>
    <t xml:space="preserve">681 ml; material not stated on page; sale price (normal 1.69); min. qty 4</t>
  </si>
  <si>
    <t xml:space="preserve">https://www.gastro-hero.at/products/vogue-quetschflasche-gelb-681ml-k158</t>
  </si>
  <si>
    <t xml:space="preserve">Contacto Quetschflasche 0,7 l</t>
  </si>
  <si>
    <t xml:space="preserve">700 ml; polyethylene; sale price (normal 1.35). Same URL also lists a 2.56 variant</t>
  </si>
  <si>
    <t xml:space="preserve">https://www.gastrodax.de/contacto-quetschflasche-0-7-l-2</t>
  </si>
  <si>
    <t xml:space="preserve">Vogue Quetschflasche klar 681ml</t>
  </si>
  <si>
    <t xml:space="preserve">681 ml, polyethylene (not PP)</t>
  </si>
  <si>
    <t xml:space="preserve">https://www.gastroladen.at/G16771B@GN-K163/Vogue-Quetschflasche-klar-681ml.htm</t>
  </si>
  <si>
    <t xml:space="preserve">Quetschflasche 700 ml Kunststoff weiß transluzent Schraubdeckel</t>
  </si>
  <si>
    <t xml:space="preserve">700 ml, polyethylene (not PP)</t>
  </si>
  <si>
    <t xml:space="preserve">https://www.intergastro.at/quetschflasche-700-ml-kunststoff-weiss-transluzent-schraubdeckel-65-mm-h-240-mm-247043</t>
  </si>
  <si>
    <t xml:space="preserve">(6 ks) Stlačovací lahev na omáčky se středovou membránou - 710 ml</t>
  </si>
  <si>
    <t xml:space="preserve">710 ml FIFO bottle with valve, screw cap and closing cap; material not stated</t>
  </si>
  <si>
    <t xml:space="preserve">https://www.ggmgastro.com/cs-cz-czk/6-ks-stlacovaci-lahev-na-omacky-se-stredovou-membranou-710-ml-se-sroubovacim-uzaverem-a-uzaviraci-cepickou-ffo-004</t>
  </si>
  <si>
    <t xml:space="preserve">Plastová láhev zdobící 708ml</t>
  </si>
  <si>
    <t xml:space="preserve">Code 255047026; 708 ml decorating squeeze bottle, single tip; plastic type not stated (flagged); 47.19 CZK incl. VAT</t>
  </si>
  <si>
    <t xml:space="preserve">https://eshop.gastronovotny.cz/plastova-lahev-zdobici-708ml--255047026/</t>
  </si>
  <si>
    <t xml:space="preserve">Dávkovač na omáčky 720 ml, transparentní | TOM-GAST, MA-966</t>
  </si>
  <si>
    <t xml:space="preserve">720 ml, polyethylene (not PP); Contacto PE 0.7 l 55 CZK, APS 0.76 l set of 6 361 CZK; price incl. 21% VAT as published in product data (current price, in stock)</t>
  </si>
  <si>
    <t xml:space="preserve">https://www.gastromania.cz/davkovace-omacek/davkovac-na-omacky-720-ml-transparentni-tom-gast-ma-966</t>
  </si>
  <si>
    <t xml:space="preserve">ARAVEN Mačkací láhev, LDPE, ø: 75 mm, výška: 273 mm, objem: 0,75 L, bílá</t>
  </si>
  <si>
    <t xml:space="preserve">127.27 CZK bez DPH; 750 ml but LDPE (not PP). Cheaper: Contacto 700 ml PE 54 CZK, HENDI 0.7 l LDPE 74 CZK</t>
  </si>
  <si>
    <t xml:space="preserve">https://www.gastrozone.cz/araven-stlacovaci-lahev-ldpe-o-75-mm-vyska-273-mm-objem-0-75-l-bila.html</t>
  </si>
  <si>
    <t xml:space="preserve">Dávkovač na omáčky 720 ml, transparentní</t>
  </si>
  <si>
    <t xml:space="preserve">Code MA-966; 720 ml, polyethylene (not PP); 28 CZK bez DPH. Laco 700 ml (E-61970) is 64 CZK incl.</t>
  </si>
  <si>
    <t xml:space="preserve">https://www.tomgast.cz/davkovac-na-omacky-720-ml--transparentni/</t>
  </si>
  <si>
    <t xml:space="preserve">Hendi Schneidebrett 45 x 30 cm in Rot</t>
  </si>
  <si>
    <t xml:space="preserve">Red, 450x300x13 mm (vs 400x300x20)</t>
  </si>
  <si>
    <t xml:space="preserve">https://www.allpax.at/product_info.php/info/Hendi-Schneidebrett-45-x-30-cm-in-Rot.html</t>
  </si>
  <si>
    <t xml:space="preserve">Schneidebrett - 250x400mm - HACCP-Konform - Rot</t>
  </si>
  <si>
    <t xml:space="preserve">Red HACCP board but 250x400 mm (vs 400x300)</t>
  </si>
  <si>
    <t xml:space="preserve">https://www.ggmgastro.com/de-at-eur/schneidebrett-250x400mm-haccp-konform-rot-sbp25r</t>
  </si>
  <si>
    <t xml:space="preserve">Schneidbrett 45 x 30 x 1,3 cm - HDPE rot</t>
  </si>
  <si>
    <t xml:space="preserve">Red HDPE but 450x300x13 mm (vs 400x300x20)</t>
  </si>
  <si>
    <t xml:space="preserve">https://www.gastro-hero.at/products/schneidbrett-45-x-30-x-1-3-cm-hdpe-rot</t>
  </si>
  <si>
    <t xml:space="preserve">Hendi Schneidbretter HACCP 450x300, Rot</t>
  </si>
  <si>
    <t xml:space="preserve">Red, 450x300 mm (vs 400x300); thickness not checked</t>
  </si>
  <si>
    <t xml:space="preserve">https://www.gastrodax.de/hendi-schneidbretter-haccp-450-x-300-mm-rot</t>
  </si>
  <si>
    <t xml:space="preserve">Hygiplas standard Schneidebrett mit hoher Dichte rot 450x300x12mm</t>
  </si>
  <si>
    <t xml:space="preserve">Red HDPE but 450x300x12 mm (vs 400x300x20)</t>
  </si>
  <si>
    <t xml:space="preserve">https://www.gastroladen.at/2310@GN-J010/Hygiplas-standard-Schneidebrett-mit-hoher-Dichte-rot.htm</t>
  </si>
  <si>
    <t xml:space="preserve">Schneidebrett rot HDPE 500, 400 mm x 300 mm</t>
  </si>
  <si>
    <t xml:space="preserve">Red HDPE; 20 mm per the series size list (400 x 300 x H 20 mm)</t>
  </si>
  <si>
    <t xml:space="preserve">https://www.intergastro.at/schneidebrett-rot-hdpe-500-400-mm-x-300-mm-997227</t>
  </si>
  <si>
    <t xml:space="preserve">Comas</t>
  </si>
  <si>
    <t xml:space="preserve">Stalgast Schneidbrett, HACCP, Farbe rot, 450 x 300 x 13 mm</t>
  </si>
  <si>
    <t xml:space="preserve">Red but 450x300x13 mm (vs 400x300x20)</t>
  </si>
  <si>
    <t xml:space="preserve">https://www.jh-profishop.at/p/stalgast-schneidbrett-haccp-farbe-rot-450-x-300-x-13-mm-bxtxh-928724-348321/</t>
  </si>
  <si>
    <t xml:space="preserve">Krájecí deska - EN 250x400 - Dle HACCP - Červená</t>
  </si>
  <si>
    <t xml:space="preserve">https://www.ggmgastro.com/cs-cz-czk/krajeci-deska-en-250x400-dle-haccp-cervena-sbp25r</t>
  </si>
  <si>
    <t xml:space="preserve">Krájecí deska HACCP, červená, 450x300 mm | HENDI, 827017</t>
  </si>
  <si>
    <t xml:space="preserve">Red PE but 450 x 300 mm (no 400 x 300 board listed); thickness not in title; 251 CZK bez DPH; price incl. 21% VAT as published in product data (current price, in stock)</t>
  </si>
  <si>
    <t xml:space="preserve">https://www.gastromania.cz/plastove-krajeci-desky-haccp/krajeci-deska-haccp-cervena-450x300-mm-hendi-827017</t>
  </si>
  <si>
    <t xml:space="preserve">Gastro Prkénko krájecí plastové 40x30x2 cm, s drážkou, bílé</t>
  </si>
  <si>
    <t xml:space="preserve">894.21 CZK bez DPH; 400 x 300 x 20 mm with groove, but white (red only in 10 mm: 619 CZK incl.); material stated only as "Plast" (PE not confirmed)</t>
  </si>
  <si>
    <t xml:space="preserve">https://www.gastrozone.cz/gastro-prkenko-krajeci-plastove-40x30x2-cm-s-drazkou-bile.html</t>
  </si>
  <si>
    <t xml:space="preserve">Deska 450 × 300 × 13 mm, červená</t>
  </si>
  <si>
    <t xml:space="preserve">Code T-3045-R; red PE but 450 x 300 x 13 mm (no red 400 x 300 x 20 listed); 292 CZK bez DPH</t>
  </si>
  <si>
    <t xml:space="preserve">https://www.tomgast.cz/deska-450--300--13-mm--cervena/</t>
  </si>
  <si>
    <t xml:space="preserve">9-tlg Teigbehälter-Set - 8 Behälter &amp; 1 Deckel - EN 600x400 - Höhe: 75mm - Polypropylen</t>
  </si>
  <si>
    <t xml:space="preserve">Only sold as set of 8 PP boxes plus 1 lid; net per box includes a share of the lid</t>
  </si>
  <si>
    <t xml:space="preserve">https://www.ggmgastro.com/de-at-eur/9-tlg-teigbehaelter-set-8-behaelter-und-1-deckel-en-600x400-hoehe-75mm-polypropylen-weiss-tbpp647</t>
  </si>
  <si>
    <t xml:space="preserve">WAS Pizzaballenbehälter 60 x 40 x 8 cm Polypropylen</t>
  </si>
  <si>
    <t xml:space="preserve">80 mm instead of 75 mm; PP; no lid</t>
  </si>
  <si>
    <t xml:space="preserve">https://www.gastrodax.de/was-pizzaballenbehaelter-60-x-40-x-8-cm-polypropylen</t>
  </si>
  <si>
    <t xml:space="preserve">Cambro Pizzateigkiste aus Polyethylen 60x40x7cm</t>
  </si>
  <si>
    <t xml:space="preserve">Polyethylene (not PP), 70 mm high; no lid</t>
  </si>
  <si>
    <t xml:space="preserve">https://www.gastroladen.at/G16888@GN-FS330/Cambro-Pizzateigkiste-aus-Polyethylen-60x40x7cm.htm</t>
  </si>
  <si>
    <t xml:space="preserve">Pizzaballenbehälter weiß 600 x 400 x 80 mm, PP</t>
  </si>
  <si>
    <t xml:space="preserve">80 mm instead of 75 mm; PP; no lid. Contacto 600x400x75 (material not stated) 10.02</t>
  </si>
  <si>
    <t xml:space="preserve">https://www.intergastro.at/pizzaballenbehaelter-weiss-600-mm-x-400-mm-h-80-mm-967927</t>
  </si>
  <si>
    <t xml:space="preserve">70 mm instead of 75 mm; PP per title</t>
  </si>
  <si>
    <t xml:space="preserve">Teigwanne - ohne Deckel - 60,0 x 40,0 x 8,2 cm - 13 l - Polypropylen</t>
  </si>
  <si>
    <t xml:space="preserve">82 mm instead of 75 mm; PP, no lid; regular price 28.20. APS PE 600x400x75: 8.80</t>
  </si>
  <si>
    <t xml:space="preserve">https://shopbuero.com/teigwanne-ohne-deckel-weiss-rechteckig-60-0-x-40-0-x-8-2-cm-inhalt-13-l-polypropylen/202180-C</t>
  </si>
  <si>
    <t xml:space="preserve">(9 tlg) Přepravka na těsto-set - 8 nádob &amp; 1 víko - EN 600x400 - Výška: 75 mm - Polypropylen</t>
  </si>
  <si>
    <t xml:space="preserve">Sold only as set of 8 PP boxes plus 1 lid; per-box price includes a share of the lid</t>
  </si>
  <si>
    <t xml:space="preserve">600 x 400 x 90 mm (not 75 mm); material not stated on page. Availability "Na dotaz"; 471.90 CZK incl. VAT</t>
  </si>
  <si>
    <t xml:space="preserve">Přepravka na pizzu 60x40x7,5 cm | TOM-GAST, ZT-6040</t>
  </si>
  <si>
    <t xml:space="preserve">PP 600 x 400 x 75 mm (same item as tomgast.cz); Hendi 880906 PET 75 mm 392, Contacto 2510/600 473 CZK; price incl. 21% VAT as published in product data (current price, in stock)</t>
  </si>
  <si>
    <t xml:space="preserve">https://www.gastromania.cz/kose-na-pizza-testo/prepravka-na-pizzu-60x40x7-5-cm-tom-gast-zt-6040</t>
  </si>
  <si>
    <t xml:space="preserve">235.54 CZK bez DPH; code HEN-880906; 600 x 400 x 75 mm but PET (not PP); lid sold separately</t>
  </si>
  <si>
    <t xml:space="preserve">Code ZT-6040; PP, 600 x 400 x 75 mm, lid sold separately; 280 CZK bez DPH</t>
  </si>
  <si>
    <t xml:space="preserve">PC GN 1/1 Höhe 100 mm schwarz</t>
  </si>
  <si>
    <t xml:space="preserve">'jetzt' price; regular 9.09; available from week 49/2026</t>
  </si>
  <si>
    <t xml:space="preserve">https://www.allpax.at/product_info.php/info/PC-GN-1-1-Hoehe-100-mm-schwarz.html</t>
  </si>
  <si>
    <t xml:space="preserve">(6 Stück) Polycarbonat-Behälter GN 1/1 - Schwarz - Höhe: 100mm</t>
  </si>
  <si>
    <t xml:space="preserve">https://www.ggmgastro.com/de-at-eur/6-stueck-polycarbonat-behaelter-gn-1-1-schwarz-hoehe-100mm-gpcp11100s</t>
  </si>
  <si>
    <t xml:space="preserve">RIEBER GN 1/1 Polycarbonat-Behälter - Tiefe 100mm</t>
  </si>
  <si>
    <t xml:space="preserve">https://www.gastro-star.at/produkt/riebergn11polycarbonat-behaelter-tiefe100mm/</t>
  </si>
  <si>
    <t xml:space="preserve">Vogue GN-Behälter 1/1 Polycarbonat - Tiefe 100 mm</t>
  </si>
  <si>
    <t xml:space="preserve">Sale price (normal 19.79); min. qty 4</t>
  </si>
  <si>
    <t xml:space="preserve">https://www.gastro-hero.at/products/vogue-gn-behaelter-11-polycarbonat-tiefe-100-mm-u225</t>
  </si>
  <si>
    <t xml:space="preserve">Hendi Gastronorm-Behälter 1/1, 14L, Transparent, 530x325x(H)100mm (Polycarbonat)</t>
  </si>
  <si>
    <t xml:space="preserve">Contacto PC GN 1/1 100 mm 16.72 (sale, normal 20.90)</t>
  </si>
  <si>
    <t xml:space="preserve">https://www.gastrodax.de/hendi-gastronorm-behaelter-gn-1-1-14-l-polykarbonat-transparent-530-x-325-x-h-100-mm</t>
  </si>
  <si>
    <t xml:space="preserve">Vogue Polycarbonat GN-Behälter GN1/1 100mm</t>
  </si>
  <si>
    <t xml:space="preserve">Cambro PC GN 1/1 100 mm (DM729) 22.39</t>
  </si>
  <si>
    <t xml:space="preserve">https://www.gastroladen.at/3020@GN-U225/Vogue-Polycarbonat-GN-Beh%C3%A4lter-GN1-1-100mm.htm</t>
  </si>
  <si>
    <t xml:space="preserve">Gastronorm Behälter GN 1/1 GN 96 BLACK Polycarbonat schwarz H 100 mm</t>
  </si>
  <si>
    <t xml:space="preserve">https://www.intergastro.at/gastronorm-behaelter-gn-1-1-gn-96-black-polycarbonat-schwarz-h-100-mm-1016769</t>
  </si>
  <si>
    <t xml:space="preserve">GN-Behälter - GN 1/1 (530 x 325 mm) - 100 mm - Inhalt 13,3 l - Polycarbonat</t>
  </si>
  <si>
    <t xml:space="preserve">Regular price 27.75</t>
  </si>
  <si>
    <t xml:space="preserve">https://shopbuero.com/gn-behaelter-gn-1-1-530-x-325-mm-100-mm-inhalt-13-3-l-polycarbonat/530101-C</t>
  </si>
  <si>
    <t xml:space="preserve">(6 ks) Gastronádoba GN GN 1/1 - polykarbonát - černá - výška: 100 mm</t>
  </si>
  <si>
    <t xml:space="preserve">https://www.ggmgastro.com/cs-cz-czk/6-ks-gastronadoba-gn-gn-1-1-polykarbonat-cerna-vyska-100-mm-gpcp11100s</t>
  </si>
  <si>
    <t xml:space="preserve">Code 0835126; availability "Na dotaz"; 349.69 CZK incl. VAT</t>
  </si>
  <si>
    <t xml:space="preserve">Gastro nádoba GN 1/1 100 mm, polykarbonát | YATO, YG-00391</t>
  </si>
  <si>
    <t xml:space="preserve">Stalgast Bufet PC 482, Cambro 509 CZK; price incl. 21% VAT as published in product data (current price, in stock)</t>
  </si>
  <si>
    <t xml:space="preserve">https://www.gastromania.cz/gastronadoby-polykarbonatove/gastro-nadoba-gn-1-1-100-mm-polykarbonat-yato-yg-00391</t>
  </si>
  <si>
    <t xml:space="preserve">ARAVEN Gastronádoba GN 1/1, polykarbonát, hloubka: 100 mm, objem: 13,4 L</t>
  </si>
  <si>
    <t xml:space="preserve">524.79 CZK bez DPH; APS 683, Pujadas 815 CZK</t>
  </si>
  <si>
    <t xml:space="preserve">https://www.gastrozone.cz/araven-gn-nadoba-1-1-polykarbonat-hloubka-100-mm-objem-13-4-l.html</t>
  </si>
  <si>
    <t xml:space="preserve">Gastronádoba polykarbonátová GN 1/1 100 mm</t>
  </si>
  <si>
    <t xml:space="preserve">Code R-M211100; 421 CZK bez DPH. Second PC line M2-11100 is 426 CZK incl.</t>
  </si>
  <si>
    <t xml:space="preserve">https://www.tomgast.cz/gastronadoba-polykarbonatova-gn-1-1-100-mm-2/</t>
  </si>
  <si>
    <t xml:space="preserve">PC GN 1/6 Höhe 100 mm schwarz</t>
  </si>
  <si>
    <t xml:space="preserve">Regular 4.59</t>
  </si>
  <si>
    <t xml:space="preserve">https://www.allpax.at/product_info.php/info/PC-GN-1-6-Hoehe-100-mm-schwarz.html</t>
  </si>
  <si>
    <t xml:space="preserve">(12 Stück) Polycarbonat-Behälter GN 1/6 - Transparent - Höhe: 100mm</t>
  </si>
  <si>
    <t xml:space="preserve">https://www.ggmgastro.com/de-at-eur/12-stueck-polycarbonat-behaelter-gn-1-6-transparent-hoehe-100mm-gpcp16100</t>
  </si>
  <si>
    <t xml:space="preserve">RIEBER GN 1/6 Polycarbonat-Behälter - Tiefe 100mm</t>
  </si>
  <si>
    <t xml:space="preserve">https://www.gastro-star.at/produkt/riebergn16polycarbonat-behaelter-tiefe100mm/</t>
  </si>
  <si>
    <t xml:space="preserve">Vogue GN-Behälter 1/6 Polycarbonat - Tiefe 100 mm</t>
  </si>
  <si>
    <t xml:space="preserve">Sale price (normal 4.39); min. qty 4</t>
  </si>
  <si>
    <t xml:space="preserve">https://www.gastro-hero.at/products/vogue-gn-behaelter-16-polycarbonat-tiefe-100-mm-u240</t>
  </si>
  <si>
    <t xml:space="preserve">Hendi Gastronorm-Behälter 1/6, 1,6L, Transparent, 176x162x(H)100mm (Polycarbonat)</t>
  </si>
  <si>
    <t xml:space="preserve">https://www.gastrodax.de/hendi-gastronorm-behaelter-gn-1-6-1-6-l-polykarbonat-transparent-176-x-162-x-h-100-mm</t>
  </si>
  <si>
    <t xml:space="preserve">Vogue Polycarbonat GN-Behälter GN1/6 100mm</t>
  </si>
  <si>
    <t xml:space="preserve">https://www.gastroladen.at/3020@GN-U240/Vogue-Polycarbonat-GN-Beh%C3%A4lter-GN1-6-100mm.htm</t>
  </si>
  <si>
    <t xml:space="preserve">Gastronorm Behälter GN 1/6 GN 96 BLACK Polycarbonat schwarz H 100 mm</t>
  </si>
  <si>
    <t xml:space="preserve">https://www.intergastro.at/gastronorm-behaelter-gn-1-6-gn-96-black-polycarbonat-schwarz-h-100-mm-1016785</t>
  </si>
  <si>
    <t xml:space="preserve">Stalgast Gastronormbehälter, Polycarbonat, schwarz, GN 1/6 (100 mm)</t>
  </si>
  <si>
    <t xml:space="preserve">https://www.jh-profishop.at/p/stalgast-gastronormbehaelter-polycarbonat-schwarz-gn-1-6-100-mm-928314-347822/</t>
  </si>
  <si>
    <t xml:space="preserve">GN-Behälter - GN 1/6 (176 x 162 mm) - 100 mm - Inhalt 1,6 l - Polycarbonat</t>
  </si>
  <si>
    <t xml:space="preserve">Regular price 5.95</t>
  </si>
  <si>
    <t xml:space="preserve">https://shopbuero.com/gn-behaelter-gn-1-6-176-x-162-mm-100-mm-inhalt-1-6-l-polycarbonat/530141-C</t>
  </si>
  <si>
    <t xml:space="preserve">(12 ks) Gastronádoba polykarbonát GN 1/6 - Transparentní - Výška: 100 mm</t>
  </si>
  <si>
    <t xml:space="preserve">https://www.ggmgastro.com/cs-cz-czk/12-ks-gastronadoba-polykarbonat-gn-1-6-transparentni-vyska-100-mm-gpcp16100</t>
  </si>
  <si>
    <t xml:space="preserve">Gastro nádoba GN 1/6 100 mm, polykarbonát | YATO, YG-00426</t>
  </si>
  <si>
    <t xml:space="preserve">HENDI Profi Line PC 85, Cambro 138 CZK; price incl. 21% VAT as published in product data (current price, in stock)</t>
  </si>
  <si>
    <t xml:space="preserve">https://www.gastromania.cz/gastronadoby-polykarbonatove/gastro-nadoba-gn-1-6-100-mm-polykarbonat-yato-yg-00426</t>
  </si>
  <si>
    <t xml:space="preserve">ARAVEN Gastronádoba GN 1/6, polykarbonát, hloubka: 100 mm, objem: 1,6 L</t>
  </si>
  <si>
    <t xml:space="preserve">133.88 CZK bez DPH; APS 177-178, Pujadas 215 CZK</t>
  </si>
  <si>
    <t xml:space="preserve">https://www.gastrozone.cz/araven-gn-nadoba-1-6-polykarbonat-hloubka-100-mm-objem-1-6-l.html</t>
  </si>
  <si>
    <t xml:space="preserve">Gastronádoba polykarbonátová GN 1/6 100 mm</t>
  </si>
  <si>
    <t xml:space="preserve">Code R-M216100; 114 CZK bez DPH</t>
  </si>
  <si>
    <t xml:space="preserve">https://www.tomgast.cz/gastronadoba-polykarbonatova-gn-1-6-100-mm-2/</t>
  </si>
  <si>
    <t xml:space="preserve">Hendi Schneidebrett GN 1/1 in Rot</t>
  </si>
  <si>
    <t xml:space="preserve">Red 530x325, HACCP; thickness not stated; with juice groove</t>
  </si>
  <si>
    <t xml:space="preserve">https://www.allpax.at/product_info.php/info/Hendi-Schneidebrett-GN-1-1-in-Rot.html</t>
  </si>
  <si>
    <t xml:space="preserve">Schneidebrett - 325x530mm - HACCP-Konform - Rot</t>
  </si>
  <si>
    <t xml:space="preserve">Red PE board; thickness not shown on this page (white board of same series is 325x530x20 mm)</t>
  </si>
  <si>
    <t xml:space="preserve">https://www.ggmgastro.com/de-at-eur/schneidebrett-325x530mm-haccp-konform-rot-sbp53r</t>
  </si>
  <si>
    <t xml:space="preserve">Hendi Schneidbrett HACCP Gastronorm 1/1, Rot, 530x325mm</t>
  </si>
  <si>
    <t xml:space="preserve">530x325x15 mm, red; material not stated on page</t>
  </si>
  <si>
    <t xml:space="preserve">https://www.gastrodax.de/hendi-schneidbretter-haccp-gastronorm-1-1-gn-1-1-rot-530-x-325-mm</t>
  </si>
  <si>
    <t xml:space="preserve">Bartscher Schneidbrett PRO 53x32 R-R (rot)</t>
  </si>
  <si>
    <t xml:space="preserve">Red PE 530x325 but 20 mm plate (vs 15 mm), rubber feet, juice groove</t>
  </si>
  <si>
    <t xml:space="preserve">https://www.gastroladen.at/2310@A120513/Bartscher-Schneidbrett-PRO-53x32-R-R.htm</t>
  </si>
  <si>
    <t xml:space="preserve">Schneidbrett Kunststoff rot mit Saftrille 530 x 325 mm H 20 mm</t>
  </si>
  <si>
    <t xml:space="preserve">20 mm instead of 15 mm, juice groove; premium brand (F. Dick)</t>
  </si>
  <si>
    <t xml:space="preserve">https://www.intergastro.at/schneidbrett-kunststoff-rot-mit-saftrille-530-mm-x-325-mm-h-20-mm-159103</t>
  </si>
  <si>
    <t xml:space="preserve">Dick</t>
  </si>
  <si>
    <t xml:space="preserve">Stalgast Schneidbrett, HACCP, Farbe rot, GN1/1, Stärke 15 mm</t>
  </si>
  <si>
    <t xml:space="preserve">Red 530x325x15 mm but polypropylene (not PE)</t>
  </si>
  <si>
    <t xml:space="preserve">https://www.jh-profishop.at/p/stalgast-schneidbrett-haccp-farbe-rot-gn1-1-staerke-15-mm-927571-346777/</t>
  </si>
  <si>
    <t xml:space="preserve">GN-Schneidebrett - mit Füßen - rot - GN 1/1 (530 x 325 mm) - Polyethylen</t>
  </si>
  <si>
    <t xml:space="preserve">Red PE but 20 mm thick (vs 15 mm), with feet; regular price 45.30</t>
  </si>
  <si>
    <t xml:space="preserve">https://shopbuero.com/gn-schneidebrett-mit-fuessen-rot-gn-1-1-530-x-325-mm-polyethylen/228313-C</t>
  </si>
  <si>
    <t xml:space="preserve">Krájecí deska - 325x530 mm - Dle HACCP - Červená</t>
  </si>
  <si>
    <t xml:space="preserve">Red PE; thickness not shown (white board of same series on the German site: 325x530x20 mm)</t>
  </si>
  <si>
    <t xml:space="preserve">https://www.ggmgastro.com/cs-cz-czk/krajeci-deska-325x530-mm-dle-haccp-cervena-sbp53r</t>
  </si>
  <si>
    <t xml:space="preserve">Code 1842538-03; red HDPE 530 x 325 mm but 20 mm thick (not 15), with feet; 1318.90 CZK incl. VAT</t>
  </si>
  <si>
    <t xml:space="preserve">Deska ke krájení s výřezem z červeného polypropylenu 53x32,5x1,5 cm | STALGAST, 341531</t>
  </si>
  <si>
    <t xml:space="preserve">Red 530 x 325 x 15 mm but polypropylene (not PE), with cut-out; 540 CZK bez DPH. HENDI red PE GN 1/1 530x325x10 mm 359 CZK; price incl. 21% VAT as published in product data (current price, in stock)</t>
  </si>
  <si>
    <t xml:space="preserve">https://www.gastromania.cz/plastove-krajeci-desky-haccp/deska-ke-krajeni-s-vyrezem-z-cerveneho-polypropylenu-53x32-5x1-5-cm-stalgast-341531</t>
  </si>
  <si>
    <t xml:space="preserve">Gastro Prkénko krájecí plastové 53x32,5x2 cm GN 1/1, s drážkou, červené</t>
  </si>
  <si>
    <t xml:space="preserve">1265.29 CZK bez DPH; red 530 x 325 mm but 20 mm thick (not 15) and with groove; material stated only as "Plast" (PE not confirmed)</t>
  </si>
  <si>
    <t xml:space="preserve">Code 37-C; red PE but 500 x 325 x 20 mm, not 530 x 325 x 15; 840 CZK bez DPH. Red 500 x 300 x 15 with groove (38-C) is 835 CZK incl.</t>
  </si>
  <si>
    <t xml:space="preserve">Hendi GN Deckel 1/3 PP, violett</t>
  </si>
  <si>
    <t xml:space="preserve">PP GN 1/3 lid in violet (allergen colour) rather than standard transparent</t>
  </si>
  <si>
    <t xml:space="preserve">https://www.allpax.at/product_info.php/info/Hendi-GN-Deckel-1-3-PP-violett.html</t>
  </si>
  <si>
    <t xml:space="preserve">(6 Stück) CAMBRO SafeTrak Polypropylen-Deckel GN 1/3 - Milchig</t>
  </si>
  <si>
    <t xml:space="preserve">https://www.ggmgastro.com/de-at-eur/6-stueck-cambro-safetrak-polypropylen-deckel-gn-1-3-milchig-30ppcwsc190</t>
  </si>
  <si>
    <t xml:space="preserve">Polypropylen Deckel GN 1/3</t>
  </si>
  <si>
    <t xml:space="preserve">https://www.gastro-star.at/produkt/polypropylendeckelgn13/</t>
  </si>
  <si>
    <t xml:space="preserve">Schneider PP GN 1/3 Deckel, einrastend</t>
  </si>
  <si>
    <t xml:space="preserve">https://www.gastro-hero.at/products/schneider-pp-gn-13-deckel-einrastend-530025</t>
  </si>
  <si>
    <t xml:space="preserve">WAS GN 89 Deckel 1/3 Polypropylen</t>
  </si>
  <si>
    <t xml:space="preserve">No pack size stated</t>
  </si>
  <si>
    <t xml:space="preserve">https://www.gastrodax.de/was-gn-89-deckel-1-3-polypropylen</t>
  </si>
  <si>
    <t xml:space="preserve">Cambro biegsamer Polypropylen Deckel GN 1/3</t>
  </si>
  <si>
    <t xml:space="preserve">Flexible soft-seal PP lid</t>
  </si>
  <si>
    <t xml:space="preserve">https://www.gastroladen.at/3030@GN-DM714/Cambro-biegsamer-Polypropylen-Deckel-GN-1-3.htm</t>
  </si>
  <si>
    <t xml:space="preserve">GN Deckel GN 89 GN 1/3 weiß (Polypropylen)</t>
  </si>
  <si>
    <t xml:space="preserve">GN 89 series is PP (GN 1/1 lid of same series labelled Polypropylen). GN 84 GN 1/3 lid 2.02 (material not stated)</t>
  </si>
  <si>
    <t xml:space="preserve">https://www.intergastro.at/gn-deckel-gn-89-gn-1-3-weiss-252566</t>
  </si>
  <si>
    <t xml:space="preserve">Stalgast GN-Deckel, Polypropylen, für GN 1/3 Behälter</t>
  </si>
  <si>
    <t xml:space="preserve">https://www.jh-profishop.at/p/stalgast-gn-deckel-polypropylen-fuer-gn-1-3-behaelter-928338-347853/</t>
  </si>
  <si>
    <t xml:space="preserve">GN-Deckel - einrastend - GN 1/3 (325 x 176 mm) - Polypropylen</t>
  </si>
  <si>
    <t xml:space="preserve">Regular price 3.50</t>
  </si>
  <si>
    <t xml:space="preserve">https://shopbuero.com/gn-deckel-einrastend-gn-1-3-325-x-176-mm-polypropylen/530025-C</t>
  </si>
  <si>
    <t xml:space="preserve">(6 kusů) CAMBRO CAMWEAR polypropylenový GN kryt 1/3 - vzduchotěsný - mléčný</t>
  </si>
  <si>
    <t xml:space="preserve">Airtight PP lid</t>
  </si>
  <si>
    <t xml:space="preserve">https://www.ggmgastro.com/cs-cz-czk/6-kusu-cambro-camwear-r-polypropylenovy-gn-kryt-1-3-vzduchotesny-mlecny-30ppcwsc190</t>
  </si>
  <si>
    <t xml:space="preserve">Víko GN polypropylen 1/3 čiré</t>
  </si>
  <si>
    <t xml:space="preserve">Code 1814727-99; PP lid, also in red/blue/green/yellow at the same price; 72.60 CZK incl. VAT</t>
  </si>
  <si>
    <t xml:space="preserve">https://eshop.gastronovotny.cz/viko-gn-polypropylen-1-3-cire/</t>
  </si>
  <si>
    <t xml:space="preserve">Víko z polypropylenu pro nádoby, GN 1/3 | STALGAST, Bufet</t>
  </si>
  <si>
    <t xml:space="preserve">APS 61, Redfox 71 CZK; price incl. 21% VAT as published in product data (current price, in stock)</t>
  </si>
  <si>
    <t xml:space="preserve">https://www.gastromania.cz/vika-gn-polypropylenove/viko-z-polypropylenu-pro-nadoby-gn-1-3-stalgast-bufet</t>
  </si>
  <si>
    <t xml:space="preserve">víko na gastro nádobu GN 1/3 polypropylen Pujadas</t>
  </si>
  <si>
    <t xml:space="preserve">149.59 CZK bez DPH; plain PP lid; Araven hermetic PP lid 216 CZK</t>
  </si>
  <si>
    <t xml:space="preserve">https://www.gastrozone.cz/viko-na-gastro-nadobu-gn-1-3-polypropylen-pujadas.html</t>
  </si>
  <si>
    <t xml:space="preserve">Víko těsnicí ke gastronádobě 1/3 325 × 176 mm</t>
  </si>
  <si>
    <t xml:space="preserve">Code R-MP13001; material polypropylen, but a seal cover rather than a standard flat lid; 80 CZK bez DPH</t>
  </si>
  <si>
    <t xml:space="preserve">https://www.tomgast.cz/viko-tesnici-ke-gastronadobe-1-3-325--176-mm/</t>
  </si>
  <si>
    <t xml:space="preserve">Araven klare tropffreie Soßenflasche 70cl</t>
  </si>
  <si>
    <t xml:space="preserve">700 ml PE with drip-free valve and cap; tip width not specified</t>
  </si>
  <si>
    <t xml:space="preserve">https://www.gastroladen.at/G16771B@GN-CW113/Araven-klare-tropffreie-So%C3%9Fenflasche-70cl.htm</t>
  </si>
  <si>
    <t xml:space="preserve">Quetschflasche 700 ml Kunststoff gelb Verschlusskappe</t>
  </si>
  <si>
    <t xml:space="preserve">700 ml PE with closure cap over the tip; width of tip not specified</t>
  </si>
  <si>
    <t xml:space="preserve">https://www.intergastro.at/quetschflasche-700-ml-kunststoff-gelb-verschlusskappe-70-mm-h-240-mm-247040</t>
  </si>
  <si>
    <t xml:space="preserve">APS Láhev mačkací, Obsah: 0,70 litru, s uzavírací krytkou</t>
  </si>
  <si>
    <t xml:space="preserve">80.99 CZK bez DPH; 700 ml PE squeeze bottle with closing cap over the tip (interpreted as covered tip); not 750 ml</t>
  </si>
  <si>
    <t xml:space="preserve">https://www.gastrozone.cz/aps-kompresni-lahev-obsah-0-70-litru-vyska-240-mm-prumer-70-mm.html</t>
  </si>
  <si>
    <t xml:space="preserve">Hygiplas HDPE kleines Schneidebrett rot 300x225x12mm</t>
  </si>
  <si>
    <t xml:space="preserve">Red HDPE, 300x225x12 mm (vs 300x200x20)</t>
  </si>
  <si>
    <t xml:space="preserve">https://www.gastroladen.at/2310@GN-HC866/Hygiplas-HDPE-kleines-Schneidebrett-rot-300x-225x12mm.htm</t>
  </si>
  <si>
    <t xml:space="preserve">Schneidebrett gelb HDPE 500, 300 mm x 200 mm</t>
  </si>
  <si>
    <t xml:space="preserve">Yellow (red not offered in this size); 20 mm per series size list</t>
  </si>
  <si>
    <t xml:space="preserve">https://www.intergastro.at/schneidebrett-gelb-hdpe-500-300-mm-x-200-mm-997231</t>
  </si>
  <si>
    <t xml:space="preserve">PE 300 x 200 mm but 12 mm thick and white only (no red 300 x 200 x 20 listed); 95 CZK bez DPH</t>
  </si>
  <si>
    <t xml:space="preserve">Pizzaballenbehälter PP 10 ltr, 400 x 300 x 100 mm</t>
  </si>
  <si>
    <t xml:space="preserve">PP, no lid</t>
  </si>
  <si>
    <t xml:space="preserve">https://www.intergastro.at/pizzaballenbehaelter-pp-10-ltr-400-mm-x-300-mm-h-100-mm-1039856</t>
  </si>
  <si>
    <t xml:space="preserve">Stalgast Pizzaballenbehälter aus Polypropylen 400x300x100 mm</t>
  </si>
  <si>
    <t xml:space="preserve">PP per title, no lid</t>
  </si>
  <si>
    <t xml:space="preserve">https://www.jh-profishop.at/p/stalgast-pizzaballenbehaelter-aus-polypropylen-400x300x100-mm-bxtxh-929479-349076/</t>
  </si>
  <si>
    <t xml:space="preserve">Pizzaballenbehälter - 40,0 x 30,0 x 10,0 cm - Inhalt 10,0 l - Polypropylen</t>
  </si>
  <si>
    <t xml:space="preserve">PP, no lid; regular price 15.80</t>
  </si>
  <si>
    <t xml:space="preserve">https://shopbuero.com/pizzaballenbehaelter-40-0-x-30-0-x-10-0-cm-inhalt-10-0-l-polypropylen/202175-C</t>
  </si>
  <si>
    <t xml:space="preserve">Nádoba na pizza těsto 400x300x100 mm | STALGAST, 563411</t>
  </si>
  <si>
    <t xml:space="preserve">400 x 300 x 100 mm but polyethylene (not PP); 278 CZK bez DPH; price incl. 21% VAT as published in product data (current price, in stock)</t>
  </si>
  <si>
    <t xml:space="preserve">https://www.gastromania.cz/kose-na-pizza-testo/nadoba-na-pizza-testo-400x300x100-mm-stalgast-563411</t>
  </si>
  <si>
    <t xml:space="preserve">https://www.ggmgastro.com/de-at-eur/6-stueck-polycarbonat-behaelter-gn-1-1-transparent-hoehe-65mm-gpcp1165</t>
  </si>
  <si>
    <t xml:space="preserve">Current research_AT.xlsx row (added after live check on 30 Sep 2026). Original assignment and match quality retained.</t>
  </si>
  <si>
    <t xml:space="preserve">RIEBER GN 1/1 Polycarbonat-Behälter - Tiefe 65mm</t>
  </si>
  <si>
    <t xml:space="preserve">Gross 27.60</t>
  </si>
  <si>
    <t xml:space="preserve">https://www.gastro-star.at/produkt/riebergn11polycarbonat-behaelter-tiefe65mm/</t>
  </si>
  <si>
    <t xml:space="preserve">https://www.ggmgastro.com/de-at-eur/6-stueck-cambro-camview-r-copolymer-behaelter-gn-1-2-transparent-hoehe-150mm-bpa-frei-26cv135</t>
  </si>
  <si>
    <t xml:space="preserve">RIEBER GN 1/2 Polycarbonat-Behälter - Tiefe 150mm</t>
  </si>
  <si>
    <t xml:space="preserve">Gross 25.20</t>
  </si>
  <si>
    <t xml:space="preserve">https://www.gastro-star.at/produkt/riebergn12polycarbonat-behaelter-tiefe150mm/</t>
  </si>
  <si>
    <t xml:space="preserve">The 6-piece version of the same item is listed at 175.99 net (looks like a listing error; not used)</t>
  </si>
  <si>
    <t xml:space="preserve">https://www.ggmgastro.com/de-at-eur/12-stueck-polypropylen-behaelter-gn-1-3-milchig-hoehe-100mm-gpp13100</t>
  </si>
  <si>
    <t xml:space="preserve">Polypropylen Behälter GN 1/3 – 325x176x100mm</t>
  </si>
  <si>
    <t xml:space="preserve">4 l; gross 5.70</t>
  </si>
  <si>
    <t xml:space="preserve">https://www.gastro-star.at/produkt/polypropylenbehaeltergn13-325x176x100mm/</t>
  </si>
  <si>
    <t xml:space="preserve">Title says 12 pcs but spec table says 'Set Menge 6 Stk' - conflicting; if 6 pcs, net/pc would be 4.92</t>
  </si>
  <si>
    <t xml:space="preserve">https://www.ggmgastro.com/de-at-eur/12-stueck-polypropylen-deckel-gn-1-1-milchig-mit-24-codierclips-gppl11-12</t>
  </si>
  <si>
    <t xml:space="preserve">Polypropylen Deckel GN 1/1</t>
  </si>
  <si>
    <t xml:space="preserve">Gross 6.66</t>
  </si>
  <si>
    <t xml:space="preserve">https://www.gastro-star.at/produkt/polypropylendeckelgn11/</t>
  </si>
  <si>
    <t xml:space="preserve">https://www.ggmgastro.com/de-at-eur/12-stueck-quetschflasche-mit-mittlerer-membran-473ml-ffo-002</t>
  </si>
  <si>
    <t xml:space="preserve">https://www.ggmgastro.com/de-at-eur/6-stueck-quetschflasche-mit-mittlerer-membran-946ml-ffo-005</t>
  </si>
  <si>
    <t xml:space="preserve">https://www.ggmgastro.com/de-at-eur/ketchup-saucenspender-2-liter-polypropylen-mit-pumpe-ksp2</t>
  </si>
  <si>
    <t xml:space="preserve">https://www.ggmgastro.com/de-at-eur/schneidebrett-325x530mm-haccp-konform-weiss-sbp53w</t>
  </si>
  <si>
    <t xml:space="preserve">https://www.ggmgastro.com/de-at-eur/schneidebrett-en-600x400-haccp-konform-weiss-sbp46w</t>
  </si>
  <si>
    <t xml:space="preserve">https://www.ggmgastro.com/de-at-eur/9-tlg-teigbehaelter-set-8-behaelter-und-1-deckel-en-600x400-hoehe-100mm-polypropylen-weiss-tbpp6410</t>
  </si>
  <si>
    <t xml:space="preserve">https://www.ggmgastro.com/de-at-eur/8-stueck-teigbehaelter-en-600x400-weiss-tbp647</t>
  </si>
  <si>
    <t xml:space="preserve">PP, 83 l. Cheaper PU 'Thermobox Frontlader 92 l' (tpbe92): 127.99 net</t>
  </si>
  <si>
    <t xml:space="preserve">https://www.ggmgastro.com/de-at-eur/porter-frontlader-83-liter-fuer-12x-gn-1-1-plb-300</t>
  </si>
  <si>
    <t xml:space="preserve">RIEBER thermoport K 1000 unbeheizt-orange</t>
  </si>
  <si>
    <t xml:space="preserve">Premium PP front-loader for GN 1/1 (12 rail pairs), unheated; volume not stated on the page. K 6000 front-loader 472.00 net</t>
  </si>
  <si>
    <t xml:space="preserve">https://www.gastro-star.at/produkt/rieberthermoportk1000unbeheizt-orange/</t>
  </si>
  <si>
    <t xml:space="preserve">PP but GN 1/1 size (530x325), not 530x370. Cambro fibreglass 530x370 tray: 199.99 per 12</t>
  </si>
  <si>
    <t xml:space="preserve">https://www.ggmgastro.com/de-at-eur/6-stueck-fast-food-tablett-gn-1-1-polypropylen-hoehe-20mm-schwarz-00553-6</t>
  </si>
  <si>
    <t xml:space="preserve">Schneidbrett Polyethylen weiß ohne Gummifüße, 34 x 23 x 1 cm</t>
  </si>
  <si>
    <t xml:space="preserve">2026-10-02</t>
  </si>
  <si>
    <t xml:space="preserve">White polyethylene board with grip hole, no rubber feet, 10 mm thick but 340x230 mm (vs 300x200); page lists variants 24x15x1 cm and 34x23x1 cm at 4.67 net ('exkl. MwSt.'); no 300x200 board found at ALLPAX (category pages 2-3 blocked by robots.txt)</t>
  </si>
  <si>
    <t xml:space="preserve">https://www.allpax.at/product_info.php/info/p13378_Schneidbrett-Polyethylen-wei-ohne-Gummifue-e.html</t>
  </si>
  <si>
    <t xml:space="preserve">Added 2 Oct 2026 from live page (Claude research). Net price read on page.</t>
  </si>
  <si>
    <t xml:space="preserve">Claude research 02.10.2026 (live shop pages)</t>
  </si>
  <si>
    <t xml:space="preserve">Claude</t>
  </si>
  <si>
    <t xml:space="preserve">Lieferzeit 5-10 Werktage</t>
  </si>
  <si>
    <t xml:space="preserve">Hendi Schneidebrett GN 1/2 in Rot</t>
  </si>
  <si>
    <t xml:space="preserve">Red HDPE HACCP board but 320x260x12 mm (GN 1/2) vs 300x200x20; double-sided with juice groove; 'exkl. MwSt.'. Smallest red board at ALLPAX (page 1 of category by price; pages 2-3 blocked by robots.txt). Smaller boards only in white/black (Hendi mit Griff 250x150, WAS PE 240x150 / 340x230)</t>
  </si>
  <si>
    <t xml:space="preserve">https://www.allpax.at/product_info.php/info/Hendi-Schneidebrett-GN-1-2-in-Rot-38714.html</t>
  </si>
  <si>
    <t xml:space="preserve">White polyethylene HACCP board but 250x400x20 mm (vs 300x200x10); smallest size in GGM range, no 300x200 board; RRP 32.99; gross 22.60 incl. 19% VAT as stated on page. 6-board 250x400x10 mm set 65.99 net (11.00/pc)</t>
  </si>
  <si>
    <t xml:space="preserve">https://www.ggmgastro.com/de-at-eur/schneidebrett-250x400mm-haccp-konform-weiss-sbp25w</t>
  </si>
  <si>
    <t xml:space="preserve">Sofort lieferbar: 1-3 Werktage</t>
  </si>
  <si>
    <t xml:space="preserve">Red polyethylene HACCP board, 20 mm thick, but 250x400 mm (vs 300x200); smallest size in GGM range (250x400 / 300x500 / 325x530 / 600x400) — no 300x200 board; gross 20.22 incl. 19% VAT as stated on page</t>
  </si>
  <si>
    <t xml:space="preserve">Hygiplas Schneidebrett, 45x30x1,25 cm, rot</t>
  </si>
  <si>
    <t xml:space="preserve">Red LDPE board 450x300x12.5 mm (vs 300x200x20); HACCP colour-coding; sale price (regular 8.29 net), gross 8.56 incl. MwSt; min. order qty 2. Smallest red board at GastroHero (42-item board collection checked); only 300x200-class board is white Hygiplas LDPE 305x229x12 mm at 6.79 net</t>
  </si>
  <si>
    <t xml:space="preserve">https://www.gastro-hero.at/products/hygiplas-schneidebrett-45x30x125-cm-rot-j255</t>
  </si>
  <si>
    <t xml:space="preserve">Lieferzeit 3-6 Werktage</t>
  </si>
  <si>
    <t xml:space="preserve">Stalgast Schneidbrett, HACCP, Farbe rot, GN1/2, Stärke 12 mm</t>
  </si>
  <si>
    <t xml:space="preserve">Red HACCP board but 325x265x12 mm (GN 1/2) and polypropylene (not PE); double-sided with groove; 'exkl. MwSt.'. Smallest red board in the 33-item category; no 300x200 board (only black non-slip PP 270x190x9 at 16.30, already recorded)</t>
  </si>
  <si>
    <t xml:space="preserve">https://www.jh-profishop.at/p/stalgast-schneidbrett-haccp-farbe-rot-gn1-2-staerke-12-mm-927577-346788/</t>
  </si>
  <si>
    <t xml:space="preserve">Lieferzeit 4 Arbeitstage</t>
  </si>
  <si>
    <t xml:space="preserve">Schneidbrett, rutschfest, schwarz, 27 x 19 x 0,9 cm</t>
  </si>
  <si>
    <t xml:space="preserve">270x190x9 mm black non-slip board, material polypropylene (not PE), rubber rim, double-sided with juice groove, not HACCP colour-coded; gross 7.55 incl. 20% VAT; 'Preise ohne Umsatzsteuer'. No 300x200 PE board found in LUSINI AT cutting-board category (48+10 items checked)</t>
  </si>
  <si>
    <t xml:space="preserve">https://www.lusini.com/de-at/pdp/201213/</t>
  </si>
  <si>
    <t xml:space="preserve">Sofort verfügbar, Lieferzeit 1-3 Werktage</t>
  </si>
  <si>
    <t xml:space="preserve">Schneidbrett PRO, Bartscher, 53 x 32,5 x 2,4 cm</t>
  </si>
  <si>
    <t xml:space="preserve">Hart-Polyethylen (HDPE), 530x325 mm, overall height 24 mm incl. rubber feet; page states plate thickness 22 mm (vs 20 mm benchmark); lebensmittelecht, dishwasher safe; colours blue/yellow/green; gross 41.99 incl. 20% VAT; 'Preise ohne Umsatzsteuer'. Alternative: PULSIVA Clever MR GN 1/1 HACCP PE 530x325x15 mm 31.99 net (pdp/122208), Clever OSF GN 1/1 12 mm 27.99 net (pdp/120124)</t>
  </si>
  <si>
    <t xml:space="preserve">https://www.lusini.com/de-at/pdp/132871/</t>
  </si>
  <si>
    <t xml:space="preserve">Sofort verfügbar (25 pcs), Lieferzeit 1-3 Werktage</t>
  </si>
  <si>
    <t xml:space="preserve">Schneidbrett, HACCP, Farbe rot, GN1/2, Stärke 12 mm</t>
  </si>
  <si>
    <t xml:space="preserve">Red HACCP board but 325x265x12 mm (GN 1/2) and polypropylene (not PE); double-sided with juice groove; gross 9.59 incl. 20% VAT; 51 pcs in stock. Smallest red board at LUSINI AT; no red 300x200 board found. Also Schneider HD-PE 500 GN 1/1 red 530x325x20 mm at 57.09 net (pdp/249869)</t>
  </si>
  <si>
    <t xml:space="preserve">https://www.lusini.com/de-at/pdp/234458/</t>
  </si>
  <si>
    <t xml:space="preserve">Sofort verfügbar (51 pcs), Lieferzeit 1-3 Werktage</t>
  </si>
  <si>
    <t xml:space="preserve">Schneidebrett Clever OSF, HACCP-geeignet, rot, 45x30x1,2 cm</t>
  </si>
  <si>
    <t xml:space="preserve">Red PE HACCP board but 450x300x12 mm (vs 400x300x20); 7 colours same price; gross 21.59 incl. 20% VAT. No 400x300x20 PE board found at LUSINI; Schneider 'Schneidebrett' pdp/250463 is 40x30 cm HD-PE in red but page states height 3 cm, sold 6 pcs/pack at 43.09 net (7.18/pc), not dishwasher safe (likely thin cutting mats)</t>
  </si>
  <si>
    <t xml:space="preserve">https://www.lusini.com/de-at/pdp/120125/</t>
  </si>
  <si>
    <t xml:space="preserve">PULSIVA</t>
  </si>
  <si>
    <t xml:space="preserve">Lieferzeit 2 Wochen</t>
  </si>
  <si>
    <t xml:space="preserve">Schneidebrett Clever MR GN 1/1, HACCP-geeignet, rot</t>
  </si>
  <si>
    <t xml:space="preserve">Polyethylen, 53 x 32,5 x 1,5 cm (530x325x15 mm), HACCP konform, red variant available (also blue/yellow/green/white, same price), drainage groove, double-sided, dishwasher safe; gross 38.39 incl. 20% VAT. Cheaper 12 mm version Clever OSF GN 1/1 red 27.99 net (pdp/120124)</t>
  </si>
  <si>
    <t xml:space="preserve">https://www.lusini.com/de-at/pdp/122208/</t>
  </si>
  <si>
    <t xml:space="preserve">Schneidbrett - 30 x 20 x 1,5 cm - Polyethylen</t>
  </si>
  <si>
    <t xml:space="preserve">Polyethylene 300x200 mm but 15 mm thick (vs 10 mm); colour not stated (white in image); non-slip feet; sale price, regular 11.00; 'Preise zzgl. MwSt.' (gross 8.93). Also Serie Bar 30x20x2 cm PE with drainage groove 20.90 net (93306-B)</t>
  </si>
  <si>
    <t xml:space="preserve">https://shopbuero.com/schneidbrett-30-x-20-x-1-5-cm-polyethylen/1830300-A</t>
  </si>
  <si>
    <t xml:space="preserve">Lager Nord</t>
  </si>
  <si>
    <t xml:space="preserve">Sofort verfügbar, Lieferzeit 2-4 Werktage</t>
  </si>
  <si>
    <t xml:space="preserve">HACCP Schneidbrett - mit rutschhemmenden Füßen - rot - 50 x 30 x 2 cm - Polyethylen</t>
  </si>
  <si>
    <t xml:space="preserve">Red PE HACCP board 20 mm thick with non-slip feet but 500x300 mm (vs 400x300); no 40x30 board in the shop (only 40x25x1.2 cm with grip hole, red 8.80 net); sale price, regular 22.50; 'Preise zzgl. MwSt.'</t>
  </si>
  <si>
    <t xml:space="preserve">https://shopbuero.com/haccp-schneidbrett-mit-rutschhemmenden-fuessen-rot-50-x-30-x-2-cm-polyethylen/1830501-A</t>
  </si>
  <si>
    <t xml:space="preserve">2 l pump sauce dispenser, 17x14x15.5 cm (3 l variant 17x14x21 cm at same price 36.10); material and pump portion not stated on page; no stand mentioned; exkl. MwSt.; Lieferzeit 5-10 Werktage</t>
  </si>
  <si>
    <t xml:space="preserve">in stock, 5-10 Werktage</t>
  </si>
  <si>
    <t xml:space="preserve">Ketchup / Saucenspender - 2 Liter - Polypropylen - mit Pumpe (KSP2)</t>
  </si>
  <si>
    <t xml:space="preserve">2 l polypropylene container with pump, red, 210x220x210 mm, no stand; pump portion and housing material not stated; page states Nettopreis / Bruttopreis inkl. 19% MwSt. 34.50 (GGM storefront uses 19%); discounted from UVP 50.99; sofort lieferbar 1-3 Werktage; free shipping</t>
  </si>
  <si>
    <t xml:space="preserve">Gastronorm Edelstahl Soßenspender 2,25l (KSD-201)</t>
  </si>
  <si>
    <t xml:space="preserve">Stainless-steel housing pump dispenser (not PP/ABS) with GN 1/6 container, 2.25 l, adjustable portion up to 30 ml, 180x165x330 mm; sale price 169.00 (regular 181.00), 'alle Preise exkl. 20% MwSt.'; no stand mentioned; availability not stated. Only sauce dispensers in this shop are stainless-steel GN units (169-696 EUR); no plastic squeeze bottles in assortment</t>
  </si>
  <si>
    <t xml:space="preserve">https://www.gastrozimml.at/produkt/gastronorm-edelstahl-sossenspender-225l/</t>
  </si>
  <si>
    <t xml:space="preserve">Hendi Pump-Saucenspender, 2,5L, Weiß, 230x210x(H)250mm</t>
  </si>
  <si>
    <t xml:space="preserve">2.5 l (within 1.9-2.5 l window); ABS housing, PP container with scale, PP pump, 20 ml per stroke, no separate stand (compact base), 210x224x327 mm; net 26.89, page's incl.-MwSt figure 32.00 corresponds to 19%; also offered in yellow and red at same price; art. 203545; delivery 3-6 Werktage. Same shop also lists Saucenspender 2x2 l Dosierpumpe PP set 64.90 net and 3x2 l 79.90 net (multi-unit sets, APPROX)</t>
  </si>
  <si>
    <t xml:space="preserve">3-6 Werktage</t>
  </si>
  <si>
    <t xml:space="preserve">Quetschflasche, weiß, 0,7 l (Contacto 1460/701)</t>
  </si>
  <si>
    <t xml:space="preserve">700 ml polyethylene, screw cap with closure cap (Verschlusskappe) over the tip, tip width not stated, white, 65x240 mm; net 3.39, incl.-MwSt figure 4.03 (19%); in stock, 4-8 Werktage</t>
  </si>
  <si>
    <t xml:space="preserve">https://www.gastro-hero.at/products/quetschflasche-weiss-07-l-1460701</t>
  </si>
  <si>
    <t xml:space="preserve">in stock, 4-8 Werktage</t>
  </si>
  <si>
    <t xml:space="preserve">2.5 l (within 1.9-2.5 l window) Hendi pump dispenser, white ABS housing with PP sauce container and pump (materials per manufacturer data; fetchable meta price shows gross 23.51 incl. 19% DE VAT = 19.76 net); integrated countertop housing, not a separate stand; in stock; free shipping from 99 EUR</t>
  </si>
  <si>
    <t xml:space="preserve">Added 2 Oct 2026 from live page (Claude research). Gross price on page, netted at 19%.</t>
  </si>
  <si>
    <t xml:space="preserve">in stock</t>
  </si>
  <si>
    <t xml:space="preserve">Araven Soßenspender GN 1/6 transparent 2,6L</t>
  </si>
  <si>
    <t xml:space="preserve">2.6 l (just above the 1.9-2.5 l CLOSE window), polypropylene GN 1/6 container with rotatable/lockable pump, no stand, 19x16.2 cm; pump portion not stated; 37.90 inkl. MwSt. zzgl. 13.15 Versand; 3-5 Werktage; art. CR820. Same shop: Araven GN 1/9 1.5 l 36.90 (CR821)</t>
  </si>
  <si>
    <t xml:space="preserve">https://www.gastroladen.at/3300@GN-CR820/Araven-So%C3%9Fenspender-GN-1-6-transparent-2-6L.htm</t>
  </si>
  <si>
    <t xml:space="preserve">Added 2 Oct 2026 from live page (Claude research). Gross price on page, netted at 20%.</t>
  </si>
  <si>
    <t xml:space="preserve">3-5 Werktage</t>
  </si>
  <si>
    <t xml:space="preserve">Schneider Quetschflasche Polypropylen 950 ml</t>
  </si>
  <si>
    <t xml:space="preserve">950 ml instead of 1000 ml, polypropylene, 8x28.1 cm, colours yellow/red/transparent; net 7.59 / gross 9.11; art. i30244457 / Schneider 150625; 372 in stock. Cheaper PE alternative on same shop: APS Quetschflasche Polyethylen 1020 ml with screw cap, 2.09 net / 2.51 gross (pdp/215744)</t>
  </si>
  <si>
    <t xml:space="preserve">https://www.lusini.com/de-at/pdp/248234/</t>
  </si>
  <si>
    <t xml:space="preserve">Sofort verfügbar (372 Stück)</t>
  </si>
  <si>
    <t xml:space="preserve">Schneider Quetschflasche 250 ml, Polypropylen</t>
  </si>
  <si>
    <t xml:space="preserve">250 ml, polypropylene, 5.2x19.5 cm, transparent or yellow, standard single-tip squeeze bottle (tip count not explicitly stated); net 3.09 / gross 3.71; art. i30246366 / Schneider 200490; 1935 in stock</t>
  </si>
  <si>
    <t xml:space="preserve">https://www.lusini.com/de-at/pdp/250067/</t>
  </si>
  <si>
    <t xml:space="preserve">Sofort verfügbar (1935 Stück)</t>
  </si>
  <si>
    <t xml:space="preserve">APS Quetschflasche, 6er Pack, 490 ml</t>
  </si>
  <si>
    <t xml:space="preserve">490 ml, polyethylene (not PP), screw cap + closure cap over single tip, transparent; net 9.99 / gross 11.99 per 6-pack (1.67 net per piece); page shows net and gross side by side (Preise ohne Umsatzsteuer); art. i30132391 / APS 93253; sofort verfügbar, 1-3 days</t>
  </si>
  <si>
    <t xml:space="preserve">https://www.lusini.com/de-at/pdp/171634/</t>
  </si>
  <si>
    <t xml:space="preserve">Sofort verfügbar</t>
  </si>
  <si>
    <t xml:space="preserve">APS Quetschflasche, 6er-Set, Polyethylen, 760 ml</t>
  </si>
  <si>
    <t xml:space="preserve">760 ml, polyethylene (not PP), screw cap with closure cap, 7x7x26.5 cm, yellow/red/transparent; net 10.39 / gross 12.47 per 6-set (page states 2.07 net per piece); art. i30228784 / APS 93256; 300 in stock. Also: Stalgast Quetschflasche 700 ml PE 1.59 net (pdp/194709) but out of stock; APS 650 ml PE 1.70 net (pdp/132621)</t>
  </si>
  <si>
    <t xml:space="preserve">https://www.lusini.com/de-at/pdp/215640/</t>
  </si>
  <si>
    <t xml:space="preserve">Sofort verfügbar (300 Stück)</t>
  </si>
  <si>
    <t xml:space="preserve">APS Quetschflasche, 6er-Set, Polyethylen, 760 ml, mit Schraubdeckel und Verschlusskappe</t>
  </si>
  <si>
    <t xml:space="preserve">760 ml PE bottle with screw lid and closure cap over the tip (Verschlusskappe); tip width not specified on page; sold as 6-set, net 10.39 / gross 12.47; same item also used for the 750 ml single-tip benchmark</t>
  </si>
  <si>
    <t xml:space="preserve">Saucenspender - GN 1/6 - mit Maßeinteilung - 2,60 l - Polypropylen (WAS 3732260)</t>
  </si>
  <si>
    <t xml:space="preserve">PP GN 1/6 (176x162 mm) sauce container with pump, 2.6 l (just above 1.9-2.5 l window), height with pump 19 cm, no stand (stainless stand sold separately), HACCP clip markable; pump portion not stated; net 16.90 / 20.11 incl. (19%); in stock 2-4 Werktage. Shop also lists Dosierspender mit Druckknopf 2.0 l PE 18x14.5 cm at 30.50 (154710-C) and 37.00 (154720-C)</t>
  </si>
  <si>
    <t xml:space="preserve">https://shopbuero.com/saucenspender-gn-1-6-mit-masseinteilung-inhalt-2-60-l-gn-1-6-176-x-162-mm-polypropylen/3732260-A</t>
  </si>
  <si>
    <t xml:space="preserve">in stock, 2-4 Werktage</t>
  </si>
  <si>
    <t xml:space="preserve">Quetschflasche - 3-fach - für Artikel 15620 - 0,95 l - Polypropylen (Schneider 150621)</t>
  </si>
  <si>
    <t xml:space="preserve">Triple-tip (3-fach) PP squeeze bottle but 950 ml instead of 500 ml; 7.7x7.7x28 cm; sale price 3.80 (regular 5.90), 'Preise zzgl. MwSt.' (German shop, incl. figures correspond to 19%); sofort verfügbar, 2-4 Werktage; no 500 ml triple-tip in this shop. Single-tip sibling 150625 0.95 l PP 3.70</t>
  </si>
  <si>
    <t xml:space="preserve">https://shopbuero.com/quetschflasche-3-fach-fuer-artikel-15620-7-7-x-7-7-x-28-0-cm-inhalt-0-95-l-polypropylen/150621-C</t>
  </si>
  <si>
    <t xml:space="preserve">Sofort verfügbar, 2-4 Werktage</t>
  </si>
  <si>
    <t xml:space="preserve">Quetschflasche - mit Verschlusskappe - weiß/klar - 0,65 l - Polyethylen (APS 93157)</t>
  </si>
  <si>
    <t xml:space="preserve">650 ml (vs 750 ml) polyethylene bottle with screw lid and closure cap (Verschlusskappe) over the tip; tip width not stated; 25x6.5 cm; sale 1.40 (regular 1.90), 'Preise zzgl. MwSt.', incl. figure 1.67 = 19%; sofort verfügbar 2-4 Werktage. Shop also lists 0.70 l WAS Quetschflasche mit Schraubdeckel 1.10 (3731002-A) and 0.76 l 6er-Set PE 8.20 (93257/93258)</t>
  </si>
  <si>
    <t xml:space="preserve">https://shopbuero.com/quetschflasche-mit-verschlusskappe-weiss-klar-inhalt-0-65-l-polyethylen/93157-B</t>
  </si>
  <si>
    <t xml:space="preserve">Euronorm Stapelboxen Industrie 400 x 300 x 120 mm</t>
  </si>
  <si>
    <t xml:space="preserve">Industrial Euronorm stacking box, not a dedicated pizza dough box: PP-C, 400x300x120 mm outer (367x268x117 inner), 11.2 l, closed sides/bottom/handles, lid not included (optional accessory). 120 mm instead of 100 mm. Price 'exkl. MwSt. zzgl. Versandkosten'; tiers 6+ 9.07, 15+ 8.06. No 400x300x100 dough box found at ALLPAX.</t>
  </si>
  <si>
    <t xml:space="preserve">https://www.allpax.at/product_info.php/info/Euronorm-Stapelboxen-Industrie-400-x-300-x-120-mm.html</t>
  </si>
  <si>
    <t xml:space="preserve">Bekuplast</t>
  </si>
  <si>
    <t xml:space="preserve">sofort verfügbar</t>
  </si>
  <si>
    <t xml:space="preserve">Schneider Kunststoff Teigwanne rechteckig 12 l, weiß</t>
  </si>
  <si>
    <t xml:space="preserve">Dough trough, not a Euronorm 400x300 dough ball box: HDPE, 440x320x155 mm outer (395x275x150 inner), 12 l, white, ohne Deckel. Net 32.19 (38.31 inkl. MwSt). Lieferbar, 3-6 Werktage. Mindestmenge 2. No 400x300x100 dough box in GastroHero's Teigballenbehälter collection (only 600x400 boxes in 75/95/130 mm).</t>
  </si>
  <si>
    <t xml:space="preserve">https://www.gastro-hero.at/products/schneider-kunststoff-teigwanne-rechteckig-12-l-weiss-200962</t>
  </si>
  <si>
    <t xml:space="preserve">Lieferbar, 3-6 Werktage</t>
  </si>
  <si>
    <t xml:space="preserve">Stülpdeckel für Pizzaballenbehälter 60 x 40 cm</t>
  </si>
  <si>
    <t xml:space="preserve">Slip-on lid for the Ringoplast 60x40 Pizzaballenbehälter; polypropylene; art. i30130451. Net price 11.99 read on the de-at Lagerung category listing (https://www.lusini.com/de-at/category/kueche/lagerung/) because the product page returned HTTP 429 (rate limited); material/fit spec taken from the lusini.com/en product page of the same article. Availability not read.</t>
  </si>
  <si>
    <t xml:space="preserve">https://www.lusini.com/de-at/pdp/169724/</t>
  </si>
  <si>
    <t xml:space="preserve">Ringoplast</t>
  </si>
  <si>
    <t xml:space="preserve">not read (product page rate-limited)</t>
  </si>
  <si>
    <t xml:space="preserve">Pizzaballenbehälter 60 x 40 x 7,6 cm, weiß</t>
  </si>
  <si>
    <t xml:space="preserve">Polyethylene, 60 x 40 x 7.6 cm (76 mm vs 75 mm), white, closed sides and bottom, no lid included; art. i30130450. Net price for business customers (gross 17.99 incl. 20% VAT shown alongside). Sofort verfügbar, 1-3 Werktage, 132 units in stock. No MOQ or tier pricing stated.</t>
  </si>
  <si>
    <t xml:space="preserve">https://www.lusini.com/de-at/pdp/169718/</t>
  </si>
  <si>
    <t xml:space="preserve">Sofort verfügbar, 1-3 Werktage (132 Stk.)</t>
  </si>
  <si>
    <t xml:space="preserve">Teigwanne 44 x 32 x 15,5 cm, 12 l, weiß</t>
  </si>
  <si>
    <t xml:space="preserve">Dough trough, not a Euronorm 400x300 dough ball box: hard polyethylene (HDPE), 44 x 32 x 15.5 cm, 12 l, white, no lid mentioned. Net price for business customers (gross 40.91 incl. 20% VAT shown alongside). Sofort verfügbar, 1-3 Werktage, 452 units. LUSINI de-at carries no PP 400x300x100 and no PP 600x400x100 dough box (only the Ringoplast PE 60x40x7.6 box and its lid).</t>
  </si>
  <si>
    <t xml:space="preserve">https://www.lusini.com/de-at/pdp/227623/</t>
  </si>
  <si>
    <t xml:space="preserve">Sofort verfügbar, 1-3 Werktage (452 Stk.)</t>
  </si>
  <si>
    <t xml:space="preserve">Polyethylene instead of PP; 76 mm high; sold without lid (matching lid pdp/169724 sold separately). Net price for business customers (gross 17.99). Sofort verfügbar, 1-3 Werktage. No PP 600x400 dough box found at LUSINI.</t>
  </si>
  <si>
    <t xml:space="preserve">GN-BEHÄLTER POLYKARBONAT 1/1 100 tief</t>
  </si>
  <si>
    <t xml:space="preserve">Art. 861 226; Polycarbonat, transparent, GN 1/1, 100 mm deep, -40 to +99 C; same price as the 65 mm version; 'Alle Preise excl. 20% MwSt.'; no brand stated; ordering via Anfragekorb, no stock text</t>
  </si>
  <si>
    <t xml:space="preserve">https://www.gastrozimml.at/produkt/gn-behalter-polykarbonat-11-100/</t>
  </si>
  <si>
    <t xml:space="preserve">not stated (request basket)</t>
  </si>
  <si>
    <t xml:space="preserve">GN-BEHÄLTER POLYKARBONAT 1/1 65 tief</t>
  </si>
  <si>
    <t xml:space="preserve">Art. 861 233; Polycarbonat, transparent, GN 1/1, 65 mm deep, -40 to +99 C; 'Alle Preise excl. 20% MwSt.'; no brand stated; ordering via Anfragekorb (request basket), no stock text</t>
  </si>
  <si>
    <t xml:space="preserve">https://www.gastrozimml.at/produkt/gn-behalter-polykarbonat-11-65-tief/</t>
  </si>
  <si>
    <t xml:space="preserve">GN-BEHÄLTER POLYKARBONAT 1/2 150 tief</t>
  </si>
  <si>
    <t xml:space="preserve">Art. 861 417; Polycarbonat, transparent, GN 1/2, 150 mm deep, -40 to +99 C; 'Alle Preise excl. 20% MwSt.'; no brand stated; ordering via Anfragekorb, no stock text</t>
  </si>
  <si>
    <t xml:space="preserve">https://www.gastrozimml.at/produkt/gn-behalter-polykarbonat-12-150-tief/</t>
  </si>
  <si>
    <t xml:space="preserve">GN-BEHÄLTER POLYPROPYLEN 1/2 150 tief</t>
  </si>
  <si>
    <t xml:space="preserve">Art. 880 111; Polypropylen (hart elastisch), GN 1/2, 150 mm deep, -40 to +70 C; 'Alle Preise excl. 20% MwSt.'; no brand stated; ordering via Anfragekorb, no stock text</t>
  </si>
  <si>
    <t xml:space="preserve">https://www.gastrozimml.at/produkt/gn-behalter-polypropylen-12-150-tief/</t>
  </si>
  <si>
    <t xml:space="preserve">GN-BEHÄLTER POLYKARBONAT 1/3 100 tief</t>
  </si>
  <si>
    <t xml:space="preserve">Art. 861 523; Polycarbonat, transparent, GN 1/3, 100 mm deep, -40 to +99 C; 'Alle Preise excl. 20% MwSt.'; no brand stated; ordering via Anfragekorb, no stock text</t>
  </si>
  <si>
    <t xml:space="preserve">https://www.gastrozimml.at/produkt/gn-behalter-polykarbonat-13-100-tief/</t>
  </si>
  <si>
    <t xml:space="preserve">GN-BEHÄLTER POLYPROPYLEN 1/3 100 tief</t>
  </si>
  <si>
    <t xml:space="preserve">Art. 880 227; Polypropylen (hart elastisch), GN 1/3, 100 mm deep, -40 to +70 C; 'Alle Preise excl. 20% MwSt.'; no brand stated; ordering via Anfragekorb, no stock text</t>
  </si>
  <si>
    <t xml:space="preserve">https://www.gastrozimml.at/produkt/gn-behalter-polypropylen-13-100-tief/</t>
  </si>
  <si>
    <t xml:space="preserve">GN-BEHÄLTER POLYKARBONAT 1/6 100 tief</t>
  </si>
  <si>
    <t xml:space="preserve">Art. 861 721; Polycarbonat, transparent, GN 1/6, 100 mm deep, -40 to +99 C; 'Alle Preise excl. 20% MwSt.'; no brand stated; ordering via Anfragekorb, no stock text</t>
  </si>
  <si>
    <t xml:space="preserve">https://www.gastrozimml.at/produkt/gn-behalter-polykarbonat-16-100-tief/</t>
  </si>
  <si>
    <t xml:space="preserve">GN-BEHÄLTER POLYPROPYLEN 1/6 100 tief</t>
  </si>
  <si>
    <t xml:space="preserve">Art. 880 425; Polypropylen (hart elastisch), GN 1/6, 100 mm deep, -40 to +70 C; 'Alle Preise excl. 20% MwSt.'; no brand stated; ordering via Anfragekorb, no stock text</t>
  </si>
  <si>
    <t xml:space="preserve">https://www.gastrozimml.at/produkt/gn-behalter-polypropylen-16-100-tief/</t>
  </si>
  <si>
    <t xml:space="preserve">GN-BEHÄLTER POLYPROPYLEN 1/9 100 tief</t>
  </si>
  <si>
    <t xml:space="preserve">Art. 880 524; Polypropylen (hart elastisch), GN 1/9, 100 mm deep, -40 to +70 C; 'Alle Preise excl. 20% MwSt.'; no brand stated; ordering via Anfragekorb, no stock text</t>
  </si>
  <si>
    <t xml:space="preserve">https://www.gastrozimml.at/produkt/gn-behalter-polypropylen-19-100-tief/</t>
  </si>
  <si>
    <t xml:space="preserve">Behälter GN 1/1 Polycarbonat</t>
  </si>
  <si>
    <t xml:space="preserve">Polycarbonat, GN 1/1, depth 100 mm, 13.3 l, transparent, litre scale, -40 to +110 C (Schneider art. 530101); net 34.99 / gross 41.99; 201 units in stock; no MOQ stated</t>
  </si>
  <si>
    <t xml:space="preserve">https://www.lusini.com/de-at/pdp/248185/</t>
  </si>
  <si>
    <t xml:space="preserve">Sofort verfügbar, 1-3 Werktage</t>
  </si>
  <si>
    <t xml:space="preserve">Gastronormbehälter Serie Buffet von Stalgast, GN 1/1, H 65 mm</t>
  </si>
  <si>
    <t xml:space="preserve">Polycarbonat, GN 1/1 53 x 32.5 cm, H 65 mm; colour variants black/transparent at same price; page shows net 10.19 / gross 12.23 (category listing showed 'ab 9.49'); shipped by LUSINI partner, normal delivery 1-3 Werktage; currently 'Leider ausverkauft'</t>
  </si>
  <si>
    <t xml:space="preserve">https://www.lusini.com/de-at/pdp/265734/</t>
  </si>
  <si>
    <t xml:space="preserve">out of stock (Leider ausverkauft)</t>
  </si>
  <si>
    <t xml:space="preserve">GN 1/1 Deckel, Polycarbonat</t>
  </si>
  <si>
    <t xml:space="preserve">Polycarbonat lid GN 1/1 53 x 32.5 cm, transparent, -30 to +70 C; net 10.39 / gross 12.47; 300 units in stock; cheaper Stalgast PC lid GN 1/1 also listed at net 8.39 (pdp/265762, not verified on product page)</t>
  </si>
  <si>
    <t xml:space="preserve">https://www.lusini.com/de-at/pdp/122413/</t>
  </si>
  <si>
    <t xml:space="preserve">Behälter GN 1/1 Polypropylen</t>
  </si>
  <si>
    <t xml:space="preserve">Polypropylen, GN 1/1, depth 65 mm, 9 l, transparent, litre scale; -40 to +80 C; net 17.09 / gross 20.51; no MOQ stated</t>
  </si>
  <si>
    <t xml:space="preserve">https://www.lusini.com/de-at/pdp/248184/</t>
  </si>
  <si>
    <t xml:space="preserve">GN 1/1 Deckel, Polypropylen</t>
  </si>
  <si>
    <t xml:space="preserve">Polypropylen lid GN 1/1 53 x 32.5 cm, transparent; net 5.09 / gross 6.11; no MOQ stated</t>
  </si>
  <si>
    <t xml:space="preserve">https://www.lusini.com/de-at/pdp/131555/</t>
  </si>
  <si>
    <t xml:space="preserve">GN 1/2 Behälter, Polycarbonat</t>
  </si>
  <si>
    <t xml:space="preserve">Polycarbonat, GN 1/2 32.5 x 26.5 x 15 cm, 8.9 l, transparent; net 11.40 / gross 13.68; no MOQ stated</t>
  </si>
  <si>
    <t xml:space="preserve">https://www.lusini.com/de-at/pdp/131534/</t>
  </si>
  <si>
    <t xml:space="preserve">GN 1/2 Behälter, Polypropylen</t>
  </si>
  <si>
    <t xml:space="preserve">Polypropylen, GN 1/2 32.5 x 26.5 x 15 cm, 8.9 l, transparent; net 6.99 / gross 8.39; no MOQ stated</t>
  </si>
  <si>
    <t xml:space="preserve">https://www.lusini.com/de-at/pdp/131563/</t>
  </si>
  <si>
    <t xml:space="preserve">GN 1/3 Behälter, Polycarbonat</t>
  </si>
  <si>
    <t xml:space="preserve">Polycarbonat, GN 1/3 325 x 175 x 100 mm, 3.6 l, transparent; net 7.69 / gross 9.23; 300 units in stock; no MOQ stated</t>
  </si>
  <si>
    <t xml:space="preserve">https://www.lusini.com/de-at/pdp/131538/</t>
  </si>
  <si>
    <t xml:space="preserve">GN 1/3 Behälter, Polypropylen</t>
  </si>
  <si>
    <t xml:space="preserve">Polypropylen, GN 1/3 32.5 x 17.6 x 10 cm, 3.6 l, transparent; net 4.79 / gross 5.75; 300 units in stock; no MOQ stated</t>
  </si>
  <si>
    <t xml:space="preserve">https://www.lusini.com/de-at/pdp/131567/</t>
  </si>
  <si>
    <t xml:space="preserve">GN 1/3 Deckel, Polypropylen</t>
  </si>
  <si>
    <t xml:space="preserve">Polypropylen lid GN 1/3 32.5 x 17.6 cm, transparent; net 2.59 / gross 3.11; 300 units in stock; Stalgast PP lid GN 1/3 also listed at net 1.99 (pdp/223744, not verified on product page)</t>
  </si>
  <si>
    <t xml:space="preserve">https://www.lusini.com/de-at/pdp/131566/</t>
  </si>
  <si>
    <t xml:space="preserve">GN 1/6 Behälter, Polycarbonat</t>
  </si>
  <si>
    <t xml:space="preserve">Polycarbonat, GN 1/6 17.6 x 16.2 x 10 cm, 1.5 l, transparent; net 4.69 / gross 5.63; no MOQ stated</t>
  </si>
  <si>
    <t xml:space="preserve">https://www.lusini.com/de-at/pdp/131548/</t>
  </si>
  <si>
    <t xml:space="preserve">GN 1/6 Behälter, Polypropylen</t>
  </si>
  <si>
    <t xml:space="preserve">Polypropylen, GN 1/6 17.6 x 16.2 x 10 cm, 1.5 l, transparent; net 3.30 / gross 3.96; 300 units in stock; no MOQ stated</t>
  </si>
  <si>
    <t xml:space="preserve">https://www.lusini.com/de-at/pdp/131577/</t>
  </si>
  <si>
    <t xml:space="preserve">GN 1/9 Behälter, Polypropylen</t>
  </si>
  <si>
    <t xml:space="preserve">Polypropylen, GN 1/9 17.6 x 10.8 x 10 cm, 1.0 l, transparent (colour selector present); net 2.89 / gross 3.47; no MOQ stated</t>
  </si>
  <si>
    <t xml:space="preserve">https://www.lusini.com/de-at/pdp/131581/</t>
  </si>
  <si>
    <t xml:space="preserve">Thermobehälter Modell REES (Frontlader, 83 l)</t>
  </si>
  <si>
    <t xml:space="preserve">Double-wall PU-insulated plastic front loader, 83 l, 625x450x575 mm, 12 rails, GN 1/1, swing door; sale price (regular 370.00 net); page states 'Alle Preise excl. 20% MwSt'. Only other thermoboxes are toploaders (28 l 199.00; 2x GN 1/1-200 299.00)</t>
  </si>
  <si>
    <t xml:space="preserve">https://www.gastrozimml.at/produkt/thermobehaelter-modell-rees/</t>
  </si>
  <si>
    <t xml:space="preserve">SARO</t>
  </si>
  <si>
    <t xml:space="preserve">no availability text on page</t>
  </si>
  <si>
    <t xml:space="preserve">Thermo-Transportbehälter Frontlader Groß M601</t>
  </si>
  <si>
    <t xml:space="preserve">PP front loader with double-wall PU insulation, 83 l; outer 45x62.5x57.5 cm, inner 33.3x54x46 cm; 12 rails, up to 4x GN 1/1-100; gross 322.80 incl. MwSt shown alongside; art. i20070666</t>
  </si>
  <si>
    <t xml:space="preserve">https://www.lusini.com/de-at/pdp/104677/</t>
  </si>
  <si>
    <t xml:space="preserve">Avatherm</t>
  </si>
  <si>
    <t xml:space="preserve">Sofort verfügbar (59 units), delivery 1-3 Werktage</t>
  </si>
  <si>
    <t xml:space="preserve">Thermobox Frontlader GN 1/1</t>
  </si>
  <si>
    <t xml:space="preserve">EPP front loader, 93 l (slightly above 80-90 l); outer 64.5x44.5x62.5 cm, inner 53x33.5x52.5 cm; gross 280.55; art. i30136743. Cheaper 69 l EPP front loader (pdp/167133, APPROX) 149.00 net, in stock</t>
  </si>
  <si>
    <t xml:space="preserve">https://www.lusini.com/de-at/pdp/177217/</t>
  </si>
  <si>
    <t xml:space="preserve">Thermo Future Box</t>
  </si>
  <si>
    <t xml:space="preserve">Leider ausverkauft (out of stock)</t>
  </si>
  <si>
    <t xml:space="preserve">Tablett FAST FOOD, Polypropylen GN 1/1 53x32.5 cm</t>
  </si>
  <si>
    <t xml:space="preserve">PP non-slip tray but GN 1/1 size 53x32.5x2 cm, not 53x37; colours brown/grey/red/black; gross 8.39; art. i30080879 (APS 553). No ABS/PP 53x37 tray found in LUSINI AT Serviertabletts category (31 products); PULSIVA Kantinentablett fibreglass 53x32.5 10.99 net per piece (pack of 12)</t>
  </si>
  <si>
    <t xml:space="preserve">https://www.lusini.com/de-at/pdp/129595/</t>
  </si>
  <si>
    <t xml:space="preserve">Sofort verfügbar (791 units), delivery 1-3 Werktage</t>
  </si>
  <si>
    <t xml:space="preserve">Thermo Tablett Set, mit Deckel</t>
  </si>
  <si>
    <t xml:space="preserve">Rectangular 5-piece set 43x29x14 cm: insulated base, stainless tray, PS fresh-keeping hood, cooling packs, strap; set of parts rather than 5-6 compartment tray; gross 29.99; art. i30108324 (APS 9091). Round variant (pdp/129922, 35x35x15 cm) 24.09 net, in stock. No insulated 5-6 compartment menu tray with lid found at LUSINI AT</t>
  </si>
  <si>
    <t xml:space="preserve">https://www.lusini.com/de-at/pdp/129921/</t>
  </si>
  <si>
    <t xml:space="preserve">Thermobox beheizt - 90 L - für GN 1/1 Behälter - Frontloader - mit Temperaturanzeige</t>
  </si>
  <si>
    <t xml:space="preserve">Right format (PE front loader, 90 l, 66.5x46x62.5 cm, 6x GN 1/1-65 or 4x GN 1/1-100) but HEATED version with thermostat 0-70 C, 200 W, so not comparable to a passive box; page states inkl. MwSt. (20%); sale price, regular 582.00; art. EX10012974 / RC-TBE1. Unheated Royal Catering/Cambro front-loader URLs (10011868, 10330010) redirect to the stainless Thermobehälter category - appear delisted</t>
  </si>
  <si>
    <t xml:space="preserve">https://www.expondo.at/royal-catering-thermobox-beheizt-90-l-fuer-gn-1-1-behaelter-frontloader-mit-temperaturanzeige-10012974</t>
  </si>
  <si>
    <t xml:space="preserve">Royal Catering</t>
  </si>
  <si>
    <t xml:space="preserve">In stock, free delivery by ca. 9 Oct</t>
  </si>
  <si>
    <t xml:space="preserve">SKU SBP25R; red HACCP PE board 250x400x20 mm - GGM's smallest board (sizes 250x400, 300x500, 325x530, 600x400; no 300x200). Net price as displayed; gross 492.09 CZK with 19% VAT (CZ storefront uses 19%).</t>
  </si>
  <si>
    <t xml:space="preserve">not stated on fetched page</t>
  </si>
  <si>
    <t xml:space="preserve">Code 1842538-03; red HDPE 20 mm with feet but 530x325 mm - no 300x200 PE board in shop (small boards are melamine 32x24.5 / 16x24.5 cm only). 1,318.90 CZK incl. Availability 'Na dotaz'.</t>
  </si>
  <si>
    <t xml:space="preserve">Na dotaz</t>
  </si>
  <si>
    <t xml:space="preserve">Code 1842538-03; red HDPE with feet but 530x325x20 mm - shop's smallest PE board (only GN 1/1 and 600x400 PE boards; smaller sizes melamine only). 1,318.90 CZK incl. Availability 'Na dotaz'.</t>
  </si>
  <si>
    <t xml:space="preserve">Krájecí deska s rukojetí, Bílá, 300x200mm Hendi</t>
  </si>
  <si>
    <t xml:space="preserve">Code 826355; HDPE 300x200x10 mm with handle; white or black (black 177 CZK excl.), no HACCP colour set. 248 CZK incl. In stock at Troubsko warehouse.</t>
  </si>
  <si>
    <t xml:space="preserve">https://www.gastrofans.cz/krajeci-deska-s-rukojeti-white-300x200x-h-10-mm/</t>
  </si>
  <si>
    <t xml:space="preserve">Skladem (&gt;15 ks)</t>
  </si>
  <si>
    <t xml:space="preserve">Gastro-M krájecí prkénko z HDPE GN1/1 – červené 15mm</t>
  </si>
  <si>
    <t xml:space="preserve">Code GN343; HDPE 500 polyethylene, GN 1/1 530x325 mm but 15 mm thick (not 20); HACCP colours (blue/yellow 835 CZK excl.). 1,114 CZK incl.; shown as discounted. Cheaper alternative: Hendi 826010 HACCP GN 1/1 530x325x15 mm 513 CZK excl. (material not stated on page). No 20 mm GN 1/1 board found.</t>
  </si>
  <si>
    <t xml:space="preserve">https://www.gastrofans.cz/gastro-m-krajeci-prkenko-z-hdpe-gn1-1---cervene-15mm/</t>
  </si>
  <si>
    <t xml:space="preserve">Skladem u dodavatele (4 ks)</t>
  </si>
  <si>
    <t xml:space="preserve">Univerzální krájecí deska, 600x400x(H)20mm</t>
  </si>
  <si>
    <t xml:space="preserve">Code 826393; HDPE polyethylene 600x400x20 mm, white, non-slip feet; no HACCP colour range (flagged). 960 CZK incl. (18% promo from 1,172 incl.); category listing showed 731/884 CZK. HACCP-colour alternative: Hendi 825631 HDPE 500 600x400x18 mm 668 CZK excl.; Hendi 827116 LDPE 600x400x15 mm 469 CZK excl.</t>
  </si>
  <si>
    <t xml:space="preserve">https://www.gastrofans.cz/univerzalni-krajeci-deska--600x400x-h-20mm/</t>
  </si>
  <si>
    <t xml:space="preserve">Skladem u dodavatele (&gt;15 ks)</t>
  </si>
  <si>
    <t xml:space="preserve">Hygiplas krájecí prkénko s vysokou hustotou malé červené</t>
  </si>
  <si>
    <t xml:space="preserve">Code HC866; red high-density polyethylene 305x229x12 mm (closest small red board; no red 300x200x20 in shop). 257 CZK incl. Also sold as set of 6 (HC869). Hendi 300x200x10 handle board only white/black.</t>
  </si>
  <si>
    <t xml:space="preserve">https://www.gastrofans.cz/hygiplas-krajeci-prkenko-s-vysokou-hustotou-male-cervene/</t>
  </si>
  <si>
    <t xml:space="preserve">Hygiplas krájecí prkénko s nízkou hustotou silné červené</t>
  </si>
  <si>
    <t xml:space="preserve">Code DM004; red LDPE 450x300x20 mm (no 400x300 board in shop); HACCP colour set. 563 CZK incl. Other red options: Hendi HACCP 450x300x10 mm 239 CZK excl.; Hygiplas HDPE 450x300x12 mm 349 CZK excl.</t>
  </si>
  <si>
    <t xml:space="preserve">https://www.gastrofans.cz/hygiplas-krajeci-prkenko-s-nizkou-hustotou-silne-cervene/</t>
  </si>
  <si>
    <t xml:space="preserve">Code GN343; red HDPE 500 polyethylene GN 1/1 530x325x15 mm, HACCP. 1,114 CZK incl.; shown as discounted. Cheaper: Hendi 826010 HACCP GN 1/1 red 530x325x15 mm 513 CZK excl. / 621 incl. (material not stated on page, one side grooved).</t>
  </si>
  <si>
    <t xml:space="preserve">Deska na krájení HACCP Gastronorm 1/1, HENDI, GN 1/1, Bílá, 530x325mm, Obdélníkové</t>
  </si>
  <si>
    <t xml:space="preserve">Code 826003; GN 1/1 530x325 mm, HACCP colours (white/blue/red/green/yellow/brown), weight 2.5 kg; page does not state thickness or material. 477.90 CZK incl.; -10% promo from 438.84 CZK excl. Free shipping over 12,100 CZK excl.; pickup Havířov. Only 3 plastic boards in shop.</t>
  </si>
  <si>
    <t xml:space="preserve">https://www.promos-gastro.cz/index.php?id_product=709&amp;controller=product</t>
  </si>
  <si>
    <t xml:space="preserve">not stated (dostupná doprava)</t>
  </si>
  <si>
    <t xml:space="preserve">desky krájecí YA 60x40 cm</t>
  </si>
  <si>
    <t xml:space="preserve">Code YG-02180; 600x400 mm, 20 mm thick, HACCP colours (red/white/blue/green/yellow/brown), non-slip surface; material not stated on page (same Yato SKU listed as PE at Gastromania). 563.57 CZK incl.; -3% promo from 480.17 CZK excl. Stock status not shown.</t>
  </si>
  <si>
    <t xml:space="preserve">https://www.promos-gastro.cz/gastro-profi-nadobi-nacini-nerez-hrnce-panvicky-talire-pribory/spalky-na-maso-krajeci-desky-kuchynske-drevene-plastove-prkenko-gastro/43253-kuchynske-profi-desky-na-krajeni-600x400-mm.html</t>
  </si>
  <si>
    <t xml:space="preserve">krájecí desky ST 45x30 cm oboustranné</t>
  </si>
  <si>
    <t xml:space="preserve">Code 341455; 450x300x13 mm (not 400x300x20), double-sided, HACCP colours incl. red; material stated only as 'plastové'. 251.17 CZK incl.; -3% promo from 214.00 CZK excl. No 400x300 or 300x200 board in shop.</t>
  </si>
  <si>
    <t xml:space="preserve">https://www.promos-gastro.cz/index.php?id_product=16&amp;controller=product</t>
  </si>
  <si>
    <t xml:space="preserve">Deska na krájení HACCP Gastronorm 1/1, HENDI, GN 1/1, 530x325mm (červená variant)</t>
  </si>
  <si>
    <t xml:space="preserve">Code 826003 (white base; red offered as colour option, variant price not separately shown); 530x325 mm GN 1/1; thickness and material not stated on page. 477.90 CZK incl.; -10% promo from 438.84 CZK excl.</t>
  </si>
  <si>
    <t xml:space="preserve">Dávkovač omáčky s pumpou - 2 l - pro nádoby GN 1/6 - pochromovaný - 165x180x300 mm - nastavitelná dávka - bez nádoby (SEK2)</t>
  </si>
  <si>
    <t xml:space="preserve">English-language page of the CZ/CZK storefront; net 1,241.05 CZK, gross 1,476.85 CZK incl. 19% VAT. SKU SEK2: 2 l pump unit for GN 1/6 containers, chrome-plated, 30 ml adjustable dose, 165x180x300 mm, delivered WITHOUT container (and no PP container/ABS housing) - pump head only, so not a complete dispenser. GGM's complete 2 l unit SSH12 (with stainless stand, 997.66 CZK net) is already recorded under the stand benchmark.</t>
  </si>
  <si>
    <t xml:space="preserve">https://www.ggmgastro.com/en-cz-czk/commercial-sauce-dispenser-with-pump-2-litres-suitable-for-gn-1-6-containers-chrome-plated-165x180x300mm-adjustable-dose-without-container-sek2</t>
  </si>
  <si>
    <t xml:space="preserve">In stock: 1-3 days</t>
  </si>
  <si>
    <t xml:space="preserve">(6 ks) Stlačovací lahev na omáčky se středovou membránou - 710 ml - se šroubovacím uzávěrem a uzavírací čepičkou</t>
  </si>
  <si>
    <t xml:space="preserve">Net CZK price as displayed; footnote '* čistá cena | hrubá cena vč. 19% DPH' (gross 984.46 CZK). SKU FFO-004: FIFO-style bottle with central membrane/valve, screw cap and cover cap ('uzavírací čepička') - covered tip but valve nozzle, not a wide tip; 710 ml; material not stated. Pack of 6. GGM lists no triple-tip bottle and no plain wide-tip bottle (range FFO-001..007 all membrane bottles).</t>
  </si>
  <si>
    <t xml:space="preserve">Skladem: 1-3 dnů</t>
  </si>
  <si>
    <t xml:space="preserve">Vogue mačkací lahev na omáčku čirá 994ml</t>
  </si>
  <si>
    <t xml:space="preserve">Code W832; 994 ml, polyethylene (not PP), screw cap, wide neck, single tip (cut to size), 76x288 mm. 113 CZK s DPH. Red/yellow/brown variants same price. Alternatives: Araven non-drip 1000 ml PE 151 CZK excl., Araven 1000 ml 159 CZK excl. Match harmonised to CLOSE (PE instead of PP, capacity within 10%), consistent with the existing file.</t>
  </si>
  <si>
    <t xml:space="preserve">https://www.gastrofans.cz/vogue-mackaci-lahev-na-omacku-cira-994ml/</t>
  </si>
  <si>
    <t xml:space="preserve">Skladem Troubsko (&gt;15 ks), delivery by 7.10.2026</t>
  </si>
  <si>
    <t xml:space="preserve">Vogue mačkací lahev na omáčku čirá 227ml</t>
  </si>
  <si>
    <t xml:space="preserve">Code K062; 227 ml (not 250), polyethylene (not PP), screw cap, single cut-to-size tip, 48x185 mm. 51 CZK s DPH. Alternatives: Hendi 0.23 l non-drip 29 CZK excl.; Hendi 0.2 l 20 CZK excl. (3-pack 59, 10-pack 378). Match harmonised to CLOSE (PE instead of PP, capacity within 10%), consistent with the existing file.</t>
  </si>
  <si>
    <t xml:space="preserve">https://www.gastrofans.cz/vogue-mackaci-lahev-na-omacku-cira-227ml/</t>
  </si>
  <si>
    <t xml:space="preserve">Araven nekapající lahev na omáčku čirá 500ml</t>
  </si>
  <si>
    <t xml:space="preserve">Code CW112; 500 ml non-drip squeeze bottle, polyethylene (not PP), clear with ml/oz scale, dishwasher safe; single nozzle not explicitly described. 139 CZK s DPH. Stock at supplier (10+), delivery ~16 Oct 2026. Alternatives: Vogue 450 ml extra-wide-neck 99 CZK excl.; Vogue rotating-tip 455 ml 120 CZK excl. Match harmonised to CLOSE (PE instead of PP, capacity within 10%), consistent with the existing file.</t>
  </si>
  <si>
    <t xml:space="preserve">https://www.gastrofans.cz/araven-nekapajici-lahev-na-omacku-cira-500ml/</t>
  </si>
  <si>
    <t xml:space="preserve">Skladem u dodavatele (10+), delivery ~16.10.2026</t>
  </si>
  <si>
    <t xml:space="preserve">Mačkací lahve s 3 tryskami 1L</t>
  </si>
  <si>
    <t xml:space="preserve">Code CW726; triple-nozzle squeeze bottle but 1 L (not 500 ml); material only 'transparent plastic' (type not stated). 137 CZK s DPH. No 500 ml triple-tip bottle listed in the 50-item category.</t>
  </si>
  <si>
    <t xml:space="preserve">https://www.gastrofans.cz/mackaci-lahve-s-3-tryskami-1l/</t>
  </si>
  <si>
    <t xml:space="preserve">Dávkovací lahve, 0,7L, Průhledná, ø70x(H)240mm</t>
  </si>
  <si>
    <t xml:space="preserve">Hendi code 557921; 0.7 l (not 750), material only 'plast' (type not stated - flagged), hygienic closure cap, 70x240 mm. Product page shows 38 CZK bez DPH / 46 CZK s DPH; category listing showed 27/33 CZK (discrepancy - product page value recorded). Red/yellow same price; 3-pack 117 CZK excl. Alternatives: Araven non-drip 0.75 l PE 137 CZK excl.; TOMGAST 720 ml 26 CZK excl. in listing (product page 404).</t>
  </si>
  <si>
    <t xml:space="preserve">https://www.gastrofans.cz/davkovaci-lahve-transparent-0-7-l-70x-h-240-mm/</t>
  </si>
  <si>
    <t xml:space="preserve">Hendi 557921; 0.7 l bottle with 'hygienický uzávěr' (cover cap over the tip); tip width and plastic type not stated (flagged). 46 CZK s DPH. Same page also used for the 750 ml single-tip benchmark. Araven non-drip 0.75 l PE 137 CZK excl. is the other candidate (tip type not described).</t>
  </si>
  <si>
    <t xml:space="preserve">Gastro-tip Dávkovač 2200ml plast</t>
  </si>
  <si>
    <t xml:space="preserve">Code 4028574312080; 2.2 l plastic push-button pump dispenser, container material stated PS (polystyrene, not PP), 30 ml dose (benchmark ~20 ml), 170x170x380 mm, no stand (optional 'Držák 2 dávkovačů 2l' 799 CZK incl.), dishwasher safe. 655 CZK s DPH. Same format as benchmark (plastic 2.2 l pump dispenser without stand); material (PS stated here; TOMGAST lists the same EAN as PE) and dose deviate - flagged. Same EAN sold by TOMGAST as 'Dávkovač 2,2 l' at 765 CZK excl. Siblings: 1000 ml 586 incl., 1500 ml 628 incl.</t>
  </si>
  <si>
    <t xml:space="preserve">https://www.gastrosance.cz/davkovac-2200ml-plast</t>
  </si>
  <si>
    <t xml:space="preserve">Gastro-tip</t>
  </si>
  <si>
    <t xml:space="preserve">Na objednávku (expedice do 30 dnů)</t>
  </si>
  <si>
    <t xml:space="preserve">OEM Láhev průhledná - 350 ml</t>
  </si>
  <si>
    <t xml:space="preserve">Code 3300006; smallest bottle in range: 350 ml instead of 250 ml; material not stated; for ketchup/mustard/tartar. 31 CZK s DPH. Red/yellow/white same price.</t>
  </si>
  <si>
    <t xml:space="preserve">https://www.gastrosance.cz/lahev-pruhledna---350-ml</t>
  </si>
  <si>
    <t xml:space="preserve">OEM</t>
  </si>
  <si>
    <t xml:space="preserve">Skladem u dodavatele (expedice do 7 dnů)</t>
  </si>
  <si>
    <t xml:space="preserve">OEM Láhev průhledná - 420ml</t>
  </si>
  <si>
    <t xml:space="preserve">Code 3300016; 420 ml (16% under 500 ml - flagged), material stated 'Provedení polypropylen' (PP), standard sauce bottle, tip type not described. 42 CZK s DPH. White/red/yellow variants same price. No 500 ml bottle in the range (350/420/700 ml only).</t>
  </si>
  <si>
    <t xml:space="preserve">https://www.gastrosance.cz/lahev-pruhledna---420ml</t>
  </si>
  <si>
    <t xml:space="preserve">OEM Láhev průhledná - 700 ml</t>
  </si>
  <si>
    <t xml:space="preserve">Code 3300013; 0.7 l (not 750), material not stated (flagged), single-tip ketchup/mustard bottle. 37 CZK s DPH. Transparent is 'Na objednávku (30 dnů)'; red/yellow/white 700 ml are 26 CZK excl. / 31 s DPH and in stock at supplier (7 days). No 1000 ml bottle and no triple-tip bottle in the range.</t>
  </si>
  <si>
    <t xml:space="preserve">https://www.gastrosance.cz/lahev-pruhledna---700-ml</t>
  </si>
  <si>
    <t xml:space="preserve">Na objednávku (expedice do 30 dnů); coloured variants skladem u dodavatele (7 dnů)</t>
  </si>
  <si>
    <t xml:space="preserve">Dávkovač 2 l komplet nerez žlutý</t>
  </si>
  <si>
    <t xml:space="preserve">Code 4028574312929; 2.25 l push-button pump dispenser, stainless-steel construction (not PP/ABS), 30 ml adjustable dose, 107x107x358 mm, sold as complete unit. Sale price 3,600 CZK bez DPH (original 4,000 bez DPH, -10%); 4,356 CZK s DPH. Cheaper plastic sibling: 'Dávkovač 1000ml plast' PS, 1 l, 30 ml dose, 495.37 CZK excl. Availability not stated on page. Shipping free from 12,100 CZK.</t>
  </si>
  <si>
    <t xml:space="preserve">https://www.promos-gastro.cz/gastro-raut-vydej-jidla-vydejni-voziky-kotliky-chafingy-termosy-na-vodu-infra-lampy/servirovani-bufet-raut-snidane-svedske-stoly/servirovani/davkovace/81808-davkovac-2-l-komplet-nerez-zluty.html</t>
  </si>
  <si>
    <t xml:space="preserve">Gastro TIP</t>
  </si>
  <si>
    <t xml:space="preserve">Dávkovač 2 l</t>
  </si>
  <si>
    <t xml:space="preserve">Code S-152-34; 2 l sauce/ketchup pump dispenser, container and housing stated polyethylene (not PP/ABS - flagged), sliding push-button, 30 ml dose (benchmark ~20 ml), no stand, dishwasher safe. 765 CZK bez DPH shown. Sibling 'Dávkovač 2,2 l' S-152-24 (EAN 4028574312080, PE, 30 ml) same price 926/765 but 'Očekáváme naskladnění'. Larger 10/12 kg bucket pump 1,636 CZK incl.</t>
  </si>
  <si>
    <t xml:space="preserve">https://www.tomgast.cz/davkovac-2-l-2/</t>
  </si>
  <si>
    <t xml:space="preserve">Added 2 Oct 2026 from live page (Claude research). Gross price on page, netted at 21%.</t>
  </si>
  <si>
    <t xml:space="preserve">Skladem (1 ks)</t>
  </si>
  <si>
    <t xml:space="preserve">Víko pro stohovací nádobu 60 × 40cm</t>
  </si>
  <si>
    <t xml:space="preserve">Lid 600 x 400 mm for the GN536/GN537/GN538 stacking dough containers; material not stated (lid material unrestricted). Code GN539. 628 CZK s DPH. No MOQ/tiers.</t>
  </si>
  <si>
    <t xml:space="preserve">https://www.gastrofans.cz/viko-pro-stohovaci-nadobu-60--40cm/</t>
  </si>
  <si>
    <t xml:space="preserve">Skladem u dodavatele (&gt;15 ks), delivery by 16.10.2026</t>
  </si>
  <si>
    <t xml:space="preserve">Stohovací nádoba 60 × 40 × 7,5cm</t>
  </si>
  <si>
    <t xml:space="preserve">600 x 400 x 75 mm; material NOT stated on page; lid not included (GN539 lid 519 CZK bez DPH sold separately). Code GN536. 734 CZK s DPH. No MOQ/tiers.</t>
  </si>
  <si>
    <t xml:space="preserve">https://www.gastrofans.cz/stohovaci-nadoba-60--40--7-5cm/</t>
  </si>
  <si>
    <t xml:space="preserve">Stohovací nádoba 60 × 40 × 9,5cm GN</t>
  </si>
  <si>
    <t xml:space="preserve">600 x 400 x 95 mm (not 100 mm); material NOT stated on page; lid not included; 'ideální pro těsto na pizzu'. Code GN537. 812 CZK s DPH; page shows ~17% discount from original price. No MOQ/tiers. Also 60x40x13 cm variant GN538 774 CZK bez DPH.</t>
  </si>
  <si>
    <t xml:space="preserve">https://www.gastrofans.cz/stohovaci-nadoba-60--40--9-5cm/</t>
  </si>
  <si>
    <t xml:space="preserve">600 x 400 x 75 mm, sold without lid; material NOT stated on page. Code GN536. 734 CZK s DPH. No MOQ/tiers.</t>
  </si>
  <si>
    <t xml:space="preserve">OEM Víko k přepravce na pizza těsto (š=600, d=400mm)</t>
  </si>
  <si>
    <t xml:space="preserve">Plastic lid 600 x 400 mm for the OEM 600x400 dough box; code 800294201816; 0.69 kg. 202 CZK s DPH. No MOQ/tiers.</t>
  </si>
  <si>
    <t xml:space="preserve">https://www.gastrosance.cz/viko-k-prepravce-na-pizza-testo--s-600--d-400mm-</t>
  </si>
  <si>
    <t xml:space="preserve">OEM (Gastro-TIP)</t>
  </si>
  <si>
    <t xml:space="preserve">OEM Přepravka na pizza těsto (š=600, d=400, v=70 mm)</t>
  </si>
  <si>
    <t xml:space="preserve">600 x 400 x 70 mm (vs 75 mm); material stated only as 'plast'; white; without lid (lid 167 CZK bez DPH separate). Code 800294200349. 287 CZK s DPH.</t>
  </si>
  <si>
    <t xml:space="preserve">https://www.gastrosance.cz/prepravka-na-pizza-testo--s-600--d-400--v-70-mm-</t>
  </si>
  <si>
    <t xml:space="preserve">OEM Přepravka na pizza těsta (300x400x100 mm)</t>
  </si>
  <si>
    <t xml:space="preserve">300 x 400 x 100 mm, stackable, supplied without lid (Víko na přepravku 300x400 mm sold separately, 134 CZK s DPH); material NOT stated. Code 800294200363 (same Gastro-TIP item as Promos Gastro). 208 CZK s DPH. 12-month warranty.</t>
  </si>
  <si>
    <t xml:space="preserve">https://www.gastrosance.cz/prepravka-na-pizza-testa--300x400x100-mm-</t>
  </si>
  <si>
    <t xml:space="preserve">Only 600 x 400 x 70 mm height offered (no 100 mm variant on site); material stated only as 'plast', white; supplied without lid. Code 800294200349. 287 CZK s DPH. 12-month warranty. No MOQ/tiers.</t>
  </si>
  <si>
    <t xml:space="preserve">600 x 400 x 70 mm (vs 75 mm), sold without lid; material stated only as 'plast'. Code 800294200349. 287 CZK s DPH.</t>
  </si>
  <si>
    <t xml:space="preserve">Tomgast ZT-6040-1 plastic lid 60 x 40 x 2 cm, grey, for dough box ZT-6040; stackable. -4% promo: 153.92 bez DPH / 186.24 s DPH, original 160.33 bez DPH. The ZT-6040 box itself is not listed on promos-gastro.cz. Free shipping over 12,100 CZK net.</t>
  </si>
  <si>
    <t xml:space="preserve">https://www.promos-gastro.cz/tomgast-velkoobchod-gastro-vybaveni/pizzerie/prepravky-na-testo/22509-viko-k-prepravce-na-pizzu-60-40-cm.html</t>
  </si>
  <si>
    <t xml:space="preserve">Tomgast</t>
  </si>
  <si>
    <t xml:space="preserve">in stock (orderable)</t>
  </si>
  <si>
    <t xml:space="preserve">Nádoba na pizza těsto 600x400, AmerBox, Kitchen Line, 14L, 600x400x(H)75mm</t>
  </si>
  <si>
    <t xml:space="preserve">Hendi 880906: 600 x 400 x 75 mm, 14 l; material shown only as 'plast' on this page (same item listed as PET at Gastrozone); lid not included. -20% promo: 200.99 bez DPH / 243.20 s DPH, original 251.24 bez DPH. Free shipping over 12,100 CZK net.</t>
  </si>
  <si>
    <t xml:space="preserve">https://www.promos-gastro.cz/pizzerie-vybaveni-pizza-pece-hnetace-testa-chladici-pizza-stoly-lopaty-plechy/pizza-prislusenstvi/plast-prepravka-na-pizza-testo/67098-nadoba-na-pizza-testo-600x400-amerbox-kitchen-line-14l-600x400xh75mm.html</t>
  </si>
  <si>
    <t xml:space="preserve">HENDI</t>
  </si>
  <si>
    <t xml:space="preserve">Přepravka na pizza těsta (300x400x100 mm)</t>
  </si>
  <si>
    <t xml:space="preserve">Code 800294200363; 300 x 400 x 100 mm, stackable, lid sold separately (Víko na přepravku 300x400 mm 113.06 bez DPH); material NOT stated (only 'plast'). -10% promo: 175.54 bez DPH / 212.40 s DPH, original 195.04 bez DPH. Free shipping over 12,100 CZK net.</t>
  </si>
  <si>
    <t xml:space="preserve">https://www.promos-gastro.cz/pizzerie-vybaveni-pizza-pece-hnetace-testa-chladici-pizza-stoly-lopaty-plechy/pizza-prislusenstvi/72179-prepravka-na-pizza-testa-300x400x100-mm.html</t>
  </si>
  <si>
    <t xml:space="preserve">Skladem</t>
  </si>
  <si>
    <t xml:space="preserve">Nádoba na pizza těsto 600x400, AmerBox, Kitchen Line, 18L, 600x400x(H)95mm</t>
  </si>
  <si>
    <t xml:space="preserve">Hendi 880913: 600 x 400 x 95 mm (not 100 mm), 18 l; material shown only as 'plast' (AmerBox Kitchen Line); lid not included. Current price is -20% promo: 220.83 bez DPH / 267.20 s DPH, original 276.03 bez DPH. Also 24 l / 130 mm variant (880920-type) 261.16 bez DPH. Free shipping over 12,100 CZK net.</t>
  </si>
  <si>
    <t xml:space="preserve">https://www.promos-gastro.cz/hendi-cz-gastro-vybaveni/kuchynske-potreby/pizza-prislusenstvi/67099-nadoba-na-pizza-testo-600x400-amerbox-kitchen-line-18l-600x400xh95mm.html</t>
  </si>
  <si>
    <t xml:space="preserve">Hendi 880906: 600 x 400 x 75 mm, 14 l, sold without lid; material shown only as 'plast' (PET per other dealers, not PP). -20% promo: 200.99 bez DPH / 243.20 s DPH, original 251.24 bez DPH.</t>
  </si>
  <si>
    <t xml:space="preserve">Gastronádoba polykarbonátová - GN 1/1, 100mm Hendi</t>
  </si>
  <si>
    <t xml:space="preserve">Polykarbonát, 530x325x100 mm, 14 l, transparent; Hendi code 861226; 417 Kč s DPH (sale -18%, regular 509 Kč s DPH); availability 'Na cestě k dodavateli - přijímáme objednávky', est. delivery 16.11.2026; Maxima variant listed at 430 Kč net.</t>
  </si>
  <si>
    <t xml:space="preserve">https://www.gastrofans.cz/gastronadoba-1-1-pc-transparent-14-l-530x325x-h-100-mm/</t>
  </si>
  <si>
    <t xml:space="preserve">Na cestě k dodavateli - přijímáme objednávky</t>
  </si>
  <si>
    <t xml:space="preserve">Gastronádoba polykarbonátová - GN 1/1, 65 mm Maxima</t>
  </si>
  <si>
    <t xml:space="preserve">Polykarbonát, 530x325x65 mm, 9 l, transparent; code 09367910; 422 Kč s DPH; availability 'Skladem u dodavatele (10)', delivery by 16.10.2026; no tiers/MOQ.</t>
  </si>
  <si>
    <t xml:space="preserve">https://www.gastrofans.cz/gastronadoba-1-1-gn-hloubka-6-5-cm-53-x-32-5-cm-polykarbonat/</t>
  </si>
  <si>
    <t xml:space="preserve">Maxima</t>
  </si>
  <si>
    <t xml:space="preserve">Skladem u dodavatele (10)</t>
  </si>
  <si>
    <t xml:space="preserve">Víko 1/1 GN - Polykarbonát Maxima</t>
  </si>
  <si>
    <t xml:space="preserve">Transparent polykarbonát lid 530x325 mm, code 09367930, EAN 8720365341397; 300 Kč s DPH; 'Skladem u dodavatele (10)'; Hendi PC lid with flap listed at 646 Kč net; no tiers/MOQ.</t>
  </si>
  <si>
    <t xml:space="preserve">https://www.gastrofans.cz/viko-gastronorm-1-1-gn-polykarbonat/</t>
  </si>
  <si>
    <t xml:space="preserve">Gastronádoba HACCP - GN 1/1, 65mm Hendi</t>
  </si>
  <si>
    <t xml:space="preserve">Průhledný polypropylen, 530x325x65 mm, 9 l, HACCP labelling; Hendi code 880036; 347 Kč s DPH; 'Skladem u dodavatele (7) - Hendi (&gt;15 ks)'; no tiers/MOQ.</t>
  </si>
  <si>
    <t xml:space="preserve">https://www.gastrofans.cz/zasobnik-gn-1-1-haccp-transparent-9-l-530x325x-h-65-mm/</t>
  </si>
  <si>
    <t xml:space="preserve">Skladem u dodavatele (Hendi &gt;15 ks)</t>
  </si>
  <si>
    <t xml:space="preserve">Víko HACCP - GN 1/1, 530x325mm Hendi</t>
  </si>
  <si>
    <t xml:space="preserve">Průhledný polypropylen lid 530x325 mm; Hendi code 880609; 198 Kč s DPH; in stock at supplier (&gt;15 ks), delivery by 13.10.2026; no tiers/MOQ.</t>
  </si>
  <si>
    <t xml:space="preserve">https://www.gastrofans.cz/viko-na-gn-pp-gn-1-1-transparent-530x325-mm/</t>
  </si>
  <si>
    <t xml:space="preserve">Gastronádoba polykarbonátová - GN 1/2, 150mm Hendi</t>
  </si>
  <si>
    <t xml:space="preserve">Polykarbonát, 325x265x150 mm, 9.5 l, transparent; Hendi code 861417; 253 Kč s DPH (sale, regular 308 Kč s DPH, -17%); 'Skladem u dodavatele (7) - Hendi (&gt;15 ks)'; no tiers/MOQ.</t>
  </si>
  <si>
    <t xml:space="preserve">https://www.gastrofans.cz/gastronadoba-1-2-pc-transparent-9-5-l-325x265x-h-150-mm/</t>
  </si>
  <si>
    <t xml:space="preserve">Gastronádoba HACCP - GN 1/2, 150mm Hendi</t>
  </si>
  <si>
    <t xml:space="preserve">Průhledný polypropylen, 325x265x150 mm, 9.5 l, HACCP; Hendi code 880166; 273 Kč s DPH; 'Skladem u dodavatele (7) - Hendi (&gt;15 ks)'; no tiers/MOQ.</t>
  </si>
  <si>
    <t xml:space="preserve">https://www.gastrofans.cz/zasobnik-gn-1-2-haccp-transparent-9-5-l-325x265x-h-150-mm/</t>
  </si>
  <si>
    <t xml:space="preserve">Gastronádoba polykarbonátová - GN 1/3, 100mm Hendi</t>
  </si>
  <si>
    <t xml:space="preserve">Polykarbonát, 325x176x100 mm, 4 l, transparent; Hendi code 861523; 131 Kč s DPH (sale -35%, regular 202 Kč s DPH ≈ 167 Kč net); category listing showed 153 Kč net (cached) but product page shows 108 Kč; 'Skladem u dodavatele (7) - Hendi (&gt;15 ks)'; black variant 169 Kč net also listed.</t>
  </si>
  <si>
    <t xml:space="preserve">https://www.gastrofans.cz/gastronadoba-1-3-pc-transparent-4-l-325x176x-h-100-mm/</t>
  </si>
  <si>
    <t xml:space="preserve">Gastronádoba HACCP - GN 1/3, 100mm Hendi</t>
  </si>
  <si>
    <t xml:space="preserve">Průhledný polypropylen, 325x176x100 mm, 4 l, HACCP; Hendi code 880272; 183 Kč s DPH; 'Skladem u dodavatele (7) - Hendi (&gt;15 ks)'; no tiers/MOQ.</t>
  </si>
  <si>
    <t xml:space="preserve">https://www.gastrofans.cz/zasobnik-gn-1-3-haccp-transparent-4-l-325x176x-h-100-mm/</t>
  </si>
  <si>
    <t xml:space="preserve">Víko HACCP - GN 1/3, 325x176mm Hendi</t>
  </si>
  <si>
    <t xml:space="preserve">Průhledný polypropylen lid 325x176 mm; Hendi code 880623; 92 Kč s DPH; in stock at supplier (7+), delivery by 13.10.2026; no tiers/MOQ.</t>
  </si>
  <si>
    <t xml:space="preserve">https://www.gastrofans.cz/viko-na-gn-pp-gn-1-3-transparent-325x176-mm/</t>
  </si>
  <si>
    <t xml:space="preserve">Skladem u dodavatele</t>
  </si>
  <si>
    <t xml:space="preserve">Gastronádoba polykarbonátová - GN 1/6 GN, 100mm Maxima</t>
  </si>
  <si>
    <t xml:space="preserve">Polykarbonát, 176x162x100 mm, 1.6 l; code 09367926; 116 Kč s DPH; availability 'Na cestě k dodavateli - přijímáme objednávky', est. delivery 16.11.2026; no tiers/MOQ.</t>
  </si>
  <si>
    <t xml:space="preserve">https://www.gastrofans.cz/gastronadoba-1-6-gn-hloubka-10-cm-17-6-x-16-2-cm-polykarbonat/</t>
  </si>
  <si>
    <t xml:space="preserve">Gastronádoba HACCP - GN 1/6, 100mm Hendi</t>
  </si>
  <si>
    <t xml:space="preserve">Průhledný polypropylen, 176x162x100 mm, 1.6 l, HACCP; Hendi code 880470; 123 Kč s DPH; 'Skladem u dodavatele (7) - Hendi (&gt;15 ks)', delivery by 13.10.2026; no tiers/MOQ.</t>
  </si>
  <si>
    <t xml:space="preserve">https://www.gastrofans.cz/zasobnik-gn-1-6-haccp-transparent-1-6-l-176x162x-h-100-mm/</t>
  </si>
  <si>
    <t xml:space="preserve">Gastronádoba 1/9, 1,0, GN 1/9, 1L, Průhledná, 176x108x(H)100mm Hendi</t>
  </si>
  <si>
    <t xml:space="preserve">Polypropylen, 176x108x100 mm, 1 l, transparent; Hendi code 880524; 83 Kč s DPH; 'Skladem u dodavatele (7) - Hendi (&gt;15 ks)', delivery by 13.10.2026; a 1/9 PP with lid variant listed at 138 Kč net.</t>
  </si>
  <si>
    <t xml:space="preserve">https://www.gastrofans.cz/gastronadoba-1-9-pp-1-0-transparent-1-l-176x108x-h-100-mm/</t>
  </si>
  <si>
    <t xml:space="preserve">Gastronorm GN 1/1 (h=100 mm) polykarbonátová</t>
  </si>
  <si>
    <t xml:space="preserve">Clear polycarbonate, 325x530x100 mm, 13.3 l, code 3120005; 286 Kč s DPH (sale -9%, regular 314 Kč s DPH); 'Skladem u dodavatele (expedice do 7 dnů)'.</t>
  </si>
  <si>
    <t xml:space="preserve">https://www.gastrosance.cz/gn-1/1--h-100-mm--polykarbonatova</t>
  </si>
  <si>
    <t xml:space="preserve">Gastronorm</t>
  </si>
  <si>
    <t xml:space="preserve">Gastronorm GN 1/1 (h=65 mm) polykarbonát černý</t>
  </si>
  <si>
    <t xml:space="preserve">Black polycarbonate, 530x325x65 mm, 9.2 l, code 3121013; 282 Kč s DPH; 'Skladem u dodavatele (expedice do 7 dnů)'; only black variant at 65 mm in GN 1/1 PC range (clear starts at 100 mm).</t>
  </si>
  <si>
    <t xml:space="preserve">https://www.gastrosance.cz/gn-1/1--h-65-mm--polykarbonat-cerny</t>
  </si>
  <si>
    <t xml:space="preserve">Gastronorm GN 1/1 (h=65 mm) polypropylenová</t>
  </si>
  <si>
    <t xml:space="preserve">Polypropylene, 325x530x65 mm, 9 l, code 3120104; 170 Kč s DPH; 'Skladem u dodavatele (expedice do 7 dnů)'; lid sold separately.</t>
  </si>
  <si>
    <t xml:space="preserve">https://www.gastrosance.cz/gn-1/1--h-65-mm--polypropylenova</t>
  </si>
  <si>
    <t xml:space="preserve">Gastronorm Víko GN 1/1 polypropylenové - transparentní</t>
  </si>
  <si>
    <t xml:space="preserve">Polypropylene GN 1/1 lid, transparent, code 3120110, 0.37 kg; 101 Kč s DPH; coloured variants (green/red/yellow/blue) same price; 'Skladem u dodavatele (expedice do 7 dnů)'.</t>
  </si>
  <si>
    <t xml:space="preserve">https://www.gastrosance.cz/viko-gn-1/1-polypropylenove---transparentni</t>
  </si>
  <si>
    <t xml:space="preserve">Gastronorm GN 1/2 (h=150 mm) polypropylenová</t>
  </si>
  <si>
    <t xml:space="preserve">Polypropylene, 325x265x150 mm, 9 l, code 3120116; 133 Kč s DPH; 'Skladem u dodavatele (expedice do 7 dnů)'.</t>
  </si>
  <si>
    <t xml:space="preserve">https://www.gastrosance.cz/gn-1/2--h-150-mm--polypropylenova</t>
  </si>
  <si>
    <t xml:space="preserve">Gastronorm GN 1/3 (h=100 mm) polykarbonátová</t>
  </si>
  <si>
    <t xml:space="preserve">Clear polycarbonate, 325x175x100 mm, 3.8 l, code 3120035; 128 Kč s DPH; 'Na objednávku (expedice do 30 dnů)'.</t>
  </si>
  <si>
    <t xml:space="preserve">https://www.gastrosance.cz/gn-1/3--h-100-mm--polykarbonatova</t>
  </si>
  <si>
    <t xml:space="preserve">Gastronorm GN 1/3 (h=100 mm) polypropylenová</t>
  </si>
  <si>
    <t xml:space="preserve">Polypropylene, 325x175x100 mm, 3.8 l, code 3120125; 96 Kč s DPH; 'Skladem u dodavatele (expedice do 7 dnů)'.</t>
  </si>
  <si>
    <t xml:space="preserve">https://www.gastrosance.cz/gn-1/3--h-100-mm--polypropylenova</t>
  </si>
  <si>
    <t xml:space="preserve">Gastronorm Víko GN 1/3 polypropylenové - transparentní</t>
  </si>
  <si>
    <t xml:space="preserve">Polypropylene GN 1/3 lid, transparent, code 3120130; 43 Kč s DPH; coloured variants same price; 'Skladem u dodavatele (expedice do 7 dnů)'.</t>
  </si>
  <si>
    <t xml:space="preserve">https://www.gastrosance.cz/viko-gn-1/3-polypropylenove---transparentni</t>
  </si>
  <si>
    <t xml:space="preserve">Gastronorm GN 1/6 (h=100 mm) polykarbonátová</t>
  </si>
  <si>
    <t xml:space="preserve">Clear polycarbonate, 176x142x100 mm, 1.6 l, code 3120045; 69 Kč s DPH; 'Na objednávku (expedice do 30 dnů)'.</t>
  </si>
  <si>
    <t xml:space="preserve">https://www.gastrosance.cz/gn-1/6--h-100-mm--polykarbonatova</t>
  </si>
  <si>
    <t xml:space="preserve">Gastronorm GN 1/6 (h=100 mm) polypropylenová</t>
  </si>
  <si>
    <t xml:space="preserve">Polypropylene, 176x142x100 mm, 1.6 l, code 3120145; 53 Kč s DPH; 'Skladem u dodavatele (expedice do 7 dnů)'.</t>
  </si>
  <si>
    <t xml:space="preserve">https://www.gastrosance.cz/gn-1/6--h-100-mm--polypropylenova</t>
  </si>
  <si>
    <t xml:space="preserve">Gastronorm GN 1/9 (h=100 mm) polypropylenová</t>
  </si>
  <si>
    <t xml:space="preserve">Polypropylene, 176x108x100 mm, 0.9 l, code 3120155; 52 Kč s DPH; 'Skladem u dodavatele (expedice do 7 dnů)'.</t>
  </si>
  <si>
    <t xml:space="preserve">https://www.gastrosance.cz/gn-1/9--h-100-mm--polypropylenova</t>
  </si>
  <si>
    <t xml:space="preserve">Víko pro nádoby GN, HENDI, GN 1/1, Průhledná, 530x325mm</t>
  </si>
  <si>
    <t xml:space="preserve">Transparent polypropylene lid 530x325 mm (fits all PP GN incl. HACCP containers); 136 Kč s DPH; page shows -20% promo label (sale price recorded); stock status not explicitly shown; free shipping from 12,100 Kč net.</t>
  </si>
  <si>
    <t xml:space="preserve">https://www.promos-gastro.cz/index.php?id_product=59022&amp;controller=product</t>
  </si>
  <si>
    <t xml:space="preserve">not stated (orderable)</t>
  </si>
  <si>
    <t xml:space="preserve">Kontejner GN 1/2 HACCP, HENDI, GN 1/2, 9,5L, Průhledná, 325x265x(H)150mm</t>
  </si>
  <si>
    <t xml:space="preserve">Polypropylene HACCP container 325x265x150 mm, 9.5 l, transparent; 187.20 Kč s DPH; Hendi -20% promo campaign on site; stock not explicitly stated.</t>
  </si>
  <si>
    <t xml:space="preserve">https://www.promos-gastro.cz/index.php?id_product=59086&amp;controller=product</t>
  </si>
  <si>
    <t xml:space="preserve">Kontejner GN 1/3 HACCP, HENDI, GN 1/3, 4L, Průhledná, 325x176x(H)100mm</t>
  </si>
  <si>
    <t xml:space="preserve">Polypropylene HACCP container 325x176x100 mm, 4 l, transparent; 124.80 Kč s DPH; -20% promo label (sale price recorded); stock not explicitly stated; free shipping from 12,100 Kč net.</t>
  </si>
  <si>
    <t xml:space="preserve">https://www.promos-gastro.cz/index.php?id_product=59082&amp;controller=product</t>
  </si>
  <si>
    <t xml:space="preserve">Víko pro nádoby GN, HENDI, GN 1/3, Průhledná, 325x176mm</t>
  </si>
  <si>
    <t xml:space="preserve">Transparent polypropylene lid 325x176 mm, Hendi code 880623; 63.20 Kč s DPH; -20% promo label (sale price recorded; category listing showed 42.82 net / 52.23 gross — product page gives 52.23 net / 63.20 gross, product page used); stock not explicitly stated.</t>
  </si>
  <si>
    <t xml:space="preserve">https://www.promos-gastro.cz/59024-viko-pro-nadoby-gn-hendi-gn-1-3-pruhledna-325x176mm.html</t>
  </si>
  <si>
    <t xml:space="preserve">Kontejner GN 1/6 HACCP, HENDI, GN 1/6, 1,6L, Průhledná, 176x162x(H)100mm</t>
  </si>
  <si>
    <t xml:space="preserve">Polypropylene HACCP container 176x162x100 mm, 1.6 l, Hendi code 880470; 84.80 Kč s DPH; -20% promo (regular 87.60 Kč net); in stock; free shipping from 12,100 Kč net.</t>
  </si>
  <si>
    <t xml:space="preserve">https://www.promos-gastro.cz/index.php?id_product=59072&amp;controller=product</t>
  </si>
  <si>
    <t xml:space="preserve">Kontejner GN 1/9 HACCP, HENDI, GN 1/9, 0,9L, Průhledná, 176x108x(H)100mm</t>
  </si>
  <si>
    <t xml:space="preserve">Polypropylene HACCP container 176x108x100 mm, 0.9 l, transparent; 68 Kč s DPH; -20% promo label (sale price recorded); in stock.</t>
  </si>
  <si>
    <t xml:space="preserve">https://www.promos-gastro.cz/index.php?id_product=59067&amp;controller=product</t>
  </si>
  <si>
    <t xml:space="preserve">(6 pieces) THERMO FUTURE BOX | Insulated Food Pan Carrier MENU M - 9 liters - Black</t>
  </si>
  <si>
    <t xml:space="preserve">Net CZK price as displayed; page states gross 'incl. 19% VAT' (German VAT 19% used on the CZ storefront). SKU 13013; insulated menu-tray transport box (EPP/'polypropylene'), 1 compartment, external 440x310x160 mm, internal 380x250x95 mm, for disposable/reusable menu trays - not a moulded 5-6 compartment thermo tray with lid (lid not specified). Pack of 6; gross 5,155.20 CZK. Availability: In stock 3-5 days. The cs-cz URL of this product returned 404; en-cz-czk storefront page used. No 5-6 compartment thermo tray found in GGM termoboxy category.</t>
  </si>
  <si>
    <t xml:space="preserve">https://www.ggmgastro.com/en-cz-czk/6-pieces-thermo-future-box-thermobox-menu-m-9-liters-black-13013</t>
  </si>
  <si>
    <t xml:space="preserve">In stock: 3 - 5 Days</t>
  </si>
  <si>
    <t xml:space="preserve">Cambro izolační přepravní box s předním plněním na přepravu gastronádob 86l</t>
  </si>
  <si>
    <t xml:space="preserve">Code DW565 (Cambro GoBox-type EPP front-loader); 86 l, front loading, holds 4 x GN 1/1 100 mm; material not explicitly stated on page (insulated box). 6,447 CZK bez DPH / 7,801 CZK s DPH, shown as -5% promo (original 8,212 CZK s DPH). Availability: Skladem u dodavatele (6 ks). Alternatives on same page: Cambro Ultra Pan Carrier front-load GN 1/1 (6 x GN 1/1) 5,856 CZK excl.; REDFOX FRONT 1/1 termoport front-opening 8,340 CZK excl.; Cambro 60 l front-loader 5,994 CZK excl.</t>
  </si>
  <si>
    <t xml:space="preserve">https://www.gastrofans.cz/cambro-izolacni-prepravni-box-s-prednim-plnenim-na-prepravu-gastronadob-86l/</t>
  </si>
  <si>
    <t xml:space="preserve">Skladem u dodavatele (6 ks)</t>
  </si>
  <si>
    <t xml:space="preserve">Polypropylenový podnos na rychlé občerstvení GN 1/1, AmerBox, černá, 530x325x(H)20mm</t>
  </si>
  <si>
    <t xml:space="preserve">PP fast-food tray 530 x 325 mm (GN 1/1), not 370 x 530 mm - no Euronorm 37x53 ABS/PP tray found in the Podnosy / Jídelní podnosy categories (largest PP sizes 350x450 and 530x325; Cambro Versa/Kristallon 37x53 not listed). 123 CZK bez DPH / 149 CZK s DPH; 6 colours. Availability: Skladem u dodavatele (&gt;15 ks).</t>
  </si>
  <si>
    <t xml:space="preserve">https://www.gastrofans.cz/polypropylenovy-podnos-na-rychle-obcerstveni-gn-1-1--amerbox--gn-1-1--cerna--530x325x-h-20mm/</t>
  </si>
  <si>
    <t xml:space="preserve">OEM Termoport P600M světle šedý (křídlové dveře)</t>
  </si>
  <si>
    <t xml:space="preserve">Code 3191201; front-loading (swing doors), polypropylene with 32 mm PU foam; internal 330x520x500 mm (~86 l calculated) but page states capacity '63 l' - conflicting, flagged; holds 2 x GN 1/1 200 mm; external 440x660x630 mm; 14 kg; supplied without GN. 5,192 CZK bez DPH / 6,282 CZK s DPH. Availability: Skladem u dodavatele (expedice do 7 dnů). Cheaper variant P600 without hinges (door bez pantů) 5,856 CZK s DPH. No Cambro EPP front-loader listed.</t>
  </si>
  <si>
    <t xml:space="preserve">https://www.gastrosance.cz/termoport-p600m</t>
  </si>
  <si>
    <t xml:space="preserve">OEM (Gastro TIP)</t>
  </si>
  <si>
    <t xml:space="preserve">OEM Podnos jídelní Euronorm černý</t>
  </si>
  <si>
    <t xml:space="preserve">Code 3330006; polypropylene, 530 x 370 x 21 mm Euronorm; colours black/white/yellow/red/orange; -40 to +80 C, dishwasher safe. 198 CZK bez DPH / 240 CZK s DPH. Availability: Na objednávku (expedice do 30 dnů). Single unit orderable.</t>
  </si>
  <si>
    <t xml:space="preserve">https://www.gastrosance.cz/podnos-jidelni-gn-1/1-euronorm-cerny</t>
  </si>
  <si>
    <t xml:space="preserve">Termoport P600M světle šedý (křídlové dveře)</t>
  </si>
  <si>
    <t xml:space="preserve">Code 3191201; same P-600M front/side-loading (wing door) termoport as Gastro Novotný's; durable polypropylene; internal 330x520x500 mm (~86 l calculated) - litres NOT stated on page (flagged); max 2 x GN 1/1 200 mm; supplied without GN. 5,310 CZK bez DPH / 6,425.10 s DPH is a -10% promo (original 5,900 CZK bez DPH). Availability not explicitly stated (orderable). Alternatives in 'Termoporty s bočním plněním': Stalgast termoport ST side-opening 6x GN 1/1 65 mm, code 053870, 6,930.65 CZK bez DPH (-3%, litres not stated); REDFOX FRONT 1/1 8,339.67 CZK bez DPH; Hendi Profi Line 66 l 2,849.59 CZK bez DPH (top-load).</t>
  </si>
  <si>
    <t xml:space="preserve">https://www.promos-gastro.cz/gastro-raut-vydej-jidla-vydejni-voziky-kotliky-chafingy-termosy-na-vodu-infra-lampy/termoporty/termoporty-s-bocnim-plnenim/18653-termoport-p600m-svetle-sedy-kridlove-dvere.html</t>
  </si>
  <si>
    <t xml:space="preserve">Podnos jídelní Euronorm červená</t>
  </si>
  <si>
    <t xml:space="preserve">Code 3330003; polypropylene, 530 x 370 mm Euronorm; colours white/black/yellow/red/orange (yellow variant same price). 202.31 CZK bez DPH / 244.80 CZK s DPH is a -10% promo (original 224.79 CZK bez DPH). In stock (orderable). AmerBox PP 350x450 tray 70.08 CZK bez DPH also listed.</t>
  </si>
  <si>
    <t xml:space="preserve">https://www.promos-gastro.cz/gastro-raut-vydej-jidla-vydejni-voziky-kotliky-chafingy-termosy-na-vodu-infra-lampy/jidelni-tacy-podnosy-priborniky-gastro/jidelni-podnosy-tacky-gastro-do-jidelny/70999-podnos-jidelni-euronorm-cervena.html</t>
  </si>
  <si>
    <t xml:space="preserve">tabletový systém Menu mobil</t>
  </si>
  <si>
    <t xml:space="preserve">Insulated plastic tablet system (insulated top + bottom section, lock) sold as a complete set with porcelain soup bowl, salad bowl and plate with lids - not a moulded 5-6 compartment thermo tray; price for one complete set. 5,652.64 CZK bez DPH / 6,839.69 s DPH (-2% from 5,768 CZK). Bestseller/in stock. Other items in 'Tabletové podnosy': ThermoLINE tablet (price on request), CombiSET 5,487.02 CZK excl., Bester jídlonosič 2,774.20 CZK excl. No one-piece 5-6 compartment thermo tray found.</t>
  </si>
  <si>
    <t xml:space="preserve">https://www.promos-gastro.cz/gastro-raut-vydej-jidla-vydejni-voziky-kotliky-chafingy-termosy-na-vodu-infra-lampy/tabletove-podnosy/947-tablet-system-menu-mobil.html</t>
  </si>
  <si>
    <t xml:space="preserve">AB 2 / Menu Mobil</t>
  </si>
  <si>
    <t xml:space="preserve">in stock (bestseller)</t>
  </si>
  <si>
    <t xml:space="preserve">Tablotherm izo misky 370 × 530 × 118 mm</t>
  </si>
  <si>
    <t xml:space="preserve">Code R-ITENEPP23H; expanded polypropylene (EPP, BPA-free) insulated meal tray 370 x 530 x 118 mm with lid, holds temperature up to 1 h; set includes 2 rectangular plates with lids + 2 insulated bowls with lids = 4 compartments (not 5-6) - flagged. 2,418 CZK bez DPH / 2,926 CZK s DPH; price per 1 ks. Availability: Očekáváme naskladnění (awaiting restock). Alternatives: Tablotherm izo-misky 530x370x105 mm (PC/PU tablet system with 1 two-part plate, 3 insulated bowls, lids, heating insert) R-ITPD3753TH 4,990 CZK bez DPH, awaiting restock; Tablotherm prázdný (empty EPP tray) 1,041 CZK bez DPH, 1 ks in stock; Tabletový systém 530x370x105 5,379 CZK bez DPH.</t>
  </si>
  <si>
    <t xml:space="preserve">https://www.tomgast.cz/tablotherm-izo-misky-370--530--118-mm/</t>
  </si>
  <si>
    <t xml:space="preserve">Očekáváme naskladnění</t>
  </si>
  <si>
    <t xml:space="preserve">Schneidbrett farbig 500 x 300 x 20 mm, rot (Art. 10003486)</t>
  </si>
  <si>
    <t xml:space="preserve">Coloured board (red/blue/yellow/white/brown/green) 500x300x20 mm with 6 rubber feet (vs 400x300x20); material not stated on page; 24.75 zzgl. MwSt (listing shows 'from 24.20'); no 400x300 or 300x200 coloured board found at ALLPAX</t>
  </si>
  <si>
    <t xml:space="preserve">https://www.allpax.de/product_info.php/info/p9956_Schneidbrett-farbig-500-x-300-x-20-mm.html</t>
  </si>
  <si>
    <t xml:space="preserve">instock, Lieferzeit 5-10 Werktage</t>
  </si>
  <si>
    <t xml:space="preserve">Schneidbrett PRO 53x32 R-R (Bartscher, Art. 10019662)</t>
  </si>
  <si>
    <t xml:space="preserve">Red HDPE HACCP board 530x325, plate thickness 20 mm (vs 15 mm), 24 mm overall incl. 6 rubber feet, juice groove, cutting surface 490x285; 26.95 zzgl. MwSt; same price as white W-R variant. Other GN 1/1 at ALLPAX: PE-Schneidbrett Gastronorm 53x32.5x2 cm from 35.64; Hendi GN 1/1 green/white 21.24</t>
  </si>
  <si>
    <t xml:space="preserve">https://www.allpax.de/product_info.php/info/Schneidbrett-PRO-53x32-R-R.html</t>
  </si>
  <si>
    <t xml:space="preserve">Contacto Schneidbrett 35 x 25 cm, rot (Art. 386-1536)</t>
  </si>
  <si>
    <t xml:space="preserve">Smallest PE board found at Esmeyer: high-density polyethylene 345x245 mm (vs 300x200x10), thickness not stated, HACCP colours (white 386-1531, yellow, blue, green same series), no feet; sale 9.80 net (regular 11.70), 11.66 incl. VAT; no 300x200 board found</t>
  </si>
  <si>
    <t xml:space="preserve">https://www.esmeyer-shop.de/en/schneidbrett-35-x-25-cm-rot</t>
  </si>
  <si>
    <t xml:space="preserve">3-4 days (will be ordered for you)</t>
  </si>
  <si>
    <t xml:space="preserve">GN 1/1 HACCP Schneidbrett, Polyethylen, weiß, Höhe 20 mm (Art. 463-4996)</t>
  </si>
  <si>
    <t xml:space="preserve">Polyethylen, 529x325x20 mm (GN 1/1), HACCP; sale price 20.25 net (regular 26.50, -23.58%), 24.10 incl. VAT; same price for green/yellow/blue/red (463-5016/5012/5002/5006); B2B only, no delivery to private consumers; packaging unit 1</t>
  </si>
  <si>
    <t xml:space="preserve">https://www.esmeyer-shop.de/en/gn-1-1-haccp-schneidbrett-material-polyethylen-polyethylene-colour-white-dimensions-height-20-mm</t>
  </si>
  <si>
    <t xml:space="preserve">6-7 days (will be ordered for you)</t>
  </si>
  <si>
    <t xml:space="preserve">HACCP-Schneidbrett 60x40x2 cm Polyethylen rot (Art. 463-5011)</t>
  </si>
  <si>
    <t xml:space="preserve">Polyethylen, 600x400x20 mm, HACCP, red (brown/yellow same price 31.70; sale from regular 40.00), 37.72 incl. VAT; white 600x400 variant is 30 mm thick at 50.70 net (463-4999); HENDI 600x400x18 mm red 38.00 net; packaging unit 1</t>
  </si>
  <si>
    <t xml:space="preserve">https://www.esmeyer-shop.de/en/haccp-schneidbrett-material-polyethylen-farbe-colour-red</t>
  </si>
  <si>
    <t xml:space="preserve">Esmeyer / WAS Germany</t>
  </si>
  <si>
    <t xml:space="preserve">Red high-density polyethylene HACCP board, 345x245 mm (vs 300x200), thickness not stated, no feet, dishwasher safe to +90 C; sale 9.80 net (regular 11.70), 11.66 incl. VAT; no 300x200 red board found at Esmeyer; HENDI GN 1/2 red 265x325x12 mm also offered</t>
  </si>
  <si>
    <t xml:space="preserve">HENDI HACCP Schneidbrett 45x30 cm für Fleisch, rot, 12,7 mm (Art. 394-5177)</t>
  </si>
  <si>
    <t xml:space="preserve">Red HDPE 500 HACCP board but 450x300x12.7 mm (vs 400x300x20); sale 13.35 net (regular 16.00), 15.89 incl. VAT; no 400x300 single board found at Esmeyer (only HD-PE cutting board set 400x300x38 mm with pads); Esmeyer red PE 500x300x20 mm 17.00 net (463-5010); HACCP chopping board 45x30 red 13.35 (400-2249)</t>
  </si>
  <si>
    <t xml:space="preserve">https://www.esmeyer-shop.de/en/hendi-cutting-boards-haccp-450x300-for-meat-colour-red-450x300x-h-127-mm</t>
  </si>
  <si>
    <t xml:space="preserve">HENDI Schneidbrett HACCP Gastronorm 1/1 für Fleisch, rot, 530x325x(H)15 mm (Art. 394-5528)</t>
  </si>
  <si>
    <t xml:space="preserve">Polyethylene HDPE 500, 530x325x15 mm, red, HACCP, double-sided (one side juice groove), dishwasher safe; sale 22.45 net (regular 28.05, -19.96%), 26.72 incl. VAT; packaging unit 1; stock item. Alternative: WAS GN 1/1 HACCP Schneidbrett rot 20 mm 20.25 net (463-5006)</t>
  </si>
  <si>
    <t xml:space="preserve">https://www.esmeyer-shop.de/en/hendi-cutting-boards-haccp-gastronorm-1-1-for-meat-colour-red-530x325x-h-15-mm</t>
  </si>
  <si>
    <t xml:space="preserve">Stock item, 6-7 days delivery</t>
  </si>
  <si>
    <t xml:space="preserve">Schneidebrett - 250x400mm - HACCP-Konform - Rot (SBP25R)</t>
  </si>
  <si>
    <t xml:space="preserve">Red polyethylene HACCP board 20 mm thick but 250x400 mm (vs 300x200) - smallest size in GGM range, no 300x200 board; net 15.99, Bruttopreis 19.03 incl. 19% MwSt; UVP 33.99; single unit</t>
  </si>
  <si>
    <t xml:space="preserve">https://www.ggmgastro.com/de-de-eur/schneidebrett-250x400mm-haccp-konform-rot-sbp25r</t>
  </si>
  <si>
    <t xml:space="preserve">Sofort lieferbar: 1-2 Werktage</t>
  </si>
  <si>
    <t xml:space="preserve">Schneidebrett - 300x500mm - HACCP-Konform - Rot (SBP35R)</t>
  </si>
  <si>
    <t xml:space="preserve">Red polyethylene HACCP board 20 mm thick but 300x500 mm (vs 400x300); GGM range has no 400x300 (sizes 250x400 / 300x500 / 325x530 / 600x400); net 20.99, gross 24.98 incl. 19%; UVP 42.99; smaller red 250x400x20 mm 15.99 net (SBP25R, in stock)</t>
  </si>
  <si>
    <t xml:space="preserve">https://www.ggmgastro.com/de-de-eur/schneidebrett-300x500mm-haccp-konform-rot-sbp35r</t>
  </si>
  <si>
    <t xml:space="preserve">Lieferzeit 5-6 Wochen</t>
  </si>
  <si>
    <t xml:space="preserve">Schneidebrett - 325x530mm - HACCP-Konform - Rot (SBP53R)</t>
  </si>
  <si>
    <t xml:space="preserve">Red polyethylene HACCP board, 325x530 mm but 20 mm thick (vs 15 mm); net 23.49, Bruttopreis 27.95 incl. 19% MwSt as stated on page; UVP 47.99; heat resistant to 70 C, dishwasher safe; single unit, no MOQ</t>
  </si>
  <si>
    <t xml:space="preserve">https://www.ggmgastro.com/de-de-eur/schneidebrett-325x530mm-haccp-konform-rot-sbp53r</t>
  </si>
  <si>
    <t xml:space="preserve">Schneidebrett 30 x 20 x 1,5 cm, weiß, Polyethylen, mit Anti-Rutsch-Pads (Art. 1830300)</t>
  </si>
  <si>
    <t xml:space="preserve">Polyethylen, 300x200 mm but 15 mm thick (vs 10 mm), white only, anti-slip pads, stackable, no HACCP wording; gross 9.47 incl. 19% USt; UVP 13.09 (-28%); no MOQ. PP alternative: Schneidebrett mit Griffloch 34x24x1 cm PP 5.79 net</t>
  </si>
  <si>
    <t xml:space="preserve">https://gastro-spirit.de/schneidebrett-mit-anti-rutsch-pads-1830300</t>
  </si>
  <si>
    <t xml:space="preserve">Gastro Spirit</t>
  </si>
  <si>
    <t xml:space="preserve">HACCP Schneidebrett GN 1/1, weiß, Polyethylen, 53 x 32,5 x 2 cm (Art. 1830530)</t>
  </si>
  <si>
    <t xml:space="preserve">Named Polyethylen (spec table lists 'Polyethylen/Polypropylen'), 530x325x20 mm, HACCP colour concept, anti-slip pads, stackable; gross 23.24 incl. 19%; UVP 32.13 (-28%); all HACCP colours (red/blue/brown/yellow/green/lila) same price; no MOQ</t>
  </si>
  <si>
    <t xml:space="preserve">https://gastro-spirit.de/gn-1-1-haccp-schneidebrett-1830530</t>
  </si>
  <si>
    <t xml:space="preserve">Gastro Spirit (DTG International)</t>
  </si>
  <si>
    <t xml:space="preserve">Schneidebrett HACCP, 60 x 40 x 2 cm, weiß, Polyethylen (Art. 1830600)</t>
  </si>
  <si>
    <t xml:space="preserve">Named Polyethylen (spec table 'Polyethylen/Polypropylen'), 600x400x20 mm, HACCP colour series (red/blue/brown/yellow/green/lila same price 30.39 net), anti-slip pads; gross 36.16 incl. 19%; UVP 49.98 (-28%); 60x40x3 cm white version 50.29 net; white with juice groove 60x40x2 32.55 net</t>
  </si>
  <si>
    <t xml:space="preserve">https://gastro-spirit.de/haccp-schneidebrett-60-x-40-x-2-cm-1830600</t>
  </si>
  <si>
    <t xml:space="preserve">Auf Lager, 2-4 Werktage</t>
  </si>
  <si>
    <t xml:space="preserve">Polyethylen 300x200 mm but 15 mm thick and white only (no red); gross 9.47 incl. 19%; UVP 13.09. No red 300x200 board at Gastro-Spirit; smallest red PE HACCP board: mit Griffloch 40x25x1.2 cm 9.40 net (1833401); Nocturn PP black 30x20x2 18.45 net</t>
  </si>
  <si>
    <t xml:space="preserve">Schneidebrett 40 x 30 x 2 cm, weiß, Polyethylen, mit Anti-Rutsch-Pads (Art. 1830400)</t>
  </si>
  <si>
    <t xml:space="preserve">Polyethylen (spec also says Polypropylen), 400x300x20 mm exact size but white only - no red variant; gross 17.23 incl. 19%; UVP 23.80. Nearest red PE boards at Gastro-Spirit: HACCP Schneidebrett rot 50x30x2 cm 16.29 net (1830501); HACCP Schneidebrett mit Griffloch rot 40x25x1.2 cm 9.40 net (1833401)</t>
  </si>
  <si>
    <t xml:space="preserve">https://gastro-spirit.de/schneidebrett-mit-anti-rutsch-pads-1830400</t>
  </si>
  <si>
    <t xml:space="preserve">HACCP Schneidebrett GN 1/1, rot, Polyethylen, 53 x 32,5 x 2 cm (Art. 1830531)</t>
  </si>
  <si>
    <t xml:space="preserve">Red colour-coded HACCP board, Polyethylen (spec table also lists Polypropylen), 530x325 mm but 20 mm thick (vs 15 mm); gross 23.24 incl. 19%; UVP 32.13; 1 Stück; no MOQ</t>
  </si>
  <si>
    <t xml:space="preserve">https://gastro-spirit.de/gn-1-1-haccp-schneidebrett-1830531</t>
  </si>
  <si>
    <t xml:space="preserve">Hygiplas Schneidebrett, 45x30x1,25 cm, rot (J255)</t>
  </si>
  <si>
    <t xml:space="preserve">Red polyethylene (LDPE) HACCP colour-code board but 450x300x12.5 mm (vs 400x300x20); net 6.79 (promo; regular 8.08), 8.08 inkl. MwSt; MOQ 2 Stück; no 400x300 board in GastroHero Schneidbretter collection (31 products); Gastro-M 600x400x20 HDPE red 45.90 net currently unavailable</t>
  </si>
  <si>
    <t xml:space="preserve">https://www.gastro-hero.de/products/hygiplas-schneidebrett-45x30x125-cm-rot-j255</t>
  </si>
  <si>
    <t xml:space="preserve">2-5 Werktage</t>
  </si>
  <si>
    <t xml:space="preserve">Hendi Schneidbrett HACCP Gastronorm 1/1, GN 1/1, Rot, 530x325mm</t>
  </si>
  <si>
    <t xml:space="preserve">Red Hendi HACCP GN 1/1 board 530x325 mm; fetchable page content (meta tags) is GROSS 24.93 at 19% -&gt; 20.95 net, same as white variant already recorded; material and thickness not readable on the fetched page (Hendi series spec per other dealers: HDPE 500, 15 mm); free shipping from 99 EUR (DE/AT)</t>
  </si>
  <si>
    <t xml:space="preserve">instock</t>
  </si>
  <si>
    <t xml:space="preserve">Bartscher Schneidbrett PRO 53x32 R-R (A120513)</t>
  </si>
  <si>
    <t xml:space="preserve">Red Polyethylen HACCP-konform board 530x325, plate thickness 20 mm (vs 15 mm), 24 mm overall incl. rubber feet; 29.29 inkl. MwSt, zzgl. 8.35 Versand in D; same price as white/yellow variants</t>
  </si>
  <si>
    <t xml:space="preserve">https://www.gastroladen.de/2310@A120513/Bartscher-Schneidbrett-PRO-53x32-R-R.htm</t>
  </si>
  <si>
    <t xml:space="preserve">Lieferung 7-10 Werktage</t>
  </si>
  <si>
    <t xml:space="preserve">Schneidebrett Fugo, Kunststoff, rechteckig, 30x20x2 cm (Art. i30025815)</t>
  </si>
  <si>
    <t xml:space="preserve">Polyethylen, 300x200 mm but 20 mm thick (vs 10 mm), with juice groove, HACCP: Ja, grey or white; gross 28.55 incl. 19%; 62 in stock. No 300x200x10 PE board at LUSINI; other 30x20x2 PE: APS Schneidebrett BAR black 24.59 net (pdp/132677); PP non-slip 270x190x9 mm 5.99 net (pdp/201213)</t>
  </si>
  <si>
    <t xml:space="preserve">https://www.lusini.com/de-de/pdp/106582/</t>
  </si>
  <si>
    <t xml:space="preserve">VEGA</t>
  </si>
  <si>
    <t xml:space="preserve">Sofort verfügbar, Lieferzeit 2-3 Werktage</t>
  </si>
  <si>
    <t xml:space="preserve">Schneidbrett PRO, Bartscher, 53 x 32,5 x 2,4 cm (Art. i30085450 / A120512)</t>
  </si>
  <si>
    <t xml:space="preserve">Hart-Polyethylen (HDPE), 530x325 mm, overall height 24 mm incl. 6 rubber feet, plate thickness stated 22 mm (vs 20 mm); colours blue/yellow/green/red/white same price; no explicit HACCP wording; gross 41.64 incl. 19%; alternative: PULSIVA Schneidebrett Clever MR GN 1/1 PE 530x325x15 mm HACCP 31.99 net (pdp/122208)</t>
  </si>
  <si>
    <t xml:space="preserve">https://www.lusini.com/de-de/pdp/132871/</t>
  </si>
  <si>
    <t xml:space="preserve">Schneidebrett Separa L, Kunststoff, rechteckig, 60x40x2 cm (Art. i10049863)</t>
  </si>
  <si>
    <t xml:space="preserve">Material Polyethylen, 600x400x20 mm, HACCP konform: Ja, 7 colours (blue/brown/yellow/green/purple/white...), same price; gross 61.87 incl. 19%; 20 units in stock; no MOQ</t>
  </si>
  <si>
    <t xml:space="preserve">https://www.lusini.com/de-de/pdp/123100/</t>
  </si>
  <si>
    <t xml:space="preserve">Polyethylen 300x200x20 mm with juice groove, HACCP: Ja, but only grey or white (no red); gross 28.55 incl. 19%; 62 in stock. No red 300x200 PE board at LUSINI; smallest red HACCP board: Stalgast Schneidbrett HACCP rot GN 1/2 325x265x12 mm, Polypropylen, 7.59 net (pdp/234458)</t>
  </si>
  <si>
    <t xml:space="preserve">Schneidebrett Schneider, Hart-Polyethylen, 40x30x3 cm, rot, 6 Stück/Pack (Art. i30247404)</t>
  </si>
  <si>
    <t xml:space="preserve">Hart-Polyethylen, 400x300 mm but 30 mm thick (vs 20 mm), red available (also brown/yellow/green/white), lebensmittelecht; sold as 6 Stück/Pack, page shows 6.58 net pro Stück (gross 7.83/pc, 47.01 per 6-pack incl. 19%); 15 units in stock. Alternatives: VEGA Separa S PE 400x300x20 HACCP 27.99 net but no red (pdp/106581); PULSIVA Clever OSF red PE 450x300x12 17.99 net (pdp/120125)</t>
  </si>
  <si>
    <t xml:space="preserve">https://www.lusini.com/de-de/pdp/250463/</t>
  </si>
  <si>
    <t xml:space="preserve">Schneidebrett Clever MR GN 1/1, HACCP-geeignet, rot, 53x32,5x1,5 cm (Art. i30018203)</t>
  </si>
  <si>
    <t xml:space="preserve">Polyethylen, 530x325x15 mm, HACCP konform: Ja, red variant available (also blue/yellow/green/white, same price); gross 38.07 incl. 19%; no MOQ or tiers. Cheaper set option: Schneidbrettset HACCP GN 1/1 6 Stück 530x325x15 at 30.13 net per unit (pdp/264633)</t>
  </si>
  <si>
    <t xml:space="preserve">https://www.lusini.com/de-de/pdp/122208/</t>
  </si>
  <si>
    <t xml:space="preserve">Hygiplas HDPE kleines Schneidebrett rot 300x 225x12mm (HC866)</t>
  </si>
  <si>
    <t xml:space="preserve">Red HDPE colour-coded board 300x225x12 mm (vs 300x200x20); web price 5.19 zzgl. MwSt (UVP 6.29); green HC865 4.89, white HC867 4.89, yellow HC868 5.19; 6-colour set HC869 26.89 (4.49/pc); weight 790 g</t>
  </si>
  <si>
    <t xml:space="preserve">https://www.nisbets.de/hygiplas/hc866</t>
  </si>
  <si>
    <t xml:space="preserve">Vorrätig</t>
  </si>
  <si>
    <t xml:space="preserve">Hygiplas LDPE Schneidebrett rot 45x30x1cm (J255)</t>
  </si>
  <si>
    <t xml:space="preserve">Red low-density polyethylene (LDPE) colour-coded board but 450x300x10 mm (vs 400x300x20); web price 7.29 zzgl. MwSt (UVP 8.69, -16%); other sizes in series: small 305x229x12 (GH794), large 600x450x10 (HC877); 6-board LDPE set 450x300x10 HC870 44.99 (out of stock); no 400x300 red board at Nisbets</t>
  </si>
  <si>
    <t xml:space="preserve">https://www.nisbets.de/hygiplas-schneidebrett-rot/j255</t>
  </si>
  <si>
    <t xml:space="preserve">2 l pump sauce dispenser 17x14x15.5 cm, no stand mentioned; material and pump dose not stated on page; 3 l variant also offered; zzgl. MwSt; Lieferzeit 5-10 Werktage; same page previously recorded under old 'Sauce pump dispenser with stand'</t>
  </si>
  <si>
    <t xml:space="preserve">in stock, Lieferzeit 5-10 Werktage</t>
  </si>
  <si>
    <t xml:space="preserve">Quetschflasche transparent, ca. 200 ml</t>
  </si>
  <si>
    <t xml:space="preserve">ca. 200 ml (not 250 ml) polyethylene (not PP), Ø 5 x 18 cm, screw cap, single tip; zzgl. MwSt; Lieferzeit 5-10 Werktage</t>
  </si>
  <si>
    <t xml:space="preserve">https://www.allpax.de/product_info.php/info/p61145_Quetschflasche-transparent.html</t>
  </si>
  <si>
    <t xml:space="preserve">Quetschflasche in 3 Farben (Ø 7 cm, H 24 cm)</t>
  </si>
  <si>
    <t xml:space="preserve">polyethylene, Ø 7 x 24 cm (size typical of ~700 ml bottle) but volume not stated on page; white/yellow/red; closure cap; zzgl. MwSt; Lieferzeit 5-10 Werktage; ALLPAX also lists 950 ml PE 6-pack at 14.00 net</t>
  </si>
  <si>
    <t xml:space="preserve">https://www.allpax.de/product_info.php/info/p61146_Quetschflasche-in-3-Farben.html</t>
  </si>
  <si>
    <t xml:space="preserve">Ketchup / Saucenspender - 2 Liter - Polypropylen - mit Pumpe (Art. KSP2)</t>
  </si>
  <si>
    <t xml:space="preserve">2 L polypropylene pump dispenser, red, 210x220x210 mm, no stand; pump dose not stated; gross 29.74 inkl. 19% MwSt; UVP 50.99 shown as strike price; free shipping; re-recorded from old 'Sauce pump dispenser with stand' row 183</t>
  </si>
  <si>
    <t xml:space="preserve">Sofort lieferbar: 1 - 2 Werktage</t>
  </si>
  <si>
    <t xml:space="preserve">GN Saucenspender, GN 1/6 - 150 mm, 2,6 L, weiß, Polypropylen (Art. 3732260)</t>
  </si>
  <si>
    <t xml:space="preserve">PP GN 1/6-150 mm sauce dispenser 2.6 L (above 2.5 L CLOSE band), white, with scale; pump mentioned (height 19 cm mounted) but pump inclusion/dose not explicitly stated; no stand; sale price 28% off (strike price 29.75 gross); gross 21.53 incl. 19%; sofort verfügbar, 2-4 Werktage DE</t>
  </si>
  <si>
    <t xml:space="preserve">https://gastro-spirit.de/gn-1-6-saucenspender-26-l-3732260</t>
  </si>
  <si>
    <t xml:space="preserve">Quetschflasche, 950 ml, transparent, Polyethylen, 6 Stück</t>
  </si>
  <si>
    <t xml:space="preserve">950 ml polyethylene (not PP), single tip, pack of 6; gross 10.84 incl. 19%; also yellow (3736001) and red (3736000) at same price; listed as available</t>
  </si>
  <si>
    <t xml:space="preserve">https://gastro-spirit.de/quetschflasche-950-ml-transparent-3736002</t>
  </si>
  <si>
    <t xml:space="preserve">available (listing)</t>
  </si>
  <si>
    <t xml:space="preserve">Quetschflasche, 450 ml, transparent, Polyethylen, 6 Stück</t>
  </si>
  <si>
    <t xml:space="preserve">450 ml polyethylene (not PP), single tip, sold as pack of 6; gross 6.72 incl. 19% MwSt; currently out of stock on listing</t>
  </si>
  <si>
    <t xml:space="preserve">https://gastro-spirit.de/quetschflasche-450-ml-transparent-3728002</t>
  </si>
  <si>
    <t xml:space="preserve">out of stock (listing)</t>
  </si>
  <si>
    <t xml:space="preserve">Quetschflasche, 700 ml, transparent, Polyethylen, 6 Stück</t>
  </si>
  <si>
    <t xml:space="preserve">700 ml polyethylene (not PP), single tip, pack of 6; gross 7.74 incl. 19%; also yellow (3731001) and red (3731000) at same price; listed as available</t>
  </si>
  <si>
    <t xml:space="preserve">https://gastro-spirit.de/quetschflasche-700-ml-transparent-3731002</t>
  </si>
  <si>
    <t xml:space="preserve">Vogue Quetschflasche klar 237ml (K062)</t>
  </si>
  <si>
    <t xml:space="preserve">237 ml Vogue polyethylene single-nozzle bottle (Nisbets K062 equivalent); price read from the Quetschflaschen category listing https://www.gastroladen.de/G16771B/Quetschflaschen.htm (product page rate-limited 429), inkl. MwSt; Schneider 0,25 l (GT046) 13.79 incl. also listed</t>
  </si>
  <si>
    <t xml:space="preserve">https://www.gastroladen.de/G16771B@GN-K062/Vogue-Quetschflasche-klar-237ml.htm</t>
  </si>
  <si>
    <t xml:space="preserve">not shown on listing</t>
  </si>
  <si>
    <t xml:space="preserve">Vogue Quetschflasche extra breit klar 454ml (E092)</t>
  </si>
  <si>
    <t xml:space="preserve">454 ml (not 750 ml) polyethylene, extra-wide neck with screw cap, trimmable dispenser opening, 20 x 6.7 cm; price inkl. MwSt, plus 7.95 shipping DE; 909 ml wide-neck version E093 listed at 5.69 incl. on category page (product page returned 429)</t>
  </si>
  <si>
    <t xml:space="preserve">APS Quetschflasche, Polyethylen, 1,02 l</t>
  </si>
  <si>
    <t xml:space="preserve">1020 ml, polyethylene (not PP), 8 x 8 x 26.5 cm, screw cap, single tip, colours yellow/red/transparent; gross 2.37 incl. 19%; sofort verfügbar, 2-3 Werktage; Schneider 1 l PE Dosierflasche (pdp/234020) 12.89 net also listed</t>
  </si>
  <si>
    <t xml:space="preserve">https://www.lusini.com/de-de/pdp/215744/</t>
  </si>
  <si>
    <t xml:space="preserve">Sofort verfügbar (300 units)</t>
  </si>
  <si>
    <t xml:space="preserve">Schneider Quetschflasche 250 ml, Polypropylen (Art. i30246366 / 200490)</t>
  </si>
  <si>
    <t xml:space="preserve">250 ml, PP, Ø 5.2 x 19.5 cm, transparent or yellow; number of tips not explicitly stated (standard single-nozzle squeeze bottle); gross 3.32 incl. 19%; sofort verfügbar, 2-3 Werktage; no MOQ stated</t>
  </si>
  <si>
    <t xml:space="preserve">https://www.lusini.com/de-de/pdp/250067/</t>
  </si>
  <si>
    <t xml:space="preserve">Sofort verfügbar (1,935 units)</t>
  </si>
  <si>
    <t xml:space="preserve">APS Quetschflasche, Polyethylen, 0,65 l</t>
  </si>
  <si>
    <t xml:space="preserve">650 ml polyethylene (not PP, not 500 ml), Ø 6.5 x 25 cm, screw cap, single tip; closest small bottle at LUSINI besides PULSIVA 350 ml PE at 0.79 net (pdp/117727); gross 2.01 incl. 19%; sofort verfügbar, 2-3 Werktage</t>
  </si>
  <si>
    <t xml:space="preserve">https://www.lusini.com/de-de/pdp/132621/</t>
  </si>
  <si>
    <t xml:space="preserve">Sofort verfügbar (205 units)</t>
  </si>
  <si>
    <t xml:space="preserve">Stalgast Quetschflasche 0,7 l</t>
  </si>
  <si>
    <t xml:space="preserve">700 ml polyethylene (not PP), Ø 7 x 24 cm, yellow/red/white; gross 1.77 incl. 19%; currently 'Leider ausverkauft'; alternative Schneider Quetschflasche Polypropylen 950 ml (pdp/248234) 6.89 net, in stock</t>
  </si>
  <si>
    <t xml:space="preserve">https://www.lusini.com/de-de/pdp/194709/</t>
  </si>
  <si>
    <t xml:space="preserve">Araven Saucenspender mit Pumpe GN 1/6 Transparent 2,6Ltr (CR820)</t>
  </si>
  <si>
    <t xml:space="preserve">PP GN 1/6 pump dispenser 2.6 L (above 2.5 L CLOSE band), 30 ml pump portions, no stand; Araven GN 1/9 1.5 L (CR821) 27.49 net already recorded under old product; 3-pack with stand CR823 111.99</t>
  </si>
  <si>
    <t xml:space="preserve">https://www.nisbets.de/araven-saucenspender-mit-pumpe-gn-16-transparent-26l/cr820</t>
  </si>
  <si>
    <t xml:space="preserve">Vogue Saucen-Quetschflasche transparent 227ml (K062)</t>
  </si>
  <si>
    <t xml:space="preserve">227 ml (8 oz) polyethylene (not PP), single nozzle; web price 0.69 (1+), 0.59 from 10 pcs; currently 'Nicht vorrätig'; alternative in stock: Schneider Quetschflasche 0,25 l PE (GT046) 8.39 net, UVP 9.59, https://www.nisbets.de/schneider-quetschflasche-250ml/gt046</t>
  </si>
  <si>
    <t xml:space="preserve">https://www.nisbets.de/vogue-quetschflasche-klar-227ml/k062</t>
  </si>
  <si>
    <t xml:space="preserve">Nicht vorrätig (out of stock)</t>
  </si>
  <si>
    <t xml:space="preserve">Vogue transparente Saucen-Quetschflasche mit weitem Hals 454ml (E092)</t>
  </si>
  <si>
    <t xml:space="preserve">454 ml (not 750 ml) polyethylene wide-neck bottle with screw cap and narrow nozzle; 909 ml wide-neck version E093 from 3.69 net currently unavailable; tiers 2.69 from 10 pcs</t>
  </si>
  <si>
    <t xml:space="preserve">https://www.nisbets.de/vogue-quetschflasche-extra-breit-klar-454ml/e092</t>
  </si>
  <si>
    <t xml:space="preserve">(8 Stück) Teigbehälter - EN 600x400 - Weiß (70 mm) - Polypropylen</t>
  </si>
  <si>
    <t xml:space="preserve">SKU TBP647; 600x400x70 mm (70 mm vs 75 mm), polypropylene, 16 l, no lid, reinforced sides. Sold only as set of 8: net 74.99, gross 89.24 (19%). Sofort lieferbar 1-2 Werktage. Also a 48-pc set exists.</t>
  </si>
  <si>
    <t xml:space="preserve">Pizza Dough Tray Set - EN 600x400 - Height: 75mm - Polypropylene - White - 8 Trays &amp; 1 Lid</t>
  </si>
  <si>
    <t xml:space="preserve">SKU TBPP647; 600x400x75 mm PP white, 18 l, but sold as 9-piece set (8 trays + 1 lid) so lid is included; net per tray includes lid share. Net 54.54, gross 64.99 (19%); RRP 123.99 (-48% promo). In stock 1-2 days. en-de-eur storefront.</t>
  </si>
  <si>
    <t xml:space="preserve">https://www.ggmgastro.com/en-de-eur/pizza-dough-tray-set-en-600x400-height-75mm-polypropylene-white-8-trays-und-1-lid-tbpp647</t>
  </si>
  <si>
    <t xml:space="preserve">In stock: 1-2 days</t>
  </si>
  <si>
    <t xml:space="preserve">Deckel für Pizzaballenbehälter 9215600, weiß, Polypropylen</t>
  </si>
  <si>
    <t xml:space="preserve">Art. 9215001; 60x40x2 cm, polypropylene, white, fits box 9215600. Gross 8.61 incl. 19%, net 7.24; UVP 11.90 promo -28%. Auf Lager, 2-4 working days.</t>
  </si>
  <si>
    <t xml:space="preserve">https://gastro-spirit.de/deckel-fuer-pizzaballenbehaelter-9215600-9215001</t>
  </si>
  <si>
    <t xml:space="preserve">Pizzaballenbehälter/-box, 60 x 40 cm, weiß, Polypropylen</t>
  </si>
  <si>
    <t xml:space="preserve">Polypropylene (not PE) and 80 mm high (vs 75 mm); 60x40 cm, white, no lid. Gross 11.19 incl. 19%, net 9.40; UVP 15.47 promo -28%.</t>
  </si>
  <si>
    <t xml:space="preserve">https://gastro-spirit.de/pizzaballenbehaelter-box-60-x-40-cm-9215600</t>
  </si>
  <si>
    <t xml:space="preserve">Only 60x40 dough box in shop: 80 mm high (vs 100 mm), PP, white, without lid. Gross 11.19 incl. 19%, net 9.40; UVP 15.47 promo -28%. Sofort verfügbar.</t>
  </si>
  <si>
    <t xml:space="preserve">Art. 9215600; 60x40x8 cm (80 mm high vs 75 mm), polypropylene, white, stackable, sold without lid (lid 9215001 separate). Page shows gross 11.19 incl. 19% MwSt and net 9.40; UVP 15.47 (-28% promo). Sofort verfügbar, 2-4 working days.</t>
  </si>
  <si>
    <t xml:space="preserve">Contacto Pizzaballenbehälter 60 cm / 40 cm (600x400x75 mm), weiß Polypropylen</t>
  </si>
  <si>
    <t xml:space="preserve">Art. CTO-2510/600; 600x400x75 mm, white polypropylene, stackable, side grips, lid sold separately (8.00 net, normal 10.00). Page states price zzgl. 19% MwSt. Sale price 9.88, regular 13.00 (-20%); free shipping promo until 11.10.2026. In stock, 3-5 working days.</t>
  </si>
  <si>
    <t xml:space="preserve">Auf Lager, 3-5 Werktage</t>
  </si>
  <si>
    <t xml:space="preserve">Stülpdeckel für Pizzaballenbehälter Ringoplast 60x40 cm</t>
  </si>
  <si>
    <t xml:space="preserve">Art. i30130451 (Ringoplast 090-02B); 60x40 cm, polypropylene, white, fits pizza dough containers. Net 11.99, gross 14.27. Sofort verfügbar, 2-3 working days, 36 in stock.</t>
  </si>
  <si>
    <t xml:space="preserve">https://www.lusini.com/de-de/pdp/169724/</t>
  </si>
  <si>
    <t xml:space="preserve">Sofort verfügbar, 2-3 Werktage</t>
  </si>
  <si>
    <t xml:space="preserve">Pizzaballenbehälter Ringoplast 60x40x7,6 cm</t>
  </si>
  <si>
    <t xml:space="preserve">Art. i30130450 (Ringoplast 201-28B); 60x40x7.6 cm, polyethylene, closed sides/bottom, no lid. Net 14.99 (Geschäftskunde exkl. MwSt), gross 17.84. Sofort verfügbar, 2-3 working days, 132 in stock. No quantity tiers shown.</t>
  </si>
  <si>
    <t xml:space="preserve">https://www.lusini.com/de-de/pdp/169718/</t>
  </si>
  <si>
    <t xml:space="preserve">Pizzaballenbehälter aus Polypropylen Stalgast 30x40x10 cm</t>
  </si>
  <si>
    <t xml:space="preserve">Art. i30218879 (Stalgast PP4164400); 30x40x10 cm, polypropylene, white, no lid. Net 11.09, gross 13.20. Sofort verfügbar, 2-3 working days, 76 in stock. No tiers shown.</t>
  </si>
  <si>
    <t xml:space="preserve">https://www.lusini.com/de-de/pdp/201096/</t>
  </si>
  <si>
    <t xml:space="preserve">No 60x40x100 dough box at LUSINI; nearest is this 60x40x7.6 cm polyethylene box without lid. Net 14.99, gross 17.84. Sofort verfügbar.</t>
  </si>
  <si>
    <t xml:space="preserve">Polyethylene instead of PP; 60x40x7.6 cm, no lid (lid sold separately pdp/169724). Net 14.99, gross 17.84. Sofort verfügbar.</t>
  </si>
  <si>
    <t xml:space="preserve">Vogue Clear Polycarbonate GN - 1/1 65mm</t>
  </si>
  <si>
    <t xml:space="preserve">PC, GN 1/1 530x325 mm, depth 65 mm, transparent; net price per piece, gross 20.41 incl. VAT; availability '60-61 days (will be ordered for you)'; lids sold separately</t>
  </si>
  <si>
    <t xml:space="preserve">https://www.esmeyer-shop.de/en/vogue-clear-polycarbonate-gn-1-1-65mm</t>
  </si>
  <si>
    <t xml:space="preserve">60-61 days (ordered for you)</t>
  </si>
  <si>
    <t xml:space="preserve">(6 pcs) Polypropylene Gastronorm Container GN 1/1 - Translucent - Height: 65 mm</t>
  </si>
  <si>
    <t xml:space="preserve">SKU GPP1165#6; PP, GN 1/1, height 65 mm, 8.5 l, translucent; set of 6 at 27.99 net (gross 33.31 incl. 19% VAT); RRP 53.99; German storefront in English (en-de-eur); in stock 1-2 days</t>
  </si>
  <si>
    <t xml:space="preserve">https://www.ggmgastro.com/en-de-eur/polypropylene-gastronorm-container-gn-1-1-translucent-height-65-mm-gpp1165-6</t>
  </si>
  <si>
    <t xml:space="preserve">(12 pcs) Polycarbonate Container GN 1/3 - Black - 3.6L - Depth: 100mm</t>
  </si>
  <si>
    <t xml:space="preserve">SKU GPCP13100S; PC black, GN 1/3, depth 100 mm, 3.6 l; set of 12 at 63.99 net (gross 76.15 incl. 19% VAT); RRP 129.99; clear 6-pc variant GPCP13100-6 exists but de URL 404; in stock 1-2 days</t>
  </si>
  <si>
    <t xml:space="preserve">https://www.ggmgastro.com/en-de-eur/12-pcs-polycarbonate-container-gn-1-3-black-3-6l-depth-100mm-gpcp13100s</t>
  </si>
  <si>
    <t xml:space="preserve">GN Behälter mit Skalierung, GN 1/1 - 65 mm, transparent, Polycarbonat, GN 94 Serie</t>
  </si>
  <si>
    <t xml:space="preserve">PC, GN 1/1, depth 65 mm, 9 l, transparent, with scale; page shows gross 14.46 inkl. 19% USt and net 12.15; promo -28% vs UVP 19.99; sofort verfügbar, 2-4 Werktage. Black PC GN 96 1/1 65 mm at 14.12 net</t>
  </si>
  <si>
    <t xml:space="preserve">https://gastro-spirit.de/behaelter-mit-skalierung-gn-1-1-serie-gn-94-9411065</t>
  </si>
  <si>
    <t xml:space="preserve">GN Behälter mit Skalierung, GN 1/1 - 65 mm, transparent, Polypropylen, GN 84 Serie</t>
  </si>
  <si>
    <t xml:space="preserve">PP, GN 1/1, depth 65 mm, 9 l, transparent, BPA-free; gross 8.35 inkl. 19% USt, net 7.02; promo -28% vs UVP 11.54; auf Lager, 2-4 Werktage</t>
  </si>
  <si>
    <t xml:space="preserve">https://gastro-spirit.de/behaelter-mit-skalierung-gn-1-1-serie-gn-84-8411065</t>
  </si>
  <si>
    <t xml:space="preserve">Auf Lager</t>
  </si>
  <si>
    <t xml:space="preserve">GN Behälter mit Skalierung, GN 1/2 - 150 mm, transparent, Polypropylen, GN 84 Serie</t>
  </si>
  <si>
    <t xml:space="preserve">PP, GN 1/2, depth 150 mm, 9 l, transparent, BPA-free; gross 6.38 inkl. 19% USt, net 5.36; promo -28% vs UVP 8.81; sofort verfügbar, 2-4 Werktage. White PP GN 89 1/2 150 mm at 7.89 net; 6-pc GN 86 set 90.74 net</t>
  </si>
  <si>
    <t xml:space="preserve">https://gastro-spirit.de/behaelter-mit-skalierung-gn-1-2-serie-gn-84-8412150</t>
  </si>
  <si>
    <t xml:space="preserve">GN Behälter mit Skalierung, GN 1/3 - 100 mm, transparent, Polycarbonat, GN 94 Serie</t>
  </si>
  <si>
    <t xml:space="preserve">PC, GN 1/3, depth 100 mm, 3.8 l, transparent; gross 6.72 inkl. 19% USt, net 5.65; promo -28% vs UVP 9.28; sofort verfügbar, 2-4 Werktage</t>
  </si>
  <si>
    <t xml:space="preserve">https://gastro-spirit.de/behaelter-mit-skalierung-gn-1-3-serie-gn-94-9413100</t>
  </si>
  <si>
    <t xml:space="preserve">GN Behälter mit Skalierung, GN 1/3 - 100 mm, transparent, Polypropylen, GN 84 Serie</t>
  </si>
  <si>
    <t xml:space="preserve">PP, GN 1/3, depth 100 mm, 3.8 l, transparent, BPA-free; gross 4.31 inkl. 19% USt, net 3.62; promo -28% vs UVP 5.95; auf Lager, 2-4 Werktage</t>
  </si>
  <si>
    <t xml:space="preserve">https://gastro-spirit.de/behaelter-mit-skalierung-gn-1-3-serie-gn-84-8413100</t>
  </si>
  <si>
    <t xml:space="preserve">GN Behälter mit Skalierung, GN 1/6 - 100 mm, transparent, Polypropylen, GN 84 Serie</t>
  </si>
  <si>
    <t xml:space="preserve">PP, GN 1/6, depth 100 mm, 1.6 l, transparent, BPA-free; gross 3.02 inkl. 19% USt, net 2.54; promo -28% vs UVP 4.17; auf Lager, 2-4 Werktage</t>
  </si>
  <si>
    <t xml:space="preserve">https://gastro-spirit.de/behaelter-mit-skalierung-gn-1-6-serie-gn-84-8416100</t>
  </si>
  <si>
    <t xml:space="preserve">GN Behälter mit Skalierung, GN 1/9 - 100 mm, transparent, Polypropylen, 6 Stück, GN 86 Serie</t>
  </si>
  <si>
    <t xml:space="preserve">PP, GN 1/9, depth 100 mm, 1 l, transparent; sold as set of 6 (GN 86 series); gross 29.46 inkl. 19% USt, net 24.76 per set (= 4.13 net/pc); promo -28% vs UVP 40.70; no single-piece GN 84 1/9 100 mm found (404); sofort verfügbar</t>
  </si>
  <si>
    <t xml:space="preserve">https://gastro-spirit.de/behaelter-mit-skalierung-gn-1-9-serie-gn-86-8619100</t>
  </si>
  <si>
    <t xml:space="preserve">PP, GN 1/1, depth 65 mm, 8 l, transparent - but sold WITH lid and 4 HACCP clips (bundle, not bare container); net 18.99 (inkl. MwSt 22.60); 2-4 Werktage. No bare Schneider PP GN 1/1 65 mm found at GastroHero (only 100/150/200 mm)</t>
  </si>
  <si>
    <t xml:space="preserve">https://www.gastro-hero.de/products/hendi-gn-behaelter-mit-deckel-und-haccp-clips-gn-11-65-mm-8-l-pp-873335</t>
  </si>
  <si>
    <t xml:space="preserve">2-4 Werktage</t>
  </si>
  <si>
    <t xml:space="preserve">PP, GN 1/2, depth 150 mm, 9 l, litre scale; net 7.49 (inkl. MwSt 8.91); MOQ 8 pcs; delivery 2-5 Werktage</t>
  </si>
  <si>
    <t xml:space="preserve">https://www.gastro-hero.de/products/schneider-pp-gn-12-behaelter-150-mm-9-l-530012</t>
  </si>
  <si>
    <t xml:space="preserve">Schneider Polycarbonat GN 1/3 Behälter 100 mm, 3,8 l</t>
  </si>
  <si>
    <t xml:space="preserve">PC, GN 1/3, depth 100 mm, 3.8 l; net 6.99 (inkl. MwSt 8.32); MOQ 8 pcs; delivery 2-5 Werktage</t>
  </si>
  <si>
    <t xml:space="preserve">https://www.gastro-hero.de/products/schneider-polycarbonat-gn-13-behaelter-100-mm-38-l-530121</t>
  </si>
  <si>
    <t xml:space="preserve">Hendi GN-Behälter mit Deckel und HACCP-Clips, GN 1/6, 100 mm, 1,7 L, PP</t>
  </si>
  <si>
    <t xml:space="preserve">PP, GN 1/6, depth 100 mm, 1.7 l, transparent - sold WITH lid and 4 HACCP clips; net 6.19 (inkl. MwSt 7.37); 'Ausverkauft' (out of stock) on 2026-10-02. No bare PP GN 1/6 100 mm found (Schneider PP 1/6 only 65 mm at 2.59 net)</t>
  </si>
  <si>
    <t xml:space="preserve">https://www.gastro-hero.de/products/hendi-gn-behaelter-mit-deckel-und-haccp-clips-gn-16-100-mm-17-l-pp-873168</t>
  </si>
  <si>
    <t xml:space="preserve">Ausverkauft</t>
  </si>
  <si>
    <t xml:space="preserve">PP, GN 1/9, depth 100 mm, 1 l, transparent - sold WITH lid and 4 HACCP clips; net 5.29 (inkl. MwSt 6.30); 2-4 Werktage. No bare PP GN 1/9 100 mm found at GastroHero</t>
  </si>
  <si>
    <t xml:space="preserve">https://www.gastro-hero.de/products/hendi-gn-behaelter-mit-deckel-und-haccp-clips-gn-19-100-mm-1-l-pp-873137</t>
  </si>
  <si>
    <t xml:space="preserve">Behälter GN 1/1 Polypropylen (6,5 cm, 9 l, transparent)</t>
  </si>
  <si>
    <t xml:space="preserve">PP, GN 1/1, depth 65 mm, 9 l, transparent, litre scale; net price 'Geschäftskunde exkl. MwSt', gross 18.67; sofort verfügbar (409 pcs), 2-3 Werktage</t>
  </si>
  <si>
    <t xml:space="preserve">https://www.lusini.com/de-de/pdp/248184/</t>
  </si>
  <si>
    <t xml:space="preserve">Behälter GN 1/2 Polypropylen (15 cm, 9 l, transparent)</t>
  </si>
  <si>
    <t xml:space="preserve">PP, GN 1/2, depth 150 mm, 9 l, transparent; gross 14.74; sofort verfügbar (944 pcs), 2-3 Werktage</t>
  </si>
  <si>
    <t xml:space="preserve">https://www.lusini.com/de-de/pdp/248100/</t>
  </si>
  <si>
    <t xml:space="preserve">Gastronormbehälter, Polycarbonat, GN 1/3 (100 mm, 3,7 l)</t>
  </si>
  <si>
    <t xml:space="preserve">PC, GN 1/3, depth 100 mm, 3.7 l, transparent (black also available); gross 6.41; sofort verfügbar (50 pcs). Alternative: APS GN 1/3 PC 100 mm 3.6 l at 7.49 net (pdp/131538)</t>
  </si>
  <si>
    <t xml:space="preserve">https://www.lusini.com/de-de/pdp/223846/</t>
  </si>
  <si>
    <t xml:space="preserve">Behälter GN 1/3 Polypropylen (10 cm, 3,8 l, transparent)</t>
  </si>
  <si>
    <t xml:space="preserve">PP, GN 1/3, depth 100 mm, 3.8 l, transparent; gross 9.51; sofort verfügbar (299 pcs). Also Stalgast PP GN 1/3 at 5.10 net and APS PP GN 1/3 at 4.59/6.89 net (depths not verified)</t>
  </si>
  <si>
    <t xml:space="preserve">https://www.lusini.com/de-de/pdp/250037/</t>
  </si>
  <si>
    <t xml:space="preserve">GN 1/9 Behälter, Polypropylen (100 mm, 1 l, transparent)</t>
  </si>
  <si>
    <t xml:space="preserve">PP, GN 1/9, depth 100 mm, 1 l, transparent; gross 3.32; sofort verfügbar (300 pcs). Stalgast 'Serie Protect' PP GN 1/9 0.8 l listed at 2.09 net but height not stated</t>
  </si>
  <si>
    <t xml:space="preserve">https://www.lusini.com/de-de/pdp/131581/</t>
  </si>
  <si>
    <t xml:space="preserve">Cambro Safetrak IML Lebensmittelbehälter aus Polypropylen 1/1GN 65mm</t>
  </si>
  <si>
    <t xml:space="preserve">PP, GN 1/1 530x325 mm, depth 65 mm, semi-transparent with moulded-in label (Safetrak IML variant, lid separate); price zzgl. MwSt; UVP 11.98; 'Nicht vorrätig' on 2026-10-02. Only PP GN 1/1 65 mm in Nisbets PP category</t>
  </si>
  <si>
    <t xml:space="preserve">https://www.nisbets.de/cambro-safetrak-iml-lebensmittelbehlter-aus-polypropylen-11gn-65mm/jn500</t>
  </si>
  <si>
    <t xml:space="preserve">Nicht vorrätig</t>
  </si>
  <si>
    <t xml:space="preserve">PP translucent, GN 1/2, depth 150 mm, 8.9 l (Cambro 26PP190); zzgl. MwSt; UVP 13.59; vorrätig</t>
  </si>
  <si>
    <t xml:space="preserve">https://www.nisbets.de/cambro-polypropylen-gn-12-behlter-150mm/dw503</t>
  </si>
  <si>
    <t xml:space="preserve">Nisbets Essentials Polypropylen 1/6 Gastronorm-Behälter 100mm</t>
  </si>
  <si>
    <t xml:space="preserve">PP BPA-free, GN 1/6, depth 100 mm, 1.5 l; zzgl. MwSt; UVP 2.59; 'Erwartet am 23/10/26' (backordered). Cambro PP GN 1/6 100 mm DW508 at 2.49 net also listed</t>
  </si>
  <si>
    <t xml:space="preserve">https://www.nisbets.de/nisbets-essentials-polypropylen-1zu6-gastronorm-behaelter-100mm/hz344</t>
  </si>
  <si>
    <t xml:space="preserve">Erwartet am 23/10/26</t>
  </si>
  <si>
    <t xml:space="preserve">Nisbets Essentials GN-Behälter 1/9 aus Polypropylen 100mm</t>
  </si>
  <si>
    <t xml:space="preserve">PP BPA-free, GN 1/9, depth 100 mm, 0.85 l (spec table says 0.58 l - discrepancy); zzgl. MwSt; UVP 2.09; vorrätig. Cambro Camview GN 1/9 100 mm DW549 at 3.19 net (Camview = copolymer)</t>
  </si>
  <si>
    <t xml:space="preserve">https://www.nisbets.de/nisbets-essentials-polypropylen-1zu9-gastronorm-behaelter-100mm/hz346</t>
  </si>
  <si>
    <t xml:space="preserve">Polycarbonat (PC), black, GN 1/1 530x325x100 mm, -40 to +99 C; net zzgl. MwSt; promo price (original 9.09); art. 10024405; no MOQ. Also GN Behälter 1/1 PC 150 mm 12.90 net</t>
  </si>
  <si>
    <t xml:space="preserve">https://www.allpax.de/product_info.php/info/PC-GN-1-1-Hoehe-100-mm-schwarz.html</t>
  </si>
  <si>
    <t xml:space="preserve">Lieferbar ab KW 49/2026 (backorder)</t>
  </si>
  <si>
    <t xml:space="preserve">Polycarbonat (PC), black, GN 1/1 lid 530x325 mm, -40 to +99 C, stackable; net zzgl. MwSt; promo price (original 9.29); art. 10024419; no MOQ. ALLPAX PC-PP category lists only PC lids - no PP GN 1/3 lid found</t>
  </si>
  <si>
    <t xml:space="preserve">https://www.allpax.de/product_info.php/info/PC-GN-Deckel-1-1-schwarz.html</t>
  </si>
  <si>
    <t xml:space="preserve">Polycarbonat (PC), black, GN 1/6 176x162x100 mm, -40 to +99 C; net zzgl. MwSt; art. 10024416; no MOQ</t>
  </si>
  <si>
    <t xml:space="preserve">https://www.allpax.de/product_info.php/info/PC-GN-1-6-Hoehe-100-mm-schwarz.html</t>
  </si>
  <si>
    <t xml:space="preserve">Vogue Clear Polycarbonate GN Container GN 1/1 100mm</t>
  </si>
  <si>
    <t xml:space="preserve">Polycarbonat (PC), GN 1/1 530x325 mm, depth 100 mm, clear, -40 to +100 C, lid separate; net zzgl. MwSt, gross 29.63; art. 427-2647; B2B shop, smallest quantities possible, free shipping from 250 EUR (DE)</t>
  </si>
  <si>
    <t xml:space="preserve">https://www.esmeyer-shop.de/en/vogue-clear-polycarbonate-gn-1-1-100mm</t>
  </si>
  <si>
    <t xml:space="preserve">GN-Auflagedeckel mit Griffmulden GN 1/1 (Polypropylen, für PP-Behälter Serie 5500)</t>
  </si>
  <si>
    <t xml:space="preserve">Page states material Polypropylen (PP), GN 1/1, fits PP GN containers series 5500 (not 1/9), integrated grip recesses; promo price 11.45 net (regular 14.65, -21.84%), gross 13.63; art. 400-1991; URL slug mentions Polycarbonat but product data says PP. Long lead time</t>
  </si>
  <si>
    <t xml:space="preserve">https://www.esmeyer-shop.de/en/GN-Auflagedeckel-aus-Polycarbonat-mit-Griffmulden-passend-auf-Polycarbonat-GN-Behaelter-Serie-8200-aber-auch-auf/400-1991</t>
  </si>
  <si>
    <t xml:space="preserve">60-61 days delivery time</t>
  </si>
  <si>
    <t xml:space="preserve">Vogue Clear Polycarbonate GN Container GN 1/2 150mm</t>
  </si>
  <si>
    <t xml:space="preserve">Polycarbonat (PC), GN 1/2 325x265x150 mm, transparent, -40 to +100 C, lid separate; net zzgl. MwSt, gross 16.54; art. 427-2652; GN 1/2 200 mm variant 16.00 net (427-2653)</t>
  </si>
  <si>
    <t xml:space="preserve">https://www.esmeyer-shop.de/en/vogue-clear-polycarbonate-gn-1-2-150mm</t>
  </si>
  <si>
    <t xml:space="preserve">Vogue Clear Polycarbonate GN Container 1/6 100mm</t>
  </si>
  <si>
    <t xml:space="preserve">Polycarbonat (PC), GN 1/6 176x162 mm, 100 mm depth per page title, clear, -40 to +100 C, lid separate; net zzgl. MwSt, gross 6.66; art. 427-2661</t>
  </si>
  <si>
    <t xml:space="preserve">https://www.esmeyer-shop.de/en/vogue-clear-polycarbonate-gn-1-6-100mm</t>
  </si>
  <si>
    <t xml:space="preserve">(6 Stück) Polycarbonat-Behälter GN 1/1 - Transparent - 13 L - Höhe: 100mm</t>
  </si>
  <si>
    <t xml:space="preserve">Polycarbonate GN 1/1, 100 mm, 13 l, clear, -40 to +100 C; page: '56,99 € * net price | gross price incl. 19% VAT: 67.82', 'All prices plus VAT 19%, incl. delivery'; RRP 113.99; SKU GPCP11100; set of 6</t>
  </si>
  <si>
    <t xml:space="preserve">https://www.ggmgastro.com/en-de-eur/6-pcs-polycarbonate-container-gn-1-1-clear-13l-depth-100mm-gpcp11100</t>
  </si>
  <si>
    <t xml:space="preserve">Delivery time 5-6 weeks</t>
  </si>
  <si>
    <t xml:space="preserve">(6 Stück) Polycarbonat GN-Deckel GN 1/1 - Transparent - luftdicht (mit Silikondichtung) - 530x325 mm - Höhe: 10 mm</t>
  </si>
  <si>
    <t xml:space="preserve">Airtight polycarbonate lid with silicone seal (not the plain standard lid GPCL11, whose page could not be fetched: 404); 530x325x10 mm, fits GPCP11; net price plus 19% VAT, gross 80.91; RRP 137.99; SKU GPCPD11-6; set of 6</t>
  </si>
  <si>
    <t xml:space="preserve">https://www.ggmgastro.com/en-de-eur/6-pcs-polycarbonate-gn-lid-gn-1-1-airtight-seal-clear-530x325mm-height-10mm-gpcpd11-6</t>
  </si>
  <si>
    <t xml:space="preserve">(12 Stück) Polypropylen-Deckel GN 1/3 - Milchig - mit 24 Codierclips</t>
  </si>
  <si>
    <t xml:space="preserve">Polypropylen GN 1/3 lid 325x179x17 mm, milky transparent, with 24 colour-coding clips, fits GPCP13; GGM main price net (plus 19% VAT); UVP 75.99; SKU GPPL13-12; set of 12. Note: more expensive than GGM's GN 1/1 PP lid 12-pack (27.99) - listing looks odd</t>
  </si>
  <si>
    <t xml:space="preserve">https://www.ggmgastro.com/de-de-eur/12-stueck-polypropylen-deckel-gn-1-3-milchig-mit-24-codierclips-gppl13-12</t>
  </si>
  <si>
    <t xml:space="preserve">Verfügbar ab dem 19.10.2026 (pre-order)</t>
  </si>
  <si>
    <t xml:space="preserve">(12 Stück) Polycarbonat-Behälter GN 1/6 - Transparent - 1,5 L - Höhe: 100mm</t>
  </si>
  <si>
    <t xml:space="preserve">Polycarbonate GN 1/6, 100 mm, 1.5 l, clear, -40 to +100 C; GGM main price is net (plus 19% VAT, gross shown separately); RRP 87.99; SKU GPCP16100; set of 12; fetched via en-de-eur German storefront (de-de-eur slug 404 for fetcher)</t>
  </si>
  <si>
    <t xml:space="preserve">https://www.ggmgastro.com/en-de-eur/12-pcs-polycarbonate-container-gn-1-6-clear-1-5l-depth-100mm-gpcp16100</t>
  </si>
  <si>
    <t xml:space="preserve">In stock, 1-2 days</t>
  </si>
  <si>
    <t xml:space="preserve">GN Behälter mit Skalierung, GN 1/1 - 100 mm, transparent, Polycarbonat, GN 94 Serie</t>
  </si>
  <si>
    <t xml:space="preserve">Polycarbonat GN 1/1, 100 mm, 13.3 l, transparent, with scale; gross 17.23 inkl. 19% MwSt, UVP 23.80 (-28%); art. 9411100; no MOQ. Other depths: 65 mm 12.15 net, 150 mm 21.10 gross, 200 mm 26.69 gross</t>
  </si>
  <si>
    <t xml:space="preserve">https://gastro-spirit.de/behaelter-mit-skalierung-gn-1-1-serie-gn-94-9411100</t>
  </si>
  <si>
    <t xml:space="preserve">GN Deckel, GN 1/1, transparent, Polycarbonat, GN 94 Serie</t>
  </si>
  <si>
    <t xml:space="preserve">Polycarbonat GN 1/1 lid 53x32.5 cm, transparent, stackable, dishwasher safe; gross 9.99 inkl. 19% MwSt, UVP 13.80 (-28%); art. 9411001; no MOQ</t>
  </si>
  <si>
    <t xml:space="preserve">https://gastro-spirit.de/deckel-gn-1-1-serie-gn-94-9411001</t>
  </si>
  <si>
    <t xml:space="preserve">GN Deckel, GN 1/1, transparent, Polypropylen, GN 84 Serie</t>
  </si>
  <si>
    <t xml:space="preserve">Polypropylen GN 1/1 lid 53x32.5 cm, transparent, BPA-free, HACCP clip capable; gross 4.66 inkl. 19% MwSt, UVP 6.43 (-28%); art. 8411004; no MOQ. Alternative: GN 89 series white PP lid 1/1 7.74 gross</t>
  </si>
  <si>
    <t xml:space="preserve">https://gastro-spirit.de/deckel-gn-1-1-serie-gn-84-8411004</t>
  </si>
  <si>
    <t xml:space="preserve">GN Behälter mit Skalierung, GN 1/2 - 150 mm, transparent, Polycarbonat, GN 94 Serie</t>
  </si>
  <si>
    <t xml:space="preserve">Polycarbonat GN 1/2, 150 mm, 9 l, transparent, with scale; gross 10.84 inkl. 19% MwSt, UVP 14.99 (-28%); art. 9412150; no MOQ</t>
  </si>
  <si>
    <t xml:space="preserve">https://gastro-spirit.de/behaelter-mit-skalierung-gn-1-2-serie-gn-94-9412150</t>
  </si>
  <si>
    <t xml:space="preserve">GN Deckel, GN 1/3, transparent, Polypropylen, GN 84 Serie</t>
  </si>
  <si>
    <t xml:space="preserve">Polypropylen GN 1/3 lid 32.5x17.6 cm, transparent, BPA-free, HACCP clip capable; gross 2.08 inkl. 19% MwSt, UVP 2.86 (-27%); art. 8413004; no MOQ. Alternative: GN 89 series white PP lid 1/3 3.10 gross</t>
  </si>
  <si>
    <t xml:space="preserve">https://gastro-spirit.de/deckel-gn-1-3-serie-gn-84-8413004</t>
  </si>
  <si>
    <t xml:space="preserve">Auf Lager, Lieferzeit 2-4 Werktage</t>
  </si>
  <si>
    <t xml:space="preserve">GN Behälter mit Skalierung, GN 1/6 - 100 mm, transparent, Polycarbonat, GN 94 Serie</t>
  </si>
  <si>
    <t xml:space="preserve">Polycarbonat GN 1/6, 100 mm, 1.6 l, transparent, with scale; gross 4.31 inkl. 19% MwSt, UVP 5.95 (-28%); art. 9416100; no MOQ</t>
  </si>
  <si>
    <t xml:space="preserve">https://gastro-spirit.de/behaelter-mit-skalierung-gn-1-6-serie-gn-94-9416100</t>
  </si>
  <si>
    <t xml:space="preserve">Polycarbonat GN 1/1 530x325x100 mm, 13.12 l; net price, 20.46 inkl. MwSt shown; art. U225; MOQ 4 pieces (Mindestabnahmemenge)</t>
  </si>
  <si>
    <t xml:space="preserve">https://www.gastro-hero.de/products/vogue-gn-behaelter-11-polycarbonat-tiefe-100-mm-u225</t>
  </si>
  <si>
    <t xml:space="preserve">Ausverkauft (out of stock)</t>
  </si>
  <si>
    <t xml:space="preserve">Schneider Polycarbonat GN 1/1 Deckel, aufliegend</t>
  </si>
  <si>
    <t xml:space="preserve">Polycarbonat GN 1/1 resting lid 530x325 mm with grip recess, no spoon cutout; net price, 12.60 inkl. MwSt shown; promo (reduced from 12.60 net); art. 530105; MOQ 4 pieces</t>
  </si>
  <si>
    <t xml:space="preserve">https://www.gastro-hero.de/products/schneider-polycarbonat-gn-11-deckel-aufliegend-530105</t>
  </si>
  <si>
    <t xml:space="preserve">Polycarbonat GN 1/1 530x325 mm, 100 mm; price inkl. MwSt. (gross), zzgl. 7.95 EUR shipping in DE; code U225; EAN 5050984030383</t>
  </si>
  <si>
    <t xml:space="preserve">https://www.gastroladen.de/3020@GN-U225/Vogue-Polycarbonat-GN-Behaelter-GN1-1-100mm.htm</t>
  </si>
  <si>
    <t xml:space="preserve">zurzeit nicht am Lager (out of stock)</t>
  </si>
  <si>
    <t xml:space="preserve">Polycarbonat GN 1/1 lid with handle, 8x325x530 mm; price inkl. MwSt. (gross), zzgl. 7.95 EUR shipping; code DM742. Alternative: Cambro Camview BPA-free GN 1/1 Deckel mit Griff DC980 16.98 gross; Vogue PC Deckel GN 1/1 (U244) not listed in category</t>
  </si>
  <si>
    <t xml:space="preserve">https://www.gastroladen.de/3020@GN-DM742/Cambro-Polycarbonat-Deckel-GN-1-1-mit-Griff.htm</t>
  </si>
  <si>
    <t xml:space="preserve">Polypropylen flexible seal lid GN 1/3, 8x176x325 mm, transparent, inner seal; price inkl. MwSt. (gross), zzgl. 7.95 EUR shipping; code DM714</t>
  </si>
  <si>
    <t xml:space="preserve">https://www.gastroladen.de/3030@GN-DM714/Cambro-biegsamer-Polypropylen-Deckel-GN-1-3.htm</t>
  </si>
  <si>
    <t xml:space="preserve">GN-Deckel, Serie STANDARD, Polypropylen, für GN 1/3 Behälter</t>
  </si>
  <si>
    <t xml:space="preserve">Polypropylen semi-transparent GN 1/3 lid 325x176 mm, -5 to +70 C, not dishwasher safe; net zzgl. MwSt, gross 2.26 inkl. 19%; UVP 2.50; art. 1026450; MOQ 1, bulk discounts from 3+ units</t>
  </si>
  <si>
    <t xml:space="preserve">https://www.intergastro.de/gn-deckel-standard-serie-polypropylen-fuer-gn-1-3-behaelter-1026450</t>
  </si>
  <si>
    <t xml:space="preserve">versandfertig in 2-5 Werktagen</t>
  </si>
  <si>
    <t xml:space="preserve">Polycarbonat GN 1/1, depth 10 cm, 13.3 l, transparent, with litre scale, -40 to +110 C; gross 38.19; Schneider art. 530101; no MOQ/tiers shown. No APS/Stalgast GN 1/1 PC 100 mm found on site</t>
  </si>
  <si>
    <t xml:space="preserve">https://www.lusini.com/de-de/pdp/248185/</t>
  </si>
  <si>
    <t xml:space="preserve">Sofort verfügbar, 201 Stk, Lieferzeit 2-3 Werktage</t>
  </si>
  <si>
    <t xml:space="preserve">Polycarbonat, GN 1/1 53x32.5 cm, transparent, -30 to +70 C, stackable; gross 12.01 inkl. MwSt shown alongside; art. i20070618 (APS 82001); no MOQ/tiers shown</t>
  </si>
  <si>
    <t xml:space="preserve">https://www.lusini.com/de-de/pdp/122413/</t>
  </si>
  <si>
    <t xml:space="preserve">Sofort verfügbar, 300 Stk, Lieferzeit 2-3 Werktage</t>
  </si>
  <si>
    <t xml:space="preserve">GN-Deckel, Polycarbonat, für GN 1/1 Behälter</t>
  </si>
  <si>
    <t xml:space="preserve">Polycarbonat GN 1/1 lid, transparent, -40 to +99 C, stackable, not for convection ovens/chafing; gross 9.51; art. i30257739 (Stalgast GN0811001); shipped by LUSINI partner, 3 weeks delivery. Other PC GN 1/1 lids on site: Schneider 248219 19.19 net, Stalgast Buffet 265766 8.09 net</t>
  </si>
  <si>
    <t xml:space="preserve">https://www.lusini.com/de-de/pdp/265762/</t>
  </si>
  <si>
    <t xml:space="preserve">20 verfügbar, Lieferzeit 3 Wochen</t>
  </si>
  <si>
    <t xml:space="preserve">Deckel GN 1/1 hermetisch</t>
  </si>
  <si>
    <t xml:space="preserve">Polypropylen bi-injection lid with rubber gasket (hermetic/airtight variant, not plain standard lid), GN 1/1 53x32.5 cm, -40 to +95 C; gross 17.84; art. i30128230; no MOQ/tiers</t>
  </si>
  <si>
    <t xml:space="preserve">https://www.lusini.com/de-de/pdp/168503/</t>
  </si>
  <si>
    <t xml:space="preserve">Sofort verfügbar, 63 Stk, Lieferzeit 2-3 Werktage</t>
  </si>
  <si>
    <t xml:space="preserve">GN-Deckel 1/3 Risa, Kunststoff, BPA-frei</t>
  </si>
  <si>
    <t xml:space="preserve">Material stated Polypropylen, BPA-free, GN 1/3 32.5x17.6 cm, transparent; gross 6.18; art. i10010431; no MOQ/tiers. Alternative: Araven Deckel GN 1/3 hermetisch (PP with rubber seal) pdp/168505 11.49 net</t>
  </si>
  <si>
    <t xml:space="preserve">https://www.lusini.com/de-de/pdp/122388/</t>
  </si>
  <si>
    <t xml:space="preserve">Sofort verfügbar, 26 Stk, Lieferzeit 2-3 Werktage</t>
  </si>
  <si>
    <t xml:space="preserve">Polycarbonat GN 1/6, 17.6x16.2x10 cm, 1.5 l, microwave/dishwasher safe, stackable; gross 5.36; art. i30082849 (APS 82038); no MOQ/tiers shown</t>
  </si>
  <si>
    <t xml:space="preserve">https://www.lusini.com/de-de/pdp/131548/</t>
  </si>
  <si>
    <t xml:space="preserve">Polycarbonat GN 1/1 530x325 mm, 100 mm (9.8 cm height), 13.5 l, -40 to +100 C; reduced web price, UVP 21.39 (-57%); Zzgl. MwSt.; code U225; lids separate. Vogue PC lid U244 and GN 1/6 100 mm U239 pages return 'neither live nor archived' (404) on nisbets.de</t>
  </si>
  <si>
    <t xml:space="preserve">https://www.nisbets.de/vogue-polycarbonat-gn-behlter-100mm/u225</t>
  </si>
  <si>
    <t xml:space="preserve">Thermo Future Thermobox Frontlader 93L</t>
  </si>
  <si>
    <t xml:space="preserve">PP (EPP) front loader, 93 l (slightly above 80-90 l); inner 53x33.5x52.5 cm; page shows 213,00 € pro Stück and 253,47 € inkl. MwSt (=19%); art. 427-4748</t>
  </si>
  <si>
    <t xml:space="preserve">https://www.esmeyer-shop.de/thermo-future-thermobox-frontlader-93l-kapazitaet-93l-material-polypropylen-geeignet-fuer-gn-behaelter-der-groesse-gn1-1-gn1-2</t>
  </si>
  <si>
    <t xml:space="preserve">Thermo Future</t>
  </si>
  <si>
    <t xml:space="preserve">Verfügbar in ca. 6-7 Tagen (wird für Sie bestellt)</t>
  </si>
  <si>
    <t xml:space="preserve">Thermobox GN 1/1 aus gelbem Polypropylen, Frontlader mit 12 Auflageschienen</t>
  </si>
  <si>
    <t xml:space="preserve">PP front loader GN 1/1, 12 rails at 39 mm, outer 49.5x63.5x63 cm; capacity in litres not stated on page; sale price 'statt 385,00 €' 290,00 € pro Stück, 345,10 € inkl. MwSt; art. 386-182; same model as Gastrodax Contacto entry</t>
  </si>
  <si>
    <t xml:space="preserve">https://www.esmeyer-shop.de/thermobox-gn-1-1-aus-gelbem-polypropylen-frontlader-mit-12-auflageschienen-mit-je-39-mm-abstand-mit-beidseitigen</t>
  </si>
  <si>
    <t xml:space="preserve">GN Thermotransportbehälter, GN 1/1, Kunststoff/Polyurethan, 12 Einschübe, Fronttür</t>
  </si>
  <si>
    <t xml:space="preserve">Plastic body with PU insulation, front door with seal, 12 Einschübe; outer 65x45x61 cm, inner 56x36x50 cm (volume not stated, inner dims imply ~100 l); page shows gross 327.22 incl. 19% MwSt and net 274.97; UVP 452.20 (-28%); art. 3710012; weight 15.45 kg</t>
  </si>
  <si>
    <t xml:space="preserve">https://gastro-spirit.de/gn-thermotransportbehaelter-gn-1-1-3710012</t>
  </si>
  <si>
    <t xml:space="preserve">Sofort verfügbar, Lieferzeit 2-4 Werktage (DE)</t>
  </si>
  <si>
    <t xml:space="preserve">EN Tablett fiberglasverstärkt, 53 x 37 cm, grau, Polyester, Tray 97 Serie</t>
  </si>
  <si>
    <t xml:space="preserve">Right size 53x37x2 cm but fibreglass-reinforced polyester, not ABS/PP; page shows gross 15.07 incl. 19% MwSt and net 12.66; UVP 20.83 (-28%); Tray 96 variants (grey 9605531, white 9625531) same price; no PP/ABS 53x37 tray in Gastro-Spirit tray category (PP Tray 92 series only up to 46x35.5 cm and GN 1/1 at 6.03 gross)</t>
  </si>
  <si>
    <t xml:space="preserve">https://gastro-spirit.de/en-tablett-fiberglasverstaerkt-53-x-37-cm-9710531</t>
  </si>
  <si>
    <t xml:space="preserve">EPP front loader, 93 l (slightly above 80-90 l); outer 64.5x44.5x62.5 cm, inner 53x33.5x52.5 cm; fits GN 1/1, 1/2, 1/3; 270° swing door; gross 264.17 incl. MwSt shown alongside; art. i30136743</t>
  </si>
  <si>
    <t xml:space="preserve">https://www.lusini.com/de-de/pdp/177217/</t>
  </si>
  <si>
    <t xml:space="preserve">Leider ausverkauft (out of stock, 0 of 1 available)</t>
  </si>
  <si>
    <t xml:space="preserve">Thermobox Frontlader</t>
  </si>
  <si>
    <t xml:space="preserve">EPP front loader but only 69 l (below 80-90 l); 9 rails at 38 mm; outer 66x45x49 cm, inner 53x33.5x39 cm; gross 184.45; art. i30125594. Similar 65 l GN front loader (12 rails, pdp/104174) 159.00 net; Stalgast Frontlader for 6x GN 1/1 (pdp/180781) 381.09 net</t>
  </si>
  <si>
    <t xml:space="preserve">https://www.lusini.com/de-de/pdp/167133/</t>
  </si>
  <si>
    <t xml:space="preserve">Fast Food Tablett, Polypropylen, 45x35 cm</t>
  </si>
  <si>
    <t xml:space="preserve">PP non-slip tray but 45x35 cm, not 53x37; 6 colours; gross 5.83 incl. MwSt; art. i30151812. No 53x37 PP/ABS tray found at LUSINI; PULSIVA Kantinentablett fibreglass GN 1/1 53x32.5 (pdp/104281) 10.99 net (pack of 12 = 131.88 net); Stalgast PP tray 45x65 (pdp/195860) 35.99 net</t>
  </si>
  <si>
    <t xml:space="preserve">https://www.lusini.com/de-de/pdp/201262/</t>
  </si>
  <si>
    <t xml:space="preserve">Sofort verfügbar (151 Stück), Lieferzeit 2-3 Werktage</t>
  </si>
  <si>
    <t xml:space="preserve">Thermo Tablettset eckig</t>
  </si>
  <si>
    <t xml:space="preserve">Rectangular 5-piece thermo set (insulated PS base, 18/0 stainless tray, transparent food cover/hood, cooling packs, carrying strap), 43x29x14 cm; 5 parts rather than 5 compartments — same APS set as Gastrodax entry; price 'pro Set', gross 27.83 incl. MwSt; art. i30114797</t>
  </si>
  <si>
    <t xml:space="preserve">https://www.lusini.com/de-de/pdp/166059/</t>
  </si>
  <si>
    <t xml:space="preserve">Sofort verfügbar (8 Stück), Lieferzeit 2-3 Werktage</t>
  </si>
  <si>
    <t xml:space="preserve">Tava GN 1/1 policarbonat transparent – 150 mm</t>
  </si>
  <si>
    <t xml:space="preserve">1/1 PC 150 mm, clear; EXACT: variable product "Tava GN 1/1 policarbonat transparent", depth variation 150 mm selected, material stated on page; variation SKU HD861219; price per variation shown net ("fără TVA"). Price shown "fără TVA". Price shown excl. VAT (RO 21%). YES Gastro SKU GNP-11150.</t>
  </si>
  <si>
    <t xml:space="preserve">https://direca.ro/shop/tava-gn-11-policarbonat-transparent/</t>
  </si>
  <si>
    <t xml:space="preserve">Hendi (code HD)</t>
  </si>
  <si>
    <t xml:space="preserve">Added 2 Oct 2026 from live page (Claude research, GN expansion). Net price read on page.</t>
  </si>
  <si>
    <t xml:space="preserve">Tava policarbonat negru GN 1/1 530x325x150 mm</t>
  </si>
  <si>
    <t xml:space="preserve">1/1 PC 150 mm, black; EXACT: size, depth and material (policarbonat negru) stated; price shown "( inclusiv T.V.A. )"; B2B tier discounts from 3,500 lei. Price shown incl. VAT (RO 21%); VAT removed for the net price. YES Gastro SKU GNP-11150/B.</t>
  </si>
  <si>
    <t xml:space="preserve">https://www.fimax.ro/produs/tava-policarbonat-negru-gn-1-1-530x325x150-mm/</t>
  </si>
  <si>
    <t xml:space="preserve">unbranded (FiMax)</t>
  </si>
  <si>
    <t xml:space="preserve">Added 2 Oct 2026 from live page (Claude research, GN expansion). Gross price on page; VAT removed.</t>
  </si>
  <si>
    <t xml:space="preserve">ARAVEN Recipient gastronomic GN 1/1, policarbonat, Adancime: 150 mm, Capacitate: 20 L</t>
  </si>
  <si>
    <t xml:space="preserve">1/1 PC 150 mm, clear; EXACT: Araven polycarbonate GN container, size/depth/material stated in name. SKU 229901620. Listing price is gross; product page shows gross and "fără TVA" net below it. Price shown incl. VAT (RO 21%); VAT removed for the net price. YES Gastro SKU GNP-11150.</t>
  </si>
  <si>
    <t xml:space="preserve">https://www.gastrozone.ro/araven-gn-container-1-1-policarbonat-adancime-150-mm-continut-20-l.html</t>
  </si>
  <si>
    <t xml:space="preserve">Tava gastronorm | GN 1/1-150 mm policarbonat</t>
  </si>
  <si>
    <t xml:space="preserve">1/1 PC 150 mm, clear; EXACT: GastroPlast polycarbonate GN tray, size and depth in name and code. Shop code GNP11150; price shown in EUR "fara TVA" (invoiced in RON at BNR rate). Price shown excl. VAT (RO 21%). YES Gastro SKU GNP-11150.</t>
  </si>
  <si>
    <t xml:space="preserve">https://www.lancom.ro/tava-gastronorm-gn-11-150-policarbonat-6934</t>
  </si>
  <si>
    <t xml:space="preserve">Pe stoc</t>
  </si>
  <si>
    <t xml:space="preserve">Recipient GN 1/1 ad. 15 cm din policarbonat | YATO YG-00392</t>
  </si>
  <si>
    <t xml:space="preserve">1/1 PC 150 mm, clear; EXACT: size, depth and material (policarbonat) in product name. Listing shows "Pret net 49.33 RON" and "Pret brut 59.69 RON/buc". Price shown excl. VAT (RO 21%). YES Gastro SKU GNP-11150.</t>
  </si>
  <si>
    <t xml:space="preserve">https://mmgastro.ro/ro/products/recipient-gn-1-1-ad-15-cm-din-policarbonat-yato-yg-00392-143198</t>
  </si>
  <si>
    <t xml:space="preserve">GN Behälter 1/1 PC Höhe 150 mm</t>
  </si>
  <si>
    <t xml:space="preserve">1/1 PC 150 mm, transparent; EXACT: polycarbonate GN 1/1 x 150 mm ("Stabiles Polycarbonat"); Art. 10014623;0; sale price (statt 15.95); listing "Steuerhinweis: exkl. MwSt.", footer "Preisangaben exkl. gesetzl. MwSt." (Gewerbekunden price list). Price shown excl. VAT (AT 20%). YES Gastro SKU GNP-11150.</t>
  </si>
  <si>
    <t xml:space="preserve">https://www.allpax.at/product_info.php/info/GN-Behaelter-1-1-PC-Hoehe-150-mm.html</t>
  </si>
  <si>
    <t xml:space="preserve">ALLPAX (unbranded)</t>
  </si>
  <si>
    <t xml:space="preserve">RIEBER GN 1/1 Polycarbonat-Behälter -Tiefe 150mm</t>
  </si>
  <si>
    <t xml:space="preserve">1/1 PC 150 mm, transparent (glasklar); EXACT: Rieber Polycarbonat-Behälter GN 1/1, Tiefe 150 mm; listing shows net price with "(… inkl. MwSt.) Zzgl. 20% MwSt."; listing flags "Sale" but strike price equals current price. Price shown excl. VAT (AT 20%). YES Gastro SKU GNP-11150.</t>
  </si>
  <si>
    <t xml:space="preserve">https://www.gastro-star.at/produkt/riebergn11polycarbonat-behaelter-tiefe150mm-48808/</t>
  </si>
  <si>
    <t xml:space="preserve">instock (listing)</t>
  </si>
  <si>
    <t xml:space="preserve">Vogue GN-Behälter 1/1 Polycarbonat - Tiefe 150 mm</t>
  </si>
  <si>
    <t xml:space="preserve">1/1 PC 150 mm, transparent; EXACT: polycarbonate stated in name, GN 1/1 x 150 mm; SKU U226; page shows Angebotspreis 19.79 vs Normaler Preis 21.79; price shown is net (page shows e.g. "X € inkl. MwSt." computed at 19% underneath). Price shown excl. VAT (AT 20%). YES Gastro SKU GNP-11150.</t>
  </si>
  <si>
    <t xml:space="preserve">https://www.gastro-hero.at/products/vogue-gn-behaelter-11-polycarbonat-tiefe-150-mm-u226</t>
  </si>
  <si>
    <t xml:space="preserve">not available / ausverkauft</t>
  </si>
  <si>
    <t xml:space="preserve">WAS GN 94 Behälter 1/1-150 mm mit Skalierung Polycarbonat</t>
  </si>
  <si>
    <t xml:space="preserve">1/1 PC 150 mm, transparent; EXACT: WAS GN 94 polycarbonate container GN 1/1 x 150 mm; listing price "zzgl. 19% MwSt." (German shop shipping to DE &amp; AT, VAT footnote says 19%). Price shown excl. VAT (AT 20%). YES Gastro SKU GNP-11150.</t>
  </si>
  <si>
    <t xml:space="preserve">https://www.gastrodax.de/was-gn-94-behaelter-1-1-150-mm-mit-skalierung-polycarbonat</t>
  </si>
  <si>
    <t xml:space="preserve">WAS Germany (GN 94)</t>
  </si>
  <si>
    <t xml:space="preserve">Vogue Polycarbonat GN-Behälter GN1/1 150mm</t>
  </si>
  <si>
    <t xml:space="preserve">1/1 PC 150 mm, transparent; EXACT: polycarbonate stated on page (Polycarbonat in product name), GN 1/1 x 150 mm; Art.-Nr. U226; price "inkl. MwSt., zzgl. Versand". Price shown incl. VAT (AT 20%); VAT removed for the net price. YES Gastro SKU GNP-11150.</t>
  </si>
  <si>
    <t xml:space="preserve">https://www.gastroladen.at/3020@GN-U226/</t>
  </si>
  <si>
    <t xml:space="preserve">zurzeit nicht am Lager</t>
  </si>
  <si>
    <t xml:space="preserve">Gastronorm Behälter GN 1/1 | GN 96 BLACK | Polycarbonat schwarz H 150 mm</t>
  </si>
  <si>
    <t xml:space="preserve">1/1 PC 150 mm, black; EXACT: WAS GN 96 BLACK, Materialtyp Polycarbonat, Farbe schwarz, GN 1/1, Höhe 150 mm; Bestell-Nr 1016770; single-piece price "Preis pro Stück, zzgl. MwSt" (page also shows inkl. 20% MwSt); UVP 29,00; Staffelpreise: ab 3 21,88, ab 6 21,19 per piece; Price shown excl. VAT (AT 20%); page read with a headless browser (prices rendered by JavaScript). YES Gastro SKU GNP-11150/B.</t>
  </si>
  <si>
    <t xml:space="preserve">https://www.intergastro.at/gastronorm-behaelter-gn-1-1-gn-96-black-polycarbonat-schwarz-h-150-mm-1016770</t>
  </si>
  <si>
    <t xml:space="preserve">WAS Germany (GN 96 BLACK)</t>
  </si>
  <si>
    <t xml:space="preserve">versandfertig in 2–5 Werktagen</t>
  </si>
  <si>
    <t xml:space="preserve">GN-Behälter - transparent - Serie 94 - Inhalt 20,0 l - GN 1/1 (530 x 325 mm) - 150 mm - Polycarbonat - premium Qualität</t>
  </si>
  <si>
    <t xml:space="preserve">1/1 PC 150 mm, transparent; EXACT: polycarbonate stated in name (Material: Kunststoff, Polycarbonat), GN 1/1, 150 mm stated in name; Art. 9411150-A; sale price, Regulärer Preis 24.50; footer "Preise zzgl. MwSt. zzgl. Versandkosten". Price shown excl. VAT (AT 20%). YES Gastro SKU GNP-11150.</t>
  </si>
  <si>
    <t xml:space="preserve">https://shopbuero.com/gn-behaelter-transparent-serie-94-inhalt-20-0-l-gn-1-1-530-x-325-mm-150-mm-polycarbonat-premium-qualitaet/9411150-A</t>
  </si>
  <si>
    <t xml:space="preserve">WAS Germany (Serie 94)</t>
  </si>
  <si>
    <t xml:space="preserve">wird versendet aus Lager Nord</t>
  </si>
  <si>
    <t xml:space="preserve">(6 Stück) Polycarbonat-Behälter GN 1/1 - Schwarz - Höhe: 150mm</t>
  </si>
  <si>
    <t xml:space="preserve">1/1 PC 150 mm, black; EXACT: GN 1/1, 150 mm, Polycarbonat in product name; Art.-Nr. GPCP11150S; price for pack of 6 ('6 Stück'), shown as Nettopreis (page footnote '* Nettopreis | Bruttopreis inkl. 19% MwSt.'); promo price, crossed-out 72,21 EUR, UVP 129,99 EUR; category listing rendered in browser. Price shown excl. VAT (DE 19%); pack of 6, converted to per piece; page read with a headless browser (prices rendered by JavaScript). YES Gastro SKU GNP-11150/B.</t>
  </si>
  <si>
    <t xml:space="preserve">https://www.ggmgastro.com/de-de-eur/6-stueck-polycarbonat-behaelter-gn-1-1-schwarz-hoehe-150mm-gpcp11150s</t>
  </si>
  <si>
    <t xml:space="preserve">GN Behälter mit Skalierung, GN 1/1 - 150 mm, transparent, Polycarbonat, GN 94 Serie</t>
  </si>
  <si>
    <t xml:space="preserve">1/1 PC 150 mm, transparent; EXACT: GN 1/1, 150 mm, material Polycarbonat stated; Art.Nr. 9411150; price inkl. 19% USt, shop also shows Netto 17,73 EUR; -28% promo vs UVP 29,16 EUR. Price shown incl. VAT (DE 19%); VAT removed for the net price. YES Gastro SKU GNP-11150.</t>
  </si>
  <si>
    <t xml:space="preserve">https://gastro-spirit.de/behaelter-mit-skalierung-gn-1-1-serie-gn-94-9411150</t>
  </si>
  <si>
    <t xml:space="preserve">Gastro Spirit (GN 94 Serie)</t>
  </si>
  <si>
    <t xml:space="preserve">1/1 PC 150 mm, transparent; EXACT: GN 1/1, 150 mm, Material Polycarbonat stated; Art.-Nr. U226; page shows gross 22,36 EUR 'inkl. MwSt.' and net 18,79 EUR; footer: 'Alle Preise sind Stückpreise und verstehen sich netto zzgl. MwSt.' (B2B shop); net price recorded. Price shown excl. VAT (DE 19%). YES Gastro SKU GNP-11150.</t>
  </si>
  <si>
    <t xml:space="preserve">https://www.gastro-hero.de/products/vogue-gn-behaelter-11-polycarbonat-tiefe-150-mm-u226</t>
  </si>
  <si>
    <t xml:space="preserve">not available (shop feed: available=false)</t>
  </si>
  <si>
    <t xml:space="preserve">1/1 PC 150 mm, transparent; EXACT: GN 1/1, 150 mm, material Polycarbonat stated; Art.-Nr. WAS-9411150; price 'zzgl. 19% MwSt.' (B2B net). Price shown excl. VAT (DE 19%). YES Gastro SKU GNP-11150.</t>
  </si>
  <si>
    <t xml:space="preserve">Auf Lager, Lieferzeit 5 - 7 Werktage</t>
  </si>
  <si>
    <t xml:space="preserve">1/1 PC 150 mm, transparent; EXACT: GN 1/1, 150 mm, Polycarbonat in product name/Material field; Art.-Nr. U226; price shown 'inkl. MwSt., zzgl. 7,95 EUR Versand in D'. Price shown incl. VAT (DE 19%); VAT removed for the net price. YES Gastro SKU GNP-11150.</t>
  </si>
  <si>
    <t xml:space="preserve">https://www.gastroladen.de/3020@GN-U226/Vogue-Polycarbonat-GN-Beh%C3%A4lter-GN1-1-150mm.htm</t>
  </si>
  <si>
    <t xml:space="preserve">out of stock (zurzeit nicht am Lager)</t>
  </si>
  <si>
    <t xml:space="preserve">Gastronormbehälter, Serie STANDARD, Polycarbonat, GN 1/1 (150 mm)</t>
  </si>
  <si>
    <t xml:space="preserve">1/1 PC 150 mm, transparent; EXACT: GN 1/1, 150 mm, Polycarbonat in product name; Bestell-Nr 1026265, Serie Serie STANDARD; single-piece price 'Preis pro Stück, zzgl. MwSt' (Staffelpreise for 3+ pcs exist on page); shop shows UVP 22,25 EUR. Price shown excl. VAT (DE 19%). YES Gastro SKU GNP-11150.</t>
  </si>
  <si>
    <t xml:space="preserve">https://www.intergastro.de/gastronormbehaelter-serie-standard-polycarbonat-gn-1-1-150-mm-1026265</t>
  </si>
  <si>
    <t xml:space="preserve">STALGAST (Serie STANDARD)</t>
  </si>
  <si>
    <t xml:space="preserve">in stock (versandfertig)</t>
  </si>
  <si>
    <t xml:space="preserve">Cambro Polycarbonat GN 1/1 Behälter 150mm</t>
  </si>
  <si>
    <t xml:space="preserve">1/1 PC 150 mm, transparent; EXACT: GN 1/1, 150 mm, Polycarbonat in product name; Art.-Nr. DM738; listing shows price with 'Zzgl. MwSt.' (search results page, 2026-10-02). Price shown excl. VAT (DE 19%); page read with a headless browser (prices rendered by JavaScript). YES Gastro SKU GNP-11150.</t>
  </si>
  <si>
    <t xml:space="preserve">https://www.nisbets.de/cambro-polycarbonat-gn-11-behlter-150mm/dm738</t>
  </si>
  <si>
    <t xml:space="preserve">Cambro (Camwear)</t>
  </si>
  <si>
    <t xml:space="preserve">Gastronádoba polykarbonátová - GN 1/1, 150mm Hendi</t>
  </si>
  <si>
    <t xml:space="preserve">1/1 PC 150 mm, clear; EXACT: polycarbonate stated in product name ("polykarbonátová"), GN 1/1 x 150 mm, clear (Hendi); listing shows 376 Kč bez DPH / 455 Kč s DPH. Regular price 555 Kč s DPH (listing shows discount). Price shown excl. VAT (CZ 21%). YES Gastro SKU GNP-11150.</t>
  </si>
  <si>
    <t xml:space="preserve">https://www.gastrofans.cz/gastronadoba-1-1-pc-transparent-21-l-530x325x-h-150-mm/</t>
  </si>
  <si>
    <t xml:space="preserve">Gastro nádoba GN 1/1 150 mm, polykarbonát | YATO, YG-00392</t>
  </si>
  <si>
    <t xml:space="preserve">1/1 PC 150 mm, clear; EXACT: "polykarbonát" in product name, GN 1/1 150 mm, Yato YG-00392; listing shows bez DPH 307 Kč / s DPH 372 Kč (cheapest PC brand in shop). Price shown excl. VAT (CZ 21%); page read with a headless browser (prices rendered by JavaScript). YES Gastro SKU GNP-11150.</t>
  </si>
  <si>
    <t xml:space="preserve">https://www.gastromania.cz/gastronadoby-polykarbonatove/gastro-nadoba-gn-1-1-150-mm-polykarbonat-yato-yg-00392</t>
  </si>
  <si>
    <t xml:space="preserve">availability label not shown in listing</t>
  </si>
  <si>
    <t xml:space="preserve">ARAVEN Gastronádoba GN 1/1, polykarbonát, hloubka: 150 mm, objem: 20 L</t>
  </si>
  <si>
    <t xml:space="preserve">1/1 PC 150 mm, clear; EXACT: Araven polycarbonate GN 1/1 x 150 mm, code 229901620; page shows 777 Kč s DPH / 642 Kč bez DPH. Alternative Araven series "integrovaný štítek" 19,6 L (code 229901747) 817 Kč bez DPH promo (orig. 1 324 s DPH), in stock. Price shown excl. VAT (CZ 21%). YES Gastro SKU GNP-11150.</t>
  </si>
  <si>
    <t xml:space="preserve">https://www.gastrozone.cz/araven-gn-nadoba-1-1-polykarbonat-hloubka-150-mm-objem-20-l.html</t>
  </si>
  <si>
    <t xml:space="preserve">Neskladové zboží – na objednávku, obvyklá doba dodání 3-5 týdnů, platba předem</t>
  </si>
  <si>
    <t xml:space="preserve">Gastronorm GN 1/1 (h=150 mm) polykarbonátová</t>
  </si>
  <si>
    <t xml:space="preserve">1/1 PC 150 mm, clear; EXACT: "Profesionální polykarbonátová nádoba" GN 1/1, h=150 mm, clear; listing/product price 351 CZK s DPH (product page also shows bez DPH, e.g. 1/1 100 mm 286 s DPH = 236 bez DPH). Price shown incl. VAT (CZ 21%); VAT removed for the net price. YES Gastro SKU GNP-11150.</t>
  </si>
  <si>
    <t xml:space="preserve">https://www.gastrosance.cz/gn-1/1--h-150-mm--polykarbonatova</t>
  </si>
  <si>
    <t xml:space="preserve">not stated (shop series "Gastronorm")</t>
  </si>
  <si>
    <t xml:space="preserve">Gastronádoba polykarbonátová GN 1/1 150 mm</t>
  </si>
  <si>
    <t xml:space="preserve">1/1 PC 150 mm, clear; EXACT: "Gastronádoba polykarbonátová GN 1/1 150 mm", code M2-11150, brand TOMGAST; page shows 519 Kč / 429 Kč bez DPH; parameters Materiál: polykarbonát, transparent. Price shown excl. VAT (CZ 21%). YES Gastro SKU GNP-11150.</t>
  </si>
  <si>
    <t xml:space="preserve">https://www.tomgast.cz/gastronadoba-polykarbonatova-gn-1-1-150-mm/</t>
  </si>
  <si>
    <t xml:space="preserve">Skladem (14 ks)</t>
  </si>
  <si>
    <t xml:space="preserve">GastroREX.sk (GastroREX, s.r.o., SK)</t>
  </si>
  <si>
    <t xml:space="preserve">Nádoba GN 1/1, HENDI, Profi Line, GN 1/1, 21L, Priehľadná, 530x325x(H)150mm Kód: 861219</t>
  </si>
  <si>
    <t xml:space="preserve">1/1 PC 150 mm, clear; material not in product name; HENDI Profi Line 861 series: listing description says "z polykarbonátu"; price shown 18.00 € (net) / 22,14 € s DPH; code 861219 Price shown excl. VAT (SK 23%). YES Gastro SKU GNP-11150.</t>
  </si>
  <si>
    <t xml:space="preserve">https://gastrorex.sk/sk/gastronadoby-gn-plechy/gastronadoby-polykarbonatove-profiline/</t>
  </si>
  <si>
    <t xml:space="preserve">Skladom &gt; 10 ks</t>
  </si>
  <si>
    <t xml:space="preserve">Gastroalka.sk (GASTROALKA Slovakia, SK)</t>
  </si>
  <si>
    <t xml:space="preserve">Gastronádoba polykarbonátová GNP1/1 - 150</t>
  </si>
  <si>
    <t xml:space="preserve">1/1 PC 150 mm, clear (not stated); 'bez DPH' price shown; gross €18.52; code ; other offers on this shop for the same variant: Vogue 23.39 (Ospravedlňujeme sa, ); Vogue 26.65 (Ospravedlňujeme sa, ) Price shown excl. VAT (SK 23%). YES Gastro SKU GNP-11150.</t>
  </si>
  <si>
    <t xml:space="preserve">https://www.gastroalka.sk/gastronadoby-polykarbonatove-biele-cire/</t>
  </si>
  <si>
    <t xml:space="preserve">GASTROALKA (GNP, brand not stated)</t>
  </si>
  <si>
    <t xml:space="preserve">Skladom (dodanie do 5 pracovných dní)</t>
  </si>
  <si>
    <t xml:space="preserve">1/1 PC 150 mm, clear (not stated); SKU YATO-YG-00392; other offers on this shop for the same variant: STALGAST 18.89 (in stock); CAMBRO 25.04 (in stock); STALGAST 25.44 (in stock); CONTACTO 36.16 (in stock) Price shown incl. VAT (SK 23%); VAT removed for the net price. YES Gastro SKU GNP-11150.</t>
  </si>
  <si>
    <t xml:space="preserve">https://gastromania.sk/gastronadoby-polykarbonatove/gastro-nadoba-gn-1-1-150-mm-polykarbonat-yato-yg-00392</t>
  </si>
  <si>
    <t xml:space="preserve">YATO</t>
  </si>
  <si>
    <t xml:space="preserve">InStock</t>
  </si>
  <si>
    <t xml:space="preserve">ARAVEN Gastronádoba GN 1/1, polykarbonát, integrovaný štítok, Hĺbka: 150 mm, Objem: 19,6 L</t>
  </si>
  <si>
    <t xml:space="preserve">1/1 PC 150 mm, clear (not stated); listing shows gross 39,51 €; 'bez DPH' net 32.12 EUR on product page; SKU 229901747; regular (Pôvodne) 53,28 € gross; other offers on this shop for the same variant: Vollrath Pujadas 41.05 (in stock); Araven 31.33 (Na objednávku (3-5 t); APS 34.94 (Na objednávku (3-5 t) Price shown incl. VAT (SK 23%); VAT removed for the net price. YES Gastro SKU GNP-11150.</t>
  </si>
  <si>
    <t xml:space="preserve">https://www.gastrozone.sk/araven-gn-nadoba-1-1-polykarbonat-hloubka-150-mm-objem-19-6-l.html</t>
  </si>
  <si>
    <t xml:space="preserve">Skladom - centrálny sklad 21-30 ks 7. 10. - 8. 10. u vás</t>
  </si>
  <si>
    <t xml:space="preserve">Profikuchyna.sk (SK)</t>
  </si>
  <si>
    <t xml:space="preserve">1/1 PC 150 mm, clear (not stated); 'bez DPH' price shown; gross 19.87 EUR; other offers on this shop for the same variant: not stated (shop own line) 19.50 (in stock); HENDI 11.70 (in stock); HENDI 14.63 (in stock) Price shown excl. VAT (SK 23%). YES Gastro SKU GNP-11150.</t>
  </si>
  <si>
    <t xml:space="preserve">https://www.profikuchyna.sk/POLYKARBONATOVE-NADOBY-c6_43_2.htm</t>
  </si>
  <si>
    <t xml:space="preserve">not stated (shop own line)</t>
  </si>
  <si>
    <t xml:space="preserve">skladom, dodanie k vám do 1-2 pracovných dní </t>
  </si>
  <si>
    <t xml:space="preserve">Cuva GN 1/1 policarbonat – 200 mm</t>
  </si>
  <si>
    <t xml:space="preserve">1/1 PC 200 mm, clear; EXACT: size, depth and material (policarbonat transparent) in name and page spec. Shown "105.82 lei fără TVA (128.04 lei cu TVA)". Sale price; regular (initial) net price 140.51 lei. Price shown excl. VAT (RO 21%). YES Gastro SKU GNP-11200.</t>
  </si>
  <si>
    <t xml:space="preserve">https://direca.ro/shop/cuva-gn-1-1-policarbonat-200-mm/</t>
  </si>
  <si>
    <t xml:space="preserve">unbranded (code MX)</t>
  </si>
  <si>
    <t xml:space="preserve">Cuva policarbonat transparent GN 1/1 530x325x200 mm</t>
  </si>
  <si>
    <t xml:space="preserve">1/1 PC 200 mm, clear; EXACT: size, depth and material (policarbonat transparent) stated; price shown "( inclusiv T.V.A. )"; B2B tier discounts from 3,500 lei. Price shown incl. VAT (RO 21%); VAT removed for the net price. YES Gastro SKU GNP-11200.</t>
  </si>
  <si>
    <t xml:space="preserve">https://www.fimax.ro/produs/cuva-policarbonat-transparent-gn-1-1-530x325x200-mm/</t>
  </si>
  <si>
    <t xml:space="preserve">ARAVEN Recipient gastronomic GN 1/1, policarbonat, Adancime: 200 mm, Continut: 26,2 L</t>
  </si>
  <si>
    <t xml:space="preserve">1/1 PC 200 mm, clear; EXACT: Araven polycarbonate GN container, size/depth/material stated in name. SKU 229901621. Listing price is gross; product page shows gross and "fără TVA" net below it. Price shown incl. VAT (RO 21%); VAT removed for the net price. YES Gastro SKU GNP-11200.</t>
  </si>
  <si>
    <t xml:space="preserve">https://www.gastrozone.ro/araven-gn-containere-1-1-policarbonat-adancime-200-mm-continut-26-2-l.html</t>
  </si>
  <si>
    <t xml:space="preserve">TAVA GASTRONORM | GN 1/1-200 MM POLICARBONAT NEGRU</t>
  </si>
  <si>
    <t xml:space="preserve">1/1 PC 200 mm, black; EXACT: polycarbonate GN tray (series 46xxx), size/depth/material in name. Shop code 46111200; price shown in EUR "fara TVA" (invoiced in RON at BNR rate). Price shown excl. VAT (RO 21%). YES Gastro SKU GNP-11200/B.</t>
  </si>
  <si>
    <t xml:space="preserve">https://www.lancom.ro/tava-gastronorm-gn-1-1-200-mm-policarbonat-negru-9138</t>
  </si>
  <si>
    <t xml:space="preserve">Recipient GN 1/1 ad. 20 cm din policarbonat | YATO YG-00393</t>
  </si>
  <si>
    <t xml:space="preserve">1/1 PC 200 mm, clear; EXACT: size, depth and material (policarbonat) in product name. Listing shows "Pret net 67.73 RON" and "Pret brut 81.95 RON/buc". Price shown excl. VAT (RO 21%). YES Gastro SKU GNP-11200.</t>
  </si>
  <si>
    <t xml:space="preserve">https://mmgastro.ro/ro/products/recipient-gn-1-1-ad-20-cm-din-policarbonat-yato-yg-00393-143231</t>
  </si>
  <si>
    <t xml:space="preserve">PC GN 1/1 Höhe 200 mm schwarz</t>
  </si>
  <si>
    <t xml:space="preserve">1/1 PC 200 mm, black; EXACT: polycarbonate GN 1/1 x 200 mm ("Robuster Gastronormbehälter aus bruchsicherem Polycarbonat"); Art. 10024406;0; sale price (statt 18.69); listing "Steuerhinweis: exkl. MwSt.", footer "Preisangaben exkl. gesetzl. MwSt." (Gewerbekunden price list). Price shown excl. VAT (AT 20%). YES Gastro SKU GNP-11200/B.</t>
  </si>
  <si>
    <t xml:space="preserve">https://www.allpax.at/product_info.php/info/PC-GN-1-1-Hoehe-200-mm-schwarz.html</t>
  </si>
  <si>
    <t xml:space="preserve">RIEBER GN 1/1 Polycarbonat-Behälter - Tiefe 200mm</t>
  </si>
  <si>
    <t xml:space="preserve">1/1 PC 200 mm, transparent (glasklar); EXACT: Rieber Polycarbonat-Behälter GN 1/1, Tiefe 200 mm; listing shows net price with "(… inkl. MwSt.) Zzgl. 20% MwSt."; listing flags "Sale" but strike price equals current price. Price shown excl. VAT (AT 20%). YES Gastro SKU GNP-11200.</t>
  </si>
  <si>
    <t xml:space="preserve">https://www.gastro-star.at/produkt/riebergn11polycarbonat-behaelter-tiefe200mm-48807/</t>
  </si>
  <si>
    <t xml:space="preserve">Vogue GN-Behälter 1/1 Polycarbonat - Tiefe 200 mm</t>
  </si>
  <si>
    <t xml:space="preserve">1/1 PC 200 mm, transparent; EXACT: polycarbonate stated in name, GN 1/1 x 200 mm; SKU U227; page shows Angebotspreis 23.09 vs Normaler Preis 25.69; price shown is net (page shows e.g. "X € inkl. MwSt." computed at 19% underneath). Price shown excl. VAT (AT 20%). YES Gastro SKU GNP-11200.</t>
  </si>
  <si>
    <t xml:space="preserve">https://www.gastro-hero.at/products/vogue-gn-behaelter-11-polycarbonat-tiefe-200-mm-u227</t>
  </si>
  <si>
    <t xml:space="preserve">WAS GN 94 Behälter 1/1-200 mm mit Skalierung Polycarbonat</t>
  </si>
  <si>
    <t xml:space="preserve">1/1 PC 200 mm, transparent; EXACT: WAS GN 94 polycarbonate container GN 1/1 x 200 mm; listing price "zzgl. 19% MwSt." (German shop shipping to DE &amp; AT, VAT footnote says 19%). Price shown excl. VAT (AT 20%). YES Gastro SKU GNP-11200.</t>
  </si>
  <si>
    <t xml:space="preserve">https://www.gastrodax.de/was-gn-94-behaelter-1-1-200-mm-mit-skalierung-polycarbonat</t>
  </si>
  <si>
    <t xml:space="preserve">Vogue Polycarbonat GN-Behälter GN1/1 200mm</t>
  </si>
  <si>
    <t xml:space="preserve">1/1 PC 200 mm, transparent; EXACT: polycarbonate stated on page (Polycarbonat in product name), GN 1/1 x 200 mm; Art.-Nr. U227; price "inkl. MwSt., zzgl. Versand". Price shown incl. VAT (AT 20%); VAT removed for the net price. YES Gastro SKU GNP-11200.</t>
  </si>
  <si>
    <t xml:space="preserve">https://www.gastroladen.at/3020@GN-U227/</t>
  </si>
  <si>
    <t xml:space="preserve">Gastronorm Behälter GN 1/1 | GN 96 BLACK | Polycarbonat schwarz H 200 mm</t>
  </si>
  <si>
    <t xml:space="preserve">1/1 PC 200 mm, black; EXACT: WAS GN 96 BLACK, Materialtyp Polycarbonat, Farbe schwarz, GN 1/1, Höhe 200 mm; Bestell-Nr 1016771; single-piece price "Preis pro Stück, zzgl. MwSt" (page also shows inkl. 20% MwSt); UVP 46,50; Staffelpreise: ab 3 35,10, ab 6 34,00 per piece; Price shown excl. VAT (AT 20%); page read with a headless browser (prices rendered by JavaScript). YES Gastro SKU GNP-11200/B.</t>
  </si>
  <si>
    <t xml:space="preserve">https://www.intergastro.at/gastronorm-behaelter-gn-1-1-gn-96-black-polycarbonat-schwarz-h-200-mm-1016771</t>
  </si>
  <si>
    <t xml:space="preserve">GN-Behälter - GN 1/1 (530 x 325 mm) - 200 mm - Inhalt 26,4 l - Polycarbonat</t>
  </si>
  <si>
    <t xml:space="preserve">1/1 PC 200 mm, transparent; EXACT: polycarbonate stated in name (Material: Kunststoff, Polycarbonat), GN 1/1, 200 mm stated in name; Art. 530103-C; sale price, Regulärer Preis 42.00; footer "Preise zzgl. MwSt. zzgl. Versandkosten". Price shown excl. VAT (AT 20%). YES Gastro SKU GNP-11200.</t>
  </si>
  <si>
    <t xml:space="preserve">https://shopbuero.com/gn-behaelter-gn-1-1-530-x-325-mm-200-mm-inhalt-26-4-l-polycarbonat/530103-C</t>
  </si>
  <si>
    <t xml:space="preserve">Schneider (Serie 530)</t>
  </si>
  <si>
    <t xml:space="preserve">wird versendet aus Lager Nord-Ost</t>
  </si>
  <si>
    <t xml:space="preserve">GN Behälter mit Skalierung, GN 1/1 - 200 mm, transparent, Polycarbonat, GN 94 Serie</t>
  </si>
  <si>
    <t xml:space="preserve">1/1 PC 200 mm, transparent; EXACT: GN 1/1, 200 mm, material Polycarbonat stated; Art.Nr. 9411200; price inkl. 19% USt, shop also shows Netto 22,43 EUR; -28% promo vs UVP 36,89 EUR. Price shown incl. VAT (DE 19%); VAT removed for the net price. YES Gastro SKU GNP-11200.</t>
  </si>
  <si>
    <t xml:space="preserve">https://gastro-spirit.de/behaelter-mit-skalierung-gn-1-1-serie-gn-94-9411200</t>
  </si>
  <si>
    <t xml:space="preserve">1/1 PC 200 mm, transparent; EXACT: GN 1/1, 200 mm, Material Polycarbonat stated; Art.-Nr. U227; page shows gross 26,17 EUR 'inkl. MwSt.' and net 21,99 EUR; footer: 'Alle Preise sind Stückpreise und verstehen sich netto zzgl. MwSt.' (B2B shop); net price recorded. Price shown excl. VAT (DE 19%). YES Gastro SKU GNP-11200.</t>
  </si>
  <si>
    <t xml:space="preserve">https://www.gastro-hero.de/products/vogue-gn-behaelter-11-polycarbonat-tiefe-200-mm-u227</t>
  </si>
  <si>
    <t xml:space="preserve">1/1 PC 200 mm, transparent; EXACT: GN 1/1, 200 mm, material Polycarbonat stated; Art.-Nr. WAS-9411200; price 'zzgl. 19% MwSt.' (B2B net). Price shown excl. VAT (DE 19%). YES Gastro SKU GNP-11200.</t>
  </si>
  <si>
    <t xml:space="preserve">1/1 PC 200 mm, transparent; EXACT: GN 1/1, 200 mm, Polycarbonat in product name/Material field; Art.-Nr. U227; price shown 'inkl. MwSt., zzgl. 7,95 EUR Versand in D'. Price shown incl. VAT (DE 19%); VAT removed for the net price. YES Gastro SKU GNP-11200.</t>
  </si>
  <si>
    <t xml:space="preserve">https://www.gastroladen.de/3020@GN-U227/Vogue-Polycarbonat-GN-Beh%C3%A4lter-GN1-1-200mm.htm</t>
  </si>
  <si>
    <t xml:space="preserve">Gastronormbehälter, Polycarbonat, GN 1/1 (200 mm)</t>
  </si>
  <si>
    <t xml:space="preserve">1/1 PC 200 mm, transparent; EXACT: GN 1/1, 200 mm, Polycarbonat in product name; Bestell-Nr 1026266; single-piece price 'Preis pro Stück, zzgl. MwSt' (Staffelpreise for 3+ pcs exist on page); shop shows UVP 33 EUR. Price shown excl. VAT (DE 19%). YES Gastro SKU GNP-11200.</t>
  </si>
  <si>
    <t xml:space="preserve">https://www.intergastro.de/gastronormbehaelter-polycarbonat-gn-1-1-200-mm-1026266</t>
  </si>
  <si>
    <t xml:space="preserve">STALGAST</t>
  </si>
  <si>
    <t xml:space="preserve">Gastronormbehälter GN 1/1  x 200 mm GN 94 Polycarbonat</t>
  </si>
  <si>
    <t xml:space="preserve">1/1 PC 200 mm, transparent; EXACT: GN 1/1, 200 mm, Polycarbonat in product name; Bestell-Nr 252032, Serie GN 94; single-piece price 'Preis pro Stück, zzgl. MwSt' (Staffelpreise for 3+ pcs exist on page); shop shows UVP 31 EUR. Price shown excl. VAT (DE 19%). YES Gastro SKU GNP-11200.</t>
  </si>
  <si>
    <t xml:space="preserve">https://www.intergastro.de/gastronormbehaelter-gn-1-1-x-200-mm-gn-94-polycarbonat-252032</t>
  </si>
  <si>
    <t xml:space="preserve">1/1 PC 200 mm, transparent; EXACT: GN 1/1, 200 mm, Polycarbonat in product name; Art.-Nr. U227; listing shows price with 'Zzgl. MwSt.' (search results page, 2026-10-02); reduced price, regular 'BISHER' 27,49 EUR. Price shown excl. VAT (DE 19%); page read with a headless browser (prices rendered by JavaScript). YES Gastro SKU GNP-11200.</t>
  </si>
  <si>
    <t xml:space="preserve">https://www.nisbets.de/vogue-polycarbonat-gn-behlter-200mm/u227</t>
  </si>
  <si>
    <t xml:space="preserve">Gastronádoba polykarbonátová - GN 1/1, 200mm Maxima</t>
  </si>
  <si>
    <t xml:space="preserve">1/1 PC 200 mm, clear; EXACT: polycarbonate stated in product name ("polykarbonátová"), GN 1/1 x 200 mm, clear (Maxima); listing shows 452 Kč bez DPH / 547 Kč s DPH. Regular price 710 Kč s DPH (listing shows discount). Price shown excl. VAT (CZ 21%). YES Gastro SKU GNP-11200.</t>
  </si>
  <si>
    <t xml:space="preserve">https://www.gastrofans.cz/gastronadoba-1-1-gn-hloubka-20-cm-53-x-32-5-cm-polykarbonat/</t>
  </si>
  <si>
    <t xml:space="preserve">Gastro nádoba GN 1/1 200 mm, polykarbonát | YATO, YG-00393</t>
  </si>
  <si>
    <t xml:space="preserve">1/1 PC 200 mm, clear; EXACT: "polykarbonát" in product name, GN 1/1 200 mm, Yato YG-00393; listing shows bez DPH 422 Kč / s DPH 511 Kč (cheapest PC brand in shop). Price shown excl. VAT (CZ 21%); page read with a headless browser (prices rendered by JavaScript). YES Gastro SKU GNP-11200.</t>
  </si>
  <si>
    <t xml:space="preserve">https://www.gastromania.cz/gastronadoby-polykarbonatove/gastro-nadoba-gn-1-1-200-mm-polykarbonat-yato-yg-00393</t>
  </si>
  <si>
    <t xml:space="preserve">ARAVEN Gastronádoba GN 1/1, polykarbonát, hloubka: 200 mm, objem: 26,2 L</t>
  </si>
  <si>
    <t xml:space="preserve">1/1 PC 200 mm, clear; EXACT: Araven polycarbonate GN 1/1 x 200 mm, code 229901621; page shows 990 Kč s DPH / 818 Kč bez DPH. Alternative Araven series "integrovaný štítek" 26,1 L (229901748) 907 Kč bez DPH promo, in stock. Price shown excl. VAT (CZ 21%). YES Gastro SKU GNP-11200.</t>
  </si>
  <si>
    <t xml:space="preserve">https://www.gastrozone.cz/araven-gn-nadoba-1-1-polykarbonat-hloubka-200-mm-objem-26-2-l.html</t>
  </si>
  <si>
    <t xml:space="preserve">Gastronorm GN 1/1 (h=200 mm) polykarbonátová</t>
  </si>
  <si>
    <t xml:space="preserve">1/1 PC 200 mm, clear; EXACT: "Profesionální polykarbonátová nádoba" GN 1/1, h=200 mm, clear; listing/product price 411 CZK s DPH (product page also shows bez DPH, e.g. 1/1 100 mm 286 s DPH = 236 bez DPH). Discounted from regular 453 CZK s DPH. Price shown incl. VAT (CZ 21%); VAT removed for the net price. YES Gastro SKU GNP-11200.</t>
  </si>
  <si>
    <t xml:space="preserve">https://www.gastrosance.cz/gn-1/1--h-200-mm--polykarbonatova</t>
  </si>
  <si>
    <t xml:space="preserve">Gastronádoba polykarbonátová GN 1/1 200 mm</t>
  </si>
  <si>
    <t xml:space="preserve">1/1 PC 200 mm, clear; EXACT: "Gastronádoba polykarbonátová GN 1/1 200 mm", code R-M211200, brand Cambro; page shows 737 Kč / 609 Kč bez DPH; parameters Materiál: polykarbonát, transparent. Price shown excl. VAT (CZ 21%). YES Gastro SKU GNP-11200.</t>
  </si>
  <si>
    <t xml:space="preserve">https://www.tomgast.cz/gastronadoba-polykarbonatova-gn-1-1-200-mm-2/</t>
  </si>
  <si>
    <t xml:space="preserve">Skladem (152 ks)</t>
  </si>
  <si>
    <t xml:space="preserve">Nádoba GN 1/1, HENDI, Profi Line, GN 1/1, 24L, Priehľadná, 530x325x(H)200mm Kód: 861202</t>
  </si>
  <si>
    <t xml:space="preserve">1/1 PC 200 mm, clear; material not in product name; HENDI Profi Line 861 series: listing description says "z polykarbonátu"; price shown 23.00 € (net) / 28,29 € s DPH; code 861202 Price shown excl. VAT (SK 23%). YES Gastro SKU GNP-11200.</t>
  </si>
  <si>
    <t xml:space="preserve">Gastronádoba polykarbonátová GNP1/1 - 200</t>
  </si>
  <si>
    <t xml:space="preserve">1/1 PC 200 mm, clear (not stated); 'bez DPH' price shown; gross €22.09; code ; other offers on this shop for the same variant: Vogue 27.49 (Ospravedlňujeme sa, ); Vogue 32.51 (Ospravedlňujeme sa, ) Price shown excl. VAT (SK 23%). YES Gastro SKU GNP-11200.</t>
  </si>
  <si>
    <t xml:space="preserve">1/1 PC 200 mm, clear (not stated); SKU YATO-YG-00393; other offers on this shop for the same variant: CAMBRO 29.96 (in stock); STALGAST 30.05 (in stock); CONTACTO 48.71 (in stock) Price shown incl. VAT (SK 23%); VAT removed for the net price. YES Gastro SKU GNP-11200.</t>
  </si>
  <si>
    <t xml:space="preserve">https://gastromania.sk/gastronadoby-polykarbonatove/gastro-nadoba-gn-1-1-200-mm-polykarbonat-yato-yg-00393</t>
  </si>
  <si>
    <t xml:space="preserve">ARAVEN Gastronádoba GN 1/1, polykarbonát, integrovaný štítok, hĺbka: 200 mm, objem: 26,1 L</t>
  </si>
  <si>
    <t xml:space="preserve">1/1 PC 200 mm, clear (not stated); listing shows gross 43,83 €; 'bez DPH' net 35.63 EUR on product page; SKU 229901748; regular (Pôvodne) 58,98 € gross; other offers on this shop for the same variant: Vollrath Pujadas 49.13 (in stock); B.PRO 63.06 (in stock); Araven 39.93 (Na objednávku (3-5 t); APS 45.54 (Na objednávku (3-5 t) Price shown incl. VAT (SK 23%); VAT removed for the net price. YES Gastro SKU GNP-11200.</t>
  </si>
  <si>
    <t xml:space="preserve">https://www.gastrozone.sk/araven-gn-nadoba-1-1-polykarbonat-hloubka-200-mm-objem-26-1-l.html</t>
  </si>
  <si>
    <t xml:space="preserve">Skladom - centrálny sklad 5-10 ks 7. 10. - 8. 10. u vás</t>
  </si>
  <si>
    <t xml:space="preserve">1/1 PC 200 mm, clear (not stated); 'bez DPH' price shown; gross 17.15 EUR; other offers on this shop for the same variant: not stated (shop own line) 23.32 (in stock); HENDI 14.95 (in stock) Price shown excl. VAT (SK 23%). YES Gastro SKU GNP-11200.</t>
  </si>
  <si>
    <t xml:space="preserve">availability not shown in listing</t>
  </si>
  <si>
    <t xml:space="preserve">Tava GN 1/2 policarbonat transparent – 65 mm</t>
  </si>
  <si>
    <t xml:space="preserve">1/2 PC 65 mm, clear; EXACT: variable product "Tava GN 1/2 policarbonat transparent", depth variation 65 mm selected, material stated on page; variation SKU HD861431; price per variation shown net ("fără TVA"). Price shown "fără TVA". Price shown excl. VAT (RO 21%). YES Gastro SKU GNP-1265.</t>
  </si>
  <si>
    <t xml:space="preserve">https://direca.ro/shop/tava-gn-12-policarbonat-transparent/</t>
  </si>
  <si>
    <t xml:space="preserve">Cuva policarbonat transparent GN 1/2 325x265x65 mm</t>
  </si>
  <si>
    <t xml:space="preserve">1/2 PC 65 mm, clear; EXACT: size, depth and material (policarbonat transparent) stated; price shown "( inclusiv T.V.A. )"; B2B tier discounts from 3,500 lei. Price shown incl. VAT (RO 21%); VAT removed for the net price. YES Gastro SKU GNP-1265.</t>
  </si>
  <si>
    <t xml:space="preserve">https://www.fimax.ro/produs/cuva-policarbonat-transparent-gn-1-2-325x265x65-mm/</t>
  </si>
  <si>
    <t xml:space="preserve">ARAVEN Recipient gastronomic GN 1/2, polycarbonat, Adancime: 65 mm, Continut: 4 L</t>
  </si>
  <si>
    <t xml:space="preserve">1/2 PC 65 mm, clear; EXACT: Araven polycarbonate GN container, size/depth/material stated in name. SKU 229901612. Listing price is gross; product page shows gross and "fără TVA" net below it. Price shown incl. VAT (RO 21%); VAT removed for the net price. YES Gastro SKU GNP-1265.</t>
  </si>
  <si>
    <t xml:space="preserve">https://www.gastrozone.ro/araven-gn-container-1-2-policarbonat-adancime-65-mm-continut-4-l.html</t>
  </si>
  <si>
    <t xml:space="preserve">Tava gastronorm | GN 1/2-65 mm policarbonat</t>
  </si>
  <si>
    <t xml:space="preserve">1/2 PC 65 mm, clear; EXACT: GastroPlast polycarbonate GN tray, size and depth in name and code. Shop code GNP1265; price shown in EUR "fara TVA" (invoiced in RON at BNR rate). Price shown excl. VAT (RO 21%). YES Gastro SKU GNP-1265.</t>
  </si>
  <si>
    <t xml:space="preserve">https://www.lancom.ro/tava-gastronorm-gn-12-65-policarbonat-6942</t>
  </si>
  <si>
    <t xml:space="preserve">Recipient GN 1/2 adâncime 6,5 cm din policarbonat | YATO YG-00400</t>
  </si>
  <si>
    <t xml:space="preserve">1/2 PC 65 mm, clear; EXACT: size, depth and material (policarbonat) in product name. Listing shows "Pret net 17.73 RON" and "Pret brut 21.45 RON/buc". Price shown excl. VAT (RO 21%). YES Gastro SKU GNP-1265.</t>
  </si>
  <si>
    <t xml:space="preserve">https://mmgastro.ro/ro/products/recipient-gn-1-2-adancime-6-5-cm-din-policarbonat-yato-yg-00400-131757</t>
  </si>
  <si>
    <t xml:space="preserve">PC GN 1/2 Höhe 65 mm schwarz</t>
  </si>
  <si>
    <t xml:space="preserve">1/2 PC 65 mm, black; EXACT: polycarbonate GN 1/2 x 65 mm ("Robuster GN 1/2 Behälter aus Polycarbonat (PC)"); Art. 10024407;0; sale price (statt 3.39); listing "Steuerhinweis: exkl. MwSt.", footer "Preisangaben exkl. gesetzl. MwSt." (Gewerbekunden price list). Price shown excl. VAT (AT 20%). YES Gastro SKU GNP-1265/B.</t>
  </si>
  <si>
    <t xml:space="preserve">https://www.allpax.at/product_info.php/info/PC-GN-1-2-Hoehe-65-mm-schwarz.html</t>
  </si>
  <si>
    <t xml:space="preserve">Lieferbar ab KW 49/2026</t>
  </si>
  <si>
    <t xml:space="preserve">RIEBER GN 1/2 Polycarbonat-Behälter - Tiefe 65mm</t>
  </si>
  <si>
    <t xml:space="preserve">1/2 PC 65 mm, transparent (glasklar); EXACT: Rieber Polycarbonat-Behälter GN 1/2, Tiefe 65 mm; listing shows net price with "(… inkl. MwSt.) Zzgl. 20% MwSt."; listing flags "Sale" but strike price equals current price. Price shown excl. VAT (AT 20%). YES Gastro SKU GNP-1265.</t>
  </si>
  <si>
    <t xml:space="preserve">https://www.gastro-star.at/produkt/riebergn12polycarbonat-behaelter-tiefe65mm-48814/</t>
  </si>
  <si>
    <t xml:space="preserve">Vogue GN-Behälter 1/2 Polycarbonat - Tiefe 65 mm</t>
  </si>
  <si>
    <t xml:space="preserve">1/2 PC 65 mm, transparent; EXACT: polycarbonate stated in name, GN 1/2 x 65 mm; SKU U228; page shows Angebotspreis 5.79 vs Normaler Preis 6.59; price shown is net (page shows e.g. "X € inkl. MwSt." computed at 19% underneath). Price shown excl. VAT (AT 20%). YES Gastro SKU GNP-1265.</t>
  </si>
  <si>
    <t xml:space="preserve">https://www.gastro-hero.at/products/vogue-gn-behaelter-12-polycarbonat-tiefe-65-mm-u228</t>
  </si>
  <si>
    <t xml:space="preserve">WAS GN 94 Behälter 1/2-065 mm mit Skalierung Polycarbonat</t>
  </si>
  <si>
    <t xml:space="preserve">1/2 PC 65 mm, transparent; EXACT: WAS GN 94 polycarbonate container GN 1/2 x 65 mm; listing price "zzgl. 19% MwSt." (German shop shipping to DE &amp; AT, VAT footnote says 19%). Price shown excl. VAT (AT 20%). YES Gastro SKU GNP-1265.</t>
  </si>
  <si>
    <t xml:space="preserve">https://www.gastrodax.de/was-gn-94-behaelter-1-2-065-mm-mit-skalierung-polycarbonat</t>
  </si>
  <si>
    <t xml:space="preserve">Vogue GN-Behälter GN1/2 schwarz 65mm</t>
  </si>
  <si>
    <t xml:space="preserve">1/2 PC 65 mm, black; EXACT: polycarbonate stated on page (Vogue black PC series, material Polycarbonat stated in description), GN 1/2 x 65 mm; Art.-Nr. U458; price "inkl. MwSt., zzgl. Versand". Price shown incl. VAT (AT 20%); VAT removed for the net price. YES Gastro SKU GNP-1265/B.</t>
  </si>
  <si>
    <t xml:space="preserve">https://www.gastroladen.at/3020@GN-U458/</t>
  </si>
  <si>
    <t xml:space="preserve">Gastronorm Behälter GN 1/2 | GN 96 BLACK | Polycarbonat schwarz H 65 mm</t>
  </si>
  <si>
    <t xml:space="preserve">1/2 PC 65 mm, black; EXACT: WAS GN 96 BLACK, Materialtyp Polycarbonat, Farbe schwarz, GN 1/2, Höhe 65 mm; Bestell-Nr 1016772; single-piece price "Preis pro Stück, zzgl. MwSt" (page also shows inkl. 20% MwSt); UVP 8,70; Staffelpreise: ab 3 6,54, ab 6 6,35 per piece; Price shown excl. VAT (AT 20%); page read with a headless browser (prices rendered by JavaScript). YES Gastro SKU GNP-1265/B.</t>
  </si>
  <si>
    <t xml:space="preserve">https://www.intergastro.at/gastronorm-behaelter-gn-1-2-gn-96-black-polycarbonat-schwarz-h-65-mm-1016772</t>
  </si>
  <si>
    <t xml:space="preserve">GN-Behälter - GN 1/2 (325 x 265 mm) - 65 mm - Inhalt 4,0 l - Polycarbonat</t>
  </si>
  <si>
    <t xml:space="preserve">1/2 PC 65 mm, transparent; EXACT: polycarbonate stated in name (Material: Kunststoff, Polycarbonat), GN 1/2, 65 mm stated in name; Art. 530110-C; sale price, Regulärer Preis 11.45; footer "Preise zzgl. MwSt. zzgl. Versandkosten". Price shown excl. VAT (AT 20%). YES Gastro SKU GNP-1265.</t>
  </si>
  <si>
    <t xml:space="preserve">https://shopbuero.com/gn-behaelter-gn-1-2-325-x-265-mm-65-mm-inhalt-4-0-l-polycarbonat/530110-C</t>
  </si>
  <si>
    <t xml:space="preserve">1/2 PC 65 mm, black; EXACT: GN 1/2, 65 mm, Polycarbonat stated; Art.-Nr. 10024407;0; price shown on default 'Gewerbekunden' price list, Steuerhinweis 'zzgl. MwSt.'; promo 'jetzt' price, regular 'statt' 3.39 EUR. Price shown excl. VAT (DE 19%). YES Gastro SKU GNP-1265/B.</t>
  </si>
  <si>
    <t xml:space="preserve">https://www.allpax.de/product_info.php/info/PC-GN-1-2-Hoehe-65-mm-schwarz.html</t>
  </si>
  <si>
    <t xml:space="preserve">ALLPAX (PC GN schwarz)</t>
  </si>
  <si>
    <t xml:space="preserve">(12 Stück) Polycarbonat-Behälter GN 1/2 - Schwarz - Höhe: 65mm</t>
  </si>
  <si>
    <t xml:space="preserve">1/2 PC 65 mm, black; EXACT: GN 1/2, 65 mm, Polycarbonat in product name; Art.-Nr. GPCP1265S; price for pack of 12 ('12 Stück'), shown as Nettopreis (page footnote '* Nettopreis | Bruttopreis inkl. 19% MwSt.'); promo price, crossed-out 71,10 EUR, UVP 124,99 EUR; category listing rendered in browser. Price shown excl. VAT (DE 19%); pack of 12, converted to per piece; page read with a headless browser (prices rendered by JavaScript). YES Gastro SKU GNP-1265/B.</t>
  </si>
  <si>
    <t xml:space="preserve">https://www.ggmgastro.com/de-de-eur/12-stueck-polycarbonat-behaelter-gn-1-2-schwarz-hoehe-65mm-gpcp1265s</t>
  </si>
  <si>
    <t xml:space="preserve">GN Behälter mit Skalierung, GN 1/2 - 65 mm, transparent, Polycarbonat, GN 94 Serie</t>
  </si>
  <si>
    <t xml:space="preserve">1/2 PC 65 mm, transparent; EXACT: GN 1/2, 65 mm, material Polycarbonat stated; Art.Nr. 9412065; price inkl. 19% USt, shop also shows Netto 6,16 EUR; -28% promo vs UVP 10,12 EUR. Price shown incl. VAT (DE 19%); VAT removed for the net price. YES Gastro SKU GNP-1265.</t>
  </si>
  <si>
    <t xml:space="preserve">https://gastro-spirit.de/behaelter-mit-skalierung-gn-1-2-serie-gn-94-9412065</t>
  </si>
  <si>
    <t xml:space="preserve">1/2 PC 65 mm, transparent; EXACT: GN 1/2, 65 mm, Material Polycarbonat stated; Art.-Nr. U228; page shows gross 6,53 EUR 'inkl. MwSt.' and net 5,49 EUR; footer: 'Alle Preise sind Stückpreise und verstehen sich netto zzgl. MwSt.' (B2B shop); net price recorded. Price shown excl. VAT (DE 19%). YES Gastro SKU GNP-1265.</t>
  </si>
  <si>
    <t xml:space="preserve">https://www.gastro-hero.de/products/vogue-gn-behaelter-12-polycarbonat-tiefe-65-mm-u228</t>
  </si>
  <si>
    <t xml:space="preserve">1/2 PC 65 mm, transparent; EXACT: GN 1/2, 65 mm, material Polycarbonat stated; Art.-Nr. WAS-9412065; price 'zzgl. 19% MwSt.' (B2B net). Price shown excl. VAT (DE 19%). YES Gastro SKU GNP-1265.</t>
  </si>
  <si>
    <t xml:space="preserve">1/2 PC 65 mm, black; EXACT: GN 1/2, 65 mm, Polycarbonat in product name; Bestell-Nr 1016772, Serie GN 96 BLACK; single-piece price 'Preis pro Stück, zzgl. MwSt' (Staffelpreise for 3+ pcs exist on page); shop shows UVP 8,7 EUR. Price shown excl. VAT (DE 19%). YES Gastro SKU GNP-1265/B.</t>
  </si>
  <si>
    <t xml:space="preserve">https://www.intergastro.de/gastronorm-behaelter-gn-1-2-gn-96-black-polycarbonat-schwarz-h-65-mm-1016772</t>
  </si>
  <si>
    <t xml:space="preserve">Gastronormbehälter, Serie STANDARD, Polycarbonat, GN 1/2 (65 mm)</t>
  </si>
  <si>
    <t xml:space="preserve">1/2 PC 65 mm, transparent; EXACT: GN 1/2, 65 mm, Polycarbonat in product name; Bestell-Nr 1026267, Serie Serie STANDARD; single-piece price 'Preis pro Stück, zzgl. MwSt' (Staffelpreise for 3+ pcs exist on page); shop shows UVP 8,4 EUR. Price shown excl. VAT (DE 19%). YES Gastro SKU GNP-1265.</t>
  </si>
  <si>
    <t xml:space="preserve">https://www.intergastro.de/gastronormbehaelter-serie-standard-polycarbonat-gn-1-2-65-mm-1026267</t>
  </si>
  <si>
    <t xml:space="preserve">Gastronádoba polykarbonátová - GN 1/2, 65mm Hendi</t>
  </si>
  <si>
    <t xml:space="preserve">1/2 PC 65 mm, clear; EXACT: polycarbonate stated in product name ("polykarbonátová"), GN 1/2 x 65 mm, clear (Hendi); listing shows 141 Kč bez DPH / 170 Kč s DPH. Regular price 208 Kč s DPH (listing shows discount). Price shown excl. VAT (CZ 21%). YES Gastro SKU GNP-1265.</t>
  </si>
  <si>
    <t xml:space="preserve">https://www.gastrofans.cz/gastronadoba-1-2-pc-transparent-4-l-325x265x-h-65-mm/</t>
  </si>
  <si>
    <t xml:space="preserve">Skladem u dodavatele (7) - Hendi (&gt;15 ks)</t>
  </si>
  <si>
    <t xml:space="preserve">Gastro nádoba GN 1/2 65 mm, polykarbonát | YATO, YG-00400</t>
  </si>
  <si>
    <t xml:space="preserve">1/2 PC 65 mm, clear; EXACT: "polykarbonát" in product name, GN 1/2 65 mm, Yato YG-00400; listing shows bez DPH 159 Kč / s DPH 192 Kč (cheapest PC brand in shop). Price shown excl. VAT (CZ 21%); page read with a headless browser (prices rendered by JavaScript). YES Gastro SKU GNP-1265.</t>
  </si>
  <si>
    <t xml:space="preserve">https://www.gastromania.cz/gastronadoby-polykarbonatove/gastro-nadoba-gn-1-2-65-mm-polykarbonat-yato-yg-00400</t>
  </si>
  <si>
    <t xml:space="preserve">ARAVEN Gastronádoba GN 1/2, polykarbonát, hloubka: 65 mm, objem: 4 l</t>
  </si>
  <si>
    <t xml:space="preserve">1/2 PC 65 mm, clear; EXACT: Araven polycarbonate GN 1/2 x 65 mm, code 229901612; page shows 286 Kč s DPH / 236 Kč bez DPH. Alternative "integrovaný štítek" 3,9 L (229901749) 326 Kč bez DPH promo, in stock. Price shown excl. VAT (CZ 21%). YES Gastro SKU GNP-1265.</t>
  </si>
  <si>
    <t xml:space="preserve">https://www.gastrozone.cz/araven-gn-nadoba-1-2-polykarbonat-hloubka-65-mm-objem-4-l.html</t>
  </si>
  <si>
    <t xml:space="preserve">Gastronorm GN 1/2 (h=65 mm) polykarbonátová</t>
  </si>
  <si>
    <t xml:space="preserve">1/2 PC 65 mm, clear; EXACT: "Profesionální polykarbonátová nádoba" GN 1/2, h=65 mm, clear; listing/product price 126 CZK s DPH (product page also shows bez DPH, e.g. 1/1 100 mm 286 s DPH = 236 bez DPH). Discounted from regular 138 CZK s DPH. Price shown incl. VAT (CZ 21%); VAT removed for the net price. YES Gastro SKU GNP-1265.</t>
  </si>
  <si>
    <t xml:space="preserve">https://www.gastrosance.cz/gn-1/2--h-65-mm--polykarbonatova</t>
  </si>
  <si>
    <t xml:space="preserve">Gastronádoba polykarbonátová GN 1/2 65 mm</t>
  </si>
  <si>
    <t xml:space="preserve">1/2 PC 65 mm, clear; EXACT: "Gastronádoba polykarbonátová GN 1/2 65 mm", code R-M212065, brand Cambro; page shows 223 Kč / 184 Kč bez DPH; parameters Materiál: polykarbonát, transparent. Price shown excl. VAT (CZ 21%). YES Gastro SKU GNP-1265.</t>
  </si>
  <si>
    <t xml:space="preserve">https://www.tomgast.cz/gastronadoba-polykarbonatova-gn-1-2-65-mm/</t>
  </si>
  <si>
    <t xml:space="preserve">Skladem (177 ks)</t>
  </si>
  <si>
    <t xml:space="preserve">Nádoba GN 1/2, HENDI, Profi Line, GN 1/2, 4L, Priehľadná, 325x265x(H)65mm Kód: 861431</t>
  </si>
  <si>
    <t xml:space="preserve">1/2 PC 65 mm, clear; material not in product name; HENDI Profi Line 861 series: listing description says "z polykarbonátu"; price shown 6.40 € (net) / 7,87 € s DPH; code 861431; promo – regular (Pôvodne) 6,75 € bez DPH Price shown excl. VAT (SK 23%). YES Gastro SKU GNP-1265.</t>
  </si>
  <si>
    <t xml:space="preserve">Gastronádoba polykarbonátová GNP1/2 - 65</t>
  </si>
  <si>
    <t xml:space="preserve">1/2 PC 65 mm, clear (not stated); 'bez DPH' price shown; gross €6.41; code ; other offers on this shop for the same variant: Vogue 10.83 (in stock); Vogue 7.48 (Ospravedlňujeme sa, ) Price shown excl. VAT (SK 23%). YES Gastro SKU GNP-1265.</t>
  </si>
  <si>
    <t xml:space="preserve">Polykarbonátová nádoba, GN 1/2, 65 mm | STALGAST, Bufet</t>
  </si>
  <si>
    <t xml:space="preserve">1/2 PC 65 mm, clear (not stated); SKU STALGAST-142063; other offers on this shop for the same variant: STALGAST 8.01 (in stock); STALGAST 9.02 (in stock); CAMBRO 9.05 (in stock); CONTACTO 12.95 (in stock) Price shown incl. VAT (SK 23%); VAT removed for the net price. YES Gastro SKU GNP-1265.</t>
  </si>
  <si>
    <t xml:space="preserve">https://gastromania.sk/gastronadoby-polykarbonatove/polykarbonatova-nadoba-gn-1-2-65-mm-stalgast-bufet</t>
  </si>
  <si>
    <t xml:space="preserve">ARAVEN Gastronádoba GN 1/2, polykarbonát, integrovaný štítok, hĺbka: 65 mm, objem: 3,9 L</t>
  </si>
  <si>
    <t xml:space="preserve">1/2 PC 65 mm, clear (not stated); listing shows gross 15,76 €; 'bez DPH' net 12.81 EUR on product page; SKU 229901749; regular (Pôvodne) 21,31 € gross; other offers on this shop for the same variant: Araven 11.51 (Na objednávku (3-5 t) Price shown incl. VAT (SK 23%); VAT removed for the net price. YES Gastro SKU GNP-1265.</t>
  </si>
  <si>
    <t xml:space="preserve">https://www.gastrozone.sk/araven-gn-nadoba-1-2-polykarbonat-hloubka-65-mm-objem-3-9-l.html</t>
  </si>
  <si>
    <t xml:space="preserve">Gastronádoba polykarbonátová GN 1/2 065 mm</t>
  </si>
  <si>
    <t xml:space="preserve">1/2 PC 65 mm, clear (not stated); 'bez DPH' price shown; gross 6.62 EUR; other offers on this shop for the same variant: not stated (shop own line) 7.06 (in stock); HENDI 4.40 (in stock); HENDI 5.17 (in stock); HENDI 5.31 (in stock) Price shown excl. VAT (SK 23%). YES Gastro SKU GNP-1265.</t>
  </si>
  <si>
    <t xml:space="preserve">Tava GN 1/2 policarbonat transparent – 100 mm</t>
  </si>
  <si>
    <t xml:space="preserve">1/2 PC 100 mm, clear; EXACT: variable product "Tava GN 1/2 policarbonat transparent", depth variation 100 mm selected, material stated on page; variation SKU HD861424; price per variation shown net ("fără TVA"). Price shown "fără TVA". Price shown excl. VAT (RO 21%). YES Gastro SKU GNP-12100.</t>
  </si>
  <si>
    <t xml:space="preserve">Cuva policarbonat transparent GN 1/2 325x265x100 mm</t>
  </si>
  <si>
    <t xml:space="preserve">1/2 PC 100 mm, clear; EXACT: size, depth and material (policarbonat transparent) stated; price shown "( inclusiv T.V.A. )"; B2B tier discounts from 3,500 lei. Price shown incl. VAT (RO 21%); VAT removed for the net price. YES Gastro SKU GNP-12100.</t>
  </si>
  <si>
    <t xml:space="preserve">https://www.fimax.ro/produs/cuva-policarbonat-transparent-gn-1-2-325x265x100-mm/</t>
  </si>
  <si>
    <t xml:space="preserve">ARAVEN Recipient gastronomic GN 1/2, policarbonat, Adancime: 100 mm, Capacitate: 6,2 L</t>
  </si>
  <si>
    <t xml:space="preserve">1/2 PC 100 mm, clear; EXACT: Araven polycarbonate GN container, size/depth/material stated in name. SKU 229901613. Listing price is gross; product page shows gross and "fără TVA" net below it. Price shown incl. VAT (RO 21%); VAT removed for the net price. YES Gastro SKU GNP-12100.</t>
  </si>
  <si>
    <t xml:space="preserve">https://www.gastrozone.ro/araven-gn-container-1-2-policarbonat-adancime-100-mm-capacitate-6-2-l.html</t>
  </si>
  <si>
    <t xml:space="preserve">Tava gastronorm | GN 1/2-100 mm policarbonat</t>
  </si>
  <si>
    <t xml:space="preserve">1/2 PC 100 mm, clear; EXACT: GastroPlast polycarbonate GN tray, size and depth in name and code. Shop code GNP12100; price shown in EUR "fara TVA" (invoiced in RON at BNR rate). Discounted price; regular price 4.95 EUR shown struck through. Price shown excl. VAT (RO 21%). YES Gastro SKU GNP-12100.</t>
  </si>
  <si>
    <t xml:space="preserve">https://www.lancom.ro/tava-gastronorm-gn-12-100-policarbonat-6938</t>
  </si>
  <si>
    <t xml:space="preserve">Recipient GN 1/2 adâncime 10 cm din policarbonat | YATO YG-00401</t>
  </si>
  <si>
    <t xml:space="preserve">1/2 PC 100 mm, clear; EXACT: size, depth and material (policarbonat) in product name. Listing shows "Pret net 23.57 RON" and "Pret brut 28.52 RON/buc". Price shown excl. VAT (RO 21%). YES Gastro SKU GNP-12100.</t>
  </si>
  <si>
    <t xml:space="preserve">https://mmgastro.ro/ro/products/recipient-gn-1-2-adancime-10-cm-din-policarbonat-yato-yg-00401-143228</t>
  </si>
  <si>
    <t xml:space="preserve">PC GN 1/2 Höhe 100 mm schwarz</t>
  </si>
  <si>
    <t xml:space="preserve">1/2 PC 100 mm, black; EXACT: polycarbonate GN 1/2 x 100 mm ("Robuster GN 1/2 Behälter aus Polycarbonat (PC)"); Art. 10024408;0; sale price (statt 6.45); listing "Steuerhinweis: exkl. MwSt.", footer "Preisangaben exkl. gesetzl. MwSt." (Gewerbekunden price list). Price shown excl. VAT (AT 20%). YES Gastro SKU GNP-12100/B.</t>
  </si>
  <si>
    <t xml:space="preserve">https://www.allpax.at/product_info.php/info/PC-GN-1-2-Hoehe-100-mm-schwarz.html</t>
  </si>
  <si>
    <t xml:space="preserve">RIEBER GN 1/2 Polycarbonat-Behälter - Tiefe 100mm</t>
  </si>
  <si>
    <t xml:space="preserve">1/2 PC 100 mm, transparent (glasklar); EXACT: Rieber Polycarbonat-Behälter GN 1/2, Tiefe 100 mm; listing shows net price with "(… inkl. MwSt.) Zzgl. 20% MwSt."; listing flags "Sale" but strike price equals current price. Price shown excl. VAT (AT 20%). YES Gastro SKU GNP-12100.</t>
  </si>
  <si>
    <t xml:space="preserve">https://www.gastro-star.at/produkt/riebergn12polycarbonat-behaelter-tiefe100mm-48813/</t>
  </si>
  <si>
    <t xml:space="preserve">Vogue GN-Behälter 1/2 Polycarbonat - Tiefe 100 mm</t>
  </si>
  <si>
    <t xml:space="preserve">1/2 PC 100 mm, transparent; EXACT: polycarbonate stated in name, GN 1/2 x 100 mm; SKU U229; page shows Angebotspreis 7.49 vs Normaler Preis 8.49; price shown is net (page shows e.g. "X € inkl. MwSt." computed at 19% underneath). Price shown excl. VAT (AT 20%). YES Gastro SKU GNP-12100.</t>
  </si>
  <si>
    <t xml:space="preserve">https://www.gastro-hero.at/products/vogue-gn-behaelter-12-polycarbonat-tiefe-100-mm-u229</t>
  </si>
  <si>
    <t xml:space="preserve">available (In den Warenkorb)</t>
  </si>
  <si>
    <t xml:space="preserve">WAS GN 94 Behälter 1/2-100 mm mit Skalierung Polycarbonat</t>
  </si>
  <si>
    <t xml:space="preserve">1/2 PC 100 mm, transparent; EXACT: WAS GN 94 polycarbonate container GN 1/2 x 100 mm; listing price "zzgl. 19% MwSt." (German shop shipping to DE &amp; AT, VAT footnote says 19%). Price shown excl. VAT (AT 20%). YES Gastro SKU GNP-12100.</t>
  </si>
  <si>
    <t xml:space="preserve">https://www.gastrodax.de/was-gn-94-behaelter-1-2-100-mm-mit-skalierung-polycarbonat</t>
  </si>
  <si>
    <t xml:space="preserve">Vogue Polycarbonat GN-Behälter GN1/2 100mm</t>
  </si>
  <si>
    <t xml:space="preserve">1/2 PC 100 mm, transparent; EXACT: polycarbonate stated on page (Polycarbonat in product name), GN 1/2 x 100 mm; Art.-Nr. U229; price "inkl. MwSt., zzgl. Versand". Price shown incl. VAT (AT 20%); VAT removed for the net price. YES Gastro SKU GNP-12100.</t>
  </si>
  <si>
    <t xml:space="preserve">https://www.gastroladen.at/3020@GN-U229/</t>
  </si>
  <si>
    <t xml:space="preserve">Gastronorm Behälter GN 1/2 | GN 96 BLACK | Polycarbonat schwarz H 100 mm</t>
  </si>
  <si>
    <t xml:space="preserve">1/2 PC 100 mm, black; EXACT: WAS GN 96 BLACK, Materialtyp Polycarbonat, Farbe schwarz, GN 1/2, Höhe 100 mm; Bestell-Nr 1016773; single-piece price "Preis pro Stück, zzgl. MwSt" (page also shows inkl. 20% MwSt); UVP 10,50; Staffelpreise: ab 3 7,92, ab 6 7,65 per piece; Price shown excl. VAT (AT 20%); page read with a headless browser (prices rendered by JavaScript). YES Gastro SKU GNP-12100/B.</t>
  </si>
  <si>
    <t xml:space="preserve">https://www.intergastro.at/gastronorm-behaelter-gn-1-2-gn-96-black-polycarbonat-schwarz-h-100-mm-1016773</t>
  </si>
  <si>
    <t xml:space="preserve">GN-Behälter - transparent - Serie 94 - Inhalt 6,1 l - GN 1/2 (325 x 265 mm) - 100 mm - Polycarbonat - premium Qualität</t>
  </si>
  <si>
    <t xml:space="preserve">1/2 PC 100 mm, transparent; EXACT: polycarbonate stated in name (Material: Kunststoff, Polycarbonat), GN 1/2, 100 mm stated in name; Art. 9412100-A; sale price, Regulärer Preis 10.00; footer "Preise zzgl. MwSt. zzgl. Versandkosten". Price shown excl. VAT (AT 20%). YES Gastro SKU GNP-12100.</t>
  </si>
  <si>
    <t xml:space="preserve">https://shopbuero.com/gn-behaelter-transparent-serie-94-inhalt-6-1-l-gn-1-2-325-x-265-mm-100-mm-polycarbonat-premium-qualitaet/9412100-A</t>
  </si>
  <si>
    <t xml:space="preserve">1/2 PC 100 mm, black; EXACT: GN 1/2, 100 mm, Polycarbonat stated; Art.-Nr. 10024408;0; price shown on default 'Gewerbekunden' price list, Steuerhinweis 'zzgl. MwSt.'; promo 'jetzt' price, regular 'statt' 6.45 EUR. Price shown excl. VAT (DE 19%). YES Gastro SKU GNP-12100/B.</t>
  </si>
  <si>
    <t xml:space="preserve">https://www.allpax.de/product_info.php/info/PC-GN-1-2-Hoehe-100-mm-schwarz.html</t>
  </si>
  <si>
    <t xml:space="preserve">GN Behälter mit Skalierung, GN 1/2 - 100 mm, transparent, Polycarbonat, GN 94 Serie</t>
  </si>
  <si>
    <t xml:space="preserve">1/2 PC 100 mm, transparent; EXACT: GN 1/2, 100 mm, material Polycarbonat stated; Art.Nr. 9412100; price inkl. 19% USt, shop also shows Netto 7,24 EUR; -28% promo vs UVP 11,90 EUR. Price shown incl. VAT (DE 19%); VAT removed for the net price. YES Gastro SKU GNP-12100.</t>
  </si>
  <si>
    <t xml:space="preserve">https://gastro-spirit.de/behaelter-mit-skalierung-gn-1-2-serie-gn-94-9412100</t>
  </si>
  <si>
    <t xml:space="preserve">1/2 PC 100 mm, transparent; EXACT: GN 1/2, 100 mm, Material Polycarbonat stated; Art.-Nr. U229; page shows gross 8,44 EUR 'inkl. MwSt.' and net 7,09 EUR; footer: 'Alle Preise sind Stückpreise und verstehen sich netto zzgl. MwSt.' (B2B shop); net price recorded. Price shown excl. VAT (DE 19%). YES Gastro SKU GNP-12100.</t>
  </si>
  <si>
    <t xml:space="preserve">https://www.gastro-hero.de/products/vogue-gn-behaelter-12-polycarbonat-tiefe-100-mm-u229</t>
  </si>
  <si>
    <t xml:space="preserve">available</t>
  </si>
  <si>
    <t xml:space="preserve">Hendi Gastronorm-Behälter 1/2, GN 1/2, 6, 5L, Transparent, 325x265x(H)100mm – Polycarbonat</t>
  </si>
  <si>
    <t xml:space="preserve">1/2 PC 100 mm, transparent; EXACT: GN 1/2, 100 mm, material Polycarbonat stated; Art.-Nr. HEN-861424; price 'zzgl. 19% MwSt.' (B2B net). Price shown excl. VAT (DE 19%). YES Gastro SKU GNP-12100.</t>
  </si>
  <si>
    <t xml:space="preserve">https://www.gastrodax.de/hendi-gastronorm-behaelter-gn-1-2-6-5-l-polykarbonat-transparent-325-x-265-x-h-100-mm</t>
  </si>
  <si>
    <t xml:space="preserve">Auf Lager, Lieferzeit 2-5 Werktage</t>
  </si>
  <si>
    <t xml:space="preserve">1/2 PC 100 mm, transparent; EXACT: GN 1/2, 100 mm, Polycarbonat in product name/Material field; Art.-Nr. U229; price shown 'inkl. MwSt., zzgl. 7,95 EUR Versand in D'. Price shown incl. VAT (DE 19%); VAT removed for the net price. YES Gastro SKU GNP-12100.</t>
  </si>
  <si>
    <t xml:space="preserve">https://www.gastroladen.de/3020@GN-U229/Vogue-Polycarbonat-GN-Beh%C3%A4lter-GN1-2-100mm.htm</t>
  </si>
  <si>
    <t xml:space="preserve">in stock, 3-5 Werktage</t>
  </si>
  <si>
    <t xml:space="preserve">Gastronormbehälter, Serie STANDARD, Polycarbonat, GN 1/2 (100 mm)</t>
  </si>
  <si>
    <t xml:space="preserve">1/2 PC 100 mm, transparent; EXACT: GN 1/2, 100 mm, Polycarbonat in product name; Bestell-Nr 1026408, Serie Serie STANDARD; single-piece price 'Preis pro Stück, zzgl. MwSt' (Staffelpreise for 3+ pcs exist on page); shop shows UVP 9,1 EUR. Price shown excl. VAT (DE 19%). YES Gastro SKU GNP-12100.</t>
  </si>
  <si>
    <t xml:space="preserve">https://www.intergastro.de/gastronormbehaelter-serie-standard-polycarbonat-gn-1-2-100-mm-1026408</t>
  </si>
  <si>
    <t xml:space="preserve">Cambro Polycarbonat GN 1/2 Behälter 100mm</t>
  </si>
  <si>
    <t xml:space="preserve">1/2 PC 100 mm, transparent; EXACT: GN 1/2, 100 mm, Polycarbonat in product name; Art.-Nr. DM744; listing shows price with 'Zzgl. MwSt.' (search results page, 2026-10-02). Price shown excl. VAT (DE 19%); page read with a headless browser (prices rendered by JavaScript). YES Gastro SKU GNP-12100.</t>
  </si>
  <si>
    <t xml:space="preserve">https://www.nisbets.de/cambro-polycarbonat-gn-12-behlter-100mm/dm744</t>
  </si>
  <si>
    <t xml:space="preserve">Gastronádoba polykarbonátová - GN 1/2, 100mm Hendi</t>
  </si>
  <si>
    <t xml:space="preserve">1/2 PC 100 mm, clear; EXACT: polycarbonate stated in product name ("polykarbonátová"), GN 1/2 x 100 mm, clear (Hendi); listing shows 179 Kč bez DPH / 217 Kč s DPH. Price shown excl. VAT (CZ 21%). YES Gastro SKU GNP-12100.</t>
  </si>
  <si>
    <t xml:space="preserve">https://www.gastrofans.cz/gastronadoba-1-2-pc-transparent-6-5-l-325x265x-h-100-mm/</t>
  </si>
  <si>
    <t xml:space="preserve">Gastro nádoba GN 1/2 100 mm, polykarbonát | YATO, YG-00401</t>
  </si>
  <si>
    <t xml:space="preserve">1/2 PC 100 mm, clear; EXACT: "polykarbonát" in product name, GN 1/2 100 mm, Yato YG-00401; listing shows bez DPH 147 Kč / s DPH 178 Kč (cheapest PC brand in shop). Price shown excl. VAT (CZ 21%); page read with a headless browser (prices rendered by JavaScript). YES Gastro SKU GNP-12100.</t>
  </si>
  <si>
    <t xml:space="preserve">https://www.gastromania.cz/gastronadoby-polykarbonatove/gastro-nadoba-gn-1-2-100-mm-polykarbonat-yato-yg-00401</t>
  </si>
  <si>
    <t xml:space="preserve">ARAVEN Gastronádoba GN 1/2, polykarbonát, hloubka: 100 mm, objem: 6,2 L</t>
  </si>
  <si>
    <t xml:space="preserve">1/2 PC 100 mm, clear; EXACT: Araven polycarbonate GN 1/2 x 100 mm, code 229901613; page shows 363 Kč s DPH / 300 Kč bez DPH. Price shown excl. VAT (CZ 21%). YES Gastro SKU GNP-12100.</t>
  </si>
  <si>
    <t xml:space="preserve">https://www.gastrozone.cz/araven-gn-nadoba-1-2-polykarbonat-hloubka-100-mm-objem-6-2-l.html</t>
  </si>
  <si>
    <t xml:space="preserve">Gastronorm GN 1/2 (h=100 mm) polykarbonátová</t>
  </si>
  <si>
    <t xml:space="preserve">1/2 PC 100 mm, clear; EXACT: "Profesionální polykarbonátová nádoba" GN 1/2, h=100 mm, clear; listing/product price 140 CZK s DPH (product page also shows bez DPH, e.g. 1/1 100 mm 286 s DPH = 236 bez DPH). Discounted from regular 154 CZK s DPH. Price shown incl. VAT (CZ 21%); VAT removed for the net price. YES Gastro SKU GNP-12100.</t>
  </si>
  <si>
    <t xml:space="preserve">https://www.gastrosance.cz/gn-1/2--h-100-mm--polykarbonatova</t>
  </si>
  <si>
    <t xml:space="preserve">Gastronádoba polykarbonátová GN 1/2 100 mm</t>
  </si>
  <si>
    <t xml:space="preserve">1/2 PC 100 mm, clear; EXACT: "Gastronádoba polykarbonátová GN 1/2 100 mm", code M2-12100, brand TOMGAST; page shows 200 Kč / 165 Kč bez DPH; parameters Materiál: polykarbonát, transparent. NOTE: parameter table on this page says "Hloubka: 65 mm" but title says 100 mm and volume 6,5 l corresponds to 100 mm (parameter looks like a typo) – verify if used. Price shown excl. VAT (CZ 21%). YES Gastro SKU GNP-12100.</t>
  </si>
  <si>
    <t xml:space="preserve">https://www.tomgast.cz/gastronadoba-polykarbonatova-gn-1-2-100-mm/</t>
  </si>
  <si>
    <t xml:space="preserve">Skladem (12 ks)</t>
  </si>
  <si>
    <t xml:space="preserve">Nádoba GN 1/2, HENDI, Profi Line, GN 1/2, 6,5L, Priehľadná, 325x265x(H)100mm Kód: 861424</t>
  </si>
  <si>
    <t xml:space="preserve">1/2 PC 100 mm, clear; material not in product name; HENDI Profi Line 861 series: listing description says "z polykarbonátu"; price shown 7.10 € (net) / 8,73 € s DPH; code 861424; promo – regular (Pôvodne) 7,70 € bez DPH Price shown excl. VAT (SK 23%). YES Gastro SKU GNP-12100.</t>
  </si>
  <si>
    <t xml:space="preserve">Skladom &gt; 5 ks</t>
  </si>
  <si>
    <t xml:space="preserve">Gastronádoba polykarbonátová GNP1/2 - 100</t>
  </si>
  <si>
    <t xml:space="preserve">1/2 PC 100 mm, clear (not stated); 'bez DPH' price shown; gross €8.30; code ; other offers on this shop for the same variant: Vogue 8.99 (in stock); Vogue 15.29 (in stock) Price shown excl. VAT (SK 23%). YES Gastro SKU GNP-12100.</t>
  </si>
  <si>
    <t xml:space="preserve">1/2 PC 100 mm, clear (not stated); SKU YATO-YG-00401; other offers on this shop for the same variant: STALGAST 10.23 (in stock); STALGAST 10.66 (in stock); CAMBRO 11.27 (in stock) Price shown incl. VAT (SK 23%); VAT removed for the net price. YES Gastro SKU GNP-12100.</t>
  </si>
  <si>
    <t xml:space="preserve">https://gastromania.sk/gastronadoby-polykarbonatove/gastro-nadoba-gn-1-2-100-mm-polykarbonat-yato-yg-00401</t>
  </si>
  <si>
    <t xml:space="preserve">ARAVEN Gastronádoba GN 1/2, polykarbonát, integrovaný štítok, hĺbka: 100 mm, objem: 5,95 L</t>
  </si>
  <si>
    <t xml:space="preserve">1/2 PC 100 mm, clear (not stated); listing shows gross 18,60 €; 'bez DPH' net 15.12 EUR on product page; SKU 229901750; regular (Pôvodne) 24,98 € gross; other offers on this shop for the same variant: Vollrath Pujadas 19.84 (in stock); B.PRO 24.79 (in stock); Araven 14.64 (Na objednávku (3-5 t); APS 14.21 (Na objednávku (3-5 t) Price shown incl. VAT (SK 23%); VAT removed for the net price. YES Gastro SKU GNP-12100.</t>
  </si>
  <si>
    <t xml:space="preserve">https://www.gastrozone.sk/araven-gn-nadrz-1-2-polykarbonat-hloubka-100-mm-objem-5-95-l.html</t>
  </si>
  <si>
    <t xml:space="preserve">1/2 PC 100 mm, clear (not stated); 'bez DPH' price shown; gross 7.66 EUR; other offers on this shop for the same variant: not stated (shop own line) 8.77 (in stock); HENDI 5.01 (in stock); HENDI 5.62 (in stock); HENDI 6.50 (in stock) Price shown excl. VAT (SK 23%). YES Gastro SKU GNP-12100.</t>
  </si>
  <si>
    <t xml:space="preserve">Tava GN 1/2 policarbonat transparent – 200 mm</t>
  </si>
  <si>
    <t xml:space="preserve">1/2 PC 200 mm, clear; EXACT: variable product "Tava GN 1/2 policarbonat transparent", depth variation 200 mm selected, material stated on page; variation SKU HD861400; price per variation shown net ("fără TVA"). Price shown "fără TVA". Price shown excl. VAT (RO 21%). YES Gastro SKU GNP-12200.</t>
  </si>
  <si>
    <t xml:space="preserve">Tava policarbonat negru GN 1/2 325x265x200 mm</t>
  </si>
  <si>
    <t xml:space="preserve">1/2 PC 200 mm, black; EXACT: size, depth and material (policarbonat negru) stated; price shown "( inclusiv T.V.A. )"; B2B tier discounts from 3,500 lei. Price shown incl. VAT (RO 21%); VAT removed for the net price. YES Gastro SKU GNP-12200/B.</t>
  </si>
  <si>
    <t xml:space="preserve">https://www.fimax.ro/produs/tava-policarbonat-negru-gn-1-2-325x265x200-mm/</t>
  </si>
  <si>
    <t xml:space="preserve">ARAVEN Recipient gastronomic GN 1/2, policarbonat, adancime: 200 mm, continut: 11,8 L</t>
  </si>
  <si>
    <t xml:space="preserve">1/2 PC 200 mm, clear; EXACT: Araven polycarbonate GN container, size/depth/material stated in name. SKU 229901615. Listing price is gross; product page shows gross and "fără TVA" net below it. Price shown incl. VAT (RO 21%); VAT removed for the net price. YES Gastro SKU GNP-12200.</t>
  </si>
  <si>
    <t xml:space="preserve">https://www.gastrozone.ro/araven-gn-container-1-2-policarbonat-adancime-200-mm-capacitate-11-8-l.html</t>
  </si>
  <si>
    <t xml:space="preserve">Tava gastronorm | GN 1/2-200 mm policarbonat</t>
  </si>
  <si>
    <t xml:space="preserve">1/2 PC 200 mm, clear; EXACT: GastroPlast polycarbonate GN tray, size and depth in name and code. Shop code GNP12200; price shown in EUR "fara TVA" (invoiced in RON at BNR rate). Discounted price; regular price 7.96 EUR shown struck through. Price shown excl. VAT (RO 21%). YES Gastro SKU GNP-12200.</t>
  </si>
  <si>
    <t xml:space="preserve">https://www.lancom.ro/tava-gastronorm-gn-12-200-policarbonat-6941</t>
  </si>
  <si>
    <t xml:space="preserve">Recipient GN 1/2 ad. 20 cm din policarbonat | YATO YG-00403</t>
  </si>
  <si>
    <t xml:space="preserve">1/2 PC 200 mm, clear; EXACT: size, depth and material (policarbonat) in product name. Listing shows "Pret net 39.75 RON" and "Pret brut 48.10 RON/buc". Price shown excl. VAT (RO 21%). YES Gastro SKU GNP-12200.</t>
  </si>
  <si>
    <t xml:space="preserve">https://mmgastro.ro/ro/products/recipient-gn-1-2-ad-20-cm-din-policarbonat-yato-yg-00403-143011</t>
  </si>
  <si>
    <t xml:space="preserve">PC GN 1/2 Höhe 200 mm schwarz</t>
  </si>
  <si>
    <t xml:space="preserve">1/2 PC 200 mm, black; EXACT: polycarbonate GN 1/2 x 200 mm ("Robuster GN 1/2 Behälter aus Polycarbonat (PC)"); Art. 10024410;0; sale price (statt 14.65); listing "Steuerhinweis: exkl. MwSt.", footer "Preisangaben exkl. gesetzl. MwSt." (Gewerbekunden price list). Price shown excl. VAT (AT 20%). YES Gastro SKU GNP-12200/B.</t>
  </si>
  <si>
    <t xml:space="preserve">https://www.allpax.at/product_info.php/info/PC-GN-1-2-Hoehe-200-mm-schwarz.html</t>
  </si>
  <si>
    <t xml:space="preserve">RIEBER GN 1/2 Polycarbonat-Behälter - Tiefe 200mm</t>
  </si>
  <si>
    <t xml:space="preserve">1/2 PC 200 mm, transparent (glasklar); EXACT: Rieber Polycarbonat-Behälter GN 1/2, Tiefe 200 mm; listing shows net price with "(… inkl. MwSt.) Zzgl. 20% MwSt."; listing flags "Sale" but strike price equals current price. Price shown excl. VAT (AT 20%). YES Gastro SKU GNP-12200.</t>
  </si>
  <si>
    <t xml:space="preserve">https://www.gastro-star.at/produkt/riebergn12polycarbonat-behaelter-tiefe200mm-48811/</t>
  </si>
  <si>
    <t xml:space="preserve">Vogue GN-Behälter 1/2 Polycarbonat - Tiefe 200 mm</t>
  </si>
  <si>
    <t xml:space="preserve">1/2 PC 200 mm, transparent; EXACT: polycarbonate stated in name, GN 1/2 x 200 mm; SKU U231; page shows Angebotspreis 11.69 vs Normaler Preis 13.89; price shown is net (page shows e.g. "X € inkl. MwSt." computed at 19% underneath). Price shown excl. VAT (AT 20%). YES Gastro SKU GNP-12200.</t>
  </si>
  <si>
    <t xml:space="preserve">https://www.gastro-hero.at/products/vogue-gn-behaelter-12-polycarbonat-tiefe-200-mm-u231</t>
  </si>
  <si>
    <t xml:space="preserve">Hendi Gastronorm-Behälter 1/2, GN 1/2, 12, 5L, Transparent, 325x265x(H)200mm – Polycarbonat</t>
  </si>
  <si>
    <t xml:space="preserve">1/2 PC 200 mm, transparent; EXACT: Hendi polycarbonate GN 1/2 x 200 mm (Polycarbonat/Polykarbonat in name and URL); "zzgl. 19% MwSt.". Price shown excl. VAT (AT 20%). YES Gastro SKU GNP-12200.</t>
  </si>
  <si>
    <t xml:space="preserve">https://www.gastrodax.de/hendi-gastronorm-behaelter-polykarbonat-transparent-gn-1-2-12-5-l-325-x-265-x-h-200-mm</t>
  </si>
  <si>
    <t xml:space="preserve">Vogue Polycarbonat GN-Behälter GN1/2 200mm</t>
  </si>
  <si>
    <t xml:space="preserve">1/2 PC 200 mm, transparent; EXACT: polycarbonate stated on page (Polycarbonat in product name), GN 1/2 x 200 mm; Art.-Nr. U231; price "inkl. MwSt., zzgl. Versand". Price shown incl. VAT (AT 20%); VAT removed for the net price. YES Gastro SKU GNP-12200.</t>
  </si>
  <si>
    <t xml:space="preserve">https://www.gastroladen.at/3020@GN-U231/</t>
  </si>
  <si>
    <t xml:space="preserve">Gastronorm Behälter GN 1/2 | GN 96 BLACK | Polycarbonat schwarz H 200 mm</t>
  </si>
  <si>
    <t xml:space="preserve">1/2 PC 200 mm, black; EXACT: WAS GN 96 BLACK, Materialtyp Polycarbonat, Farbe schwarz, GN 1/2, Höhe 200 mm; Bestell-Nr 1016775; single-piece price "Preis pro Stück, zzgl. MwSt" (page also shows inkl. 20% MwSt); UVP 18,50; Staffelpreise: ab 3 13,96, ab 6 13,50 per piece; Price shown excl. VAT (AT 20%); page read with a headless browser (prices rendered by JavaScript). YES Gastro SKU GNP-12200/B.</t>
  </si>
  <si>
    <t xml:space="preserve">https://www.intergastro.at/gastronorm-behaelter-gn-1-2-gn-96-black-polycarbonat-schwarz-h-200-mm-1016775</t>
  </si>
  <si>
    <t xml:space="preserve">GN-Behälter - transparent - Serie 94 - Inhalt 11,9 l - GN 1/2 (325 x 265 mm) - 200 mm - Polycarbonat - premium Qualität</t>
  </si>
  <si>
    <t xml:space="preserve">1/2 PC 200 mm, transparent; EXACT: polycarbonate stated in name (Material: Kunststoff, Polycarbonat), GN 1/2, 200 mm stated in name; Art. 9412200-A; sale price, Regulärer Preis 16.30; footer "Preise zzgl. MwSt. zzgl. Versandkosten". Price shown excl. VAT (AT 20%). YES Gastro SKU GNP-12200.</t>
  </si>
  <si>
    <t xml:space="preserve">https://shopbuero.com/gn-behaelter-transparent-serie-94-inhalt-11-9-l-gn-1-2-325-x-265-mm-200-mm-polycarbonat-premium-qualitaet/9412200-A</t>
  </si>
  <si>
    <t xml:space="preserve">1/2 PC 200 mm, black; EXACT: GN 1/2, 200 mm, Polycarbonat stated; Art.-Nr. 10024410;0; price shown on default 'Gewerbekunden' price list, Steuerhinweis 'zzgl. MwSt.'; promo 'jetzt' price, regular 'statt' 14.65 EUR. Price shown excl. VAT (DE 19%). YES Gastro SKU GNP-12200/B.</t>
  </si>
  <si>
    <t xml:space="preserve">https://www.allpax.de/product_info.php/info/PC-GN-1-2-Hoehe-200-mm-schwarz.html</t>
  </si>
  <si>
    <t xml:space="preserve">GN Behälter mit Skalierung, GN 1/2 - 200 mm, transparent, Polycarbonat, GN 94 Serie</t>
  </si>
  <si>
    <t xml:space="preserve">1/2 PC 200 mm, transparent; EXACT: GN 1/2, 200 mm, material Polycarbonat stated; Art.Nr. 9412200; price inkl. 19% USt, shop also shows Netto 11,79 EUR; -28% promo vs UVP 19,40 EUR. Price shown incl. VAT (DE 19%); VAT removed for the net price. YES Gastro SKU GNP-12200.</t>
  </si>
  <si>
    <t xml:space="preserve">https://gastro-spirit.de/behaelter-mit-skalierung-gn-1-2-serie-gn-94-9412200</t>
  </si>
  <si>
    <t xml:space="preserve">1/2 PC 200 mm, transparent; EXACT: GN 1/2, 200 mm, Material Polycarbonat stated; Art.-Nr. U231; page shows gross 13,32 EUR 'inkl. MwSt.' and net 11,19 EUR; footer: 'Alle Preise sind Stückpreise und verstehen sich netto zzgl. MwSt.' (B2B shop); net price recorded. Price shown excl. VAT (DE 19%). YES Gastro SKU GNP-12200.</t>
  </si>
  <si>
    <t xml:space="preserve">https://www.gastro-hero.de/products/vogue-gn-behaelter-12-polycarbonat-tiefe-200-mm-u231</t>
  </si>
  <si>
    <t xml:space="preserve">1/2 PC 200 mm, transparent; EXACT: GN 1/2, 200 mm, material Polycarbonat stated; Art.-Nr. HEN-861400; price 'zzgl. 19% MwSt.' (B2B net). Price shown excl. VAT (DE 19%). YES Gastro SKU GNP-12200.</t>
  </si>
  <si>
    <t xml:space="preserve">1/2 PC 200 mm, transparent; EXACT: GN 1/2, 200 mm, Polycarbonat in product name/Material field; Art.-Nr. U231; price shown 'inkl. MwSt., zzgl. 7,95 EUR Versand in D'. Price shown incl. VAT (DE 19%); VAT removed for the net price. YES Gastro SKU GNP-12200.</t>
  </si>
  <si>
    <t xml:space="preserve">https://www.gastroladen.de/3020@GN-U231/Vogue-Polycarbonat-GN-Beh%C3%A4lter-GN1-2-200mm.htm</t>
  </si>
  <si>
    <t xml:space="preserve">Gastronormbehälter GN 1/2  x 200 mm GN 94 Polycarbonat</t>
  </si>
  <si>
    <t xml:space="preserve">1/2 PC 200 mm, transparent; EXACT: GN 1/2, 200 mm, Polycarbonat in product name; Bestell-Nr 252034, Serie GN 94; single-piece price 'Preis pro Stück, zzgl. MwSt' (Staffelpreise for 3+ pcs exist on page); shop shows UVP 16,3 EUR. Price shown excl. VAT (DE 19%). YES Gastro SKU GNP-12200.</t>
  </si>
  <si>
    <t xml:space="preserve">https://www.intergastro.de/gastronormbehaelter-gn-1-2-x-200-mm-gn-94-polycarbonat-252034</t>
  </si>
  <si>
    <t xml:space="preserve">1/2 PC 200 mm, transparent; EXACT: GN 1/2, 200 mm, Polycarbonat in product name; Art.-Nr. U231; listing shows price with 'Zzgl. MwSt.' (search results page, 2026-10-02); reduced price, regular 'BISHER' 14,29 EUR. Price shown excl. VAT (DE 19%); page read with a headless browser (prices rendered by JavaScript). YES Gastro SKU GNP-12200.</t>
  </si>
  <si>
    <t xml:space="preserve">https://www.nisbets.de/vogue-polycarbonat-gn-behlter-200mm/u231</t>
  </si>
  <si>
    <t xml:space="preserve">Gastronádoba polykarbonátová - GN 1/2, 200mm Hendi</t>
  </si>
  <si>
    <t xml:space="preserve">1/2 PC 200 mm, clear; EXACT: polycarbonate stated in product name ("polykarbonátová"), GN 1/2 x 200 mm, clear (Hendi); listing shows 250 Kč bez DPH / 303 Kč s DPH. Regular price 370 Kč s DPH (listing shows discount). Price shown excl. VAT (CZ 21%). YES Gastro SKU GNP-12200.</t>
  </si>
  <si>
    <t xml:space="preserve">https://www.gastrofans.cz/gastronadoba-1-2-pc-transparent-12-5-l-325x265x-h-200-mm/</t>
  </si>
  <si>
    <t xml:space="preserve">Skladem – Troubsko (&gt;15 ks)</t>
  </si>
  <si>
    <t xml:space="preserve">Gastro nádoba GN 1/2 200 mm, polykarbonát | YATO, YG-00403</t>
  </si>
  <si>
    <t xml:space="preserve">1/2 PC 200 mm, clear; EXACT: "polykarbonát" in product name, GN 1/2 200 mm, Yato YG-00403; listing shows bez DPH 248 Kč / s DPH 300 Kč (cheapest PC brand in shop). Price shown excl. VAT (CZ 21%); page read with a headless browser (prices rendered by JavaScript). YES Gastro SKU GNP-12200.</t>
  </si>
  <si>
    <t xml:space="preserve">https://www.gastromania.cz/gastronadoby-polykarbonatove/gastro-nadoba-gn-1-2-200-mm-polykarbonat-yato-yg-00403</t>
  </si>
  <si>
    <t xml:space="preserve">ARAVEN Gastronádoba GN 1/2, polykarbonát, hloubka: 200 mm, objem: 11,8 L</t>
  </si>
  <si>
    <t xml:space="preserve">1/2 PC 200 mm, clear; EXACT: Araven polycarbonate GN 1/2 x 200 mm, code 229901615; page shows 563 Kč s DPH / 465 Kč bez DPH. Price shown excl. VAT (CZ 21%). YES Gastro SKU GNP-12200.</t>
  </si>
  <si>
    <t xml:space="preserve">https://www.gastrozone.cz/araven-gn-nadoba-1-2-polykarbonat-hloubka-200-mm-objem-11-8-l.html</t>
  </si>
  <si>
    <t xml:space="preserve">Gastronorm GN 1/2 (h=200 mm) polykarbonátová</t>
  </si>
  <si>
    <t xml:space="preserve">1/2 PC 200 mm, clear; EXACT: "Profesionální polykarbonátová nádoba" GN 1/2, h=200 mm, clear; listing/product price 234 CZK s DPH (product page also shows bez DPH, e.g. 1/1 100 mm 286 s DPH = 236 bez DPH). Price shown incl. VAT (CZ 21%); VAT removed for the net price. YES Gastro SKU GNP-12200.</t>
  </si>
  <si>
    <t xml:space="preserve">https://www.gastrosance.cz/gn-1/2--h-200-mm--polykarbonatova</t>
  </si>
  <si>
    <t xml:space="preserve">Gastronádoba polykarbonátová GN 1/2 200 mm</t>
  </si>
  <si>
    <t xml:space="preserve">1/2 PC 200 mm, clear; EXACT: "Gastronádoba polykarbonátová GN 1/2 200 mm", code R-M212200, brand Cambro; page shows 453 Kč / 374 Kč bez DPH; parameters Materiál: polykarbonát, transparent. Price shown excl. VAT (CZ 21%). YES Gastro SKU GNP-12200.</t>
  </si>
  <si>
    <t xml:space="preserve">https://www.tomgast.cz/gastronadoba-polykarbonatova-gn-1-2-200-mm-2/</t>
  </si>
  <si>
    <t xml:space="preserve">Skladem (49 ks)</t>
  </si>
  <si>
    <t xml:space="preserve">Nádoba GN 1/2, HENDI, Profi Line, GN 1/2, 12,5L, Priehľadná, 325x265x(H)200mm Kód: 861400</t>
  </si>
  <si>
    <t xml:space="preserve">1/2 PC 200 mm, clear; material not in product name; HENDI Profi Line 861 series: listing description says "z polykarbonátu"; price shown 12.00 € (net) / 14,76 € s DPH; code 861400 Price shown excl. VAT (SK 23%). YES Gastro SKU GNP-12200.</t>
  </si>
  <si>
    <t xml:space="preserve">Skladom &gt; 20 ks</t>
  </si>
  <si>
    <t xml:space="preserve">Gastronádoba polykarbonátová GNP1/2 - 200</t>
  </si>
  <si>
    <t xml:space="preserve">1/2 PC 200 mm, clear (not stated); 'bez DPH' price shown; gross €13.14; code ; other offers on this shop for the same variant: Vogue 14.29 (in stock); Vogue 28.48 (Ospravedlňujeme sa, ) Price shown excl. VAT (SK 23%). YES Gastro SKU GNP-12200.</t>
  </si>
  <si>
    <t xml:space="preserve">1/2 PC 200 mm, clear (not stated); SKU YATO-YG-00403; other offers on this shop for the same variant: STALGAST 16.20 (in stock); CAMBRO 18.40 (in stock); CONTACTO 23.75 (in stock) Price shown incl. VAT (SK 23%); VAT removed for the net price. YES Gastro SKU GNP-12200.</t>
  </si>
  <si>
    <t xml:space="preserve">https://gastromania.sk/gastronadoby-polykarbonatove/gastro-nadoba-gn-1-2-200-mm-polykarbonat-yato-yg-00403</t>
  </si>
  <si>
    <t xml:space="preserve">ARAVEN Gastronádoba GN 1/2, polykarbonát, integrovaný štítok, hĺbka: 200 mm, objem: 11,35 L</t>
  </si>
  <si>
    <t xml:space="preserve">1/2 PC 200 mm, clear (not stated); listing shows gross 26,29 €; 'bez DPH' net 21.37 EUR on product page; SKU 229901752; regular (Pôvodne) 35,41 € gross; other offers on this shop for the same variant: Vollrath Pujadas 30.55 (in stock); B.PRO 38.63 (in stock); Araven 22.71 (Na objednávku (3-5 t) Price shown incl. VAT (SK 23%); VAT removed for the net price. YES Gastro SKU GNP-12200.</t>
  </si>
  <si>
    <t xml:space="preserve">https://www.gastrozone.sk/araven-gn-nadoba-1-2-polykarbonat-hloubka-200-mm-objem-11-35-l.html</t>
  </si>
  <si>
    <t xml:space="preserve">Skladom - centrálny sklad 31-50 ks 7. 10. - 8. 10. u vás</t>
  </si>
  <si>
    <t xml:space="preserve">1/2 PC 200 mm, clear (not stated); 'bez DPH' price shown; gross 9.09 EUR; other offers on this shop for the same variant: not stated (shop own line) 14.33 (in stock); HENDI 7.80 (in stock); HENDI 10.73 (in stock) Price shown excl. VAT (SK 23%). YES Gastro SKU GNP-12200.</t>
  </si>
  <si>
    <t xml:space="preserve">Tava GN 1/3 policarbonat transparent – 65 mm</t>
  </si>
  <si>
    <t xml:space="preserve">1/3 PC 65 mm, clear; EXACT: variable product "Tava GN 1/3 policarbonat transparent", depth variation 65 mm selected, material stated on page; variation SKU HD861530; price per variation shown net ("fără TVA"). Price shown "fără TVA". Price shown excl. VAT (RO 21%). YES Gastro SKU GNP-1365.</t>
  </si>
  <si>
    <t xml:space="preserve">https://direca.ro/shop/tava-gn-13-policarbonat-transparent/</t>
  </si>
  <si>
    <t xml:space="preserve">Cuva policarbonat transparent GN 1/3 325x176x65 mm</t>
  </si>
  <si>
    <t xml:space="preserve">1/3 PC 65 mm, clear; EXACT: size, depth and material (policarbonat transparent) stated; price shown "( inclusiv T.V.A. )"; B2B tier discounts from 3,500 lei. Price shown incl. VAT (RO 21%); VAT removed for the net price. YES Gastro SKU GNP-1365.</t>
  </si>
  <si>
    <t xml:space="preserve">https://www.fimax.ro/produs/cuva-policarbonat-transparent-gn-1-3-325x176x65-mm/</t>
  </si>
  <si>
    <t xml:space="preserve">ARAVEN Recipient gastronomic GN 1/3, Policarbonat, Adancime: 65 mm, Continut: 2,4 L</t>
  </si>
  <si>
    <t xml:space="preserve">1/3 PC 65 mm, clear; EXACT: Araven polycarbonate GN container, size/depth/material stated in name. SKU 229901609. Listing price is gross; product page shows gross and "fără TVA" net below it. Price shown incl. VAT (RO 21%); VAT removed for the net price. YES Gastro SKU GNP-1365.</t>
  </si>
  <si>
    <t xml:space="preserve">https://www.gastrozone.ro/araven-gn-container-1-3-policarbonat-adancime-65-mm-continut-2-4-l.html</t>
  </si>
  <si>
    <t xml:space="preserve">Tava gastronorm | GN 1/3-65 mm policarbonat</t>
  </si>
  <si>
    <t xml:space="preserve">1/3 PC 65 mm, clear; EXACT: GastroPlast polycarbonate GN tray, size and depth in name and code. Shop code GNP1365; price shown in EUR "fara TVA" (invoiced in RON at BNR rate). Discounted price; regular price 3.36 EUR shown struck through. Price shown excl. VAT (RO 21%). YES Gastro SKU GNP-1365.</t>
  </si>
  <si>
    <t xml:space="preserve">https://www.lancom.ro/tava-gastronorm-gn-13-65-policarbonat-6948</t>
  </si>
  <si>
    <t xml:space="preserve">Recipient GN 1/3 adâncime 6,5 cm din policarbonat | YATO YG-00410</t>
  </si>
  <si>
    <t xml:space="preserve">1/3 PC 65 mm, clear; EXACT: size, depth and material (policarbonat) in product name. Listing shows "Pret net 13.49 RON" and "Pret brut 16.32 RON/buc". Price shown excl. VAT (RO 21%). YES Gastro SKU GNP-1365.</t>
  </si>
  <si>
    <t xml:space="preserve">https://mmgastro.ro/ro/products/recipient-gn-1-3-adancime-6-5-cm-din-policarbonat-yato-yg-00410-143206</t>
  </si>
  <si>
    <t xml:space="preserve">Momentan indisponibil</t>
  </si>
  <si>
    <t xml:space="preserve">GN Behälter 1/3 PC Höhe 65 mm</t>
  </si>
  <si>
    <t xml:space="preserve">1/3 PC 65 mm, transparent; EXACT: polycarbonate GN 1/3 x 65 mm ("Formstabiles Polycarbonat"); Art. 10014629;0;; listing "Steuerhinweis: exkl. MwSt.", footer "Preisangaben exkl. gesetzl. MwSt." (Gewerbekunden price list). Price shown excl. VAT (AT 20%). YES Gastro SKU GNP-1365.</t>
  </si>
  <si>
    <t xml:space="preserve">https://www.allpax.at/product_info.php/info/GN-Behaelter-1-3-PC-Hoehe-65-mm.html</t>
  </si>
  <si>
    <t xml:space="preserve">RIEBER GN 1/3 Polycarbonat-Behälter - Tiefe 65mm</t>
  </si>
  <si>
    <t xml:space="preserve">1/3 PC 65 mm, transparent (glasklar); EXACT: Rieber Polycarbonat-Behälter GN 1/3, Tiefe 65 mm; listing shows net price with "(… inkl. MwSt.) Zzgl. 20% MwSt."; listing flags "Sale" but strike price equals current price. Price shown excl. VAT (AT 20%). YES Gastro SKU GNP-1365.</t>
  </si>
  <si>
    <t xml:space="preserve">https://www.gastro-star.at/produkt/riebergn13polycarbonat-behaelter-tiefe65mm-48818/</t>
  </si>
  <si>
    <t xml:space="preserve">Schneider Polycarbonat GN 1/3 Behälter 65 mm, 2,5 l</t>
  </si>
  <si>
    <t xml:space="preserve">1/3 PC 65 mm, transparent; EXACT: polycarbonate stated in name, GN 1/3 x 65 mm; SKU 530120; price shown is net (page shows e.g. "X € inkl. MwSt." computed at 19% underneath). Price shown excl. VAT (AT 20%). YES Gastro SKU GNP-1365.</t>
  </si>
  <si>
    <t xml:space="preserve">https://www.gastro-hero.at/products/schneider-polycarbonat-gn-13-behaelter-65-mm-25-l-530120</t>
  </si>
  <si>
    <t xml:space="preserve">WAS GN 94 Behälter 1/3-065 mm mit Skalierung Polycarbonat</t>
  </si>
  <si>
    <t xml:space="preserve">1/3 PC 65 mm, transparent; EXACT: WAS GN 94 polycarbonate container GN 1/3 x 65 mm; listing price "zzgl. 19% MwSt." (German shop shipping to DE &amp; AT, VAT footnote says 19%). Price shown excl. VAT (AT 20%). YES Gastro SKU GNP-1365.</t>
  </si>
  <si>
    <t xml:space="preserve">https://www.gastrodax.de/was-gn-94-behaelter-1-3-065-mm-mit-skalierung-polycarbonat</t>
  </si>
  <si>
    <t xml:space="preserve">Vogue Polycarbonat GN-Behälter GN1/3 65mm</t>
  </si>
  <si>
    <t xml:space="preserve">1/3 PC 65 mm, transparent; EXACT: polycarbonate stated on page (Polycarbonat in product name), GN 1/3 x 65 mm; Art.-Nr. U232; price "inkl. MwSt., zzgl. Versand". Price shown incl. VAT (AT 20%); VAT removed for the net price. YES Gastro SKU GNP-1365.</t>
  </si>
  <si>
    <t xml:space="preserve">https://www.gastroladen.at/3020@GN-U232/</t>
  </si>
  <si>
    <t xml:space="preserve">Gastronormbehälter GN 1/3 x 65 mm GN 94 Polycarbonat transparent</t>
  </si>
  <si>
    <t xml:space="preserve">1/3 PC 65 mm, transparent; EXACT: WAS GN 94 transparent, Materialtyp Polycarbonat, GN 1/3 x 65 mm (65 mm variant page; 100/150/200 mm variants only selectable via JS variant switch, not recorded); Bestell-Nr 252338; "Preis pro Stück, zzgl. MwSt"; UVP 6,80; Staffelpreise: ab 3 5,34, ab 6 5,02 per piece; Price shown excl. VAT (AT 20%); page read with a headless browser (prices rendered by JavaScript). YES Gastro SKU GNP-1365.</t>
  </si>
  <si>
    <t xml:space="preserve">https://www.intergastro.at/gastronormbehaelter-gn-1-3-x-65-mm-gn-94-polycarbonat-transparent-252338</t>
  </si>
  <si>
    <t xml:space="preserve">GN-Behälter - transparent - Serie 94 - Inhalt 2,50 l - GN 1/3 (325 x 176 mm) - 65 mm - Polycarbonat - premium Qualität</t>
  </si>
  <si>
    <t xml:space="preserve">1/3 PC 65 mm, transparent; EXACT: polycarbonate stated in name (Material: Kunststoff, Polycarbonat), GN 1/3, 65 mm stated in name; Art. 9413065-A; sale price, Regulärer Preis 6.80; footer "Preise zzgl. MwSt. zzgl. Versandkosten". Price shown excl. VAT (AT 20%). YES Gastro SKU GNP-1365.</t>
  </si>
  <si>
    <t xml:space="preserve">https://shopbuero.com/gn-behaelter-transparent-serie-94-inhalt-2-50-l-gn-1-3-325-x-176-mm-65-mm-polycarbonat-premium-qualitaet/9413065-A</t>
  </si>
  <si>
    <t xml:space="preserve">1/3 PC 65 mm, transparent; EXACT: GN 1/3, 65 mm, Polycarbonat stated; Art.-Nr. 10014629;0; price shown on default 'Gewerbekunden' price list, Steuerhinweis 'zzgl. MwSt.'. Price shown excl. VAT (DE 19%). YES Gastro SKU GNP-1365.</t>
  </si>
  <si>
    <t xml:space="preserve">https://www.allpax.de/product_info.php/info/GN-Behaelter-1-3-PC-Hoehe-65-mm.html</t>
  </si>
  <si>
    <t xml:space="preserve">GN Behälter mit Skalierung, GN 1/3 - 65 mm, transparent, Polycarbonat, GN 94 Serie</t>
  </si>
  <si>
    <t xml:space="preserve">1/3 PC 65 mm, transparent; EXACT: GN 1/3, 65 mm, material Polycarbonat stated; Art.Nr. 9413065; price inkl. 19% USt, shop also shows Netto 4,92 EUR; -28% promo vs UVP 8,09 EUR. Price shown incl. VAT (DE 19%); VAT removed for the net price. YES Gastro SKU GNP-1365.</t>
  </si>
  <si>
    <t xml:space="preserve">https://gastro-spirit.de/behaelter-mit-skalierung-gn-1-3-serie-gn-94-9413065</t>
  </si>
  <si>
    <t xml:space="preserve">1/3 PC 65 mm, transparent; EXACT: GN 1/3, 65 mm, Material Polycarbonat stated; Art.-Nr. 530120; page shows gross 7,01 EUR 'inkl. MwSt.' and net 5,89 EUR; footer: 'Alle Preise sind Stückpreise und verstehen sich netto zzgl. MwSt.' (B2B shop); net price recorded. Price shown excl. VAT (DE 19%). YES Gastro SKU GNP-1365.</t>
  </si>
  <si>
    <t xml:space="preserve">https://www.gastro-hero.de/products/schneider-polycarbonat-gn-13-behaelter-65-mm-25-l-530120</t>
  </si>
  <si>
    <t xml:space="preserve">1/3 PC 65 mm, transparent; EXACT: GN 1/3, 65 mm, material Polycarbonat stated; Art.-Nr. WAS-9413065; price 'zzgl. 19% MwSt.' (B2B net). Price shown excl. VAT (DE 19%). YES Gastro SKU GNP-1365.</t>
  </si>
  <si>
    <t xml:space="preserve">1/3 PC 65 mm, transparent; EXACT: GN 1/3, 65 mm, Polycarbonat in product name/Material field; Art.-Nr. U232; price shown 'inkl. MwSt., zzgl. 7,95 EUR Versand in D'. Price shown incl. VAT (DE 19%); VAT removed for the net price. YES Gastro SKU GNP-1365.</t>
  </si>
  <si>
    <t xml:space="preserve">https://www.gastroladen.de/3020@GN-U232/Vogue-Polycarbonat-GN-Beh%C3%A4lter-GN1-3-65mm.htm</t>
  </si>
  <si>
    <t xml:space="preserve">Gastronormbehälter GN 1/3  x 65 mm GN 94 Polycarbonat transparent</t>
  </si>
  <si>
    <t xml:space="preserve">1/3 PC 65 mm, transparent; EXACT: GN 1/3, 65 mm, Polycarbonat in product name; Bestell-Nr 252338, Serie GN 94; single-piece price 'Preis pro Stück, zzgl. MwSt' (Staffelpreise for 3+ pcs exist on page); shop shows UVP 6,8 EUR. Price shown excl. VAT (DE 19%). YES Gastro SKU GNP-1365.</t>
  </si>
  <si>
    <t xml:space="preserve">https://www.intergastro.de/gastronormbehaelter-gn-1-3-x-65-mm-gn-94-polycarbonat-transparent-252338</t>
  </si>
  <si>
    <t xml:space="preserve">1/3 PC 65 mm, transparent; EXACT: GN 1/3, 65 mm, Polycarbonat in product name; Art.-Nr. U232; listing shows price with 'Zzgl. MwSt.' (search results page, 2026-10-02); reduced price, regular 'BISHER' 5,79 EUR. Price shown excl. VAT (DE 19%); page read with a headless browser (prices rendered by JavaScript). YES Gastro SKU GNP-1365.</t>
  </si>
  <si>
    <t xml:space="preserve">https://www.nisbets.de/vogue-polycarbonat-gn-behlter-65mm/u232</t>
  </si>
  <si>
    <t xml:space="preserve">Gastronádoba polykarbonátová - GN 1/3, 65mm Hendi</t>
  </si>
  <si>
    <t xml:space="preserve">1/3 PC 65 mm, clear; EXACT: polycarbonate stated in product name ("polykarbonátová"), GN 1/3 x 65 mm, clear (Hendi); listing shows 112 Kč bez DPH / 135 Kč s DPH. Regular price 165 Kč s DPH (listing shows discount). Price shown excl. VAT (CZ 21%). YES Gastro SKU GNP-1365.</t>
  </si>
  <si>
    <t xml:space="preserve">https://www.gastrofans.cz/gastronadoba-1-3-pc-transparent-2-5-l-325x176x-h-65-mm/</t>
  </si>
  <si>
    <t xml:space="preserve">Gastro nádoba GN 1/3 65 mm, polykarbonát | YATO, YG-00410</t>
  </si>
  <si>
    <t xml:space="preserve">1/3 PC 65 mm, clear; EXACT: "polykarbonát" in product name, GN 1/3 65 mm, Yato YG-00410; listing shows bez DPH 84 Kč / s DPH 102 Kč (cheapest PC brand in shop). Price shown excl. VAT (CZ 21%); page read with a headless browser (prices rendered by JavaScript). YES Gastro SKU GNP-1365.</t>
  </si>
  <si>
    <t xml:space="preserve">https://www.gastromania.cz/gastronadoby-polykarbonatove/gastro-nadoba-gn-1-3-65-mm-polykarbonat-yato-yg-00410</t>
  </si>
  <si>
    <t xml:space="preserve">ARAVEN Gastronádoba GN 1/3, polykarbonát, hloubka: 65 mm, objem: 2,4 L</t>
  </si>
  <si>
    <t xml:space="preserve">1/3 PC 65 mm, clear; EXACT: Araven polycarbonate GN 1/3 x 65 mm, code 229901609; page shows 219 Kč s DPH / 181 Kč bez DPH. Price shown excl. VAT (CZ 21%). YES Gastro SKU GNP-1365.</t>
  </si>
  <si>
    <t xml:space="preserve">https://www.gastrozone.cz/araven-gn-nadoba-1-3-polykarbonat-hloubka-65-mm-objem-2-4-l.html</t>
  </si>
  <si>
    <t xml:space="preserve">Gastronorm GN 1/3 (h=65 mm) polykarbonátová</t>
  </si>
  <si>
    <t xml:space="preserve">1/3 PC 65 mm, clear; EXACT: "Profesionální polykarbonátová nádoba" GN 1/3, h=65 mm, clear; listing/product price 97 CZK s DPH (product page also shows bez DPH, e.g. 1/1 100 mm 286 s DPH = 236 bez DPH). Discounted from regular 106 CZK s DPH. Price shown incl. VAT (CZ 21%); VAT removed for the net price. YES Gastro SKU GNP-1365.</t>
  </si>
  <si>
    <t xml:space="preserve">https://www.gastrosance.cz/gn-1/3--h-65-mm--polykarbonatova</t>
  </si>
  <si>
    <t xml:space="preserve">Gastronádoba polykarbonátová GN 1/3 65 mm</t>
  </si>
  <si>
    <t xml:space="preserve">1/3 PC 65 mm, clear; EXACT: "Gastronádoba polykarbonátová GN 1/3 65 mm", code R-M213065, brand Cambro; page shows 168 Kč / 139 Kč bez DPH; parameters Materiál: polykarbonát, transparent. Price shown excl. VAT (CZ 21%). YES Gastro SKU GNP-1365.</t>
  </si>
  <si>
    <t xml:space="preserve">https://www.tomgast.cz/gastronadoba-polykarbonatova-gn-1-3-65-mm/</t>
  </si>
  <si>
    <t xml:space="preserve">Skladem (66 ks)</t>
  </si>
  <si>
    <t xml:space="preserve">Nádoba GN 1/3, HENDI, Profi Line, GN 1/3, 2,5L, Priehľadná, 325x176x(H)65mm Kód: 861530</t>
  </si>
  <si>
    <t xml:space="preserve">1/3 PC 65 mm, clear; material not in product name; HENDI Profi Line 861 series: listing description says "z polykarbonátu"; price shown 5.35 € (net) / 6,58 € s DPH; code 861530 Price shown excl. VAT (SK 23%). YES Gastro SKU GNP-1365.</t>
  </si>
  <si>
    <t xml:space="preserve">Gastronádoba polykarbonátová GNP1/3 - 65</t>
  </si>
  <si>
    <t xml:space="preserve">1/3 PC 65 mm, clear (not stated); 'bez DPH' price shown; gross €5.45; code ; other offers on this shop for the same variant: Vogue 5.79 (in stock); Vogue 8.11 (Ospravedlňujeme sa, ) Price shown excl. VAT (SK 23%). YES Gastro SKU GNP-1365.</t>
  </si>
  <si>
    <t xml:space="preserve">Polykarbonátová nádoba, GN 1/3, 65 mm | STALGAST, Bufet</t>
  </si>
  <si>
    <t xml:space="preserve">1/3 PC 65 mm, clear (not stated); SKU STALGAST-143063; other offers on this shop for the same variant: STALGAST 6.22 (in stock); CAMBRO 6.84 (in stock); STALGAST 7.68 (in stock); STALGAST 8.03 (in stock) Price shown incl. VAT (SK 23%); VAT removed for the net price. YES Gastro SKU GNP-1365.</t>
  </si>
  <si>
    <t xml:space="preserve">https://gastromania.sk/gastronadoby-polykarbonatove/polykarbonatova-nadoba-gn-1-3-65-mm-stalgast-bufet</t>
  </si>
  <si>
    <t xml:space="preserve">ARAVEN Gastronádoba GN 1/3, polykarbonát, integrovaný štítok, hĺbka: 65 mm, objem: 2,35 L</t>
  </si>
  <si>
    <t xml:space="preserve">1/3 PC 65 mm, clear (not stated); listing shows gross 16,36 €; 'bez DPH' net 13.30 EUR on product page; SKU 229901753; other offers on this shop for the same variant: Araven 8.83 (Na objednávku (3-5 t); APS 9.80 (Na objednávku (3-5 t); APS 9.91 (Na objednávku (3-5 t) Price shown incl. VAT (SK 23%); VAT removed for the net price. YES Gastro SKU GNP-1365.</t>
  </si>
  <si>
    <t xml:space="preserve">https://www.gastrozone.sk/araven-gn-nadoba-1-3-polykarbonat-hloubka-65-mm-objem-2-35-l.html</t>
  </si>
  <si>
    <t xml:space="preserve">Gastronádoba polykarbonátová GN 1/3 065 mm</t>
  </si>
  <si>
    <t xml:space="preserve">1/3 PC 65 mm, clear (not stated); 'bez DPH' price shown; gross 5.48 EUR; other offers on this shop for the same variant: not stated (shop own line) 5.31 (in stock); HENDI 3.49 (in stock); HENDI 4.09 (in stock); HENDI 4.09 (in stock) Price shown excl. VAT (SK 23%). YES Gastro SKU GNP-1365.</t>
  </si>
  <si>
    <t xml:space="preserve">Cuva GN 1/3 policarbonat – 150 mm</t>
  </si>
  <si>
    <t xml:space="preserve">1/3 PC 150 mm, clear; EXACT: size, depth and material (policarbonat transparent) in name and page spec. Shown "38.45 lei fără TVA (46.53 lei cu TVA)". Sale price; regular (initial) net price 51.15 lei. Price shown excl. VAT (RO 21%). YES Gastro SKU GNP-13150.</t>
  </si>
  <si>
    <t xml:space="preserve">https://direca.ro/shop/cuva-gn-1-3-policarbonat-150-mm/</t>
  </si>
  <si>
    <t xml:space="preserve">Cuva policarbonat transparent GN 1/3 325x176x150 mm</t>
  </si>
  <si>
    <t xml:space="preserve">1/3 PC 150 mm, clear; EXACT: size, depth and material (policarbonat transparent) stated; price shown "( inclusiv T.V.A. )"; B2B tier discounts from 3,500 lei. Price shown incl. VAT (RO 21%); VAT removed for the net price. YES Gastro SKU GNP-13150.</t>
  </si>
  <si>
    <t xml:space="preserve">https://www.fimax.ro/produs/cuva-policarbonat-transparent-gn-1-3-325x176x150-mm/</t>
  </si>
  <si>
    <t xml:space="preserve">ARAVEN Recipient gastronomic GN 1/3, polycarbonate, Adancime: 150 mm, Continut: 5,5 L</t>
  </si>
  <si>
    <t xml:space="preserve">1/3 PC 150 mm, clear; EXACT: Araven polycarbonate GN container, size/depth/material stated in name. SKU 229901611. Listing price is gross; product page shows gross and "fără TVA" net below it. Price shown incl. VAT (RO 21%); VAT removed for the net price. YES Gastro SKU GNP-13150.</t>
  </si>
  <si>
    <t xml:space="preserve">https://www.gastrozone.ro/araven-gn-contenitor-1-3-policarbonat-adancime-150-mm-capacitate-5-5-l.html</t>
  </si>
  <si>
    <t xml:space="preserve">Tava gastronorm | GN 1/3-150 mm policarbonat</t>
  </si>
  <si>
    <t xml:space="preserve">1/3 PC 150 mm, clear; EXACT: GastroPlast polycarbonate GN tray, size and depth in name and code. Shop code GNP13150; price shown in EUR "fara TVA" (invoiced in RON at BNR rate). Price shown excl. VAT (RO 21%). YES Gastro SKU GNP-13150.</t>
  </si>
  <si>
    <t xml:space="preserve">https://www.lancom.ro/tava-gastronorm-gn-13-150-policarbonat-6946</t>
  </si>
  <si>
    <t xml:space="preserve">Recipient GN 1/3 15 cm din policarbonat, 5,7 l | FORGAST FG06735</t>
  </si>
  <si>
    <t xml:space="preserve">1/3 PC 150 mm, clear; EXACT: size, depth and material (policarbonat) in product name. Listing shows "Pret net 26.71 RON" and "Pret brut 32.32 RON/buc". Price shown excl. VAT (RO 21%). YES Gastro SKU GNP-13150.</t>
  </si>
  <si>
    <t xml:space="preserve">https://mmgastro.ro/ro/products/recipient-gn-1-3-15-cm-din-policarbonat-5-7-l-forgast-fg06735-63684</t>
  </si>
  <si>
    <t xml:space="preserve">GN Behälter 1/3 PC Höhe 150 mm</t>
  </si>
  <si>
    <t xml:space="preserve">1/3 PC 150 mm, transparent; EXACT: polycarbonate GN 1/3 x 150 mm ("Leichtgewichtiges Polycarbonat"); Art. 10014631;0; sale price (statt 7.85); listing "Steuerhinweis: exkl. MwSt.", footer "Preisangaben exkl. gesetzl. MwSt." (Gewerbekunden price list). Price shown excl. VAT (AT 20%). YES Gastro SKU GNP-13150.</t>
  </si>
  <si>
    <t xml:space="preserve">https://www.allpax.at/product_info.php/info/GN-Behaelter-1-3-PC-Hoehe-150-mm.html</t>
  </si>
  <si>
    <t xml:space="preserve">RIEBER GN 1/3 Polycarbonat-Behälter -Tiefe 150mm</t>
  </si>
  <si>
    <t xml:space="preserve">1/3 PC 150 mm, transparent (glasklar); EXACT: Rieber Polycarbonat-Behälter GN 1/3, Tiefe 150 mm; listing shows net price with "(… inkl. MwSt.) Zzgl. 20% MwSt."; listing flags "Sale" but strike price equals current price. Price shown excl. VAT (AT 20%). YES Gastro SKU GNP-13150.</t>
  </si>
  <si>
    <t xml:space="preserve">https://www.gastro-star.at/produkt/riebergn13polycarbonat-behaelter-tiefe150mm-48816/</t>
  </si>
  <si>
    <t xml:space="preserve">Vogue GN-Behälter 1/3 Polycarbonat - Tiefe 150 mm</t>
  </si>
  <si>
    <t xml:space="preserve">1/3 PC 150 mm, transparent; EXACT: polycarbonate stated in name, GN 1/3 x 150 mm; SKU U234; page shows Angebotspreis 7.49 vs Normaler Preis 8.49; price shown is net (page shows e.g. "X € inkl. MwSt." computed at 19% underneath). Price shown excl. VAT (AT 20%). YES Gastro SKU GNP-13150.</t>
  </si>
  <si>
    <t xml:space="preserve">https://www.gastro-hero.at/products/vogue-gn-behaelter-13-polycarbonat-tiefe-150-mm-u234</t>
  </si>
  <si>
    <t xml:space="preserve">Hendi Gastronorm-Behälter 1/3, GN 1/3, 5, 7L, Transparent, 325x176x(H)150mm – Polycarbonat</t>
  </si>
  <si>
    <t xml:space="preserve">1/3 PC 150 mm, transparent; EXACT: Hendi polycarbonate GN 1/3 x 150 mm (Polycarbonat/Polykarbonat in name and URL); "zzgl. 19% MwSt.". Price shown excl. VAT (AT 20%). YES Gastro SKU GNP-13150.</t>
  </si>
  <si>
    <t xml:space="preserve">https://www.gastrodax.de/hendi-gastronorm-behaelter-gn-1-3-5-7-l-polykarbonat-transparent-325-x-176-x-h-150-mm</t>
  </si>
  <si>
    <t xml:space="preserve">Vogue Polycarbonat GN-Behälter GN1/3 150mm</t>
  </si>
  <si>
    <t xml:space="preserve">1/3 PC 150 mm, transparent; EXACT: polycarbonate stated on page (Polycarbonat in product name), GN 1/3 x 150 mm; Art.-Nr. U234; price "inkl. MwSt., zzgl. Versand". Price shown incl. VAT (AT 20%); VAT removed for the net price. YES Gastro SKU GNP-13150.</t>
  </si>
  <si>
    <t xml:space="preserve">https://www.gastroladen.at/3020@GN-U234/</t>
  </si>
  <si>
    <t xml:space="preserve">Gastronorm Behälter GN 1/3 | GN 96 BLACK | Polycarbonat schwarz H 150 mm</t>
  </si>
  <si>
    <t xml:space="preserve">1/3 PC 150 mm, black; EXACT: WAS GN 96 BLACK, Materialtyp Polycarbonat, Farbe schwarz, GN 1/3, Höhe 150 mm; Bestell-Nr 1016778; single-piece price "Preis pro Stück, zzgl. MwSt" (page also shows inkl. 20% MwSt); UVP 10,50; Staffelpreise: ab 3 7,92, ab 6 7,65 per piece; Price shown excl. VAT (AT 20%); page read with a headless browser (prices rendered by JavaScript). YES Gastro SKU GNP-13150/B.</t>
  </si>
  <si>
    <t xml:space="preserve">https://www.intergastro.at/gastronorm-behaelter-gn-1-3-gn-96-black-polycarbonat-schwarz-h-150-mm-1016778</t>
  </si>
  <si>
    <t xml:space="preserve">GN-Behälter - GN 1/3 (325 x 176 mm) - 150 mm - Inhalt 5,5 l - Polycarbonat</t>
  </si>
  <si>
    <t xml:space="preserve">1/3 PC 150 mm, transparent; EXACT: polycarbonate stated in name (Material: Kunststoff, Polycarbonat), GN 1/3, 150 mm stated in name; Art. 530122-C; sale price, Regulärer Preis 13.10; footer "Preise zzgl. MwSt. zzgl. Versandkosten". Price shown excl. VAT (AT 20%). YES Gastro SKU GNP-13150.</t>
  </si>
  <si>
    <t xml:space="preserve">https://shopbuero.com/gn-behaelter-gn-1-3-325-x-176-mm-150-mm-inhalt-5-5-l-polycarbonat/530122-C</t>
  </si>
  <si>
    <t xml:space="preserve">1/3 PC 150 mm, transparent; EXACT: GN 1/3, 150 mm, Polycarbonat stated; Art.-Nr. 10014631;0; price shown on default 'Gewerbekunden' price list, Steuerhinweis 'zzgl. MwSt.'; promo 'jetzt' price, regular 'statt' 7.85 EUR. Price shown excl. VAT (DE 19%). YES Gastro SKU GNP-13150.</t>
  </si>
  <si>
    <t xml:space="preserve">https://www.allpax.de/product_info.php/info/GN-Behaelter-1-3-PC-Hoehe-150-mm.html</t>
  </si>
  <si>
    <t xml:space="preserve">GN Behälter mit Skalierung, GN 1/3 - 150 mm, transparent, Polycarbonat, GN 94 Serie</t>
  </si>
  <si>
    <t xml:space="preserve">1/3 PC 150 mm, transparent; EXACT: GN 1/3, 150 mm, material Polycarbonat stated; Art.Nr. 9413150; price inkl. 19% USt, shop also shows Netto 6,87 EUR; -28% promo vs UVP 11,31 EUR. Price shown incl. VAT (DE 19%); VAT removed for the net price. YES Gastro SKU GNP-13150.</t>
  </si>
  <si>
    <t xml:space="preserve">https://gastro-spirit.de/behaelter-mit-skalierung-gn-1-3-serie-gn-94-9413150</t>
  </si>
  <si>
    <t xml:space="preserve">1/3 PC 150 mm, transparent; EXACT: GN 1/3, 150 mm, Material Polycarbonat stated; Art.-Nr. U234; page shows gross 8,44 EUR 'inkl. MwSt.' and net 7,09 EUR; footer: 'Alle Preise sind Stückpreise und verstehen sich netto zzgl. MwSt.' (B2B shop); net price recorded. Price shown excl. VAT (DE 19%). YES Gastro SKU GNP-13150.</t>
  </si>
  <si>
    <t xml:space="preserve">https://www.gastro-hero.de/products/vogue-gn-behaelter-13-polycarbonat-tiefe-150-mm-u234</t>
  </si>
  <si>
    <t xml:space="preserve">1/3 PC 150 mm, transparent; EXACT: GN 1/3, 150 mm, material Polycarbonat stated; Art.-Nr. HEN-861516; price 'zzgl. 19% MwSt.' (B2B net). Price shown excl. VAT (DE 19%). YES Gastro SKU GNP-13150.</t>
  </si>
  <si>
    <t xml:space="preserve">1/3 PC 150 mm, transparent; EXACT: GN 1/3, 150 mm, Polycarbonat in product name/Material field; Art.-Nr. U234; price shown 'inkl. MwSt., zzgl. 7,95 EUR Versand in D'. Price shown incl. VAT (DE 19%); VAT removed for the net price. YES Gastro SKU GNP-13150.</t>
  </si>
  <si>
    <t xml:space="preserve">https://www.gastroladen.de/3020@GN-U234/Vogue-Polycarbonat-GN-Beh%C3%A4lter-GN1-3-150mm.htm</t>
  </si>
  <si>
    <t xml:space="preserve">Gastronormbehälter, Serie STANDARD, Polycarbonat, GN 1/3 (150 mm)</t>
  </si>
  <si>
    <t xml:space="preserve">1/3 PC 150 mm, transparent; EXACT: GN 1/3, 150 mm, Polycarbonat in product name; Bestell-Nr 1026269, Serie Serie STANDARD; single-piece price 'Preis pro Stück, zzgl. MwSt' (Staffelpreise for 3+ pcs exist on page); shop shows UVP 9,8 EUR. Price shown excl. VAT (DE 19%). YES Gastro SKU GNP-13150.</t>
  </si>
  <si>
    <t xml:space="preserve">https://www.intergastro.de/gastronormbehaelter-serie-standard-polycarbonat-gn-1-3-150-mm-1026269</t>
  </si>
  <si>
    <t xml:space="preserve">Vogue Polycarbonat GN 1/3-Behälter 150mm transparent</t>
  </si>
  <si>
    <t xml:space="preserve">1/3 PC 150 mm, transparent; EXACT: GN 1/3, 150 mm, Polycarbonat in product name; Art.-Nr. U234; listing shows price with 'Zzgl. MwSt.' (search results page, 2026-10-02); reduced price, regular 'BISHER' 8,99 EUR. Price shown excl. VAT (DE 19%); page read with a headless browser (prices rendered by JavaScript). YES Gastro SKU GNP-13150.</t>
  </si>
  <si>
    <t xml:space="preserve">https://www.nisbets.de/vogue-polycarbonat-gn-behlter-150mm/u234</t>
  </si>
  <si>
    <t xml:space="preserve">Gastronádoba polykarbonátová - GN 1/3, 150mm Hendi</t>
  </si>
  <si>
    <t xml:space="preserve">1/3 PC 150 mm, clear; EXACT: polycarbonate stated in product name ("polykarbonátová"), GN 1/3 x 150 mm, clear (Hendi); listing shows 170 Kč bez DPH / 206 Kč s DPH. Regular price 251 Kč s DPH (listing shows discount). Price shown excl. VAT (CZ 21%). YES Gastro SKU GNP-13150.</t>
  </si>
  <si>
    <t xml:space="preserve">https://www.gastrofans.cz/gastronadoba-1-3-pc-transparent-5-7-l-325x176x-h-150-mm/</t>
  </si>
  <si>
    <t xml:space="preserve">Polykarbonátová černá nádoba GN 1/3, 150 mm | STALGAST, Bufet</t>
  </si>
  <si>
    <t xml:space="preserve">1/3 PC 150 mm, black; EXACT: black polycarbonate ("černý polykarbonát") GN 1/3 150 mm, Stalgast; listing shows bez DPH 213 Kč / s DPH 258 Kč. Price shown excl. VAT (CZ 21%); page read with a headless browser (prices rendered by JavaScript). YES Gastro SKU GNP-13150/B.</t>
  </si>
  <si>
    <t xml:space="preserve">https://www.gastromania.cz/gastronadoby-polykarbonatove/polykarbonatova-cerna-nadoba-gn-1-3-150-mm-stalgast-bufet</t>
  </si>
  <si>
    <t xml:space="preserve">ARAVEN Gastronádoba GN 1/3, polykarbonát, hloubka: 150 mm, objem: 5,5 L</t>
  </si>
  <si>
    <t xml:space="preserve">1/3 PC 150 mm, clear; EXACT: Araven polycarbonate GN 1/3 x 150 mm, code 229901611; page shows 356 Kč s DPH / 294 Kč bez DPH. Price shown excl. VAT (CZ 21%). YES Gastro SKU GNP-13150.</t>
  </si>
  <si>
    <t xml:space="preserve">https://www.gastrozone.cz/araven-gn-nadoba-1-3-polykarbonat-hloubka-150-mm-objem-5-5-l.html</t>
  </si>
  <si>
    <t xml:space="preserve">Gastronorm GN 1/3 (h=150 mm) polykarbonátová</t>
  </si>
  <si>
    <t xml:space="preserve">1/3 PC 150 mm, clear; EXACT: "Profesionální polykarbonátová nádoba" GN 1/3, h=150 mm, clear; listing/product price 165 CZK s DPH (product page also shows bez DPH, e.g. 1/1 100 mm 286 s DPH = 236 bez DPH). Price shown incl. VAT (CZ 21%); VAT removed for the net price. YES Gastro SKU GNP-13150.</t>
  </si>
  <si>
    <t xml:space="preserve">https://www.gastrosance.cz/gn-1/3--h-150-mm--polykarbonatova</t>
  </si>
  <si>
    <t xml:space="preserve">Gastronádoba polykarbonátová GN 1/3 150 mm</t>
  </si>
  <si>
    <t xml:space="preserve">1/3 PC 150 mm, clear; EXACT: "Gastronádoba polykarbonátová GN 1/3 150 mm", code R-M213150, brand Cambro; page shows 266 Kč / 220 Kč bez DPH; parameters Materiál: polykarbonát, transparent. Price shown excl. VAT (CZ 21%). YES Gastro SKU GNP-13150.</t>
  </si>
  <si>
    <t xml:space="preserve">https://www.tomgast.cz/gastronadoba-polykarbonatova-gn-1-3-150-mm-2/</t>
  </si>
  <si>
    <t xml:space="preserve">Skladem (69 ks)</t>
  </si>
  <si>
    <t xml:space="preserve">Nádoba GN 1/3, HENDI, Profi Line, GN 1/3, 5,7L, Priehľadná, 325x176x(H)150mm Kód: 861516</t>
  </si>
  <si>
    <t xml:space="preserve">1/3 PC 150 mm, clear; material not in product name; HENDI Profi Line 861 series: listing description says "z polykarbonátu"; price shown 8.15 € (net) / 10,02 € s DPH; code 861516 Price shown excl. VAT (SK 23%). YES Gastro SKU GNP-13150.</t>
  </si>
  <si>
    <t xml:space="preserve">Gastronádoba polykarbonátová GNP1/3 - 150</t>
  </si>
  <si>
    <t xml:space="preserve">1/3 PC 150 mm, clear (not stated); 'bez DPH' price shown; gross €8.30; code ; other offers on this shop for the same variant: Vogue 6.68 (Ospravedlňujeme sa, ); Vogue 8.99 (Ospravedlňujeme sa, ) Price shown excl. VAT (SK 23%). YES Gastro SKU GNP-13150.</t>
  </si>
  <si>
    <t xml:space="preserve">Gastronádoba z polykarbonátu GN 1/3, 150 mm | APS, 82122</t>
  </si>
  <si>
    <t xml:space="preserve">1/3 PC 150 mm, clear (not stated); SKU APS-82122; other offers on this shop for the same variant: STALGAST 10.23 (in stock); CAMBRO 10.82 (in stock); STALGAST 11.56 (in stock); STALGAST 11.85 (in stock) Price shown incl. VAT (SK 23%); VAT removed for the net price. YES Gastro SKU GNP-13150.</t>
  </si>
  <si>
    <t xml:space="preserve">https://gastromania.sk/gastronadoby-polypropylenove/gastronadoba-z-polykarbonatu-gn-1-3-150-mm-aps-82122</t>
  </si>
  <si>
    <t xml:space="preserve">gastro nádoba GN 1/3 polykarbonát v=150 mm Pujadas</t>
  </si>
  <si>
    <t xml:space="preserve">1/3 PC 150 mm, clear (not stated); listing shows gross 19,14 €; 'bez DPH' net 15.56 EUR on product page; SKU 227705069; other offers on this shop for the same variant: Araven 22.71 (in stock); APS 14.30 (in stock); Araven 14.21 (Na objednávku (3-5 t); APS 14.21 (Na objednávku (3-5 t) Price shown incl. VAT (SK 23%); VAT removed for the net price. YES Gastro SKU GNP-13150.</t>
  </si>
  <si>
    <t xml:space="preserve">https://www.gastrozone.sk/gastro-nadoba-gn-1-3-polykarbonat-v-150-mm-pujadas.html</t>
  </si>
  <si>
    <t xml:space="preserve">Skladom - centrálny sklad &gt; 100 ks 7. 10. - 8. 10. u vás</t>
  </si>
  <si>
    <t xml:space="preserve">1/3 PC 150 mm, clear (not stated); 'bez DPH' price shown; gross 6.42 EUR; other offers on this shop for the same variant: not stated (shop own line) 8.41 (in stock); HENDI 5.31 (in stock); HENDI 6.08 (in stock); HENDI 6.37 (in stock) Price shown excl. VAT (SK 23%). YES Gastro SKU GNP-13150.</t>
  </si>
  <si>
    <t xml:space="preserve">Cuva GN 1/3 policarbonat – 200 mm</t>
  </si>
  <si>
    <t xml:space="preserve">1/3 PC 200 mm, clear; EXACT: size, depth and material (policarbonat transparent) in name and page spec. Shown "45.68 lei fără TVA (55.27 lei cu TVA)". Sale price; regular (initial) net price 61.05 lei. Price shown excl. VAT (RO 21%). YES Gastro SKU GNP-13200.</t>
  </si>
  <si>
    <t xml:space="preserve">https://direca.ro/shop/cuva-gn-1-3-policarbonat-200-mm/</t>
  </si>
  <si>
    <t xml:space="preserve">Cuva policarbonat transparent GN 1/3 325x176x200 mm</t>
  </si>
  <si>
    <t xml:space="preserve">1/3 PC 200 mm, clear; EXACT: size, depth and material (policarbonat transparent) stated; price shown "( inclusiv T.V.A. )"; B2B tier discounts from 3,500 lei. Price shown incl. VAT (RO 21%); VAT removed for the net price. YES Gastro SKU GNP-13200.</t>
  </si>
  <si>
    <t xml:space="preserve">https://www.fimax.ro/produs/cuva-policarbonat-transparent-gn-1-3-325x176x200-mm/</t>
  </si>
  <si>
    <t xml:space="preserve">Produs pentru gastronomie GN 1/3 176x325 mm policarbonat h=200 mm Pujadas</t>
  </si>
  <si>
    <t xml:space="preserve">1/3 PC 200 mm, clear; EXACT: Pujadas polycarbonate GN container, size/depth/material in name. SKU 227705061. Listing price is gross; product page shows gross and "fără TVA" net below it. Price shown incl. VAT (RO 21%); VAT removed for the net price. YES Gastro SKU GNP-13200.</t>
  </si>
  <si>
    <t xml:space="preserve">https://www.gastrozone.ro/produs-pentru-gastronomie-gn-1-3-176x325-mm-policarbonat-h-200-mm-pujadas.html</t>
  </si>
  <si>
    <t xml:space="preserve">Tava gastronorm | GN 1/3-200 mm policarbonat</t>
  </si>
  <si>
    <t xml:space="preserve">1/3 PC 200 mm, clear; EXACT: GastroPlast polycarbonate GN tray, size and depth in name and code. Shop code GNP13200; price shown in EUR "fara TVA" (invoiced in RON at BNR rate). Discounted price; regular price 5.17 EUR shown struck through. Price shown excl. VAT (RO 21%). YES Gastro SKU GNP-13200.</t>
  </si>
  <si>
    <t xml:space="preserve">https://www.lancom.ro/tava-gastronorm-gn-13-200-policarbonat-6947</t>
  </si>
  <si>
    <t xml:space="preserve">Recipient GN 1/3 adâncime 20 cm din policarbonat | YATO YG-00413</t>
  </si>
  <si>
    <t xml:space="preserve">1/3 PC 200 mm, clear; EXACT: size, depth and material (policarbonat) in product name. Listing shows "Pret net 29.43 RON" and "Pret brut 35.61 RON/buc". Price shown excl. VAT (RO 21%). YES Gastro SKU GNP-13200.</t>
  </si>
  <si>
    <t xml:space="preserve">https://mmgastro.ro/ro/products/recipient-gn-1-3-adancime-20-cm-din-policarbonat-yato-yg-00413-143193</t>
  </si>
  <si>
    <t xml:space="preserve">GN Behälter 1/3 PC Höhe 200 mm</t>
  </si>
  <si>
    <t xml:space="preserve">1/3 PC 200 mm, transparent; EXACT: polycarbonate GN 1/3 x 200 mm ("Formstabiles Polycarbonat"); Art. 10014632;0;; listing "Steuerhinweis: exkl. MwSt.", footer "Preisangaben exkl. gesetzl. MwSt." (Gewerbekunden price list). Price shown excl. VAT (AT 20%). YES Gastro SKU GNP-13200.</t>
  </si>
  <si>
    <t xml:space="preserve">https://www.allpax.at/product_info.php/info/GN-Behaelter-1-3-PC-Hoehe-200-mm.html</t>
  </si>
  <si>
    <t xml:space="preserve">RIEBER GN 1/3 Polycarbonat-Behälter - Tiefe 200mm</t>
  </si>
  <si>
    <t xml:space="preserve">1/3 PC 200 mm, transparent (glasklar); EXACT: Rieber Polycarbonat-Behälter GN 1/3, Tiefe 200 mm; listing shows net price with "(… inkl. MwSt.) Zzgl. 20% MwSt."; listing flags "Sale" but strike price equals current price. Price shown excl. VAT (AT 20%). YES Gastro SKU GNP-13200.</t>
  </si>
  <si>
    <t xml:space="preserve">https://www.gastro-star.at/produkt/riebergn13polycarbonat-behaelter-tiefe200mm-48815/</t>
  </si>
  <si>
    <t xml:space="preserve">Vogue GN-Behälter 1/3 Polycarbonat - Tiefe 200 mm</t>
  </si>
  <si>
    <t xml:space="preserve">1/3 PC 200 mm, transparent; EXACT: polycarbonate stated in name, GN 1/3 x 200 mm; SKU U235; page shows Angebotspreis 9.99 vs Normaler Preis 11.89; price shown is net (page shows e.g. "X € inkl. MwSt." computed at 19% underneath). Price shown excl. VAT (AT 20%). YES Gastro SKU GNP-13200.</t>
  </si>
  <si>
    <t xml:space="preserve">https://www.gastro-hero.at/products/vogue-gn-behaelter-13-polycarbonat-tiefe-200-mm-u235</t>
  </si>
  <si>
    <t xml:space="preserve">WAS GN 94 Behälter 1/3-200 mm mit Skalierung Polycarbonat</t>
  </si>
  <si>
    <t xml:space="preserve">1/3 PC 200 mm, transparent; EXACT: WAS GN 94 polycarbonate container GN 1/3 x 200 mm; listing price "zzgl. 19% MwSt." (German shop shipping to DE &amp; AT, VAT footnote says 19%). Price shown excl. VAT (AT 20%). YES Gastro SKU GNP-13200.</t>
  </si>
  <si>
    <t xml:space="preserve">https://www.gastrodax.de/was-gn-94-behaelter-1-3-200-mm-mit-skalierung-polycarbonat</t>
  </si>
  <si>
    <t xml:space="preserve">Vogue Polycarbonat GN-Behälter GN1/3 200mm</t>
  </si>
  <si>
    <t xml:space="preserve">1/3 PC 200 mm, transparent; EXACT: polycarbonate stated on page (Polycarbonat in product name), GN 1/3 x 200 mm; Art.-Nr. U235; price "inkl. MwSt., zzgl. Versand". Price shown incl. VAT (AT 20%); VAT removed for the net price. YES Gastro SKU GNP-13200.</t>
  </si>
  <si>
    <t xml:space="preserve">https://www.gastroladen.at/3020@GN-U235/</t>
  </si>
  <si>
    <t xml:space="preserve">Gastronorm Behälter GN 1/3 | GN 96 BLACK | Polycarbonat schwarz H 200 mm</t>
  </si>
  <si>
    <t xml:space="preserve">1/3 PC 200 mm, black; EXACT: WAS GN 96 BLACK, Materialtyp Polycarbonat, Farbe schwarz, GN 1/3, Höhe 200 mm; Bestell-Nr 1016779; single-piece price "Preis pro Stück, zzgl. MwSt" (page also shows inkl. 20% MwSt); UVP 15,00; Staffelpreise: ab 3 11,31, ab 6 10,95 per piece; Price shown excl. VAT (AT 20%); page read with a headless browser (prices rendered by JavaScript). YES Gastro SKU GNP-13200/B.</t>
  </si>
  <si>
    <t xml:space="preserve">https://www.intergastro.at/gastronorm-behaelter-gn-1-3-gn-96-black-polycarbonat-schwarz-h-200-mm-1016779</t>
  </si>
  <si>
    <t xml:space="preserve">GN-Behälter - transparent - Serie 94 - Inhalt 7,1 l - GN 1/3 (325 x 176 mm) - 200 mm - Polycarbonat - premium Qualität</t>
  </si>
  <si>
    <t xml:space="preserve">1/3 PC 200 mm, transparent; EXACT: polycarbonate stated in name (Material: Kunststoff, Polycarbonat), GN 1/3, 200 mm stated in name; Art. 9413200-A; sale price, Regulärer Preis 12.20; footer "Preise zzgl. MwSt. zzgl. Versandkosten". Price shown excl. VAT (AT 20%). YES Gastro SKU GNP-13200.</t>
  </si>
  <si>
    <t xml:space="preserve">https://shopbuero.com/gn-behaelter-transparent-serie-94-inhalt-7-1-l-gn-1-3-325-x-176-mm-200-mm-polycarbonat-premium-qualitaet/9413200-A</t>
  </si>
  <si>
    <t xml:space="preserve">1/3 PC 200 mm, transparent; EXACT: GN 1/3, 200 mm, Polycarbonat stated; Art.-Nr. 10014632;0; price shown on default 'Gewerbekunden' price list, Steuerhinweis 'zzgl. MwSt.'. Price shown excl. VAT (DE 19%). YES Gastro SKU GNP-13200.</t>
  </si>
  <si>
    <t xml:space="preserve">https://www.allpax.de/product_info.php/info/GN-Behaelter-1-3-PC-Hoehe-200-mm.html</t>
  </si>
  <si>
    <t xml:space="preserve">GN Behälter mit Skalierung, GN 1/3 - 200 mm, transparent, Polycarbonat, GN 94 Serie</t>
  </si>
  <si>
    <t xml:space="preserve">1/3 PC 200 mm, transparent; EXACT: GN 1/3, 200 mm, material Polycarbonat stated; Art.Nr. 9413200; price inkl. 19% USt, shop also shows Netto 8,83 EUR; -28% promo vs UVP 14,52 EUR. Price shown incl. VAT (DE 19%); VAT removed for the net price. YES Gastro SKU GNP-13200.</t>
  </si>
  <si>
    <t xml:space="preserve">https://gastro-spirit.de/behaelter-mit-skalierung-gn-1-3-serie-gn-94-9413200</t>
  </si>
  <si>
    <t xml:space="preserve">1/3 PC 200 mm, transparent; EXACT: GN 1/3, 200 mm, Material Polycarbonat stated; Art.-Nr. U235; page shows gross 11,41 EUR 'inkl. MwSt.' and net 9,59 EUR; footer: 'Alle Preise sind Stückpreise und verstehen sich netto zzgl. MwSt.' (B2B shop); net price recorded. Price shown excl. VAT (DE 19%). YES Gastro SKU GNP-13200.</t>
  </si>
  <si>
    <t xml:space="preserve">https://www.gastro-hero.de/products/vogue-gn-behaelter-13-polycarbonat-tiefe-200-mm-u235</t>
  </si>
  <si>
    <t xml:space="preserve">Hendi Gastronorm-Behälter 1/3, GN 1/3, 7, 8L, Transparent, 325x176x(H)200mm – Polycarbonat</t>
  </si>
  <si>
    <t xml:space="preserve">1/3 PC 200 mm, transparent; EXACT: GN 1/3, 200 mm, material Polycarbonat stated; Art.-Nr. HEN-861509; price 'zzgl. 19% MwSt.' (B2B net). Price shown excl. VAT (DE 19%). YES Gastro SKU GNP-13200.</t>
  </si>
  <si>
    <t xml:space="preserve">https://www.gastrodax.de/hendi-gastronorm-behaelter-gn-1-3-7-8-l-polykarbonat-transparent-325-x-176-x-h-200-mm</t>
  </si>
  <si>
    <t xml:space="preserve">1/3 PC 200 mm, transparent; EXACT: GN 1/3, 200 mm, Polycarbonat in product name/Material field; Art.-Nr. U235; price shown 'inkl. MwSt., zzgl. 7,95 EUR Versand in D'. Price shown incl. VAT (DE 19%); VAT removed for the net price. YES Gastro SKU GNP-13200.</t>
  </si>
  <si>
    <t xml:space="preserve">https://www.gastroladen.de/3020@GN-U235/Vogue-Polycarbonat-GN-Beh%C3%A4lter-GN1-3-200mm.htm</t>
  </si>
  <si>
    <t xml:space="preserve">Gastronormbehälter GN 1/3  x 200 mm GN 94 Polycarbonat transparent</t>
  </si>
  <si>
    <t xml:space="preserve">1/3 PC 200 mm, transparent; EXACT: GN 1/3, 200 mm, Polycarbonat in product name; Bestell-Nr 252336, Serie GN 94; single-piece price 'Preis pro Stück, zzgl. MwSt' (Staffelpreise for 3+ pcs exist on page); shop shows UVP 12,2 EUR. Price shown excl. VAT (DE 19%). YES Gastro SKU GNP-13200.</t>
  </si>
  <si>
    <t xml:space="preserve">https://www.intergastro.de/gastronormbehaelter-gn-1-3-x-200-mm-gn-94-polycarbonat-transparent-252336</t>
  </si>
  <si>
    <t xml:space="preserve">1/3 PC 200 mm, transparent; EXACT: GN 1/3, 200 mm, Polycarbonat in product name; Art.-Nr. U235; listing shows price with 'Zzgl. MwSt.' (search results page, 2026-10-02); reduced price, regular 'BISHER' 12,19 EUR. Price shown excl. VAT (DE 19%); page read with a headless browser (prices rendered by JavaScript). YES Gastro SKU GNP-13200.</t>
  </si>
  <si>
    <t xml:space="preserve">https://www.nisbets.de/vogue-polycarbonat-gn-behlter-200mm/u235</t>
  </si>
  <si>
    <t xml:space="preserve">Gastronádoba PC 1/3 200</t>
  </si>
  <si>
    <t xml:space="preserve">1/3 PC 200 mm, clear; EXACT: "Gastronádoba PC 1/3 200" in category "Polykarbonátové gastronádoby", code 0835132; page shows 302.5 Kč včetně DPH and 250 Kč bez DPH; brand not stated. Price shown incl. VAT (CZ 21%); VAT removed for the net price. YES Gastro SKU GNP-13200.</t>
  </si>
  <si>
    <t xml:space="preserve">https://eshop.gastronovotny.cz/gastronadoba-pc-1-3-200--0835132/</t>
  </si>
  <si>
    <t xml:space="preserve">Gastronádoba polykarbonátová - GN 1/3, 200mm Hendi</t>
  </si>
  <si>
    <t xml:space="preserve">1/3 PC 200 mm, clear; EXACT: polycarbonate stated in product name ("polykarbonátová"), GN 1/3 x 200 mm, clear (Hendi); listing shows 209 Kč bez DPH / 253 Kč s DPH. Regular price 308 Kč s DPH (listing shows discount). Price shown excl. VAT (CZ 21%). YES Gastro SKU GNP-13200.</t>
  </si>
  <si>
    <t xml:space="preserve">https://www.gastrofans.cz/gastronadoba-1-3-pc-transparent-7-8-l-325x176x-h-200-mm/</t>
  </si>
  <si>
    <t xml:space="preserve">Gastro nádoba GN 1/3 200 mm, polykarbonát | YATO, YG-00413</t>
  </si>
  <si>
    <t xml:space="preserve">1/3 PC 200 mm, clear; EXACT: "polykarbonát" in product name, GN 1/3 200 mm, Yato YG-00413; listing shows bez DPH 183 Kč / s DPH 222 Kč (cheapest PC brand in shop). Price shown excl. VAT (CZ 21%); page read with a headless browser (prices rendered by JavaScript). YES Gastro SKU GNP-13200.</t>
  </si>
  <si>
    <t xml:space="preserve">https://www.gastromania.cz/gastronadoby-polykarbonatove/gastro-nadoba-gn-1-3-200-mm-polykarbonat-yato-yg-00413</t>
  </si>
  <si>
    <t xml:space="preserve">Gastronádoba polykarbonátová GN 1/3 200 mm</t>
  </si>
  <si>
    <t xml:space="preserve">1/3 PC 200 mm, clear; EXACT: "Gastronádoba polykarbonátová GN 1/3 200 mm" (description: "kvalitní polykarbonát", transparent), category Gastronádoby polykarbonátové under "Tomg - drobné vybavení" (TOMGAST wholesale range); current price 259.44 Kč bez DPH after -4% from regular 270.25 Kč bez DPH. Price shown excl. VAT (CZ 21%). YES Gastro SKU GNP-13200.</t>
  </si>
  <si>
    <t xml:space="preserve">https://www.promos-gastro.cz/tomgast-velkoobchod-gastro-vybaveni/gastronadoby/gastronadoby-polykarbonatove/22734-gastronadoba-polykarbonatova-gn-1-3-200-mm.html</t>
  </si>
  <si>
    <t xml:space="preserve">not stated (TOMGAST wholesale range)</t>
  </si>
  <si>
    <t xml:space="preserve">schema.org InStock (no stock text on page)</t>
  </si>
  <si>
    <t xml:space="preserve">1/3 PC 200 mm, clear; EXACT: "Gastronádoba polykarbonátová GN 1/3 200 mm", code M2-13200, brand TOMGAST; page shows 327 Kč / 270 Kč bez DPH; parameters Materiál: polykarbonát, transparent. Price shown excl. VAT (CZ 21%). YES Gastro SKU GNP-13200.</t>
  </si>
  <si>
    <t xml:space="preserve">https://www.tomgast.cz/gastronadoba-polykarbonatova-gn-1-3-200-mm/</t>
  </si>
  <si>
    <t xml:space="preserve">Skladem (5 ks)</t>
  </si>
  <si>
    <t xml:space="preserve">Nádoba GN 1/3, HENDI, Profi Line, GN 1/3, 7,8L, Priehľadná, 325x176x(H)200mm Kód: 861509</t>
  </si>
  <si>
    <t xml:space="preserve">1/3 PC 200 mm, clear; material not in product name; HENDI Profi Line 861 series: listing description says "z polykarbonátu"; price shown 10.00 € (net) / 12,30 € s DPH; code 861509 Price shown excl. VAT (SK 23%). YES Gastro SKU GNP-13200.</t>
  </si>
  <si>
    <t xml:space="preserve">Gastronádoba polykarbonátová GNP1/3 - 200</t>
  </si>
  <si>
    <t xml:space="preserve">1/3 PC 200 mm, clear (not stated); 'bez DPH' price shown; gross €10.38; code ; other offers on this shop for the same variant: Vogue 12.19 (in stock) Price shown excl. VAT (SK 23%). YES Gastro SKU GNP-13200.</t>
  </si>
  <si>
    <t xml:space="preserve">1/3 PC 200 mm, clear (not stated); SKU YATO-YG-00413; other offers on this shop for the same variant: STALGAST 11.60 (in stock); STALGAST 13.30 (in stock); CAMBRO 14.02 (in stock); CONTACTO 19.43 (in stock) Price shown incl. VAT (SK 23%); VAT removed for the net price. YES Gastro SKU GNP-13200.</t>
  </si>
  <si>
    <t xml:space="preserve">https://gastromania.sk/gastronadoby-polykarbonatove/gastro-nadoba-gn-1-3-200-mm-polykarbonat-yato-yg-00413</t>
  </si>
  <si>
    <t xml:space="preserve">gastro nádoba GN 1/3 polykarbonát v=200 mm Pujadas</t>
  </si>
  <si>
    <t xml:space="preserve">1/3 PC 200 mm, clear (not stated); listing shows gross 21,91 €; 'bez DPH' net 17.81 EUR on product page; SKU 227705061; other offers on this shop for the same variant: Araven 26.48 (in stock); APS 17.64 (in stock) Price shown incl. VAT (SK 23%); VAT removed for the net price. YES Gastro SKU GNP-13200.</t>
  </si>
  <si>
    <t xml:space="preserve">https://www.gastrozone.sk/gastro-nadoba-gn-1-3-polykarbonat-v-200-mm-pujadas.html</t>
  </si>
  <si>
    <t xml:space="preserve">1/3 PC 200 mm, clear (not stated); 'bez DPH' price shown; gross 12.52 EUR; other offers on this shop for the same variant: not stated (shop own line) 10.92 (in stock); HENDI 6.50 (in stock); HENDI 7.15 (in stock) Price shown excl. VAT (SK 23%). YES Gastro SKU GNP-13200.</t>
  </si>
  <si>
    <t xml:space="preserve">Cuva GN 1/4 policarbonat – 65 mm</t>
  </si>
  <si>
    <t xml:space="preserve">1/4 PC 65 mm, clear; EXACT: size, depth and material (policarbonat transparent) in name and page spec. Shown "20.77 lei fără TVA (25.13 lei cu TVA)". Sale price; regular (initial) net price 27.69 lei. Price shown excl. VAT (RO 21%). YES Gastro SKU GNP-1465.</t>
  </si>
  <si>
    <t xml:space="preserve">https://direca.ro/shop/cuva-gn-1-4-policarbonat-65-mm/</t>
  </si>
  <si>
    <t xml:space="preserve">Cuva policarbonat transparent GN 1/4 265x162x65 mm</t>
  </si>
  <si>
    <t xml:space="preserve">1/4 PC 65 mm, clear; EXACT: size, depth and material (policarbonat transparent) stated; price shown "( inclusiv T.V.A. )"; B2B tier discounts from 3,500 lei. Price shown incl. VAT (RO 21%); VAT removed for the net price. YES Gastro SKU GNP-1465.</t>
  </si>
  <si>
    <t xml:space="preserve">https://www.fimax.ro/produs/cuva-policarbonat-transparent-gn-1-4-265x162x65-mm/</t>
  </si>
  <si>
    <t xml:space="preserve">ARAVEN Recipient gastronomic GN 1/4, Policarbonat, Adancime: 65 mm, Continut: 1,7 L</t>
  </si>
  <si>
    <t xml:space="preserve">1/4 PC 65 mm, clear; EXACT: Araven polycarbonate GN container, size/depth/material stated in name. SKU 229901606. Listing price is gross; product page shows gross and "fără TVA" net below it. Price shown incl. VAT (RO 21%); VAT removed for the net price. YES Gastro SKU GNP-1465.</t>
  </si>
  <si>
    <t xml:space="preserve">https://www.gastrozone.ro/araven-gn-containere-1-4-policarbonat-adancime-65-mm-continut-1-7-l.html</t>
  </si>
  <si>
    <t xml:space="preserve">Tava gastronorm | GN 1/4-65 mm policarbonat</t>
  </si>
  <si>
    <t xml:space="preserve">1/4 PC 65 mm, clear; EXACT: GastroPlast polycarbonate GN tray, size and depth in name and code. Shop code GNP1465; price shown in EUR "fara TVA" (invoiced in RON at BNR rate). Discounted price; regular price 2.75 EUR shown struck through. Price shown excl. VAT (RO 21%). YES Gastro SKU GNP-1465.</t>
  </si>
  <si>
    <t xml:space="preserve">https://www.lancom.ro/tava-gastronorm-gn-14-65-policarbonat-6953</t>
  </si>
  <si>
    <t xml:space="preserve">Recipient GN 1/4 adâncime 6,5 cm din policarbonat | YATO YG-00419</t>
  </si>
  <si>
    <t xml:space="preserve">1/4 PC 65 mm, clear; EXACT: size, depth and material (policarbonat) in product name. Listing shows "Pret net 14.52 RON" and "Pret brut 17.57 RON/buc". Price shown excl. VAT (RO 21%). YES Gastro SKU GNP-1465.</t>
  </si>
  <si>
    <t xml:space="preserve">https://mmgastro.ro/ro/products/recipient-gn-1-4-adancime-6-5-cm-din-policarbonat-yato-yg-00419-139185</t>
  </si>
  <si>
    <t xml:space="preserve">PC GN 1/4 Höhe 65 mm schwarz</t>
  </si>
  <si>
    <t xml:space="preserve">1/4 PC 65 mm, black; EXACT: polycarbonate GN 1/4 x 65 mm ("Robuster GN 1/4 Behälter aus Polycarbonat"); Art. 10024413;0; sale price (statt 2.25); listing "Steuerhinweis: exkl. MwSt.", footer "Preisangaben exkl. gesetzl. MwSt." (Gewerbekunden price list). Price shown excl. VAT (AT 20%). YES Gastro SKU GNP-1465/B.</t>
  </si>
  <si>
    <t xml:space="preserve">https://www.allpax.at/product_info.php/info/PC-GN-1-4-Hoehe-65-mm-schwarz.html</t>
  </si>
  <si>
    <t xml:space="preserve">Lieferbar ab KW 05/2027</t>
  </si>
  <si>
    <t xml:space="preserve">RIEBER GN 1/4 Polycarbonat-Behälter - Tiefe 65mm</t>
  </si>
  <si>
    <t xml:space="preserve">1/4 PC 65 mm, transparent (glasklar); EXACT: Rieber Polycarbonat-Behälter GN 1/4, Tiefe 65 mm; listing shows net price with "(… inkl. MwSt.) Zzgl. 20% MwSt."; listing flags "Sale" but strike price equals current price. Price shown excl. VAT (AT 20%). YES Gastro SKU GNP-1465.</t>
  </si>
  <si>
    <t xml:space="preserve">https://www.gastro-star.at/produkt/riebergn14polycarbonat-behaelter-tiefe65mm-48821/</t>
  </si>
  <si>
    <t xml:space="preserve">Schneider Polycarbonat GN 1/4 Behälter 65 mm, 1,7 l</t>
  </si>
  <si>
    <t xml:space="preserve">1/4 PC 65 mm, transparent; EXACT: polycarbonate stated in name, GN 1/4 x 65 mm; SKU 530130; price shown is net (page shows e.g. "X € inkl. MwSt." computed at 19% underneath). Price shown excl. VAT (AT 20%). YES Gastro SKU GNP-1465.</t>
  </si>
  <si>
    <t xml:space="preserve">https://www.gastro-hero.at/products/schneider-polycarbonat-gn-14-behaelter-65-mm-17-l-530130</t>
  </si>
  <si>
    <t xml:space="preserve">WAS GN 94 Behälter 1/4-065 mm Polycarbonat</t>
  </si>
  <si>
    <t xml:space="preserve">1/4 PC 65 mm, transparent; EXACT: WAS GN 94 polycarbonate container GN 1/4 x 65 mm; listing price "zzgl. 19% MwSt." (German shop shipping to DE &amp; AT, VAT footnote says 19%). Price shown excl. VAT (AT 20%). YES Gastro SKU GNP-1465.</t>
  </si>
  <si>
    <t xml:space="preserve">https://www.gastrodax.de/was-gn-94-behaelter-1-4-065-mm-polycarbonat</t>
  </si>
  <si>
    <t xml:space="preserve">Vogue Polycarbonat GN-Behälter GN1/4 65mm</t>
  </si>
  <si>
    <t xml:space="preserve">1/4 PC 65 mm, transparent; EXACT: polycarbonate stated on page (Polycarbonat in product name), GN 1/4 x 65 mm; Art.-Nr. U236; price "inkl. MwSt., zzgl. Versand". Price shown incl. VAT (AT 20%); VAT removed for the net price. YES Gastro SKU GNP-1465.</t>
  </si>
  <si>
    <t xml:space="preserve">https://www.gastroladen.at/3020@GN-U236/</t>
  </si>
  <si>
    <t xml:space="preserve">Gastronormbehälter GN 1/4 x 65 mm GN 94 Polycarbonat</t>
  </si>
  <si>
    <t xml:space="preserve">1/4 PC 65 mm, transparent; EXACT: WAS GN 94 transparent, Materialtyp Polycarbonat, GN 1/4 x 65 mm (65 mm variant page; 100/150/200 mm variants only selectable via JS variant switch, not recorded); Bestell-Nr 252294; "Preis pro Stück, zzgl. MwSt"; UVP 5,30; Staffelpreise: ab 3 4,11, ab 6 3,90 per piece; Price shown excl. VAT (AT 20%); page read with a headless browser (prices rendered by JavaScript). YES Gastro SKU GNP-1465.</t>
  </si>
  <si>
    <t xml:space="preserve">https://www.intergastro.at/gastronormbehaelter-gn-1-4-x-65-mm-gn-94-polycarbonat-252294</t>
  </si>
  <si>
    <t xml:space="preserve">GN-Behälter - transparent - Serie 94 - Inhalt 1,7 l - GN 1/4 (265 x 162 mm) - 65 mm - Polycarbonat - premium Qualität</t>
  </si>
  <si>
    <t xml:space="preserve">1/4 PC 65 mm, transparent; EXACT: polycarbonate stated in name (Material: Kunststoff, Polycarbonat), GN 1/4, 65 mm stated in name; Art. 9414065-A; sale price, Regulärer Preis 5.30; footer "Preise zzgl. MwSt. zzgl. Versandkosten". Price shown excl. VAT (AT 20%). YES Gastro SKU GNP-1465.</t>
  </si>
  <si>
    <t xml:space="preserve">https://shopbuero.com/gn-behaelter-transparent-serie-94-inhalt-1-7-l-gn-1-4-265-x-162-mm-65-mm-polycarbonat-premium-qualitaet/9414065-A</t>
  </si>
  <si>
    <t xml:space="preserve">1/4 PC 65 mm, black; EXACT: GN 1/4, 65 mm, Polycarbonat stated; Art.-Nr. 10024413;0; price shown on default 'Gewerbekunden' price list, Steuerhinweis 'zzgl. MwSt.'; promo 'jetzt' price, regular 'statt' 2.25 EUR. Price shown excl. VAT (DE 19%). YES Gastro SKU GNP-1465/B.</t>
  </si>
  <si>
    <t xml:space="preserve">https://www.allpax.de/product_info.php/info/PC-GN-1-4-Hoehe-65-mm-schwarz.html</t>
  </si>
  <si>
    <t xml:space="preserve">GN Behälter mit Skalierung, GN 1/4 - 65 mm, transparent, Polycarbonat, GN 94 Serie</t>
  </si>
  <si>
    <t xml:space="preserve">1/4 PC 65 mm, transparent; EXACT: GN 1/4, 65 mm, material Polycarbonat stated; Art.Nr. 9414065; price inkl. 19% USt, shop also shows Netto 3,84 EUR; -28% promo vs UVP 6,31 EUR. Price shown incl. VAT (DE 19%); VAT removed for the net price. YES Gastro SKU GNP-1465.</t>
  </si>
  <si>
    <t xml:space="preserve">https://gastro-spirit.de/behaelter-mit-skalierung-gn-1-4-serie-gn-94-9414065</t>
  </si>
  <si>
    <t xml:space="preserve">1/4 PC 65 mm, transparent; EXACT: GN 1/4, 65 mm, Material Polycarbonat stated; Art.-Nr. 530130; page shows gross 5,22 EUR 'inkl. MwSt.' and net 4,39 EUR; footer: 'Alle Preise sind Stückpreise und verstehen sich netto zzgl. MwSt.' (B2B shop); net price recorded. Price shown excl. VAT (DE 19%). YES Gastro SKU GNP-1465.</t>
  </si>
  <si>
    <t xml:space="preserve">https://www.gastro-hero.de/products/schneider-polycarbonat-gn-14-behaelter-65-mm-17-l-530130</t>
  </si>
  <si>
    <t xml:space="preserve">1/4 PC 65 mm, transparent; EXACT: GN 1/4, 65 mm, material Polycarbonat stated; Art.-Nr. WAS-9414065; price 'zzgl. 19% MwSt.' (B2B net). Price shown excl. VAT (DE 19%). YES Gastro SKU GNP-1465.</t>
  </si>
  <si>
    <t xml:space="preserve">1/4 PC 65 mm, transparent; EXACT: GN 1/4, 65 mm, Polycarbonat in product name/Material field; Art.-Nr. U236; price shown 'inkl. MwSt., zzgl. 7,95 EUR Versand in D'. Price shown incl. VAT (DE 19%); VAT removed for the net price. YES Gastro SKU GNP-1465.</t>
  </si>
  <si>
    <t xml:space="preserve">https://www.gastroladen.de/3020@GN-U236/Vogue-Polycarbonat-GN-Beh%C3%A4lter-GN1-4-65mm.htm</t>
  </si>
  <si>
    <t xml:space="preserve">Gastronormbehälter GN 1/4  x 65 mm GN 94 Polycarbonat</t>
  </si>
  <si>
    <t xml:space="preserve">1/4 PC 65 mm, transparent; EXACT: GN 1/4, 65 mm, Polycarbonat in product name; Bestell-Nr 252294, Serie GN 94; single-piece price 'Preis pro Stück, zzgl. MwSt' (Staffelpreise for 3+ pcs exist on page); shop shows UVP 5,3 EUR. Price shown excl. VAT (DE 19%). YES Gastro SKU GNP-1465.</t>
  </si>
  <si>
    <t xml:space="preserve">https://www.intergastro.de/gastronormbehaelter-gn-1-4-x-65-mm-gn-94-polycarbonat-252294</t>
  </si>
  <si>
    <t xml:space="preserve">1/4 PC 65 mm, transparent; EXACT: GN 1/4, 65 mm, Polycarbonat in product name; Art.-Nr. U236; listing shows price with 'Zzgl. MwSt.' (search results page, 2026-10-02). Price shown excl. VAT (DE 19%); page read with a headless browser (prices rendered by JavaScript). YES Gastro SKU GNP-1465.</t>
  </si>
  <si>
    <t xml:space="preserve">https://www.nisbets.de/vogue-polycarbonat-gn-behlter-65mm/u236</t>
  </si>
  <si>
    <t xml:space="preserve">Gastronádoba polykarbonátová - GN 1/4, 65mm Hendi</t>
  </si>
  <si>
    <t xml:space="preserve">1/4 PC 65 mm, black; EXACT: polycarbonate stated in product name ("polykarbonátová"), GN 1/4 x 65 mm, black (Hendi); listing shows 102 Kč bez DPH / 124 Kč s DPH. Regular price 151 Kč s DPH (listing shows discount). Price shown excl. VAT (CZ 21%). YES Gastro SKU GNP-1465/B.</t>
  </si>
  <si>
    <t xml:space="preserve">https://www.gastrofans.cz/gastronadoba-1-4-pc-black-1-8-l-265x162x-h-65-mm/</t>
  </si>
  <si>
    <t xml:space="preserve">Gastro nádoba GN 1/4 65 mm, polykarbonát | YATO, YG-00419</t>
  </si>
  <si>
    <t xml:space="preserve">1/4 PC 65 mm, clear; EXACT: "polykarbonát" in product name, GN 1/4 65 mm, Yato YG-00419; listing shows bez DPH 91 Kč / s DPH 110 Kč (cheapest PC brand in shop). Price shown excl. VAT (CZ 21%); page read with a headless browser (prices rendered by JavaScript). YES Gastro SKU GNP-1465.</t>
  </si>
  <si>
    <t xml:space="preserve">https://www.gastromania.cz/gastronadoby-polykarbonatove/gastro-nadoba-gn-1-4-65-mm-polykarbonat-yato-yg-00419</t>
  </si>
  <si>
    <t xml:space="preserve">ARAVEN Gastronádoba GN 1/4, polykarbonát, hloubka: 65 mm, objem: 1,7 L</t>
  </si>
  <si>
    <t xml:space="preserve">1/4 PC 65 mm, clear; EXACT: Araven polycarbonate GN 1/4 x 65 mm, code 229901606; page shows 222 Kč s DPH / 183 Kč bez DPH. Price shown excl. VAT (CZ 21%). YES Gastro SKU GNP-1465.</t>
  </si>
  <si>
    <t xml:space="preserve">https://www.gastrozone.cz/araven-gn-nadoba-1-4-polykarbonat-hloubka-65-mm-objem-1-7-l.html</t>
  </si>
  <si>
    <t xml:space="preserve">Gastronorm GN 1/4 (h=65 mm) polykarbonátová</t>
  </si>
  <si>
    <t xml:space="preserve">1/4 PC 65 mm, clear; EXACT: "Profesionální polykarbonátová nádoba" GN 1/4, h=65 mm, clear; listing/product price 85 CZK s DPH (product page also shows bez DPH, e.g. 1/1 100 mm 286 s DPH = 236 bez DPH). Price shown incl. VAT (CZ 21%); VAT removed for the net price. YES Gastro SKU GNP-1465.</t>
  </si>
  <si>
    <t xml:space="preserve">https://www.gastrosance.cz/gn-1/4--h-65-mm--polykarbonatova</t>
  </si>
  <si>
    <t xml:space="preserve">Gastronádoba polykarbonátová GN 1/4 65 mm</t>
  </si>
  <si>
    <t xml:space="preserve">1/4 PC 65 mm, clear; EXACT: "Gastronádoba polykarbonátová GN 1/4 65 mm", code R-M214065, brand Cambro; page shows 171 Kč / 141 Kč bez DPH; parameters Materiál: polykarbonát, transparent. Price shown excl. VAT (CZ 21%). YES Gastro SKU GNP-1465.</t>
  </si>
  <si>
    <t xml:space="preserve">https://www.tomgast.cz/gastronadoba-polykarbonatova-gn-1-4-65-mm/</t>
  </si>
  <si>
    <t xml:space="preserve">Skladem (42 ks)</t>
  </si>
  <si>
    <t xml:space="preserve">Nádoba GN 1/4, HENDI, Profi Line, GN 1/4, 1,8L, Priehľadná, 265x162x(H)65mm Kód: 861639</t>
  </si>
  <si>
    <t xml:space="preserve">1/4 PC 65 mm, clear; material not in product name; HENDI Profi Line 861 series: listing description says "z polykarbonátu"; price shown 4.45 € (net) / 5,47 € s DPH; code 861639 Price shown excl. VAT (SK 23%). YES Gastro SKU GNP-1465.</t>
  </si>
  <si>
    <t xml:space="preserve">Gastronádoba polykarbonátová GNP1/4 - 65</t>
  </si>
  <si>
    <t xml:space="preserve">1/4 PC 65 mm, clear (not stated); 'bez DPH' price shown; gross €4.53; code ; other offers on this shop for the same variant: Vogue 5.14 (in stock); Vogue 6.46 (in stock) Price shown excl. VAT (SK 23%). YES Gastro SKU GNP-1465.</t>
  </si>
  <si>
    <t xml:space="preserve">Gastronádoba z polykarbonátu GN 1/4, 65 mm | APS, 82128</t>
  </si>
  <si>
    <t xml:space="preserve">1/4 PC 65 mm, clear (not stated); SKU APS-82128; other offers on this shop for the same variant: YATO 4.35 (in stock); STALGAST 4.90 (in stock); STALGAST 5.33 (in stock); STALGAST 5.91 (in stock) Price shown incl. VAT (SK 23%); VAT removed for the net price. YES Gastro SKU GNP-1465.</t>
  </si>
  <si>
    <t xml:space="preserve">https://gastromania.sk/gastronadoby-polypropylenove/gastronadoba-z-polykarbonatu-gn-1-4-65-mm-aps-82128</t>
  </si>
  <si>
    <t xml:space="preserve">ARAVEN Gastronádoba GN 1/4, polykarbonát, integrovaný štítok, hĺbka: 65 mm, objem: 1,6 L</t>
  </si>
  <si>
    <t xml:space="preserve">1/4 PC 65 mm, clear (not stated); listing shows gross 13,24 €; 'bez DPH' net 10.76 EUR on product page; SKU 229901757; other offers on this shop for the same variant: Araven 8.94 (Na objednávku (3-5 t); APS 7.64 (Na objednávku (3-5 t); APS 7.71 (Na objednávku (3-5 t) Price shown incl. VAT (SK 23%); VAT removed for the net price. YES Gastro SKU GNP-1465.</t>
  </si>
  <si>
    <t xml:space="preserve">https://www.gastrozone.sk/araven-gn-nadoba-1-4-polykarbonat-hloubka-65-mm-objem-1-6-l.html</t>
  </si>
  <si>
    <t xml:space="preserve">Gastronádoba polykarbonátová GN 1/4 065 mm</t>
  </si>
  <si>
    <t xml:space="preserve">1/4 PC 65 mm, clear (not stated); 'bez DPH' price shown; gross 4.12 EUR; other offers on this shop for the same variant: not stated (shop own line) 5.41 (in stock); HENDI 2.88 (in stock); HENDI 3.06 (in stock); HENDI 3.18 (in stock) Price shown excl. VAT (SK 23%). YES Gastro SKU GNP-1465.</t>
  </si>
  <si>
    <t xml:space="preserve">Tava GN 1/4 policarbonat transparent – 100 mm</t>
  </si>
  <si>
    <t xml:space="preserve">1/4 PC 100 mm, clear; EXACT: variable product "Tava GN 1/4 policarbonat transparent", depth variation 100 mm selected, material stated on page; variation SKU HD861622; price per variation shown net ("fără TVA"). Price shown "fără TVA". Price shown excl. VAT (RO 21%). YES Gastro SKU GNP-14100.</t>
  </si>
  <si>
    <t xml:space="preserve">https://direca.ro/shop/tava-gn-14-policarbonat-transparent/</t>
  </si>
  <si>
    <t xml:space="preserve">Cuva policarbonat transparent GN 1/4 265x162x100 mm</t>
  </si>
  <si>
    <t xml:space="preserve">1/4 PC 100 mm, clear; EXACT: size, depth and material (policarbonat transparent) stated; price shown "( inclusiv T.V.A. )"; B2B tier discounts from 3,500 lei. Price shown incl. VAT (RO 21%); VAT removed for the net price. YES Gastro SKU GNP-14100.</t>
  </si>
  <si>
    <t xml:space="preserve">https://www.fimax.ro/produs/cuva-policarbonat-transparent-gn-1-4-265x162x100-mm/</t>
  </si>
  <si>
    <t xml:space="preserve">ARAVEN Recipient gastronomic GN 1/4, Policarbonat, Adancime: 100 mm, Capacitate: 2,6 L</t>
  </si>
  <si>
    <t xml:space="preserve">1/4 PC 100 mm, clear; EXACT: Araven polycarbonate GN container, size/depth/material stated in name. SKU 229901607. Listing price is gross; product page shows gross and "fără TVA" net below it. Price shown incl. VAT (RO 21%); VAT removed for the net price. YES Gastro SKU GNP-14100.</t>
  </si>
  <si>
    <t xml:space="preserve">https://www.gastrozone.ro/araven-gn-containere-1-4-policarbonat-adancime-100-mm-continut-2-6-l.html</t>
  </si>
  <si>
    <t xml:space="preserve">Tava gastronorm | GN 1/4-100 mm policarbonat</t>
  </si>
  <si>
    <t xml:space="preserve">1/4 PC 100 mm, clear; EXACT: GastroPlast polycarbonate GN tray, size and depth in name and code. Shop code GNP14100; price shown in EUR "fara TVA" (invoiced in RON at BNR rate). Price shown excl. VAT (RO 21%). YES Gastro SKU GNP-14100.</t>
  </si>
  <si>
    <t xml:space="preserve">https://www.lancom.ro/tava-gastronorm-gn-14-100-policarbonat-6950</t>
  </si>
  <si>
    <t xml:space="preserve">Recipient GN 1/4 ad. 10 cm din policarbonat | YATO YG-00420</t>
  </si>
  <si>
    <t xml:space="preserve">1/4 PC 100 mm, clear; EXACT: size, depth and material (policarbonat) in product name. Listing shows "Pret net 14.41 RON" and "Pret brut 17.44 RON/buc". Price shown excl. VAT (RO 21%). YES Gastro SKU GNP-14100.</t>
  </si>
  <si>
    <t xml:space="preserve">https://mmgastro.ro/ro/products/recipient-gn-1-4-ad-10-cm-din-policarbonat-yato-yg-00420-139181</t>
  </si>
  <si>
    <t xml:space="preserve">PC GN 1/4 Höhe 100 mm schwarz</t>
  </si>
  <si>
    <t xml:space="preserve">1/4 PC 100 mm, black; EXACT: polycarbonate GN 1/4 x 100 mm ("Robuster GN 1/4 Behälter aus Polycarbonat"); Art. 10024414;0; sale price (statt 4.15); listing "Steuerhinweis: exkl. MwSt.", footer "Preisangaben exkl. gesetzl. MwSt." (Gewerbekunden price list). Price shown excl. VAT (AT 20%). YES Gastro SKU GNP-14100/B.</t>
  </si>
  <si>
    <t xml:space="preserve">https://www.allpax.at/product_info.php/info/PC-GN-1-4-Hoehe-100-mm-schwarz.html</t>
  </si>
  <si>
    <t xml:space="preserve">RIEBER GN 1/4 Polycarbonat-Behälter - Tiefe 100mm</t>
  </si>
  <si>
    <t xml:space="preserve">1/4 PC 100 mm, transparent (glasklar); EXACT: Rieber Polycarbonat-Behälter GN 1/4, Tiefe 100 mm; listing shows net price with "(… inkl. MwSt.) Zzgl. 20% MwSt."; listing flags "Sale" but strike price equals current price. Price shown excl. VAT (AT 20%). YES Gastro SKU GNP-14100.</t>
  </si>
  <si>
    <t xml:space="preserve">https://www.gastro-star.at/produkt/riebergn14polycarbonat-behaelter-tiefe100mm-48820/</t>
  </si>
  <si>
    <t xml:space="preserve">Vogue GN-Behälter 1/4 Polycarbonat - Tiefe 100 mm</t>
  </si>
  <si>
    <t xml:space="preserve">1/4 PC 100 mm, transparent; EXACT: polycarbonate stated in name, GN 1/4 x 100 mm; SKU U237; page shows Angebotspreis 4.79 vs Normaler Preis 5.49; price shown is net (page shows e.g. "X € inkl. MwSt." computed at 19% underneath). Price shown excl. VAT (AT 20%). YES Gastro SKU GNP-14100.</t>
  </si>
  <si>
    <t xml:space="preserve">https://www.gastro-hero.at/products/vogue-gn-behaelter-14-polycarbonat-tiefe-100-mm-u237</t>
  </si>
  <si>
    <t xml:space="preserve">WAS GN 94 Behälter 1/4-100 mm Polycarbonat</t>
  </si>
  <si>
    <t xml:space="preserve">1/4 PC 100 mm, transparent; EXACT: WAS GN 94 polycarbonate container GN 1/4 x 100 mm; listing price "zzgl. 19% MwSt." (German shop shipping to DE &amp; AT, VAT footnote says 19%). Price shown excl. VAT (AT 20%). YES Gastro SKU GNP-14100.</t>
  </si>
  <si>
    <t xml:space="preserve">https://www.gastrodax.de/was-gn-94-behaelter-1-4-100-mm-polycarbonat</t>
  </si>
  <si>
    <t xml:space="preserve">Vogue GN-Behälter GN1/4 schwarz 100mm</t>
  </si>
  <si>
    <t xml:space="preserve">1/4 PC 100 mm, black; EXACT: polycarbonate stated on page (Vogue black PC series, material Polycarbonat stated in description), GN 1/4 x 100 mm; Art.-Nr. U467; price "inkl. MwSt., zzgl. Versand". Price shown incl. VAT (AT 20%); VAT removed for the net price. YES Gastro SKU GNP-14100/B.</t>
  </si>
  <si>
    <t xml:space="preserve">https://www.gastroladen.at/3020@GN-U467/</t>
  </si>
  <si>
    <t xml:space="preserve">Gastronorm Behälter GN 1/4 | GN 96 BLACK | Polycarbonat schwarz H 100 mm</t>
  </si>
  <si>
    <t xml:space="preserve">1/4 PC 100 mm, black; EXACT: WAS GN 96 BLACK, Materialtyp Polycarbonat, Farbe schwarz, GN 1/4, Höhe 100 mm; Bestell-Nr 1016781; single-piece price "Preis pro Stück, zzgl. MwSt" (page also shows inkl. 20% MwSt); UVP 6,70; Staffelpreise: ab 3 5,04, ab 6 4,87 per piece; Price shown excl. VAT (AT 20%); page read with a headless browser (prices rendered by JavaScript). YES Gastro SKU GNP-14100/B.</t>
  </si>
  <si>
    <t xml:space="preserve">https://www.intergastro.at/gastronorm-behaelter-gn-1-4-gn-96-black-polycarbonat-schwarz-h-100-mm-1016781</t>
  </si>
  <si>
    <t xml:space="preserve">GN-Behälter - transparent - Serie 94 - Inhalt 2,60 l - GN 1/4 (265 x 162 mm) - 100 mm - Polycarbonat - premium Qualität</t>
  </si>
  <si>
    <t xml:space="preserve">1/4 PC 100 mm, transparent; EXACT: polycarbonate stated in name (Material: Kunststoff, Polycarbonat), GN 1/4, 100 mm stated in name; Art. 9414100-A; sale price, Regulärer Preis 6.40; footer "Preise zzgl. MwSt. zzgl. Versandkosten". Price shown excl. VAT (AT 20%). YES Gastro SKU GNP-14100.</t>
  </si>
  <si>
    <t xml:space="preserve">https://shopbuero.com/gn-behaelter-transparent-serie-94-inhalt-2-60-l-gn-1-4-265-x-162-mm-100-mm-polycarbonat-premium-qualitaet/9414100-A</t>
  </si>
  <si>
    <t xml:space="preserve">1/4 PC 100 mm, black; EXACT: GN 1/4, 100 mm, Polycarbonat stated; Art.-Nr. 10024414;0; price shown on default 'Gewerbekunden' price list, Steuerhinweis 'zzgl. MwSt.'; promo 'jetzt' price, regular 'statt' 4.15 EUR. Price shown excl. VAT (DE 19%). YES Gastro SKU GNP-14100/B.</t>
  </si>
  <si>
    <t xml:space="preserve">https://www.allpax.de/product_info.php/info/PC-GN-1-4-Hoehe-100-mm-schwarz.html</t>
  </si>
  <si>
    <t xml:space="preserve">GN Behälter mit Skalierung, GN 1/4 - 100 mm, transparent, Polycarbonat, GN 94 Serie</t>
  </si>
  <si>
    <t xml:space="preserve">1/4 PC 100 mm, transparent; EXACT: GN 1/4, 100 mm, material Polycarbonat stated; Art.Nr. 9414100; price inkl. 19% USt, shop also shows Netto 4,63 EUR; -28% promo vs UVP 7,62 EUR. Price shown incl. VAT (DE 19%); VAT removed for the net price. YES Gastro SKU GNP-14100.</t>
  </si>
  <si>
    <t xml:space="preserve">https://gastro-spirit.de/behaelter-mit-skalierung-gn-1-4-serie-gn-94-9414100</t>
  </si>
  <si>
    <t xml:space="preserve">1/4 PC 100 mm, transparent; EXACT: GN 1/4, 100 mm, Material Polycarbonat stated; Art.-Nr. U237; page shows gross 5,46 EUR 'inkl. MwSt.' and net 4,59 EUR; footer: 'Alle Preise sind Stückpreise und verstehen sich netto zzgl. MwSt.' (B2B shop); net price recorded. Price shown excl. VAT (DE 19%). YES Gastro SKU GNP-14100.</t>
  </si>
  <si>
    <t xml:space="preserve">https://www.gastro-hero.de/products/vogue-gn-behaelter-14-polycarbonat-tiefe-100-mm-u237</t>
  </si>
  <si>
    <t xml:space="preserve">1/4 PC 100 mm, transparent; EXACT: GN 1/4, 100 mm, material Polycarbonat stated; Art.-Nr. WAS-9414100; price 'zzgl. 19% MwSt.' (B2B net). Price shown excl. VAT (DE 19%). YES Gastro SKU GNP-14100.</t>
  </si>
  <si>
    <t xml:space="preserve">Vogue Polycarbonat GN-Behälter GN1/4 100mm</t>
  </si>
  <si>
    <t xml:space="preserve">1/4 PC 100 mm, transparent; EXACT: GN 1/4, 100 mm, Polycarbonat in product name/Material field; Art.-Nr. U237; price shown 'inkl. MwSt., zzgl. 7,95 EUR Versand in D'. Price shown incl. VAT (DE 19%); VAT removed for the net price. YES Gastro SKU GNP-14100.</t>
  </si>
  <si>
    <t xml:space="preserve">https://www.gastroladen.de/3020@GN-U237/Vogue-Polycarbonat-GN-Beh%C3%A4lter-GN1-4-100mm.htm</t>
  </si>
  <si>
    <t xml:space="preserve">Gastronormbehälter, Serie STANDARD, Polycarbonat, GN 1/4 (100 mm)</t>
  </si>
  <si>
    <t xml:space="preserve">1/4 PC 100 mm, transparent; EXACT: GN 1/4, 100 mm, Polycarbonat in product name; Bestell-Nr 1026271, Serie Serie STANDARD; single-piece price 'Preis pro Stück, zzgl. MwSt' (Staffelpreise for 3+ pcs exist on page); shop shows UVP 5,8 EUR. Price shown excl. VAT (DE 19%). YES Gastro SKU GNP-14100.</t>
  </si>
  <si>
    <t xml:space="preserve">https://www.intergastro.de/gastronormbehaelter-serie-standard-polycarbonat-gn-1-4-100-mm-1026271</t>
  </si>
  <si>
    <t xml:space="preserve">Vogue Polycarbonat Gastronormbehälter schwarz GN 1/4 Tiefe 100mm</t>
  </si>
  <si>
    <t xml:space="preserve">1/4 PC 100 mm, black; EXACT: GN 1/4, 100 mm, Polycarbonat in product name; Art.-Nr. U467; listing shows price with 'Zzgl. MwSt.' (search results page, 2026-10-02); reduced price, regular 'BISHER' 6,09 EUR. Price shown excl. VAT (DE 19%); page read with a headless browser (prices rendered by JavaScript). YES Gastro SKU GNP-14100/B.</t>
  </si>
  <si>
    <t xml:space="preserve">https://www.nisbets.de/vogue-gn-behlter-schwarz-100mm/u467</t>
  </si>
  <si>
    <t xml:space="preserve">Gastronádoba polykarbonátová - GN 1/4, 100mm Hendi</t>
  </si>
  <si>
    <t xml:space="preserve">1/4 PC 100 mm, clear; EXACT: polycarbonate stated in product name ("polykarbonátová"), GN 1/4 x 100 mm, clear (Hendi); listing shows 107 Kč bez DPH / 130 Kč s DPH. Regular price 159 Kč s DPH (listing shows discount). Price shown excl. VAT (CZ 21%). YES Gastro SKU GNP-14100.</t>
  </si>
  <si>
    <t xml:space="preserve">https://www.gastrofans.cz/gastronadoba-1-4-pc-transparent-2-8-l-265x162x-h-100-mm/</t>
  </si>
  <si>
    <t xml:space="preserve">Gastro nádoba GN 1/4 100 mm, polykarbonát | YATO, YG-00420</t>
  </si>
  <si>
    <t xml:space="preserve">1/4 PC 100 mm, clear; EXACT: "polykarbonát" in product name, GN 1/4 100 mm, Yato YG-00420; listing shows bez DPH 90 Kč / s DPH 109 Kč (cheapest PC brand in shop). Price shown excl. VAT (CZ 21%); page read with a headless browser (prices rendered by JavaScript). YES Gastro SKU GNP-14100.</t>
  </si>
  <si>
    <t xml:space="preserve">https://www.gastromania.cz/gastronadoby-polykarbonatove/gastro-nadoba-gn-1-4-100-mm-polykarbonat-yato-yg-00420</t>
  </si>
  <si>
    <t xml:space="preserve">ARAVEN Gastronádoba GN 1/4, polykarbonát, hloubka: 100 mm, objem: 2,6 L</t>
  </si>
  <si>
    <t xml:space="preserve">1/4 PC 100 mm, clear; EXACT: Araven polycarbonate GN 1/4 x 100 mm, code 229901607; page shows 259 Kč s DPH / 214 Kč bez DPH. Price shown excl. VAT (CZ 21%). YES Gastro SKU GNP-14100.</t>
  </si>
  <si>
    <t xml:space="preserve">https://www.gastrozone.cz/araven-gn-nadoba-1-4-polykarbonat-hloubka-100-mm-objem-2-6-l.html</t>
  </si>
  <si>
    <t xml:space="preserve">Gastronorm GN 1/4 (h=100 mm) polykarbonátová</t>
  </si>
  <si>
    <t xml:space="preserve">1/4 PC 100 mm, clear; EXACT: "Profesionální polykarbonátová nádoba" GN 1/4, h=100 mm, clear; listing/product price 92 CZK s DPH (product page also shows bez DPH, e.g. 1/1 100 mm 286 s DPH = 236 bez DPH). Discounted from regular 101 CZK s DPH. Price shown incl. VAT (CZ 21%); VAT removed for the net price. YES Gastro SKU GNP-14100.</t>
  </si>
  <si>
    <t xml:space="preserve">https://www.gastrosance.cz/gn-1/4--h-100-mm--polykarbonatova</t>
  </si>
  <si>
    <t xml:space="preserve">Gastronádoba polykarbonátová GN 1/4 100 mm</t>
  </si>
  <si>
    <t xml:space="preserve">1/4 PC 100 mm, clear; EXACT: "Gastronádoba polykarbonátová GN 1/4 100 mm", code R-M214100, brand Cambro; page shows 198 Kč / 164 Kč bez DPH; parameters Materiál: polykarbonát, transparent. Price shown excl. VAT (CZ 21%). YES Gastro SKU GNP-14100.</t>
  </si>
  <si>
    <t xml:space="preserve">https://www.tomgast.cz/gastronadoba-polykarbonatova-gn-1-4-100-mm-2/</t>
  </si>
  <si>
    <t xml:space="preserve">Skladem (45 ks)</t>
  </si>
  <si>
    <t xml:space="preserve">Nádoba GN 1/4, HENDI, Profi Line, GN 1/4, 2,8L, Priehľadná, 265x162x(H)100mm Kód: 861622</t>
  </si>
  <si>
    <t xml:space="preserve">1/4 PC 100 mm, clear; material not in product name; HENDI Profi Line 861 series: listing description says "z polykarbonátu"; price shown 5.15 € (net) / 6,33 € s DPH; code 861622 Price shown excl. VAT (SK 23%). YES Gastro SKU GNP-14100.</t>
  </si>
  <si>
    <t xml:space="preserve">Gastronádoba polykarbonátová GNP1/4 - 100</t>
  </si>
  <si>
    <t xml:space="preserve">1/4 PC 100 mm, clear (not stated); 'bez DPH' price shown; gross €5.35; code ; other offers on this shop for the same variant: Vogue 6.09 (in stock); Vogue 6.24 (Ospravedlňujeme sa, ) Price shown excl. VAT (SK 23%). YES Gastro SKU GNP-14100.</t>
  </si>
  <si>
    <t xml:space="preserve">1/4 PC 100 mm, clear (not stated); SKU YATO-YG-00420; other offers on this shop for the same variant: STALGAST 5.79 (in stock); CAMBRO 8.07 (in stock); CONTACTO 10.26 (in stock); CONTACTO 10.41 (in stock) Price shown incl. VAT (SK 23%); VAT removed for the net price. YES Gastro SKU GNP-14100.</t>
  </si>
  <si>
    <t xml:space="preserve">https://gastromania.sk/gastronadoby-polykarbonatove/gastro-nadoba-gn-1-4-100-mm-polykarbonat-yato-yg-00420</t>
  </si>
  <si>
    <t xml:space="preserve">ARAVEN Gastronádoba GN 1/4, polykarbonát, integrovaný štítok, hĺbka: 100 mm, objem: 2,6 L</t>
  </si>
  <si>
    <t xml:space="preserve">1/4 PC 100 mm, clear (not stated); listing shows gross 14,43 €; 'bez DPH' net 11.73 EUR on product page; SKU 229901758; other offers on this shop for the same variant: Araven 10.44 (Na objednávku (3-5 t); APS 9.04 (Na objednávku (3-5 t); APS 9.23 (Na objednávku (3-5 t) Price shown incl. VAT (SK 23%); VAT removed for the net price. YES Gastro SKU GNP-14100.</t>
  </si>
  <si>
    <t xml:space="preserve">https://www.gastrozone.sk/araven-gn-nadoba-1-4-polykarbonat-hloubka-100-mm-obsah-2-6-l.html</t>
  </si>
  <si>
    <t xml:space="preserve">1/4 PC 100 mm, clear (not stated); 'bez DPH' price shown; gross 3.92 EUR; other offers on this shop for the same variant: not stated (shop own line) 6.26 (in stock); HENDI 3.36 (in stock); HENDI 3.36 (in stock); HENDI 4.09 (in stock) Price shown excl. VAT (SK 23%). YES Gastro SKU GNP-14100.</t>
  </si>
  <si>
    <t xml:space="preserve">Tava GN 1/4 policarbonat transparent – 150 mm</t>
  </si>
  <si>
    <t xml:space="preserve">1/4 PC 150 mm, clear; EXACT: variable product "Tava GN 1/4 policarbonat transparent", depth variation 150 mm selected, material stated on page; variation SKU HD861615; price per variation shown net ("fără TVA"). Price shown "fără TVA". Price shown excl. VAT (RO 21%). YES Gastro SKU GNP-14150.</t>
  </si>
  <si>
    <t xml:space="preserve">Cuva policarbonat transparent GN 1/4 265x162x150 mm</t>
  </si>
  <si>
    <t xml:space="preserve">1/4 PC 150 mm, clear; EXACT: size, depth and material (policarbonat transparent) stated; price shown "( inclusiv T.V.A. )"; B2B tier discounts from 3,500 lei. Price shown incl. VAT (RO 21%); VAT removed for the net price. YES Gastro SKU GNP-14150.</t>
  </si>
  <si>
    <t xml:space="preserve">https://www.fimax.ro/produs/cuva-policarbonat-transparent-gn-1-4-265x162x150-mm/</t>
  </si>
  <si>
    <t xml:space="preserve">ARAVEN Recipient gastronomic GN 1/4, Policarbonat, Adancime: 150 mm, Capacitate: 3,8 L</t>
  </si>
  <si>
    <t xml:space="preserve">1/4 PC 150 mm, clear; EXACT: Araven polycarbonate GN container, size/depth/material stated in name. SKU 229901608. Listing price is gross; product page shows gross and "fără TVA" net below it. Price shown incl. VAT (RO 21%); VAT removed for the net price. YES Gastro SKU GNP-14150.</t>
  </si>
  <si>
    <t xml:space="preserve">https://www.gastrozone.ro/araven-gn-container-1-4-policarbonat-adancime-150-mm-continut-3-8-l.html</t>
  </si>
  <si>
    <t xml:space="preserve">Tava gastronorm | GN 1/4-150 mm policarbonat</t>
  </si>
  <si>
    <t xml:space="preserve">1/4 PC 150 mm, clear; EXACT: GastroPlast polycarbonate GN tray, size and depth in name and code. Shop code GNP14150; price shown in EUR "fara TVA" (invoiced in RON at BNR rate). Price shown excl. VAT (RO 21%). YES Gastro SKU GNP-14150.</t>
  </si>
  <si>
    <t xml:space="preserve">https://www.lancom.ro/tava-gastronorm-gn-14-150-policarbonat-6952</t>
  </si>
  <si>
    <t xml:space="preserve">Recipient GN 1/4 adâncime 15 cm din policarbonat | YATO YG-00421</t>
  </si>
  <si>
    <t xml:space="preserve">1/4 PC 150 mm, clear; EXACT: size, depth and material (policarbonat) in product name. Listing shows "Pret net 20.98 RON" and "Pret brut 25.38 RON/buc". Price shown excl. VAT (RO 21%). YES Gastro SKU GNP-14150.</t>
  </si>
  <si>
    <t xml:space="preserve">https://mmgastro.ro/ro/products/recipient-gn-1-4-adancime-15-cm-din-policarbonat-yato-yg-00421-139184</t>
  </si>
  <si>
    <t xml:space="preserve">PC GN 1/4 Höhe 150 mm schwarz</t>
  </si>
  <si>
    <t xml:space="preserve">1/4 PC 150 mm, black; EXACT: polycarbonate GN 1/4 x 150 mm ("Robuster GN 1/4 Behälter aus Polycarbonat"); Art. 10024415;0; sale price (statt 5.75); listing "Steuerhinweis: exkl. MwSt.", footer "Preisangaben exkl. gesetzl. MwSt." (Gewerbekunden price list). Price shown excl. VAT (AT 20%). YES Gastro SKU GNP-14150/B.</t>
  </si>
  <si>
    <t xml:space="preserve">https://www.allpax.at/product_info.php/info/PC-GN-1-4-Hoehe-150-mm-schwarz.html</t>
  </si>
  <si>
    <t xml:space="preserve">RIEBER GN 1/4 Polycarbonat-Behälter - Tiefe 150mm</t>
  </si>
  <si>
    <t xml:space="preserve">1/4 PC 150 mm, transparent (glasklar); EXACT: Rieber Polycarbonat-Behälter GN 1/4, Tiefe 150 mm; listing shows net price with "(… inkl. MwSt.) Zzgl. 20% MwSt."; listing flags "Sale" but strike price equals current price. Price shown excl. VAT (AT 20%). YES Gastro SKU GNP-14150.</t>
  </si>
  <si>
    <t xml:space="preserve">https://www.gastro-star.at/produkt/riebergn14polycarbonat-behaelter-tiefe150mm-48819/</t>
  </si>
  <si>
    <t xml:space="preserve">Vogue GN-Behälter 1/4 Polycarbonat - Tiefe 150 mm</t>
  </si>
  <si>
    <t xml:space="preserve">1/4 PC 150 mm, transparent; EXACT: polycarbonate stated in name, GN 1/4 x 150 mm; SKU U238; page shows Angebotspreis 5.79 vs Normaler Preis 6.59; price shown is net (page shows e.g. "X € inkl. MwSt." computed at 19% underneath). Price shown excl. VAT (AT 20%). YES Gastro SKU GNP-14150.</t>
  </si>
  <si>
    <t xml:space="preserve">https://www.gastro-hero.at/products/vogue-gn-behaelter-14-polycarbonat-tiefe-150-mm-u238</t>
  </si>
  <si>
    <t xml:space="preserve">WAS GN 94 Behälter 1/4-150 mm Polycarbonat</t>
  </si>
  <si>
    <t xml:space="preserve">1/4 PC 150 mm, transparent; EXACT: WAS GN 94 polycarbonate container GN 1/4 x 150 mm; listing price "zzgl. 19% MwSt." (German shop shipping to DE &amp; AT, VAT footnote says 19%). Price shown excl. VAT (AT 20%). YES Gastro SKU GNP-14150.</t>
  </si>
  <si>
    <t xml:space="preserve">https://www.gastrodax.de/was-gn-94-behaelter-1-4-150-mm-polycarbonat</t>
  </si>
  <si>
    <t xml:space="preserve">Vogue Polycarbonat GN-Behälter GN1/4 150mm</t>
  </si>
  <si>
    <t xml:space="preserve">1/4 PC 150 mm, transparent; EXACT: polycarbonate stated on page (Polycarbonat in product name), GN 1/4 x 150 mm; Art.-Nr. U238; price "inkl. MwSt., zzgl. Versand". Price shown incl. VAT (AT 20%); VAT removed for the net price. YES Gastro SKU GNP-14150.</t>
  </si>
  <si>
    <t xml:space="preserve">https://www.gastroladen.at/3020@GN-U238/</t>
  </si>
  <si>
    <t xml:space="preserve">Gastronorm Behälter GN 1/4 | GN 96 BLACK | Polycarbonat schwarz H 150 mm</t>
  </si>
  <si>
    <t xml:space="preserve">1/4 PC 150 mm, black; EXACT: WAS GN 96 BLACK, Materialtyp Polycarbonat, Farbe schwarz, GN 1/4, Höhe 150 mm; Bestell-Nr 1016782; single-piece price "Preis pro Stück, zzgl. MwSt" (page also shows inkl. 20% MwSt); UVP 7,90; Staffelpreise: ab 3 5,94, ab 6 5,77 per piece; Price shown excl. VAT (AT 20%); page read with a headless browser (prices rendered by JavaScript). YES Gastro SKU GNP-14150/B.</t>
  </si>
  <si>
    <t xml:space="preserve">https://www.intergastro.at/gastronorm-behaelter-gn-1-4-gn-96-black-polycarbonat-schwarz-h-150-mm-1016782</t>
  </si>
  <si>
    <t xml:space="preserve">GN-Behälter - GN 1/4 (265 x 162 mm) - 150 mm - Inhalt 3,8 l - Polycarbonat</t>
  </si>
  <si>
    <t xml:space="preserve">1/4 PC 150 mm, transparent; EXACT: polycarbonate stated in name (Material: Kunststoff, Polycarbonat), GN 1/4, 150 mm stated in name; Art. 530132-C; sale price, Regulärer Preis 10.50; footer "Preise zzgl. MwSt. zzgl. Versandkosten". Price shown excl. VAT (AT 20%). YES Gastro SKU GNP-14150.</t>
  </si>
  <si>
    <t xml:space="preserve">https://shopbuero.com/gn-behaelter-gn-1-4-265-x-162-mm-150-mm-inhalt-3-8-l-polycarbonat/530132-C</t>
  </si>
  <si>
    <t xml:space="preserve">1/4 PC 150 mm, black; EXACT: GN 1/4, 150 mm, Polycarbonat stated; Art.-Nr. 10024415;0; price shown on default 'Gewerbekunden' price list, Steuerhinweis 'zzgl. MwSt.'; promo 'jetzt' price, regular 'statt' 5.75 EUR. Price shown excl. VAT (DE 19%). YES Gastro SKU GNP-14150/B.</t>
  </si>
  <si>
    <t xml:space="preserve">https://www.allpax.de/product_info.php/info/PC-GN-1-4-Hoehe-150-mm-schwarz.html</t>
  </si>
  <si>
    <t xml:space="preserve">GN Behälter mit Skalierung, GN 1/4 - 150 mm, transparent, Polycarbonat, GN 94 Serie</t>
  </si>
  <si>
    <t xml:space="preserve">1/4 PC 150 mm, transparent; EXACT: GN 1/4, 150 mm, material Polycarbonat stated; Art.Nr. 9414150; price inkl. 19% USt, shop also shows Netto 7,31 EUR; -28% promo vs UVP 12,02 EUR. Price shown incl. VAT (DE 19%); VAT removed for the net price. YES Gastro SKU GNP-14150.</t>
  </si>
  <si>
    <t xml:space="preserve">https://gastro-spirit.de/behaelter-mit-skalierung-gn-1-4-serie-gn-94-9414150</t>
  </si>
  <si>
    <t xml:space="preserve">1/4 PC 150 mm, transparent; EXACT: GN 1/4, 150 mm, Material Polycarbonat stated; Art.-Nr. U238; page shows gross 6,53 EUR 'inkl. MwSt.' and net 5,49 EUR; footer: 'Alle Preise sind Stückpreise und verstehen sich netto zzgl. MwSt.' (B2B shop); net price recorded. Price shown excl. VAT (DE 19%). YES Gastro SKU GNP-14150.</t>
  </si>
  <si>
    <t xml:space="preserve">https://www.gastro-hero.de/products/vogue-gn-behaelter-14-polycarbonat-tiefe-150-mm-u238</t>
  </si>
  <si>
    <t xml:space="preserve">1/4 PC 150 mm, transparent; EXACT: GN 1/4, 150 mm, material Polycarbonat stated; Art.-Nr. WAS-9414150; price 'zzgl. 19% MwSt.' (B2B net). Price shown excl. VAT (DE 19%). YES Gastro SKU GNP-14150.</t>
  </si>
  <si>
    <t xml:space="preserve">1/4 PC 150 mm, transparent; EXACT: GN 1/4, 150 mm, Polycarbonat in product name/Material field; Art.-Nr. U238; price shown 'inkl. MwSt., zzgl. 7,95 EUR Versand in D'. Price shown incl. VAT (DE 19%); VAT removed for the net price. YES Gastro SKU GNP-14150.</t>
  </si>
  <si>
    <t xml:space="preserve">https://www.gastroladen.de/3020@GN-U238/Vogue-Polycarbonat-GN-Beh%C3%A4lter-GN1-4-150mm.htm</t>
  </si>
  <si>
    <t xml:space="preserve">Gastronormbehälter, Serie STANDARD, Polycarbonat, GN 1/4 (150 mm)</t>
  </si>
  <si>
    <t xml:space="preserve">1/4 PC 150 mm, transparent; EXACT: GN 1/4, 150 mm, Polycarbonat in product name; Bestell-Nr 1026272, Serie Serie STANDARD; single-piece price 'Preis pro Stück, zzgl. MwSt' (Staffelpreise for 3+ pcs exist on page); shop shows UVP 7,25 EUR. Price shown excl. VAT (DE 19%). YES Gastro SKU GNP-14150.</t>
  </si>
  <si>
    <t xml:space="preserve">https://www.intergastro.de/gastronormbehaelter-serie-standard-polycarbonat-gn-1-4-150-mm-1026272</t>
  </si>
  <si>
    <t xml:space="preserve">1/4 PC 150 mm, transparent; EXACT: GN 1/4, 150 mm, Polycarbonat in product name; Art.-Nr. U238; listing shows price with 'Zzgl. MwSt.' (search results page, 2026-10-02); reduced price, regular 'BISHER' 6,89 EUR. Price shown excl. VAT (DE 19%); page read with a headless browser (prices rendered by JavaScript). YES Gastro SKU GNP-14150.</t>
  </si>
  <si>
    <t xml:space="preserve">https://www.nisbets.de/vogue-polycarbonat-gn-behlter-150mm/u238</t>
  </si>
  <si>
    <t xml:space="preserve">Gastronádoba pol\karbonátová - GN 1/4, 150mm Hendi</t>
  </si>
  <si>
    <t xml:space="preserve">1/4 PC 150 mm, clear; EXACT: polycarbonate stated in product name ("polykarbonátová"), GN 1/4 x 150 mm, clear (Hendi); listing shows 147 Kč bez DPH / 178 Kč s DPH. Price shown excl. VAT (CZ 21%). YES Gastro SKU GNP-14150.</t>
  </si>
  <si>
    <t xml:space="preserve">https://www.gastrofans.cz/gastronadoba-1-4-pc-transparent-4-l-265x162x-h-150-mm/</t>
  </si>
  <si>
    <t xml:space="preserve">Gastro nádoba GN 1/4 150 mm, polykarbonát | YATO, YG-00421</t>
  </si>
  <si>
    <t xml:space="preserve">1/4 PC 150 mm, clear; EXACT: "polykarbonát" in product name, GN 1/4 150 mm, Yato YG-00421; listing shows bez DPH 131 Kč / s DPH 158 Kč (cheapest PC brand in shop). Price shown excl. VAT (CZ 21%); page read with a headless browser (prices rendered by JavaScript). YES Gastro SKU GNP-14150.</t>
  </si>
  <si>
    <t xml:space="preserve">https://www.gastromania.cz/gastronadoby-polykarbonatove/gastro-nadoba-gn-1-4-150-mm-polykarbonat-yato-yg-00421</t>
  </si>
  <si>
    <t xml:space="preserve">ARAVEN Gastronádoba GN 1/4, polykarbonát, hloubka: 150 mm, objem: 3,8 L</t>
  </si>
  <si>
    <t xml:space="preserve">1/4 PC 150 mm, clear; EXACT: Araven polycarbonate GN 1/4 x 150 mm, code 229901608; page shows 294 Kč s DPH / 243 Kč bez DPH. Price shown excl. VAT (CZ 21%). YES Gastro SKU GNP-14150.</t>
  </si>
  <si>
    <t xml:space="preserve">https://www.gastrozone.cz/araven-gn-nadoba-1-4-polykarbonat-hloubka-150-mm-objem-3-8-l.html</t>
  </si>
  <si>
    <t xml:space="preserve">Gastronorm GN 1/4 (h=150 mm) polykarbonátová</t>
  </si>
  <si>
    <t xml:space="preserve">1/4 PC 150 mm, clear; EXACT: "Profesionální polykarbonátová nádoba" GN 1/4, h=150 mm, clear; listing/product price 116 CZK s DPH (product page also shows bez DPH, e.g. 1/1 100 mm 286 s DPH = 236 bez DPH). Discounted from regular 128 CZK s DPH. Price shown incl. VAT (CZ 21%); VAT removed for the net price. YES Gastro SKU GNP-14150.</t>
  </si>
  <si>
    <t xml:space="preserve">https://www.gastrosance.cz/gn-1/4--h-150-mm--polykarbonatova</t>
  </si>
  <si>
    <t xml:space="preserve">Gastronádoba polykarbonátová GN 1/4 150 mm</t>
  </si>
  <si>
    <t xml:space="preserve">1/4 PC 150 mm, clear; EXACT: "Gastronádoba polykarbonátová GN 1/4 150 mm", code R-M214150, brand Cambro; page shows 229 Kč / 189 Kč bez DPH; parameters Materiál: polykarbonát, transparent. Price shown excl. VAT (CZ 21%). YES Gastro SKU GNP-14150.</t>
  </si>
  <si>
    <t xml:space="preserve">https://www.tomgast.cz/gastronadoba-polykarbonatova-gn-1-4-150-mm-2/</t>
  </si>
  <si>
    <t xml:space="preserve">Skladem (110 ks)</t>
  </si>
  <si>
    <t xml:space="preserve">Nádoba GN 1/4, HENDI, Profi Line, GN 1/4, 4L, Priehľadná, 265x162x(H)150mm Kód: 861615</t>
  </si>
  <si>
    <t xml:space="preserve">1/4 PC 150 mm, clear; material not in product name; HENDI Profi Line 861 series: listing description says "z polykarbonátu"; price shown 6.30 € (net) / 7,75 € s DPH; code 861615 Price shown excl. VAT (SK 23%). YES Gastro SKU GNP-14150.</t>
  </si>
  <si>
    <t xml:space="preserve">Gastronádoba polykarbonátová GNP1/4 - 150</t>
  </si>
  <si>
    <t xml:space="preserve">1/4 PC 150 mm, clear (not stated); 'bez DPH' price shown; gross €6.83; code ; other offers on this shop for the same variant: Vogue 6.89 (in stock); Vogue 9.46 (Ospravedlňujeme sa, ) Price shown excl. VAT (SK 23%). YES Gastro SKU GNP-14150.</t>
  </si>
  <si>
    <t xml:space="preserve">Gastronádoba z polykarbonátu GN 1/4, 150 mm | APS, 82132</t>
  </si>
  <si>
    <t xml:space="preserve">1/4 PC 150 mm, clear (not stated); SKU APS-82132; other offers on this shop for the same variant: YATO 6.28 (in stock); STALGAST 6.67 (in stock); STALGAST 7.12 (in stock); STALGAST 8.46 (in stock) Price shown incl. VAT (SK 23%); VAT removed for the net price. YES Gastro SKU GNP-14150.</t>
  </si>
  <si>
    <t xml:space="preserve">https://gastromania.sk/gastronadoby-polypropylenove/gastronadoba-z-polykarbonatu-gn-1-4-150-mm-aps-82132</t>
  </si>
  <si>
    <t xml:space="preserve">ARAVEN Gastronádoba GN 1/4, polykarbonát, integrovaný štítok, hĺbka: 150 mm, objem: 1,6 L</t>
  </si>
  <si>
    <t xml:space="preserve">1/4 PC 150 mm, clear (not stated); listing shows gross 17,76 €; 'bez DPH' net 14.44 EUR on product page; SKU 229901759; other offers on this shop for the same variant: Araven 11.84 (Na objednávku (3-5 t); APS 10.76 (Na objednávku (3-5 t); APS 14.52 (Na objednávku (3-5 t) Price shown incl. VAT (SK 23%); VAT removed for the net price. YES Gastro SKU GNP-14150.</t>
  </si>
  <si>
    <t xml:space="preserve">https://www.gastrozone.sk/araven-gn-nadoba-1-4-polykarbonat-hloubka-150-mm-objem-1-6-l.html</t>
  </si>
  <si>
    <t xml:space="preserve">Skladom - centrálny sklad 11-20 ks 7. 10. - 8. 10. u vás</t>
  </si>
  <si>
    <t xml:space="preserve">1/4 PC 150 mm, clear (not stated); 'bez DPH' price shown; gross 5.17 EUR; other offers on this shop for the same variant: not stated (shop own line) 7.25 (in stock); HENDI 4.09 (in stock); HENDI 4.83 (in stock) Price shown excl. VAT (SK 23%). YES Gastro SKU GNP-14150.</t>
  </si>
  <si>
    <t xml:space="preserve">Tava GN 1/4 policarbonat transparent – 200 mm</t>
  </si>
  <si>
    <t xml:space="preserve">1/4 PC 200 mm, clear; EXACT: variable product "Tava GN 1/4 policarbonat transparent", depth variation 200 mm selected, material stated on page; variation SKU HD861608; price per variation shown net ("fără TVA"). Price shown "fără TVA". Price shown excl. VAT (RO 21%). YES Gastro SKU GNP-14200.</t>
  </si>
  <si>
    <t xml:space="preserve">Tava policarbonat negru GN 1/4 265x164x200 mm</t>
  </si>
  <si>
    <t xml:space="preserve">1/4 PC 200 mm, black; EXACT: size, depth and material (policarbonat negru) stated; price shown "( inclusiv T.V.A. )"; B2B tier discounts from 3,500 lei. Price shown incl. VAT (RO 21%); VAT removed for the net price. YES Gastro SKU GNP-14200/B.</t>
  </si>
  <si>
    <t xml:space="preserve">https://www.fimax.ro/produs/tava-policarbonat-negru-gn-1-4-265x164x200-mm/</t>
  </si>
  <si>
    <t xml:space="preserve">Cuva din policarbonat, GN1/4 h200mm</t>
  </si>
  <si>
    <t xml:space="preserve">1/4 PC 200 mm, clear; EXACT: "Cuva din policarbonat" with size and depth in name. Shop code GPGNP-14200; product page states "Pret exclusiv TVA"; prices are round EUR figures. Price shown excl. VAT (RO 21%). YES Gastro SKU GNP-14200.</t>
  </si>
  <si>
    <t xml:space="preserve">https://pro-cucina.ro/cuva-din-policarbonat-gn1-4-h200mm/</t>
  </si>
  <si>
    <t xml:space="preserve">unbranded (GP codes)</t>
  </si>
  <si>
    <t xml:space="preserve">Recipient GN 1/4 ad. 20 cm din policarbonat | HENDI 861608</t>
  </si>
  <si>
    <t xml:space="preserve">1/4 PC 200 mm, clear; EXACT: size, depth and material (policarbonat) in product name. Listing shows "Pret net 31.69 RON" and "Pret brut 38.35 RON/buc". Price shown excl. VAT (RO 21%). YES Gastro SKU GNP-14200.</t>
  </si>
  <si>
    <t xml:space="preserve">https://mmgastro.ro/ro/products/recipient-gn-1-4-ad-20-cm-din-policarbonat-hendi-861608-141085</t>
  </si>
  <si>
    <t xml:space="preserve">GN-BEHÄLTER POLYKARBONAT 1/4 200 tief</t>
  </si>
  <si>
    <t xml:space="preserve">1/4 PC 200 mm, not stated (page has no description); EXACT: polycarbonate stated in product name, GN 1/4 x 200 mm; Artikelnummer 861 608; footer "Alle Preise excl. 20% MwSt."; shop sells via Anfragekorb (quote request). Price shown excl. VAT (AT 20%). YES Gastro SKU GNP-14200.</t>
  </si>
  <si>
    <t xml:space="preserve">https://www.gastrozimml.at/produkt/gn-behalter-polykarbonat-14-200-tief/</t>
  </si>
  <si>
    <t xml:space="preserve">Schneider Polycarbonat GN 1/4 Behälter 200 mm, 4,8 l</t>
  </si>
  <si>
    <t xml:space="preserve">1/4 PC 200 mm, transparent; EXACT: polycarbonate stated in name, GN 1/4 x 200 mm; SKU 530133; price shown is net (page shows e.g. "X € inkl. MwSt." computed at 19% underneath). Price shown excl. VAT (AT 20%). YES Gastro SKU GNP-14200.</t>
  </si>
  <si>
    <t xml:space="preserve">https://www.gastro-hero.at/products/schneider-polycarbonat-gn-14-behaelter-200-mm-48-l-530133</t>
  </si>
  <si>
    <t xml:space="preserve">WAS GN 94 Behälter 1/4-200 mm Polycarbonat</t>
  </si>
  <si>
    <t xml:space="preserve">1/4 PC 200 mm, transparent; EXACT: WAS GN 94 polycarbonate container GN 1/4 x 200 mm; listing price "zzgl. 19% MwSt." (German shop shipping to DE &amp; AT, VAT footnote says 19%). Price shown excl. VAT (AT 20%). YES Gastro SKU GNP-14200.</t>
  </si>
  <si>
    <t xml:space="preserve">https://www.gastrodax.de/was-gn-94-behaelter-1-4-200-mm-polycarbonat</t>
  </si>
  <si>
    <t xml:space="preserve">Hendi Gastronorm-Behälter 1/4, GN 1/4, 5, 5L, Transparent, 265x162x(H)200mm – Polycarbonat</t>
  </si>
  <si>
    <t xml:space="preserve">1/4 PC 200 mm, transparent; EXACT: Hendi polycarbonate GN 1/4 x 200 mm (Polycarbonat/Polykarbonat in name and URL); "zzgl. 19% MwSt.". Price shown excl. VAT (AT 20%). YES Gastro SKU GNP-14200.</t>
  </si>
  <si>
    <t xml:space="preserve">https://www.gastrodax.de/hendi-gastronorm-behaelter-gn-1-4-5-5-l-polykarbonat-transparent-265-x-162-x-h-200-mm</t>
  </si>
  <si>
    <t xml:space="preserve">Gastronorm Behälter GN 1/4 | GN 96 BLACK | Polycarbonat schwarz H 200 mm</t>
  </si>
  <si>
    <t xml:space="preserve">1/4 PC 200 mm, black; EXACT: WAS GN 96 BLACK, Materialtyp Polycarbonat, Farbe schwarz, GN 1/4, Höhe 200 mm; Bestell-Nr 1016783; single-piece price "Preis pro Stück, zzgl. MwSt" (page also shows inkl. 20% MwSt); UVP 11,50; Staffelpreise: ab 3 8,66, ab 6 8,38 per piece; Price shown excl. VAT (AT 20%); page read with a headless browser (prices rendered by JavaScript). YES Gastro SKU GNP-14200/B.</t>
  </si>
  <si>
    <t xml:space="preserve">https://www.intergastro.at/gastronorm-behaelter-gn-1-4-gn-96-black-polycarbonat-schwarz-h-200-mm-1016783</t>
  </si>
  <si>
    <t xml:space="preserve">GN-Behälter - transparent - Serie 94 - Inhalt 4,8 l - GN 1/4 (265 x 162 mm) - 200 mm - Polycarbonat - premium Qualität</t>
  </si>
  <si>
    <t xml:space="preserve">1/4 PC 200 mm, transparent; EXACT: polycarbonate stated in name (Material: Kunststoff, Polycarbonat), GN 1/4, 200 mm stated in name; Art. 9414200-A; sale price, Regulärer Preis 12.50; footer "Preise zzgl. MwSt. zzgl. Versandkosten". Price shown excl. VAT (AT 20%). YES Gastro SKU GNP-14200.</t>
  </si>
  <si>
    <t xml:space="preserve">https://shopbuero.com/gn-behaelter-transparent-serie-94-inhalt-4-8-l-gn-1-4-265-x-162-mm-200-mm-polycarbonat-premium-qualitaet/9414200-A</t>
  </si>
  <si>
    <t xml:space="preserve">GN-Behälter - GN 1/4 (265 x 162 mm) - 200 mm - Inhalt 4,8 l - Polycarbonat</t>
  </si>
  <si>
    <t xml:space="preserve">1/4 PC 200 mm, transparent; EXACT: polycarbonate stated in name (Material: Kunststoff, Polycarbonat), GN 1/4, 200 mm stated in name; Art. 530133-C; sale price, Regulärer Preis 12.55; footer "Preise zzgl. MwSt. zzgl. Versandkosten". Price shown excl. VAT (AT 20%). YES Gastro SKU GNP-14200.</t>
  </si>
  <si>
    <t xml:space="preserve">https://shopbuero.com/gn-behaelter-gn-1-4-265-x-162-mm-200-mm-inhalt-4-8-l-polycarbonat/530133-C</t>
  </si>
  <si>
    <t xml:space="preserve">GN Behälter mit Skalierung, GN 1/4 - 200 mm, transparent, Polycarbonat, GN 94 Serie</t>
  </si>
  <si>
    <t xml:space="preserve">1/4 PC 200 mm, transparent; EXACT: GN 1/4, 200 mm, material Polycarbonat stated; Art.Nr. 9414200; price inkl. 19% USt, shop also shows Netto 9,05 EUR; -28% promo vs UVP 14,88 EUR. Price shown incl. VAT (DE 19%); VAT removed for the net price. YES Gastro SKU GNP-14200.</t>
  </si>
  <si>
    <t xml:space="preserve">https://gastro-spirit.de/behaelter-mit-skalierung-gn-1-4-serie-gn-94-9414200</t>
  </si>
  <si>
    <t xml:space="preserve">1/4 PC 200 mm, transparent; EXACT: GN 1/4, 200 mm, Material Polycarbonat stated; Art.-Nr. 530133; page shows gross 10,22 EUR 'inkl. MwSt.' and net 8,59 EUR; footer: 'Alle Preise sind Stückpreise und verstehen sich netto zzgl. MwSt.' (B2B shop); net price recorded. Price shown excl. VAT (DE 19%). YES Gastro SKU GNP-14200.</t>
  </si>
  <si>
    <t xml:space="preserve">https://www.gastro-hero.de/products/schneider-polycarbonat-gn-14-behaelter-200-mm-48-l-530133</t>
  </si>
  <si>
    <t xml:space="preserve">1/4 PC 200 mm, transparent; EXACT: GN 1/4, 200 mm, material Polycarbonat stated; Art.-Nr. HEN-861608; price 'zzgl. 19% MwSt.' (B2B net). Price shown excl. VAT (DE 19%). YES Gastro SKU GNP-14200.</t>
  </si>
  <si>
    <t xml:space="preserve">1/4 PC 200 mm, transparent; EXACT: GN 1/4, 200 mm, material Polycarbonat stated; Art.-Nr. WAS-9414200; price 'zzgl. 19% MwSt.' (B2B net). Price shown excl. VAT (DE 19%). YES Gastro SKU GNP-14200.</t>
  </si>
  <si>
    <t xml:space="preserve">1/4 PC 200 mm, black; EXACT: GN 1/4, 200 mm, Polycarbonat in product name; Bestell-Nr 1016783, Serie GN 96 BLACK; single-piece price 'Preis pro Stück, zzgl. MwSt' (Staffelpreise for 3+ pcs exist on page); shop shows UVP 11,5 EUR. Price shown excl. VAT (DE 19%). YES Gastro SKU GNP-14200/B.</t>
  </si>
  <si>
    <t xml:space="preserve">https://www.intergastro.de/gastronorm-behaelter-gn-1-4-gn-96-black-polycarbonat-schwarz-h-200-mm-1016783</t>
  </si>
  <si>
    <t xml:space="preserve">Gastronormbehälter GN 1/4  x 200 mm GN 94 Polycarbonat transparent</t>
  </si>
  <si>
    <t xml:space="preserve">1/4 PC 200 mm, transparent; EXACT: GN 1/4, 200 mm, Polycarbonat in product name; Bestell-Nr 252297, Serie GN 94; single-piece price 'Preis pro Stück, zzgl. MwSt' (Staffelpreise for 3+ pcs exist on page); shop shows UVP 12,5 EUR. Price shown excl. VAT (DE 19%). YES Gastro SKU GNP-14200.</t>
  </si>
  <si>
    <t xml:space="preserve">https://www.intergastro.de/gastronormbehaelter-gn-1-4-x-200-mm-gn-94-polycarbonat-transparent-252297</t>
  </si>
  <si>
    <t xml:space="preserve">GN-Behälter Polycarbonat GN 1/4 200 mm</t>
  </si>
  <si>
    <t xml:space="preserve">1/4 PC 200 mm, transparent; EXACT: GN 1/4, 200 mm, Polycarbonat in product name; Bestell-Nr 978412; single-piece price 'Preis pro Stück, zzgl. MwSt' (Staffelpreise for 3+ pcs exist on page); shop shows UVP 12,98 EUR. Price shown excl. VAT (DE 19%). YES Gastro SKU GNP-14200.</t>
  </si>
  <si>
    <t xml:space="preserve">https://www.intergastro.de/gn-behaelter-polycarbonat-gn-1-4-200-mm-978412</t>
  </si>
  <si>
    <t xml:space="preserve">Gastronádoba polykarbonátová - GN 1/4, 200mm Hendi</t>
  </si>
  <si>
    <t xml:space="preserve">1/4 PC 200 mm, clear; EXACT: polycarbonate stated in product name ("polykarbonátová"), GN 1/4 x 200 mm, clear (Hendi); listing shows 160 Kč bez DPH / 194 Kč s DPH. Regular price 237 Kč s DPH (listing shows discount). Price shown excl. VAT (CZ 21%). YES Gastro SKU GNP-14200.</t>
  </si>
  <si>
    <t xml:space="preserve">https://www.gastrofans.cz/gastronadoba-1-4-pc-transparent-5-5-l-265x162x-h-200-mm/</t>
  </si>
  <si>
    <t xml:space="preserve">Polykarbonátová gastronádoba GN1/4 200 mm | CONTACTO, 8214/200</t>
  </si>
  <si>
    <t xml:space="preserve">1/4 PC 200 mm, clear; EXACT: Contacto polycarbonate GN 1/4 200 mm (8214/200); listing shows bez DPH 361 Kč (discounted from 401 Kč) / s DPH 437 Kč (from 485); only 200 mm PC option for this size in shop. Price shown excl. VAT (CZ 21%); page read with a headless browser (prices rendered by JavaScript). YES Gastro SKU GNP-14200.</t>
  </si>
  <si>
    <t xml:space="preserve">https://www.gastromania.cz/gastronadoby-polykarbonatove/polykarbonatova-gastronadoba-gn1-4-200-mm-contacto-8214-200</t>
  </si>
  <si>
    <t xml:space="preserve">Gastronorm GN 1/4 (h=200 mm) polykarbonátová</t>
  </si>
  <si>
    <t xml:space="preserve">1/4 PC 200 mm, clear; EXACT: "Profesionální polykarbonátová nádoba" GN 1/4, h=200 mm, clear; listing/product price 140 CZK s DPH (product page also shows bez DPH, e.g. 1/1 100 mm 286 s DPH = 236 bez DPH). Discounted from regular 154 CZK s DPH. Price shown incl. VAT (CZ 21%); VAT removed for the net price. YES Gastro SKU GNP-14200.</t>
  </si>
  <si>
    <t xml:space="preserve">https://www.gastrosance.cz/gn-1/4--h-200-mm--polykarbonatova</t>
  </si>
  <si>
    <t xml:space="preserve">Nádoba GN 1/4, HENDI, Profi Line, GN 1/4, 5,5L, Priehľadná, 265x162x(H)200mm Kód: 861608</t>
  </si>
  <si>
    <t xml:space="preserve">1/4 PC 200 mm, clear; material not in product name; HENDI Profi Line 861 series: listing description says "z polykarbonátu"; price shown 7.70 € (net) / 9,47 € s DPH; code 861608 Price shown excl. VAT (SK 23%). YES Gastro SKU GNP-14200.</t>
  </si>
  <si>
    <t xml:space="preserve">Gastronádoba polykarbonátová GNP1/4 - 200</t>
  </si>
  <si>
    <t xml:space="preserve">1/4 PC 200 mm, clear (not stated); 'bez DPH' price shown; gross €9.57; code  Price shown excl. VAT (SK 23%). YES Gastro SKU GNP-14200.</t>
  </si>
  <si>
    <t xml:space="preserve">Polykarbonátová gastronádoba GN1/4 200 mm  | CONTACTO, 8214/200</t>
  </si>
  <si>
    <t xml:space="preserve">1/4 PC 200 mm, clear (not stated); SKU CONTACTO-8214/200 Price shown incl. VAT (SK 23%); VAT removed for the net price. YES Gastro SKU GNP-14200.</t>
  </si>
  <si>
    <t xml:space="preserve">https://gastromania.sk/gastronadoby-polykarbonatove/polykarbonatova-gastronadoba-gn1-4-200-mm-contacto-8214-200</t>
  </si>
  <si>
    <t xml:space="preserve">CONTACTO</t>
  </si>
  <si>
    <t xml:space="preserve">Nádoba GN 1/4, HENDI, Profi Line, GN 1/4, 5,5 l, Priehľadná, 265 × 162 × 200 mm | 861608</t>
  </si>
  <si>
    <t xml:space="preserve">1/4 PC 200 mm, clear; material from shop category POLYKARBONÁTOVÉ NÁDOBY (HENDI 861/862/864 series = polycarbonate); 'bez DPH' price shown; gross 6.06 EUR Price shown excl. VAT (SK 23%). YES Gastro SKU GNP-14200.</t>
  </si>
  <si>
    <t xml:space="preserve">Skladom, dodanie k Vám do 3-4 pracovných dní </t>
  </si>
  <si>
    <t xml:space="preserve">Tava GN 1/6 policarbonat transparent – 65 mm</t>
  </si>
  <si>
    <t xml:space="preserve">1/6 PC 65 mm, clear; EXACT: variable product "Tava GN 1/6 policarbonat transparent", depth variation 65 mm selected, material stated on page; variation SKU HD861738; price per variation shown net ("fără TVA"). Price shown "fără TVA". Price shown excl. VAT (RO 21%). YES Gastro SKU GNP-1665.</t>
  </si>
  <si>
    <t xml:space="preserve">https://direca.ro/shop/tava-gn-16-policarbonat-transparent/</t>
  </si>
  <si>
    <t xml:space="preserve">Cuva policarbonat transparent GN 1/6 176x162x65 mm</t>
  </si>
  <si>
    <t xml:space="preserve">1/6 PC 65 mm, clear; EXACT: size, depth and material (policarbonat transparent) stated; price shown "( inclusiv T.V.A. )"; B2B tier discounts from 3,500 lei. Price shown incl. VAT (RO 21%); VAT removed for the net price. YES Gastro SKU GNP-1665.</t>
  </si>
  <si>
    <t xml:space="preserve">https://www.fimax.ro/produs/cuva-policarbonat-transparent-gn-1-6-176x162x65-mm/</t>
  </si>
  <si>
    <t xml:space="preserve">ARAVEN Recipient gastronomic GN 1/6, Policarbonat, Adancime: 65 mm, Continut: 1 L</t>
  </si>
  <si>
    <t xml:space="preserve">1/6 PC 65 mm, clear; EXACT: Araven polycarbonate GN container, size/depth/material stated in name. SKU 229901603. Listing price is gross; product page shows gross and "fără TVA" net below it. Price shown incl. VAT (RO 21%); VAT removed for the net price. YES Gastro SKU GNP-1665.</t>
  </si>
  <si>
    <t xml:space="preserve">https://www.gastrozone.ro/araven-gn-behalter-1-6-policarbonat-adancime-65-mm-capacitate-1-l.html</t>
  </si>
  <si>
    <t xml:space="preserve">Tava gastronorm | GN 1/6-65 mm policarbonat</t>
  </si>
  <si>
    <t xml:space="preserve">1/6 PC 65 mm, clear; EXACT: GastroPlast polycarbonate GN tray, size and depth in name and code. Shop code GNP1665; price shown in EUR "fara TVA" (invoiced in RON at BNR rate). Price shown excl. VAT (RO 21%). YES Gastro SKU GNP-1665.</t>
  </si>
  <si>
    <t xml:space="preserve">https://www.lancom.ro/tava-gastronorm-gn-16-65-policarbonat-6958</t>
  </si>
  <si>
    <t xml:space="preserve">Recipientă GN 1/6 6,5 cm, din policarbonat, 1 l | FORGAST FG06766</t>
  </si>
  <si>
    <t xml:space="preserve">1/6 PC 65 mm, clear; EXACT: size, depth and material (policarbonat) in product name. Listing shows "Pret net 8.44 RON" and "Pret brut 10.21 RON/buc". Price shown excl. VAT (RO 21%). YES Gastro SKU GNP-1665.</t>
  </si>
  <si>
    <t xml:space="preserve">https://mmgastro.ro/ro/products/recipienta-gn-1-6-6-5-cm-din-policarbonat-1-l-forgast-fg06766-63691</t>
  </si>
  <si>
    <t xml:space="preserve">GN Behälter 1/6 PC Höhe 65 mm</t>
  </si>
  <si>
    <t xml:space="preserve">1/6 PC 65 mm, transparent; EXACT: polycarbonate GN 1/6 x 65 mm ("Langlebiges Polycarbonat"); Art. 10014636;0;; listing "Steuerhinweis: exkl. MwSt.", footer "Preisangaben exkl. gesetzl. MwSt." (Gewerbekunden price list). Price shown excl. VAT (AT 20%). YES Gastro SKU GNP-1665.</t>
  </si>
  <si>
    <t xml:space="preserve">https://www.allpax.at/product_info.php/info/GN-Behaelter-1-6-PC-Hoehe-65-mm.html</t>
  </si>
  <si>
    <t xml:space="preserve">(12 Stück) Polycarbonat-Behälter GN 1/6 - Transparent - Höhe: 65mm</t>
  </si>
  <si>
    <t xml:space="preserve">1/6 PC 65 mm, transparent; EXACT: polycarbonate container GN 1/6 x 65 mm, sold as pack of 12 ("Set Menge 12"); Art.-Nr. GPCP1665; listing shows 42,65 € Rabatt-25% (strike price) and UVP 57,99 €; "* Nettopreis | Bruttopreis inkl. 19% MwSt." (AT storefront shows 19%). Price shown excl. VAT (AT 20%); pack of 12, converted to per piece; page read with a headless browser (prices rendered by JavaScript). YES Gastro SKU GNP-1665.</t>
  </si>
  <si>
    <t xml:space="preserve">https://www.ggmgastro.com/de-at-eur/12-stueck-polycarbonat-behaelter-gn-1-6-transparent-hoehe-65mm-gpcp1665</t>
  </si>
  <si>
    <t xml:space="preserve">Sofort lieferbar: 1 - 3 Werktage</t>
  </si>
  <si>
    <t xml:space="preserve">RIEBER GN 1/6 Polycarbonat-Behälter - Tiefe 65mm</t>
  </si>
  <si>
    <t xml:space="preserve">1/6 PC 65 mm, transparent (glasklar); EXACT: Rieber Polycarbonat-Behälter GN 1/6, Tiefe 65 mm; listing shows net price with "(… inkl. MwSt.) Zzgl. 20% MwSt."; listing flags "Sale" but strike price equals current price. Price shown excl. VAT (AT 20%). YES Gastro SKU GNP-1665.</t>
  </si>
  <si>
    <t xml:space="preserve">https://www.gastro-star.at/produkt/riebergn16polycarbonat-behaelter-tiefe65mm-48829/</t>
  </si>
  <si>
    <t xml:space="preserve">Vogue GN-Behälter 1/6 Polycarbonat - Tiefe 65 mm</t>
  </si>
  <si>
    <t xml:space="preserve">1/6 PC 65 mm, transparent; EXACT: polycarbonate stated in name, GN 1/6 x 65 mm; SKU U239; page shows Angebotspreis 3.29 vs Normaler Preis 3.79; price shown is net (page shows e.g. "X € inkl. MwSt." computed at 19% underneath). Price shown excl. VAT (AT 20%). YES Gastro SKU GNP-1665.</t>
  </si>
  <si>
    <t xml:space="preserve">https://www.gastro-hero.at/products/vogue-gn-behaelter-16-polycarbonat-tiefe-65-mm-u239</t>
  </si>
  <si>
    <t xml:space="preserve">WAS GN 94 Behälter 1/6-065 mm Polycarbonat</t>
  </si>
  <si>
    <t xml:space="preserve">1/6 PC 65 mm, transparent; EXACT: WAS GN 94 polycarbonate container GN 1/6 x 65 mm; listing price "zzgl. 19% MwSt." (German shop shipping to DE &amp; AT, VAT footnote says 19%). Price shown excl. VAT (AT 20%). YES Gastro SKU GNP-1665.</t>
  </si>
  <si>
    <t xml:space="preserve">https://www.gastrodax.de/was-gn-94-behaelter-1-6-065-mm-polycarbonat</t>
  </si>
  <si>
    <t xml:space="preserve">Gastronormbehälter GN 1/6 x 65 mm GN 94 Polycarbonat</t>
  </si>
  <si>
    <t xml:space="preserve">1/6 PC 65 mm, transparent; EXACT: WAS GN 94 transparent, Materialtyp Polycarbonat, GN 1/6 x 65 mm (65 mm variant page; 100/150/200 mm variants only selectable via JS variant switch, not recorded); Bestell-Nr 252471; "Preis pro Stück, zzgl. MwSt"; UVP 4,70; Staffelpreise: ab 3 3,65, ab 6 3,43 per piece; Price shown excl. VAT (AT 20%); page read with a headless browser (prices rendered by JavaScript). YES Gastro SKU GNP-1665.</t>
  </si>
  <si>
    <t xml:space="preserve">https://www.intergastro.at/gastronormbehaelter-gn-1-6-x-65-mm-gn-94-polycarbonat-252471</t>
  </si>
  <si>
    <t xml:space="preserve">GN-Behälter - GN 1/6 (176 x 162 mm) - 65 mm - Inhalt 1,0 l - Polycarbonat</t>
  </si>
  <si>
    <t xml:space="preserve">1/6 PC 65 mm, transparent; EXACT: polycarbonate stated in name (Material: Kunststoff, Polycarbonat), GN 1/6, 65 mm stated in name; Art. 530140-C; sale price, Regulärer Preis 5.00; footer "Preise zzgl. MwSt. zzgl. Versandkosten". Price shown excl. VAT (AT 20%). YES Gastro SKU GNP-1665.</t>
  </si>
  <si>
    <t xml:space="preserve">https://shopbuero.com/gn-behaelter-gn-1-6-176-x-162-mm-65-mm-inhalt-1-0-l-polycarbonat/530140-C</t>
  </si>
  <si>
    <t xml:space="preserve">1/6 PC 65 mm, transparent; EXACT: GN 1/6, 65 mm, Polycarbonat stated; Art.-Nr. 10014636;0; price shown on default 'Gewerbekunden' price list, Steuerhinweis 'zzgl. MwSt.'. Price shown excl. VAT (DE 19%). YES Gastro SKU GNP-1665.</t>
  </si>
  <si>
    <t xml:space="preserve">https://www.allpax.de/product_info.php/info/GN-Behaelter-1-6-PC-Hoehe-65-mm.html</t>
  </si>
  <si>
    <t xml:space="preserve">1/6 PC 65 mm, transparent; EXACT: GN 1/6, 65 mm, Polycarbonat in product name; Art.-Nr. GPCP1665; price for pack of 12 ('12 Stück'), shown as Nettopreis (page footnote '* Nettopreis | Bruttopreis inkl. 19% MwSt.'); promo price, crossed-out 39,99 EUR, UVP 57,99 EUR; category listing rendered in browser. Price shown excl. VAT (DE 19%); pack of 12, converted to per piece; page read with a headless browser (prices rendered by JavaScript). YES Gastro SKU GNP-1665.</t>
  </si>
  <si>
    <t xml:space="preserve">https://www.ggmgastro.com/de-de-eur/12-stueck-polycarbonat-behaelter-gn-1-6-transparent-hoehe-65mm-gpcp1665</t>
  </si>
  <si>
    <t xml:space="preserve">GN Behälter mit Skalierung, GN 1/6 - 65 mm, transparent, Polycarbonat, GN 94 Serie</t>
  </si>
  <si>
    <t xml:space="preserve">1/6 PC 65 mm, transparent; EXACT: GN 1/6, 65 mm, material Polycarbonat stated; Art.Nr. 9416065; price inkl. 19% USt, shop also shows Netto 3,40 EUR; -28% promo vs UVP 5,59 EUR. Price shown incl. VAT (DE 19%); VAT removed for the net price. YES Gastro SKU GNP-1665.</t>
  </si>
  <si>
    <t xml:space="preserve">https://gastro-spirit.de/behaelter-mit-skalierung-gn-1-6-serie-gn-94-9416065</t>
  </si>
  <si>
    <t xml:space="preserve">1/6 PC 65 mm, transparent; EXACT: GN 1/6, 65 mm, Material Polycarbonat stated; Art.-Nr. U239; page shows gross 3,68 EUR 'inkl. MwSt.' and net 3,09 EUR; footer: 'Alle Preise sind Stückpreise und verstehen sich netto zzgl. MwSt.' (B2B shop); net price recorded. Price shown excl. VAT (DE 19%). YES Gastro SKU GNP-1665.</t>
  </si>
  <si>
    <t xml:space="preserve">https://www.gastro-hero.de/products/vogue-gn-behaelter-16-polycarbonat-tiefe-65-mm-u239</t>
  </si>
  <si>
    <t xml:space="preserve">1/6 PC 65 mm, transparent; EXACT: GN 1/6, 65 mm, material Polycarbonat stated; Art.-Nr. WAS-9416065; price 'zzgl. 19% MwSt.' (B2B net). Price shown excl. VAT (DE 19%). YES Gastro SKU GNP-1665.</t>
  </si>
  <si>
    <t xml:space="preserve">Gastronormbehälter GN 1/6  x 65 mm GN 94 Polycarbonat</t>
  </si>
  <si>
    <t xml:space="preserve">1/6 PC 65 mm, transparent; EXACT: GN 1/6, 65 mm, Polycarbonat in product name; Bestell-Nr 252471, Serie GN 94; single-piece price 'Preis pro Stück, zzgl. MwSt' (Staffelpreise for 3+ pcs exist on page); shop shows UVP 4,7 EUR. Price shown excl. VAT (DE 19%). YES Gastro SKU GNP-1665.</t>
  </si>
  <si>
    <t xml:space="preserve">https://www.intergastro.de/gastronormbehaelter-gn-1-6-x-65-mm-gn-94-polycarbonat-252471</t>
  </si>
  <si>
    <t xml:space="preserve">GN-Behälter Polycarbonat GN 1/6 65 mm</t>
  </si>
  <si>
    <t xml:space="preserve">1/6 PC 65 mm, transparent; EXACT: GN 1/6, 65 mm, Polycarbonat in product name; Bestell-Nr 978413; single-piece price 'Preis pro Stück, zzgl. MwSt' (Staffelpreise for 3+ pcs exist on page); shop shows UVP 5,17 EUR. Price shown excl. VAT (DE 19%). YES Gastro SKU GNP-1665.</t>
  </si>
  <si>
    <t xml:space="preserve">https://www.intergastro.de/gn-behaelter-polycarbonat-gn-1-6-65-mm-978413</t>
  </si>
  <si>
    <t xml:space="preserve">Gastronádoba polykarbonátová - GN 1/6, 65mm Hendi</t>
  </si>
  <si>
    <t xml:space="preserve">1/6 PC 65 mm, clear; EXACT: polycarbonate stated in product name ("polykarbonátová"), GN 1/6 x 65 mm, clear (Hendi); listing shows 59 Kč bez DPH / 71 Kč s DPH. Regular price 86 Kč s DPH (listing shows discount). Price shown excl. VAT (CZ 21%). YES Gastro SKU GNP-1665.</t>
  </si>
  <si>
    <t xml:space="preserve">https://www.gastrofans.cz/gastronadoba-1-6-pc-transparent-1-l-176x162x-h-65-mm/</t>
  </si>
  <si>
    <t xml:space="preserve">Gastro nádoba GN 1/6 65 mm, polykarbonát | YATO, YG-00425</t>
  </si>
  <si>
    <t xml:space="preserve">1/6 PC 65 mm, clear; EXACT: "polykarbonát" in product name, GN 1/6 65 mm, Yato YG-00425; listing shows bez DPH 59 Kč / s DPH 72 Kč (cheapest PC brand in shop). Price shown excl. VAT (CZ 21%); page read with a headless browser (prices rendered by JavaScript). YES Gastro SKU GNP-1665.</t>
  </si>
  <si>
    <t xml:space="preserve">https://www.gastromania.cz/gastronadoby-polykarbonatove/gastro-nadoba-gn-1-6-65-mm-polykarbonat-yato-yg-00425</t>
  </si>
  <si>
    <t xml:space="preserve">ARAVEN Gastronádoba GN 1/6, polykarbonát, hloubka: 65 mm, objem: 1 l</t>
  </si>
  <si>
    <t xml:space="preserve">1/6 PC 65 mm, clear; EXACT: Araven polycarbonate GN 1/6 x 65 mm, code 229901603; page shows 139 Kč s DPH / 115 Kč bez DPH. Price shown excl. VAT (CZ 21%). YES Gastro SKU GNP-1665.</t>
  </si>
  <si>
    <t xml:space="preserve">https://www.gastrozone.cz/araven-gn-nadoba-1-6-polykarbonat-hloubka-65-mm-obsah-1-l.html</t>
  </si>
  <si>
    <t xml:space="preserve">Gastronorm GN 1/6 (h=65 mm) polykarbonátová</t>
  </si>
  <si>
    <t xml:space="preserve">1/6 PC 65 mm, clear; EXACT: "Profesionální polykarbonátová nádoba" GN 1/6, h=65 mm, clear; listing/product price 59 CZK s DPH (product page also shows bez DPH, e.g. 1/1 100 mm 286 s DPH = 236 bez DPH). Price shown incl. VAT (CZ 21%); VAT removed for the net price. YES Gastro SKU GNP-1665.</t>
  </si>
  <si>
    <t xml:space="preserve">https://www.gastrosance.cz/gn-1/6--h-65-mm--polykarbonatova</t>
  </si>
  <si>
    <t xml:space="preserve">Gastronádoba polykarbonátová GN 1/6 65 mm</t>
  </si>
  <si>
    <t xml:space="preserve">1/6 PC 65 mm, clear; EXACT: "Gastronádoba polykarbonátová GN 1/6 65 mm", code R-M216065, brand Cambro; page shows 122 Kč / 101 Kč bez DPH; parameters Materiál: polykarbonát, transparent. Price shown excl. VAT (CZ 21%). YES Gastro SKU GNP-1665.</t>
  </si>
  <si>
    <t xml:space="preserve">https://www.tomgast.cz/gastronadoba-polykarbonatova-gn-1-6-65-mm/</t>
  </si>
  <si>
    <t xml:space="preserve">Skladem (162 ks)</t>
  </si>
  <si>
    <t xml:space="preserve">Nádoba GN 1/6, HENDI, Profi Line, GN 1/6, 1L, Priehľadná, 176x162x(H)65mm Kód: 861738</t>
  </si>
  <si>
    <t xml:space="preserve">1/6 PC 65 mm, clear; material not in product name; HENDI Profi Line 861 series: listing description says "z polykarbonátu"; price shown 2.80 € (net) / 3,44 € s DPH; code 861738 Price shown excl. VAT (SK 23%). YES Gastro SKU GNP-1665.</t>
  </si>
  <si>
    <t xml:space="preserve">Gastronádoba polykarbonátová GNP1/6 - 65</t>
  </si>
  <si>
    <t xml:space="preserve">1/6 PC 65 mm, clear (not stated); 'bez DPH' price shown; gross €3.81; code ; other offers on this shop for the same variant: Vogue 4.27 (Ospravedlňujeme sa, ); Vogue 6.49 (Ospravedlňujeme sa, ) Price shown excl. VAT (SK 23%). YES Gastro SKU GNP-1665.</t>
  </si>
  <si>
    <t xml:space="preserve">Gastronádoba GN 1/6 65 mm z polykarbonátu | HENDI, Profi Line</t>
  </si>
  <si>
    <t xml:space="preserve">1/6 PC 65 mm, clear (not stated); SKU HENDI-861738; other offers on this shop for the same variant: YATO 2.85 (in stock); STALGAST 3.79 (in stock); STALGAST 4.36 (in stock); APS 4.86 (in stock) Price shown incl. VAT (SK 23%); VAT removed for the net price. YES Gastro SKU GNP-1665.</t>
  </si>
  <si>
    <t xml:space="preserve">https://gastromania.sk/gastronadoby-polykarbonatove/gastronadoba-gn-1-6-65-mm-z-polykarbonatu-hendi-profi-line</t>
  </si>
  <si>
    <t xml:space="preserve">ARAVEN Gastronádoba GN 1/6, polykarboná, integrovaný štítokt, hĺbka: 65 mm, objem: 1 L</t>
  </si>
  <si>
    <t xml:space="preserve">1/6 PC 65 mm, clear (not stated); listing shows gross 10,98 €; 'bez DPH' net 8.93 EUR on product page; SKU 229901760; other offers on this shop for the same variant: Araven 5.16 (Na objednávku (3-5 t); APS 6.56 (Na objednávku (3-5 t); APS 6.69 (Na objednávku (3-5 t) Price shown incl. VAT (SK 23%); VAT removed for the net price. YES Gastro SKU GNP-1665.</t>
  </si>
  <si>
    <t xml:space="preserve">https://www.gastrozone.sk/araven-gn-nadoba-1-6-polykarbonat-hloubka-65-mm-obsah-1-l-1.html</t>
  </si>
  <si>
    <t xml:space="preserve">Gastronádoba polykarbonátová GN 1/6 065 mm</t>
  </si>
  <si>
    <t xml:space="preserve">1/6 PC 65 mm, clear (not stated); 'bez DPH' price shown; gross 2.31 EUR; other offers on this shop for the same variant: not stated (shop own line) 4.15 (in stock); HENDI 1.82 (in stock); HENDI 2.45 (in stock); HENDI 2.60 (in stock) Price shown excl. VAT (SK 23%). YES Gastro SKU GNP-1665.</t>
  </si>
  <si>
    <t xml:space="preserve">Tava GN 1/6 policarbonat transparent – 150 mm</t>
  </si>
  <si>
    <t xml:space="preserve">1/6 PC 150 mm, clear; EXACT: variable product "Tava GN 1/6 policarbonat transparent", depth variation 150 mm selected, material stated on page; variation SKU HD861714; price per variation shown net ("fără TVA"). Price shown "fără TVA". Price shown excl. VAT (RO 21%). YES Gastro SKU GNP-16150.</t>
  </si>
  <si>
    <t xml:space="preserve">Cuva policarbonat transparent GN 1/6 176x162x150 mm</t>
  </si>
  <si>
    <t xml:space="preserve">1/6 PC 150 mm, clear; EXACT: size, depth and material (policarbonat transparent) stated; price shown "( inclusiv T.V.A. )"; B2B tier discounts from 3,500 lei. Price shown incl. VAT (RO 21%); VAT removed for the net price. YES Gastro SKU GNP-16150.</t>
  </si>
  <si>
    <t xml:space="preserve">https://www.fimax.ro/produs/cuva-policarbonat-transparent-gn-1-6-176x162x150-mm/</t>
  </si>
  <si>
    <t xml:space="preserve">ARAVEN Recipient gastronomic GN 1/6, Policarbonat, Adancime: 150 mm, Continut: 2,3 L</t>
  </si>
  <si>
    <t xml:space="preserve">1/6 PC 150 mm, clear; EXACT: Araven polycarbonate GN container, size/depth/material stated in name. SKU 229901605. Listing price is gross; product page shows gross and "fără TVA" net below it. Price shown incl. VAT (RO 21%); VAT removed for the net price. YES Gastro SKU GNP-16150.</t>
  </si>
  <si>
    <t xml:space="preserve">https://www.gastrozone.ro/araven-gn-container-1-6-policarbonat-adancime-150-mm-capacitate-2-3-l.html</t>
  </si>
  <si>
    <t xml:space="preserve">Tava gastronorm | GN 1/6-150 mm policarbonat</t>
  </si>
  <si>
    <t xml:space="preserve">1/6 PC 150 mm, clear; EXACT: GastroPlast polycarbonate GN tray, size and depth in name and code. Product page: "Producator: GastroPlast", Discount 17%. Shop code GNP16150; price shown in EUR "fara TVA" (invoiced in RON at BNR rate). Discounted price; regular price 2.42 EUR shown struck through. Price shown excl. VAT (RO 21%). YES Gastro SKU GNP-16150.</t>
  </si>
  <si>
    <t xml:space="preserve">https://www.lancom.ro/tava-gastronorm-gn-16-150-policarbonat-6956</t>
  </si>
  <si>
    <t xml:space="preserve">Recipientă GN 1/6 15 cm din policarbonat, 2 l | FORGAST FG06765</t>
  </si>
  <si>
    <t xml:space="preserve">1/6 PC 150 mm, clear; EXACT: size, depth and material (policarbonat) in product name. Listing shows "Pret net 13.59 RON" and "Pret brut 16.44 RON/buc". Price shown excl. VAT (RO 21%). YES Gastro SKU GNP-16150.</t>
  </si>
  <si>
    <t xml:space="preserve">https://mmgastro.ro/ro/products/recipienta-gn-1-6-15-cm-din-policarbonat-2-l-forgast-fg06765-63693</t>
  </si>
  <si>
    <t xml:space="preserve">PC GN 1/6 Höhe 150 mm schwarz</t>
  </si>
  <si>
    <t xml:space="preserve">1/6 PC 150 mm, black; EXACT: polycarbonate GN 1/6 x 150 mm ("Stabiler GN 1/6 Behälter aus Polycarbonat"); Art. 10024417;0; sale price (statt 5.75); listing "Steuerhinweis: exkl. MwSt.", footer "Preisangaben exkl. gesetzl. MwSt." (Gewerbekunden price list). Price shown excl. VAT (AT 20%). YES Gastro SKU GNP-16150/B.</t>
  </si>
  <si>
    <t xml:space="preserve">https://www.allpax.at/product_info.php/info/PC-GN-1-6-Hoehe-150-mm-schwarz.html</t>
  </si>
  <si>
    <t xml:space="preserve">RIEBER GN 1/6 Polycarbonat-Behälter - Tiefe 150mm</t>
  </si>
  <si>
    <t xml:space="preserve">1/6 PC 150 mm, transparent (glasklar); EXACT: Rieber Polycarbonat-Behälter GN 1/6, Tiefe 150 mm; listing shows net price with "(… inkl. MwSt.) Zzgl. 20% MwSt."; listing flags "Sale" but strike price equals current price. Price shown excl. VAT (AT 20%). YES Gastro SKU GNP-16150.</t>
  </si>
  <si>
    <t xml:space="preserve">https://www.gastro-star.at/produkt/riebergn16polycarbonat-behaelter-tiefe150mm-48827/</t>
  </si>
  <si>
    <t xml:space="preserve">Vogue GN-Behälter 1/6 Polycarbonat - Tiefe 150 mm</t>
  </si>
  <si>
    <t xml:space="preserve">1/6 PC 150 mm, transparent; EXACT: polycarbonate stated in name, GN 1/6 x 150 mm; SKU U241; page shows Angebotspreis 5.29 vs Normaler Preis 5.89; price shown is net (page shows e.g. "X € inkl. MwSt." computed at 19% underneath). Price shown excl. VAT (AT 20%). YES Gastro SKU GNP-16150.</t>
  </si>
  <si>
    <t xml:space="preserve">https://www.gastro-hero.at/products/vogue-gn-behaelter-16-polycarbonat-tiefe-150-mm-u241</t>
  </si>
  <si>
    <t xml:space="preserve">WAS GN 94 Behälter 1/6-150 mm Polycarbonat</t>
  </si>
  <si>
    <t xml:space="preserve">1/6 PC 150 mm, transparent; EXACT: WAS GN 94 polycarbonate container GN 1/6 x 150 mm; listing price "zzgl. 19% MwSt." (German shop shipping to DE &amp; AT, VAT footnote says 19%). Price shown excl. VAT (AT 20%). YES Gastro SKU GNP-16150.</t>
  </si>
  <si>
    <t xml:space="preserve">https://www.gastrodax.de/was-gn-94-behaelter-1-6-150-mm-polycarbonat</t>
  </si>
  <si>
    <t xml:space="preserve">Vogue Polycarbonat GN-Behälter GN1/6 150mm</t>
  </si>
  <si>
    <t xml:space="preserve">1/6 PC 150 mm, transparent; EXACT: polycarbonate stated on page (Polycarbonat in product name), GN 1/6 x 150 mm; Art.-Nr. U241; price "inkl. MwSt., zzgl. Versand". Price shown incl. VAT (AT 20%); VAT removed for the net price. YES Gastro SKU GNP-16150.</t>
  </si>
  <si>
    <t xml:space="preserve">https://www.gastroladen.at/3020@GN-U241/</t>
  </si>
  <si>
    <t xml:space="preserve">Gastronorm Behälter GN 1/6 | GN 96 BLACK | Polycarbonat schwarz H 150 mm</t>
  </si>
  <si>
    <t xml:space="preserve">1/6 PC 150 mm, black; EXACT: WAS GN 96 BLACK, Materialtyp Polycarbonat, Farbe schwarz, GN 1/6, Höhe 150 mm; Bestell-Nr 1016786; single-piece price "Preis pro Stück, zzgl. MwSt" (page also shows inkl. 20% MwSt); UVP 6,40; Staffelpreise: ab 3 4,83, ab 6 4,67 per piece; Price shown excl. VAT (AT 20%); page read with a headless browser (prices rendered by JavaScript). YES Gastro SKU GNP-16150/B.</t>
  </si>
  <si>
    <t xml:space="preserve">https://www.intergastro.at/gastronorm-behaelter-gn-1-6-gn-96-black-polycarbonat-schwarz-h-150-mm-1016786</t>
  </si>
  <si>
    <t xml:space="preserve">GN-Behälter - transparent - Serie 94 - Inhalt 2,30 l - GN 1/6 (176 x 162 mm) - 150 mm - Polycarbonat - premium Qualität</t>
  </si>
  <si>
    <t xml:space="preserve">1/6 PC 150 mm, transparent; EXACT: polycarbonate stated in name (Material: Kunststoff, Polycarbonat), GN 1/6, 150 mm stated in name; Art. 9416150-A; sale price, Regulärer Preis 6.00; footer "Preise zzgl. MwSt. zzgl. Versandkosten". Price shown excl. VAT (AT 20%). YES Gastro SKU GNP-16150.</t>
  </si>
  <si>
    <t xml:space="preserve">https://shopbuero.com/gn-behaelter-transparent-serie-94-inhalt-2-30-l-gn-1-6-176-x-162-mm-150-mm-polycarbonat-premium-qualitaet/9416150-A</t>
  </si>
  <si>
    <t xml:space="preserve">1/6 PC 150 mm, black; EXACT: GN 1/6, 150 mm, Polycarbonat stated; Art.-Nr. 10024417;0; price shown on default 'Gewerbekunden' price list, Steuerhinweis 'zzgl. MwSt.'; promo 'jetzt' price, regular 'statt' 5.75 EUR. Price shown excl. VAT (DE 19%). YES Gastro SKU GNP-16150/B.</t>
  </si>
  <si>
    <t xml:space="preserve">https://www.allpax.de/product_info.php/info/PC-GN-1-6-Hoehe-150-mm-schwarz.html</t>
  </si>
  <si>
    <t xml:space="preserve">GN Behälter mit Skalierung, GN 1/6 - 150 mm, transparent, Polycarbonat, GN 94 Serie</t>
  </si>
  <si>
    <t xml:space="preserve">1/6 PC 150 mm, transparent; EXACT: GN 1/6, 150 mm, material Polycarbonat stated; Art.Nr. 9416150; price inkl. 19% USt, shop also shows Netto 4,34 EUR; -28% promo vs UVP 7,14 EUR. Price shown incl. VAT (DE 19%); VAT removed for the net price. YES Gastro SKU GNP-16150.</t>
  </si>
  <si>
    <t xml:space="preserve">https://gastro-spirit.de/behaelter-mit-skalierung-gn-1-6-serie-gn-94-9416150</t>
  </si>
  <si>
    <t xml:space="preserve">1/6 PC 150 mm, transparent; EXACT: GN 1/6, 150 mm, Material Polycarbonat stated; Art.-Nr. U241; page shows gross 5,94 EUR 'inkl. MwSt.' and net 4,99 EUR; footer: 'Alle Preise sind Stückpreise und verstehen sich netto zzgl. MwSt.' (B2B shop); net price recorded. Price shown excl. VAT (DE 19%). YES Gastro SKU GNP-16150.</t>
  </si>
  <si>
    <t xml:space="preserve">https://www.gastro-hero.de/products/vogue-gn-behaelter-16-polycarbonat-tiefe-150-mm-u241</t>
  </si>
  <si>
    <t xml:space="preserve">1/6 PC 150 mm, transparent; EXACT: GN 1/6, 150 mm, material Polycarbonat stated; Art.-Nr. WAS-9416150; price 'zzgl. 19% MwSt.' (B2B net). Price shown excl. VAT (DE 19%). YES Gastro SKU GNP-16150.</t>
  </si>
  <si>
    <t xml:space="preserve">1/6 PC 150 mm, transparent; EXACT: GN 1/6, 150 mm, Polycarbonat in product name/Material field; Art.-Nr. U241; price shown 'inkl. MwSt., zzgl. 7,95 EUR Versand in D'. Price shown incl. VAT (DE 19%); VAT removed for the net price. YES Gastro SKU GNP-16150.</t>
  </si>
  <si>
    <t xml:space="preserve">https://www.gastroladen.de/3020@GN-U241/Vogue-Polycarbonat-GN-Beh%C3%A4lter-GN1-6-150mm.htm</t>
  </si>
  <si>
    <t xml:space="preserve">Gastronormbehälter GN 1/6  x 150 mm GN 94 Polycarbonat</t>
  </si>
  <si>
    <t xml:space="preserve">1/6 PC 150 mm, transparent; EXACT: GN 1/6, 150 mm, Polycarbonat in product name; Bestell-Nr 252473, Serie GN 94; single-piece price 'Preis pro Stück, zzgl. MwSt' (Staffelpreise for 3+ pcs exist on page); shop shows UVP 6 EUR. Price shown excl. VAT (DE 19%). YES Gastro SKU GNP-16150.</t>
  </si>
  <si>
    <t xml:space="preserve">https://www.intergastro.de/gastronormbehaelter-gn-1-6-x-150-mm-gn-94-polycarbonat-252473</t>
  </si>
  <si>
    <t xml:space="preserve">Vogue Polycarbonat GN 1/6 Gastronorm-Behälter 150mm Transparent</t>
  </si>
  <si>
    <t xml:space="preserve">1/6 PC 150 mm, transparent; EXACT: GN 1/6, 150 mm, Polycarbonat in product name; Art.-Nr. U241; listing shows price with 'Zzgl. MwSt.' (search results page, 2026-10-02); reduced price, regular 'BISHER' 6,29 EUR. Price shown excl. VAT (DE 19%); page read with a headless browser (prices rendered by JavaScript). YES Gastro SKU GNP-16150.</t>
  </si>
  <si>
    <t xml:space="preserve">https://www.nisbets.de/vogue-polycarbonat-gn-behlter-150mm/u241</t>
  </si>
  <si>
    <t xml:space="preserve">Gastronádoba polykarbonátová - GN 1/6, 150mm, DOPRODEJ Hendi</t>
  </si>
  <si>
    <t xml:space="preserve">1/6 PC 150 mm, clear; EXACT: polycarbonate stated in product name ("polykarbonátová"), GN 1/6 x 150 mm, clear (Hendi); listing shows 112 Kč bez DPH / 135 Kč s DPH. Regular price 165 Kč s DPH (listing shows discount). Marked DOPRODEJ (clearance). Price shown excl. VAT (CZ 21%). YES Gastro SKU GNP-16150.</t>
  </si>
  <si>
    <t xml:space="preserve">https://www.gastrofans.cz/gastronadoba-1-6-pc-transparent-2-4-l-176x162x-h-150-mm/</t>
  </si>
  <si>
    <t xml:space="preserve">Gastro nádoba GN 1/6 150 mm, polykarbonát | YATO, YG-00427</t>
  </si>
  <si>
    <t xml:space="preserve">1/6 PC 150 mm, clear; EXACT: "polykarbonát" in product name, GN 1/6 150 mm, Yato YG-00427; listing shows bez DPH 88 Kč / s DPH 106 Kč (cheapest PC brand in shop). Price shown excl. VAT (CZ 21%); page read with a headless browser (prices rendered by JavaScript). YES Gastro SKU GNP-16150.</t>
  </si>
  <si>
    <t xml:space="preserve">https://www.gastromania.cz/gastronadoby-polykarbonatove/gastro-nadoba-gn-1-6-150-mm-polykarbonat-yato-yg-00427</t>
  </si>
  <si>
    <t xml:space="preserve">ARAVEN Gastronádoba GN 1/6, polykarbonát, hloubka: 150 mm, objem: 2,3 L</t>
  </si>
  <si>
    <t xml:space="preserve">1/6 PC 150 mm, clear; EXACT: Araven polycarbonate GN 1/6 x 150 mm, code 229901605; page shows 198 Kč s DPH / 164 Kč bez DPH. Price shown excl. VAT (CZ 21%). YES Gastro SKU GNP-16150.</t>
  </si>
  <si>
    <t xml:space="preserve">https://www.gastrozone.cz/araven-gn-nadoba-1-6-polykarbonat-hloubka-150-mm-objem-2-3-l.html</t>
  </si>
  <si>
    <t xml:space="preserve">Gastronorm GN 1/6 (h=150 mm) polykarbonátová</t>
  </si>
  <si>
    <t xml:space="preserve">1/6 PC 150 mm, clear; EXACT: "Profesionální polykarbonátová nádoba" GN 1/6, h=150 mm, clear; listing/product price 97 CZK s DPH (product page also shows bez DPH, e.g. 1/1 100 mm 286 s DPH = 236 bez DPH). Discounted from regular 106 CZK s DPH. Price shown incl. VAT (CZ 21%); VAT removed for the net price. YES Gastro SKU GNP-16150.</t>
  </si>
  <si>
    <t xml:space="preserve">https://www.gastrosance.cz/gn-1/6--h-150-mm--polykarbonatova</t>
  </si>
  <si>
    <t xml:space="preserve">Gastronádoba polykarbonátová GN 1/6 150 mm</t>
  </si>
  <si>
    <t xml:space="preserve">1/6 PC 150 mm, clear; EXACT: "Gastronádoba polykarbonátová GN 1/6 150 mm", code R-M216150, brand Cambro; page shows 184 Kč / 152 Kč bez DPH; parameters Materiál: polykarbonát, transparent. Price shown excl. VAT (CZ 21%). YES Gastro SKU GNP-16150.</t>
  </si>
  <si>
    <t xml:space="preserve">https://www.tomgast.cz/gastronadoba-polykarbonatova-gn-1-6-150-mm-2/</t>
  </si>
  <si>
    <t xml:space="preserve">Skladem (122 ks)</t>
  </si>
  <si>
    <t xml:space="preserve">Nádoba GN 1/6, HENDI, Profi Line, GN 1/6, 2,4L, Priehľadná, 176x162x(H)150mm Kód: 861714</t>
  </si>
  <si>
    <t xml:space="preserve">1/6 PC 150 mm, clear; material not in product name; HENDI Profi Line 861 series: listing description says "z polykarbonátu"; price shown 5.35 € (net) / 6,58 € s DPH; code 861714 Price shown excl. VAT (SK 23%). YES Gastro SKU GNP-16150.</t>
  </si>
  <si>
    <t xml:space="preserve">Gastronádoba polykarbonátová GNP1/6 - 150</t>
  </si>
  <si>
    <t xml:space="preserve">1/6 PC 150 mm, clear (not stated); 'bez DPH' price shown; gross €4.88; code ; other offers on this shop for the same variant: Vogue 6.29 (Ospravedlňujeme sa, ); Vogue 6.29 (Ospravedlňujeme sa, ) Price shown excl. VAT (SK 23%). YES Gastro SKU GNP-16150.</t>
  </si>
  <si>
    <t xml:space="preserve">Gastronádoba z polykarbonátu GN 1/6, 150 mm | APS, 82140</t>
  </si>
  <si>
    <t xml:space="preserve">1/6 PC 150 mm, clear (not stated); SKU APS-82140; other offers on this shop for the same variant: YATO 4.21 (in stock); STALGAST 4.90 (in stock); STALGAST 6.69 (in stock); CAMBRO 7.48 (in stock) Price shown incl. VAT (SK 23%); VAT removed for the net price. YES Gastro SKU GNP-16150.</t>
  </si>
  <si>
    <t xml:space="preserve">https://gastromania.sk/gastronadoby-polypropylenove/gastronadoba-z-polykarbonatu-gn-1-6-150-mm-aps-82140</t>
  </si>
  <si>
    <t xml:space="preserve">Pujadas Gastro nádoba GN 1/6 polykarbonát v=150 mm 176x162 mm</t>
  </si>
  <si>
    <t xml:space="preserve">1/6 PC 150 mm, clear (not stated); listing shows gross 11,18 €; 'bez DPH' net 9.09 EUR on product page; SKU 227705073; other offers on this shop for the same variant: Araven 13.99 (in stock); Araven 7.96 (Na objednávku (3-5 t); APS 8.61 (Na objednávku (3-5 t) Price shown incl. VAT (SK 23%); VAT removed for the net price. YES Gastro SKU GNP-16150.</t>
  </si>
  <si>
    <t xml:space="preserve">https://www.gastrozone.sk/pujadas-gastro-nadoba-gn-1-6-polykarbonat-v-150-mm-176x162-mm.html</t>
  </si>
  <si>
    <t xml:space="preserve">1/6 PC 150 mm, clear (not stated); 'bez DPH' price shown; gross 3.92 EUR; other offers on this shop for the same variant: not stated (shop own line) 5.82 (in stock); HENDI 3.49 (in stock); HENDI 3.93 (in stock); HENDI 4.26 (in stock) Price shown excl. VAT (SK 23%). YES Gastro SKU GNP-16150.</t>
  </si>
  <si>
    <t xml:space="preserve">Tava GN 1/6 policarbonat transparent – 200 mm</t>
  </si>
  <si>
    <t xml:space="preserve">1/6 PC 200 mm, clear; EXACT: variable product "Tava GN 1/6 policarbonat transparent", depth variation 200 mm selected, material stated on page; variation SKU HD861707; price per variation shown net ("fără TVA"). Price shown "fără TVA". Price shown excl. VAT (RO 21%). YES Gastro SKU GNP-16200.</t>
  </si>
  <si>
    <t xml:space="preserve">Tava policarbonat negru GN 1/6 176x162x200 mm</t>
  </si>
  <si>
    <t xml:space="preserve">1/6 PC 200 mm, black; EXACT: size, depth and material (policarbonat negru) stated; price shown "( inclusiv T.V.A. )"; B2B tier discounts from 3,500 lei. Price shown incl. VAT (RO 21%); VAT removed for the net price. YES Gastro SKU GNP-16200/B.</t>
  </si>
  <si>
    <t xml:space="preserve">https://www.fimax.ro/produs/tava-policarbonat-negru-gn-1-6-176x162x200-mm/</t>
  </si>
  <si>
    <t xml:space="preserve">Tava GN1/6 din policarbonat negru – 200mm</t>
  </si>
  <si>
    <t xml:space="preserve">1/6 PC 200 mm, black; EXACT: variable product, depth option 200mm selected (variation SKU 1092435); material "policarbonat negru" in name; listing states "PRETUL NU INCLUDE TVA". Price shown excl. VAT (RO 21%). YES Gastro SKU GNP-16200/B.</t>
  </si>
  <si>
    <t xml:space="preserve">https://www.horecamag.ro/produs/tava-gn1-6-din-policarbonat-negru/</t>
  </si>
  <si>
    <t xml:space="preserve">unbranded</t>
  </si>
  <si>
    <t xml:space="preserve">Tava gastronorm | GN 1/6-200 mm policarbonat</t>
  </si>
  <si>
    <t xml:space="preserve">1/6 PC 200 mm, clear; EXACT: GastroPlast polycarbonate GN tray, size and depth in name and code. Shop code GNP16200; price shown in EUR "fara TVA" (invoiced in RON at BNR rate). Price shown excl. VAT (RO 21%). YES Gastro SKU GNP-16200.</t>
  </si>
  <si>
    <t xml:space="preserve">https://www.lancom.ro/tava-policarbonat-gn-1-6-200-mm-6957</t>
  </si>
  <si>
    <t xml:space="preserve">Recipient GN 1/6 adâncime 20 cm din policarbonat negru | HENDI 862704</t>
  </si>
  <si>
    <t xml:space="preserve">1/6 PC 200 mm, black; EXACT: size, depth and material (policarbonat) in product name. Listing shows "Pret net 28.81 RON" and "Pret brut 34.86 RON/buc". Price shown excl. VAT (RO 21%). YES Gastro SKU GNP-16200/B.</t>
  </si>
  <si>
    <t xml:space="preserve">https://mmgastro.ro/ro/products/recipient-gn-1-6-adancime-20-cm-din-policarbonat-negru-hendi-862704-141475</t>
  </si>
  <si>
    <t xml:space="preserve">GN-BEHÄLTER POLYKARBONAT 1/6 200 tief</t>
  </si>
  <si>
    <t xml:space="preserve">1/6 PC 200 mm, not stated (page has no description); EXACT: polycarbonate stated in product name, GN 1/6 x 200 mm; Artikelnummer 861 707; footer "Alle Preise excl. 20% MwSt."; shop sells via Anfragekorb (quote request). Price shown excl. VAT (AT 20%). YES Gastro SKU GNP-16200.</t>
  </si>
  <si>
    <t xml:space="preserve">https://www.gastrozimml.at/produkt/gn-behalter-polykarbonat-16-200-tief/</t>
  </si>
  <si>
    <t xml:space="preserve">Schneider Polycarbonat GN 1/6 Behälter 200 mm, 2,8 l</t>
  </si>
  <si>
    <t xml:space="preserve">1/6 PC 200 mm, transparent; EXACT: polycarbonate stated in name, GN 1/6 x 200 mm; SKU 530143; price shown is net (page shows e.g. "X € inkl. MwSt." computed at 19% underneath). Price shown excl. VAT (AT 20%). YES Gastro SKU GNP-16200.</t>
  </si>
  <si>
    <t xml:space="preserve">https://www.gastro-hero.at/products/schneider-polycarbonat-gn-16-behaelter-200-mm-28-l-530143</t>
  </si>
  <si>
    <t xml:space="preserve">WAS GN 94 Behälter 1/6-200 mm Polycarbonat</t>
  </si>
  <si>
    <t xml:space="preserve">1/6 PC 200 mm, transparent; EXACT: WAS GN 94 polycarbonate container GN 1/6 x 200 mm; listing price "zzgl. 19% MwSt." (German shop shipping to DE &amp; AT, VAT footnote says 19%). Price shown excl. VAT (AT 20%). YES Gastro SKU GNP-16200.</t>
  </si>
  <si>
    <t xml:space="preserve">https://www.gastrodax.de/was-gn-94-behaelter-1-6-200-mm-polycarbonat</t>
  </si>
  <si>
    <t xml:space="preserve">Hendi Gastronorm-Behälter 1/6, GN 1/6, 3, 4L, Transparent, 176x162x(H)200mm – Polycarbonat</t>
  </si>
  <si>
    <t xml:space="preserve">1/6 PC 200 mm, transparent; EXACT: Hendi polycarbonate GN 1/6 x 200 mm (Polycarbonat/Polykarbonat in name and URL); "zzgl. 19% MwSt.". Price shown excl. VAT (AT 20%). YES Gastro SKU GNP-16200.</t>
  </si>
  <si>
    <t xml:space="preserve">https://www.gastrodax.de/hendi-gastronorm-behaelter-gn-1-6-3-4-l-polykarbonat-transparent-176-x-162-x-h-200-mm</t>
  </si>
  <si>
    <t xml:space="preserve">Gastronorm Behälter GN 1/6 | GN 96 BLACK | Polycarbonat schwarz H 200 mm</t>
  </si>
  <si>
    <t xml:space="preserve">1/6 PC 200 mm, black; EXACT: WAS GN 96 BLACK, Materialtyp Polycarbonat, Farbe schwarz, GN 1/6, Höhe 200 mm; Bestell-Nr 1016787; single-piece price "Preis pro Stück, zzgl. MwSt" (page also shows inkl. 20% MwSt); UVP 11,00; Staffelpreise: ab 3 8,30, ab 6 8,03 per piece; Price shown excl. VAT (AT 20%); page read with a headless browser (prices rendered by JavaScript). YES Gastro SKU GNP-16200/B.</t>
  </si>
  <si>
    <t xml:space="preserve">https://www.intergastro.at/gastronorm-behaelter-gn-1-6-gn-96-black-polycarbonat-schwarz-h-200-mm-1016787</t>
  </si>
  <si>
    <t xml:space="preserve">GN-Behälter - transparent - Serie 94 - Inhalt 2,80 l - GN 1/6 (176 x 162 mm) - 200 mm - Polycarbonat - premium Qualität</t>
  </si>
  <si>
    <t xml:space="preserve">1/6 PC 200 mm, transparent; EXACT: polycarbonate stated in name (Material: Kunststoff, Polycarbonat), GN 1/6, 200 mm stated in name; Art. 9416200-A; sale price, Regulärer Preis 8.50; footer "Preise zzgl. MwSt. zzgl. Versandkosten". Price shown excl. VAT (AT 20%). YES Gastro SKU GNP-16200.</t>
  </si>
  <si>
    <t xml:space="preserve">https://shopbuero.com/gn-behaelter-transparent-serie-94-inhalt-2-80-l-gn-1-6-176-x-162-mm-200-mm-polycarbonat-premium-qualitaet/9416200-A</t>
  </si>
  <si>
    <t xml:space="preserve">GN-Behälter - GN 1/6 (176 x 162 mm) - 200 mm - Inhalt 2,8 l - Polycarbonat</t>
  </si>
  <si>
    <t xml:space="preserve">1/6 PC 200 mm, transparent; EXACT: polycarbonate stated in name (Material: Kunststoff, Polycarbonat), GN 1/6, 200 mm stated in name; Art. 530143-C; sale price, Regulärer Preis 9.30; footer "Preise zzgl. MwSt. zzgl. Versandkosten". Price shown excl. VAT (AT 20%). YES Gastro SKU GNP-16200.</t>
  </si>
  <si>
    <t xml:space="preserve">https://shopbuero.com/gn-behaelter-gn-1-6-176-x-162-mm-200-mm-inhalt-2-8-l-polycarbonat/530143-C</t>
  </si>
  <si>
    <t xml:space="preserve">GN Behälter mit Skalierung, GN 1/6 - 200 mm, transparent, Polycarbonat, GN 94 Serie</t>
  </si>
  <si>
    <t xml:space="preserve">1/6 PC 200 mm, transparent; EXACT: GN 1/6, 200 mm, material Polycarbonat stated; Art.Nr. 9416200; price inkl. 19% USt, shop also shows Netto 6,16 EUR; -28% promo vs UVP 10,12 EUR. Price shown incl. VAT (DE 19%); VAT removed for the net price. YES Gastro SKU GNP-16200.</t>
  </si>
  <si>
    <t xml:space="preserve">https://gastro-spirit.de/behaelter-mit-skalierung-gn-1-6-serie-gn-94-9416200</t>
  </si>
  <si>
    <t xml:space="preserve">1/6 PC 200 mm, transparent; EXACT: GN 1/6, 200 mm, Material Polycarbonat stated; Art.-Nr. 530143; page shows gross 7,01 EUR 'inkl. MwSt.' and net 5,89 EUR; footer: 'Alle Preise sind Stückpreise und verstehen sich netto zzgl. MwSt.' (B2B shop); net price recorded. Price shown excl. VAT (DE 19%). YES Gastro SKU GNP-16200.</t>
  </si>
  <si>
    <t xml:space="preserve">https://www.gastro-hero.de/products/schneider-polycarbonat-gn-16-behaelter-200-mm-28-l-530143</t>
  </si>
  <si>
    <t xml:space="preserve">1/6 PC 200 mm, transparent; EXACT: GN 1/6, 200 mm, material Polycarbonat stated; Art.-Nr. HEN-861707; price 'zzgl. 19% MwSt.' (B2B net); shop also shows UVP 21,76 €. Price shown excl. VAT (DE 19%). YES Gastro SKU GNP-16200.</t>
  </si>
  <si>
    <t xml:space="preserve">1/6 PC 200 mm, transparent; EXACT: GN 1/6, 200 mm, material Polycarbonat stated; Art.-Nr. WAS-9416200; price 'zzgl. 19% MwSt.' (B2B net). Price shown excl. VAT (DE 19%). YES Gastro SKU GNP-16200.</t>
  </si>
  <si>
    <t xml:space="preserve">1/6 PC 200 mm, black; EXACT: GN 1/6, 200 mm, Polycarbonat in product name; Bestell-Nr 1016787, Serie GN 96 BLACK; single-piece price 'Preis pro Stück, zzgl. MwSt' (Staffelpreise for 3+ pcs exist on page); shop shows UVP 11 EUR. Price shown excl. VAT (DE 19%). YES Gastro SKU GNP-16200/B.</t>
  </si>
  <si>
    <t xml:space="preserve">https://www.intergastro.de/gastronorm-behaelter-gn-1-6-gn-96-black-polycarbonat-schwarz-h-200-mm-1016787</t>
  </si>
  <si>
    <t xml:space="preserve">Gastronormbehälter GN 1/6  x 200 mm GN 94 Polycarbonat</t>
  </si>
  <si>
    <t xml:space="preserve">1/6 PC 200 mm, transparent; EXACT: GN 1/6, 200 mm, Polycarbonat in product name; Bestell-Nr 252467, Serie GN 94; single-piece price 'Preis pro Stück, zzgl. MwSt' (Staffelpreise for 3+ pcs exist on page); shop shows UVP 8,5 EUR. Price shown excl. VAT (DE 19%). YES Gastro SKU GNP-16200.</t>
  </si>
  <si>
    <t xml:space="preserve">https://www.intergastro.de/gastronormbehaelter-gn-1-6-x-200-mm-gn-94-polycarbonat-252467</t>
  </si>
  <si>
    <t xml:space="preserve">GN-Behälter Polycarbonat GN 1/6 200 mm</t>
  </si>
  <si>
    <t xml:space="preserve">1/6 PC 200 mm, transparent; EXACT: GN 1/6, 200 mm, Polycarbonat in product name; Bestell-Nr 978416; single-piece price 'Preis pro Stück, zzgl. MwSt' (Staffelpreise for 3+ pcs exist on page); shop shows UVP 9,62 EUR. Price shown excl. VAT (DE 19%). YES Gastro SKU GNP-16200.</t>
  </si>
  <si>
    <t xml:space="preserve">https://www.intergastro.de/gn-behaelter-polycarbonat-gn-1-6-200-mm-978416</t>
  </si>
  <si>
    <t xml:space="preserve">Gastronádoba polykarbonátová - GN 1/6, 200mm Hendi</t>
  </si>
  <si>
    <t xml:space="preserve">1/6 PC 200 mm, clear; EXACT: polycarbonate stated in product name ("polykarbonátová"), GN 1/6 x 200 mm, clear (Hendi); listing shows 126 Kč bez DPH / 153 Kč s DPH. Regular price 187 Kč s DPH (listing shows discount). Price shown excl. VAT (CZ 21%). YES Gastro SKU GNP-16200.</t>
  </si>
  <si>
    <t xml:space="preserve">https://www.gastrofans.cz/gastronadoba-1-6-pc-transparent-3-4-l-176x162x-h-200-mm/</t>
  </si>
  <si>
    <t xml:space="preserve">Polykarbonátová gastronádoba GN1/6 200 mm | CONTACTO, 8216/200</t>
  </si>
  <si>
    <t xml:space="preserve">1/6 PC 200 mm, clear; EXACT: Contacto polycarbonate GN 1/6 200 mm (8216/200); listing shows bez DPH 264 Kč (discounted from 284 Kč) / s DPH 320 Kč (from 344); only 200 mm PC option for this size in shop. Price shown excl. VAT (CZ 21%); page read with a headless browser (prices rendered by JavaScript). YES Gastro SKU GNP-16200.</t>
  </si>
  <si>
    <t xml:space="preserve">https://www.gastromania.cz/gastronadoby-polykarbonatove/polykarbonatova-gastronadoba-gn1-6-200-mm-contacto-8216-200</t>
  </si>
  <si>
    <t xml:space="preserve">Gastronorm GN 1/6 (h=200 mm) polykarbonátová</t>
  </si>
  <si>
    <t xml:space="preserve">1/6 PC 200 mm, clear; EXACT: "Profesionální polykarbonátová nádoba" GN 1/6, h=200 mm, clear; listing/product price 111 CZK s DPH (product page also shows bez DPH, e.g. 1/1 100 mm 286 s DPH = 236 bez DPH). Discounted from regular 122 CZK s DPH. Price shown incl. VAT (CZ 21%); VAT removed for the net price. YES Gastro SKU GNP-16200.</t>
  </si>
  <si>
    <t xml:space="preserve">https://www.gastrosance.cz/gn-1/6--h-200-mm--polykarbonatova</t>
  </si>
  <si>
    <t xml:space="preserve">Gastronádoba polykarbonátová GN 1/6 200 mm</t>
  </si>
  <si>
    <t xml:space="preserve">1/6 PC 200 mm, clear; EXACT: "Gastronádoba polykarbonátová GN 1/6 200 mm" (description: "kvalitní polykarbonát", transparent), category Gastronádoby polykarbonátové under "Tomg - drobné vybavení" (TOMGAST wholesale range); current price 67.44 Kč bez DPH after -4% from regular 70.25 Kč bez DPH. Price shown excl. VAT (CZ 21%). YES Gastro SKU GNP-16200.</t>
  </si>
  <si>
    <t xml:space="preserve">https://www.promos-gastro.cz/tomgast-velkoobchod-gastro-vybaveni/gastronadoby/gastronadoby-polykarbonatove/22747-gastronadoba-polykarbonatova-gn-1-6-200-mm.html</t>
  </si>
  <si>
    <t xml:space="preserve">1/6 PC 200 mm, clear; EXACT: "Gastronádoba polykarbonátová GN 1/6 200 mm", code M2-16200, brand TOMGAST; page shows 85 Kč / 70 Kč bez DPH; parameters Materiál: polykarbonát, transparent. Price shown excl. VAT (CZ 21%). YES Gastro SKU GNP-16200.</t>
  </si>
  <si>
    <t xml:space="preserve">https://www.tomgast.cz/gastronadoba-polykarbonatova-gn-1-6-200-mm/</t>
  </si>
  <si>
    <t xml:space="preserve">Skladem (36 ks)</t>
  </si>
  <si>
    <t xml:space="preserve">Nádoba GN 1/6, HENDI, Profi Line, GN 1/6, 3,4L, Priehľadná, 176x162x(H)200mm Kód: 861707</t>
  </si>
  <si>
    <t xml:space="preserve">1/6 PC 200 mm, clear; material not in product name; HENDI Profi Line 861 series: listing description says "z polykarbonátu"; price shown 6.05 € (net) / 7,44 € s DPH; code 861707 Price shown excl. VAT (SK 23%). YES Gastro SKU GNP-16200.</t>
  </si>
  <si>
    <t xml:space="preserve">https://gastrorex.sk/sk/gastronadoby-gn-plechy/gastronadoby-polykarbonatove-profiline/?page=2</t>
  </si>
  <si>
    <t xml:space="preserve">Gastronádoba polykarbonátová GNP1/6 - 200</t>
  </si>
  <si>
    <t xml:space="preserve">1/6 PC 200 mm, clear (not stated); 'bez DPH' price shown; gross €6.11; code  Price shown excl. VAT (SK 23%). YES Gastro SKU GNP-16200.</t>
  </si>
  <si>
    <t xml:space="preserve">Polykarbonátová gastronádoba GN1/6 200 mm  | CONTACTO, 8216/200</t>
  </si>
  <si>
    <t xml:space="preserve">1/6 PC 200 mm, clear (not stated); SKU CONTACTO-8216/200 Price shown incl. VAT (SK 23%); VAT removed for the net price. YES Gastro SKU GNP-16200.</t>
  </si>
  <si>
    <t xml:space="preserve">https://gastromania.sk/gastronadoby-polykarbonatove/polykarbonatova-gastronadoba-gn1-6-200-mm-contacto-8216-200</t>
  </si>
  <si>
    <t xml:space="preserve">CONTACTO GN-nádoba polykarbonátová, GN 1/6, objem: 3,40 litra, hĺbka: 200 mm</t>
  </si>
  <si>
    <t xml:space="preserve">1/6 PC 200 mm, clear (not stated); listing shows gross 11,76 €; 'bez DPH' net 9.56 EUR on product page; SKU 227703961 Price shown incl. VAT (SK 23%); VAT removed for the net price. YES Gastro SKU GNP-16200.</t>
  </si>
  <si>
    <t xml:space="preserve">https://www.gastrozone.sk/contacto-gn-nadoba-z-polykarbonatu-gn-1-6-objem-3-40-litru-hloubka-200-mm.html</t>
  </si>
  <si>
    <t xml:space="preserve">contacto</t>
  </si>
  <si>
    <t xml:space="preserve">Na objednávku (3-5 týždňov)</t>
  </si>
  <si>
    <t xml:space="preserve">1/6 PC 200 mm, clear (not stated); 'bez DPH' price shown; gross 3.85 EUR; other offers on this shop for the same variant: HENDI 3.93 (in stock); HENDI 4.55 (in stock) Price shown excl. VAT (SK 23%). YES Gastro SKU GNP-16200.</t>
  </si>
  <si>
    <t xml:space="preserve">Cuva GN 1/9 policarbonat – 65 mm</t>
  </si>
  <si>
    <t xml:space="preserve">1/9 PC 65 mm, clear; EXACT: size, depth and material (policarbonat transparent) in name and page spec. Shown "10.02 lei fără TVA (12.12 lei cu TVA)". Sale price; regular (initial) net price 13.49 lei. Price shown excl. VAT (RO 21%). YES Gastro SKU GNP-1965.</t>
  </si>
  <si>
    <t xml:space="preserve">https://direca.ro/shop/cuva-gn-1-9-policarbonat-65-mm/</t>
  </si>
  <si>
    <t xml:space="preserve">GGM Gastro (RO storefront)</t>
  </si>
  <si>
    <t xml:space="preserve">(12 bucăți) Recipient din policarbonat GN 1/9 – transparent – înălțime: 65 mm</t>
  </si>
  <si>
    <t xml:space="preserve">1/9 PC 65 mm, clear; EXACT: size, depth and material in name. Pack of 12 pcs, price per pack net (footnote "* Toate prețurile plus TVA 19%" on RO storefront); tier offer "743,71 RON Reducere-5%"; RRP 226,33 RON; SKU GPCP1965; listing dims W 176 x D 108 x H 65 mm. Price shown excl. VAT (RO 21%); pack of 12, converted to per piece; page read with a headless browser (prices rendered by JavaScript). YES Gastro SKU GNP-1965.</t>
  </si>
  <si>
    <t xml:space="preserve">https://www.ggmgastro.com/ro-ro-ron/12-bucati-recipient-din-policarbonat-gn-1-9-transparent-inaltime-65-mm-gpcp1965</t>
  </si>
  <si>
    <t xml:space="preserve">În stoc!: 2 - 5 zile</t>
  </si>
  <si>
    <t xml:space="preserve">ARAVEN Recipient gastronomic GN 1/9, Policarbonat, Adancime: 65 mm, Capacitate: 0,6 L</t>
  </si>
  <si>
    <t xml:space="preserve">1/9 PC 65 mm, clear; EXACT: Araven polycarbonate GN container, size/depth/material stated in name. SKU 229901600. Listing price is gross; product page shows gross and "fără TVA" net below it. Price shown incl. VAT (RO 21%); VAT removed for the net price. YES Gastro SKU GNP-1965.</t>
  </si>
  <si>
    <t xml:space="preserve">https://www.gastrozone.ro/araven-gn-containere-1-9-policarbonat-adancime-65-mm-volum-0-6-l.html</t>
  </si>
  <si>
    <t xml:space="preserve">Tava gastronorm | GN 1/9-65 mm policarbonat</t>
  </si>
  <si>
    <t xml:space="preserve">1/9 PC 65 mm, clear; EXACT: GastroPlast polycarbonate GN tray, size and depth in name and code. Shop code GNP1965; price shown in EUR "fara TVA" (invoiced in RON at BNR rate). Discounted price; regular price 1.86 EUR shown struck through. Price shown excl. VAT (RO 21%). YES Gastro SKU GNP-1965.</t>
  </si>
  <si>
    <t xml:space="preserve">https://www.lancom.ro/tava-gastronorm-gn-19-65-policarbonat-7940</t>
  </si>
  <si>
    <t xml:space="preserve">Recipientă GN 1/9 6,5 cm din policarbonat, 500 ml | FORGAST FG06796</t>
  </si>
  <si>
    <t xml:space="preserve">1/9 PC 65 mm, clear; EXACT: size, depth and material (policarbonat) in product name. Marked "In promotie" (promo net price). Listing shows "Pret net 5.20 RON" and "Pret brut 6.29 RON/buc". Price shown excl. VAT (RO 21%). YES Gastro SKU GNP-1965.</t>
  </si>
  <si>
    <t xml:space="preserve">https://mmgastro.ro/ro/products/recipienta-gn-1-9-6-5-cm-din-policarbonat-500-ml-forgast-fg06796-63695</t>
  </si>
  <si>
    <t xml:space="preserve">GN Behälter 1/9 PC Höhe 65 mm</t>
  </si>
  <si>
    <t xml:space="preserve">1/9 PC 65 mm, transparent; EXACT: polycarbonate GN 1/9 x 65 mm ("Langlebiges Polycarbonat"); Art. 10014639;0;; listing "Steuerhinweis: exkl. MwSt.", footer "Preisangaben exkl. gesetzl. MwSt." (Gewerbekunden price list). Price shown excl. VAT (AT 20%). YES Gastro SKU GNP-1965.</t>
  </si>
  <si>
    <t xml:space="preserve">https://www.allpax.at/product_info.php/info/GN-Behaelter-1-9-PC-Hoehe-65-mm.html</t>
  </si>
  <si>
    <t xml:space="preserve">(12 Stück) Polycarbonat-Behälter GN 1/9 - Transparent - Höhe: 65mm</t>
  </si>
  <si>
    <t xml:space="preserve">1/9 PC 65 mm, transparent; EXACT: polycarbonate container GN 1/9 x 65 mm, sold as pack of 12 ("Set Menge 12"); Art.-Nr. GPCP1965; listing shows 23,67 € Rabatt-5% (strike price) and UVP 42,99 €; "* Nettopreis | Bruttopreis inkl. 19% MwSt." (AT storefront shows 19%). Price shown excl. VAT (AT 20%); pack of 12, converted to per piece; page read with a headless browser (prices rendered by JavaScript). YES Gastro SKU GNP-1965.</t>
  </si>
  <si>
    <t xml:space="preserve">https://www.ggmgastro.com/de-at-eur/12-stueck-polycarbonat-behaelter-gn-1-9-transparent-hoehe-65mm-gpcp1965</t>
  </si>
  <si>
    <t xml:space="preserve">Schneider Polycarbonat GN 1/9 Behälter 65 mm, 1 l</t>
  </si>
  <si>
    <t xml:space="preserve">1/9 PC 65 mm, transparent; EXACT: polycarbonate stated in name, GN 1/9 x 65 mm; SKU 530150; price shown is net (page shows e.g. "X € inkl. MwSt." computed at 19% underneath). Price shown excl. VAT (AT 20%). YES Gastro SKU GNP-1965.</t>
  </si>
  <si>
    <t xml:space="preserve">https://www.gastro-hero.at/products/schneider-polycarbonat-gn-19-behaelter-65-mm-1-l-530150</t>
  </si>
  <si>
    <t xml:space="preserve">WAS GN 94 Behälter 1/9-065 mm Polycarbonat</t>
  </si>
  <si>
    <t xml:space="preserve">1/9 PC 65 mm, transparent; EXACT: WAS GN 94 polycarbonate container GN 1/9 x 65 mm; listing price "zzgl. 19% MwSt." (German shop shipping to DE &amp; AT, VAT footnote says 19%). Price shown excl. VAT (AT 20%). YES Gastro SKU GNP-1965.</t>
  </si>
  <si>
    <t xml:space="preserve">https://www.gastrodax.de/was-gn-94-behaelter-1-9-065-mm-polycarbonat</t>
  </si>
  <si>
    <t xml:space="preserve">Vogue GN-Behälter GN1/9 schwarz 65mm</t>
  </si>
  <si>
    <t xml:space="preserve">1/9 PC 65 mm, black; EXACT: polycarbonate stated on page (Vogue black PC series, material Polycarbonat stated in description), GN 1/9 x 65 mm; Art.-Nr. U472; price "inkl. MwSt., zzgl. Versand". Price shown incl. VAT (AT 20%); VAT removed for the net price. YES Gastro SKU GNP-1965/B.</t>
  </si>
  <si>
    <t xml:space="preserve">https://www.gastroladen.at/3020@GN-U472/</t>
  </si>
  <si>
    <t xml:space="preserve">Gastronorm Behälter GN 1/9 | GN 96 BLACK | Polycarbonat schwarz H 65 mm</t>
  </si>
  <si>
    <t xml:space="preserve">1/9 PC 65 mm, black; EXACT: WAS GN 96 BLACK, Materialtyp Polycarbonat, Farbe schwarz, GN 1/9, Höhe 65 mm; Bestell-Nr 1016788; single-piece price "Preis pro Stück, zzgl. MwSt" (page also shows inkl. 20% MwSt); UVP 2,90; Staffelpreise: ab 3 2,17, ab 6 2,11 per piece; Price shown excl. VAT (AT 20%); page read with a headless browser (prices rendered by JavaScript). YES Gastro SKU GNP-1965/B.</t>
  </si>
  <si>
    <t xml:space="preserve">https://www.intergastro.at/gastronorm-behaelter-gn-1-9-gn-96-black-polycarbonat-schwarz-h-65-mm-1016788</t>
  </si>
  <si>
    <t xml:space="preserve">GN-Behälter - transparent - Serie 94 - Inhalt 0,60 l - GN 1/9 (176 x 108 mm) - 65 mm - Polycarbonat - premium Qualität</t>
  </si>
  <si>
    <t xml:space="preserve">1/9 PC 65 mm, transparent; EXACT: polycarbonate stated in name (Material: Kunststoff, Polycarbonat), GN 1/9, 65 mm stated in name; Art. 9419065-A; sale price, Regulärer Preis 3.00; footer "Preise zzgl. MwSt. zzgl. Versandkosten". Price shown excl. VAT (AT 20%). YES Gastro SKU GNP-1965.</t>
  </si>
  <si>
    <t xml:space="preserve">https://shopbuero.com/gn-behaelter-transparent-serie-94-inhalt-0-60-l-gn-1-9-176-x-108-mm-65-mm-polycarbonat-premium-qualitaet/9419065-A</t>
  </si>
  <si>
    <t xml:space="preserve">1/9 PC 65 mm, transparent; EXACT: GN 1/9, 65 mm, Polycarbonat stated; Art.-Nr. 10014639;0; price shown on default 'Gewerbekunden' price list, Steuerhinweis 'zzgl. MwSt.'. Price shown excl. VAT (DE 19%). YES Gastro SKU GNP-1965.</t>
  </si>
  <si>
    <t xml:space="preserve">https://www.allpax.de/product_info.php/info/GN-Behaelter-1-9-PC-Hoehe-65-mm.html</t>
  </si>
  <si>
    <t xml:space="preserve">1/9 PC 65 mm, transparent; EXACT: GN 1/9, 65 mm, Polycarbonat in product name; Art.-Nr. GPCP1965; price for pack of 12 ('12 Stück'), shown as Nettopreis (page footnote '* Nettopreis | Bruttopreis inkl. 19% MwSt.'); promo price, crossed-out 22,09 EUR, UVP 42,99 EUR; category listing rendered in browser. Price shown excl. VAT (DE 19%); pack of 12, converted to per piece; page read with a headless browser (prices rendered by JavaScript). YES Gastro SKU GNP-1965.</t>
  </si>
  <si>
    <t xml:space="preserve">https://www.ggmgastro.com/de-de-eur/12-stueck-polycarbonat-behaelter-gn-1-9-transparent-hoehe-65mm-gpcp1965</t>
  </si>
  <si>
    <t xml:space="preserve">GN Behälter mit Skalierung, GN 1/9 - 65 mm, transparent, Polycarbonat, GN 94 Serie</t>
  </si>
  <si>
    <t xml:space="preserve">1/9 PC 65 mm, transparent; EXACT: GN 1/9, 65 mm, material Polycarbonat stated; Art.Nr. 9419065; price inkl. 19% USt, shop also shows Netto 2,17 EUR; -28% promo vs UVP 3,57 EUR. Price shown incl. VAT (DE 19%); VAT removed for the net price. YES Gastro SKU GNP-1965.</t>
  </si>
  <si>
    <t xml:space="preserve">https://gastro-spirit.de/behaelter-mit-skalierung-gn-1-9-serie-gn-94-9419065</t>
  </si>
  <si>
    <t xml:space="preserve">1/9 PC 65 mm, transparent; EXACT: GN 1/9, 65 mm, Material Polycarbonat stated; Art.-Nr. 530150; page shows gross 2,96 EUR 'inkl. MwSt.' and net 2,49 EUR; footer: 'Alle Preise sind Stückpreise und verstehen sich netto zzgl. MwSt.' (B2B shop); net price recorded. Price shown excl. VAT (DE 19%). YES Gastro SKU GNP-1965.</t>
  </si>
  <si>
    <t xml:space="preserve">https://www.gastro-hero.de/products/schneider-polycarbonat-gn-19-behaelter-65-mm-1-l-530150</t>
  </si>
  <si>
    <t xml:space="preserve">1/9 PC 65 mm, transparent; EXACT: GN 1/9, 65 mm, material Polycarbonat stated; Art.-Nr. WAS-9419065; price 'zzgl. 19% MwSt.' (B2B net). Price shown excl. VAT (DE 19%). YES Gastro SKU GNP-1965.</t>
  </si>
  <si>
    <t xml:space="preserve">1/9 PC 65 mm, black; EXACT: GN 1/9, 65 mm, Polycarbonat in product name; Bestell-Nr 1016788, Serie GN 96 BLACK; single-piece price 'Preis pro Stück, zzgl. MwSt' (Staffelpreise for 3+ pcs exist on page); shop shows UVP 2,9 EUR. Price shown excl. VAT (DE 19%). YES Gastro SKU GNP-1965/B.</t>
  </si>
  <si>
    <t xml:space="preserve">https://www.intergastro.de/gastronorm-behaelter-gn-1-9-gn-96-black-polycarbonat-schwarz-h-65-mm-1016788</t>
  </si>
  <si>
    <t xml:space="preserve">Gastronormbehälter, Serie STANDARD, Polycarbonat, GN 1/9 (65 mm)</t>
  </si>
  <si>
    <t xml:space="preserve">1/9 PC 65 mm, transparent; EXACT: GN 1/9, 65 mm, Polycarbonat in product name; Bestell-Nr 1026276, Serie Serie STANDARD; single-piece price 'Preis pro Stück, zzgl. MwSt' (Staffelpreise for 3+ pcs exist on page); shop shows UVP 2,9 EUR. Price shown excl. VAT (DE 19%). YES Gastro SKU GNP-1965.</t>
  </si>
  <si>
    <t xml:space="preserve">https://www.intergastro.de/gastronormbehaelter-serie-standard-polycarbonat-gn-1-9-65-mm-1026276</t>
  </si>
  <si>
    <t xml:space="preserve">Gastronádoba polykarbonátová - GN 1/9 GN, 65mm Maxima</t>
  </si>
  <si>
    <t xml:space="preserve">1/9 PC 65 mm, clear; EXACT: polycarbonate stated in product name ("polykarbonátová"), GN 1/9 x 65 mm, clear (Maxima); listing shows 53 Kč bez DPH / 64 Kč s DPH. Price shown excl. VAT (CZ 21%). YES Gastro SKU GNP-1965.</t>
  </si>
  <si>
    <t xml:space="preserve">https://www.gastrofans.cz/gastronadoba-1-9-gn-hloubka-6-5-cm-17-6-x-10-8-cm-polykarbonat/</t>
  </si>
  <si>
    <t xml:space="preserve">Gastro nádoba GN 1/9 65 mm, polykarbonát | YATO, YG-00430</t>
  </si>
  <si>
    <t xml:space="preserve">1/9 PC 65 mm, clear; EXACT: "polykarbonát" in product name, GN 1/9 65 mm, Yato YG-00430; listing shows bez DPH 39 Kč / s DPH 47 Kč (cheapest PC brand in shop). Price shown excl. VAT (CZ 21%); page read with a headless browser (prices rendered by JavaScript). YES Gastro SKU GNP-1965.</t>
  </si>
  <si>
    <t xml:space="preserve">https://www.gastromania.cz/gastronadoby-polykarbonatove/gastro-nadoba-gn-1-9-65-mm-polykarbonat-yato-yg-00430</t>
  </si>
  <si>
    <t xml:space="preserve">ARAVEN Gastronádoba GN 1/9, polykarbonát, hloubka: 65 mm, objem: 0,6 l</t>
  </si>
  <si>
    <t xml:space="preserve">1/9 PC 65 mm, clear; EXACT: Araven polycarbonate GN 1/9 x 65 mm, code 229901600; page shows 110 Kč s DPH / 91 Kč bez DPH. Price shown excl. VAT (CZ 21%). YES Gastro SKU GNP-1965.</t>
  </si>
  <si>
    <t xml:space="preserve">https://www.gastrozone.cz/araven-gn-nadoba-1-9-polykarbonat-hloubka-65-mm-objem-0-6-l.html</t>
  </si>
  <si>
    <t xml:space="preserve">Gastronorm GN 1/9 (h=65 mm) polykarbonátová</t>
  </si>
  <si>
    <t xml:space="preserve">1/9 PC 65 mm, clear; EXACT: "Profesionální polykarbonátová nádoba" GN 1/9, h=65 mm, clear; listing/product price 39 CZK s DPH (product page also shows bez DPH, e.g. 1/1 100 mm 286 s DPH = 236 bez DPH). Discounted from regular 43 CZK s DPH. Price shown incl. VAT (CZ 21%); VAT removed for the net price. YES Gastro SKU GNP-1965.</t>
  </si>
  <si>
    <t xml:space="preserve">https://www.gastrosance.cz/gn-1/9--h-65-mm--polykarbonatova</t>
  </si>
  <si>
    <t xml:space="preserve">Gastronádoba polykarbonátová GN 1/9 65 mm</t>
  </si>
  <si>
    <t xml:space="preserve">1/9 PC 65 mm, clear; EXACT: "Gastronádoba polykarbonátová GN 1/9 65 mm", code R-M219065, brand Cambro; page shows 125 Kč / 103 Kč bez DPH; parameters Materiál: polykarbonát, transparent. Price shown excl. VAT (CZ 21%). YES Gastro SKU GNP-1965.</t>
  </si>
  <si>
    <t xml:space="preserve">https://www.tomgast.cz/gastronadoba-polykarbonatova-gn-1-9-65-mm/</t>
  </si>
  <si>
    <t xml:space="preserve">Skladem (99 ks)</t>
  </si>
  <si>
    <t xml:space="preserve">Nádoba GN 1/9, HENDI, Profi Line, GN 1/9, 0,6L, Priehľadná, 176x108x(H)65mm Kód: 861837</t>
  </si>
  <si>
    <t xml:space="preserve">1/9 PC 65 mm, clear; material not in product name; HENDI Profi Line 861 series: listing description says "z polykarbonátu"; price shown 2.60 € (net) / 3,20 € s DPH; code 861837 Price shown excl. VAT (SK 23%). YES Gastro SKU GNP-1965.</t>
  </si>
  <si>
    <t xml:space="preserve">Gastronádoba polykarbonátová GNP1/9 - 65</t>
  </si>
  <si>
    <t xml:space="preserve">1/9 PC 65 mm, clear (not stated); 'bez DPH' price shown; gross €2.80; code ; other offers on this shop for the same variant: Vogue 4.56 (in stock); Vogue 3.24 (Ospravedlňujeme sa, ) Price shown excl. VAT (SK 23%). YES Gastro SKU GNP-1965.</t>
  </si>
  <si>
    <t xml:space="preserve">1/9 PC 65 mm, clear (not stated); SKU YATO-YG-00430; other offers on this shop for the same variant: STALGAST 2.85 (in stock); STALGAST 3.73 (in stock); CONTACTO 4.56 (in stock); CAMBRO 5.07 (in stock) Price shown incl. VAT (SK 23%); VAT removed for the net price. YES Gastro SKU GNP-1965.</t>
  </si>
  <si>
    <t xml:space="preserve">https://gastromania.sk/gastronadoby-polykarbonatove/gastro-nadoba-gn-1-9-65-mm-polykarbonat-yato-yg-00430</t>
  </si>
  <si>
    <t xml:space="preserve">ARAVEN Gastronádoba GN 1/9, polykarbonát, hĺbka: 65 mm, objem: 0,6 L</t>
  </si>
  <si>
    <t xml:space="preserve">1/9 PC 65 mm, clear (not stated); listing shows gross 3,66 €; 'bez DPH' net 2.98 EUR on product page; SKU 229901600; other offers on this shop for the same variant: APS 4.84 (Na objednávku (3-5 t) Price shown incl. VAT (SK 23%); VAT removed for the net price. YES Gastro SKU GNP-1965.</t>
  </si>
  <si>
    <t xml:space="preserve">https://www.gastrozone.sk/araven-gn-nadoba-1-9-polykarbonat-hloubka-65-mm-objem-0-6-l.html</t>
  </si>
  <si>
    <t xml:space="preserve">Gastronádoba polykarbonátová GN 1/9 065 mm</t>
  </si>
  <si>
    <t xml:space="preserve">1/9 PC 65 mm, clear (not stated); 'bez DPH' price shown; gross 1.63 EUR; other offers on this shop for the same variant: not stated (shop own line) 4.26 (in stock); HENDI 1.69 (in stock) Price shown excl. VAT (SK 23%). YES Gastro SKU GNP-1965.</t>
  </si>
  <si>
    <t xml:space="preserve">Cuva GN 1/9 policarbonat – 100 mm</t>
  </si>
  <si>
    <t xml:space="preserve">1/9 PC 100 mm, clear; EXACT: size, depth and material (policarbonat transparent) in name and page spec. Shown "12.80 lei fără TVA (15.49 lei cu TVA)". Sale price; regular (initial) net price 17.24 lei. Price shown excl. VAT (RO 21%). YES Gastro SKU GNP-19100.</t>
  </si>
  <si>
    <t xml:space="preserve">https://direca.ro/shop/cuva-gn-1-9-policarbonat-100-mm/</t>
  </si>
  <si>
    <t xml:space="preserve">Cuva policarbonat transparent GN 1/9 176x108x100 mm</t>
  </si>
  <si>
    <t xml:space="preserve">1/9 PC 100 mm, clear; EXACT: size, depth and material (policarbonat transparent) stated; price shown "( inclusiv T.V.A. )"; B2B tier discounts from 3,500 lei. Price shown incl. VAT (RO 21%); VAT removed for the net price. YES Gastro SKU GNP-19100.</t>
  </si>
  <si>
    <t xml:space="preserve">https://www.fimax.ro/produs/cuva-policarbonat-transparent-gn-1-9-176x108x100-mm/</t>
  </si>
  <si>
    <t xml:space="preserve">ARAVEN Recipient gastronomic GN 1/9, Policarbonat, Adancime: 100 mm, Capacitate: 0,9 L</t>
  </si>
  <si>
    <t xml:space="preserve">1/9 PC 100 mm, clear; EXACT: Araven polycarbonate GN container, size/depth/material stated in name. SKU 229901601. Listing price is gross; product page shows gross and "fără TVA" net below it. Price shown incl. VAT (RO 21%); VAT removed for the net price. YES Gastro SKU GNP-19100.</t>
  </si>
  <si>
    <t xml:space="preserve">https://www.gastrozone.ro/araven-gn-recipient-1-9-policarbonat-adancime-100-mm-capacitate-0-9-l.html</t>
  </si>
  <si>
    <t xml:space="preserve">Tava gastronorm | GN 1/9-100 mm policarbonat</t>
  </si>
  <si>
    <t xml:space="preserve">1/9 PC 100 mm, clear; EXACT: GastroPlast polycarbonate GN tray, size and depth in name and code. Shop code GNP19100; price shown in EUR "fara TVA" (invoiced in RON at BNR rate). Price shown excl. VAT (RO 21%). YES Gastro SKU GNP-19100.</t>
  </si>
  <si>
    <t xml:space="preserve">https://www.lancom.ro/tava-policarbonat-gn-1-9-100-mm-6959</t>
  </si>
  <si>
    <t xml:space="preserve">Recipientă GN 1/9 10 cm din policarbonat, 800 ml | FORGAST FG06791</t>
  </si>
  <si>
    <t xml:space="preserve">1/9 PC 100 mm, clear; EXACT: size, depth and material (policarbonat) in product name. Listing shows "Pret net 6.77 RON" and "Pret brut 8.19 RON/buc". Price shown excl. VAT (RO 21%). YES Gastro SKU GNP-19100.</t>
  </si>
  <si>
    <t xml:space="preserve">https://mmgastro.ro/ro/products/recipienta-gn-1-9-10-cm-din-policarbonat-800-ml-forgast-fg06791-63696</t>
  </si>
  <si>
    <t xml:space="preserve">PC GN 1/9 Höhe 100 mm schwarz</t>
  </si>
  <si>
    <t xml:space="preserve">1/9 PC 100 mm, black; EXACT: polycarbonate GN 1/9 x 100 mm ("Stabiler GN 1/9 Behälter aus Polycarbonat"); Art. 10024418;0; sale price (statt 2.95); listing "Steuerhinweis: exkl. MwSt.", footer "Preisangaben exkl. gesetzl. MwSt." (Gewerbekunden price list). Price shown excl. VAT (AT 20%). YES Gastro SKU GNP-19100/B.</t>
  </si>
  <si>
    <t xml:space="preserve">https://www.allpax.at/product_info.php/info/PC-GN-1-9-Hoehe-100-mm-schwarz.html</t>
  </si>
  <si>
    <t xml:space="preserve">GN-BEHÄLTER POLYKARBONAT 1/9 100 tief</t>
  </si>
  <si>
    <t xml:space="preserve">1/9 PC 100 mm, not stated (page has no description); EXACT: polycarbonate stated in product name, GN 1/9 x 100 mm; Artikelnummer 861 820; footer "Alle Preise excl. 20% MwSt."; shop sells via Anfragekorb (quote request). Price shown excl. VAT (AT 20%). YES Gastro SKU GNP-19100.</t>
  </si>
  <si>
    <t xml:space="preserve">https://www.gastrozimml.at/produkt/gn-behalter-polykarbonat-19-100-tief/</t>
  </si>
  <si>
    <t xml:space="preserve">WAS GN 94 Behälter 1/9-100 mm Polycarbonat</t>
  </si>
  <si>
    <t xml:space="preserve">1/9 PC 100 mm, transparent; EXACT: WAS GN 94 polycarbonate container GN 1/9 x 100 mm; listing price "zzgl. 19% MwSt." (German shop shipping to DE &amp; AT, VAT footnote says 19%). Price shown excl. VAT (AT 20%). YES Gastro SKU GNP-19100.</t>
  </si>
  <si>
    <t xml:space="preserve">https://www.gastrodax.de/was-gn-94-behaelter-1-9-100-mm-polycarbonat</t>
  </si>
  <si>
    <t xml:space="preserve">Vogue GN-Behälter GN1/9 schwarz 100mm</t>
  </si>
  <si>
    <t xml:space="preserve">1/9 PC 100 mm, black; EXACT: polycarbonate stated on page (Vogue black PC series, material Polycarbonat stated in description), GN 1/9 x 100 mm; Art.-Nr. U473; price "inkl. MwSt., zzgl. Versand". Price shown incl. VAT (AT 20%); VAT removed for the net price. YES Gastro SKU GNP-19100/B.</t>
  </si>
  <si>
    <t xml:space="preserve">https://www.gastroladen.at/3020@GN-U473/</t>
  </si>
  <si>
    <t xml:space="preserve">Gastronorm Behälter GN 1/9 | GN 96 BLACK | Polycarbonat schwarz H 100 mm</t>
  </si>
  <si>
    <t xml:space="preserve">1/9 PC 100 mm, black; EXACT: WAS GN 96 BLACK, Materialtyp Polycarbonat, Farbe schwarz, GN 1/9, Höhe 100 mm; Bestell-Nr 1016789; single-piece price "Preis pro Stück, zzgl. MwSt" (page also shows inkl. 20% MwSt); UVP 3,80; Staffelpreise: ab 3 2,86, ab 6 2,77 per piece; Price shown excl. VAT (AT 20%); page read with a headless browser (prices rendered by JavaScript). YES Gastro SKU GNP-19100/B.</t>
  </si>
  <si>
    <t xml:space="preserve">https://www.intergastro.at/gastronorm-behaelter-gn-1-9-gn-96-black-polycarbonat-schwarz-h-100-mm-1016789</t>
  </si>
  <si>
    <t xml:space="preserve">Stalgast Gastronormbehälter, Polycarbonat, GN 1/9 (100 mm)</t>
  </si>
  <si>
    <t xml:space="preserve">1/9 PC 100 mm, transparent; EXACT: Stalgast Gastronormbehälter Polycarbonat (Material: Polycarbonat (PC)), GN 1/9 x 100 mm; "pro Stk exkl. MwSt. zzgl. Versand"; delivery 4 Arbeitstage. Price shown excl. VAT (AT 20%). YES Gastro SKU GNP-19100.</t>
  </si>
  <si>
    <t xml:space="preserve">https://www.jh-profishop.at/p/stalgast-gastronormbehaelter-polycarbonat-gn-1-9-100-mm-928294-347797/</t>
  </si>
  <si>
    <t xml:space="preserve">4 Arbeitstage</t>
  </si>
  <si>
    <t xml:space="preserve">GN-Behälter - transparent - Serie 94 - Inhalt 0,9 l - GN 1/9 (176 x 108 mm) - 100 mm - Polycarbonat - premium Qualität</t>
  </si>
  <si>
    <t xml:space="preserve">1/9 PC 100 mm, transparent; EXACT: polycarbonate stated in name (Material: Kunststoff, Polycarbonat), GN 1/9, 100 mm stated in name; Art. 9419100-A; sale price, Regulärer Preis 3.50; footer "Preise zzgl. MwSt. zzgl. Versandkosten". Price shown excl. VAT (AT 20%). YES Gastro SKU GNP-19100.</t>
  </si>
  <si>
    <t xml:space="preserve">https://shopbuero.com/gn-behaelter-transparent-serie-94-inhalt-0-9-l-gn-1-9-176-x-108-mm-100-mm-polycarbonat-premium-qualitaet/9419100-A</t>
  </si>
  <si>
    <t xml:space="preserve">1/9 PC 100 mm, black; EXACT: GN 1/9, 100 mm, Polycarbonat stated; Art.-Nr. 10024418;0; price shown on default 'Gewerbekunden' price list, Steuerhinweis 'zzgl. MwSt.'; promo 'jetzt' price, regular 'statt' 2.95 EUR. Price shown excl. VAT (DE 19%). YES Gastro SKU GNP-19100/B.</t>
  </si>
  <si>
    <t xml:space="preserve">https://www.allpax.de/product_info.php/info/PC-GN-1-9-Hoehe-100-mm-schwarz.html</t>
  </si>
  <si>
    <t xml:space="preserve">GN Behälter mit Skalierung, GN 1/9 - 100 mm, transparent, Polycarbonat, GN 94 Serie</t>
  </si>
  <si>
    <t xml:space="preserve">1/9 PC 100 mm, transparent; EXACT: GN 1/9, 100 mm, material Polycarbonat stated; Art.Nr. 9419100; price inkl. 19% USt, shop also shows Netto 2,54 EUR; -28% promo vs UVP 4,17 EUR. Price shown incl. VAT (DE 19%); VAT removed for the net price. YES Gastro SKU GNP-19100.</t>
  </si>
  <si>
    <t xml:space="preserve">https://gastro-spirit.de/behaelter-mit-skalierung-gn-1-9-serie-gn-94-9419100</t>
  </si>
  <si>
    <t xml:space="preserve">1/9 PC 100 mm, transparent; EXACT: GN 1/9, 100 mm, material Polycarbonat stated; Art.-Nr. WAS-9419100; price 'zzgl. 19% MwSt.' (B2B net). Price shown excl. VAT (DE 19%). YES Gastro SKU GNP-19100.</t>
  </si>
  <si>
    <t xml:space="preserve">1/9 PC 100 mm, black; EXACT: GN 1/9, 100 mm, Polycarbonat in product name; Bestell-Nr 1016789, Serie GN 96 BLACK; single-piece price 'Preis pro Stück, zzgl. MwSt' (Staffelpreise for 3+ pcs exist on page); shop shows UVP 3,8 EUR. Price shown excl. VAT (DE 19%). YES Gastro SKU GNP-19100/B.</t>
  </si>
  <si>
    <t xml:space="preserve">https://www.intergastro.de/gastronorm-behaelter-gn-1-9-gn-96-black-polycarbonat-schwarz-h-100-mm-1016789</t>
  </si>
  <si>
    <t xml:space="preserve">Gastronormbehälter, Serie STANDARD, Polycarbonat, GN 1/9 (100 mm)</t>
  </si>
  <si>
    <t xml:space="preserve">1/9 PC 100 mm, transparent; EXACT: GN 1/9, 100 mm, Polycarbonat in product name; Bestell-Nr 1026277, Serie Serie STANDARD; single-piece price 'Preis pro Stück, zzgl. MwSt' (Staffelpreise for 3+ pcs exist on page); shop shows UVP 3,25 EUR. Price shown excl. VAT (DE 19%). YES Gastro SKU GNP-19100.</t>
  </si>
  <si>
    <t xml:space="preserve">https://www.intergastro.de/gastronormbehaelter-serie-standard-polycarbonat-gn-1-9-100-mm-1026277</t>
  </si>
  <si>
    <t xml:space="preserve">Gastronormbehälter GN 1/9  x 100 mm GN 94 Kunststoff</t>
  </si>
  <si>
    <t xml:space="preserve">1/9 PC 100 mm, transparent; EXACT: GN 1/9, 100 mm, Materialtyp 'Polycarbonat' in product attributes (name says Kunststoff); Bestell-Nr 252542, Serie GN 94; single-piece price 'Preis pro Stück, zzgl. MwSt' (Staffelpreise for 3+ pcs exist on page); shop shows UVP 3,5 EUR. Price shown excl. VAT (DE 19%). YES Gastro SKU GNP-19100.</t>
  </si>
  <si>
    <t xml:space="preserve">https://www.intergastro.de/gastronormbehaelter-gn-1-9-x-100-mm-gn-94-kunststoff-252542</t>
  </si>
  <si>
    <t xml:space="preserve">GN-Behälter Polycarbonat GN 1/9 100 mm</t>
  </si>
  <si>
    <t xml:space="preserve">1/9 PC 100 mm, transparent; EXACT: GN 1/9, 100 mm, Polycarbonat in product name; Bestell-Nr 978418; single-piece price 'Preis pro Stück, zzgl. MwSt' (Staffelpreise for 3+ pcs exist on page); shop shows UVP 4,29 EUR. Price shown excl. VAT (DE 19%). YES Gastro SKU GNP-19100.</t>
  </si>
  <si>
    <t xml:space="preserve">https://www.intergastro.de/gn-behaelter-polycarbonat-gn-1-9-100-mm-978418</t>
  </si>
  <si>
    <t xml:space="preserve">Gastronádoba polykarbonátová - GN 1/9, 100mm Maxima</t>
  </si>
  <si>
    <t xml:space="preserve">1/9 PC 100 mm, clear; EXACT: polycarbonate stated in product name ("polykarbonátová"), GN 1/9 x 100 mm, clear (Maxima); listing shows 71 Kč bez DPH / 86 Kč s DPH. Price shown excl. VAT (CZ 21%). YES Gastro SKU GNP-19100.</t>
  </si>
  <si>
    <t xml:space="preserve">https://www.gastrofans.cz/gastronadoba-1-9-gn-hloubka-10-cm-17-6-x-10-8-cm-polykarbonat/</t>
  </si>
  <si>
    <t xml:space="preserve">Gastronádoba polykarbonátová GN 1/9 100 mm | CAMBRO, R-M219100</t>
  </si>
  <si>
    <t xml:space="preserve">1/9 PC 100 mm, clear; EXACT: Cambro Camwear polycarbonate GN 1/9 100 mm, R-M219100; listing shows bez DPH 125 Kč / s DPH 151 Kč. Price shown excl. VAT (CZ 21%); page read with a headless browser (prices rendered by JavaScript). YES Gastro SKU GNP-19100.</t>
  </si>
  <si>
    <t xml:space="preserve">https://www.gastromania.cz/gastronadoby-polykarbonatove/gastronadoba-polykarbonatova-gn-1-9-100-mm-cambro-r-m219100</t>
  </si>
  <si>
    <t xml:space="preserve">ARAVEN Gastronádoba GN 1/9, polykarbonát, hloubka: 100 mm, objem: 0,9 L</t>
  </si>
  <si>
    <t xml:space="preserve">1/9 PC 100 mm, clear; EXACT: Araven polycarbonate GN 1/9 x 100 mm, code 229901601; page shows 123 Kč s DPH / 102 Kč bez DPH. Price shown excl. VAT (CZ 21%). YES Gastro SKU GNP-19100.</t>
  </si>
  <si>
    <t xml:space="preserve">https://www.gastrozone.cz/araven-gn-nadoba-1-9-polykarbonat-hloubka-100-mm-objem-0-9-l.html</t>
  </si>
  <si>
    <t xml:space="preserve">Gastronorm GN 1/9 (h=100 mm) polykarbonátová</t>
  </si>
  <si>
    <t xml:space="preserve">1/9 PC 100 mm, clear; EXACT: "Profesionální polykarbonátová nádoba" GN 1/9, h=100 mm, clear; listing/product price 48 CZK s DPH (product page also shows bez DPH, e.g. 1/1 100 mm 286 s DPH = 236 bez DPH). Price shown incl. VAT (CZ 21%); VAT removed for the net price. YES Gastro SKU GNP-19100.</t>
  </si>
  <si>
    <t xml:space="preserve">https://www.gastrosance.cz/gn-1/9--h-100-mm--polykarbonatova</t>
  </si>
  <si>
    <t xml:space="preserve">Gastronádoba polykarbonátová GN 1/9 100 mm</t>
  </si>
  <si>
    <t xml:space="preserve">1/9 PC 100 mm, clear; EXACT: "Gastronádoba polykarbonátová GN 1/9 100 mm", code R-M219100, brand Cambro; page shows 151 Kč / 125 Kč bez DPH; parameters Materiál: polykarbonát, transparent. Price shown excl. VAT (CZ 21%). YES Gastro SKU GNP-19100.</t>
  </si>
  <si>
    <t xml:space="preserve">https://www.tomgast.cz/gastronadoba-polykarbonatova-gn-1-9-100-mm-2/</t>
  </si>
  <si>
    <t xml:space="preserve">Skladem (167 ks)</t>
  </si>
  <si>
    <t xml:space="preserve">Nádoba GN 1/9, HENDI, Profi Line, GN 1/9, 1L, Priehľadná, 176x108x(H)100mm Kód: 861820</t>
  </si>
  <si>
    <t xml:space="preserve">1/9 PC 100 mm, clear; material not in product name; HENDI Profi Line 861 series: listing description says "z polykarbonátu"; price shown 2.80 € (net) / 3,44 € s DPH; code 861820 Price shown excl. VAT (SK 23%). YES Gastro SKU GNP-19100.</t>
  </si>
  <si>
    <t xml:space="preserve">Gastronádoba polykarbonátová GNP1/9 - 100</t>
  </si>
  <si>
    <t xml:space="preserve">1/9 PC 100 mm, clear (not stated); 'bez DPH' price shown; gross €3.05; code ; other offers on this shop for the same variant: Vogue 3.95 (in stock); Vogue 3.73 (Ospravedlňujeme sa, ) Price shown excl. VAT (SK 23%). YES Gastro SKU GNP-19100.</t>
  </si>
  <si>
    <t xml:space="preserve">Gastro nádoba GN 1/9 100 mm, polykarbonát | YATO, YG-00431</t>
  </si>
  <si>
    <t xml:space="preserve">1/9 PC 100 mm, clear (not stated); SKU YATO-YG-00431; other offers on this shop for the same variant: APS 2.56 (in stock); STALGAST 3.32 (in stock); STALGAST 4.42 (in stock); CONTACTO 5.31 (in stock) Price shown incl. VAT (SK 23%); VAT removed for the net price. YES Gastro SKU GNP-19100.</t>
  </si>
  <si>
    <t xml:space="preserve">https://gastromania.sk/gastronadoby-polykarbonatove/gastro-nadoba-gn-1-9-100-mm-polykarbonat-yato-yg-00431</t>
  </si>
  <si>
    <t xml:space="preserve">gastronádoba GN 1/9 polykarbonát v=100 mm Pujadas</t>
  </si>
  <si>
    <t xml:space="preserve">1/9 PC 100 mm, clear (not stated); listing shows gross 8,54 €; 'bez DPH' net 6.94 EUR on product page; SKU 227705074; other offers on this shop for the same variant: Araven 4.30 (Na objednávku (3-5 t); APS 5.54 (Na objednávku (3-5 t); APS 5.60 (Na objednávku (3-5 t) Price shown incl. VAT (SK 23%); VAT removed for the net price. YES Gastro SKU GNP-19100.</t>
  </si>
  <si>
    <t xml:space="preserve">https://www.gastrozone.sk/gastronadoba-gn-1-9-polykarbonat-v-100-mm-pujadas.html</t>
  </si>
  <si>
    <t xml:space="preserve">Skladom - centrálny sklad 51-100 ks 7. 10. - 8. 10. u vás</t>
  </si>
  <si>
    <t xml:space="preserve">1/9 PC 100 mm, clear (not stated); 'bez DPH' price shown; gross 2.27 EUR; other offers on this shop for the same variant: not stated (shop own line) 4.78 (in stock); HENDI 1.82 (in stock); HENDI 2.15 (in stock) Price shown excl. VAT (SK 23%). YES Gastro SKU GNP-19100.</t>
  </si>
  <si>
    <t xml:space="preserve">ARAVEN Recipient gastronomic GN 1/9, Policarbonat, adancime: 150 mm, continut: 1,2 L</t>
  </si>
  <si>
    <t xml:space="preserve">1/9 PC 150 mm, clear; EXACT: Araven polycarbonate GN container, size/depth/material stated in name. SKU 229901602. Listing price is gross; product page shows gross and "fără TVA" net below it. Price shown incl. VAT (RO 21%); VAT removed for the net price. YES Gastro SKU GNP-19150.</t>
  </si>
  <si>
    <t xml:space="preserve">https://www.gastrozone.ro/araven-gn-container-1-9-policarbonat-adancime-150-mm-capacitate-1-2-l.html</t>
  </si>
  <si>
    <t xml:space="preserve">TAVA GASTRONORM | GN 1/9-150 MM POLICARBONAT</t>
  </si>
  <si>
    <t xml:space="preserve">1/9 PC 150 mm, clear; EXACT: polycarbonate GN tray (series 46xxx), size/depth/material in name. Shop code 46019150-series; price shown in EUR "fara TVA" (invoiced in RON at BNR rate). Price shown excl. VAT (RO 21%). YES Gastro SKU GNP-19150.</t>
  </si>
  <si>
    <t xml:space="preserve">https://www.lancom.ro/tava-gastronorm-gn-19-150-mm-policarbonat-9126</t>
  </si>
  <si>
    <t xml:space="preserve">ARAVEN Gastronádoba GN 1/9, polykarbonát, hloubka: 150 mm, objem: 1,2 L</t>
  </si>
  <si>
    <t xml:space="preserve">1/9 PC 150 mm, clear; EXACT: Araven polycarbonate GN 1/9 x 150 mm, code 229901602; page shows 145 Kč s DPH / 120 Kč bez DPH. Price shown excl. VAT (CZ 21%). YES Gastro SKU GNP-19150.</t>
  </si>
  <si>
    <t xml:space="preserve">https://www.gastrozone.cz/araven-gn-nadoba-1-9-polykarbonat-hloubka-150-mm-objem-1-2-l.html</t>
  </si>
  <si>
    <t xml:space="preserve">Gastronádoba polykarbonátová GN 1/9 150 mm</t>
  </si>
  <si>
    <t xml:space="preserve">1/9 PC 150 mm, clear; EXACT: "Gastronádoba polykarbonátová GN 1/9 150 mm", code R-M219150, brand Cambro; page shows 272 Kč / 225 Kč bez DPH; parameters Materiál: polykarbonát, transparent. Price shown excl. VAT (CZ 21%). YES Gastro SKU GNP-19150.</t>
  </si>
  <si>
    <t xml:space="preserve">https://www.tomgast.cz/gastronadoba-polykarbonatova-gn-1-9-150-mm/</t>
  </si>
  <si>
    <t xml:space="preserve">ARAVEN Gastronádoba GN 1/9, polykarbonát, hĺbka: 150 mm, objem: 1,2 L</t>
  </si>
  <si>
    <t xml:space="preserve">1/9 PC 150 mm, clear (not stated); listing shows gross 5,49 €; 'bez DPH' net 4.46 EUR on product page; SKU 229901602 Price shown incl. VAT (SK 23%); VAT removed for the net price. YES Gastro SKU GNP-19150.</t>
  </si>
  <si>
    <t xml:space="preserve">https://www.gastrozone.sk/araven-gn-nadoba-1-9-polykarbonat-hloubka-150-mm-objem-1-2-l.html</t>
  </si>
  <si>
    <t xml:space="preserve">1/9 PC 150 mm, clear (not stated); 'bez DPH' price shown; gross 10.41 EUR Price shown excl. VAT (SK 23%). YES Gastro SKU GNP-19150.</t>
  </si>
  <si>
    <t xml:space="preserve">Vascheta GN 1/1 polipropilena Bufet Safe, 14 litri, H 100 mm</t>
  </si>
  <si>
    <t xml:space="preserve">1/1 PP 100 mm, white; EXACT: Stalgast "Bufet Safe" PP container, size/depth in name, page spec "Constructie: polipropilena". Shown "47.40 lei fără TVA (57.35 lei cu TVA)". Price shown excl. VAT (RO 21%). YES Gastro SKU GNPP-11100.</t>
  </si>
  <si>
    <t xml:space="preserve">https://direca.ro/shop/vascheta-gn-1-1-polipropilena-bufet-safe-14-litri-h-100-mm/</t>
  </si>
  <si>
    <t xml:space="preserve">Stalgast (Bufet Safe, code SG)</t>
  </si>
  <si>
    <t xml:space="preserve">(6 bucăți) Recipient din polipropilenă GN 1/1 - Culoare opacă - Înălțime: 100 mm</t>
  </si>
  <si>
    <t xml:space="preserve">1/1 PP 100 mm, white; EXACT: size, depth and material in name. Pack of 6 pcs, price per pack net (footnote "* Toate prețurile plus TVA 19%" on RO storefront); tier offer "2.430,19 RON Reducere-35%"; RRP 521,15 RON; SKU GPP11100-6; listing dims W 323 x D 524 x H 100 mm. Price shown excl. VAT (RO 21%); pack of 6, converted to per piece; page read with a headless browser (prices rendered by JavaScript). YES Gastro SKU GNPP-11100.</t>
  </si>
  <si>
    <t xml:space="preserve">https://www.ggmgastro.com/ro-ro-ron/6-bucati-recipient-din-polipropilena-gn-1-1-culoare-opaca-inaltime-100-mm-gpp11100-6-1</t>
  </si>
  <si>
    <t xml:space="preserve">APS GN-Container Polypropylen, GN 1/1, Capacitate: 13,00 Litri, Adancime: 100 mm</t>
  </si>
  <si>
    <t xml:space="preserve">1/1 PP 100 mm, white; EXACT: APS polypropylene GN container, size/depth/material in name. SKU 227776566. Listing price is gross; product page shows gross and "fără TVA" net below it. Price shown incl. VAT (RO 21%); VAT removed for the net price. YES Gastro SKU GNPP-11100.</t>
  </si>
  <si>
    <t xml:space="preserve">https://www.gastrozone.ro/aps-recipient-gn-polipropilen-gn-1-1-capacitate-13-00-litri-adancime-100-mm.html</t>
  </si>
  <si>
    <t xml:space="preserve">Cuva din polipropilena GN1/1 h100mm</t>
  </si>
  <si>
    <t xml:space="preserve">1/1 PP 100 mm, white; EXACT: "Cuva din polipropilena" with size and depth in name. Shop code GPGNPP-11100; product page states "Pret exclusiv TVA"; prices are round EUR figures. Price shown excl. VAT (RO 21%). YES Gastro SKU GNPP-11100.</t>
  </si>
  <si>
    <t xml:space="preserve">https://pro-cucina.ro/cuva-din-polipropilena-gn1-1-h100mm/</t>
  </si>
  <si>
    <t xml:space="preserve">Recipient GN 1/1 adâncime 10 cm din polipropilenă Profi Line | HENDI 880029</t>
  </si>
  <si>
    <t xml:space="preserve">1/1 PP 100 mm, white; EXACT: size, depth and material (polipropilena) in product name. Listing shows "Pret net 48.66 RON" and "Pret brut 58.88 RON/buc". Price shown excl. VAT (RO 21%). YES Gastro SKU GNPP-11100.</t>
  </si>
  <si>
    <t xml:space="preserve">https://mmgastro.ro/ro/products/recipient-gn-1-1-adancime-10-cm-din-polipropilena-profi-line-hendi-880029-130536</t>
  </si>
  <si>
    <t xml:space="preserve">Hendi HACCP Aufbewahrungsbehälter GN 1/1, 100 mm</t>
  </si>
  <si>
    <t xml:space="preserve">1/1 PP 100 mm; EXACT: Hendi HACCP container, bullet 'Polypropylen, BPA frei' on listing/product page; price from category listing 'Zutaten- und Lagerbehälter'; Steuerhinweis 'exkl. MwSt. zzgl. Versandkosten'. Price shown excl. VAT (AT 20%). YES Gastro SKU GNPP-11100.</t>
  </si>
  <si>
    <t xml:space="preserve">https://www.allpax.at/product_info.php/info/Hendi-HACCP-Aufbewahrungsbehaelter-GN-1-1-100-mm.html</t>
  </si>
  <si>
    <t xml:space="preserve">Lieferzeit 5-10 Werktage (as on product pages)</t>
  </si>
  <si>
    <t xml:space="preserve">Polypropylen Behälter GN 1/1 – 530x325x100mm</t>
  </si>
  <si>
    <t xml:space="preserve">1/1 PP 100 mm; EXACT: PP in product name and category 'Polypropylen - GN - Behälter', brand HENDI; page shows net price with '(€ x inkl. MwSt.) Zzgl. 20% MwSt.'; listing price. Price shown excl. VAT (AT 20%). YES Gastro SKU GNPP-11100.</t>
  </si>
  <si>
    <t xml:space="preserve">https://www.gastro-star.at/produkt/polypropylenbehaeltergn11-530x325x100mm/</t>
  </si>
  <si>
    <t xml:space="preserve">In den Warenkorb (orderable)</t>
  </si>
  <si>
    <t xml:space="preserve">Hendi GN-Behälter mit Deckel und HACCP-Clips, GN 1/1, 100 mm, 13 L, PP</t>
  </si>
  <si>
    <t xml:space="preserve">1/1 PP 100 mm, transparent; CLOSE: Hendi PP container sold with lid and HACCP clips (no bare PP container of this size/depth at this shop); 'Material: Polypropylen (PP)'; net price, page adds 'inkl. MwSt.' price at +19%; Hendi art. 873342. Price shown excl. VAT (AT 20%). YES Gastro SKU GNPP-11100.</t>
  </si>
  <si>
    <t xml:space="preserve">https://www.gastro-hero.at/products/hendi-gn-behaelter-mit-deckel-und-haccp-clips-gn-11-100-mm-13-l-pp-873342</t>
  </si>
  <si>
    <t xml:space="preserve">Sofort lieferbar</t>
  </si>
  <si>
    <t xml:space="preserve">Hendi Gastronorm-Behälter 1/1, GN 1/1, 12L, Transparent, 530x325x(H)100mm – Polypropylen (Art. 880074)</t>
  </si>
  <si>
    <t xml:space="preserve">1/1 PP 100 mm, transparent; EXACT: '– Polypropylen' in product name; Hendi art. 880074; listing price 'zzgl. 19% MwSt., zzgl. Versandkosten' (German shop, 19% VAT). Price shown excl. VAT (AT 20%). YES Gastro SKU GNPP-11100.</t>
  </si>
  <si>
    <t xml:space="preserve">https://www.gastrodax.de/hendi-haccp-aufbewahrungsbehaelter-gn-1-1-14-l-transparent-530-x-325-x-h-100-mm</t>
  </si>
  <si>
    <t xml:space="preserve">Cambro Polypropylen GN 1/1 Behälter 100mm</t>
  </si>
  <si>
    <t xml:space="preserve">1/1 PP 100 mm; EXACT: 'Polypropylen' in product name/category 'GN-Behälter Polypropylen'; Art. GN-DW500; price footnote '* inkl. MwSt., zzgl. Versand' (rate not stated on page; AT shop → 20% assumed); listing price. Price shown incl. VAT (AT 20%); VAT removed for the net price. YES Gastro SKU GNPP-11100.</t>
  </si>
  <si>
    <t xml:space="preserve">https://www.gastroladen.at/3030@GN-DW500/Cambro-Polypropylen-GN-1-1-Beh%C3%A4lter-100mm.htm</t>
  </si>
  <si>
    <t xml:space="preserve">Gastronormbehälter GN 1/1 x 100 mm GN 84 Polypropylen transparent</t>
  </si>
  <si>
    <t xml:space="preserve">1/1 PP 100 mm, transparent; EXACT: 'GN 84 Polypropylen' in product name, spec 'Materialtyp: Polypropylen'; WAS Germany Bestell-Nr. 252105; 1-piece net price ('Preis pro Stück, zzgl. MwSt'), quantity tiers ab 3/6/12/24 pcs cheaper (down to ca. -20%); UVP 12.00 €; alternative WAS GN 89 series same size/depth: 12.25 € (Bestell-Nr. 252551). Price shown excl. VAT (AT 20%); page read with a headless browser (prices rendered by JavaScript). YES Gastro SKU GNPP-11100.</t>
  </si>
  <si>
    <t xml:space="preserve">https://www.intergastro.at/gastronormbehaelter-gn-1-1-x-100-mm-gn-84-polypropylen-transparent-252105</t>
  </si>
  <si>
    <t xml:space="preserve">GN-Behälter - BPA frei - Serie 84 - Inhalt 13,3 l - GN 1/1 (530 x 325 mm) - 100 mm - Polypropylen - premium Qualität</t>
  </si>
  <si>
    <t xml:space="preserve">1/1 PP 100 mm, transparent; EXACT: material 'Polypropylen' in product name; cheapest PP series for this size at this shop, Art.-Nr. 8411100-A; sale price, regular price 12,00 €; 'Preise zzgl. MwSt. zzgl. Versandkosten'. Other PP series same size/depth: 82106-B 8.60€; 8911100-A 10.00€; 530001-C 10.50€. Price shown excl. VAT (AT 20%). YES Gastro SKU GNPP-11100.</t>
  </si>
  <si>
    <t xml:space="preserve">https://shopbuero.com/gn-behaelter-bpa-frei-serie-84-inhalt-13-3-l-gn-1-1-530-x-325-mm-100-mm-polypropylen-premium-qualitaet/8411100-A</t>
  </si>
  <si>
    <t xml:space="preserve">WAS (Serie 84)</t>
  </si>
  <si>
    <t xml:space="preserve">GN Behälter 1/1, 100 mm aus Kunststoff</t>
  </si>
  <si>
    <t xml:space="preserve">1/1 PP 100 mm, transparent; Unbranded 'GN Behälter 1/1, 100 mm aus Kunststoff'; attribute 'Material: Polypropylen' on page, so EXACT; art. 10021615; 'zzgl. MwSt.'; strikethrough regular price 9.15 EUR. Price shown excl. VAT (DE 19%). YES Gastro SKU GNPP-11100.</t>
  </si>
  <si>
    <t xml:space="preserve">https://www.allpax.de/product_info.php/info/GN-Behaelter-1-1-100-mm-aus-Kunststoff.html</t>
  </si>
  <si>
    <t xml:space="preserve">ALLPAX (no-name)</t>
  </si>
  <si>
    <t xml:space="preserve">GN Behälter mit Skalierung, GN 1/1 - 100 mm, transparent, Polypropylen, GN 84 Serie</t>
  </si>
  <si>
    <t xml:space="preserve">1/1 PP 100 mm, transparent; PP stated on page, GN 1/1 x 100 mm, art. 8411100; net price shown 8.69 EUR, gross incl. 19% USt 10.34 EUR, UVP 14.28 EUR (gross). Price shown excl. VAT (DE 19%). YES Gastro SKU GNPP-11100.</t>
  </si>
  <si>
    <t xml:space="preserve">https://gastro-spirit.de/behaelter-mit-skalierung-gn-1-1-serie-gn-84-8411100</t>
  </si>
  <si>
    <t xml:space="preserve">Schneider PP GN 1/1 Behälter 100 mm, 13,3 l</t>
  </si>
  <si>
    <t xml:space="preserve">1/1 PP 100 mm, transparent; Schneider PP (polypropylene) bare container GN 1/1 x 100 mm, art. 530001; net price, gross incl. MwSt shown separately ('zzgl. MwSt.'). Price shown excl. VAT (DE 19%). YES Gastro SKU GNPP-11100.</t>
  </si>
  <si>
    <t xml:space="preserve">https://www.gastro-hero.de/products/schneider-pp-gn-11-behaelter-100-mm-133-l-530001</t>
  </si>
  <si>
    <t xml:space="preserve">verfügbar</t>
  </si>
  <si>
    <t xml:space="preserve">WAS GN 89 Behälter 1/1-100 mm mit Skalierung Polypropylen</t>
  </si>
  <si>
    <t xml:space="preserve">1/1 PP 100 mm, weiß; WAS GN 89 polypropylene container GN 1/1 x 100 mm, SKU WAS-8911100; 'zzgl. 19% MwSt.'. Price shown excl. VAT (DE 19%). YES Gastro SKU GNPP-11100.</t>
  </si>
  <si>
    <t xml:space="preserve">https://www.gastrodax.de/was-gn-89-behaelter-1-1-100-mm-mit-skalierung-polypropylen</t>
  </si>
  <si>
    <t xml:space="preserve">Auf Lager (5-7 Werktage)</t>
  </si>
  <si>
    <t xml:space="preserve">1/1 PP 100 mm, transparent; Cambro PP container GN 1/1 x 100 mm (13L), 'Material: Polypropylen' on page, art. DW500; price 'inkl. MwSt., zzgl. 7,95 EUR Versand in D'. Price shown incl. VAT (DE 19%); VAT removed for the net price. YES Gastro SKU GNPP-11100.</t>
  </si>
  <si>
    <t xml:space="preserve">https://www.gastroladen.de/3030@GN-DW500/Cambro-Polypropylen-GN-1-1-Beh%C3%A4lter-100mm.htm</t>
  </si>
  <si>
    <t xml:space="preserve">Lieferung 3-5 Werktage</t>
  </si>
  <si>
    <t xml:space="preserve">Lebensmittelbehälter GASTRO-PLUS GN 1/1 PP transparent 14 ltr | 530 mm x 325 mm H 100 mm</t>
  </si>
  <si>
    <t xml:space="preserve">1/1 PP 100 mm, transparent; PP container GN 1/1 x 100 mm; Bestell-Nr 975287, Materialtyp PP; 'Preis pro Stück, zzgl. MwSt'; Staffelpreise ab 3: 16.07, ab 24: 14.57. Price shown excl. VAT (DE 19%). YES Gastro SKU GNPP-11100.</t>
  </si>
  <si>
    <t xml:space="preserve">https://www.intergastro.de/lebensmittelbehaelter-gastro-plus-gn-1-1-pp-transparent-14-ltr-530-mm-x-325-mm-h-100-mm-975287</t>
  </si>
  <si>
    <t xml:space="preserve">GASTRO-PLUS</t>
  </si>
  <si>
    <t xml:space="preserve">Nisbets Essentials GN-Behälter 1/1 Polypropylen 100mm</t>
  </si>
  <si>
    <t xml:space="preserve">1/1 PP 100 mm, transparent; Polypropylen GN 1/1 x 100 mm container (material and depth in product name), art. FA820; 'Zzgl. MwSt.'; reduced web price, 'BISHER' 13.29 EUR. Price shown excl. VAT (DE 19%); page read with a headless browser (prices rendered by JavaScript). YES Gastro SKU GNPP-11100.</t>
  </si>
  <si>
    <t xml:space="preserve">https://www.nisbets.de/nisbets-essentials-gn-behaelter-1zu1-polypropylen-100mm/fa820</t>
  </si>
  <si>
    <t xml:space="preserve">Gastronádoba polypropylenová - GN 1/1, 14L, 100mm Hendi</t>
  </si>
  <si>
    <t xml:space="preserve">1/1 PP 100 mm, transparent; EXACT: Hendi PP container GN 1/1 100 mm, "materiál: průhledný polypropylen"; code 880029; page shows 373 Kč (s DPH) and "308 Kč bez DPH". Price shown incl. VAT (CZ 21%); VAT removed for the net price. YES Gastro SKU GNPP-11100.</t>
  </si>
  <si>
    <t xml:space="preserve">https://www.gastrofans.cz/gastronadoba-1-1-pp-transparent-14-l-530x325x-h-100-mm/</t>
  </si>
  <si>
    <t xml:space="preserve">Skladem u dodavatele (7) - Hendi</t>
  </si>
  <si>
    <t xml:space="preserve">Gastronádoba GN 1/1 100 mm, HACCP polypropylen | HENDI, 880074</t>
  </si>
  <si>
    <t xml:space="preserve">1/1 PP 100 mm, transparent; EXACT: Hendi PP container GN 1/1 100 mm, parameter "materiál: polypropylen"; code 880074; page shows "Cena bez DPH: 382 Kč" and "Cena s DPH: 462 Kč". Price shown excl. VAT (CZ 21%); page read with a headless browser (prices rendered by JavaScript). YES Gastro SKU GNPP-11100.</t>
  </si>
  <si>
    <t xml:space="preserve">https://www.gastromania.cz/gastronadoby-polypropylenove/gastronadoba-gn-1-1-100-mm-haccp-polypropylen-hendi-880074</t>
  </si>
  <si>
    <t xml:space="preserve">Skladem; Dostupnost: 5 dnů</t>
  </si>
  <si>
    <t xml:space="preserve">APS GN-nádoba Polypropylen, GN 1/1, Obsah: 13,00 litrů, Hloubka: 100 mm</t>
  </si>
  <si>
    <t xml:space="preserve">1/1 PP 100 mm, milky (opaque); EXACT: APS PP container GN 1/1 100 mm, parameter "Materiál: Polypropylen"; code 227776566; page shows 401 Kč incl. and "331 Kč bez DPH". Price shown excl. VAT (CZ 21%). YES Gastro SKU GNPP-11100.</t>
  </si>
  <si>
    <t xml:space="preserve">https://www.gastrozone.cz/aps-gn-nadoba-z-polypropylenu-gn-1-1-obsah-13-00-litru-hloubka-100-mm.html</t>
  </si>
  <si>
    <t xml:space="preserve">Na objednávku (3-5 týdnů); Neskladové zboží, platba předem</t>
  </si>
  <si>
    <t xml:space="preserve">Gastronorm GN 1/1 (h=100 mm) polypropylenová</t>
  </si>
  <si>
    <t xml:space="preserve">1/1 PP 100 mm; EXACT: GN 1/1, h=100 mm, Materiál: polypropylen; cat. no. 3120105; page shows 250 CZK (s DPH) and "cena bez DPH: 207 CZK". Price shown incl. VAT (CZ 21%); VAT removed for the net price. YES Gastro SKU GNPP-11100.</t>
  </si>
  <si>
    <t xml:space="preserve">https://www.gastrosance.cz/gn-1/1--h-100-mm--polypropylenova</t>
  </si>
  <si>
    <t xml:space="preserve">Polypropylenová gastronádoba Cambro GN 1/1 100 mm</t>
  </si>
  <si>
    <t xml:space="preserve">1/1 PP 100 mm, transparent; EXACT: name "polypropylenová" GN 1/1 100 mm, Cambro MP (polypropylene) series, code R-MP11100; page shows 294 Kč (incl.) and "243 Kč bez DPH". Price shown incl. VAT (CZ 21%); VAT removed for the net price. YES Gastro SKU GNPP-11100.</t>
  </si>
  <si>
    <t xml:space="preserve">https://www.tomgast.cz/gastronadoba-polypropylenova-gn-1-1-100-mm-2/</t>
  </si>
  <si>
    <t xml:space="preserve">Nádoba GN 1/1, HENDI, GN 1/1, 12L, Priehľadná, 530x325x(H)100mm Kód: 880074</t>
  </si>
  <si>
    <t xml:space="preserve">1/1 PP 100 mm, clear; material not in product name; HENDI HACCP 880 series: product page 880173 states "Materiály: PP (Polypropylén)"; price shown 12.00 € (net) / 14,76 € s DPH; code 880074 Price shown excl. VAT (SK 23%). YES Gastro SKU GNPP-11100.</t>
  </si>
  <si>
    <t xml:space="preserve">https://gastrorex.sk/sk/riesenie-pre/zavodne-stravovanie/gastronadoby-gn-plechy/gastronadoby-gn-plechy/gastronadoby-haccp/</t>
  </si>
  <si>
    <t xml:space="preserve">Cambro polypropylénová GN 1/1 nádoba 10cm</t>
  </si>
  <si>
    <t xml:space="preserve">1/1 PP 100 mm, clear (not stated); 'bez DPH' price shown; gross €22.90; code  Price shown excl. VAT (SK 23%). YES Gastro SKU GNPP-11100.</t>
  </si>
  <si>
    <t xml:space="preserve">https://www.gastroalka.sk/gastronadoby-polypropylenove/</t>
  </si>
  <si>
    <t xml:space="preserve">Nádoba z polypropylénu, GN 1/1, 100 mm | STALGAST, Bufet</t>
  </si>
  <si>
    <t xml:space="preserve">1/1 PP 100 mm, clear (not stated); SKU STALGAST-161103; other offers on this shop for the same variant: CAMBRO 11.96 (in stock); HENDI 16.24 (in stock); HENDI 18.27 (in stock); HENDI 24.35 (in stock) Price shown incl. VAT (SK 23%); VAT removed for the net price. YES Gastro SKU GNPP-11100.</t>
  </si>
  <si>
    <t xml:space="preserve">https://gastromania.sk/gastronadoby-polypropylenove/nadoba-z-polypropylenu-gn-1-1-100-mm-stalgast-bufet</t>
  </si>
  <si>
    <t xml:space="preserve">gastronádoba GN 1/1 polypropylen v=100 mm Pujadas</t>
  </si>
  <si>
    <t xml:space="preserve">1/1 PP 100 mm, clear (not stated); listing shows gross 17,40 €; 'bez DPH' net 14.15 EUR on product page; SKU 227705086; other offers on this shop for the same variant: APS 16.15 (Na objednávku (3-5 t) Price shown incl. VAT (SK 23%); VAT removed for the net price. YES Gastro SKU GNPP-11100.</t>
  </si>
  <si>
    <t xml:space="preserve">https://www.gastrozone.sk/gastronadoba-gn-1-1-polypropylen-v-100-mm-pujadas.html</t>
  </si>
  <si>
    <t xml:space="preserve">Gastronádoba polypropylénová GN 1/1 - hloubka 10 cm</t>
  </si>
  <si>
    <t xml:space="preserve">1/1 PP 100 mm, clear (not stated); 'bez DPH' price shown; gross 9.09 EUR; other offers on this shop for the same variant: not stated (shop own line) 9.31 (in stock); HENDI 14.04 (in stock); HENDI 9.36 (in stock) Price shown excl. VAT (SK 23%). YES Gastro SKU GNPP-11100.</t>
  </si>
  <si>
    <t xml:space="preserve">https://www.profikuchyna.sk/POLYPROPYLENOVE-NADOBY-c6_46_2.htm</t>
  </si>
  <si>
    <t xml:space="preserve">Vascheta GN 1/1 polipropilena Bufet Safe, 19 litri, H 150 mm</t>
  </si>
  <si>
    <t xml:space="preserve">1/1 PP 150 mm, white; EXACT: Stalgast "Bufet Safe" PP container, size/depth in name, page spec "Constructie: polipropilena". Shown "64.41 lei fără TVA (77.94 lei cu TVA)". Price shown excl. VAT (RO 21%). YES Gastro SKU GNPP-11150.</t>
  </si>
  <si>
    <t xml:space="preserve">https://direca.ro/shop/vascheta-gn-1-1-polipropilena-bufet-safe-19-litri-h-150-mm/</t>
  </si>
  <si>
    <t xml:space="preserve">(6 bucăți) Recipiente din polipropilenă GN 1/1 – de culoare lăptoasă – înălțime: 150 mm</t>
  </si>
  <si>
    <t xml:space="preserve">1/1 PP 150 mm, white; EXACT: size, depth and material in name. Pack of 6 pcs, price per pack net (footnote "* Toate prețurile plus TVA 19%" on RO storefront); tier offer "2.253,92 RON Reducere-25%"; RRP 558,01 RON; SKU GPP11150-6; listing dims W 321 x D 523 x H 146 mm. Price shown excl. VAT (RO 21%); pack of 6, converted to per piece; page read with a headless browser (prices rendered by JavaScript). YES Gastro SKU GNPP-11150.</t>
  </si>
  <si>
    <t xml:space="preserve">https://www.ggmgastro.com/ro-ro-ron/6-bucati-recipiente-din-polipropilena-gn-1-1-de-culoare-laptoasa-inaltime-150-mm-gpp11150-6</t>
  </si>
  <si>
    <t xml:space="preserve">APS GN-Containere Polipropilen, GN 1/1, Capacitate: 19,50 Litri, Adancime: 150 mm</t>
  </si>
  <si>
    <t xml:space="preserve">1/1 PP 150 mm, white; EXACT: APS polypropylene GN container, size/depth/material in name. SKU 227776567. Listing price is gross; product page shows gross and "fără TVA" net below it. Price shown incl. VAT (RO 21%); VAT removed for the net price. YES Gastro SKU GNPP-11150.</t>
  </si>
  <si>
    <t xml:space="preserve">https://www.gastrozone.ro/aps-recipient-gn-polipropilena-gn-1-1-capacitate-19-50-litri-adancime-150-mm.html</t>
  </si>
  <si>
    <t xml:space="preserve">Tava gastronorm | GN 1/1-150 mm, polipropilena</t>
  </si>
  <si>
    <t xml:space="preserve">1/1 PP 150 mm, white; EXACT: PP GN 1/1 150 mm in name; product page stock counter shows 0 ("Intreaba stoc"). Shop code 5511/150; price shown in EUR "fara TVA" (invoiced in RON at BNR rate). Price shown excl. VAT (RO 21%). YES Gastro SKU GNPP-11150.</t>
  </si>
  <si>
    <t xml:space="preserve">https://www.lancom.ro/tava-gastronorm-gn-11-150-mm-polipropilena-9056</t>
  </si>
  <si>
    <t xml:space="preserve">stoc 0 - intreaba stoc</t>
  </si>
  <si>
    <t xml:space="preserve">Recipient GN 1/1 adâncime 15 cm Profi Line | HENDI 880012</t>
  </si>
  <si>
    <t xml:space="preserve">1/1 PP 150 mm, white; EXACT: Hendi Profi Line PP GN container series (polypropylene stated in category "Vase GN din polipropilena"). Listing shows "Pret net 55.46 RON" and "Pret brut 67.11 RON/buc". Price shown excl. VAT (RO 21%). YES Gastro SKU GNPP-11150.</t>
  </si>
  <si>
    <t xml:space="preserve">https://mmgastro.ro/ro/products/recipient-gn-1-1-adancime-15-cm-profi-line-hendi-880012-130564</t>
  </si>
  <si>
    <t xml:space="preserve">Hendi HACCP Aufbewahrungsbehälter GN 1/1, 150 mm</t>
  </si>
  <si>
    <t xml:space="preserve">1/1 PP 150 mm; EXACT: Hendi HACCP container, bullet 'Polypropylen, BPA frei' on listing/product page; price from category listing 'Zutaten- und Lagerbehälter'; Steuerhinweis 'exkl. MwSt. zzgl. Versandkosten'. Price shown excl. VAT (AT 20%). YES Gastro SKU GNPP-11150.</t>
  </si>
  <si>
    <t xml:space="preserve">https://www.allpax.at/product_info.php/info/Hendi-HACCP-Aufbewahrungsbehaelter-GN-1-1-150-mm.html</t>
  </si>
  <si>
    <t xml:space="preserve">Polypropylen Behälter GN 1/1 – 530x325x150mm</t>
  </si>
  <si>
    <t xml:space="preserve">1/1 PP 150 mm; EXACT: PP in product name and category 'Polypropylen - GN - Behälter', brand HENDI; page shows net price with '(€ x inkl. MwSt.) Zzgl. 20% MwSt.'; listing price. Price shown excl. VAT (AT 20%). YES Gastro SKU GNPP-11150.</t>
  </si>
  <si>
    <t xml:space="preserve">https://www.gastro-star.at/produkt/polypropylenbehaeltergn11-530x325x150mm/</t>
  </si>
  <si>
    <t xml:space="preserve">Schneider PP GN 1/1 Behälter 150 mm, 20 l</t>
  </si>
  <si>
    <t xml:space="preserve">1/1 PP 150 mm; EXACT: 'Material: Polypropylen (PP)' on product page, Schneider art. 530002; net price shown, page adds 'x € inkl. MwSt.' (= +19% VAT, oddly for the .at shop). Sale price ('Angebotspreis'), regular price 19.39 €. Price shown excl. VAT (AT 20%). YES Gastro SKU GNPP-11150.</t>
  </si>
  <si>
    <t xml:space="preserve">https://www.gastro-hero.at/products/schneider-pp-gn-11-behaelter-150-mm-20-l-530002</t>
  </si>
  <si>
    <t xml:space="preserve">Hendi Gastronorm-Behälter 1/1, GN 1/1, 21L, Transparent, 530x325x(H)150mm – Polypropylen</t>
  </si>
  <si>
    <t xml:space="preserve">1/1 PP 150 mm, transparent; EXACT: '– Polypropylen' in product name; Hendi art. 880067; listing price 'zzgl. 19% MwSt., zzgl. Versandkosten' (German shop, 19% VAT). Price shown excl. VAT (AT 20%). YES Gastro SKU GNPP-11150.</t>
  </si>
  <si>
    <t xml:space="preserve">https://www.gastrodax.de/hendi-haccp-aufbewahrungsbehaelter-gn-1-1-21-l-transparent-530-x-325-x-h-150-mm</t>
  </si>
  <si>
    <t xml:space="preserve">Cambro Polypropylen GN 1/1 Behälter 150mm</t>
  </si>
  <si>
    <t xml:space="preserve">1/1 PP 150 mm; EXACT: 'Polypropylen' in product name/category 'GN-Behälter Polypropylen'; Art. GN-DW501; price footnote '* inkl. MwSt., zzgl. Versand' (rate not stated on page; AT shop → 20% assumed); listing price. Price shown incl. VAT (AT 20%); VAT removed for the net price. YES Gastro SKU GNPP-11150.</t>
  </si>
  <si>
    <t xml:space="preserve">https://www.gastroladen.at/3030@GN-DW501/Cambro-Polypropylen-GN-1-1-Beh%C3%A4lter-150mm.htm</t>
  </si>
  <si>
    <t xml:space="preserve">Gastronormbehälter GN 1/1 x 150 mm GN 84 Polypropylen transparent</t>
  </si>
  <si>
    <t xml:space="preserve">1/1 PP 150 mm, transparent; EXACT: 'GN 84 Polypropylen' in product name, spec 'Materialtyp: Polypropylen'; WAS Germany Bestell-Nr. 252106; 1-piece net price ('Preis pro Stück, zzgl. MwSt'), quantity tiers ab 3/6/12/24 pcs cheaper (down to ca. -20%); UVP 12.50 €; alternative WAS GN 89 series same size/depth: 15.68 € (Bestell-Nr. 252552). Price shown excl. VAT (AT 20%); page read with a headless browser (prices rendered by JavaScript). YES Gastro SKU GNPP-11150.</t>
  </si>
  <si>
    <t xml:space="preserve">https://www.intergastro.at/gastronormbehaelter-gn-1-1-x-150-mm-gn-84-polypropylen-transparent-252106</t>
  </si>
  <si>
    <t xml:space="preserve">GN-Behälter - BPA frei - Serie 84 - Inhalt 20,0 l - GN 1/1 (530 x 325 mm) - 150 mm - Polypropylen - premium Qualität</t>
  </si>
  <si>
    <t xml:space="preserve">1/1 PP 150 mm, transparent; EXACT: material 'Polypropylen' in product name; cheapest PP series for this size at this shop, Art.-Nr. 8411150-A; sale price, regular price 12,50 €; 'Preise zzgl. MwSt. zzgl. Versandkosten'. Other PP series same size/depth: 82108-B 9.70€; 530002-C 11.90€; 8911150-A 13.00€. Price shown excl. VAT (AT 20%). YES Gastro SKU GNPP-11150.</t>
  </si>
  <si>
    <t xml:space="preserve">https://shopbuero.com/gn-behaelter-bpa-frei-serie-84-inhalt-20-0-l-gn-1-1-530-x-325-mm-150-mm-polypropylen-premium-qualitaet/8411150-A</t>
  </si>
  <si>
    <t xml:space="preserve">GN Behälter 1/1, 150 mm aus Kunststoff</t>
  </si>
  <si>
    <t xml:space="preserve">1/1 PP 150 mm, transparent; Unbranded 'GN Behälter 1/1, 150 mm aus Kunststoff'; attribute 'Material: Polypropylen' on page, so EXACT; art. 10021616; 'zzgl. MwSt.'; strikethrough regular price 11.39 EUR. Price shown excl. VAT (DE 19%). YES Gastro SKU GNPP-11150.</t>
  </si>
  <si>
    <t xml:space="preserve">https://www.allpax.de/product_info.php/info/GN-Behaelter-1-1-150-mm-aus-Kunststoff.html</t>
  </si>
  <si>
    <t xml:space="preserve">GN Behälter mit Skalierung, GN 1/1 - 150 mm, transparent, Polypropylen, GN 84 Serie</t>
  </si>
  <si>
    <t xml:space="preserve">1/1 PP 150 mm, transparent; PP stated on page, GN 1/1 x 150 mm, art. 8411150; net price shown 9.05 EUR, gross incl. 19% USt 10.77 EUR, UVP 14.88 EUR (gross). Price shown excl. VAT (DE 19%). YES Gastro SKU GNPP-11150.</t>
  </si>
  <si>
    <t xml:space="preserve">https://gastro-spirit.de/behaelter-mit-skalierung-gn-1-1-serie-gn-84-8411150</t>
  </si>
  <si>
    <t xml:space="preserve">1/1 PP 150 mm, transparent; Schneider PP (polypropylene) bare container GN 1/1 x 150 mm, art. 530002; net price, gross incl. MwSt shown separately ('zzgl. MwSt.'). Price shown excl. VAT (DE 19%). YES Gastro SKU GNPP-11150.</t>
  </si>
  <si>
    <t xml:space="preserve">https://www.gastro-hero.de/products/schneider-pp-gn-11-behaelter-150-mm-20-l-530002</t>
  </si>
  <si>
    <t xml:space="preserve">WAS GN 89 Behälter 1/1-150 mm mit Skalierung Polypropylen</t>
  </si>
  <si>
    <t xml:space="preserve">1/1 PP 150 mm, weiß; WAS GN 89 polypropylene container GN 1/1 x 150 mm, SKU WAS-8911150; 'zzgl. 19% MwSt.'. Price shown excl. VAT (DE 19%). YES Gastro SKU GNPP-11150.</t>
  </si>
  <si>
    <t xml:space="preserve">https://www.gastrodax.de/was-gn-89-behaelter-1-1-150-mm-mit-skalierung-polypropylen</t>
  </si>
  <si>
    <t xml:space="preserve">1/1 PP 150 mm, transparent; Cambro PP container GN 1/1 x 150 mm (19,5L), 'Material: Polypropylen' on page, art. DW501; price 'inkl. MwSt., zzgl. 7,95 EUR Versand in D'. Price shown incl. VAT (DE 19%); VAT removed for the net price. YES Gastro SKU GNPP-11150.</t>
  </si>
  <si>
    <t xml:space="preserve">https://www.gastroladen.de/3030@GN-DW501/Cambro-Polypropylen-GN-1-1-Beh%C3%A4lter-150mm.htm</t>
  </si>
  <si>
    <t xml:space="preserve">GN Behälter GN 1/1 x 150 mm Kunststoff (APS)</t>
  </si>
  <si>
    <t xml:space="preserve">1/1 PP 150 mm, transparent; PP container GN 1/1 x 150 mm; title says Kunststoff but spec "Materialtyp: Polypropylen"; Bestell-Nr 253636, APS 82108; 'Preis pro Stück, zzgl. MwSt'; UVP 13.30 EUR; Staffelpreise ab 3: 10.12, ab 24: 9.24. Price shown excl. VAT (DE 19%). YES Gastro SKU GNPP-11150.</t>
  </si>
  <si>
    <t xml:space="preserve">https://www.intergastro.de/gn-behaelter-gn-1-1-x-150-mm-kunststoff-253636</t>
  </si>
  <si>
    <t xml:space="preserve">Nisbets Essentials Polypropylen GN 1/1 150mm</t>
  </si>
  <si>
    <t xml:space="preserve">1/1 PP 150 mm, transparent; Polypropylen GN 1/1 x 150 mm container (material and depth in product name), art. FA821; 'Zzgl. MwSt.'; reduced web price, 'BISHER' 15.29 EUR. Price shown excl. VAT (DE 19%); page read with a headless browser (prices rendered by JavaScript). YES Gastro SKU GNPP-11150.</t>
  </si>
  <si>
    <t xml:space="preserve">https://www.nisbets.de/nisbets-essentials-polypropylen-gn-1zu1-150mm/fa821</t>
  </si>
  <si>
    <t xml:space="preserve">Gastronádoba polypropylenová - GN 1/1, 21L, 150mm Hendi</t>
  </si>
  <si>
    <t xml:space="preserve">1/1 PP 150 mm, transparent; EXACT: Hendi PP container GN 1/1 150 mm, "materiál: průhledný polypropylen"; code 880012; page shows 426 Kč (s DPH) and "352 Kč bez DPH". Price shown incl. VAT (CZ 21%); VAT removed for the net price. YES Gastro SKU GNPP-11150.</t>
  </si>
  <si>
    <t xml:space="preserve">https://www.gastrofans.cz/gastronadoba-1-1-pp-transparent-21-l-530x325x-h-150-mm/</t>
  </si>
  <si>
    <t xml:space="preserve">Gastronádoba GN 1/1 150 mm, HACCP polypropylen | HENDI, 880067</t>
  </si>
  <si>
    <t xml:space="preserve">1/1 PP 150 mm, transparent; EXACT: Hendi PP container GN 1/1 150 mm, parameter "materiál: polypropylen"; code 880067; page shows "Cena bez DPH: 410 Kč" and "Cena s DPH: 496 Kč". Price shown excl. VAT (CZ 21%); page read with a headless browser (prices rendered by JavaScript). YES Gastro SKU GNPP-11150.</t>
  </si>
  <si>
    <t xml:space="preserve">https://www.gastromania.cz/gastronadoby-polypropylenove/gastronadoba-gn-1-1-150-mm-haccp-polypropylen-hendi-880067</t>
  </si>
  <si>
    <t xml:space="preserve">APS GN-nádoba Polypropylen, GN 1/1, objem: 19,50 litrů, hloubka: 150 mm</t>
  </si>
  <si>
    <t xml:space="preserve">1/1 PP 150 mm, milky (opaque); EXACT: APS PP container GN 1/1 150 mm, parameter "Materiál: Polypropylen"; code 227776567; page shows 456 Kč incl. and "377 Kč bez DPH". Price shown excl. VAT (CZ 21%). YES Gastro SKU GNPP-11150.</t>
  </si>
  <si>
    <t xml:space="preserve">https://www.gastrozone.cz/aps-gn-nadoba-z-polypropylenu-gn-1-1-objem-19-50-litru-hloubka-150-mm.html</t>
  </si>
  <si>
    <t xml:space="preserve">Gastronorm GN 1/1 (h=150 mm) polypropylenová</t>
  </si>
  <si>
    <t xml:space="preserve">1/1 PP 150 mm; EXACT: GN 1/1, h=150 mm, Materiál: polypropylen; cat. no. 3120106; page shows 234 CZK (s DPH) and "cena bez DPH: 194 CZK". Price shown incl. VAT (CZ 21%); VAT removed for the net price. YES Gastro SKU GNPP-11150.</t>
  </si>
  <si>
    <t xml:space="preserve">https://www.gastrosance.cz/gn-1/1--h-150-mm--polypropylenova</t>
  </si>
  <si>
    <t xml:space="preserve">Gastronádoba polypropylenová GN 1/1 150 mm</t>
  </si>
  <si>
    <t xml:space="preserve">1/1 PP 150 mm, transparent; EXACT: name "polypropylenová" GN 1/1 150 mm, Cambro MP (polypropylene) series, code R-MP11150; page shows 376 Kč (incl.) and "311 Kč bez DPH". Price shown incl. VAT (CZ 21%); VAT removed for the net price. YES Gastro SKU GNPP-11150.</t>
  </si>
  <si>
    <t xml:space="preserve">https://www.tomgast.cz/gastronadoba-polypropylenova-gn-1-1-150-mm-2/</t>
  </si>
  <si>
    <t xml:space="preserve">Nádoba GN 1/1, HENDI, GN 1/1, 21L, Priehľadná, 530x325x(H)150mm Kód: 880067</t>
  </si>
  <si>
    <t xml:space="preserve">1/1 PP 150 mm, clear; material not in product name; HENDI HACCP 880 series: product page 880173 states "Materiály: PP (Polypropylén)"; price shown 13.50 € (net) / 16,60 € s DPH; code 880067 Price shown excl. VAT (SK 23%). YES Gastro SKU GNPP-11150.</t>
  </si>
  <si>
    <t xml:space="preserve">Cambro polypropylénová GN 1/1 nádoba 15cm</t>
  </si>
  <si>
    <t xml:space="preserve">1/1 PP 150 mm, clear (not stated); 'bez DPH' price shown; gross €17.61; code  Price shown excl. VAT (SK 23%). YES Gastro SKU GNPP-11150.</t>
  </si>
  <si>
    <t xml:space="preserve">Nádoba z polypropylénu, GN 1/1, 150 mm | STALGAST, Bufet</t>
  </si>
  <si>
    <t xml:space="preserve">1/1 PP 150 mm, clear (not stated); SKU STALGAST-161153; other offers on this shop for the same variant: CAMBRO 15.30 (in stock); HENDI 18.27 (in stock); HENDI 19.62 (in stock); HENDI 27.74 (in stock) Price shown incl. VAT (SK 23%); VAT removed for the net price. YES Gastro SKU GNPP-11150.</t>
  </si>
  <si>
    <t xml:space="preserve">https://gastromania.sk/gastronadoby-polypropylenove/nadoba-z-polypropylenu-gn-1-1-150-mm-stalgast-bufet</t>
  </si>
  <si>
    <t xml:space="preserve">gastro nádoba GN 1/1 polypropylen v=150 mm Pujadas</t>
  </si>
  <si>
    <t xml:space="preserve">1/1 PP 150 mm, clear (not stated); listing shows gross 22,25 €; 'bez DPH' net 18.09 EUR on product page; SKU 227705087; other offers on this shop for the same variant: APS 18.33 (Na objednávku (3-5 t) Price shown incl. VAT (SK 23%); VAT removed for the net price. YES Gastro SKU GNPP-11150.</t>
  </si>
  <si>
    <t xml:space="preserve">https://www.gastrozone.sk/gastro-nadoba-gn-1-1-polypropylen-v-150-mm-pujadas.html</t>
  </si>
  <si>
    <t xml:space="preserve">Gastronádoba polypropylénová GN 1/1 - hloubka 15 cm</t>
  </si>
  <si>
    <t xml:space="preserve">1/1 PP 150 mm, clear (not stated); 'bez DPH' price shown; gross 10.8 EUR; other offers on this shop for the same variant: not stated (shop own line) 11.90 (in stock); HENDI 15.99 (in stock); HENDI 10.53 (in stock) Price shown excl. VAT (SK 23%). YES Gastro SKU GNPP-11150.</t>
  </si>
  <si>
    <t xml:space="preserve">Vascheta GN 1/1 polipropilena Bufet Safe, 26 litri, H 200 mm</t>
  </si>
  <si>
    <t xml:space="preserve">1/1 PP 200 mm, white; EXACT: Stalgast "Bufet Safe" PP container, size/depth in name, page spec "Constructie: polipropilena". Shown "78.22 lei fără TVA (94.65 lei cu TVA)". Price shown excl. VAT (RO 21%). YES Gastro SKU GNPP-11200.</t>
  </si>
  <si>
    <t xml:space="preserve">https://direca.ro/shop/vascheta-gn-1-1-polipropilena-bufet-safe-26-litri-h-200-mm/</t>
  </si>
  <si>
    <t xml:space="preserve">(6 bucăți) Recipient din polipropilenă GN 1/1 - Culoare opacă - Înălțime: 200 mm</t>
  </si>
  <si>
    <t xml:space="preserve">1/1 PP 200 mm, white; EXACT: size, depth and material in name. Pack of 6 pcs, price per pack net (footnote "* Toate prețurile plus TVA 19%" on RO storefront); tier offer "2.697,42 RON Reducere-25%"; RRP 731,74 RON; SKU GPP11200-6; listing dims W 323 x D 524 x H 200 mm. Price shown excl. VAT (RO 21%); pack of 6, converted to per piece; page read with a headless browser (prices rendered by JavaScript). YES Gastro SKU GNPP-11200.</t>
  </si>
  <si>
    <t xml:space="preserve">https://www.ggmgastro.com/ro-ro-ron/6-bucati-recipient-din-polipropilena-gn-1-1-culoare-opaca-inaltime-200-mm-gpp11200-6-1</t>
  </si>
  <si>
    <t xml:space="preserve">Produs pentru gastronomie GN 1/1 530x325 mm polipropilen h=200 mm Pujadas</t>
  </si>
  <si>
    <t xml:space="preserve">1/1 PP 200 mm, white; EXACT: Pujadas polypropylene GN container, size/depth/material in name. SKU 227705088. Listing price is gross; product page shows gross and "fără TVA" net below it. Price shown incl. VAT (RO 21%); VAT removed for the net price. YES Gastro SKU GNPP-11200.</t>
  </si>
  <si>
    <t xml:space="preserve">https://www.gastrozone.ro/produs-pentru-gastronomie-gn-1-1-530x325-mm-polipropilen-h-200-mm-pujadas.html</t>
  </si>
  <si>
    <t xml:space="preserve">Tava gastronorm | GN 1/1-200 mm, polipropilena</t>
  </si>
  <si>
    <t xml:space="preserve">1/1 PP 200 mm, white; EXACT: PP GN 1/1 200 mm in name. Shop code 5511/200; price shown in EUR "fara TVA" (invoiced in RON at BNR rate). Price shown excl. VAT (RO 21%). YES Gastro SKU GNPP-11200.</t>
  </si>
  <si>
    <t xml:space="preserve">https://www.lancom.ro/tava-gastronorm-gn-11-200-mm-polipropilena-9058</t>
  </si>
  <si>
    <t xml:space="preserve">Recipient GN 1/1 adâncime 20 cm din polipropilenă Profi Line | HENDI 880005</t>
  </si>
  <si>
    <t xml:space="preserve">1/1 PP 200 mm, white; EXACT: size, depth and material (polipropilena) in product name. Marked "In promotie" (promo net price; brut column 83,61 = regular gross). Listing shows "Pret net 58.73 RON" and "Pret brut 83.61 RON/buc". Price shown excl. VAT (RO 21%). YES Gastro SKU GNPP-11200.</t>
  </si>
  <si>
    <t xml:space="preserve">https://mmgastro.ro/ro/products/recipient-gn-1-1-adancime-20-cm-din-polipropilena-profi-line-hendi-880005-130511</t>
  </si>
  <si>
    <t xml:space="preserve">Hendi HACCP Aufbewahrungsbehälter GN 1/1, 200 mm</t>
  </si>
  <si>
    <t xml:space="preserve">1/1 PP 200 mm; EXACT: Hendi HACCP container, bullet 'Polypropylen, BPA frei' on listing/product page; price from category listing 'Zutaten- und Lagerbehälter'; Steuerhinweis 'exkl. MwSt. zzgl. Versandkosten'. Price shown excl. VAT (AT 20%). YES Gastro SKU GNPP-11200.</t>
  </si>
  <si>
    <t xml:space="preserve">https://www.allpax.at/product_info.php/info/Hendi-HACCP-Aufbewahrungsbehaelter-GN-1-1-200-mm.html</t>
  </si>
  <si>
    <t xml:space="preserve">(6 Stück) Polypropylen-Behälter GN 1/1 - Milchig - Höhe: 200mm</t>
  </si>
  <si>
    <t xml:space="preserve">1/1 PP 200 mm, milky; EXACT: 'Polypropylen-Behälter' milky PP, Art. GPP11200-6, pack of 6; price per pack, footnote '* alle Preise zzgl. MwSt. 19%' (AT storefront oddly states 19%); UVP 138.99 €, struck-through regular price 90.65 €. Price shown excl. VAT (AT 20%); pack of 6, converted to per piece; page read with a headless browser (prices rendered by JavaScript). YES Gastro SKU GNPP-11200.</t>
  </si>
  <si>
    <t xml:space="preserve">https://www.ggmgastro.com/de-at-eur/6-stueck-polypropylen-behaelter-gn-1-1-milchig-hoehe-200mm-gpp11200-6</t>
  </si>
  <si>
    <t xml:space="preserve">Verfügbar ab dem 19.10.2026</t>
  </si>
  <si>
    <t xml:space="preserve">Polypropylen Behälter GN 1/1 – 530x325x200mm</t>
  </si>
  <si>
    <t xml:space="preserve">1/1 PP 200 mm; EXACT: PP in product name and category 'Polypropylen - GN - Behälter', brand HENDI; page shows net price with '(€ x inkl. MwSt.) Zzgl. 20% MwSt.'; listing price. Price shown excl. VAT (AT 20%). YES Gastro SKU GNPP-11200.</t>
  </si>
  <si>
    <t xml:space="preserve">https://www.gastro-star.at/produkt/polypropylenbehaeltergn11-530x325x200mm/</t>
  </si>
  <si>
    <t xml:space="preserve">Schneider PP GN 1/1 Behälter 200 mm, 26,4 l</t>
  </si>
  <si>
    <t xml:space="preserve">1/1 PP 200 mm; EXACT: 'Material: Polypropylen (PP)' on product page, Schneider art. 530003; net price shown, page adds 'x € inkl. MwSt.' (= +19% VAT, oddly for the .at shop). Sale price ('Angebotspreis'), regular price 22.99 €. Price shown excl. VAT (AT 20%). YES Gastro SKU GNPP-11200.</t>
  </si>
  <si>
    <t xml:space="preserve">https://www.gastro-hero.at/products/schneider-pp-gn-11-behaelter-200-mm-264-l-530003</t>
  </si>
  <si>
    <t xml:space="preserve">Hendi Gastronorm-Behälter 1/1, GN 1/1, 28L, Transparent, 530x325x(H)200mm</t>
  </si>
  <si>
    <t xml:space="preserve">1/1 PP 200 mm, transparent; EXACT: material not in the name but the item sits in the shop category 'GN Behälter PolyPropylen' (structured data) and belongs to Hendi's 880xxx PP container series; Hendi art. 880050; listing price 'zzgl. 19% MwSt., zzgl. Versandkosten' (German shop, 19% VAT). Price shown excl. VAT (AT 20%). YES Gastro SKU GNPP-11200.</t>
  </si>
  <si>
    <t xml:space="preserve">https://www.gastrodax.de/hendi-haccp-aufbewahrungsbehaelter-gn-1-1-28-l-transparent-530-x-325-x-h-200-mm</t>
  </si>
  <si>
    <t xml:space="preserve">Gastronormbehälter GN 1/1 x 200 mm GN 84 Polypropylen transparent</t>
  </si>
  <si>
    <t xml:space="preserve">1/1 PP 200 mm, transparent; EXACT: 'GN 84 Polypropylen' in product name, spec 'Materialtyp: Polypropylen'; WAS Germany Bestell-Nr. 252107; 1-piece net price ('Preis pro Stück, zzgl. MwSt'), quantity tiers ab 3/6/12/24 pcs cheaper (down to ca. -20%); UVP 16.00 €; alternative WAS GN 89 series same size/depth: 16.73 € (Bestell-Nr. 252553); also GASTRO-PLUS GN 1/1 PP 200 mm 23,44 € (975289). Price shown excl. VAT (AT 20%); page read with a headless browser (prices rendered by JavaScript). YES Gastro SKU GNPP-11200.</t>
  </si>
  <si>
    <t xml:space="preserve">https://www.intergastro.at/gastronormbehaelter-gn-1-1-x-200-mm-gn-84-polypropylen-transparent-252107</t>
  </si>
  <si>
    <t xml:space="preserve">GN-Behälter - BPA frei - Serie 84 - Inhalt 26,4 l - GN 1/1 (530 x 325 mm) - 200 mm - Polypropylen - premium Qualität</t>
  </si>
  <si>
    <t xml:space="preserve">1/1 PP 200 mm, transparent; EXACT: material 'Polypropylen' in product name; cheapest PP series for this size at this shop, Art.-Nr. 8411200-A; sale price, regular price 16,00 €; 'Preise zzgl. MwSt. zzgl. Versandkosten'. Other PP series same size/depth: 82110-B 11.90€; 8911200-A 13.90€; 530003-C 15.90€. Price shown excl. VAT (AT 20%). YES Gastro SKU GNPP-11200.</t>
  </si>
  <si>
    <t xml:space="preserve">https://shopbuero.com/gn-behaelter-bpa-frei-serie-84-inhalt-26-4-l-gn-1-1-530-x-325-mm-200-mm-polypropylen-premium-qualitaet/8411200-A</t>
  </si>
  <si>
    <t xml:space="preserve">1/1 PP 200 mm, transparent; Hendi HACCP storage container, material 'Polypropylen, BPA frei' stated on page, GN 1/1 x 200 mm (lid sold separately), art. 10017783; 'zzgl. MwSt.'. Price shown excl. VAT (DE 19%). YES Gastro SKU GNPP-11200.</t>
  </si>
  <si>
    <t xml:space="preserve">https://www.allpax.de/product_info.php/info/Hendi-HACCP-Aufbewahrungsbehaelter-GN-1-1-200-mm.html</t>
  </si>
  <si>
    <t xml:space="preserve">GN Behälter mit Skalierung, GN 1/1 - 200 mm, transparent, Polypropylen, GN 84 Serie</t>
  </si>
  <si>
    <t xml:space="preserve">1/1 PP 200 mm, transparent; PP stated on page, GN 1/1 x 200 mm, art. 8411200; net price shown 11.58 EUR, gross incl. 19% USt 13.78 EUR, UVP 19.04 EUR (gross). Price shown excl. VAT (DE 19%). YES Gastro SKU GNPP-11200.</t>
  </si>
  <si>
    <t xml:space="preserve">https://gastro-spirit.de/behaelter-mit-skalierung-gn-1-1-serie-gn-84-8411200</t>
  </si>
  <si>
    <t xml:space="preserve">1/1 PP 200 mm, transparent; Schneider PP (polypropylene) bare container GN 1/1 x 200 mm, art. 530003; net price, gross incl. MwSt shown separately ('zzgl. MwSt.'). Price shown excl. VAT (DE 19%). YES Gastro SKU GNPP-11200.</t>
  </si>
  <si>
    <t xml:space="preserve">https://www.gastro-hero.de/products/schneider-pp-gn-11-behaelter-200-mm-264-l-530003</t>
  </si>
  <si>
    <t xml:space="preserve">WAS GN 89 Behälter 1/1-200 mm mit Skalierung Polypropylen</t>
  </si>
  <si>
    <t xml:space="preserve">1/1 PP 200 mm, weiß; WAS GN 89 polypropylene container GN 1/1 x 200 mm, SKU WAS-8911200; 'zzgl. 19% MwSt.'. Price shown excl. VAT (DE 19%). YES Gastro SKU GNPP-11200.</t>
  </si>
  <si>
    <t xml:space="preserve">https://www.gastrodax.de/was-gn-89-behaelter-1-1-200-mm-mit-skalierung-polypropylen</t>
  </si>
  <si>
    <t xml:space="preserve">Cambro 1 zu 1 Gastronorm Lebensmittelpfanne 200mm</t>
  </si>
  <si>
    <t xml:space="preserve">1/1 other: Kunststoff (unstated, PP category) 200 mm, transluzent; GN 1/1 x 200 mm Cambro pan listed in the Polypropylen category but material not stated on page ('transluzenter Kunststoff') = CLOSE; art. FB844; incl. MwSt. Price shown incl. VAT (DE 19%); VAT removed for the net price. YES Gastro SKU GNPP-11200.</t>
  </si>
  <si>
    <t xml:space="preserve">https://www.gastroladen.de/3030@GN-FB844/Cambro-1-zu-1-Gastronorm-Lebensmittelpfanne-200mm.htm</t>
  </si>
  <si>
    <t xml:space="preserve">GN Behälter GN 1/1 x 200 mm Kunststoff (APS)</t>
  </si>
  <si>
    <t xml:space="preserve">1/1 PP 200 mm, transparent; PP container GN 1/1 x 200 mm; title says Kunststoff but spec "Materialtyp: Polypropylen"; Bestell-Nr 253637, APS 82110; 'Preis pro Stück, zzgl. MwSt'; UVP 16.30 EUR; Staffelpreise ab 3: 12.45, ab 24: 11.35. Price shown excl. VAT (DE 19%). YES Gastro SKU GNPP-11200.</t>
  </si>
  <si>
    <t xml:space="preserve">https://www.intergastro.de/gn-behaelter-gn-1-1-x-200-mm-kunststoff-253637</t>
  </si>
  <si>
    <t xml:space="preserve">Nisbets Essentials GN 1/1 Gastronorm-Behälter 200mm Polypropylen</t>
  </si>
  <si>
    <t xml:space="preserve">1/1 PP 200 mm, transparent; Polypropylen GN 1/1 x 200 mm container (material and depth in product name), art. FA822; 'Zzgl. MwSt.'; reduced web price, 'BISHER' 15.99 EUR. Price shown excl. VAT (DE 19%); page read with a headless browser (prices rendered by JavaScript). YES Gastro SKU GNPP-11200.</t>
  </si>
  <si>
    <t xml:space="preserve">https://www.nisbets.de/nisbets-essentials-gn-1zu1-gastronorm-behaelter-200mm-polypropylen/fa822</t>
  </si>
  <si>
    <t xml:space="preserve">Gastronádoba polypropylenová - GN 1/1, 28L, 200mm Hendi</t>
  </si>
  <si>
    <t xml:space="preserve">1/1 PP 200 mm, transparent; EXACT: Hendi HACCP PP container GN 1/1 200 mm, "materiál: průhledný polypropylen"; code 880005; page shows 532 Kč (s DPH) and "440 Kč bez DPH". Price shown incl. VAT (CZ 21%); VAT removed for the net price. YES Gastro SKU GNPP-11200.</t>
  </si>
  <si>
    <t xml:space="preserve">https://www.gastrofans.cz/gastronadoba-1-1-pp-transparent-28-l-530x325x-h-200-mm/</t>
  </si>
  <si>
    <t xml:space="preserve">Gastronádoba GN 1/1 200 mm, HACCP polypropylen | HENDI, 880050</t>
  </si>
  <si>
    <t xml:space="preserve">1/1 PP 200 mm, transparent; EXACT: Hendi PP container GN 1/1 200 mm, parameter "materiál: polypropylen"; code 880050; page shows "Cena bez DPH: 523 Kč" and "Cena s DPH: 633 Kč". Price shown excl. VAT (CZ 21%); page read with a headless browser (prices rendered by JavaScript). YES Gastro SKU GNPP-11200.</t>
  </si>
  <si>
    <t xml:space="preserve">https://www.gastromania.cz/gastronadoby-polypropylenove/gastronadoba-gn-1-1-200-mm-haccp-polypropylen-hendi-880050</t>
  </si>
  <si>
    <t xml:space="preserve">ARAVEN Gastronádoba s víkem GN 1/1, PP, hloubka: 200 mm, objem: 27,5 L, hermetická</t>
  </si>
  <si>
    <t xml:space="preserve">1/1 PP 200 mm; CLOSE: PP GN 1/1 200 mm container but sold bundled with a hermetic LDPE lid; code 229901659; page shows 860 Kč incl. and "711 Kč bez DPH". Shop has no plain APS PP 1/1 200. Price shown excl. VAT (CZ 21%). YES Gastro SKU GNPP-11200.</t>
  </si>
  <si>
    <t xml:space="preserve">https://www.gastrozone.cz/araven-gn-nadoba-s-vikem-1-1-pp-hloubka-200-mm-objem-27-5-l-hermeticka.html</t>
  </si>
  <si>
    <t xml:space="preserve">Gastronorm GN 1/1 (h=200 mm) polypropylenová</t>
  </si>
  <si>
    <t xml:space="preserve">1/1 PP 200 mm; EXACT: GN 1/1, h=200 mm, Materiál: polypropylen; cat. no. 3120107; page shows 373 CZK (s DPH) and "cena bez DPH: 308 CZK". Price shown incl. VAT (CZ 21%); VAT removed for the net price. YES Gastro SKU GNPP-11200.</t>
  </si>
  <si>
    <t xml:space="preserve">https://www.gastrosance.cz/gn-1/1--h-200-mm--polypropylenova</t>
  </si>
  <si>
    <t xml:space="preserve">Gastronádoba polypropylenová GN 1/1 200 mm</t>
  </si>
  <si>
    <t xml:space="preserve">1/1 PP 200 mm, transparent; EXACT: name "polypropylenová" GN 1/1 200 mm, Cambro MP (polypropylene) series, code R-MP11200; page shows 505 Kč (incl.) and "417 Kč bez DPH". Price shown incl. VAT (CZ 21%); VAT removed for the net price. YES Gastro SKU GNPP-11200.</t>
  </si>
  <si>
    <t xml:space="preserve">https://www.tomgast.cz/gastronadoba-polypropylenova-gn-1-1-200-mm-2/</t>
  </si>
  <si>
    <t xml:space="preserve">Nádoba GN 1/1, HENDI, GN 1/1, 28L, Priehľadná, 530x325x(H)200mm Kód: 880050</t>
  </si>
  <si>
    <t xml:space="preserve">1/1 PP 200 mm, clear; material not in product name; HENDI HACCP 880 series: product page 880173 states "Materiály: PP (Polypropylén)"; price shown 16.50 € (net) / 20,29 € s DPH; code 880050 Price shown excl. VAT (SK 23%). YES Gastro SKU GNPP-11200.</t>
  </si>
  <si>
    <t xml:space="preserve">Nádoba z polypropylénu, GN 1/1, 200 mm | STALGAST, Bufet</t>
  </si>
  <si>
    <t xml:space="preserve">1/1 PP 200 mm, clear (not stated); SKU STALGAST-161203; other offers on this shop for the same variant: CAMBRO 20.52 (in stock); HENDI 23.00 (in stock); HENDI 25.03 (in stock); CONTACTO 28.78 (in stock) Price shown incl. VAT (SK 23%); VAT removed for the net price. YES Gastro SKU GNPP-11200.</t>
  </si>
  <si>
    <t xml:space="preserve">https://gastromania.sk/gastronadoby-polypropylenove/nadoba-z-polypropylenu-gn-1-1-200-mm-stalgast-bufet</t>
  </si>
  <si>
    <t xml:space="preserve">gastro nádoba GN 1/1 polypropylen v=200 mm Pujadas</t>
  </si>
  <si>
    <t xml:space="preserve">1/1 PP 200 mm, clear (not stated); listing shows gross 27,90 €; 'bez DPH' net 22.68 EUR on product page; SKU 227705088 Price shown incl. VAT (SK 23%); VAT removed for the net price. YES Gastro SKU GNPP-11200.</t>
  </si>
  <si>
    <t xml:space="preserve">https://www.gastrozone.sk/gastro-nadoba-gn-1-1-polypropylen-v-200-mm-pujadas.html</t>
  </si>
  <si>
    <t xml:space="preserve">Masiarskenaradie.sk (SK)</t>
  </si>
  <si>
    <t xml:space="preserve">GN-Gastronádoby, polypropylénové, GN 1/1 (530 x 325 mm) 200 mm</t>
  </si>
  <si>
    <t xml:space="preserve">1/1 PP 200 mm, clear (not stated); listing price incl. VAT (product page of PP lid 1/4 shows 2,60 € s DPH / 2,11 € bez DPH) Price shown incl. VAT (SK 23%); VAT removed for the net price. YES Gastro SKU GNPP-11200.</t>
  </si>
  <si>
    <t xml:space="preserve">https://www.masiarskenaradie.sk/gastronadoby-nerez-plast?page=2</t>
  </si>
  <si>
    <t xml:space="preserve">Skladom</t>
  </si>
  <si>
    <t xml:space="preserve">Gastronádoba polypropylénová GN 1/1 - hloubka 20 cm</t>
  </si>
  <si>
    <t xml:space="preserve">1/1 PP 200 mm, clear (not stated); 'bez DPH' price shown; gross 12.84 EUR; other offers on this shop for the same variant: not stated (shop own line) 15.98 (in stock); HENDI 17.16 (in stock); HENDI 13.26 (in stock) Price shown excl. VAT (SK 23%). YES Gastro SKU GNPP-11200.</t>
  </si>
  <si>
    <t xml:space="preserve">Vascheta GN 1/2 polipropilena Bufet Safe, 3,5 litri, H 65 mm</t>
  </si>
  <si>
    <t xml:space="preserve">1/2 PP 65 mm, white; EXACT: Stalgast "Bufet Safe" PP container, size/depth in name, page spec "Constructie: polipropilena". Shown "18.40 lei fără TVA (22.26 lei cu TVA)". Price shown excl. VAT (RO 21%). YES Gastro SKU GNPP-1265.</t>
  </si>
  <si>
    <t xml:space="preserve">https://direca.ro/shop/vascheta-gn-1-2-polipropilena-bufet-safe-35-litri-h-65-mm/</t>
  </si>
  <si>
    <t xml:space="preserve">(12 bucăți) Recipiente din polipropilenă GN 1/2 – de culoare lăptoasă – înălțime: 65 mm</t>
  </si>
  <si>
    <t xml:space="preserve">1/2 PP 65 mm, white; EXACT: size, depth and material in name. Pack of 12 pcs, price per pack net (footnote "* Toate prețurile plus TVA 19%" on RO storefront); tier offer "1.939,84 RON Reducere-20%"; RRP 505,36 RON; SKU GPP1265-12; listing dims W 259 x D 319 x H 64 mm. Price shown excl. VAT (RO 21%); pack of 12, converted to per piece; page read with a headless browser (prices rendered by JavaScript). YES Gastro SKU GNPP-1265.</t>
  </si>
  <si>
    <t xml:space="preserve">https://www.ggmgastro.com/ro-ro-ron/12-bucati-recipiente-din-polipropilena-gn-1-2-de-culoare-laptoasa-inaltime-65-mm-gpp1265-12</t>
  </si>
  <si>
    <t xml:space="preserve">APS GN-container Polypropylen, GN 1/2, capacitate: 3,90 litri, adancime: 65 mm</t>
  </si>
  <si>
    <t xml:space="preserve">1/2 PP 65 mm, white; EXACT: APS polypropylene GN container, size/depth/material in name. SKU 227776569. Listing price is gross; product page shows gross and "fără TVA" net below it. Price shown incl. VAT (RO 21%); VAT removed for the net price. YES Gastro SKU GNPP-1265.</t>
  </si>
  <si>
    <t xml:space="preserve">https://www.gastrozone.ro/aps-recipient-gn-polipropilen-gn-1-2-capacitate-3-90-litri-adancime-65-mm.html</t>
  </si>
  <si>
    <t xml:space="preserve">Cuva din polipropilena GN1/2 h65mm</t>
  </si>
  <si>
    <t xml:space="preserve">1/2 PP 65 mm, white; EXACT: "Cuva din polipropilena" with size and depth in name. Shop code GPGNPP-1265; product page states "Pret exclusiv TVA"; prices are round EUR figures. Price shown excl. VAT (RO 21%). YES Gastro SKU GNPP-1265.</t>
  </si>
  <si>
    <t xml:space="preserve">https://pro-cucina.ro/cuva-din-polipropilena-gn1-2-h65mm/</t>
  </si>
  <si>
    <t xml:space="preserve">Recipientă GN 1/2 din polipropilenă, 6.5 cm | APS 82112</t>
  </si>
  <si>
    <t xml:space="preserve">1/2 PP 65 mm, white; EXACT: size, depth and material (polipropilena) in product name. Listing shows "Pret net 25.67 RON" and "Pret brut 31.06 RON/buc". Price shown excl. VAT (RO 21%). YES Gastro SKU GNPP-1265.</t>
  </si>
  <si>
    <t xml:space="preserve">https://mmgastro.ro/ro/products/recipienta-gn-1-2-din-polipropilena-6-5-cm-aps-82112-162377</t>
  </si>
  <si>
    <t xml:space="preserve">(12 Stück) Polypropylen-Behälter GN 1/2 - Milchig - Höhe: 65mm</t>
  </si>
  <si>
    <t xml:space="preserve">1/2 PP 65 mm, milky; EXACT: 'Polypropylen-Behälter' milky PP, Art. GPP1265-12, pack of 12; price per pack, footnote '* alle Preise zzgl. MwSt. 19%' (AT storefront oddly states 19%); UVP 95.99 €, struck-through regular price 63.74 €. Price shown excl. VAT (AT 20%); pack of 12, converted to per piece; page read with a headless browser (prices rendered by JavaScript). YES Gastro SKU GNPP-1265.</t>
  </si>
  <si>
    <t xml:space="preserve">https://www.ggmgastro.com/de-at-eur/12-stueck-polypropylen-behaelter-gn-1-2-milchig-hoehe-65mm-gpp1265-12</t>
  </si>
  <si>
    <t xml:space="preserve">Schneider PP GN 1/2 Behälter 65 mm, 4 l</t>
  </si>
  <si>
    <t xml:space="preserve">1/2 PP 65 mm; EXACT: 'Material: Polypropylen (PP)' on product page, Schneider art. 530010; net price shown, page adds 'x € inkl. MwSt.' (= +19% VAT, oddly for the .at shop). Sale price ('Angebotspreis'), regular price 8.29 €. Price shown excl. VAT (AT 20%). YES Gastro SKU GNPP-1265.</t>
  </si>
  <si>
    <t xml:space="preserve">https://www.gastro-hero.at/products/schneider-pp-gn-12-behaelter-65-mm-4-l-530010</t>
  </si>
  <si>
    <t xml:space="preserve">Gastronormbehälter GN 1/2 x 65 mm GN 84 Polypropylen transparent</t>
  </si>
  <si>
    <t xml:space="preserve">1/2 PP 65 mm, transparent; EXACT: 'GN 84 Polypropylen' in product name, spec 'Materialtyp: Polypropylen'; WAS Germany Bestell-Nr. 252182; 1-piece net price ('Preis pro Stück, zzgl. MwSt'), quantity tiers ab 3/6/12/24 pcs cheaper (down to ca. -20%); UVP 5.20 €; alternative WAS GN 89 series same size/depth: 5.21 € (Bestell-Nr. 252556). Price shown excl. VAT (AT 20%); page read with a headless browser (prices rendered by JavaScript). YES Gastro SKU GNPP-1265.</t>
  </si>
  <si>
    <t xml:space="preserve">https://www.intergastro.at/gastronormbehaelter-gn-1-2-x-65-mm-gn-84-polypropylen-transparent-252182</t>
  </si>
  <si>
    <t xml:space="preserve">GN-Behälter - BPA frei - Serie 84 - Inhalt 4,0 l - GN 1/2 (325 x 265 mm) - 65 mm - Polypropylen - premium Qualität</t>
  </si>
  <si>
    <t xml:space="preserve">1/2 PP 65 mm, transparent; EXACT: material 'Polypropylen' in product name; cheapest PP series for this size at this shop, Art.-Nr. 8412065-A; sale price, regular price 5,20 €; 'Preise zzgl. MwSt. zzgl. Versandkosten'. Other PP series same size/depth: 82112-B 4.10€; 8912065-A 4.40€; 530010-C 4.70€. Price shown excl. VAT (AT 20%). YES Gastro SKU GNPP-1265.</t>
  </si>
  <si>
    <t xml:space="preserve">https://shopbuero.com/gn-behaelter-bpa-frei-serie-84-inhalt-4-0-l-gn-1-2-325-x-265-mm-65-mm-polypropylen-premium-qualitaet/8412065-A</t>
  </si>
  <si>
    <t xml:space="preserve">GN Behälter 1/2, 65 mm aus Kunststoff</t>
  </si>
  <si>
    <t xml:space="preserve">1/2 PP 65 mm, transparent; Unbranded 'GN Behälter 1/2, 65 mm aus Kunststoff'; attribute 'Material: Polypropylen' on page, so EXACT; art. 10021620; 'zzgl. MwSt.'; strikethrough regular price 3.99 EUR. Price shown excl. VAT (DE 19%). YES Gastro SKU GNPP-1265.</t>
  </si>
  <si>
    <t xml:space="preserve">https://www.allpax.de/product_info.php/info/GN-Behaelter-1-2-65-mm-aus-Kunststoff.html</t>
  </si>
  <si>
    <t xml:space="preserve">1/2 PP 65 mm, milchig/transparent; Polypropylen container GN 1/2 x 65 mm sold as pack of 12; price per pack, '* Nettopreis | Bruttopreis inkl. 19% MwSt.' shown; UVP 95.99 EUR; art. GPP1265-12. Price shown excl. VAT (DE 19%); pack of 12, converted to per piece; page read with a headless browser (prices rendered by JavaScript). YES Gastro SKU GNPP-1265.</t>
  </si>
  <si>
    <t xml:space="preserve">https://www.ggmgastro.com/de-de-eur/12-stueck-polypropylen-behaelter-gn-1-2-milchig-hoehe-65mm-gpp1265-12</t>
  </si>
  <si>
    <t xml:space="preserve">GN Behälter mit Skalierung, GN 1/2 - 65 mm, transparent, Polypropylen, GN 84 Serie</t>
  </si>
  <si>
    <t xml:space="preserve">1/2 PP 65 mm, transparent; PP stated on page, GN 1/2 x 65 mm, art. 8412065; net price shown 3.76 EUR, gross incl. 19% USt 4.47 EUR, UVP 6.19 EUR (gross). Price shown excl. VAT (DE 19%). YES Gastro SKU GNPP-1265.</t>
  </si>
  <si>
    <t xml:space="preserve">https://gastro-spirit.de/behaelter-mit-skalierung-gn-1-2-serie-gn-84-8412065</t>
  </si>
  <si>
    <t xml:space="preserve">1/2 PP 65 mm, transparent; Schneider PP (polypropylene) bare container GN 1/2 x 65 mm, art. 530010; net price, gross incl. MwSt shown separately ('zzgl. MwSt.'). Price shown excl. VAT (DE 19%). YES Gastro SKU GNPP-1265.</t>
  </si>
  <si>
    <t xml:space="preserve">https://www.gastro-hero.de/products/schneider-pp-gn-12-behaelter-65-mm-4-l-530010</t>
  </si>
  <si>
    <t xml:space="preserve">WAS GN 89 Behälter 1/2-065 mm mit Skalierung Polypropylen</t>
  </si>
  <si>
    <t xml:space="preserve">1/2 PP 65 mm, weiß; WAS GN 89 polypropylene container GN 1/2 x 65 mm, SKU WAS-8912065; 'zzgl. 19% MwSt.'. Price shown excl. VAT (DE 19%). YES Gastro SKU GNPP-1265.</t>
  </si>
  <si>
    <t xml:space="preserve">https://www.gastrodax.de/was-gn-89-behaelter-1-2-065-mm-mit-skalierung-polypropylen</t>
  </si>
  <si>
    <t xml:space="preserve">1/2 PP 65 mm, transparent; PP container GN 1/2 x 65 mm; Bestell-Nr 252182, Hersteller-Nr 8412065, Materialtyp Polypropylen; 'Preis pro Stück, zzgl. MwSt'; UVP 5.20 EUR; Staffelpreise ab 3: 4.05, ab 6: 3.83, ab 12: 3.61, ab 24: 3.42. Price shown excl. VAT (DE 19%). YES Gastro SKU GNPP-1265.</t>
  </si>
  <si>
    <t xml:space="preserve">https://www.intergastro.de/gastronormbehaelter-gn-1-2-x-65-mm-gn-84-polypropylen-transparent-252182</t>
  </si>
  <si>
    <t xml:space="preserve">Cambro Safetrak IML Lebensmittel-Aufbewahrungsbehälter aus Polypropylen 1/2 GN 65mm</t>
  </si>
  <si>
    <t xml:space="preserve">1/2 PP 65 mm, transparent; Polypropylen GN 1/2 x 65 mm container (material and depth in product name), art. JN504; 'Zzgl. MwSt.'; Cambro 22PPT190, bare container (lids sold separately); reduced web price, 'BISHER' 7.18 EUR. Price shown excl. VAT (DE 19%); page read with a headless browser (prices rendered by JavaScript). YES Gastro SKU GNPP-1265.</t>
  </si>
  <si>
    <t xml:space="preserve">https://www.nisbets.de/cambro-safetrak-iml-lebensmittel-aufbewahrungsbehlter-aus-polypropylen-12-gn-65mm/jn504</t>
  </si>
  <si>
    <t xml:space="preserve">Polypropylenová nádoba GN 1/2, HENDI, GN 1/2, 4L, Průhledná, 325x265x(H)65mm</t>
  </si>
  <si>
    <t xml:space="preserve">1/2 PP 65 mm, transparent; EXACT: Hendi PP container GN 1/2 65 mm, "Materiál: polypropylen (PP)"; code 873250; page shows 339 Kč (s DPH) and "280 Kč bez DPH". Price shown incl. VAT (CZ 21%); VAT removed for the net price. YES Gastro SKU GNPP-1265.</t>
  </si>
  <si>
    <t xml:space="preserve">https://www.gastrofans.cz/polypropylenova-nadoba-gn-1-2--hendi--gn-1-2--4l--pruhledna--325x265x-h-65mm/</t>
  </si>
  <si>
    <t xml:space="preserve">Skladem – Troubsko</t>
  </si>
  <si>
    <t xml:space="preserve">Nádoba z průhledného polypropylenu GN 1/2, 65 mm | STALGAST, Standard</t>
  </si>
  <si>
    <t xml:space="preserve">1/2 PP 65 mm, transparent; EXACT: Stalgast PP container GN 1/2 65 mm, parameter "materiál: polypropylen"; code 162062; page shows "Cena bez DPH: 94 Kč" and "Cena s DPH: 114 Kč". Price shown excl. VAT (CZ 21%); page read with a headless browser (prices rendered by JavaScript). YES Gastro SKU GNPP-1265.</t>
  </si>
  <si>
    <t xml:space="preserve">https://www.gastromania.cz/gastronadoby-polypropylenove/nadoba-z-pruhledneho-polypropylenu-gn-1-2-65-mm-stalgast-standard</t>
  </si>
  <si>
    <t xml:space="preserve">Skladem; Dostupnost: 48 hodin</t>
  </si>
  <si>
    <t xml:space="preserve">APS GN nádoba Polypropylen, GN 1/2, obsah: 3,90 litru, hloubka: 65 mm</t>
  </si>
  <si>
    <t xml:space="preserve">1/2 PP 65 mm, milky (opaque); EXACT: APS PP container GN 1/2 65 mm, parameter "Materiál: Polypropylen"; code 227776569; page shows 186 Kč incl. and "154 Kč bez DPH". Price shown excl. VAT (CZ 21%). YES Gastro SKU GNPP-1265.</t>
  </si>
  <si>
    <t xml:space="preserve">https://www.gastrozone.cz/aps-gn-nadoba-z-polypropylenu-gn-1-2-obsah-3-90-litru-hloubka-65-mm.html</t>
  </si>
  <si>
    <t xml:space="preserve">Gastronorm GN 1/2 (h=65 mm) polypropylenová</t>
  </si>
  <si>
    <t xml:space="preserve">1/2 PP 65 mm; EXACT: GN 1/2, h=65 mm, Materiál: polypropylen; cat. no. 3120114; page shows 96 CZK (s DPH) and "cena bez DPH: 79 CZK". Price shown incl. VAT (CZ 21%); VAT removed for the net price. YES Gastro SKU GNPP-1265.</t>
  </si>
  <si>
    <t xml:space="preserve">https://www.gastrosance.cz/gn-1/2--h-65-mm--polypropylenova</t>
  </si>
  <si>
    <t xml:space="preserve">Polypropylenová gastronádoba Cambro GN 1/2 065 mm</t>
  </si>
  <si>
    <t xml:space="preserve">1/2 PP 65 mm, transparent; EXACT: name "polypropylenová" GN 1/2 65 mm, Cambro MP (polypropylene) series, code R-MP12065; page shows 143 Kč (incl.) and "118 Kč bez DPH". Price shown incl. VAT (CZ 21%); VAT removed for the net price. YES Gastro SKU GNPP-1265.</t>
  </si>
  <si>
    <t xml:space="preserve">https://www.tomgast.cz/gastronadoba-polypropylenova-gn-1-2-65-mm/</t>
  </si>
  <si>
    <t xml:space="preserve">GGM Gastro (SK storefront)</t>
  </si>
  <si>
    <t xml:space="preserve">(12 ks) Polypropylenová nádoba GN 1/2 - Mliečna - Výška: 65 mm</t>
  </si>
  <si>
    <t xml:space="preserve">1/2 PP 65 mm, milky; SKU GPP1265-12; pack of 12, net price per pack ('* Všetky ceny bez DPH 19 %' footnote – GGM applies 19% VAT on the SK storefront); strike-through regular price 63,74 € Price shown excl. VAT (SK 23%); pack of 12, converted to per piece; page read with a headless browser (prices rendered by JavaScript). YES Gastro SKU GNPP-1265.</t>
  </si>
  <si>
    <t xml:space="preserve">https://www.ggmgastro.com/sk-sk-eur/kuchynske-pomocky/zakladne-vybavenie/gastronadoba-nadoba-na-potraviny-zmrzlinu/gn-nadoba/gastronadoba-z-polypropylenu-mliecna</t>
  </si>
  <si>
    <t xml:space="preserve">K dispozícii od 19.10.2026</t>
  </si>
  <si>
    <t xml:space="preserve">Nádoba z priehľadného polyproplylénu GN 1/2, 65 mm | STALGAST, 162062</t>
  </si>
  <si>
    <t xml:space="preserve">1/2 PP 65 mm, clear; SKU STALGAST-162062; other offers on this shop for the same variant: STALGAST 4.55 (in stock); STALGAST 5.29 (in stock); CAMBRO 5.81 (in stock); HENDI 14.76 (in stock) Price shown incl. VAT (SK 23%); VAT removed for the net price. YES Gastro SKU GNPP-1265.</t>
  </si>
  <si>
    <t xml:space="preserve">https://gastromania.sk/gastronadoby-polypropylenove/nadoba-z-priehladneho-polyproplylenu-gn-1-2-65-mm-stalgast-162062</t>
  </si>
  <si>
    <t xml:space="preserve">Pujadas gastro nádoba GN 1/2 325x165 mm polypropylen v=65 mm</t>
  </si>
  <si>
    <t xml:space="preserve">1/2 PP 65 mm, clear (not stated); listing shows gross 10,71 €; 'bez DPH' net 8.71 EUR on product page; SKU 227705321; other offers on this shop for the same variant: APS 7.49 (Na objednávku (3-5 t) Price shown incl. VAT (SK 23%); VAT removed for the net price. YES Gastro SKU GNPP-1265.</t>
  </si>
  <si>
    <t xml:space="preserve">https://www.gastrozone.sk/pujadas-gastro-nadoba-gn-1-2-325x165-mm-polypropylen-v-65-mm.html</t>
  </si>
  <si>
    <t xml:space="preserve">Nádoba GN 1/2 z priehľadného polypropylénu, Cambro, GN 1/2, 3 l, Priehľadná, 325 × 260 × 65 mm | 22PP190</t>
  </si>
  <si>
    <t xml:space="preserve">1/2 PP 65 mm, clear; 'bez DPH' price shown; gross 2.96 EUR; other offers on this shop for the same variant: not stated (shop own line) 4.87 (in stock); HENDI 7.80 (in stock) Price shown excl. VAT (SK 23%). YES Gastro SKU GNPP-1265.</t>
  </si>
  <si>
    <t xml:space="preserve">Vascheta GN 1/2 polipropilena Bufet Safe, 6 litri, H 100 mm</t>
  </si>
  <si>
    <t xml:space="preserve">1/2 PP 100 mm, white; EXACT: Stalgast "Bufet Safe" PP container, size/depth in name, page spec "Constructie: polipropilena". Shown "21.61 lei fără TVA (26.15 lei cu TVA)". Price shown excl. VAT (RO 21%). YES Gastro SKU GNPP-12100.</t>
  </si>
  <si>
    <t xml:space="preserve">https://direca.ro/shop/vascheta-gn-1-2-polipropilena-bufet-safe-6-litri-h-100-mm/</t>
  </si>
  <si>
    <t xml:space="preserve">Cutie polipropilena cu capac 6.5 litri GN1/2 – Stalgast</t>
  </si>
  <si>
    <t xml:space="preserve">1/2 PP 100 mm, white; CLOSE: Stalgast PP box sold bundled with sealing lid (cutie cu capac); dimensions on product page confirm depth; price "( inclusiv T.V.A. )". Price shown incl. VAT (RO 21%); VAT removed for the net price. YES Gastro SKU GNPP-12100.</t>
  </si>
  <si>
    <t xml:space="preserve">https://www.fimax.ro/produs/cutie-polipropilena-cu-capac-6-5-litri-gn1-2-stalgast/</t>
  </si>
  <si>
    <t xml:space="preserve">(12 bucăți) Recipient din polipropilenă GN 1/2 - Opac - Înălțime: 100 mm</t>
  </si>
  <si>
    <t xml:space="preserve">1/2 PP 100 mm, white; EXACT: size, depth and material in name. Pack of 12 pcs, price per pack net (footnote "* Toate prețurile plus TVA 19%" on RO storefront); tier offer "3.787,51 RON Reducere-40%"; RRP 800,18 RON; SKU GPP12100-12; listing dims W 259 x D 319 x H 100 mm. Price shown excl. VAT (RO 21%); pack of 12, converted to per piece; page read with a headless browser (prices rendered by JavaScript). YES Gastro SKU GNPP-12100.</t>
  </si>
  <si>
    <t xml:space="preserve">https://www.ggmgastro.com/ro-ro-ron/12-bucati-recipient-din-polipropilena-gn-1-2-opac-inaltime-100-mm-gpp12100-12</t>
  </si>
  <si>
    <t xml:space="preserve">APS GN-Container Polipropilen, GN 1/2, Capacitate: 5,90 Litri, Adancime: 100 mm</t>
  </si>
  <si>
    <t xml:space="preserve">1/2 PP 100 mm, white; EXACT: APS polypropylene GN container, size/depth/material in name. SKU 227776571. Listing price is gross; product page shows gross and "fără TVA" net below it. Price shown incl. VAT (RO 21%); VAT removed for the net price. YES Gastro SKU GNPP-12100.</t>
  </si>
  <si>
    <t xml:space="preserve">https://www.gastrozone.ro/aps-recipient-gn-polipropilen-gn-1-2-capacitate-5-90-litri-adancime-100-mm.html</t>
  </si>
  <si>
    <t xml:space="preserve">Recipient GN 1/2 ad. 10 cm din polipropilenă Profi Line | HENDI 880128</t>
  </si>
  <si>
    <t xml:space="preserve">1/2 PP 100 mm, white; EXACT: size, depth and material (polipropilena) in product name. Marked "In promotie" (promo net price; regular net 24,33). Listing shows "Pret net 20.68 RON" and "Pret brut 29.44 RON/buc". Price shown excl. VAT (RO 21%). YES Gastro SKU GNPP-12100.</t>
  </si>
  <si>
    <t xml:space="preserve">https://mmgastro.ro/ro/products/recipient-gn-1-2-ad-10-cm-din-polipropilena-profi-line-hendi-880128-130476</t>
  </si>
  <si>
    <t xml:space="preserve">Hendi HACCP Aufbewahrungsbehälter GN 1/2, 100 mm</t>
  </si>
  <si>
    <t xml:space="preserve">1/2 PP 100 mm; EXACT: Hendi HACCP container, bullet 'Polypropylen, BPA frei' on listing/product page; price from category listing 'Zutaten- und Lagerbehälter'; Steuerhinweis 'exkl. MwSt. zzgl. Versandkosten'. Price shown excl. VAT (AT 20%). YES Gastro SKU GNPP-12100.</t>
  </si>
  <si>
    <t xml:space="preserve">https://www.allpax.at/product_info.php/info/Hendi-HACCP-Aufbewahrungsbehaelter-GN-1-2-100-mm.html</t>
  </si>
  <si>
    <t xml:space="preserve">Polypropylen Behälter GN 1/2 – 325x265x100mm</t>
  </si>
  <si>
    <t xml:space="preserve">1/2 PP 100 mm; EXACT: PP in product name and category 'Polypropylen - GN - Behälter', brand HENDI; page shows net price with '(€ x inkl. MwSt.) Zzgl. 20% MwSt.'; listing price. Price shown excl. VAT (AT 20%). YES Gastro SKU GNPP-12100.</t>
  </si>
  <si>
    <t xml:space="preserve">https://www.gastro-star.at/produkt/polypropylenbehaeltergn12-325x265x100mm/</t>
  </si>
  <si>
    <t xml:space="preserve">Schneider PP GN 1/2 Behälter 100 mm, 6,1 l</t>
  </si>
  <si>
    <t xml:space="preserve">1/2 PP 100 mm; EXACT: 'Material: Polypropylen (PP)' on product page, Schneider art. 530011; net price shown, page adds 'x € inkl. MwSt.' (= +19% VAT, oddly for the .at shop). Price shown excl. VAT (AT 20%). YES Gastro SKU GNPP-12100.</t>
  </si>
  <si>
    <t xml:space="preserve">https://www.gastro-hero.at/products/schneider-pp-gn-12-behaelter-100-mm-61-l-530011</t>
  </si>
  <si>
    <t xml:space="preserve">Hendi Gastronorm-Behälter 1/2, GN 1/2, 6, 5L, Transparent, 325x265x(H)100mm – Polypropylen</t>
  </si>
  <si>
    <t xml:space="preserve">1/2 PP 100 mm, transparent; EXACT: '– Polypropylen' in product name; Hendi art. 880173; listing price 'zzgl. 19% MwSt., zzgl. Versandkosten' (German shop, 19% VAT). Price shown excl. VAT (AT 20%). YES Gastro SKU GNPP-12100.</t>
  </si>
  <si>
    <t xml:space="preserve">https://www.gastrodax.de/hendi-haccp-aufbewahrungsbehaelter-gn-1-2-6-5-l-transparent-325-x-265-x-h-100-mm</t>
  </si>
  <si>
    <t xml:space="preserve">Cambro Polypropylen GN 1/2 Behälter 100mm</t>
  </si>
  <si>
    <t xml:space="preserve">1/2 PP 100 mm; EXACT: 'Polypropylen' in product name/category 'GN-Behälter Polypropylen'; Art. GN-DW502; price footnote '* inkl. MwSt., zzgl. Versand' (rate not stated on page; AT shop → 20% assumed); listing price. Price shown incl. VAT (AT 20%); VAT removed for the net price. YES Gastro SKU GNPP-12100.</t>
  </si>
  <si>
    <t xml:space="preserve">https://www.gastroladen.at/3030@GN-DW502/Cambro-Polypropylen-GN-1-2-Beh%C3%A4lter-100mm.htm</t>
  </si>
  <si>
    <t xml:space="preserve">Gastronormbehälter GN 1/2 x 100 mm GN 84 Polypropylen transparent</t>
  </si>
  <si>
    <t xml:space="preserve">1/2 PP 100 mm, transparent; EXACT: 'GN 84 Polypropylen' in product name, spec 'Materialtyp: Polypropylen'; WAS Germany Bestell-Nr. 252183; 1-piece net price ('Preis pro Stück, zzgl. MwSt'), quantity tiers ab 3/6/12/24 pcs cheaper (down to ca. -20%); UVP 6.00 €; alternative WAS GN 89 series same size/depth: 7.25 € (Bestell-Nr. 252557). Price shown excl. VAT (AT 20%); page read with a headless browser (prices rendered by JavaScript). YES Gastro SKU GNPP-12100.</t>
  </si>
  <si>
    <t xml:space="preserve">https://www.intergastro.at/gastronormbehaelter-gn-1-2-x-100-mm-gn-84-polypropylen-transparent-252183</t>
  </si>
  <si>
    <t xml:space="preserve">GN-Behälter - BPA frei - Serie 84 - Inhalt 6,1 l - GN 1/2 (325 x 265 mm) - 100 mm - Polypropylen - premium Qualität</t>
  </si>
  <si>
    <t xml:space="preserve">1/2 PP 100 mm, transparent; EXACT: material 'Polypropylen' in product name; cheapest PP series for this size at this shop, Art.-Nr. 8412100-A; sale price, regular price 6,00 €; 'Preise zzgl. MwSt. zzgl. Versandkosten'. Other PP series same size/depth: 82114-B 4.60€; 530011-C 5.20€; 8912100-A 6.10€. Price shown excl. VAT (AT 20%). YES Gastro SKU GNPP-12100.</t>
  </si>
  <si>
    <t xml:space="preserve">https://shopbuero.com/gn-behaelter-bpa-frei-serie-84-inhalt-6-1-l-gn-1-2-325-x-265-mm-100-mm-polypropylen-premium-qualitaet/8412100-A</t>
  </si>
  <si>
    <t xml:space="preserve">GN Behälter 1/2, 100 mm aus Kunststoff</t>
  </si>
  <si>
    <t xml:space="preserve">1/2 PP 100 mm, transparent; Unbranded 'GN Behälter 1/2, 100 mm aus Kunststoff'; attribute 'Material: Polypropylen' on page, so EXACT; art. 10021621; 'zzgl. MwSt.'; strikethrough regular price 5.25 EUR. Price shown excl. VAT (DE 19%). YES Gastro SKU GNPP-12100.</t>
  </si>
  <si>
    <t xml:space="preserve">https://www.allpax.de/product_info.php/info/GN-Behaelter-1-2-100-mm-aus-Kunststoff.html</t>
  </si>
  <si>
    <t xml:space="preserve">GN Behälter mit Skalierung, GN 1/2 - 100 mm, transparent, Polypropylen, GN 84 Serie</t>
  </si>
  <si>
    <t xml:space="preserve">1/2 PP 100 mm, transparent; PP stated on page, GN 1/2 x 100 mm, art. 8412100; net price shown 4.34 EUR, gross incl. 19% USt 5.16 EUR, UVP 7.14 EUR (gross). Price shown excl. VAT (DE 19%). YES Gastro SKU GNPP-12100.</t>
  </si>
  <si>
    <t xml:space="preserve">https://gastro-spirit.de/behaelter-mit-skalierung-gn-1-2-serie-gn-84-8412100</t>
  </si>
  <si>
    <t xml:space="preserve">1/2 PP 100 mm, transparent; Schneider PP (polypropylene) bare container GN 1/2 x 100 mm, art. 530011; net price, gross incl. MwSt shown separately ('zzgl. MwSt.'). Price shown excl. VAT (DE 19%). YES Gastro SKU GNPP-12100.</t>
  </si>
  <si>
    <t xml:space="preserve">https://www.gastro-hero.de/products/schneider-pp-gn-12-behaelter-100-mm-61-l-530011</t>
  </si>
  <si>
    <t xml:space="preserve">WAS GN 89 Behälter 1/2-100 mm mit Skalierung Polypropylen</t>
  </si>
  <si>
    <t xml:space="preserve">1/2 PP 100 mm, weiß; WAS GN 89 polypropylene container GN 1/2 x 100 mm, SKU WAS-8912100; 'zzgl. 19% MwSt.'. Price shown excl. VAT (DE 19%). YES Gastro SKU GNPP-12100.</t>
  </si>
  <si>
    <t xml:space="preserve">https://www.gastrodax.de/was-gn-89-behaelter-1-2-100-mm-mit-skalierung-polypropylen</t>
  </si>
  <si>
    <t xml:space="preserve">1/2 PP 100 mm, transparent; Cambro PP container GN 1/2 x 100 mm (5,9L), 'Material: Polypropylen' on page, art. DW502; price 'inkl. MwSt., zzgl. 7,95 EUR Versand in D'. Price shown incl. VAT (DE 19%); VAT removed for the net price. YES Gastro SKU GNPP-12100.</t>
  </si>
  <si>
    <t xml:space="preserve">https://www.gastroladen.de/3030@GN-DW502/Cambro-Polypropylen-GN-1-2-Beh%C3%A4lter-100mm.htm</t>
  </si>
  <si>
    <t xml:space="preserve">GN-Behälter GN 1/2 x 100 mm Kunststoff (Contacto)</t>
  </si>
  <si>
    <t xml:space="preserve">1/2 PP 100 mm, transparent; PP container GN 1/2 x 100 mm; title says Kunststoff but spec "Materialtyp: Polypropylen"; Bestell-Nr 251460, Contacto 5012/100 (lid inclusion not stated); 'Preis pro Stück, zzgl. MwSt'; UVP 20.65 EUR; Staffelpreise ab 3: 13.92, ab 24: 12.89. Price shown excl. VAT (DE 19%). YES Gastro SKU GNPP-12100.</t>
  </si>
  <si>
    <t xml:space="preserve">https://www.intergastro.de/gn-behaelter-gn-1-2-x-100-mm-kunststoff-251460</t>
  </si>
  <si>
    <t xml:space="preserve">1/2 PP 100 mm, transparent; Polypropylen GN 1/2 x 100 mm container (material and depth in product name), art. DW502; 'Zzgl. MwSt.'; reduced web price, 'BISHER' 5.59 EUR. Price shown excl. VAT (DE 19%); page read with a headless browser (prices rendered by JavaScript). YES Gastro SKU GNPP-12100.</t>
  </si>
  <si>
    <t xml:space="preserve">https://www.nisbets.de/cambro-polypropylen-gn-12-behlter-100mm/dw502</t>
  </si>
  <si>
    <t xml:space="preserve">Gastronádoba polypropylenová - GN 1/2, 6,5L, 100mm Hendi</t>
  </si>
  <si>
    <t xml:space="preserve">1/2 PP 100 mm, transparent; EXACT: Hendi PP container GN 1/2 100 mm, "materiál: průhledný polypropylen"; code 880128; page shows 183 Kč (s DPH) and "151 Kč bez DPH". Price shown incl. VAT (CZ 21%); VAT removed for the net price. YES Gastro SKU GNPP-12100.</t>
  </si>
  <si>
    <t xml:space="preserve">https://www.gastrofans.cz/gastronadoba-1-2-pp-transparent-6-5-l-325x265x-h-100-mm/</t>
  </si>
  <si>
    <t xml:space="preserve">Gastronádoba GN 1/2 100 mm, HACCP polypropylen | HENDI, 880173</t>
  </si>
  <si>
    <t xml:space="preserve">1/2 PP 100 mm, transparent; EXACT: Hendi PP container GN 1/2 100 mm, parameter "materiál: polypropylen"; code 880173; page shows "Cena bez DPH: 208 Kč" and "Cena s DPH: 252 Kč". Price shown excl. VAT (CZ 21%); page read with a headless browser (prices rendered by JavaScript). YES Gastro SKU GNPP-12100.</t>
  </si>
  <si>
    <t xml:space="preserve">https://www.gastromania.cz/gastronadoby-polypropylenove/gastronadoba-gn-1-2-100-mm-haccp-polypropylen-hendi-880173</t>
  </si>
  <si>
    <t xml:space="preserve">APS GN-nádoba Polypropylen, GN 1/2, objem: 5,90 litru, hloubka: 100 mm</t>
  </si>
  <si>
    <t xml:space="preserve">1/2 PP 100 mm, milky (opaque); EXACT: APS PP container GN 1/2 100 mm, parameter "Materiál: Polypropylen"; code 227776571; page shows 214 Kč incl. and "177 Kč bez DPH". Price shown excl. VAT (CZ 21%). YES Gastro SKU GNPP-12100.</t>
  </si>
  <si>
    <t xml:space="preserve">https://www.gastrozone.cz/aps-gn-nadoba-z-polypropylenu-gn-1-2-objem-5-90-litru-hloubka-100-mm.html</t>
  </si>
  <si>
    <t xml:space="preserve">Gastronorm GN 1/2 (h=100 mm) polypropylenová</t>
  </si>
  <si>
    <t xml:space="preserve">1/2 PP 100 mm; EXACT: GN 1/2, h=100 mm, Materiál: polypropylen; cat. no. 3120115; page shows 122 CZK (s DPH) and "cena bez DPH: 101 CZK". Price shown incl. VAT (CZ 21%); VAT removed for the net price. YES Gastro SKU GNPP-12100.</t>
  </si>
  <si>
    <t xml:space="preserve">https://www.gastrosance.cz/gn-1/2--h-100-mm--polypropylenova</t>
  </si>
  <si>
    <t xml:space="preserve">Gastronádoba polypropylenová GN 1/2 100 mm</t>
  </si>
  <si>
    <t xml:space="preserve">1/2 PP 100 mm, transparent; EXACT: name "polypropylenová" GN 1/2 100 mm, Cambro MP (polypropylene) series, code R-MP12100; page shows 177 Kč (incl.) and "146 Kč bez DPH". Price shown incl. VAT (CZ 21%); VAT removed for the net price. YES Gastro SKU GNPP-12100.</t>
  </si>
  <si>
    <t xml:space="preserve">https://www.tomgast.cz/gastronadoba-polypropylenova-gn-1-2-100-mm/</t>
  </si>
  <si>
    <t xml:space="preserve">Nádoba GN 1/2, HENDI, GN 1/2, 6,5L, Priehľadná, 325x265x(H)100mm Kód: 880173</t>
  </si>
  <si>
    <t xml:space="preserve">1/2 PP 100 mm, clear; material not in product name; HENDI HACCP 880 series: product page 880173 states "Materiály: PP (Polypropylén)"; price shown 6.05 € (net) / 7,44 € s DPH; code 880173 Price shown excl. VAT (SK 23%). YES Gastro SKU GNPP-12100.</t>
  </si>
  <si>
    <t xml:space="preserve">Cambro polypropylénová GN 1/2 nádoba 10cm</t>
  </si>
  <si>
    <t xml:space="preserve">1/2 PP 100 mm, clear (not stated); 'bez DPH' price shown; gross €7.92; code  Price shown excl. VAT (SK 23%). YES Gastro SKU GNPP-12100.</t>
  </si>
  <si>
    <t xml:space="preserve">Polypropylénová gastronómia GN 1/2 100 mm | CAMBRO, R-MP12100</t>
  </si>
  <si>
    <t xml:space="preserve">1/2 PP 100 mm, clear (not stated); SKU TOMGAST-R-MP12100; other offers on this shop for the same variant: HENDI 8.63 (in stock); HENDI 9.96 (in stock); HENDI 15.50 (in stock); ARAVEN 24.96 (in stock) Price shown incl. VAT (SK 23%); VAT removed for the net price. YES Gastro SKU GNPP-12100.</t>
  </si>
  <si>
    <t xml:space="preserve">https://gastromania.sk/gastronadoby-polykarbonatove/polypropylenova-gastronomia-gn-1-2-100-mm-cambro-r-mp12100</t>
  </si>
  <si>
    <t xml:space="preserve">CAMBRO</t>
  </si>
  <si>
    <t xml:space="preserve">gastro nádoba GN 1/2 polypropylen v=100 mm Pujadas</t>
  </si>
  <si>
    <t xml:space="preserve">1/2 PP 100 mm, clear (not stated); listing shows gross 11,08 €; 'bez DPH' net 9.01 EUR on product page; SKU 227705090; other offers on this shop for the same variant: APS 8.64 (Na objednávku (3-5 t) Price shown incl. VAT (SK 23%); VAT removed for the net price. YES Gastro SKU GNPP-12100.</t>
  </si>
  <si>
    <t xml:space="preserve">https://www.gastrozone.sk/gastro-nadoba-gn-1-2-polypropylen-v-100-mm-pujadas.html</t>
  </si>
  <si>
    <t xml:space="preserve">Nádoba GN 1/2 z priehľadného polypropylénu, Cambro, GN 1/2, 5,9 l, Priehľadná, 325 × 260 × 100 mm | 24PP190</t>
  </si>
  <si>
    <t xml:space="preserve">1/2 PP 100 mm, clear; 'bez DPH' price shown; gross 4.15 EUR; other offers on this shop for the same variant: not stated (shop own line) 3.94 (in stock); not stated (shop own line) 5.60 (in stock); HENDI 8.19 (in stock); HENDI 4.56 (in stock) Price shown excl. VAT (SK 23%). YES Gastro SKU GNPP-12100.</t>
  </si>
  <si>
    <t xml:space="preserve">Vascheta GN 1/2 polipropilena Bufet Safe, 11,5 litri, H 200 mm</t>
  </si>
  <si>
    <t xml:space="preserve">1/2 PP 200 mm, white; EXACT: Stalgast "Bufet Safe" PP container, size/depth in name, page spec "Constructie: polipropilena". Shown "34.56 lei fără TVA (41.82 lei cu TVA)". Price shown excl. VAT (RO 21%). YES Gastro SKU GNPP-12200.</t>
  </si>
  <si>
    <t xml:space="preserve">https://direca.ro/shop/vascheta-gn-1-2-polipropilena-bufet-safe-115-litri-h-200-mm/</t>
  </si>
  <si>
    <t xml:space="preserve">Cutie polipropilena cu capac 12.5 litri GN1/2 – Stalgast</t>
  </si>
  <si>
    <t xml:space="preserve">1/2 PP 200 mm, white; CLOSE: Stalgast PP box sold bundled with sealing lid (cutie cu capac); dimensions on product page confirm depth; price "( inclusiv T.V.A. )". Price shown incl. VAT (RO 21%); VAT removed for the net price. YES Gastro SKU GNPP-12200.</t>
  </si>
  <si>
    <t xml:space="preserve">https://www.fimax.ro/produs/cutie-polipropilena-cu-capac-12-5-litri-gn1-2-stalgast/</t>
  </si>
  <si>
    <t xml:space="preserve">APS GN-Container Polipropilen, GN 1/2, Capacitate: 11,80 Litri, Adancime: 200 mm</t>
  </si>
  <si>
    <t xml:space="preserve">1/2 PP 200 mm, white; EXACT: APS polypropylene GN container, size/depth/material in name. SKU 227776573. Listing price is gross; product page shows gross and "fără TVA" net below it. Price shown incl. VAT (RO 21%); VAT removed for the net price. YES Gastro SKU GNPP-12200.</t>
  </si>
  <si>
    <t xml:space="preserve">https://www.gastrozone.ro/aps-container-gn-polipropilen-gn-1-2-capacitate-11-80-litri-adancime-200-mm.html</t>
  </si>
  <si>
    <t xml:space="preserve">Recipient GN 1/2 adâncime 20 cm din polipropilenă Profi Line | HENDI 880104</t>
  </si>
  <si>
    <t xml:space="preserve">1/2 PP 200 mm, white; EXACT: size, depth and material (polipropilena) in product name. Marked "In promotie" (promo net price; regular net 36,97). Listing shows "Pret net 31.42 RON" and "Pret brut 44.74 RON/buc". Price shown excl. VAT (RO 21%). YES Gastro SKU GNPP-12200.</t>
  </si>
  <si>
    <t xml:space="preserve">https://mmgastro.ro/ro/products/recipient-gn-1-2-adancime-20-cm-din-polipropilena-profi-line-hendi-880104-130491</t>
  </si>
  <si>
    <t xml:space="preserve">Recipientă GN 1/2 din polipropilenă, 20 cm | APS 82117</t>
  </si>
  <si>
    <t xml:space="preserve">1/2 PP 200 mm, white; EXACT: size, depth and material (polipropilena) in product name. Listing shows "Pret net 42.01 RON" and "Pret brut 50.83 RON/buc". Price shown excl. VAT (RO 21%). YES Gastro SKU GNPP-12200.</t>
  </si>
  <si>
    <t xml:space="preserve">https://mmgastro.ro/ro/products/recipienta-gn-1-2-din-polipropilena-20-cm-aps-82117-162381</t>
  </si>
  <si>
    <t xml:space="preserve">Hendi HACCP Aufbewahrungsbehälter GN 1/2, 200 mm</t>
  </si>
  <si>
    <t xml:space="preserve">1/2 PP 200 mm; EXACT: Hendi HACCP container, bullet 'Polypropylen, BPA frei' on listing/product page; price from category listing 'Zutaten- und Lagerbehälter'; Steuerhinweis 'exkl. MwSt. zzgl. Versandkosten'. Price shown excl. VAT (AT 20%). YES Gastro SKU GNPP-12200.</t>
  </si>
  <si>
    <t xml:space="preserve">https://www.allpax.at/product_info.php/info/Hendi-HACCP-Aufbewahrungsbehaelter-GN-1-2-200-mm.html</t>
  </si>
  <si>
    <t xml:space="preserve">Polypropylen Behälter GN 1/2 – 325x265x200mm</t>
  </si>
  <si>
    <t xml:space="preserve">1/2 PP 200 mm; EXACT: PP in product name and category 'Polypropylen - GN - Behälter', brand HENDI; page shows net price with '(€ x inkl. MwSt.) Zzgl. 20% MwSt.'; listing price. Price shown excl. VAT (AT 20%). YES Gastro SKU GNPP-12200.</t>
  </si>
  <si>
    <t xml:space="preserve">https://www.gastro-star.at/produkt/polypropylenbehaeltergn12-325x265x200mm/</t>
  </si>
  <si>
    <t xml:space="preserve">GN-BEHÄLTER POLYPROPYLEN 1/2 200 tief</t>
  </si>
  <si>
    <t xml:space="preserve">1/2 PP 200 mm; EXACT: PP stated in product name and category 'GN Behälter Polypropylen'; Art.-Nr. 880 012; footer 'Alle Preise excl. 20% MwSt.'; price from category listing. Price shown excl. VAT (AT 20%). YES Gastro SKU GNPP-12200.</t>
  </si>
  <si>
    <t xml:space="preserve">https://www.gastrozimml.at/produkt/gn-behalter-polypropylen-12-200-tief/</t>
  </si>
  <si>
    <t xml:space="preserve">Anfragekorb (request basket) - availability not shown</t>
  </si>
  <si>
    <t xml:space="preserve">Schneider PP GN 1/2 Behälter 200 mm, 11,9 l</t>
  </si>
  <si>
    <t xml:space="preserve">1/2 PP 200 mm; EXACT: 'Material: Polypropylen' on product page (rendered in browser after curl got a Cloudflare interstitial), Schneider art. 530013; net price shown, page adds '17,24 € inkl. MwSt.' (= +19%); sale price, regular price 14,89 €. Price shown excl. VAT (AT 20%); page read with a headless browser (prices rendered by JavaScript). YES Gastro SKU GNPP-12200.</t>
  </si>
  <si>
    <t xml:space="preserve">https://www.gastro-hero.at/products/schneider-pp-gn-12-behaelter-200-mm-119-l-530013</t>
  </si>
  <si>
    <t xml:space="preserve">Hendi Gastronorm-Behälter 1/2, GN 1/2, 12, 5L, Transparent, 325x265x(H)200mm – Polypropylen</t>
  </si>
  <si>
    <t xml:space="preserve">1/2 PP 200 mm, transparent; EXACT: '– Polypropylen' in product name; Hendi art. 880159; listing price 'zzgl. 19% MwSt., zzgl. Versandkosten' (German shop, 19% VAT). Price shown excl. VAT (AT 20%). YES Gastro SKU GNPP-12200.</t>
  </si>
  <si>
    <t xml:space="preserve">https://www.gastrodax.de/hendi-haccp-aufbewahrungsbehaelter-gn-1-2-12-5-l-transparent-325-x-265-x-h-200-mm</t>
  </si>
  <si>
    <t xml:space="preserve">Gastronormbehälter GN 1/2 x 200 mm GN 84 Polypropylen transparent</t>
  </si>
  <si>
    <t xml:space="preserve">1/2 PP 200 mm, transparent; EXACT: 'GN 84 Polypropylen' in product name, spec 'Materialtyp: Polypropylen'; WAS Germany Bestell-Nr. 252185; 1-piece net price ('Preis pro Stück, zzgl. MwSt'), quantity tiers ab 3/6/12/24 pcs cheaper (down to ca. -20%); UVP 8.50 €; alternative WAS GN 89 series same size/depth: 10.44 € (Bestell-Nr. 252559). Price shown excl. VAT (AT 20%); page read with a headless browser (prices rendered by JavaScript). YES Gastro SKU GNPP-12200.</t>
  </si>
  <si>
    <t xml:space="preserve">https://www.intergastro.at/gastronormbehaelter-gn-1-2-x-200-mm-gn-84-polypropylen-transparent-252185</t>
  </si>
  <si>
    <t xml:space="preserve">GN-Behälter - BPA frei - Serie 84 - Inhalt 11,90 l - GN 1/2 (325 x 265 mm) - 200 mm - Polypropylen - premium Qualität</t>
  </si>
  <si>
    <t xml:space="preserve">1/2 PP 200 mm, transparent; EXACT: material 'Polypropylen' in product name; cheapest PP series for this size at this shop, Art.-Nr. 8412200-A; sale price, regular price 8,50 €; 'Preise zzgl. MwSt. zzgl. Versandkosten'. Other PP series same size/depth: 82117-B 6.60€; 530013-C 8.30€; 8912200-A 8.70€. Price shown excl. VAT (AT 20%). YES Gastro SKU GNPP-12200.</t>
  </si>
  <si>
    <t xml:space="preserve">https://shopbuero.com/gn-behaelter-bpa-frei-serie-84-inhalt-11-90-l-gn-1-2-325-x-265-mm-200-mm-polypropylen-premium-qualitaet/8412200-A</t>
  </si>
  <si>
    <t xml:space="preserve">1/2 PP 200 mm, transparent; Hendi HACCP storage container, material 'Polypropylen, BPA frei' stated on page, GN 1/2 x 200 mm (lid sold separately), art. 10017366; 'zzgl. MwSt.'. Price shown excl. VAT (DE 19%). YES Gastro SKU GNPP-12200.</t>
  </si>
  <si>
    <t xml:space="preserve">https://www.allpax.de/product_info.php/info/Hendi-HACCP-Aufbewahrungsbehaelter-GN-1-2-200-mm.html</t>
  </si>
  <si>
    <t xml:space="preserve">GN Behälter 1/2, 200 mm aus Kunststoff</t>
  </si>
  <si>
    <t xml:space="preserve">1/2 PP 200 mm, transparent; Unbranded 'GN Behälter 1/2, 200 mm aus Kunststoff'; attribute 'Material: Polypropylen' on page, so EXACT; art. 10021623; 'zzgl. MwSt.'; strikethrough regular price 7.59 EUR. Price shown excl. VAT (DE 19%). YES Gastro SKU GNPP-12200.</t>
  </si>
  <si>
    <t xml:space="preserve">https://www.allpax.de/product_info.php/info/GN-Behaelter-1-2-200-mm-aus-Kunststoff.html</t>
  </si>
  <si>
    <t xml:space="preserve">GN Behälter mit Skalierung, GN 1/2 - 200 mm, transparent, Polypropylen, GN 84 Serie</t>
  </si>
  <si>
    <t xml:space="preserve">1/2 PP 200 mm, transparent; PP stated on page, GN 1/2 x 200 mm, art. 8412200; net price shown 6.16 EUR, gross incl. 19% USt 7.33 EUR, UVP 10.12 EUR (gross). Price shown excl. VAT (DE 19%). YES Gastro SKU GNPP-12200.</t>
  </si>
  <si>
    <t xml:space="preserve">https://gastro-spirit.de/behaelter-mit-skalierung-gn-1-2-serie-gn-84-8412200</t>
  </si>
  <si>
    <t xml:space="preserve">1/2 PP 200 mm, transparent; Schneider PP (polypropylene) bare container GN 1/2 x 200 mm, art. 530013; net price, gross incl. MwSt shown separately ('zzgl. MwSt.'). Price shown excl. VAT (DE 19%). YES Gastro SKU GNPP-12200.</t>
  </si>
  <si>
    <t xml:space="preserve">https://www.gastro-hero.de/products/schneider-pp-gn-12-behaelter-200-mm-119-l-530013</t>
  </si>
  <si>
    <t xml:space="preserve">WAS GN 89 Behälter 1/2-200 mm mit Skalierung Polypropylen</t>
  </si>
  <si>
    <t xml:space="preserve">1/2 PP 200 mm, weiß; WAS GN 89 polypropylene container GN 1/2 x 200 mm, SKU WAS-8912200; 'zzgl. 19% MwSt.'. Price shown excl. VAT (DE 19%). YES Gastro SKU GNPP-12200.</t>
  </si>
  <si>
    <t xml:space="preserve">https://www.gastrodax.de/was-gn-89-behaelter-1-2-200-mm-mit-skalierung-polypropylen</t>
  </si>
  <si>
    <t xml:space="preserve">GN Behälter GN 1/2 x 200 mm Kunststoff (APS)</t>
  </si>
  <si>
    <t xml:space="preserve">1/2 PP 200 mm, transparent; PP container GN 1/2 x 200 mm; title says Kunststoff but spec "Materialtyp: Polypropylen"; Bestell-Nr 253639, APS 82117; 'Preis pro Stück, zzgl. MwSt'; UVP 9.00 EUR; Staffelpreise ab 3: 6.80, ab 24: 6.24. Price shown excl. VAT (DE 19%). YES Gastro SKU GNPP-12200.</t>
  </si>
  <si>
    <t xml:space="preserve">https://www.intergastro.de/gn-behaelter-gn-1-2-x-200-mm-kunststoff-253639</t>
  </si>
  <si>
    <t xml:space="preserve">Nisbets Essentials Polypropylen GN 1/2 200mm</t>
  </si>
  <si>
    <t xml:space="preserve">1/2 PP 200 mm, transparent; Polypropylen GN 1/2 x 200 mm container (material and depth in product name), art. FA825; 'Zzgl. MwSt.'; reduced web price, 'BISHER' 11.29 EUR. Price shown excl. VAT (DE 19%); page read with a headless browser (prices rendered by JavaScript). YES Gastro SKU GNPP-12200.</t>
  </si>
  <si>
    <t xml:space="preserve">https://www.nisbets.de/nisbets-essentials-polypropylen-gn-1zu2-200mm/fa825</t>
  </si>
  <si>
    <t xml:space="preserve">Gastronádoba polypropylenová - GN 1/2, 12,5L, 200mm Hendi</t>
  </si>
  <si>
    <t xml:space="preserve">1/2 PP 200 mm, transparent; EXACT: Hendi PP container GN 1/2 200 mm, "materiál: průhledný polypropylen"; code 880104; page shows 282 Kč (s DPH) and "233 Kč bez DPH". Price shown incl. VAT (CZ 21%); VAT removed for the net price. YES Gastro SKU GNPP-12200.</t>
  </si>
  <si>
    <t xml:space="preserve">https://www.gastrofans.cz/gastronadoba-1-2-pp-transparent-12-5-l-325x265x-h-200-mm/</t>
  </si>
  <si>
    <t xml:space="preserve">Gastronádoba GN 1/2 200 mm, HACCP polypropylen | HENDI, 880159</t>
  </si>
  <si>
    <t xml:space="preserve">1/2 PP 200 mm, transparent; EXACT: Hendi PP container GN 1/2 200 mm, parameter "materiál: polypropylen"; code 880159; page shows "Cena bez DPH: 324 Kč" and "Cena s DPH: 392 Kč". Price shown excl. VAT (CZ 21%); page read with a headless browser (prices rendered by JavaScript). YES Gastro SKU GNPP-12200.</t>
  </si>
  <si>
    <t xml:space="preserve">https://www.gastromania.cz/gastronadoby-polypropylenove/gastronadoba-gn-1-2-200-mm-haccp-polypropylen-hendi-880159</t>
  </si>
  <si>
    <t xml:space="preserve">Skladem; Dostupnost: 24 hodin</t>
  </si>
  <si>
    <t xml:space="preserve">APS GN-nádoba Polypropylen, GN 1/2, objem: 11,80 litrů, hloubka: 200 mm</t>
  </si>
  <si>
    <t xml:space="preserve">1/2 PP 200 mm, milky (opaque); EXACT: APS PP container GN 1/2 200 mm, parameter "Materiál: Polypropylen"; code 227776573; page shows 309 Kč incl. and "255 Kč bez DPH". Price shown excl. VAT (CZ 21%). YES Gastro SKU GNPP-12200.</t>
  </si>
  <si>
    <t xml:space="preserve">https://www.gastrozone.cz/aps-gn-nadoba-z-polypropylenu-gn-1-2-objem-11-80-litru-hloubka-200-mm.html</t>
  </si>
  <si>
    <t xml:space="preserve">Gastronorm GN 1/2 (h=200 mm) polypropylenová</t>
  </si>
  <si>
    <t xml:space="preserve">1/2 PP 200 mm; EXACT: GN 1/2, h=200 mm, Materiál: polypropylen; cat. no. 3120117; page shows 176 CZK (s DPH) and "cena bez DPH: 145 CZK". Price shown incl. VAT (CZ 21%); VAT removed for the net price. YES Gastro SKU GNPP-12200.</t>
  </si>
  <si>
    <t xml:space="preserve">https://www.gastrosance.cz/gn-1/2--h-200-mm--polypropylenova</t>
  </si>
  <si>
    <t xml:space="preserve">Gastronádoba polypropylenová GN 1/2 200 mm</t>
  </si>
  <si>
    <t xml:space="preserve">1/2 PP 200 mm, transparent; EXACT: name "polypropylenová" GN 1/2 200 mm, Cambro MP (polypropylene) series, code R-MP12200; page shows 303 Kč (incl.) and "250 Kč bez DPH". Price shown incl. VAT (CZ 21%); VAT removed for the net price. YES Gastro SKU GNPP-12200.</t>
  </si>
  <si>
    <t xml:space="preserve">https://www.tomgast.cz/gastronadoba-polypropylenova-gn-1-2-200-mm-2/</t>
  </si>
  <si>
    <t xml:space="preserve">Nádoba GN 1/2, HENDI, GN 1/2, 12,5L, Priehľadná, 325x265x(H)200mm Kód: 880159</t>
  </si>
  <si>
    <t xml:space="preserve">1/2 PP 200 mm, clear; material not in product name; HENDI HACCP 880 series: product page 880173 states "Materiály: PP (Polypropylén)"; price shown 9.10 € (net) / 11,19 € s DPH; code 880159 Price shown excl. VAT (SK 23%). YES Gastro SKU GNPP-12200.</t>
  </si>
  <si>
    <t xml:space="preserve">Polypropylénová nádoba, GN 1/2, 200 mm | STALGAST, Bufet</t>
  </si>
  <si>
    <t xml:space="preserve">1/2 PP 200 mm, clear (not stated); SKU STALGAST-162203; other offers on this shop for the same variant: CAMBRO 12.30 (in stock); HENDI 13.06 (in stock); HENDI 15.50 (in stock); HENDI 18.27 (in stock) Price shown incl. VAT (SK 23%); VAT removed for the net price. YES Gastro SKU GNPP-12200.</t>
  </si>
  <si>
    <t xml:space="preserve">https://gastromania.sk/gastronadoby-polypropylenove/polypropylenova-nadoba-gn-1-2-200-mm-stalgast-bufet</t>
  </si>
  <si>
    <t xml:space="preserve">gastro nádoba GN 1/2 polypropylen v=200 mm Pujadas</t>
  </si>
  <si>
    <t xml:space="preserve">1/2 PP 200 mm, clear (not stated); listing shows gross 15,33 €; 'bez DPH' net 12.46 EUR on product page; SKU 227705092; other offers on this shop for the same variant: APS 12.45 (Na objednávku (3-5 t) Price shown incl. VAT (SK 23%); VAT removed for the net price. YES Gastro SKU GNPP-12200.</t>
  </si>
  <si>
    <t xml:space="preserve">https://www.gastrozone.sk/gastro-nadoba-gn-1-2-polypropylen-v-200-mm-pujadas.html</t>
  </si>
  <si>
    <t xml:space="preserve">GN-Gastronádoby, polypropylenové, GN 1/2 (325 x 265 mm) 200 mm</t>
  </si>
  <si>
    <t xml:space="preserve">1/2 PP 200 mm, clear (not stated); listing price incl. VAT (product page of PP lid 1/4 shows 2,60 € s DPH / 2,11 € bez DPH) Price shown incl. VAT (SK 23%); VAT removed for the net price. YES Gastro SKU GNPP-12200.</t>
  </si>
  <si>
    <t xml:space="preserve">https://www.masiarskenaradie.sk/gastronadoby-nerez-plast?page=3</t>
  </si>
  <si>
    <t xml:space="preserve">Skladom u dodávateľa</t>
  </si>
  <si>
    <t xml:space="preserve">Gastronádoba polypropylénová GN 1/2 - hloubka 20 cm</t>
  </si>
  <si>
    <t xml:space="preserve">1/2 PP 200 mm, clear (not stated); 'bez DPH' price shown; gross 7.05 EUR; other offers on this shop for the same variant: not stated (shop own line) 9.59 (in stock); HENDI 10.53 (in stock); HENDI 6.90 (in stock) Price shown excl. VAT (SK 23%). YES Gastro SKU GNPP-12200.</t>
  </si>
  <si>
    <t xml:space="preserve">Vascheta GN 1/3 polipropilena Bufet Safe, 2,5 litri, H 65 mm</t>
  </si>
  <si>
    <t xml:space="preserve">1/3 PP 65 mm, white; EXACT: Stalgast "Bufet Safe" PP container, size/depth in name, page spec "Constructie: polipropilena". Shown "13.80 lei fără TVA (16.70 lei cu TVA)". Price shown excl. VAT (RO 21%). YES Gastro SKU GNPP-1365.</t>
  </si>
  <si>
    <t xml:space="preserve">https://direca.ro/shop/vascheta-gn-1-3-polipropilena-bufet-safe-25-litri-h-65-mm/</t>
  </si>
  <si>
    <t xml:space="preserve">(12 bucăți) Recipient din polipropilenă GN 1/3 – Culoare opacă – Înălțime: 65 mm</t>
  </si>
  <si>
    <t xml:space="preserve">1/3 PP 65 mm, white; EXACT: size, depth and material in name. Pack of 12 pcs, price per pack net (footnote "* Toate prețurile plus TVA 19%" on RO storefront); tier offer "2.972,74 RON Reducere-45%"; RRP 563,27 RON; SKU GPP1365-12; listing dims W 176 x D 325 x H 65 mm. Price shown excl. VAT (RO 21%); pack of 12, converted to per piece; page read with a headless browser (prices rendered by JavaScript). YES Gastro SKU GNPP-1365.</t>
  </si>
  <si>
    <t xml:space="preserve">https://www.ggmgastro.com/ro-ro-ron/12-bucati-recipient-din-polipropilena-gn-1-3-culoare-opaca-inaltime-65-mm-gpp1365-12</t>
  </si>
  <si>
    <t xml:space="preserve">Recipient gastro 1/3 Pujadas 2,35 l, PP</t>
  </si>
  <si>
    <t xml:space="preserve">1/3 PP 65 mm, white; CLOSE: Pujadas PP GN 1/3, depth not printed on page; 2,35 l matches the 65 mm Pujadas GN 1/3 volume (same 2277053xx h=65 series). SKU 227705322. Listing price is gross; product page shows gross and "fără TVA" net below it. Price shown incl. VAT (RO 21%); VAT removed for the net price. YES Gastro SKU GNPP-1365.</t>
  </si>
  <si>
    <t xml:space="preserve">https://www.gastrozone.ro/recipient-gastro-1-3-pujadas-2-35-l-pp.html</t>
  </si>
  <si>
    <t xml:space="preserve">Recipientă GN 1/3 din polipropilenă, 6.5 cm | APS 82118</t>
  </si>
  <si>
    <t xml:space="preserve">1/3 PP 65 mm, white; EXACT: size, depth and material (polipropilena) in product name. Listing shows "Pret net 21.47 RON" and "Pret brut 25.98 RON/buc". Price shown excl. VAT (RO 21%). YES Gastro SKU GNPP-1365.</t>
  </si>
  <si>
    <t xml:space="preserve">https://mmgastro.ro/ro/products/recipienta-gn-1-3-din-polipropilena-6-5-cm-aps-82118-162382</t>
  </si>
  <si>
    <t xml:space="preserve">Recipient GN 1/3 adâncime 6,5 cm din polipropilenă HACCP | HENDI 880289</t>
  </si>
  <si>
    <t xml:space="preserve">1/3 PP 65 mm, white; EXACT: size, depth and material (polipropilena) in product name. Listing shows "Pret net 21.40 RON" and "Pret brut 25.90 RON/buc". Price shown excl. VAT (RO 21%). YES Gastro SKU GNPP-1365.</t>
  </si>
  <si>
    <t xml:space="preserve">https://mmgastro.ro/ro/products/recipient-gn-1-3-adancime-6-5-cm-din-polipropilena-haccp-hendi-880289-130769</t>
  </si>
  <si>
    <t xml:space="preserve">Hendi HACCP Aufbewahrungsbehälter GN 1/3, 65 mm</t>
  </si>
  <si>
    <t xml:space="preserve">1/3 PP 65 mm; EXACT: Hendi HACCP container, bullet 'Polypropylen, BPA frei' on listing/product page; price from category listing 'Zutaten- und Lagerbehälter'; Steuerhinweis 'exkl. MwSt. zzgl. Versandkosten'. Price shown excl. VAT (AT 20%). YES Gastro SKU GNPP-1365.</t>
  </si>
  <si>
    <t xml:space="preserve">https://www.allpax.at/product_info.php/info/Hendi-HACCP-Aufbewahrungsbehaelter-GN-1-3-65-mm.html</t>
  </si>
  <si>
    <t xml:space="preserve">(12 Stück) Polypropylen-Behälter GN 1/3 - Milchig - Höhe: 65mm</t>
  </si>
  <si>
    <t xml:space="preserve">1/3 PP 65 mm, milky; EXACT: 'Polypropylen-Behälter' milky PP, Art. GPP1365-12, pack of 12; price per pack, footnote '* alle Preise zzgl. MwSt. 19%' (AT storefront oddly states 19%); UVP 106.99 €, struck-through regular price 99.98 €. Price shown excl. VAT (AT 20%); pack of 12, converted to per piece; page read with a headless browser (prices rendered by JavaScript). YES Gastro SKU GNPP-1365.</t>
  </si>
  <si>
    <t xml:space="preserve">https://www.ggmgastro.com/de-at-eur/12-stueck-polypropylen-behaelter-gn-1-3-milchig-hoehe-65mm-gpp1365-12</t>
  </si>
  <si>
    <t xml:space="preserve">Schneider PP GN 1/3 Behälter 65 mm, 4 l</t>
  </si>
  <si>
    <t xml:space="preserve">1/3 PP 65 mm; EXACT: 'Material: Polypropylen (PP)' on product page, Schneider art. 530020; net price shown, page adds 'x € inkl. MwSt.' (= +19% VAT, oddly for the .at shop). Price shown excl. VAT (AT 20%). YES Gastro SKU GNPP-1365.</t>
  </si>
  <si>
    <t xml:space="preserve">https://www.gastro-hero.at/products/schneider-pp-gn-13-behaelter-65-mm-4-l-530020</t>
  </si>
  <si>
    <t xml:space="preserve">Hendi Gastronorm-Behälter 1/3, GN 1/3, 2, 5L, Transparent, 325x176x(H)65mm – Polypropylen</t>
  </si>
  <si>
    <t xml:space="preserve">1/3 PP 65 mm, transparent; EXACT: '– Polypropylen' in product name; Hendi art. 880289; listing price 'zzgl. 19% MwSt., zzgl. Versandkosten' (German shop, 19% VAT). Price shown excl. VAT (AT 20%). YES Gastro SKU GNPP-1365.</t>
  </si>
  <si>
    <t xml:space="preserve">https://www.gastrodax.de/hendi-haccp-aufbewahrungsbehaelter-gn-1-3-2-5-l-transparent-325-x-176-x-h-65-mm</t>
  </si>
  <si>
    <t xml:space="preserve">Gastronormbehälter GN 1/3 x 65 mm GN 84 Polypropylen transparent</t>
  </si>
  <si>
    <t xml:space="preserve">1/3 PP 65 mm, transparent; EXACT: 'GN 84 Polypropylen' in product name, spec 'Materialtyp: Polypropylen'; WAS Germany Bestell-Nr. 252425; 1-piece net price ('Preis pro Stück, zzgl. MwSt'), quantity tiers ab 3/6/12/24 pcs cheaper (down to ca. -20%); UVP 4.40 €; alternative WAS GN 89 series same size/depth: 4.03 € (Bestell-Nr. 252562). Price shown excl. VAT (AT 20%); page read with a headless browser (prices rendered by JavaScript). YES Gastro SKU GNPP-1365.</t>
  </si>
  <si>
    <t xml:space="preserve">https://www.intergastro.at/gastronormbehaelter-gn-1-3-x-65-mm-gn-84-polypropylen-transparent-252425</t>
  </si>
  <si>
    <t xml:space="preserve">GN-Behälter - BPA frei - Serie 84 - Inhalt 2,50 l - GN 1/3 (325 x 176 mm) - 65 mm - Polypropylen - premium Qualität</t>
  </si>
  <si>
    <t xml:space="preserve">1/3 PP 65 mm, transparent; EXACT: material 'Polypropylen' in product name; cheapest PP series for this size at this shop, Art.-Nr. 8413065-A; sale price, regular price 4,40 €; 'Preise zzgl. MwSt. zzgl. Versandkosten'. Other PP series same size/depth: 82118-B 3.40€; 8913065-A 3.50€; 530020-C 3.80€. Price shown excl. VAT (AT 20%). YES Gastro SKU GNPP-1365.</t>
  </si>
  <si>
    <t xml:space="preserve">https://shopbuero.com/gn-behaelter-bpa-frei-serie-84-inhalt-2-50-l-gn-1-3-325-x-176-mm-65-mm-polypropylen-premium-qualitaet/8413065-A</t>
  </si>
  <si>
    <t xml:space="preserve">1/3 PP 65 mm, transparent; Hendi HACCP storage container, material 'Polypropylen, BPA frei' stated on page, GN 1/3 x 65 mm (lid sold separately), art. 10016904; 'zzgl. MwSt.'. Price shown excl. VAT (DE 19%). YES Gastro SKU GNPP-1365.</t>
  </si>
  <si>
    <t xml:space="preserve">https://www.allpax.de/product_info.php/info/Hendi-HACCP-Aufbewahrungsbehaelter-GN-1-3-65-mm.html</t>
  </si>
  <si>
    <t xml:space="preserve">GN Behälter 1/3, 65 mm aus Kunststoff</t>
  </si>
  <si>
    <t xml:space="preserve">1/3 PP 65 mm, transparent; Unbranded 'GN Behälter 1/3, 65 mm aus Kunststoff'; attribute 'Material: Polypropylen' on page, so EXACT; art. 10021626; 'zzgl. MwSt.'; strikethrough regular price 3.05 EUR. Price shown excl. VAT (DE 19%). YES Gastro SKU GNPP-1365.</t>
  </si>
  <si>
    <t xml:space="preserve">https://www.allpax.de/product_info.php/info/GN-Behaelter-1-3-65-mm-aus-Kunststoff.html</t>
  </si>
  <si>
    <t xml:space="preserve">1/3 PP 65 mm, milchig/transparent; Polypropylen container GN 1/3 x 65 mm sold as pack of 12; price per pack, '* Nettopreis | Bruttopreis inkl. 19% MwSt.' shown; UVP 106.99 EUR; art. GPP1365-12. Price shown excl. VAT (DE 19%); pack of 12, converted to per piece; page read with a headless browser (prices rendered by JavaScript). YES Gastro SKU GNPP-1365.</t>
  </si>
  <si>
    <t xml:space="preserve">https://www.ggmgastro.com/de-de-eur/12-stueck-polypropylen-behaelter-gn-1-3-milchig-hoehe-65mm-gpp1365-12</t>
  </si>
  <si>
    <t xml:space="preserve">GN Behälter mit Skalierung, GN 1/3 - 65 mm, transparent, Polypropylen, GN 84 Serie</t>
  </si>
  <si>
    <t xml:space="preserve">1/3 PP 65 mm, transparent; PP stated on page, GN 1/3 x 65 mm, art. 8413065; net price shown 3.18 EUR, gross incl. 19% USt 3.79 EUR, UVP 5.24 EUR (gross). Price shown excl. VAT (DE 19%). YES Gastro SKU GNPP-1365.</t>
  </si>
  <si>
    <t xml:space="preserve">https://gastro-spirit.de/behaelter-mit-skalierung-gn-1-3-serie-gn-84-8413065</t>
  </si>
  <si>
    <t xml:space="preserve">1/3 PP 65 mm, transparent; Schneider PP (polypropylene) bare container GN 1/3 x 65 mm, art. 530020; net price, gross incl. MwSt shown separately ('zzgl. MwSt.'). Price shown excl. VAT (DE 19%). YES Gastro SKU GNPP-1365.</t>
  </si>
  <si>
    <t xml:space="preserve">https://www.gastro-hero.de/products/schneider-pp-gn-13-behaelter-65-mm-4-l-530020</t>
  </si>
  <si>
    <t xml:space="preserve">1/3 PP 65 mm, transparent; PP container GN 1/3 x 65 mm; Bestell-Nr 252425, Hersteller-Nr 8413065; 'Preis pro Stück, zzgl. MwSt'; UVP 4.40 EUR; Staffelpreise ab 3: 3.41, ab 24: 2.90. Price shown excl. VAT (DE 19%). YES Gastro SKU GNPP-1365.</t>
  </si>
  <si>
    <t xml:space="preserve">https://www.intergastro.de/gastronormbehaelter-gn-1-3-x-65-mm-gn-84-polypropylen-transparent-252425</t>
  </si>
  <si>
    <t xml:space="preserve">Cambro Safetrak IML Polypropylen-Lebensmittelbehälter 1/3 GN 65mm</t>
  </si>
  <si>
    <t xml:space="preserve">1/3 PP 65 mm, transparent; Polypropylen GN 1/3 x 65 mm container (material and depth in product name), art. JN508; 'Zzgl. MwSt.'; Cambro SafeTrak bare container; reduced web price, 'BISHER' 5.38 EUR. Price shown excl. VAT (DE 19%); page read with a headless browser (prices rendered by JavaScript). YES Gastro SKU GNPP-1365.</t>
  </si>
  <si>
    <t xml:space="preserve">https://www.nisbets.de/cambro-safetrak-iml-polypropylen-lebensmittelbehlter-13-gn-65mm/jn508</t>
  </si>
  <si>
    <t xml:space="preserve">Gastronádoba HACCP - GN 1/3, 65mm Hendi</t>
  </si>
  <si>
    <t xml:space="preserve">1/3 PP 65 mm, transparent; EXACT: Hendi HACCP PP container GN 1/3 65 mm, "materiál: průhledný polypropylen"; code 880289; page shows 157 Kč (s DPH) and "130 Kč bez DPH". Price shown incl. VAT (CZ 21%); VAT removed for the net price. YES Gastro SKU GNPP-1365.</t>
  </si>
  <si>
    <t xml:space="preserve">https://www.gastrofans.cz/zasobnik-gn-1-3-haccp-transparent-2-5-l-325x176x-h-65-mm/</t>
  </si>
  <si>
    <t xml:space="preserve">Gastronádoba GN 1/3 65 mm, HACCP polypropylen | HENDI, 880289</t>
  </si>
  <si>
    <t xml:space="preserve">1/3 PP 65 mm, transparent; EXACT: Hendi PP container GN 1/3 65 mm, parameter "materiál: polypropylen"; code 880289; page shows "Cena bez DPH: 172 Kč" and "Cena s DPH: 208 Kč". Price shown excl. VAT (CZ 21%); page read with a headless browser (prices rendered by JavaScript). YES Gastro SKU GNPP-1365.</t>
  </si>
  <si>
    <t xml:space="preserve">https://www.gastromania.cz/gastronadoby-polypropylenove/gastronadoba-gn-1-3-65-mm-haccp-polypropylen-hendi-880289</t>
  </si>
  <si>
    <t xml:space="preserve">Gastronorm GN 1/3 (h=65 mm) polypropylenová</t>
  </si>
  <si>
    <t xml:space="preserve">1/3 PP 65 mm; EXACT: GN 1/3, h=65 mm, Materiál: polypropylen; cat. no. 3120124; page shows 85 CZK (s DPH) and "cena bez DPH: 70 CZK". Price shown incl. VAT (CZ 21%); VAT removed for the net price. YES Gastro SKU GNPP-1365.</t>
  </si>
  <si>
    <t xml:space="preserve">https://www.gastrosance.cz/gn-1/3--h-65-mm--polypropylenova</t>
  </si>
  <si>
    <t xml:space="preserve">Kontejner GN 1/3 HACCP, HENDI, GN 1/3, 2,5L, Průhledná, 325x176x(H)65mm</t>
  </si>
  <si>
    <t xml:space="preserve">1/3 PP 65 mm, transparent; EXACT: Hendi HACCP container GN 1/3 H 65 mm, page parameter "materiál: PP (polypropylén)"; Hendi code 880289; current (discounted) price 108.00 Kč incl., regular 111,57 Kč, shown "89,26 Kč" bez DPH. Price shown incl. VAT (CZ 21%); VAT removed for the net price. YES Gastro SKU GNPP-1365.</t>
  </si>
  <si>
    <t xml:space="preserve">https://www.promos-gastro.cz/gastro-profi-nadobi-nacini-nerez-hrnce-panvicky-talire-pribory/gastronadoby-nerezove-plne-derovane-smalt-plechy-na-peceni/gastronadoby-polypropylenove-polykarbonatove/haccp-zasobniky-plast-gn/59083-kontejner-gn-1-3-haccp-hendi-gn-1-3-25l-pruhledna-325x176xh65mm.html</t>
  </si>
  <si>
    <t xml:space="preserve">Gastronádoba polypropylenová GN 1/3 65 mm</t>
  </si>
  <si>
    <t xml:space="preserve">1/3 PP 65 mm, transparent; EXACT: name "polypropylenová" GN 1/3 65 mm, Cambro MP (polypropylene) series, code R-MP13065; page shows 105 Kč (incl.) and "87 Kč bez DPH". Price shown incl. VAT (CZ 21%); VAT removed for the net price. YES Gastro SKU GNPP-1365.</t>
  </si>
  <si>
    <t xml:space="preserve">https://www.tomgast.cz/gastronadoba-polypropylenova-gn-1-3-65-mm/</t>
  </si>
  <si>
    <t xml:space="preserve">(12 ks) Polypropylenová nádoba GN 1/3 - Mliečna - Výška: 65 mm</t>
  </si>
  <si>
    <t xml:space="preserve">1/3 PP 65 mm, milky; SKU GPP1365-12; pack of 12, net price per pack ('* Všetky ceny bez DPH 19 %' footnote – GGM applies 19% VAT on the SK storefront); strike-through regular price 99,98 € Price shown excl. VAT (SK 23%); pack of 12, converted to per piece; page read with a headless browser (prices rendered by JavaScript). YES Gastro SKU GNPP-1365.</t>
  </si>
  <si>
    <t xml:space="preserve">Nádoba GN 1/3, HENDI, GN 1/3, 2,5L, Priehľadná, 325x176x(H)65mm Kód: 880289</t>
  </si>
  <si>
    <t xml:space="preserve">1/3 PP 65 mm, clear; material not in product name; HENDI HACCP 880 series: product page 880173 states "Materiály: PP (Polypropylén)"; price shown 4.45 € (net) / 5,47 € s DPH; code 880289 Price shown excl. VAT (SK 23%). YES Gastro SKU GNPP-1365.</t>
  </si>
  <si>
    <t xml:space="preserve">Polypropylénová nádoba, GN 1/3, 65 mm | STALGAST, Bufet</t>
  </si>
  <si>
    <t xml:space="preserve">1/3 PP 65 mm, clear (not stated); SKU STALGAST-163063; other offers on this shop for the same variant: STALGAST 4.23 (in stock); CAMBRO 4.28 (in stock); STALGAST 5.74 (in stock); HENDI 8.24 (in stock) Price shown incl. VAT (SK 23%); VAT removed for the net price. YES Gastro SKU GNPP-1365.</t>
  </si>
  <si>
    <t xml:space="preserve">https://gastromania.sk/gastronadoby-polypropylenove/polypropylenova-nadoba-gn-1-3-65-mm-stalgast-bufet</t>
  </si>
  <si>
    <t xml:space="preserve">ARAVEN Gastronádoba s vekom GN 1/3, PP, hĺbka: 65 mm, objem: 2,5 L, hermetická</t>
  </si>
  <si>
    <t xml:space="preserve">1/3 PP 65 mm, clear (not stated); container sold bundled with hermetic lid (s vekom, hermetická); listing shows gross 11,73 €; 'bez DPH' net 9.54 EUR on product page; SKU 229901649 Price shown incl. VAT (SK 23%); VAT removed for the net price. YES Gastro SKU GNPP-1365.</t>
  </si>
  <si>
    <t xml:space="preserve">https://www.gastrozone.sk/araven-gn-nadoba-s-vikem-1-3-pp-hloubka-65-mm-objem-2-5-l-hermeticka.html</t>
  </si>
  <si>
    <t xml:space="preserve">Gastronádoba polypropylénová GN 1/3 65 mm</t>
  </si>
  <si>
    <t xml:space="preserve">1/3 PP 65 mm, clear (not stated); 'bez DPH' price shown; gross 4.32 EUR; other offers on this shop for the same variant: not stated (shop own line) 3.88 (in stock); HENDI 5.65 (in stock) Price shown excl. VAT (SK 23%). YES Gastro SKU GNPP-1365.</t>
  </si>
  <si>
    <t xml:space="preserve">Vascheta GN 1/3 polipropilena Bufet Safe, 5,7 litri, H 150 mm</t>
  </si>
  <si>
    <t xml:space="preserve">1/3 PP 150 mm, white; EXACT: Stalgast "Bufet Safe" PP container, size/depth in name, page spec "Constructie: polipropilena". Shown "23.01 lei fără TVA (27.84 lei cu TVA)". Price shown excl. VAT (RO 21%). YES Gastro SKU GNPP-13150.</t>
  </si>
  <si>
    <t xml:space="preserve">https://direca.ro/shop/vascheta-gn-1-3-polipropilena-bufet-safe-57-litri-h-150-mm/</t>
  </si>
  <si>
    <t xml:space="preserve">(12 bucăți) Recipient din polipropilenă GN 1/3 - Culoare opacă - Înălțime: 150 mm</t>
  </si>
  <si>
    <t xml:space="preserve">1/3 PP 150 mm, white; EXACT: size, depth and material in name. Pack of 12 pcs, price per pack net (footnote "* Toate prețurile plus TVA 19%" on RO storefront); tier offer "3.510,33 RON Reducere-40%"; RRP 710,68 RON; SKU GPP13150-12; listing dims W 173 x D 320 x H 150 mm. Price shown excl. VAT (RO 21%); pack of 12, converted to per piece; page read with a headless browser (prices rendered by JavaScript). YES Gastro SKU GNPP-13150.</t>
  </si>
  <si>
    <t xml:space="preserve">https://www.ggmgastro.com/ro-ro-ron/12-bucati-recipient-din-polipropilena-gn-1-3-culoare-opaca-inaltime-150-mm-gpp13150-12</t>
  </si>
  <si>
    <t xml:space="preserve">Produs pentru gastronomie GN 1/3 176x325 mm polipropilen h=150 mm Pujadas</t>
  </si>
  <si>
    <t xml:space="preserve">1/3 PP 150 mm, white; EXACT: Pujadas polypropylene GN container, size/depth/material in name. SKU 227705095. Listing price is gross; product page shows gross and "fără TVA" net below it. Price shown incl. VAT (RO 21%); VAT removed for the net price. YES Gastro SKU GNPP-13150.</t>
  </si>
  <si>
    <t xml:space="preserve">https://www.gastrozone.ro/produs-pentru-gastronomie-gn-1-3-176x325-mm-polipropilen-h-150-mm-pujadas.html</t>
  </si>
  <si>
    <t xml:space="preserve">Recipient GN 1/3 adâncime 15 cm Profi Line din polipropilenă | HENDI 880210</t>
  </si>
  <si>
    <t xml:space="preserve">1/3 PP 150 mm, white; EXACT: size, depth and material (polipropilena) in product name. Listing shows "Pret net 26.27 RON" and "Pret brut 31.79 RON/buc". Price shown excl. VAT (RO 21%). YES Gastro SKU GNPP-13150.</t>
  </si>
  <si>
    <t xml:space="preserve">https://mmgastro.ro/ro/products/recipient-gn-1-3-adancime-15-cm-profi-line-din-polipropilena-hendi-880210-130589</t>
  </si>
  <si>
    <t xml:space="preserve">Recipient GN 1/3 adâncime 15 cm din polipropilenă HACCP | HENDI 880265</t>
  </si>
  <si>
    <t xml:space="preserve">1/3 PP 150 mm, white; EXACT: size, depth and material (polipropilena) in product name. Listing shows "Pret net 31.14 RON" and "Pret brut 37.68 RON/buc". Price shown excl. VAT (RO 21%). YES Gastro SKU GNPP-13150.</t>
  </si>
  <si>
    <t xml:space="preserve">https://mmgastro.ro/ro/products/recipient-gn-1-3-adancime-15-cm-din-polipropilena-haccp-hendi-880265-131017</t>
  </si>
  <si>
    <t xml:space="preserve">Hendi HACCP Aufbewahrungsbehälter GN 1/3, 150 mm</t>
  </si>
  <si>
    <t xml:space="preserve">1/3 PP 150 mm; EXACT: Hendi HACCP container, bullet 'Polypropylen, BPA frei' on listing/product page; price from category listing 'Zutaten- und Lagerbehälter'; Steuerhinweis 'exkl. MwSt. zzgl. Versandkosten'. Price shown excl. VAT (AT 20%). YES Gastro SKU GNPP-13150.</t>
  </si>
  <si>
    <t xml:space="preserve">https://www.allpax.at/product_info.php/info/Hendi-HACCP-Aufbewahrungsbehaelter-GN-1-3-150-mm.html</t>
  </si>
  <si>
    <t xml:space="preserve">Polypropylen Behälter GN 1/3 – 325x176x150mm</t>
  </si>
  <si>
    <t xml:space="preserve">1/3 PP 150 mm; EXACT: PP in product name and category 'Polypropylen - GN - Behälter', brand HENDI; page shows net price with '(€ x inkl. MwSt.) Zzgl. 20% MwSt.'; listing price. Price shown excl. VAT (AT 20%). YES Gastro SKU GNPP-13150.</t>
  </si>
  <si>
    <t xml:space="preserve">https://www.gastro-star.at/produkt/polypropylenbehaeltergn13-325x176x150mm/</t>
  </si>
  <si>
    <t xml:space="preserve">Schneider PP GN 1/3 Behälter 150 mm, 9 l</t>
  </si>
  <si>
    <t xml:space="preserve">1/3 PP 150 mm; EXACT: 'Material: Polypropylen (PP)' on product page, Schneider art. 530022; net price shown, page adds 'x € inkl. MwSt.' (= +19% VAT, oddly for the .at shop). Price shown excl. VAT (AT 20%). YES Gastro SKU GNPP-13150.</t>
  </si>
  <si>
    <t xml:space="preserve">https://www.gastro-hero.at/products/schneider-pp-gn-13-behaelter-150-mm-9-l-530022</t>
  </si>
  <si>
    <t xml:space="preserve">Hendi Gastronorm-Behälter 1/3, GN 1/3, 5, 7L, Transparent, 325x176x(H)150mm – Polypropylen</t>
  </si>
  <si>
    <t xml:space="preserve">1/3 PP 150 mm, transparent; EXACT: '– Polypropylen' in product name; Hendi art. 880265; listing price 'zzgl. 19% MwSt., zzgl. Versandkosten' (German shop, 19% VAT). Price shown excl. VAT (AT 20%). YES Gastro SKU GNPP-13150.</t>
  </si>
  <si>
    <t xml:space="preserve">https://www.gastrodax.de/hendi-haccp-aufbewahrungsbehaelter-gn-1-3-5-7-l-transparent-325-x-176-x-h-150-mm</t>
  </si>
  <si>
    <t xml:space="preserve">Cambro Polypropylen GN 1/3 Behälter 150mm</t>
  </si>
  <si>
    <t xml:space="preserve">1/3 PP 150 mm; EXACT: 'Polypropylen' in product name/category 'GN-Behälter Polypropylen'; Art. GN-DW505; price footnote '* inkl. MwSt., zzgl. Versand' (rate not stated on page; AT shop → 20% assumed); listing price. Price shown incl. VAT (AT 20%); VAT removed for the net price. YES Gastro SKU GNPP-13150.</t>
  </si>
  <si>
    <t xml:space="preserve">https://www.gastroladen.at/3030@GN-DW505/Cambro-Polypropylen-GN-1-3-Beh%C3%A4lter-150mm.htm</t>
  </si>
  <si>
    <t xml:space="preserve">Gastronormbehälter GN 1/3 x 150 mm GN 84 Polypropylen transparent</t>
  </si>
  <si>
    <t xml:space="preserve">1/3 PP 150 mm, transparent; EXACT: 'GN 84 Polypropylen' in product name, spec 'Materialtyp: Polypropylen'; WAS Germany Bestell-Nr. 252427; 1-piece net price ('Preis pro Stück, zzgl. MwSt'), quantity tiers ab 3/6/12/24 pcs cheaper (down to ca. -20%); UVP 6.50 €; alternative WAS GN 89 series same size/depth: 6.30 € (Bestell-Nr. 252564). Price shown excl. VAT (AT 20%); page read with a headless browser (prices rendered by JavaScript). YES Gastro SKU GNPP-13150.</t>
  </si>
  <si>
    <t xml:space="preserve">https://www.intergastro.at/gastronormbehaelter-gn-1-3-x-150-mm-gn-84-polypropylen-transparent-252427</t>
  </si>
  <si>
    <t xml:space="preserve">GN-Behälter - BPA frei - Serie 84 - Inhalt 5,5 l - GN 1/3 (325 x 176 mm) - 150 mm - Polypropylen - premium Qualität</t>
  </si>
  <si>
    <t xml:space="preserve">1/3 PP 150 mm, transparent; EXACT: material 'Polypropylen' in product name; cheapest PP series for this size at this shop, Art.-Nr. 8413150-A; sale price, regular price 6,50 €; 'Preise zzgl. MwSt. zzgl. Versandkosten'. Other PP series same size/depth: 82122-B 5.10€; 8913150-A 5.30€; 530022-C 5.60€. Price shown excl. VAT (AT 20%). YES Gastro SKU GNPP-13150.</t>
  </si>
  <si>
    <t xml:space="preserve">https://shopbuero.com/gn-behaelter-bpa-frei-serie-84-inhalt-5-5-l-gn-1-3-325-x-176-mm-150-mm-polypropylen-premium-qualitaet/8413150-A</t>
  </si>
  <si>
    <t xml:space="preserve">GN Behälter 1/3, 150 mm aus Kunststoff</t>
  </si>
  <si>
    <t xml:space="preserve">1/3 PP 150 mm, transparent; Unbranded 'GN Behälter 1/3, 150 mm aus Kunststoff'; attribute 'Material: Polypropylen' on page, so EXACT; art. 10021628; 'zzgl. MwSt.'; strikethrough regular price 5.05 EUR. Price shown excl. VAT (DE 19%). YES Gastro SKU GNPP-13150.</t>
  </si>
  <si>
    <t xml:space="preserve">https://www.allpax.de/product_info.php/info/GN-Behaelter-1-3-150-mm-aus-Kunststoff.html</t>
  </si>
  <si>
    <t xml:space="preserve">(12 Stück) Polypropylen-Behälter GN 1/3 - Milchig - Höhe: 150mm</t>
  </si>
  <si>
    <t xml:space="preserve">1/3 PP 150 mm, milchig/transparent; Polypropylen container GN 1/3 x 150 mm sold as pack of 12; price per pack, '* Nettopreis | Bruttopreis inkl. 19% MwSt.' shown; UVP 134.99 EUR; art. GPP13150-12. Price shown excl. VAT (DE 19%); pack of 12, converted to per piece; page read with a headless browser (prices rendered by JavaScript). YES Gastro SKU GNPP-13150.</t>
  </si>
  <si>
    <t xml:space="preserve">https://www.ggmgastro.com/de-de-eur/12-stueck-polypropylen-behaelter-gn-1-3-milchig-hoehe-150mm-gpp13150-12</t>
  </si>
  <si>
    <t xml:space="preserve">GN Behälter mit Skalierung, GN 1/3 - 150 mm, transparent, Polypropylen, GN 84 Serie</t>
  </si>
  <si>
    <t xml:space="preserve">1/3 PP 150 mm, transparent; PP stated on page, GN 1/3 x 150 mm, art. 8413150; net price shown 4.71 EUR, gross incl. 19% USt 5.60 EUR, UVP 7.74 EUR (gross). Price shown excl. VAT (DE 19%). YES Gastro SKU GNPP-13150.</t>
  </si>
  <si>
    <t xml:space="preserve">https://gastro-spirit.de/behaelter-mit-skalierung-gn-1-3-serie-gn-84-8413150</t>
  </si>
  <si>
    <t xml:space="preserve">1/3 PP 150 mm, transparent; Schneider PP (polypropylene) bare container GN 1/3 x 150 mm, art. 530022; net price, gross incl. MwSt shown separately ('zzgl. MwSt.'). Price shown excl. VAT (DE 19%). YES Gastro SKU GNPP-13150.</t>
  </si>
  <si>
    <t xml:space="preserve">https://www.gastro-hero.de/products/schneider-pp-gn-13-behaelter-150-mm-9-l-530022</t>
  </si>
  <si>
    <t xml:space="preserve">1/3 PP 150 mm, transparent; Cambro PP container GN 1/3 x 150 mm (5,3L), 'Material: Polypropylen' on page, art. DW505; price 'inkl. MwSt., zzgl. 7,95 EUR Versand in D'. Price shown incl. VAT (DE 19%); VAT removed for the net price. YES Gastro SKU GNPP-13150.</t>
  </si>
  <si>
    <t xml:space="preserve">https://www.gastroladen.de/3030@GN-DW505/Cambro-Polypropylen-GN-1-3-Beh%C3%A4lter-150mm.htm</t>
  </si>
  <si>
    <t xml:space="preserve">GN-Behälter PP GN 1/3 H 150 mm (Schneider)</t>
  </si>
  <si>
    <t xml:space="preserve">1/3 PP 150 mm, transparent; PP container GN 1/3 x 150 mm; Bestell-Nr 979739, Schneider 530022, Materialtyp PP; 'Preis pro Stück, zzgl. MwSt'; UVP 9.36 EUR. Price shown excl. VAT (DE 19%). YES Gastro SKU GNPP-13150.</t>
  </si>
  <si>
    <t xml:space="preserve">https://www.intergastro.de/gn-behaelter-pp-gn-1-3-h-150-mm-979739</t>
  </si>
  <si>
    <t xml:space="preserve">versandfertig in ca. 4 Wochen</t>
  </si>
  <si>
    <t xml:space="preserve">Cambro Polypropylen GN 1/3 Gastronorm-Behälter 150mm</t>
  </si>
  <si>
    <t xml:space="preserve">1/3 PP 150 mm, transparent; Polypropylen GN 1/3 x 150 mm container (material and depth in product name), art. DW505; 'Zzgl. MwSt.'; reduced web price, 'BISHER' 5.59 EUR. Price shown excl. VAT (DE 19%); page read with a headless browser (prices rendered by JavaScript). YES Gastro SKU GNPP-13150.</t>
  </si>
  <si>
    <t xml:space="preserve">https://www.nisbets.de/cambro-polypropylen-gn-13-behlter-150mm/dw505</t>
  </si>
  <si>
    <t xml:space="preserve">Gastronádoba polypropylenová - GN 1/3, 5,7L, 150mm Hendi</t>
  </si>
  <si>
    <t xml:space="preserve">1/3 PP 150 mm, transparent; EXACT: Hendi PP container GN 1/3 150 mm, "materiál: průhledný polypropylen"; code 880210; page shows 198 Kč (s DPH) and "164 Kč bez DPH". Price shown incl. VAT (CZ 21%); VAT removed for the net price. YES Gastro SKU GNPP-13150.</t>
  </si>
  <si>
    <t xml:space="preserve">https://www.gastrofans.cz/gastronadoba-1-3-pp-transparent-5-7-l-325x176x-h-150-mm/</t>
  </si>
  <si>
    <t xml:space="preserve">Gastronádoba GN 1/3 150 mm, HACCP polypropylen | HENDI, 880265</t>
  </si>
  <si>
    <t xml:space="preserve">1/3 PP 150 mm, transparent; EXACT: Hendi PP container GN 1/3 150 mm, parameter "materiál: polypropylen"; code 880265; page shows "Cena bez DPH: 230 Kč" and "Cena s DPH: 278 Kč". Price shown excl. VAT (CZ 21%); page read with a headless browser (prices rendered by JavaScript). YES Gastro SKU GNPP-13150.</t>
  </si>
  <si>
    <t xml:space="preserve">https://www.gastromania.cz/gastronadoby-polypropylenove/gastronadoba-gn-1-3-150-mm-haccp-polypropylen-hendi-880265</t>
  </si>
  <si>
    <t xml:space="preserve">Gastronorm GN 1/3 (h=150 mm) polypropylenová</t>
  </si>
  <si>
    <t xml:space="preserve">1/3 PP 150 mm; EXACT: GN 1/3, h=150 mm, Materiál: polypropylen; cat. no. 3120126; page shows 122 CZK (s DPH) and "cena bez DPH: 101 CZK". Price shown incl. VAT (CZ 21%); VAT removed for the net price. YES Gastro SKU GNPP-13150.</t>
  </si>
  <si>
    <t xml:space="preserve">https://www.gastrosance.cz/gn-1/3--h-150-mm--polypropylenova</t>
  </si>
  <si>
    <t xml:space="preserve">Kontejner GN 1/3 HACCP, HENDI, GN 1/3, 5,7L, Průhledná, 325x176x(H)150mm</t>
  </si>
  <si>
    <t xml:space="preserve">1/3 PP 150 mm, transparent; EXACT: Hendi HACCP container GN 1/3 H 150 mm, page parameter "materiál: PP (polypropylén)"; Hendi code 880265; current (discounted) price 159.20 Kč incl., regular 164,46 Kč, shown "131,57 Kč" bez DPH. Price shown incl. VAT (CZ 21%); VAT removed for the net price. YES Gastro SKU GNPP-13150.</t>
  </si>
  <si>
    <t xml:space="preserve">https://www.promos-gastro.cz/gastro-profi-nadobi-nacini-nerez-hrnce-panvicky-talire-pribory/gastronadoby-nerezove-plne-derovane-smalt-plechy-na-peceni/gastronadoby-polypropylenove-polykarbonatove/haccp-zasobniky-plast-gn/59081-kontejner-gn-1-3-haccp-hendi-gn-1-3-57l-pruhledna-325x176xh150mm.html</t>
  </si>
  <si>
    <t xml:space="preserve">Gastronádoba polypropylenová GN 1/3 150 mm</t>
  </si>
  <si>
    <t xml:space="preserve">1/3 PP 150 mm, transparent; EXACT: name "polypropylenová" GN 1/3 150 mm, Cambro MP (polypropylene) series, code R-MP13150; page shows 169 Kč (incl.) and "140 Kč bez DPH". Price shown incl. VAT (CZ 21%); VAT removed for the net price. YES Gastro SKU GNPP-13150.</t>
  </si>
  <si>
    <t xml:space="preserve">https://www.tomgast.cz/gastronadoba-polypropylenova-gn-1-3-150-mm-2/</t>
  </si>
  <si>
    <t xml:space="preserve">Nádoba GN 1/3, HENDI, GN 1/3, 5,7L, Priehľadná, 325x176x(H)150mm Kód: 880265</t>
  </si>
  <si>
    <t xml:space="preserve">1/3 PP 150 mm, clear; material not in product name; HENDI HACCP 880 series: product page 880173 states "Materiály: PP (Polypropylén)"; price shown 6.55 € (net) / 8,06 € s DPH; code 880265 Price shown excl. VAT (SK 23%). YES Gastro SKU GNPP-13150.</t>
  </si>
  <si>
    <t xml:space="preserve">Cambro polypropylénová GN 1/3 nádoba 150mm</t>
  </si>
  <si>
    <t xml:space="preserve">1/3 PP 150 mm, clear (not stated); 'bez DPH' price shown; gross €7.85; code  Price shown excl. VAT (SK 23%). YES Gastro SKU GNPP-13150.</t>
  </si>
  <si>
    <t xml:space="preserve">Nádoba z polypropylénu, GN 1/3, 150 mm | STALGAST, Bufet</t>
  </si>
  <si>
    <t xml:space="preserve">1/3 PP 150 mm, clear (not stated); SKU STALGAST-163153; other offers on this shop for the same variant: CAMBRO 6.89 (in stock); STALGAST 8.55 (in stock); HENDI 9.30 (in stock); HENDI 11.00 (in stock) Price shown incl. VAT (SK 23%); VAT removed for the net price. YES Gastro SKU GNPP-13150.</t>
  </si>
  <si>
    <t xml:space="preserve">https://gastromania.sk/gastronadoby-polypropylenove/nadoba-z-polypropylenu-gn-1-3-150-mm-stalgast-bufet</t>
  </si>
  <si>
    <t xml:space="preserve">Pujadas Gastro nádoba GN 1/3 polyprepylen v=150 mm 176x325 mm</t>
  </si>
  <si>
    <t xml:space="preserve">1/3 PP 150 mm, clear (not stated); listing shows gross 9,10 €; 'bez DPH' net 7.40 EUR on product page; SKU 227705095 Price shown incl. VAT (SK 23%); VAT removed for the net price. YES Gastro SKU GNPP-13150.</t>
  </si>
  <si>
    <t xml:space="preserve">https://www.gastrozone.sk/pujadas-gastro-nadoba-gn-1-3-polyprepylen-v-150-mm-176x325-mm.html</t>
  </si>
  <si>
    <t xml:space="preserve">Gastronádoba polypropylénová GN 1/3 - hloubka 15 cm</t>
  </si>
  <si>
    <t xml:space="preserve">1/3 PP 150 mm, clear (not stated); 'bez DPH' price shown; gross 5.4 EUR; other offers on this shop for the same variant: not stated (shop own line) 5.35 (in stock); HENDI 7.29 (in stock); HENDI 4.92 (in stock) Price shown excl. VAT (SK 23%). YES Gastro SKU GNPP-13150.</t>
  </si>
  <si>
    <t xml:space="preserve">Vascheta GN 1/3 polipropilena Bufet Safe, 7,3 litri, H 200 mm</t>
  </si>
  <si>
    <t xml:space="preserve">1/3 PP 200 mm, white; EXACT: Stalgast "Bufet Safe" PP container, size/depth in name, page spec "Constructie: polipropilena". Shown "27.61 lei fără TVA (33.41 lei cu TVA)". Price shown excl. VAT (RO 21%). YES Gastro SKU GNPP-13200.</t>
  </si>
  <si>
    <t xml:space="preserve">https://direca.ro/shop/vascheta-gn-1-3-polipropilena-bufet-safe-73-litri-h-200-mm/</t>
  </si>
  <si>
    <t xml:space="preserve">Recipient GN APS din polipropilena, GN 1/3, capacitate: 7,00 litri, adancime: 200 mm</t>
  </si>
  <si>
    <t xml:space="preserve">1/3 PP 200 mm, white; EXACT: APS polypropylene GN container, size/depth/material in name. SKU 227776578. Listing price is gross; product page shows gross and "fără TVA" net below it. Price shown incl. VAT (RO 21%); VAT removed for the net price. YES Gastro SKU GNPP-13200.</t>
  </si>
  <si>
    <t xml:space="preserve">https://www.gastrozone.ro/recipient-aps-gn-polipropilen-gn-1-3-capacitate-7-00-litri-adancime-200-mm.html</t>
  </si>
  <si>
    <t xml:space="preserve">Recipient GN 1/3 adâncime 20 cm Profi Line din polipropilenă | HENDI 880203</t>
  </si>
  <si>
    <t xml:space="preserve">1/3 PP 200 mm, white; EXACT: size, depth and material (polipropilena) in product name. Listing shows "Pret net 31.14 RON" and "Pret brut 37.68 RON/buc". Price shown excl. VAT (RO 21%). YES Gastro SKU GNPP-13200.</t>
  </si>
  <si>
    <t xml:space="preserve">https://mmgastro.ro/ro/products/recipient-gn-1-3-adancime-20-cm-profi-line-din-polipropilena-hendi-880203-130514</t>
  </si>
  <si>
    <t xml:space="preserve">Recipientă GN 1/3 din polipropilenă, 20 cm | APS 82123</t>
  </si>
  <si>
    <t xml:space="preserve">1/3 PP 200 mm, white; EXACT: size, depth and material (polipropilena) in product name. Listing shows "Pret net 36.88 RON" and "Pret brut 44.63 RON/buc". Price shown excl. VAT (RO 21%). YES Gastro SKU GNPP-13200.</t>
  </si>
  <si>
    <t xml:space="preserve">https://mmgastro.ro/ro/products/recipienta-gn-1-3-din-polipropilena-20-cm-aps-82123-162389</t>
  </si>
  <si>
    <t xml:space="preserve">Recipient GN 1/3 adâncime 20 cm din polipropilenă HACCP | HENDI 880258</t>
  </si>
  <si>
    <t xml:space="preserve">1/3 PP 200 mm, white; EXACT: size, depth and material (polipropilena) in product name. Listing shows "Pret net 36.00 RON" and "Pret brut 43.56 RON/buc". Price shown excl. VAT (RO 21%). YES Gastro SKU GNPP-13200.</t>
  </si>
  <si>
    <t xml:space="preserve">https://mmgastro.ro/ro/products/recipient-gn-1-3-adancime-20-cm-din-polipropilena-haccp-hendi-880258-140467</t>
  </si>
  <si>
    <t xml:space="preserve">Hendi HACCP Aufbewahrungsbehälter GN 1/3, 200 mm</t>
  </si>
  <si>
    <t xml:space="preserve">1/3 PP 200 mm; EXACT: Hendi HACCP container, bullet 'Polypropylen, BPA frei' on listing/product page; price from category listing 'Zutaten- und Lagerbehälter'; Steuerhinweis 'exkl. MwSt. zzgl. Versandkosten'. Price shown excl. VAT (AT 20%). YES Gastro SKU GNPP-13200.</t>
  </si>
  <si>
    <t xml:space="preserve">https://www.allpax.at/product_info.php/info/Hendi-HACCP-Aufbewahrungsbehaelter-GN-1-3-200-mm.html</t>
  </si>
  <si>
    <t xml:space="preserve">Polypropylen Behälter GN 1/3 – 325x176x200mm</t>
  </si>
  <si>
    <t xml:space="preserve">1/3 PP 200 mm; EXACT: PP in product name and category 'Polypropylen - GN - Behälter', brand HENDI; page shows net price with '(€ x inkl. MwSt.) Zzgl. 20% MwSt.'; listing price. Price shown excl. VAT (AT 20%). YES Gastro SKU GNPP-13200.</t>
  </si>
  <si>
    <t xml:space="preserve">https://www.gastro-star.at/produkt/polypropylenbehaeltergn13-325x176x200mm/</t>
  </si>
  <si>
    <t xml:space="preserve">GN-BEHÄLTER POLYPROPYLEN 1/3 200 tief</t>
  </si>
  <si>
    <t xml:space="preserve">1/3 PP 200 mm; EXACT: PP stated in product name and category 'GN Behälter Polypropylen'; Art.-Nr. 880 203; footer 'Alle Preise excl. 20% MwSt.'; price from category listing. Price shown excl. VAT (AT 20%). YES Gastro SKU GNPP-13200.</t>
  </si>
  <si>
    <t xml:space="preserve">https://www.gastrozimml.at/produkt/gn-behalter-polypropylen-13-200-tief/</t>
  </si>
  <si>
    <t xml:space="preserve">Hendi Gastronorm-Behälter 1/3, GN 1/3, 7, 8L, Transparent, 325x176x(H)200mm – Polypropylen</t>
  </si>
  <si>
    <t xml:space="preserve">1/3 PP 200 mm, transparent; EXACT: '– Polypropylen' in product name; Hendi art. 880258; listing price 'zzgl. 19% MwSt., zzgl. Versandkosten' (German shop, 19% VAT). Price shown excl. VAT (AT 20%). YES Gastro SKU GNPP-13200.</t>
  </si>
  <si>
    <t xml:space="preserve">https://www.gastrodax.de/hendi-haccp-aufbewahrungsbehaelter-gn-1-3-7-8-l-transparent-325-x-176-x-h-200-mm</t>
  </si>
  <si>
    <t xml:space="preserve">Gastronormbehälter GN 1/3 x 200 mm GN 84 Polypropylen transparent</t>
  </si>
  <si>
    <t xml:space="preserve">1/3 PP 200 mm, transparent; EXACT: 'GN 84 Polypropylen' in product name, spec 'Materialtyp: Polypropylen'; WAS Germany Bestell-Nr. 252428; 1-piece net price ('Preis pro Stück, zzgl. MwSt'), quantity tiers ab 3/6/12/24 pcs cheaper (down to ca. -20%); UVP 7.50 €; alternative WAS GN 89 series same size/depth: 7.48 € (Bestell-Nr. 252565). Price shown excl. VAT (AT 20%); page read with a headless browser (prices rendered by JavaScript). YES Gastro SKU GNPP-13200.</t>
  </si>
  <si>
    <t xml:space="preserve">https://www.intergastro.at/gastronormbehaelter-gn-1-3-x-200-mm-gn-84-polypropylen-transparent-252428</t>
  </si>
  <si>
    <t xml:space="preserve">GN-Behälter - BPA frei - Serie 84 - Inhalt 7,1 l - GN 1/3 (325 x 176 mm) - 200 mm - Polypropylen - premium Qualität</t>
  </si>
  <si>
    <t xml:space="preserve">1/3 PP 200 mm, transparent; EXACT: material 'Polypropylen' in product name; cheapest PP series for this size at this shop, Art.-Nr. 8413200-A; sale price, regular price 7,50 €; 'Preise zzgl. MwSt. zzgl. Versandkosten'. Other PP series same size/depth: 82123-B 5.80€; 8913200-A 6.30€; 530023-C 6.70€. Price shown excl. VAT (AT 20%). YES Gastro SKU GNPP-13200.</t>
  </si>
  <si>
    <t xml:space="preserve">https://shopbuero.com/gn-behaelter-bpa-frei-serie-84-inhalt-7-1-l-gn-1-3-325-x-176-mm-200-mm-polypropylen-premium-qualitaet/8413200-A</t>
  </si>
  <si>
    <t xml:space="preserve">1/3 PP 200 mm, transparent; Hendi HACCP storage container, material 'Polypropylen, BPA frei' stated on page, GN 1/3 x 200 mm (lid sold separately), art. 10017304; 'zzgl. MwSt.'. Price shown excl. VAT (DE 19%). YES Gastro SKU GNPP-13200.</t>
  </si>
  <si>
    <t xml:space="preserve">https://www.allpax.de/product_info.php/info/Hendi-HACCP-Aufbewahrungsbehaelter-GN-1-3-200-mm.html</t>
  </si>
  <si>
    <t xml:space="preserve">(6 Stück) CAMBRO | Polypropylen-Behälter GN 1/3 - Milchig - Höhe: 200mm</t>
  </si>
  <si>
    <t xml:space="preserve">1/3 PP 200 mm, milchig/transparent; Polypropylen container GN 1/3 x 200 mm sold as pack of 6; price per pack, '* Nettopreis | Bruttopreis inkl. 19% MwSt.' shown; UVP 60.60 EUR; art. 38PP190 (Cambro 38PP190). Price shown excl. VAT (DE 19%); pack of 6, converted to per piece; page read with a headless browser (prices rendered by JavaScript). YES Gastro SKU GNPP-13200.</t>
  </si>
  <si>
    <t xml:space="preserve">https://www.ggmgastro.com/de-de-eur/6-stueck-cambro-polypropylen-behaelter-gn-1-3-milchig-hoehe-200mm-38pp190</t>
  </si>
  <si>
    <t xml:space="preserve">Sofort lieferbar: 3 - 5 Werktage</t>
  </si>
  <si>
    <t xml:space="preserve">GN Behälter mit Skalierung, GN 1/3 - 200 mm, transparent, Polypropylen, GN 84 Serie</t>
  </si>
  <si>
    <t xml:space="preserve">1/3 PP 200 mm, transparent; PP stated on page, GN 1/3 x 200 mm, art. 8413200; net price shown 5.43 EUR, gross incl. 19% USt 6.46 EUR, UVP 8.93 EUR (gross). Price shown excl. VAT (DE 19%). YES Gastro SKU GNPP-13200.</t>
  </si>
  <si>
    <t xml:space="preserve">https://gastro-spirit.de/behaelter-mit-skalierung-gn-1-3-serie-gn-84-8413200</t>
  </si>
  <si>
    <t xml:space="preserve">Cambro Safetrak IML Polypropylen-Lebensmittelbehälter 1/3GN 200mm</t>
  </si>
  <si>
    <t xml:space="preserve">1/3 PP 200 mm, transparent; Polypropylen GN 1/3 x 200 mm container (material and depth in product name), art. JN511; 'Zzgl. MwSt.'; Cambro SafeTrak bare container; reduced web price, 'BISHER' 10.78 EUR. Price shown excl. VAT (DE 19%); page read with a headless browser (prices rendered by JavaScript). YES Gastro SKU GNPP-13200.</t>
  </si>
  <si>
    <t xml:space="preserve">https://www.nisbets.de/cambro-safetrak-iml-polypropylen-lebensmittelbehlter-13gn-200mm/jn511</t>
  </si>
  <si>
    <t xml:space="preserve">Gastronádoba polypropylenová - GN 1/3, 7,8L, 200mm Hendi</t>
  </si>
  <si>
    <t xml:space="preserve">1/3 PP 200 mm, transparent; EXACT: Hendi PP container GN 1/3 200 mm, "materiál: průhledný polypropylen"; code 880203; page shows 232 Kč (s DPH) and "192 Kč bez DPH". Price shown incl. VAT (CZ 21%); VAT removed for the net price. YES Gastro SKU GNPP-13200.</t>
  </si>
  <si>
    <t xml:space="preserve">https://www.gastrofans.cz/gastronadoba-1-3-pp-transparent-7-8-l-325x176x-h-200-mm/</t>
  </si>
  <si>
    <t xml:space="preserve">Gastronádoba GN 1/3 200 mm, HACCP polypropylen | HENDI, 880258</t>
  </si>
  <si>
    <t xml:space="preserve">1/3 PP 200 mm, transparent; EXACT: Hendi PP container GN 1/3 200 mm, parameter "materiál: polypropylen"; code 880258; page shows "Cena bez DPH: 267 Kč" and "Cena s DPH: 323 Kč". Price shown excl. VAT (CZ 21%); page read with a headless browser (prices rendered by JavaScript). YES Gastro SKU GNPP-13200.</t>
  </si>
  <si>
    <t xml:space="preserve">https://www.gastromania.cz/gastronadoby-polypropylenove/gastronadoba-gn-1-3-200-mm-haccp-polypropylen-hendi-880258</t>
  </si>
  <si>
    <t xml:space="preserve">APS GN-nádoba Polypropylen, GN 1/3, Obsah: 7,00 litrů, Hloubka: 200 mm</t>
  </si>
  <si>
    <t xml:space="preserve">1/3 PP 200 mm, milky (opaque); EXACT: APS PP container GN 1/3 200 mm, parameter "Materiál: Polypropylen"; code 227776578; page shows 270 Kč incl. and "223 Kč bez DPH". Price shown excl. VAT (CZ 21%). YES Gastro SKU GNPP-13200.</t>
  </si>
  <si>
    <t xml:space="preserve">https://www.gastrozone.cz/aps-gn-nadoba-z-polypropylenu-gn-1-3-objem-7-00-litru-hloubka-200-mm.html</t>
  </si>
  <si>
    <t xml:space="preserve">Gastronorm GN 1/3 (h=200 mm) polypropylenová</t>
  </si>
  <si>
    <t xml:space="preserve">1/3 PP 200 mm; EXACT: GN 1/3, h=200 mm, Materiál: polypropylen; cat. no. 3120127; page shows 133 CZK (s DPH) and "cena bez DPH: 110 CZK". Price shown incl. VAT (CZ 21%); VAT removed for the net price. YES Gastro SKU GNPP-13200.</t>
  </si>
  <si>
    <t xml:space="preserve">https://www.gastrosance.cz/gn-1/3--h-200-mm--polypropylenova</t>
  </si>
  <si>
    <t xml:space="preserve">Gastronádoba polypropylenová GN 1/3 200 mm</t>
  </si>
  <si>
    <t xml:space="preserve">1/3 PP 200 mm, transparent; EXACT: name "polypropylenová" GN 1/3 200 mm, Cambro MP (polypropylene) series, code R-MP13200; page shows 255 Kč (incl.) and "211 Kč bez DPH". Price shown incl. VAT (CZ 21%); VAT removed for the net price. YES Gastro SKU GNPP-13200.</t>
  </si>
  <si>
    <t xml:space="preserve">https://www.tomgast.cz/gastronadoba-polypropylenova-gn-1-3-200-mm-2/</t>
  </si>
  <si>
    <t xml:space="preserve">Nádoba GN 1/3, HENDI, GN 1/3, 7,8L, Priehľadná, 325x176x(H)200mm Kód: 880258</t>
  </si>
  <si>
    <t xml:space="preserve">1/3 PP 200 mm, clear; material not in product name; HENDI HACCP 880 series: product page 880173 states "Materiály: PP (Polypropylén)"; price shown 7.70 € (net) / 9,47 € s DPH; code 880258 Price shown excl. VAT (SK 23%). YES Gastro SKU GNPP-13200.</t>
  </si>
  <si>
    <t xml:space="preserve">Polypropylénová nádoba, GN 1/3, 200 mm | STALGAST, Bufet</t>
  </si>
  <si>
    <t xml:space="preserve">1/3 PP 200 mm, clear (not stated); SKU STALGAST-163203; other offers on this shop for the same variant: STALGAST 7.92 (in stock); STALGAST 9.84 (in stock); CAMBRO 10.38 (in stock); HENDI 11.00 (in stock) Price shown incl. VAT (SK 23%); VAT removed for the net price. YES Gastro SKU GNPP-13200.</t>
  </si>
  <si>
    <t xml:space="preserve">https://gastromania.sk/gastronadoby-polypropylenove/polypropylenova-nadoba-gn-1-3-200-mm-stalgast-bufet</t>
  </si>
  <si>
    <t xml:space="preserve">Pujadas Gastro nádoba GN 1/3 polyprepylen v=200 mm 176x325 mm</t>
  </si>
  <si>
    <t xml:space="preserve">1/3 PP 200 mm, clear (not stated); listing shows gross 11,54 €; 'bez DPH' net 9.38 EUR on product page; SKU 227705096; other offers on this shop for the same variant: APS 10.84 (Na objednávku (3-5 t) Price shown incl. VAT (SK 23%); VAT removed for the net price. YES Gastro SKU GNPP-13200.</t>
  </si>
  <si>
    <t xml:space="preserve">https://www.gastrozone.sk/pujadas-gastro-nadoba-gn-1-3-polyprepylen-v-200-mm-176x325-mm.html</t>
  </si>
  <si>
    <t xml:space="preserve">GN-Gastronádoby, polypropylénové, GN 1/3 (325 x 176 mm) 200 mm</t>
  </si>
  <si>
    <t xml:space="preserve">1/3 PP 200 mm, clear (not stated); listing price incl. VAT (product page of PP lid 1/4 shows 2,60 € s DPH / 2,11 € bez DPH) Price shown incl. VAT (SK 23%); VAT removed for the net price. YES Gastro SKU GNPP-13200.</t>
  </si>
  <si>
    <t xml:space="preserve">Gastronádoba polypropylénová GN 1/3 - hloubka 20 cm</t>
  </si>
  <si>
    <t xml:space="preserve">1/3 PP 200 mm, clear (not stated); 'bez DPH' price shown; gross 6.19 EUR; other offers on this shop for the same variant: not stated (shop own line) 8.07 (in stock); HENDI 5.81 (in stock) Price shown excl. VAT (SK 23%). YES Gastro SKU GNPP-13200.</t>
  </si>
  <si>
    <t xml:space="preserve">Vascheta GN 1/4 polipropilena Bufet Safe, 1,7 litri, H 65 mm</t>
  </si>
  <si>
    <t xml:space="preserve">1/4 PP 65 mm, white; EXACT: Stalgast "Bufet Safe" PP container, size/depth in name, page spec "Constructie: polipropilena". Shown "10.59 lei fără TVA (12.81 lei cu TVA)". Price shown excl. VAT (RO 21%). YES Gastro SKU GNPP-1465.</t>
  </si>
  <si>
    <t xml:space="preserve">https://direca.ro/shop/vascheta-gn-1-4-polipropilena-bufet-safe-17-litri-h-65-mm/</t>
  </si>
  <si>
    <t xml:space="preserve">recipient gastro GN 1/4 265x162 mm polipropilena h=65 mm Pujadas</t>
  </si>
  <si>
    <t xml:space="preserve">1/4 PP 65 mm, white; EXACT: Pujadas polypropylene GN container, size/depth/material in name. SKU 227705325. Listing price is gross; product page shows gross and "fără TVA" net below it. Price shown incl. VAT (RO 21%); VAT removed for the net price. YES Gastro SKU GNPP-1465.</t>
  </si>
  <si>
    <t xml:space="preserve">https://www.gastrozone.ro/pujadas-recipient-gastro-gn-1-4-265x162-mm-polipropilena-h-65-mm.html</t>
  </si>
  <si>
    <t xml:space="preserve">Recipientă GN 1/4 din polipropilenă, 6.5 cm | APS 82128</t>
  </si>
  <si>
    <t xml:space="preserve">1/4 PP 65 mm, white; EXACT: size, depth and material (polipropilena) in product name. Listing shows "Pret net 17.73 RON" and "Pret brut 21.45 RON/buc". Price shown excl. VAT (RO 21%). YES Gastro SKU GNPP-1465.</t>
  </si>
  <si>
    <t xml:space="preserve">https://mmgastro.ro/ro/products/recipienta-gn-1-4-din-polipropilena-6-5-cm-aps-82128-162390</t>
  </si>
  <si>
    <t xml:space="preserve">Recipient GN 1/4 ad. 6,5 cm din polipropilenă HACCP | HENDI 880388</t>
  </si>
  <si>
    <t xml:space="preserve">1/4 PP 65 mm, white; EXACT: size, depth and material (polipropilena) in product name. Listing shows "Pret net 18.50 RON" and "Pret brut 22.38 RON/buc". Price shown excl. VAT (RO 21%). YES Gastro SKU GNPP-1465.</t>
  </si>
  <si>
    <t xml:space="preserve">https://mmgastro.ro/ro/products/recipient-gn-1-4-ad-6-5-cm-din-polipropilena-haccp-hendi-880388-136801</t>
  </si>
  <si>
    <t xml:space="preserve">Recipient GN 1/4 adâncime 6,5 cm din polipropilenă | HENDI 873182</t>
  </si>
  <si>
    <t xml:space="preserve">1/4 PP 65 mm, white; EXACT: size, depth and material (polipropilena) in product name. Listing shows "Pret net 26.27 RON" and "Pret brut 31.79 RON/buc". Price shown excl. VAT (RO 21%). YES Gastro SKU GNPP-1465.</t>
  </si>
  <si>
    <t xml:space="preserve">https://mmgastro.ro/ro/products/recipient-gn-1-4-adancime-6-5-cm-din-polipropilena-hendi-873182-159076</t>
  </si>
  <si>
    <t xml:space="preserve">Hendi GN-Behälter mit Deckel und HACCP-Clips, GN 1/4, 65 mm, 1,8 L, PP</t>
  </si>
  <si>
    <t xml:space="preserve">1/4 PP 65 mm, transparent; CLOSE: Hendi PP container sold with lid and HACCP clips (no bare PP container of this size/depth at this shop); 'Material: Polypropylen (PP)'; net price, page adds 'inkl. MwSt.' price at +19%; Hendi art. 873182. Price shown excl. VAT (AT 20%). YES Gastro SKU GNPP-1465.</t>
  </si>
  <si>
    <t xml:space="preserve">https://www.gastro-hero.at/products/hendi-gn-behaelter-mit-deckel-und-haccp-clips-gn-14-65-mm-18-l-pp-873182</t>
  </si>
  <si>
    <t xml:space="preserve">Hendi Gastronorm-Behälter 1/4, GN 1/4, 8L, Transparent, 265x162x(H)65mm</t>
  </si>
  <si>
    <t xml:space="preserve">1/4 PP 65 mm, transparent; EXACT: material not in the name but the item sits in the shop category 'GN Behälter PolyPropylen' (structured data) and belongs to Hendi's 880xxx PP container series; Hendi art. 880388; listing price 'zzgl. 19% MwSt., zzgl. Versandkosten' (German shop, 19% VAT). Price shown excl. VAT (AT 20%). YES Gastro SKU GNPP-1465.</t>
  </si>
  <si>
    <t xml:space="preserve">https://www.gastrodax.de/hendi-haccp-aufbewahrungsbehaelter-gn-1-4-1-8-l-transparent-265-x-162-x-h-65-mm</t>
  </si>
  <si>
    <t xml:space="preserve">Gastronormbehälter GN 1/4 x 65 mm GN 89 Kunststoff transparent</t>
  </si>
  <si>
    <t xml:space="preserve">1/4 PP 65 mm, transparent; EXACT: name says 'GN 89 Kunststoff' but product spec states 'Materialtyp: Polypropylen' (WAS Serie 89 PP); WAS Germany Bestell-Nr. 252568; 1-piece net price ('Preis pro Stück, zzgl. MwSt'), quantity tiers ab 3/6/12/24 pcs cheaper (down to ca. -20%); UVP 4.70 €. Price shown excl. VAT (AT 20%); page read with a headless browser (prices rendered by JavaScript). YES Gastro SKU GNPP-1465.</t>
  </si>
  <si>
    <t xml:space="preserve">https://www.intergastro.at/gastronormbehaelter-gn-1-4-x-65-mm-gn-89-kunststoff-transparent-252568</t>
  </si>
  <si>
    <t xml:space="preserve">GN-Behälter - milchig-transparent - Inhalt 1,7 l - GN 1/4 - 265 x 162 mm - 65 mm - Polypropylen</t>
  </si>
  <si>
    <t xml:space="preserve">1/4 PP 65 mm, milky transparent; EXACT: material 'Polypropylen' in product name; cheapest PP series for this size at this shop, Art.-Nr. 82128-B; sale price, regular price 3,80 €; 'Preise zzgl. MwSt. zzgl. Versandkosten'. Other PP series same size/depth: 8914065-A 3.30€; 530030-C 3.40€. Price shown excl. VAT (AT 20%). YES Gastro SKU GNPP-1465.</t>
  </si>
  <si>
    <t xml:space="preserve">https://shopbuero.com/gn-behaelter-milchig-transparent-inhalt-1-7-l-gn-1-4-265-x-162-mm-65-mm-polypropylen/82128-B</t>
  </si>
  <si>
    <t xml:space="preserve">GN Behälter 1/4, 65 mm aus Kunststoff</t>
  </si>
  <si>
    <t xml:space="preserve">1/4 PP 65 mm, transparent; Unbranded 'GN Behälter 1/4, 65 mm aus Kunststoff'; attribute 'Material: Polypropylen' on page, so EXACT; art. 10021632; 'zzgl. MwSt.' Price shown excl. VAT (DE 19%). YES Gastro SKU GNPP-1465.</t>
  </si>
  <si>
    <t xml:space="preserve">https://www.allpax.de/product_info.php/info/GN-Behaelter-1-4-65-mm-aus-Kunststoff.html</t>
  </si>
  <si>
    <t xml:space="preserve">(6 Stück) CAMBRO | Polypropylen-Behälter GN 1/4 - Milchig - Höhe: 65mm</t>
  </si>
  <si>
    <t xml:space="preserve">1/4 PP 65 mm, milchig/transparent; Polypropylen container GN 1/4 x 65 mm sold as pack of 6; price per pack, '* Nettopreis | Bruttopreis inkl. 19% MwSt.' shown; UVP 28.80 EUR; art. 42PP190. Price shown excl. VAT (DE 19%); pack of 6, converted to per piece; page read with a headless browser (prices rendered by JavaScript). YES Gastro SKU GNPP-1465.</t>
  </si>
  <si>
    <t xml:space="preserve">https://www.ggmgastro.com/de-de-eur/6-stueck-cambro-polypropylen-behaelter-gn-1-4-milchig-hoehe-65mm-42pp190</t>
  </si>
  <si>
    <t xml:space="preserve">GN Behälter mit Skalierung, GN 1/4 - 65 mm, weiß, Polypropylen, GN 89 Serie</t>
  </si>
  <si>
    <t xml:space="preserve">1/4 PP 65 mm, weiß; PP stated on page, GN 1/4 x 65 mm, art. 8914065; net price shown 3.40 EUR, gross incl. 19% USt 4.05 EUR, UVP 5.59 EUR (gross). Price shown excl. VAT (DE 19%). YES Gastro SKU GNPP-1465.</t>
  </si>
  <si>
    <t xml:space="preserve">https://gastro-spirit.de/behaelter-mit-skalierung-gn-1-4-serie-gn-89-8914065</t>
  </si>
  <si>
    <t xml:space="preserve">1/4 PP 65 mm, transparent; Right size/depth and PP, but sold bundled with lid and HACCP clips (CLOSE); Hendi art. 873182; no bare Schneider PP container in this size at GastroHero; net, 'zzgl. MwSt.'. Price shown excl. VAT (DE 19%). YES Gastro SKU GNPP-1465.</t>
  </si>
  <si>
    <t xml:space="preserve">https://www.gastro-hero.de/products/hendi-gn-behaelter-mit-deckel-und-haccp-clips-gn-14-65-mm-18-l-pp-873182</t>
  </si>
  <si>
    <t xml:space="preserve">1/4 PP 65 mm, transparent; PP container GN 1/4 x 65 mm; title says Kunststoff but spec "Materialtyp: Polypropylen" on page; Bestell-Nr 252568, Hersteller-Nr 8914065; 'Preis pro Stück, zzgl. MwSt'; UVP 4.70 EUR; Staffelpreise ab 3: 3.61, ab 24: 3.10. Price shown excl. VAT (DE 19%). YES Gastro SKU GNPP-1465.</t>
  </si>
  <si>
    <t xml:space="preserve">https://www.intergastro.de/gastronormbehaelter-gn-1-4-x-65-mm-gn-89-kunststoff-transparent-252568</t>
  </si>
  <si>
    <t xml:space="preserve">Cambro Safetrak IML Polypropylen-Lebensmittelbehälter 1/4 GN 65mm</t>
  </si>
  <si>
    <t xml:space="preserve">1/4 PP 65 mm, transparent; Polypropylen GN 1/4 x 65 mm container (material and depth in product name), art. JN512; 'Zzgl. MwSt.'; Cambro SafeTrak bare container; reduced web price, 'BISHER' 4.78 EUR. Price shown excl. VAT (DE 19%); page read with a headless browser (prices rendered by JavaScript). YES Gastro SKU GNPP-1465.</t>
  </si>
  <si>
    <t xml:space="preserve">https://www.nisbets.de/cambro-safetrak-iml-polypropylen-lebensmittelbehlter-14-gn-65mm/jn512</t>
  </si>
  <si>
    <t xml:space="preserve">Gastronádoba GN 1/4 - hloubka 65 mm - polypropylen</t>
  </si>
  <si>
    <t xml:space="preserve">1/4 PP 65 mm, white; EXACT: REDfox GNPP-1/4-65 white PP container, "Materiál: Polypropylen", 265x162x65 mm; code 00012444; page shows 108 Kč (s DPH) and "89 Kč bez DPH". Price shown incl. VAT (CZ 21%); VAT removed for the net price. YES Gastro SKU GNPP-1465.</t>
  </si>
  <si>
    <t xml:space="preserve">https://www.gastrofans.cz/gastronadoba-gn-1-4-65-polypropylenova-redfox-gnpp-1-4-65/</t>
  </si>
  <si>
    <t xml:space="preserve">REDfox</t>
  </si>
  <si>
    <t xml:space="preserve">Skladem u dodavatele (5) - REDfox</t>
  </si>
  <si>
    <t xml:space="preserve">Gastronádoba GN 1/4 65 mm, HACCP polypropylen | HENDI, 880388</t>
  </si>
  <si>
    <t xml:space="preserve">1/4 PP 65 mm, transparent; EXACT: Hendi PP container GN 1/4 65 mm, parameter "materiál: polypropylen"; code 880388; page shows "Cena bez DPH: 149 Kč" and "Cena s DPH: 180 Kč". Price shown excl. VAT (CZ 21%); page read with a headless browser (prices rendered by JavaScript). YES Gastro SKU GNPP-1465.</t>
  </si>
  <si>
    <t xml:space="preserve">https://www.gastromania.cz/gastronadoby-polypropylenove/gastronadoba-gn-1-4-65-mm-haccp-polypropylen-hendi-880388</t>
  </si>
  <si>
    <t xml:space="preserve">Gastronorm GN 1/4 (h=65 mm) polypropylenová</t>
  </si>
  <si>
    <t xml:space="preserve">1/4 PP 65 mm; EXACT: GN 1/4, h=65 mm, Materiál: polypropylen; cat. no. 3120134; page shows 64 CZK (s DPH) and "cena bez DPH: 53 CZK". Price shown incl. VAT (CZ 21%); VAT removed for the net price. YES Gastro SKU GNPP-1465.</t>
  </si>
  <si>
    <t xml:space="preserve">https://www.gastrosance.cz/gn-1/4--h-65-mm--polypropylenova</t>
  </si>
  <si>
    <t xml:space="preserve">Kontejner GN 1/4 HACCP, HENDI, GN 1/4, 1,8L, Průhledná, 265x162x(H)65mm</t>
  </si>
  <si>
    <t xml:space="preserve">1/4 PP 65 mm, transparent; EXACT: Hendi HACCP container GN 1/4 H 65 mm, page parameter "materiál: PP (polypropylén)"; Hendi code 880388; current (discounted) price 96.80 Kč incl., regular 100,00 Kč, shown "80,00 Kč" bez DPH. Price shown incl. VAT (CZ 21%); VAT removed for the net price. YES Gastro SKU GNPP-1465.</t>
  </si>
  <si>
    <t xml:space="preserve">https://www.promos-gastro.cz/gastro-profi-nadobi-nacini-nerez-hrnce-panvicky-talire-pribory/gastronadoby-nerezove-plne-derovane-smalt-plechy-na-peceni/gastronadoby-polypropylenove-polykarbonatove/haccp-zasobniky-plast-gn/59078-kontejner-gn-1-4-haccp-hendi-gn-1-4-18l-pruhledna-265x162xh65mm.html</t>
  </si>
  <si>
    <t xml:space="preserve">Gastronádoba polypropylenová GN 1/4 65 mm</t>
  </si>
  <si>
    <t xml:space="preserve">1/4 PP 65 mm, transparent; EXACT: name "polypropylenová" GN 1/4 65 mm, Cambro MP (polypropylene) series, code R-MP14065; page shows 105 Kč (incl.) and "87 Kč bez DPH". Price shown incl. VAT (CZ 21%); VAT removed for the net price. YES Gastro SKU GNPP-1465.</t>
  </si>
  <si>
    <t xml:space="preserve">https://www.tomgast.cz/gastronadoba-polypropylenova-gn-1-4-65-mm/</t>
  </si>
  <si>
    <t xml:space="preserve">Nádoba GN 1/4, HENDI, GN 1/4, 1,8L, Priehľadná, 265x162x(H)65mm Kód: 880388</t>
  </si>
  <si>
    <t xml:space="preserve">1/4 PP 65 mm, clear; material not in product name; HENDI HACCP 880 series: product page 880173 states "Materiály: PP (Polypropylén)"; price shown 4.00 € (net) / 4,92 € s DPH; code 880388 Price shown excl. VAT (SK 23%). YES Gastro SKU GNPP-1465.</t>
  </si>
  <si>
    <t xml:space="preserve">Polypropylénová nádoba, GN 1/4, 65 mm | STALGAST, Bufet</t>
  </si>
  <si>
    <t xml:space="preserve">1/4 PP 65 mm, clear (not stated); SKU STALGAST-164063; other offers on this shop for the same variant: STALGAST 3.29 (in stock); STALGAST 4.24 (in stock); CAMBRO 4.28 (in stock); HENDI 7.12 (in stock) Price shown incl. VAT (SK 23%); VAT removed for the net price. YES Gastro SKU GNPP-1465.</t>
  </si>
  <si>
    <t xml:space="preserve">https://gastromania.sk/gastronadoby-polypropylenove/polypropylenova-nadoba-gn-1-4-65-mm-stalgast-bufet</t>
  </si>
  <si>
    <t xml:space="preserve">Pujadas gastro nádoba GN 1/4 265x162 mm polypropylen v=65 mm</t>
  </si>
  <si>
    <t xml:space="preserve">1/4 PP 65 mm, clear (not stated); listing shows gross 6,10 €; 'bez DPH' net 4.96 EUR on product page; SKU 227705325 Price shown incl. VAT (SK 23%); VAT removed for the net price. YES Gastro SKU GNPP-1465.</t>
  </si>
  <si>
    <t xml:space="preserve">https://www.gastrozone.sk/pujadas-gastro-nadoba-gn-1-4-265x162-mm-polypropylen-v-65-mm.html</t>
  </si>
  <si>
    <t xml:space="preserve">GN-Gastronádoby, polypropylénové, GN 1/4 (265 x 162 mm) 65 mm</t>
  </si>
  <si>
    <t xml:space="preserve">1/4 PP 65 mm, clear (not stated); listing price incl. VAT (product page of PP lid 1/4 shows 2,60 € s DPH / 2,11 € bez DPH) Price shown incl. VAT (SK 23%); VAT removed for the net price. YES Gastro SKU GNPP-1465.</t>
  </si>
  <si>
    <t xml:space="preserve">Gastronádoba polypropylénová GN 1/4 065 mm</t>
  </si>
  <si>
    <t xml:space="preserve">1/4 PP 65 mm, clear (not stated); 'bez DPH' price shown; gross 3.83 EUR; other offers on this shop for the same variant: not stated (shop own line) 3.57 (in stock); HENDI 4.92 (in stock) Price shown excl. VAT (SK 23%). YES Gastro SKU GNPP-1465.</t>
  </si>
  <si>
    <t xml:space="preserve">Vascheta GN 1/4 polipropilena Bufet Safe, 2,8 litri, H 100 mm</t>
  </si>
  <si>
    <t xml:space="preserve">1/4 PP 100 mm, white; EXACT: Stalgast "Bufet Safe" PP container, size/depth in name, page spec "Constructie: polipropilena". Shown "12.84 lei fără TVA (15.54 lei cu TVA)". Price shown excl. VAT (RO 21%). YES Gastro SKU GNPP-14100.</t>
  </si>
  <si>
    <t xml:space="preserve">https://direca.ro/shop/vascheta-gn-1-4-polipropilena-bufet-safe-28-litri-h-100-mm/</t>
  </si>
  <si>
    <t xml:space="preserve">(12 bucăți) Recipiente GN din polipropilenă 1/4 – opace – înălțime: 100 mm</t>
  </si>
  <si>
    <t xml:space="preserve">1/4 PP 100 mm, white; EXACT: size, depth and material in name. Pack of 12 pcs, price per pack net (footnote "* Toate prețurile plus TVA 19%" on RO storefront); tier offer "2.447,91 RON Reducere-40%"; RRP 479,04 RON; SKU GPP14100-12; listing dims W 157 x D 259 x H 100 mm. Price shown excl. VAT (RO 21%); pack of 12, converted to per piece; page read with a headless browser (prices rendered by JavaScript). YES Gastro SKU GNPP-14100.</t>
  </si>
  <si>
    <t xml:space="preserve">https://www.ggmgastro.com/ro-ro-ron/12-bucati-recipiente-gn-din-polipropilena-1-4-opace-inaltime-100-mm-gpp14100-12</t>
  </si>
  <si>
    <t xml:space="preserve">recipient gastro GN 1/4 265x162 mm polipropilena h=100 mm Pujadas</t>
  </si>
  <si>
    <t xml:space="preserve">1/4 PP 100 mm, white; EXACT: Pujadas polypropylene GN container, size/depth/material in name. SKU 227705326. Listing price is gross; product page shows gross and "fără TVA" net below it. Price shown incl. VAT (RO 21%); VAT removed for the net price. YES Gastro SKU GNPP-14100.</t>
  </si>
  <si>
    <t xml:space="preserve">https://www.gastrozone.ro/pujadas-recipient-gastro-gn-1-4-265x162-mm-polipropilena-h-100-mm-pujadas.html</t>
  </si>
  <si>
    <t xml:space="preserve">Recipient GN 1/4 ad. 10 cm Profi Line din polipropilenă | HENDI 880326</t>
  </si>
  <si>
    <t xml:space="preserve">1/4 PP 100 mm, white; EXACT: size, depth and material (polipropilena) in product name. Listing shows "Pret net 17.52 RON" and "Pret brut 21.20 RON/buc". Price shown excl. VAT (RO 21%). YES Gastro SKU GNPP-14100.</t>
  </si>
  <si>
    <t xml:space="preserve">https://mmgastro.ro/ro/products/recipient-gn-1-4-ad-10-cm-profi-line-din-polipropilena-hendi-880326-130588</t>
  </si>
  <si>
    <t xml:space="preserve">Recipient GN 1/4 ad. 10 cm din polipropilenă HACCP | HENDI 880371</t>
  </si>
  <si>
    <t xml:space="preserve">1/4 PP 100 mm, white; EXACT: size, depth and material (polipropilena) in product name. Listing shows "Pret net 20.42 RON" and "Pret brut 24.71 RON/buc". Price shown excl. VAT (RO 21%). YES Gastro SKU GNPP-14100.</t>
  </si>
  <si>
    <t xml:space="preserve">https://mmgastro.ro/ro/products/recipient-gn-1-4-ad-10-cm-din-polipropilena-haccp-hendi-880371-131120</t>
  </si>
  <si>
    <t xml:space="preserve">Hendi HACCP Aufbewahrungsbehälter GN 1/4, 100 mm</t>
  </si>
  <si>
    <t xml:space="preserve">1/4 PP 100 mm; EXACT: Hendi HACCP container, bullet 'Polypropylen, BPA frei' on listing/product page; price from category listing 'Zutaten- und Lagerbehälter'; Steuerhinweis 'exkl. MwSt. zzgl. Versandkosten'. Price shown excl. VAT (AT 20%). YES Gastro SKU GNPP-14100.</t>
  </si>
  <si>
    <t xml:space="preserve">https://www.allpax.at/product_info.php/info/Hendi-HACCP-Aufbewahrungsbehaelter-GN-1-4-100-mm.html</t>
  </si>
  <si>
    <t xml:space="preserve">(12 Stück) Polypropylen-Behälter GN 1/4 - Milchig - Höhe: 100mm</t>
  </si>
  <si>
    <t xml:space="preserve">1/4 PP 100 mm, milky; EXACT: 'Polypropylen-Behälter' milky PP, Art. GPP14100-12, pack of 12; price per pack, footnote '* alle Preise zzgl. MwSt. 19%' (AT storefront oddly states 19%); UVP 90.99 €. Price shown excl. VAT (AT 20%); pack of 12, converted to per piece; page read with a headless browser (prices rendered by JavaScript). YES Gastro SKU GNPP-14100.</t>
  </si>
  <si>
    <t xml:space="preserve">https://www.ggmgastro.com/de-at-eur/12-stueck-polypropylen-behaelter-gn-1-4-milchig-hoehe-100mm-gpp14100-12</t>
  </si>
  <si>
    <t xml:space="preserve">Polypropylen Behälter GN 1/4 – 265x162x100mm</t>
  </si>
  <si>
    <t xml:space="preserve">1/4 PP 100 mm; EXACT: PP in product name and category 'Polypropylen - GN - Behälter', brand HENDI; page shows net price with '(€ x inkl. MwSt.) Zzgl. 20% MwSt.'; listing price. Price shown excl. VAT (AT 20%). YES Gastro SKU GNPP-14100.</t>
  </si>
  <si>
    <t xml:space="preserve">https://www.gastro-star.at/produkt/polypropylenbehaeltergn14-265x162x100mm/</t>
  </si>
  <si>
    <t xml:space="preserve">Schneider PP GN 1/4 Behälter 100 mm, 2,6 l</t>
  </si>
  <si>
    <t xml:space="preserve">1/4 PP 100 mm; EXACT: 'Material: Polypropylen (PP)' on product page, Schneider art. 530031; net price shown, page adds 'x € inkl. MwSt.' (= +19% VAT, oddly for the .at shop). Price shown excl. VAT (AT 20%). YES Gastro SKU GNPP-14100.</t>
  </si>
  <si>
    <t xml:space="preserve">https://www.gastro-hero.at/products/schneider-pp-gn-14-behaelter-100-mm-26-l-530031</t>
  </si>
  <si>
    <t xml:space="preserve">Hendi Gastronorm-Behälter 1/4, GN 1/4, 2, 8L, Transparent, 265x162x(H)100mm – Polypropylen</t>
  </si>
  <si>
    <t xml:space="preserve">1/4 PP 100 mm, transparent; EXACT: '– Polypropylen' in product name; Hendi art. 880371; listing price 'zzgl. 19% MwSt., zzgl. Versandkosten' (German shop, 19% VAT). Price shown excl. VAT (AT 20%). YES Gastro SKU GNPP-14100.</t>
  </si>
  <si>
    <t xml:space="preserve">https://www.gastrodax.de/hendi-haccp-aufbewahrungsbehaelter-gn-1-4-2-8-l-transparent-265-x-162-x-h-100-mm</t>
  </si>
  <si>
    <t xml:space="preserve">Gastronormbehälter GN 1/4 x 100 mm GN 84 Polypropylen transparent</t>
  </si>
  <si>
    <t xml:space="preserve">1/4 PP 100 mm, transparent; EXACT: 'GN 84 Polypropylen' in product name, spec 'Materialtyp: Polypropylen'; WAS Germany Bestell-Nr. 252277; 1-piece net price ('Preis pro Stück, zzgl. MwSt'), quantity tiers ab 3/6/12/24 pcs cheaper (down to ca. -20%); UVP 4.00 €; alternative WAS GN 89 series same size/depth: 4.74 € (Bestell-Nr. 252569). Price shown excl. VAT (AT 20%); page read with a headless browser (prices rendered by JavaScript). YES Gastro SKU GNPP-14100.</t>
  </si>
  <si>
    <t xml:space="preserve">https://www.intergastro.at/gastronormbehaelter-gn-1-4-x-100-mm-gn-84-polypropylen-transparent-252277</t>
  </si>
  <si>
    <t xml:space="preserve">GN-Behälter - BPA frei - Serie 84 - Inhalt 2,60 l - GN 1/4 (265 x 162 mm) - 100 mm - Polypropylen - premium Qualität</t>
  </si>
  <si>
    <t xml:space="preserve">1/4 PP 100 mm, transparent; EXACT: material 'Polypropylen' in product name; cheapest PP series for this size at this shop, Art.-Nr. 8414100-A; sale price, regular price 4,00 €; 'Preise zzgl. MwSt. zzgl. Versandkosten'. Other PP series same size/depth: 82130-B 3.30€; 530031-C 3.80€; 8914100-A 4.00€. Price shown excl. VAT (AT 20%). YES Gastro SKU GNPP-14100.</t>
  </si>
  <si>
    <t xml:space="preserve">https://shopbuero.com/gn-behaelter-bpa-frei-serie-84-inhalt-2-60-l-gn-1-4-265-x-162-mm-100-mm-polypropylen-premium-qualitaet/8414100-A</t>
  </si>
  <si>
    <t xml:space="preserve">1/4 PP 100 mm, transparent; Hendi HACCP storage container, material 'Polypropylen, BPA frei' stated on page, GN 1/4 x 100 mm (lid sold separately), art. 10016873; 'zzgl. MwSt.'. Price shown excl. VAT (DE 19%). YES Gastro SKU GNPP-14100.</t>
  </si>
  <si>
    <t xml:space="preserve">https://www.allpax.de/product_info.php/info/Hendi-HACCP-Aufbewahrungsbehaelter-GN-1-4-100-mm.html</t>
  </si>
  <si>
    <t xml:space="preserve">1/4 PP 100 mm, milchig/transparent; Polypropylen container GN 1/4 x 100 mm sold as pack of 12; price per pack, '* Nettopreis | Bruttopreis inkl. 19% MwSt.' shown; UVP 90.99 EUR; art. GPP14100-12. Price shown excl. VAT (DE 19%); pack of 12, converted to per piece; page read with a headless browser (prices rendered by JavaScript). YES Gastro SKU GNPP-14100.</t>
  </si>
  <si>
    <t xml:space="preserve">https://www.ggmgastro.com/de-de-eur/12-stueck-polypropylen-behaelter-gn-1-4-milchig-hoehe-100mm-gpp14100-12</t>
  </si>
  <si>
    <t xml:space="preserve">GN Behälter mit Skalierung, GN 1/4 - 100 mm, transparent, Polypropylen, GN 84 Serie</t>
  </si>
  <si>
    <t xml:space="preserve">1/4 PP 100 mm, transparent; PP stated on page, GN 1/4 x 100 mm, art. 8414100; net price shown 2.90 EUR, gross incl. 19% USt 3.45 EUR, UVP 4.76 EUR (gross). Price shown excl. VAT (DE 19%). YES Gastro SKU GNPP-14100.</t>
  </si>
  <si>
    <t xml:space="preserve">https://gastro-spirit.de/behaelter-mit-skalierung-gn-1-4-serie-gn-84-8414100</t>
  </si>
  <si>
    <t xml:space="preserve">1/4 PP 100 mm, transparent; Schneider PP (polypropylene) bare container GN 1/4 x 100 mm, art. 530031; net price, gross incl. MwSt shown separately ('zzgl. MwSt.'). Price shown excl. VAT (DE 19%). YES Gastro SKU GNPP-14100.</t>
  </si>
  <si>
    <t xml:space="preserve">https://www.gastro-hero.de/products/schneider-pp-gn-14-behaelter-100-mm-26-l-530031</t>
  </si>
  <si>
    <t xml:space="preserve">WAS GN 84 Behälter 1/4-100 mm Polypropylen</t>
  </si>
  <si>
    <t xml:space="preserve">1/4 PP 100 mm, transparent; WAS GN 84 polypropylene container GN 1/4 x 100 mm, SKU WAS-8414100; 'zzgl. 19% MwSt.'. Price shown excl. VAT (DE 19%). YES Gastro SKU GNPP-14100.</t>
  </si>
  <si>
    <t xml:space="preserve">https://www.gastrodax.de/was-gn-84-behaelter-1-4-100-mm-polypropylen</t>
  </si>
  <si>
    <t xml:space="preserve">1/4 PP 100 mm, transparent; PP container GN 1/4 x 100 mm; Bestell-Nr 252277, Hersteller-Nr 8414100; 'Preis pro Stück, zzgl. MwSt'; UVP 4.00 EUR; Staffelpreise ab 3: 3.08, ab 24: 2.62. Price shown excl. VAT (DE 19%). YES Gastro SKU GNPP-14100.</t>
  </si>
  <si>
    <t xml:space="preserve">https://www.intergastro.de/gastronormbehaelter-gn-1-4-x-100-mm-gn-84-polypropylen-transparent-252277</t>
  </si>
  <si>
    <t xml:space="preserve">Nisbets Essentials Gastronorm-Behälter 1/4 aus Polypropylen 100mm</t>
  </si>
  <si>
    <t xml:space="preserve">1/4 PP 100 mm, transparent; Polypropylen GN 1/4 x 100 mm container (material and depth in product name), art. HZ342; 'Zzgl. MwSt.'; reduced web price, 'BISHER' 3.79 EUR. Price shown excl. VAT (DE 19%); page read with a headless browser (prices rendered by JavaScript). YES Gastro SKU GNPP-14100.</t>
  </si>
  <si>
    <t xml:space="preserve">https://www.nisbets.de/nisbets-essentials-polypropylen-1zu4-gastronormbehaelter-100mm/hz342</t>
  </si>
  <si>
    <t xml:space="preserve">Gastronádoba polykarbonátová - GN 1/4, 2,8L, 100mm Hendi</t>
  </si>
  <si>
    <t xml:space="preserve">1/4 PP 100 mm, transparent; CLOSE: title says "polykarbonátová" but URL and description say "materiál: průhledný polypropylen" (Hendi 880326 is the PP line); size/depth right, material statement inconsistent; code 880326; page shows 133 Kč (s DPH) and "110 Kč bez DPH". Price shown incl. VAT (CZ 21%); VAT removed for the net price. YES Gastro SKU GNPP-14100.</t>
  </si>
  <si>
    <t xml:space="preserve">https://www.gastrofans.cz/gastronadoba-1-4-pp-transparent-2-8-l-265x162x-h-100-mm/</t>
  </si>
  <si>
    <t xml:space="preserve">Gastronádoba GN 1/4 100 mm, HACCP polypropylen | HENDI, 880371</t>
  </si>
  <si>
    <t xml:space="preserve">1/4 PP 100 mm, transparent; EXACT: Hendi PP container GN 1/4 100 mm, parameter "materiál: polypropylen"; code 880371; page shows "Cena bez DPH: 164 Kč" and "Cena s DPH: 198 Kč". Price shown excl. VAT (CZ 21%); page read with a headless browser (prices rendered by JavaScript). YES Gastro SKU GNPP-14100.</t>
  </si>
  <si>
    <t xml:space="preserve">https://www.gastromania.cz/gastronadoby-polypropylenove/gastronadoba-gn-1-4-100-mm-haccp-polypropylen-hendi-880371</t>
  </si>
  <si>
    <t xml:space="preserve">APS GN-nádoba Polypropylen, GN 1/4, obsah: 2,50 litru, hloubka: 100 mm</t>
  </si>
  <si>
    <t xml:space="preserve">1/4 PP 100 mm, milky (opaque); EXACT: APS PP container GN 1/4 100 mm, parameter "Materiál: Polypropylen"; code 227776581; page shows 157 Kč incl. and "130 Kč bez DPH". Price shown excl. VAT (CZ 21%). YES Gastro SKU GNPP-14100.</t>
  </si>
  <si>
    <t xml:space="preserve">https://www.gastrozone.cz/aps-gn-nadoba-z-polypropylenu-gn-1-4-obsah-2-50-litru-hloubka-100-mm.html</t>
  </si>
  <si>
    <t xml:space="preserve">Gastronorm GN 1/4 (h=100 mm) polypropylenová</t>
  </si>
  <si>
    <t xml:space="preserve">1/4 PP 100 mm; EXACT: GN 1/4, h=100 mm, Materiál: polypropylen; cat. no. 3120135; page shows 75 CZK (s DPH) and "cena bez DPH: 62 CZK". Price shown incl. VAT (CZ 21%); VAT removed for the net price. YES Gastro SKU GNPP-14100.</t>
  </si>
  <si>
    <t xml:space="preserve">https://www.gastrosance.cz/gn-1/4--h-100-mm--polypropylenova</t>
  </si>
  <si>
    <t xml:space="preserve">Gastronádoba polypropylenová GN 1/4 100 mm</t>
  </si>
  <si>
    <t xml:space="preserve">1/4 PP 100 mm, transparent; EXACT: name "polypropylenová" GN 1/4 100 mm, Cambro MP (polypropylene) series, code R-MP14100; page shows 127 Kč (incl.) and "105 Kč bez DPH". Price shown incl. VAT (CZ 21%); VAT removed for the net price. YES Gastro SKU GNPP-14100.</t>
  </si>
  <si>
    <t xml:space="preserve">https://www.tomgast.cz/gastronadoba-polypropylenova-gn-1-4-100-mm-2/</t>
  </si>
  <si>
    <t xml:space="preserve">Nádoba GN 1/4, HENDI, GN 1/4, 2,8L, Priehľadná, 265x162x(H)100mm Kód: 880371</t>
  </si>
  <si>
    <t xml:space="preserve">1/4 PP 100 mm, clear; material not in product name; HENDI HACCP 880 series: product page 880173 states "Materiály: PP (Polypropylén)"; price shown 4.45 € (net) / 5,47 € s DPH; code 880371 Price shown excl. VAT (SK 23%). YES Gastro SKU GNPP-14100.</t>
  </si>
  <si>
    <t xml:space="preserve">Nádoba z polypropylénu, GN 1/4, 100 mm | STALGAST, Bufet</t>
  </si>
  <si>
    <t xml:space="preserve">1/4 PP 100 mm, clear (not stated); SKU STALGAST-164103; other offers on this shop for the same variant: STALGAST 4.23 (in stock); CAMBRO 5.17 (in stock); STALGAST 5.18 (in stock); HENDI 6.72 (in stock) Price shown incl. VAT (SK 23%); VAT removed for the net price. YES Gastro SKU GNPP-14100.</t>
  </si>
  <si>
    <t xml:space="preserve">https://gastromania.sk/gastronadoby-polypropylenove/nadoba-z-polypropylenu-gn-1-4-100-mm-stalgast-bufet</t>
  </si>
  <si>
    <t xml:space="preserve">Pujadas gastro nádoba GN 1/4 265x162 mm polypropylen v=100 mm</t>
  </si>
  <si>
    <t xml:space="preserve">1/4 PP 100 mm, clear (not stated); listing shows gross 6,10 €; 'bez DPH' net 4.96 EUR on product page; SKU 227705326; other offers on this shop for the same variant: APS 6.10 (Na objednávku (3-5 t) Price shown incl. VAT (SK 23%); VAT removed for the net price. YES Gastro SKU GNPP-14100.</t>
  </si>
  <si>
    <t xml:space="preserve">https://www.gastrozone.sk/pujadas-gastro-nadoba-gn-1-4-265x162-mm-polypropylen-v-100-mmpujadas.html</t>
  </si>
  <si>
    <t xml:space="preserve">GN-Gastronádoby, polypropylénové, GN 1/4 (265 x 162 mm) 100 mm</t>
  </si>
  <si>
    <t xml:space="preserve">1/4 PP 100 mm, clear (not stated); listing price incl. VAT (product page of PP lid 1/4 shows 2,60 € s DPH / 2,11 € bez DPH) Price shown incl. VAT (SK 23%); VAT removed for the net price. YES Gastro SKU GNPP-14100.</t>
  </si>
  <si>
    <t xml:space="preserve">https://www.masiarskenaradie.sk/gastronadoby-nerez-plast</t>
  </si>
  <si>
    <t xml:space="preserve">Gastronádoba polypropylénová GN 1/4 - hloubka 10 cm</t>
  </si>
  <si>
    <t xml:space="preserve">1/4 PP 100 mm, clear (not stated); 'bez DPH' price shown; gross 3.3 EUR; other offers on this shop for the same variant: HENDI 5.26 (in stock); HENDI 3.27 (in stock) Price shown excl. VAT (SK 23%). YES Gastro SKU GNPP-14100.</t>
  </si>
  <si>
    <t xml:space="preserve">Vascheta GN 1/4 polipropilena Bufet Safe, 3,6 litri, H 150 mm</t>
  </si>
  <si>
    <t xml:space="preserve">1/4 PP 150 mm, white; EXACT: Stalgast "Bufet Safe" PP container, size/depth in name, page spec "Constructie: polipropilena". Shown "16.16 lei fără TVA (19.55 lei cu TVA)". Price shown excl. VAT (RO 21%). YES Gastro SKU GNPP-14150.</t>
  </si>
  <si>
    <t xml:space="preserve">https://direca.ro/shop/vascheta-gn-1-4-polipropilena-bufet-safe-36-litri-h-150-mm/</t>
  </si>
  <si>
    <t xml:space="preserve">Cutie polipropilena cu capac 4.3 litri GN1/4 – Stalgast</t>
  </si>
  <si>
    <t xml:space="preserve">1/4 PP 150 mm, white; CLOSE: Stalgast PP box sold bundled with sealing lid (cutie cu capac); dimensions on product page confirm depth; price "( inclusiv T.V.A. )". Price shown incl. VAT (RO 21%); VAT removed for the net price. YES Gastro SKU GNPP-14150.</t>
  </si>
  <si>
    <t xml:space="preserve">https://www.fimax.ro/produs/cutie-polipropilena-cu-capac-4-3-litri-gn1-4-stalgast/</t>
  </si>
  <si>
    <t xml:space="preserve">(12 bucăți) Recipiente GN din polipropilenă 1/4 – opace – înălțime: 150 mm</t>
  </si>
  <si>
    <t xml:space="preserve">1/4 PP 150 mm, white; EXACT: size, depth and material in name. Pack of 12 pcs, price per pack net (footnote "* Toate prețurile plus TVA 19%" on RO storefront); tier offer "1.708,75 RON Reducere-40%"; RRP 352,68 RON; SKU GPP14150; listing dims W 157 x D 259 x H 150 mm. Price shown excl. VAT (RO 21%); pack of 12, converted to per piece; page read with a headless browser (prices rendered by JavaScript). YES Gastro SKU GNPP-14150.</t>
  </si>
  <si>
    <t xml:space="preserve">https://www.ggmgastro.com/ro-ro-ron/12-bucati-recipiente-gn-din-polipropilena-1-4-opace-inaltime-150-mm-gpp14150</t>
  </si>
  <si>
    <t xml:space="preserve">Timpul de livrare: 5 - 6 săptămâni</t>
  </si>
  <si>
    <t xml:space="preserve">recipient gastro GN 1/4 265x162 mm polipropilena h=150 mm Pujadas</t>
  </si>
  <si>
    <t xml:space="preserve">1/4 PP 150 mm, white; EXACT: Pujadas polypropylene GN container, size/depth/material in name. SKU 227705327. Listing price is gross; product page shows gross and "fără TVA" net below it. Price shown incl. VAT (RO 21%); VAT removed for the net price. YES Gastro SKU GNPP-14150.</t>
  </si>
  <si>
    <t xml:space="preserve">https://www.gastrozone.ro/pujadas-recipient-gastro-gn-1-4-265x162-mm-polipropilena-h-150-mm-pujadas.html</t>
  </si>
  <si>
    <t xml:space="preserve">Recipient GN 1/4 adâncime 15 cm Profi Line din polipropilenă | HENDI 880319</t>
  </si>
  <si>
    <t xml:space="preserve">1/4 PP 150 mm, white; EXACT: size, depth and material (polipropilena) in product name. Listing shows "Pret net 20.93 RON" and "Pret brut 25.33 RON/buc". Price shown excl. VAT (RO 21%). YES Gastro SKU GNPP-14150.</t>
  </si>
  <si>
    <t xml:space="preserve">https://mmgastro.ro/ro/products/recipient-gn-1-4-adancime-15-cm-profi-line-din-polipropilena-hendi-880319-130512</t>
  </si>
  <si>
    <t xml:space="preserve">Hendi HACCP Aufbewahrungsbehälter GN 1/4, 150 mm</t>
  </si>
  <si>
    <t xml:space="preserve">1/4 PP 150 mm; EXACT: Hendi HACCP container, bullet 'Polypropylen, BPA frei' on listing/product page; price from category listing 'Zutaten- und Lagerbehälter'; Steuerhinweis 'exkl. MwSt. zzgl. Versandkosten'. Price shown excl. VAT (AT 20%). YES Gastro SKU GNPP-14150.</t>
  </si>
  <si>
    <t xml:space="preserve">https://www.allpax.at/product_info.php/info/Hendi-HACCP-Aufbewahrungsbehaelter-GN-1-4-150-mm.html</t>
  </si>
  <si>
    <t xml:space="preserve">(12 Stück) Polypropylen-Behälter GN 1/4 - Milchig - Höhe: 150mm</t>
  </si>
  <si>
    <t xml:space="preserve">1/4 PP 150 mm, milky; EXACT: 'Polypropylen-Behälter' milky PP, Art. GPP14150, pack of 12; price per pack, footnote '* alle Preise zzgl. MwSt. 19%' (AT storefront oddly states 19%); UVP 66.99 €; a second listing GPP14150-12 of the same item is 54,99 €. Price shown excl. VAT (AT 20%); pack of 12, converted to per piece; page read with a headless browser (prices rendered by JavaScript). YES Gastro SKU GNPP-14150.</t>
  </si>
  <si>
    <t xml:space="preserve">https://www.ggmgastro.com/de-at-eur/12-stueck-polypropylen-behaelter-gn-1-4-milchig-hoehe-150mm-gpp14150</t>
  </si>
  <si>
    <t xml:space="preserve">Lieferzeit: 5 - 6 Wochen</t>
  </si>
  <si>
    <t xml:space="preserve">Polypropylen Behälter GN 1/4 – 265x162x150mm</t>
  </si>
  <si>
    <t xml:space="preserve">1/4 PP 150 mm; EXACT: PP in product name and category 'Polypropylen - GN - Behälter', brand HENDI; page shows net price with '(€ x inkl. MwSt.) Zzgl. 20% MwSt.'; listing price. Price shown excl. VAT (AT 20%). YES Gastro SKU GNPP-14150.</t>
  </si>
  <si>
    <t xml:space="preserve">https://www.gastro-star.at/produkt/polypropylenbehaeltergn14-265x162x150mm/</t>
  </si>
  <si>
    <t xml:space="preserve">Schneider PP GN 1/4 Behälter 150 mm, 3,8 l</t>
  </si>
  <si>
    <t xml:space="preserve">1/4 PP 150 mm; EXACT: 'Material: Polypropylen (PP)' on product page, Schneider art. 530032; net price shown, page adds 'x € inkl. MwSt.' (= +19% VAT, oddly for the .at shop). Price shown excl. VAT (AT 20%). YES Gastro SKU GNPP-14150.</t>
  </si>
  <si>
    <t xml:space="preserve">https://www.gastro-hero.at/products/schneider-pp-gn-14-behaelter-150-mm-38-l-530032</t>
  </si>
  <si>
    <t xml:space="preserve">Hendi Gastronorm-Behälter 1/4, GN 1/4, 3, 5L, Transparent, 265x162x(H)150mm – Polypropylen (Art. 880364)</t>
  </si>
  <si>
    <t xml:space="preserve">1/4 PP 150 mm, transparent; EXACT: '– Polypropylen' in product name; Hendi art. 880364; listing price 'zzgl. 19% MwSt., zzgl. Versandkosten' (German shop, 19% VAT). Price shown excl. VAT (AT 20%). YES Gastro SKU GNPP-14150.</t>
  </si>
  <si>
    <t xml:space="preserve">https://www.gastrodax.de/hendi-haccp-aufbewahrungsbehaelter-gn-1-4-4-l-transparent-265-x-162-x-h-150-mm</t>
  </si>
  <si>
    <t xml:space="preserve">Gastronormbehälter GN 1/4 x 150 mm GN 84 Polypropylen transparent</t>
  </si>
  <si>
    <t xml:space="preserve">1/4 PP 150 mm, transparent; EXACT: 'GN 84 Polypropylen' in product name, spec 'Materialtyp: Polypropylen'; WAS Germany Bestell-Nr. 252278; 1-piece net price ('Preis pro Stück, zzgl. MwSt'), quantity tiers ab 3/6/12/24 pcs cheaper (down to ca. -20%); UVP 5.50 €; alternative WAS GN 89 series same size/depth: 5.41 € (Bestell-Nr. 252570). Price shown excl. VAT (AT 20%); page read with a headless browser (prices rendered by JavaScript). YES Gastro SKU GNPP-14150.</t>
  </si>
  <si>
    <t xml:space="preserve">https://www.intergastro.at/gastronormbehaelter-gn-1-4-x-150-mm-gn-84-polypropylen-transparent-252278</t>
  </si>
  <si>
    <t xml:space="preserve">GN-Behälter - BPA frei - Serie 84 - Inhalt 3,80 l - GN 1/4 (265 x 162 mm) - 150 mm - Polypropylen - premium Qualität</t>
  </si>
  <si>
    <t xml:space="preserve">1/4 PP 150 mm, transparent; EXACT: material 'Polypropylen' in product name; cheapest PP series for this size at this shop, Art.-Nr. 8414150-A; sale price, regular price 5,50 €; 'Preise zzgl. MwSt. zzgl. Versandkosten'. Other PP series same size/depth: 82132-B 4.30€; 8914150-A 4.60€; 530032-C 4.80€. Price shown excl. VAT (AT 20%). YES Gastro SKU GNPP-14150.</t>
  </si>
  <si>
    <t xml:space="preserve">https://shopbuero.com/gn-behaelter-bpa-frei-serie-84-inhalt-3-80-l-gn-1-4-265-x-162-mm-150-mm-polypropylen-premium-qualitaet/8414150-A</t>
  </si>
  <si>
    <t xml:space="preserve">1/4 PP 150 mm, transparent; Hendi HACCP storage container, material 'Polypropylen, BPA frei' stated on page, GN 1/4 x 150 mm (lid sold separately), art. 10017030; 'zzgl. MwSt.'. Price shown excl. VAT (DE 19%). YES Gastro SKU GNPP-14150.</t>
  </si>
  <si>
    <t xml:space="preserve">https://www.allpax.de/product_info.php/info/Hendi-HACCP-Aufbewahrungsbehaelter-GN-1-4-150-mm.html</t>
  </si>
  <si>
    <t xml:space="preserve">1/4 PP 150 mm, milchig/transparent; Polypropylen container GN 1/4 x 150 mm sold as pack of 12; price per pack, '* Nettopreis | Bruttopreis inkl. 19% MwSt.' shown; UVP 66.99 EUR; art. GPP14150; duplicate listing GPP14150-12 (…-gpp14150-12) at 52.99 EUR/12, available from 19.10.2026. Price shown excl. VAT (DE 19%); pack of 12, converted to per piece; page read with a headless browser (prices rendered by JavaScript). YES Gastro SKU GNPP-14150.</t>
  </si>
  <si>
    <t xml:space="preserve">https://www.ggmgastro.com/de-de-eur/12-stueck-polypropylen-behaelter-gn-1-4-milchig-hoehe-150mm-gpp14150</t>
  </si>
  <si>
    <t xml:space="preserve">GN Behälter mit Skalierung, GN 1/4 - 150 mm, transparent, Polypropylen, GN 84 Serie</t>
  </si>
  <si>
    <t xml:space="preserve">1/4 PP 150 mm, transparent; PP stated on page, GN 1/4 x 150 mm, art. 8414150; net price shown 3.99 EUR, gross incl. 19% USt 4.75 EUR, UVP 6.55 EUR (gross). Price shown excl. VAT (DE 19%). YES Gastro SKU GNPP-14150.</t>
  </si>
  <si>
    <t xml:space="preserve">https://gastro-spirit.de/behaelter-mit-skalierung-gn-1-4-serie-gn-84-8414150</t>
  </si>
  <si>
    <t xml:space="preserve">1/4 PP 150 mm, transparent; Schneider PP (polypropylene) bare container GN 1/4 x 150 mm, art. 530032; net price, gross incl. MwSt shown separately ('zzgl. MwSt.'). Price shown excl. VAT (DE 19%). YES Gastro SKU GNPP-14150.</t>
  </si>
  <si>
    <t xml:space="preserve">https://www.gastro-hero.de/products/schneider-pp-gn-14-behaelter-150-mm-38-l-530032</t>
  </si>
  <si>
    <t xml:space="preserve">WAS GN 84 Behälter 1/4-150 mm Polypropylen</t>
  </si>
  <si>
    <t xml:space="preserve">1/4 PP 150 mm, transparent; WAS GN 84 polypropylene container GN 1/4 x 150 mm, SKU WAS-8414150; 'zzgl. 19% MwSt.'. Price shown excl. VAT (DE 19%). YES Gastro SKU GNPP-14150.</t>
  </si>
  <si>
    <t xml:space="preserve">https://www.gastrodax.de/was-gn-84-behaelter-1-4-150-mm-polypropylen</t>
  </si>
  <si>
    <t xml:space="preserve">1/4 PP 150 mm, transparent; PP container GN 1/4 x 150 mm; Bestell-Nr 252278, Hersteller-Nr 8414150; 'Preis pro Stück, zzgl. MwSt'; UVP 5.50 EUR; Staffelpreise ab 3: 4.29, ab 24: 3.65. Price shown excl. VAT (DE 19%). YES Gastro SKU GNPP-14150.</t>
  </si>
  <si>
    <t xml:space="preserve">https://www.intergastro.de/gastronormbehaelter-gn-1-4-x-150-mm-gn-84-polypropylen-transparent-252278</t>
  </si>
  <si>
    <t xml:space="preserve">Nisbets Essentials Polypropylen 1/4-Gastronorm-Behälter 150mm</t>
  </si>
  <si>
    <t xml:space="preserve">1/4 PP 150 mm, transparent; Polypropylen GN 1/4 x 150 mm container (material and depth in product name), art. HZ343; 'Zzgl. MwSt.'; reduced web price, 'BISHER' 4.59 EUR. Price shown excl. VAT (DE 19%); page read with a headless browser (prices rendered by JavaScript). YES Gastro SKU GNPP-14150.</t>
  </si>
  <si>
    <t xml:space="preserve">https://www.nisbets.de/nisbets-essentials-polypropylen-1zu4-gastronorm-behaelter-150mm/hz343</t>
  </si>
  <si>
    <t xml:space="preserve">Gastronádoba polypropylenová - GN 1/4, 4L, 150mm Hendi</t>
  </si>
  <si>
    <t xml:space="preserve">1/4 PP 150 mm, transparent; EXACT: Hendi PP container GN 1/4 150 mm, "materiál: průhledný polypropylen"; code 880319; page shows 157 Kč (s DPH) and "130 Kč bez DPH". Price shown incl. VAT (CZ 21%); VAT removed for the net price. YES Gastro SKU GNPP-14150.</t>
  </si>
  <si>
    <t xml:space="preserve">https://www.gastrofans.cz/gastronadoba-1-4-pp-transparent-4-l-265x162x-h-150-mm/</t>
  </si>
  <si>
    <t xml:space="preserve">Gastronádoba GN 1/4 150 mm, HACCP polypropylen | HENDI, 880364</t>
  </si>
  <si>
    <t xml:space="preserve">1/4 PP 150 mm, transparent; EXACT: Hendi PP container GN 1/4 150 mm, parameter "materiál: polypropylen"; code 880364; page shows "Cena bez DPH: 208 Kč" and "Cena s DPH: 252 Kč". Price shown excl. VAT (CZ 21%); page read with a headless browser (prices rendered by JavaScript). YES Gastro SKU GNPP-14150.</t>
  </si>
  <si>
    <t xml:space="preserve">https://www.gastromania.cz/gastronadoby-polypropylenove/gastronadoba-gn-1-4-150-mm-haccp-polypropylen-hendi-880364</t>
  </si>
  <si>
    <t xml:space="preserve">APS GN-nádoba polypropylenová, GN 1/4, obsah: 3,70 litru, hloubka: 150 mm</t>
  </si>
  <si>
    <t xml:space="preserve">1/4 PP 150 mm, milky (opaque); EXACT: APS PP container GN 1/4 150 mm, parameter "Materiál: Polypropylen"; code 227776582; page shows 199 Kč incl. and "164 Kč bez DPH". Price shown excl. VAT (CZ 21%). YES Gastro SKU GNPP-14150.</t>
  </si>
  <si>
    <t xml:space="preserve">https://www.gastrozone.cz/aps-gn-nadoba-z-polypropylenu-gn-1-4-obsah-3-70-litru-hloubka-150-mm.html</t>
  </si>
  <si>
    <t xml:space="preserve">Gastronorm GN 1/4 (h=150 mm) polypropylenová</t>
  </si>
  <si>
    <t xml:space="preserve">1/4 PP 150 mm; EXACT: GN 1/4, h=150 mm, Materiál: polypropylen; cat. no. 3120136; page shows 101 CZK (s DPH) and "cena bez DPH: 84 CZK". Price shown incl. VAT (CZ 21%); VAT removed for the net price. YES Gastro SKU GNPP-14150.</t>
  </si>
  <si>
    <t xml:space="preserve">https://www.gastrosance.cz/gn-1/4--h-150-mm--polypropylenova</t>
  </si>
  <si>
    <t xml:space="preserve">Gastronádoba polypropylenová GN 1/4 150 mm</t>
  </si>
  <si>
    <t xml:space="preserve">1/4 PP 150 mm, transparent; EXACT: name "polypropylenová" GN 1/4 150 mm, Cambro MP (polypropylene) series, code R-MP14150; page shows 145 Kč (incl.) and "120 Kč bez DPH". Price shown incl. VAT (CZ 21%); VAT removed for the net price. YES Gastro SKU GNPP-14150.</t>
  </si>
  <si>
    <t xml:space="preserve">https://www.tomgast.cz/gastronadoba-polypropylenova-gn-1-4-150-mm-2/</t>
  </si>
  <si>
    <t xml:space="preserve">Nádoba GN 1/4, HENDI, GN 1/4, 4L, Priehľadná, 265x162x(H)150mm Kód: 880364</t>
  </si>
  <si>
    <t xml:space="preserve">1/4 PP 150 mm, clear; material not in product name; HENDI HACCP 880 series: product page 880173 states "Materiály: PP (Polypropylén)"; price shown 6.05 € (net) / 7,44 € s DPH; code 880364 Price shown excl. VAT (SK 23%). YES Gastro SKU GNPP-14150.</t>
  </si>
  <si>
    <t xml:space="preserve">Nádoba z polypropylénu, GN 1/4, 150 mm | STALGAST, Bufet</t>
  </si>
  <si>
    <t xml:space="preserve">1/4 PP 150 mm, clear (not stated); SKU STALGAST-164153; other offers on this shop for the same variant: STALGAST 4.84 (in stock); CAMBRO 5.90 (in stock); HENDI 8.00 (in stock); STALGAST 8.12 (in stock) Price shown incl. VAT (SK 23%); VAT removed for the net price. YES Gastro SKU GNPP-14150.</t>
  </si>
  <si>
    <t xml:space="preserve">https://gastromania.sk/gastronadoby-polypropylenove/nadoba-z-polypropylenu-gn-1-4-150-mm-stalgast-bufet</t>
  </si>
  <si>
    <t xml:space="preserve">Pujadas gastro nádoba GN 1/4 265x162 mm polypropylen v=150 mm</t>
  </si>
  <si>
    <t xml:space="preserve">1/4 PP 150 mm, clear (not stated); listing shows gross 7,03 €; 'bez DPH' net 5.72 EUR on product page; SKU 227705327; other offers on this shop for the same variant: APS 7.95 (Na objednávku (3-5 t) Price shown incl. VAT (SK 23%); VAT removed for the net price. YES Gastro SKU GNPP-14150.</t>
  </si>
  <si>
    <t xml:space="preserve">https://www.gastrozone.sk/pujadas-gastro-nadoba-gn-1-4-265x162-mm-polypropylen-v-150-mm.html</t>
  </si>
  <si>
    <t xml:space="preserve">GN-Gastronádoby, polypropylénové, GN 1/4 (265 x 162 mm) 150 mm</t>
  </si>
  <si>
    <t xml:space="preserve">1/4 PP 150 mm, clear (not stated); listing price incl. VAT (product page of PP lid 1/4 shows 2,60 € s DPH / 2,11 € bez DPH) Price shown incl. VAT (SK 23%); VAT removed for the net price. YES Gastro SKU GNPP-14150.</t>
  </si>
  <si>
    <t xml:space="preserve">Gastronádoba polypropylénová GN 1/4 - hloubka 15 cm</t>
  </si>
  <si>
    <t xml:space="preserve">1/4 PP 150 mm, clear (not stated); 'bez DPH' price shown; gross 4.55 EUR; other offers on this shop for the same variant: not stated (shop own line) 4.93 (in stock); HENDI 5.65 (in stock); HENDI 3.90 (in stock) Price shown excl. VAT (SK 23%). YES Gastro SKU GNPP-14150.</t>
  </si>
  <si>
    <t xml:space="preserve">APS GN-Container Polypropylen, GN 1/4, Capacitate: 5,50 Litri, Adancime: 200 mm</t>
  </si>
  <si>
    <t xml:space="preserve">1/4 PP 200 mm, white; EXACT: APS polypropylene GN container, size/depth/material in name. SKU 227776583. Listing price is gross; product page shows gross and "fără TVA" net below it. Price shown incl. VAT (RO 21%); VAT removed for the net price. YES Gastro SKU GNPP-14200.</t>
  </si>
  <si>
    <t xml:space="preserve">https://www.gastrozone.ro/aps-container-gn-polipropilena-gn-1-4-capacitate-5-50-litri-adancime-200-mm.html</t>
  </si>
  <si>
    <t xml:space="preserve">Recipient GN 1/4 ad. 20 cm Profi Line din polipropilenă | HENDI 880302</t>
  </si>
  <si>
    <t xml:space="preserve">1/4 PP 200 mm, white; EXACT: size, depth and material (polipropilena) in product name. Listing shows "Pret net 24.83 RON" and "Pret brut 30.04 RON/buc". Price shown excl. VAT (RO 21%). YES Gastro SKU GNPP-14200.</t>
  </si>
  <si>
    <t xml:space="preserve">https://mmgastro.ro/ro/products/recipient-gn-1-4-ad-20-cm-profi-line-din-polipropilena-hendi-880302-130528</t>
  </si>
  <si>
    <t xml:space="preserve">Recipientă GN 1/4 din polipropilenă, 20 cm | APS 82134</t>
  </si>
  <si>
    <t xml:space="preserve">1/4 PP 200 mm, white; EXACT: size, depth and material (polipropilena) in product name. Listing shows "Pret net 42.93 RON" and "Pret brut 51.95 RON/buc". Price shown excl. VAT (RO 21%). YES Gastro SKU GNPP-14200.</t>
  </si>
  <si>
    <t xml:space="preserve">https://mmgastro.ro/ro/products/recipienta-gn-1-4-din-polipropilena-20-cm-aps-82134-162399</t>
  </si>
  <si>
    <t xml:space="preserve">Recipient GN 1/4 ad. 20 cm din polipropilenă HACCP | HENDI 880357</t>
  </si>
  <si>
    <t xml:space="preserve">1/4 PP 200 mm, white; EXACT: size, depth and material (polipropilena) in product name. Listing shows "Pret net 32.12 RON" and "Pret brut 38.87 RON/buc". Price shown excl. VAT (RO 21%). YES Gastro SKU GNPP-14200.</t>
  </si>
  <si>
    <t xml:space="preserve">https://mmgastro.ro/ro/products/recipient-gn-1-4-ad-20-cm-din-polipropilena-haccp-hendi-880357-135563</t>
  </si>
  <si>
    <t xml:space="preserve">Hendi HACCP Aufbewahrungsbehälter GN 1/4, 200 mm</t>
  </si>
  <si>
    <t xml:space="preserve">1/4 PP 200 mm; EXACT: Hendi HACCP container, bullet 'Polypropylen, BPA frei' on listing/product page; price from category listing 'Zutaten- und Lagerbehälter'; Steuerhinweis 'exkl. MwSt. zzgl. Versandkosten'. Price shown excl. VAT (AT 20%). YES Gastro SKU GNPP-14200.</t>
  </si>
  <si>
    <t xml:space="preserve">https://www.allpax.at/product_info.php/info/Hendi-HACCP-Aufbewahrungsbehaelter-GN-1-4-200-mm.html</t>
  </si>
  <si>
    <t xml:space="preserve">Polypropylen Behälter GN 1/4 – 265x162x200mm</t>
  </si>
  <si>
    <t xml:space="preserve">1/4 PP 200 mm; EXACT: PP in product name and category 'Polypropylen - GN - Behälter', brand HENDI; page shows net price with '(€ x inkl. MwSt.) Zzgl. 20% MwSt.'; listing price. Price shown excl. VAT (AT 20%). YES Gastro SKU GNPP-14200.</t>
  </si>
  <si>
    <t xml:space="preserve">https://www.gastro-star.at/produkt/polypropylenbehaeltergn14-265x162x200mm/</t>
  </si>
  <si>
    <t xml:space="preserve">GN-BEHÄLTER POLYPROPYLEN 1/4 200 tief</t>
  </si>
  <si>
    <t xml:space="preserve">1/4 PP 200 mm; EXACT: PP stated in product name and category 'GN Behälter Polypropylen'; Art.-Nr. 880 302; footer 'Alle Preise excl. 20% MwSt.'; price from category listing. Price shown excl. VAT (AT 20%). YES Gastro SKU GNPP-14200.</t>
  </si>
  <si>
    <t xml:space="preserve">https://www.gastrozimml.at/produkt/gn-behalter-polypropylen-14-200-tief/</t>
  </si>
  <si>
    <t xml:space="preserve">Schneider PP GN 1/4 Behälter 200 mm, 4,8 l</t>
  </si>
  <si>
    <t xml:space="preserve">1/4 PP 200 mm; EXACT: 'Material: Polypropylen (PP)' on product page, Schneider art. 530033; net price shown, page adds 'x € inkl. MwSt.' (= +19% VAT, oddly for the .at shop). Price shown excl. VAT (AT 20%). YES Gastro SKU GNPP-14200.</t>
  </si>
  <si>
    <t xml:space="preserve">https://www.gastro-hero.at/products/schneider-pp-gn-14-behaelter-200-mm-48-l-530033</t>
  </si>
  <si>
    <t xml:space="preserve">Hendi Gastronorm-Behälter 1/4, GN 1/4, 5, 5L, Transparent, 265x162x(H)200mm – Polypropylen</t>
  </si>
  <si>
    <t xml:space="preserve">1/4 PP 200 mm, transparent; EXACT: '– Polypropylen' in product name; Hendi art. 880357; listing price 'zzgl. 19% MwSt., zzgl. Versandkosten' (German shop, 19% VAT). Price shown excl. VAT (AT 20%). YES Gastro SKU GNPP-14200.</t>
  </si>
  <si>
    <t xml:space="preserve">https://www.gastrodax.de/hendi-haccp-aufbewahrungsbehaelter-gn-1-4-5-5-l-transparent-265-x-162-x-h-200-mm</t>
  </si>
  <si>
    <t xml:space="preserve">Gastronormbehälter GN 1/4 x 200 mm GN 84 Polypropylen transparent</t>
  </si>
  <si>
    <t xml:space="preserve">1/4 PP 200 mm, transparent; EXACT: 'GN 84 Polypropylen' in product name, spec 'Materialtyp: Polypropylen'; WAS Germany Bestell-Nr. 252279; 1-piece net price ('Preis pro Stück, zzgl. MwSt'), quantity tiers ab 3/6/12/24 pcs cheaper (down to ca. -20%); UVP 7.00 €. Price shown excl. VAT (AT 20%); page read with a headless browser (prices rendered by JavaScript). YES Gastro SKU GNPP-14200.</t>
  </si>
  <si>
    <t xml:space="preserve">https://www.intergastro.at/gastronormbehaelter-gn-1-4-x-200-mm-gn-84-polypropylen-transparent-252279</t>
  </si>
  <si>
    <t xml:space="preserve">GN-Behälter - BPA frei - Serie 84 - Inhalt 4,8 l - GN 1/4 (265 x 162 mm) - 200 mm - Polypropylen - premium Qualität</t>
  </si>
  <si>
    <t xml:space="preserve">1/4 PP 200 mm, transparent; EXACT: material 'Polypropylen' in product name; cheapest PP series for this size at this shop, Art.-Nr. 8414200-A; sale price, regular price 7,00 €; 'Preise zzgl. MwSt. zzgl. Versandkosten'. Other PP series same size/depth: 530033-C 5.30€; 82134-B 6.80€. Price shown excl. VAT (AT 20%). YES Gastro SKU GNPP-14200.</t>
  </si>
  <si>
    <t xml:space="preserve">https://shopbuero.com/gn-behaelter-bpa-frei-serie-84-inhalt-4-8-l-gn-1-4-265-x-162-mm-200-mm-polypropylen-premium-qualitaet/8414200-A</t>
  </si>
  <si>
    <t xml:space="preserve">1/4 PP 200 mm, transparent; Hendi HACCP storage container, material 'Polypropylen, BPA frei' stated on page, GN 1/4 x 200 mm (lid sold separately), art. 10017118; 'zzgl. MwSt.'. Price shown excl. VAT (DE 19%). YES Gastro SKU GNPP-14200.</t>
  </si>
  <si>
    <t xml:space="preserve">https://www.allpax.de/product_info.php/info/Hendi-HACCP-Aufbewahrungsbehaelter-GN-1-4-200-mm.html</t>
  </si>
  <si>
    <t xml:space="preserve">GN Behälter mit Skalierung, GN 1/4 - 200 mm, transparent, Polypropylen, GN 84 Serie</t>
  </si>
  <si>
    <t xml:space="preserve">1/4 PP 200 mm, transparent; PP stated on page, GN 1/4 x 200 mm, art. 8414200; net price shown 5.07 EUR, gross incl. 19% USt 6.03 EUR, UVP 8.33 EUR (gross). Price shown excl. VAT (DE 19%). YES Gastro SKU GNPP-14200.</t>
  </si>
  <si>
    <t xml:space="preserve">https://gastro-spirit.de/behaelter-mit-skalierung-gn-1-4-serie-gn-84-8414200</t>
  </si>
  <si>
    <t xml:space="preserve">1/4 PP 200 mm, transparent; Schneider PP (polypropylene) bare container GN 1/4 x 200 mm, art. 530033; net price, gross incl. MwSt shown separately ('zzgl. MwSt.'). Price shown excl. VAT (DE 19%). YES Gastro SKU GNPP-14200.</t>
  </si>
  <si>
    <t xml:space="preserve">https://www.gastro-hero.de/products/schneider-pp-gn-14-behaelter-200-mm-48-l-530033</t>
  </si>
  <si>
    <t xml:space="preserve">WAS GN 84 Behälter 1/4-200 mm Polypropylen</t>
  </si>
  <si>
    <t xml:space="preserve">1/4 PP 200 mm, transparent; WAS GN 84 polypropylene container GN 1/4 x 200 mm, SKU WAS-8414200; 'zzgl. 19% MwSt.'. Price shown excl. VAT (DE 19%). YES Gastro SKU GNPP-14200.</t>
  </si>
  <si>
    <t xml:space="preserve">https://www.gastrodax.de/was-gn-84-behaelter-1-4-200-mm-polypropylen</t>
  </si>
  <si>
    <t xml:space="preserve">Contacto GastroNorm-Behälter GN 1/4 Polypropylen 4,5 l</t>
  </si>
  <si>
    <t xml:space="preserve">1/4 PP 200 mm, transparent-weiß; Contacto PP GN 1/4 x 200 mm (4.5 l), lid sold separately; SKU CTO-5514/200; sale price (-20%), regular 7.45 EUR; 'zzgl. 19% MwSt.'. Price shown excl. VAT (DE 19%). YES Gastro SKU GNPP-14200.</t>
  </si>
  <si>
    <t xml:space="preserve">https://www.gastrodax.de/contacto-gn-behaelter-polypropylen-4-5-l-1-4</t>
  </si>
  <si>
    <t xml:space="preserve">Auf Lager (3-5 Werktage)</t>
  </si>
  <si>
    <t xml:space="preserve">1/4 PP 200 mm, transparent; PP container GN 1/4 x 200 mm; Bestell-Nr 252279, Hersteller-Nr 8414200; 'Preis pro Stück, zzgl. MwSt'; UVP 7.00 EUR; Staffelpreise ab 3: 5.51, ab 24: 4.69. Price shown excl. VAT (DE 19%). YES Gastro SKU GNPP-14200.</t>
  </si>
  <si>
    <t xml:space="preserve">https://www.intergastro.de/gastronormbehaelter-gn-1-4-x-200-mm-gn-84-polypropylen-transparent-252279</t>
  </si>
  <si>
    <t xml:space="preserve">Gastronádoba polypropylenová - GN 1/4, 5,5L, 200mm Hendi</t>
  </si>
  <si>
    <t xml:space="preserve">1/4 PP 200 mm, transparent; CLOSE (curated): page description belongs to the 150 mm item; depth taken from title/URL only | EXACT: Hendi PP container GN 1/4 200 mm per title/URL (5,5 l), "materiál: průhledný polypropylen"; note the description text is copy-pasted from the 150 mm item; code 880302; page shows 190 Kč (s DPH) and "157 Kč bez DPH". Price shown incl. VAT (CZ 21%); VAT removed for the net price. YES Gastro SKU GNPP-14200.</t>
  </si>
  <si>
    <t xml:space="preserve">https://www.gastrofans.cz/gastronadoba-1-4-pp-transparent-5-5-l-265x162x-h-200-mm/</t>
  </si>
  <si>
    <t xml:space="preserve">Gastronádoba GN 1/4 200 mm, HACCP polypropylen | HENDI, 880357</t>
  </si>
  <si>
    <t xml:space="preserve">1/4 PP 200 mm, transparent; EXACT: Hendi PP container GN 1/4 200 mm, parameter "materiál: polypropylen"; code 880357; page shows "Cena bez DPH: 237 Kč" and "Cena s DPH: 287 Kč". Price shown excl. VAT (CZ 21%); page read with a headless browser (prices rendered by JavaScript). YES Gastro SKU GNPP-14200.</t>
  </si>
  <si>
    <t xml:space="preserve">https://www.gastromania.cz/gastronadoby-polypropylenove/gastronadoba-gn-1-4-200-mm-haccp-polypropylen-hendi-880357</t>
  </si>
  <si>
    <t xml:space="preserve">APS GN-nádoba polypropylen, GN 1/4, obsah: 5,50 litrů, hloubka: 200 mm</t>
  </si>
  <si>
    <t xml:space="preserve">1/4 PP 200 mm, milky (opaque); EXACT: APS PP container GN 1/4 200 mm, parameter "Materiál: Polypropylen"; code 227776583; page shows 315 Kč incl. and "260 Kč bez DPH". Price shown excl. VAT (CZ 21%). YES Gastro SKU GNPP-14200.</t>
  </si>
  <si>
    <t xml:space="preserve">https://www.gastrozone.cz/aps-gn-nadoba-z-polypropylenu-gn-1-4-objem-5-50-litru-hloubka-200-mm.html</t>
  </si>
  <si>
    <t xml:space="preserve">Gastronorm GN 1/4 (h=200 mm) polypropylenová</t>
  </si>
  <si>
    <t xml:space="preserve">1/4 PP 200 mm; EXACT: GN 1/4, h=200 mm, Materiál: polypropylen; cat. no. 3120137; page shows 106 CZK (s DPH) and "cena bez DPH: 88 CZK". Price shown incl. VAT (CZ 21%); VAT removed for the net price. YES Gastro SKU GNPP-14200.</t>
  </si>
  <si>
    <t xml:space="preserve">https://www.gastrosance.cz/gn-1/4--h-200-mm--polypropylenova</t>
  </si>
  <si>
    <t xml:space="preserve">Kontejner GN 1/4 HACCP, HENDI, GN 1/4, 5,5L, Průhledná, 265x162x(H)200mm</t>
  </si>
  <si>
    <t xml:space="preserve">1/4 PP 200 mm, transparent; EXACT: Hendi HACCP container GN 1/4 H 200 mm, page parameter "materiál: PP (polypropylén)"; Hendi code 880357; current (discounted) price 164.00 Kč incl., regular 169,42 Kč, shown "135,54 Kč" bez DPH. Price shown incl. VAT (CZ 21%); VAT removed for the net price. YES Gastro SKU GNPP-14200.</t>
  </si>
  <si>
    <t xml:space="preserve">https://www.promos-gastro.cz/gastro-profi-nadobi-nacini-nerez-hrnce-panvicky-talire-pribory/gastronadoby-nerezove-plne-derovane-smalt-plechy-na-peceni/gastronadoby-polypropylenove-polykarbonatove/haccp-zasobniky-plast-gn/59075-kontejner-gn-1-4-haccp-hendi-gn-1-4-55l-pruhledna-265x162xh200mm.html</t>
  </si>
  <si>
    <t xml:space="preserve">Nádoba GN 1/4, HENDI, GN 1/4, 5,5L, Priehľadná, 265x162x(H)200mm Kód: 880357</t>
  </si>
  <si>
    <t xml:space="preserve">1/4 PP 200 mm, clear; material not in product name; HENDI HACCP 880 series: product page 880173 states "Materiály: PP (Polypropylén)"; price shown 6.75 € (net) / 8,30 € s DPH; code 880357 Price shown excl. VAT (SK 23%). YES Gastro SKU GNPP-14200.</t>
  </si>
  <si>
    <t xml:space="preserve">Gastronádoba GN 1/4 200 mm z polypropylenu | HENDI, Profi Line</t>
  </si>
  <si>
    <t xml:space="preserve">1/4 PP 200 mm, clear (not stated); SKU HENDI-880302; other offers on this shop for the same variant: HENDI 11.37 (in stock) Price shown incl. VAT (SK 23%); VAT removed for the net price. YES Gastro SKU GNPP-14200.</t>
  </si>
  <si>
    <t xml:space="preserve">https://gastromania.sk/gastronadoby-polypropylenove/gastronadoba-gn-1-4-200-mm-z-polypropylenu-hendi-profi-line</t>
  </si>
  <si>
    <t xml:space="preserve">APS GN-nádoba Polypropylen, GN 1/4, Obsah: 5,50 litra, Hĺbka: 200 mm</t>
  </si>
  <si>
    <t xml:space="preserve">1/4 PP 200 mm, clear (not stated); listing shows gross 12,69 €; 'bez DPH' net 10.32 EUR on product page; SKU 227776583 Price shown incl. VAT (SK 23%); VAT removed for the net price. YES Gastro SKU GNPP-14200.</t>
  </si>
  <si>
    <t xml:space="preserve">https://www.gastrozone.sk/aps-gn-nadoba-z-polypropylenu-gn-1-4-objem-5-50-litru-hloubka-200-mm.html</t>
  </si>
  <si>
    <t xml:space="preserve">GN-Gastronádoby, polypropylénové, GN 1/4 (265 x 162 mm) 200 mm</t>
  </si>
  <si>
    <t xml:space="preserve">1/4 PP 200 mm, clear (not stated); listing price incl. VAT (product page of PP lid 1/4 shows 2,60 € s DPH / 2,11 € bez DPH) Price shown incl. VAT (SK 23%); VAT removed for the net price. YES Gastro SKU GNPP-14200.</t>
  </si>
  <si>
    <t xml:space="preserve">Nádoba GN 1/4, HENDI, Profi Line, GN 1/4, 5,5 l, Priehľadná, 265 × 162 × 200 mm | 880302</t>
  </si>
  <si>
    <t xml:space="preserve">1/4 PP 200 mm, clear; material from shop category POLYPROPYLÉNOVÉ NÁDOBY (HENDI 880 series = polypropylene); 'bez DPH' price shown; gross 5.62 EUR Price shown excl. VAT (SK 23%). YES Gastro SKU GNPP-14200.</t>
  </si>
  <si>
    <t xml:space="preserve">Vascheta GN 1/6 polipropilena Bufet Safe, 1 litru, H 65 mm</t>
  </si>
  <si>
    <t xml:space="preserve">1/6 PP 65 mm, white; EXACT: Stalgast "Bufet Safe" PP container, size/depth in name, page spec "Constructie: polipropilena". Shown "7.81 lei fără TVA (9.45 lei cu TVA)". Price shown excl. VAT (RO 21%). YES Gastro SKU GNPP-1665.</t>
  </si>
  <si>
    <t xml:space="preserve">https://direca.ro/shop/vascheta-gn-1-6-polipropilena-bufet-safe-1-litru-h-65-mm/</t>
  </si>
  <si>
    <t xml:space="preserve">(12 bucăți) Recipient din polipropilenă GN 1/6 – Culoare opacă – Înălțime: 65 mm</t>
  </si>
  <si>
    <t xml:space="preserve">1/6 PP 65 mm, white; EXACT: size, depth and material in name. Pack of 12 pcs, price per pack net (footnote "* Toate prețurile plus TVA 19%" on RO storefront); tier offer "1.334,94 RON Reducere-45%"; RRP 231,59 RON; SKU GPP1665; listing dims W 156 x D 171 x H 65 mm. Price shown excl. VAT (RO 21%); pack of 12, converted to per piece; page read with a headless browser (prices rendered by JavaScript). YES Gastro SKU GNPP-1665.</t>
  </si>
  <si>
    <t xml:space="preserve">https://www.ggmgastro.com/ro-ro-ron/12-bucati-recipient-din-polipropilena-gn-1-6-culoare-opaca-inaltime-65-mm-gpp1665</t>
  </si>
  <si>
    <t xml:space="preserve">APS GN-Container Polypropylen, GN 1/6, Capacitate: 1,00 litru, Adancime: 65 mm</t>
  </si>
  <si>
    <t xml:space="preserve">1/6 PP 65 mm, white; EXACT: APS polypropylene GN container, size/depth/material in name. SKU 227776584. Listing price is gross; product page shows gross and "fără TVA" net below it. Price shown incl. VAT (RO 21%); VAT removed for the net price. YES Gastro SKU GNPP-1665.</t>
  </si>
  <si>
    <t xml:space="preserve">https://www.gastrozone.ro/container-aps-gn-polipropilen-gn-1-6-capacitate-1-00-litri-adancime-65-mm.html</t>
  </si>
  <si>
    <t xml:space="preserve">Recipientă GN 1/6 din polipropilenă, 6.5 cm | APS 82136</t>
  </si>
  <si>
    <t xml:space="preserve">1/6 PP 65 mm, white; EXACT: size, depth and material (polipropilena) in product name. Listing shows "Pret net 14.93 RON" and "Pret brut 18.06 RON/buc". Price shown excl. VAT (RO 21%). YES Gastro SKU GNPP-1665.</t>
  </si>
  <si>
    <t xml:space="preserve">https://mmgastro.ro/ro/products/recipienta-gn-1-6-din-polipropilena-6-5-cm-aps-82136-162400</t>
  </si>
  <si>
    <t xml:space="preserve">Recipient GN 1/6 adâncime 6,5 cm din polipropilenă HACCP | HENDI 880487</t>
  </si>
  <si>
    <t xml:space="preserve">1/6 PP 65 mm, white; EXACT: size, depth and material (polipropilena) in product name. Listing shows "Pret net 14.11 RON" and "Pret brut 17.07 RON/buc". Price shown excl. VAT (RO 21%). YES Gastro SKU GNPP-1665.</t>
  </si>
  <si>
    <t xml:space="preserve">https://mmgastro.ro/ro/products/recipient-gn-1-6-adancime-6-5-cm-din-polipropilena-haccp-hendi-880487-131252</t>
  </si>
  <si>
    <t xml:space="preserve">Hendi HACCP Aufbewahrungsbehälter GN 1/6, 65 mm</t>
  </si>
  <si>
    <t xml:space="preserve">1/6 PP 65 mm; EXACT: Hendi HACCP container, bullet 'Polypropylen, BPA frei' on listing/product page; price from category listing 'Zutaten- und Lagerbehälter'; Steuerhinweis 'exkl. MwSt. zzgl. Versandkosten'. Price shown excl. VAT (AT 20%). YES Gastro SKU GNPP-1665.</t>
  </si>
  <si>
    <t xml:space="preserve">https://www.allpax.at/product_info.php/info/Hendi-HACCP-Aufbewahrungsbehaelter-GN-1-6-65-mm.html</t>
  </si>
  <si>
    <t xml:space="preserve">(12 Stück) Polypropylen-Behälter GN 1/6 - Milchig - Höhe: 65mm</t>
  </si>
  <si>
    <t xml:space="preserve">1/6 PP 65 mm, milky; EXACT: 'Polypropylen-Behälter' milky PP, Art. GPP1665, pack of 12; price per pack, footnote '* alle Preise zzgl. MwSt. 19%' (AT storefront oddly states 19%); UVP 43.99 €, struck-through regular price 42.71 €. Price shown excl. VAT (AT 20%); pack of 12, converted to per piece; page read with a headless browser (prices rendered by JavaScript). YES Gastro SKU GNPP-1665.</t>
  </si>
  <si>
    <t xml:space="preserve">https://www.ggmgastro.com/de-at-eur/12-stueck-polypropylen-behaelter-gn-1-6-milchig-hoehe-65mm-gpp1665</t>
  </si>
  <si>
    <t xml:space="preserve">Hendi GN-Behälter mit Deckel und HACCP-Clips, GN 1/6, 65 mm, 1,1 L, PP</t>
  </si>
  <si>
    <t xml:space="preserve">1/6 PP 65 mm, transparent; CLOSE: Hendi PP container sold with lid and HACCP clips (no bare PP container of this size/depth at this shop); 'Material: Polypropylen (PP)'; net price, page adds 'inkl. MwSt.' price at +19%; Hendi art. 873151. Price shown excl. VAT (AT 20%). YES Gastro SKU GNPP-1665.</t>
  </si>
  <si>
    <t xml:space="preserve">https://www.gastro-hero.at/products/hendi-gn-behaelter-mit-deckel-und-haccp-clips-gn-16-65-mm-11-l-pp-873151</t>
  </si>
  <si>
    <t xml:space="preserve">Hendi Gastronorm-Behälter 1/6, GN 1/6, 1L, Transparent, 176x162x(H)65mm – Polypropylen</t>
  </si>
  <si>
    <t xml:space="preserve">1/6 PP 65 mm, transparent; EXACT: '– Polypropylen' in product name; Hendi art. 880487; listing price 'zzgl. 19% MwSt., zzgl. Versandkosten' (German shop, 19% VAT). Price shown excl. VAT (AT 20%). YES Gastro SKU GNPP-1665.</t>
  </si>
  <si>
    <t xml:space="preserve">https://www.gastrodax.de/hendi-haccp-aufbewahrungsbehaelter-gn-1-6-1-l-transparent-176-x-162-x-h-65-mm</t>
  </si>
  <si>
    <t xml:space="preserve">Gastronormbehälter GN 1/6 x 65 mm GN 84 Polypropylen transparent</t>
  </si>
  <si>
    <t xml:space="preserve">1/6 PP 65 mm, transparent; EXACT: 'GN 84 Polypropylen' in product name, spec 'Materialtyp: Polypropylen'; WAS Germany Bestell-Nr. 252459; 1-piece net price ('Preis pro Stück, zzgl. MwSt'), quantity tiers ab 3/6/12/24 pcs cheaper (down to ca. -20%); UVP 3.00 €; alternative WAS GN 89 series same size/depth: 3.13 € (Bestell-Nr. 252573). Price shown excl. VAT (AT 20%); page read with a headless browser (prices rendered by JavaScript). YES Gastro SKU GNPP-1665.</t>
  </si>
  <si>
    <t xml:space="preserve">https://www.intergastro.at/gastronormbehaelter-gn-1-6-x-65-mm-gn-84-polypropylen-transparent-252459</t>
  </si>
  <si>
    <t xml:space="preserve">GN-Behälter - BPA frei - Serie 84 - Inhalt 1,0 l - GN 1/6 (176 x 162 mm) - 65 mm - Polypropylen - premium Qualität</t>
  </si>
  <si>
    <t xml:space="preserve">1/6 PP 65 mm, transparent; EXACT: material 'Polypropylen' in product name; cheapest PP series for this size at this shop, Art.-Nr. 8416065-A; sale price, regular price 3,00 €; 'Preise zzgl. MwSt. zzgl. Versandkosten'. Other PP series same size/depth: 530040-C 2.40€; 82136-B 2.40€; 8916065-A 2.70€. Price shown excl. VAT (AT 20%). YES Gastro SKU GNPP-1665.</t>
  </si>
  <si>
    <t xml:space="preserve">https://shopbuero.com/gn-behaelter-bpa-frei-serie-84-inhalt-1-0-l-gn-1-6-176-x-162-mm-65-mm-polypropylen-premium-qualitaet/8416065-A</t>
  </si>
  <si>
    <t xml:space="preserve">1/6 PP 65 mm, transparent; Hendi HACCP storage container, material 'Polypropylen, BPA frei' stated on page, GN 1/6 x 65 mm (lid sold separately), art. 10016679; 'zzgl. MwSt.'. Price shown excl. VAT (DE 19%). YES Gastro SKU GNPP-1665.</t>
  </si>
  <si>
    <t xml:space="preserve">https://www.allpax.de/product_info.php/info/Hendi-HACCP-Aufbewahrungsbehaelter-GN-1-6-65-mm.html</t>
  </si>
  <si>
    <t xml:space="preserve">1/6 PP 65 mm, milchig/transparent; Polypropylen container GN 1/6 x 65 mm sold as pack of 12; price per pack, '* Nettopreis | Bruttopreis inkl. 19% MwSt.' shown; UVP 43.99 EUR; art. GPP1665. Price shown excl. VAT (DE 19%); pack of 12, converted to per piece; page read with a headless browser (prices rendered by JavaScript). YES Gastro SKU GNPP-1665.</t>
  </si>
  <si>
    <t xml:space="preserve">https://www.ggmgastro.com/de-de-eur/12-stueck-polypropylen-behaelter-gn-1-6-milchig-hoehe-65mm-gpp1665</t>
  </si>
  <si>
    <t xml:space="preserve">GN Behälter mit Skalierung, GN 1/6 - 65 mm, transparent, Polypropylen, GN 84 Serie</t>
  </si>
  <si>
    <t xml:space="preserve">1/6 PP 65 mm, transparent; PP stated on page, GN 1/6 x 65 mm, art. 8416065; net price shown 2.17 EUR, gross incl. 19% USt 2.58 EUR, UVP 3.57 EUR (gross). Price shown excl. VAT (DE 19%). YES Gastro SKU GNPP-1665.</t>
  </si>
  <si>
    <t xml:space="preserve">https://gastro-spirit.de/behaelter-mit-skalierung-gn-1-6-serie-gn-84-8416065</t>
  </si>
  <si>
    <t xml:space="preserve">Schneider PP GN 1/6 Behälter 65 mm, 1 l</t>
  </si>
  <si>
    <t xml:space="preserve">1/6 PP 65 mm, transparent; Schneider PP (polypropylene) bare container GN 1/6 x 65 mm, art. 530040; net price, gross incl. MwSt shown separately ('zzgl. MwSt.'). Price shown excl. VAT (DE 19%). YES Gastro SKU GNPP-1665.</t>
  </si>
  <si>
    <t xml:space="preserve">https://www.gastro-hero.de/products/schneider-pp-gn-16-behaelter-65-mm-1-l-530040</t>
  </si>
  <si>
    <t xml:space="preserve">WAS GN 89 Behälter 1/6-065 mm mit Skalierung Polypropylen</t>
  </si>
  <si>
    <t xml:space="preserve">1/6 PP 65 mm, weiß; WAS GN 89 polypropylene container GN 1/6 x 65 mm, SKU WAS-8916065; 'zzgl. 19% MwSt.'. Price shown excl. VAT (DE 19%). YES Gastro SKU GNPP-1665.</t>
  </si>
  <si>
    <t xml:space="preserve">https://www.gastrodax.de/was-gn-89-behaelter-1-6-065-mm-mit-skalierung-polypropylen</t>
  </si>
  <si>
    <t xml:space="preserve">1/6 PP 65 mm, transparent; PP container GN 1/6 x 65 mm; Bestell-Nr 252459, Hersteller-Nr 8416065; 'Preis pro Stück, zzgl. MwSt'; UVP 3.00 EUR; Staffelpreise ab 3: 2.32, ab 24: 1.98. Price shown excl. VAT (DE 19%). YES Gastro SKU GNPP-1665.</t>
  </si>
  <si>
    <t xml:space="preserve">https://www.intergastro.de/gastronormbehaelter-gn-1-6-x-65-mm-gn-84-polypropylen-transparent-252459</t>
  </si>
  <si>
    <t xml:space="preserve">Cambro Safetrak IML Aufbewahrungsbehälter für Lebensmittel aus Polypropylen 1/6 GN 65mm</t>
  </si>
  <si>
    <t xml:space="preserve">1/6 PP 65 mm, transparent; Polypropylen GN 1/6 x 65 mm container (material and depth in product name), art. JN515; 'Zzgl. MwSt.'; Cambro SafeTrak bare container; reduced web price, 'BISHER' 3.95 EUR. Price shown excl. VAT (DE 19%); page read with a headless browser (prices rendered by JavaScript). YES Gastro SKU GNPP-1665.</t>
  </si>
  <si>
    <t xml:space="preserve">https://www.nisbets.de/cambro-safetrak-iml-aufbewahrungsbehlter-fr-lebensmittel-aus-polypropylen-16-gn-65mm/jn515</t>
  </si>
  <si>
    <t xml:space="preserve">Gastronádoba HACCP - HN 1/6, 65mm Hendi</t>
  </si>
  <si>
    <t xml:space="preserve">1/6 PP 65 mm, transparent; EXACT: Hendi HACCP PP container GN 1/6 65 mm (title typo "HN 1/6"), "materiál: průhledný polypropylen", 176x162x65 mm; code 880487; page shows 108 Kč (s DPH) and "89 Kč bez DPH". Price shown incl. VAT (CZ 21%); VAT removed for the net price. YES Gastro SKU GNPP-1665.</t>
  </si>
  <si>
    <t xml:space="preserve">https://www.gastrofans.cz/zasobnik-gn-1-6-haccp-transparent-1-l-176x162x-h-65-mm/</t>
  </si>
  <si>
    <t xml:space="preserve">Gastronádoba GN 1/6 65 mm, HACCP polypropylen | HENDI, 880487</t>
  </si>
  <si>
    <t xml:space="preserve">1/6 PP 65 mm, transparent; EXACT: Hendi PP container GN 1/6 65 mm, parameter "materiál: polypropylen"; code 880487; page shows "Cena bez DPH: 113 Kč" and "Cena s DPH: 137 Kč". Price shown excl. VAT (CZ 21%); page read with a headless browser (prices rendered by JavaScript). YES Gastro SKU GNPP-1665.</t>
  </si>
  <si>
    <t xml:space="preserve">https://www.gastromania.cz/gastronadoby-polypropylenove/gastronadoba-gn-1-6-65-mm-haccp-polypropylen-hendi-880487</t>
  </si>
  <si>
    <t xml:space="preserve">APS GN-nádoba polypropylen, GN 1/6, objem: 1,00 litr, hloubka: 65 mm</t>
  </si>
  <si>
    <t xml:space="preserve">1/6 PP 65 mm, milky (opaque); EXACT: APS PP container GN 1/6 65 mm, parameter "Materiál: Polypropylen"; code 227776584; page shows 124 Kč incl. and "102 Kč bez DPH". Price shown excl. VAT (CZ 21%). YES Gastro SKU GNPP-1665.</t>
  </si>
  <si>
    <t xml:space="preserve">https://www.gastrozone.cz/aps-gn-nadoba-z-polypropylenu-gn-1-6-objem-1-00-litr-hloubka-65-mm.html</t>
  </si>
  <si>
    <t xml:space="preserve">Gastronorm GN 1/6 (h=65 mm) polypropylenová</t>
  </si>
  <si>
    <t xml:space="preserve">1/6 PP 65 mm; EXACT: GN 1/6, h=65 mm, Materiál: polypropylen; cat. no. 3120144; page shows 48 CZK (s DPH) and "cena bez DPH: 40 CZK". Price shown incl. VAT (CZ 21%); VAT removed for the net price. YES Gastro SKU GNPP-1665.</t>
  </si>
  <si>
    <t xml:space="preserve">https://www.gastrosance.cz/gn-1/6--h-65-mm--polypropylenova</t>
  </si>
  <si>
    <t xml:space="preserve">Gastronádoba polypropylenová GN 1/6 65 mm</t>
  </si>
  <si>
    <t xml:space="preserve">1/6 PP 65 mm, transparent; EXACT: name "polypropylenová" GN 1/6 65 mm, Cambro MP (polypropylene) series, code R-MP16065; page shows 82 Kč (incl.) and "68 Kč bez DPH". Price shown incl. VAT (CZ 21%); VAT removed for the net price. YES Gastro SKU GNPP-1665.</t>
  </si>
  <si>
    <t xml:space="preserve">https://www.tomgast.cz/gastronadoba-polypropylenova-gn-1-6-65-mm/</t>
  </si>
  <si>
    <t xml:space="preserve">Nádoba GN 1/6, HENDI, GN 1/6, 1L, Priehľadná, 176x162x(H)65mm Kód: 880487</t>
  </si>
  <si>
    <t xml:space="preserve">1/6 PP 65 mm, clear; material not in product name; HENDI HACCP 880 series: product page 880173 states "Materiály: PP (Polypropylén)"; price shown 3.05 € (net) / 3,75 € s DPH; code 880487 Price shown excl. VAT (SK 23%). YES Gastro SKU GNPP-1665.</t>
  </si>
  <si>
    <t xml:space="preserve">Nádoba z polypropylénu GN 1/6, 65 mm | STALGAST, Bufet Safe</t>
  </si>
  <si>
    <t xml:space="preserve">1/6 PP 65 mm, clear (not stated); SKU STALGAST-166064; other offers on this shop for the same variant: CAMBRO 3.35 (in stock); STALGAST 4.27 (in stock); HENDI 5.44 (in stock); HENDI 7.84 (in stock) Price shown incl. VAT (SK 23%); VAT removed for the net price. YES Gastro SKU GNPP-1665.</t>
  </si>
  <si>
    <t xml:space="preserve">https://gastromania.sk/gastronadoby-polypropylenove/nadoba-z-polypropylenu-gn-1-6-65-mm-stalgast-bufet-safe</t>
  </si>
  <si>
    <t xml:space="preserve">Pujadas gastro nádoba GN 1/6 176x162 mm polypropylen v=65 mm</t>
  </si>
  <si>
    <t xml:space="preserve">1/6 PP 65 mm, clear (not stated); listing shows gross 4,49 €; 'bez DPH' net 3.65 EUR on product page; SKU 227705323; other offers on this shop for the same variant: APS 4.39 (Na objednávku (3-5 t) Price shown incl. VAT (SK 23%); VAT removed for the net price. YES Gastro SKU GNPP-1665.</t>
  </si>
  <si>
    <t xml:space="preserve">https://www.gastrozone.sk/pujadas-gastro-nadoba-gn-1-6-176x162-mm-polypropylen-v-65-mm.html</t>
  </si>
  <si>
    <t xml:space="preserve">GN-Gastronádoby, polypropylénové, GN 1/6 (176 x 162 mm) 65 mm</t>
  </si>
  <si>
    <t xml:space="preserve">1/6 PP 65 mm, clear (not stated); listing price incl. VAT (product page of PP lid 1/4 shows 2,60 € s DPH / 2,11 € bez DPH) Price shown incl. VAT (SK 23%); VAT removed for the net price. YES Gastro SKU GNPP-1665.</t>
  </si>
  <si>
    <t xml:space="preserve">Gastronádoba polypropylénová GN 1/6 065 mm</t>
  </si>
  <si>
    <t xml:space="preserve">1/6 PP 65 mm, clear (not stated); 'bez DPH' price shown; gross 3.62 EUR; other offers on this shop for the same variant: not stated (shop own line) 3.07 (in stock); HENDI 3.82 (in stock) Price shown excl. VAT (SK 23%). YES Gastro SKU GNPP-1665.</t>
  </si>
  <si>
    <t xml:space="preserve">Vascheta GN 1/6 polipropilena Bufet Safe, 2 litri, H 150 mm</t>
  </si>
  <si>
    <t xml:space="preserve">1/6 PP 150 mm, white; EXACT: Stalgast "Bufet Safe" PP container, size/depth in name, page spec "Constructie: polipropilena". Shown "12.84 lei fără TVA (15.54 lei cu TVA)". Price shown excl. VAT (RO 21%). YES Gastro SKU GNPP-16150.</t>
  </si>
  <si>
    <t xml:space="preserve">https://direca.ro/shop/vascheta-gn-1-6-polipropilena-bufet-safe-2-litri-h-150-mm/</t>
  </si>
  <si>
    <t xml:space="preserve">Cutie polipropilena cu capac 2.6 litri GN1/6 – Stalgast</t>
  </si>
  <si>
    <t xml:space="preserve">1/6 PP 150 mm, white; CLOSE: Stalgast PP box sold bundled with sealing lid (cutie cu capac); dimensions on product page confirm depth; price "( inclusiv T.V.A. )". Price shown incl. VAT (RO 21%); VAT removed for the net price. YES Gastro SKU GNPP-16150.</t>
  </si>
  <si>
    <t xml:space="preserve">https://www.fimax.ro/produs/cutie-polipropilena-cu-capac-2-6-litri-gn1-6-stalgast/</t>
  </si>
  <si>
    <t xml:space="preserve">(12 bucăți) Recipiente din polipropilenă GN 1/6 – de culoare lăptoasă – înălțime: 150 mm</t>
  </si>
  <si>
    <t xml:space="preserve">1/6 PP 150 mm, white; EXACT: size, depth and material in name. Pack of 12 pcs, price per pack net (footnote "* Toate prețurile plus TVA 19%" on RO storefront); tier offer "1.699,59 RON Reducere-25%"; RRP 405,33 RON; SKU GPP16150-12; listing dims W 170 x D 158 x H 145 mm. Price shown excl. VAT (RO 21%); pack of 12, converted to per piece; page read with a headless browser (prices rendered by JavaScript). YES Gastro SKU GNPP-16150.</t>
  </si>
  <si>
    <t xml:space="preserve">https://www.ggmgastro.com/ro-ro-ron/12-bucati-recipiente-din-polipropilena-gn-1-6-de-culoare-laptoasa-inaltime-150-mm-gpp16150-12</t>
  </si>
  <si>
    <t xml:space="preserve">APS GN-Containere Polipropilen, GN 1/6, Capacitate: 2,20 litri, Adancime: 150 mm</t>
  </si>
  <si>
    <t xml:space="preserve">1/6 PP 150 mm, white; EXACT: APS polypropylene GN container, size/depth/material in name. SKU 227776587. Listing price is gross; product page shows gross and "fără TVA" net below it. Price shown incl. VAT (RO 21%); VAT removed for the net price. YES Gastro SKU GNPP-16150.</t>
  </si>
  <si>
    <t xml:space="preserve">https://www.gastrozone.ro/recipient-aps-gn-din-polipropilena-gn-1-6-capacitate-2-20-litri-adancime-150-mm.html</t>
  </si>
  <si>
    <t xml:space="preserve">Recipient GN 1/6 ad. 15 cm din polipropilenă Profi Line | HENDI 880418</t>
  </si>
  <si>
    <t xml:space="preserve">1/6 PP 150 mm, white; EXACT: size, depth and material (polipropilena) in product name. Listing shows "Pret net 18.02 RON" and "Pret brut 21.80 RON/buc". Price shown excl. VAT (RO 21%). YES Gastro SKU GNPP-16150.</t>
  </si>
  <si>
    <t xml:space="preserve">https://mmgastro.ro/ro/products/recipient-gn-1-6-ad-15-cm-din-polipropilena-profi-line-hendi-880418-130573</t>
  </si>
  <si>
    <t xml:space="preserve">Hendi HACCP Aufbewahrungsbehälter GN 1/6, 150 mm</t>
  </si>
  <si>
    <t xml:space="preserve">1/6 PP 150 mm; EXACT: Hendi HACCP container, bullet 'Polypropylen, BPA frei' on listing/product page; price from category listing 'Zutaten- und Lagerbehälter'; Steuerhinweis 'exkl. MwSt. zzgl. Versandkosten'. Price shown excl. VAT (AT 20%). YES Gastro SKU GNPP-16150.</t>
  </si>
  <si>
    <t xml:space="preserve">https://www.allpax.at/product_info.php/info/Hendi-HACCP-Aufbewahrungsbehaelter-GN-1-6-150-mm.html</t>
  </si>
  <si>
    <t xml:space="preserve">Polypropylen Behälter GN 1/6 – 176x162x150mm</t>
  </si>
  <si>
    <t xml:space="preserve">1/6 PP 150 mm; EXACT: PP in product name and category 'Polypropylen - GN - Behälter', brand HENDI; page shows net price with '(€ x inkl. MwSt.) Zzgl. 20% MwSt.'; listing price. Price shown excl. VAT (AT 20%). YES Gastro SKU GNPP-16150.</t>
  </si>
  <si>
    <t xml:space="preserve">https://www.gastro-star.at/produkt/polypropylenbehaeltergn16-176x162x150mm/</t>
  </si>
  <si>
    <t xml:space="preserve">Hendi GN-Behälter mit Deckel und HACCP-Clips, GN 1/6, 150 mm, 2,6 L, PP</t>
  </si>
  <si>
    <t xml:space="preserve">1/6 PP 150 mm, transparent; CLOSE: Hendi PP container sold with lid and HACCP clips (no bare PP container of this size/depth at this shop); 'Material: Polypropylen (PP)'; net price, page adds 'inkl. MwSt.' price at +19%; Hendi art. 873175. Price shown excl. VAT (AT 20%). YES Gastro SKU GNPP-16150.</t>
  </si>
  <si>
    <t xml:space="preserve">https://www.gastro-hero.at/products/hendi-gn-behaelter-mit-deckel-und-haccp-clips-gn-16-150-mm-26-l-pp-873175</t>
  </si>
  <si>
    <t xml:space="preserve">Hendi Gastronorm-Behälter 1/6, GN 1/6, 2, 4L, Transparent, 176x162x(H)150mm – Polypropylen</t>
  </si>
  <si>
    <t xml:space="preserve">1/6 PP 150 mm, transparent; EXACT: '– Polypropylen' in product name; Hendi art. 880463; listing price 'zzgl. 19% MwSt., zzgl. Versandkosten' (German shop, 19% VAT). Price shown excl. VAT (AT 20%). YES Gastro SKU GNPP-16150.</t>
  </si>
  <si>
    <t xml:space="preserve">https://www.gastrodax.de/hendi-haccp-aufbewahrungsbehaelter-gn-1-6-2-4-l-transparent-176-x-162-x-h-150-mm</t>
  </si>
  <si>
    <t xml:space="preserve">Cambro Polypropylen GN 1/6 Behälter 150mm</t>
  </si>
  <si>
    <t xml:space="preserve">1/6 PP 150 mm; EXACT: 'Polypropylen' in product name/category 'GN-Behälter Polypropylen'; Art. GN-DW509; price footnote '* inkl. MwSt., zzgl. Versand' (rate not stated on page; AT shop → 20% assumed); listing price. Price shown incl. VAT (AT 20%); VAT removed for the net price. YES Gastro SKU GNPP-16150.</t>
  </si>
  <si>
    <t xml:space="preserve">https://www.gastroladen.at/3030@GN-DW509/Cambro-Polypropylen-GN-1-6-Beh%C3%A4lter-150mm.htm</t>
  </si>
  <si>
    <t xml:space="preserve">Gastronormbehälter GN 1/6 x 150 mm GN 84 Polypropylen transparent</t>
  </si>
  <si>
    <t xml:space="preserve">1/6 PP 150 mm, transparent; EXACT: 'GN 84 Polypropylen' in product name, spec 'Materialtyp: Polypropylen'; WAS Germany Bestell-Nr. 264176; 1-piece net price ('Preis pro Stück, zzgl. MwSt'), quantity tiers ab 3/6/12/24 pcs cheaper (down to ca. -20%); UVP 4.00 €; alternative WAS GN 89 series same size/depth: 4.54 € (Bestell-Nr. 252575). Price shown excl. VAT (AT 20%); page read with a headless browser (prices rendered by JavaScript). YES Gastro SKU GNPP-16150.</t>
  </si>
  <si>
    <t xml:space="preserve">https://www.intergastro.at/gastronormbehaelter-gn-1-6-x-150-mm-gn-84-polypropylen-transparent-264176</t>
  </si>
  <si>
    <t xml:space="preserve">GN-Behälter - BPA frei - Serie 84 - Inhalt 2,30 l - GN 1/6 (176 x 162 mm) - 150 mm - Polypropylen - premium Qualität</t>
  </si>
  <si>
    <t xml:space="preserve">1/6 PP 150 mm, transparent; EXACT: material 'Polypropylen' in product name; cheapest PP series for this size at this shop, Art.-Nr. 8416150-A; sale price, regular price 4,00 €; 'Preise zzgl. MwSt. zzgl. Versandkosten'. Other PP series same size/depth: 82140-B 3.20€; 8916150-A 3.90€; 530042-C 4.10€. Price shown excl. VAT (AT 20%). YES Gastro SKU GNPP-16150.</t>
  </si>
  <si>
    <t xml:space="preserve">https://shopbuero.com/gn-behaelter-bpa-frei-serie-84-inhalt-2-30-l-gn-1-6-176-x-162-mm-150-mm-polypropylen-premium-qualitaet/8416150-A</t>
  </si>
  <si>
    <t xml:space="preserve">GN Behälter 1/6, 150 mm aus Kunststoff</t>
  </si>
  <si>
    <t xml:space="preserve">1/6 PP 150 mm, transparent; Unbranded 'GN Behälter 1/6, 150 mm aus Kunststoff'; attribute 'Material: Polypropylen' on page, so EXACT; art. 10021639; 'zzgl. MwSt.'; strikethrough regular price 3.95 EUR. Price shown excl. VAT (DE 19%). YES Gastro SKU GNPP-16150.</t>
  </si>
  <si>
    <t xml:space="preserve">https://www.allpax.de/product_info.php/info/GN-Behaelter-1-6-150-mm-aus-Kunststoff.html</t>
  </si>
  <si>
    <t xml:space="preserve">GN Behälter mit Skalierung, GN 1/6 - 150 mm, transparent, Polypropylen, GN 84 Serie</t>
  </si>
  <si>
    <t xml:space="preserve">1/6 PP 150 mm, transparent; PP stated on page, GN 1/6 x 150 mm, art. 8416150; net price shown 2.90 EUR, gross incl. 19% USt 3.45 EUR, UVP 4.76 EUR (gross). Price shown excl. VAT (DE 19%). YES Gastro SKU GNPP-16150.</t>
  </si>
  <si>
    <t xml:space="preserve">https://gastro-spirit.de/behaelter-mit-skalierung-gn-1-6-serie-gn-84-8416150</t>
  </si>
  <si>
    <t xml:space="preserve">1/6 PP 150 mm, transparent; Right size/depth and PP, but sold bundled with lid and HACCP clips (CLOSE); Hendi art. 873175; no bare Schneider PP container in this size at GastroHero; net, 'zzgl. MwSt.'. Price shown excl. VAT (DE 19%). YES Gastro SKU GNPP-16150.</t>
  </si>
  <si>
    <t xml:space="preserve">https://www.gastro-hero.de/products/hendi-gn-behaelter-mit-deckel-und-haccp-clips-gn-16-150-mm-26-l-pp-873175</t>
  </si>
  <si>
    <t xml:space="preserve">WAS GN 84 Behälter 1/6-150 mm Polypropylen</t>
  </si>
  <si>
    <t xml:space="preserve">1/6 PP 150 mm, transparent; WAS GN 84 polypropylene container GN 1/6 x 150 mm, SKU WAS-8416150; 'zzgl. 19% MwSt.'. Price shown excl. VAT (DE 19%). YES Gastro SKU GNPP-16150.</t>
  </si>
  <si>
    <t xml:space="preserve">https://www.gastrodax.de/was-gn-84-behaelter-1-6-150-mm-polypropylen</t>
  </si>
  <si>
    <t xml:space="preserve">1/6 PP 150 mm, transparent; Cambro PP container GN 1/6 x 150 mm (2,2L), 'Material: Polypropylen' on page, art. DW509; price 'inkl. MwSt., zzgl. 7,95 EUR Versand in D'. Price shown incl. VAT (DE 19%); VAT removed for the net price. YES Gastro SKU GNPP-16150.</t>
  </si>
  <si>
    <t xml:space="preserve">https://www.gastroladen.de/3030@GN-DW509/Cambro-Polypropylen-GN-1-6-Beh%C3%A4lter-150mm.htm</t>
  </si>
  <si>
    <t xml:space="preserve">GN Behälter GN 1/6 x 150 mm Kunststoff (APS)</t>
  </si>
  <si>
    <t xml:space="preserve">1/6 PP 150 mm, transparent; PP container GN 1/6 x 150 mm; title says Kunststoff but spec "Materialtyp: Polypropylen"; Bestell-Nr 253648, APS 82140; 'Preis pro Stück, zzgl. MwSt'; UVP 4.30 EUR; Staffelpreise ab 3: 3.21, ab 24: 2.92. Price shown excl. VAT (DE 19%). YES Gastro SKU GNPP-16150.</t>
  </si>
  <si>
    <t xml:space="preserve">https://www.intergastro.de/gn-behaelter-gn-1-6-x-150-mm-kunststoff-253648</t>
  </si>
  <si>
    <t xml:space="preserve">Cambro Polypropylen GN 1/6 Gastronorm-Behälter 150mm</t>
  </si>
  <si>
    <t xml:space="preserve">1/6 PP 150 mm, transparent; Polypropylen GN 1/6 x 150 mm container (material and depth in product name), art. DW509; 'Zzgl. MwSt.'; reduced web price, 'BISHER' 3.19 EUR. Price shown excl. VAT (DE 19%); page read with a headless browser (prices rendered by JavaScript). YES Gastro SKU GNPP-16150.</t>
  </si>
  <si>
    <t xml:space="preserve">https://www.nisbets.de/cambro-polypropylen-gn-16-behlter-150mm/dw509</t>
  </si>
  <si>
    <t xml:space="preserve">Gastronádoba HACCP - GN 1/6, 150mm Hendi</t>
  </si>
  <si>
    <t xml:space="preserve">1/6 PP 150 mm, transparent; EXACT: Hendi HACCP PP container GN 1/6 150 mm, "materiál: průhledný polypropylen"; shop also lists Hendi 873175 (2,6 l) at 198 Kč; code 880463; page shows 157 Kč (s DPH) and "130 Kč bez DPH". Price shown incl. VAT (CZ 21%); VAT removed for the net price. YES Gastro SKU GNPP-16150.</t>
  </si>
  <si>
    <t xml:space="preserve">https://www.gastrofans.cz/zasobnik-gn-1-6-haccp-transparent-2-4-l-176x162x-h-150-mm/</t>
  </si>
  <si>
    <t xml:space="preserve">Gastronádoba GN 1/6 150 mm, HACCP polypropylen | HENDI, 880463</t>
  </si>
  <si>
    <t xml:space="preserve">1/6 PP 150 mm, transparent; EXACT: Hendi PP container GN 1/6 150 mm, parameter "materiál: polypropylen"; code 880463; page shows "Cena bez DPH: 164 Kč" and "Cena s DPH: 198 Kč". Price shown excl. VAT (CZ 21%); page read with a headless browser (prices rendered by JavaScript). YES Gastro SKU GNPP-16150.</t>
  </si>
  <si>
    <t xml:space="preserve">https://www.gastromania.cz/gastronadoby-polypropylenove/gastronadoba-gn-1-6-150-mm-haccp-polypropylen-hendi-880463</t>
  </si>
  <si>
    <t xml:space="preserve">APS GN-nádoba Polypropylen, GN 1/6, objem: 2,20 litru, hloubka: 150 mm</t>
  </si>
  <si>
    <t xml:space="preserve">1/6 PP 150 mm, milky (opaque); EXACT: APS PP container GN 1/6 150 mm, parameter "Materiál: Polypropylen"; code 227776587; page shows 154 Kč incl. and "127 Kč bez DPH". Price shown excl. VAT (CZ 21%). YES Gastro SKU GNPP-16150.</t>
  </si>
  <si>
    <t xml:space="preserve">https://www.gastrozone.cz/aps-gn-nadoba-z-polypropylenu-gn-1-6-objem-2-20-litru-hloubka-150-mm.html</t>
  </si>
  <si>
    <t xml:space="preserve">Gastronorm GN 1/6 (h=150 mm) polypropylenová</t>
  </si>
  <si>
    <t xml:space="preserve">1/6 PP 150 mm; EXACT: GN 1/6, h=150 mm, Materiál: polypropylen; cat. no. 3120146; page shows 91 CZK (s DPH) and "cena bez DPH: 75 CZK". Price shown incl. VAT (CZ 21%); VAT removed for the net price. YES Gastro SKU GNPP-16150.</t>
  </si>
  <si>
    <t xml:space="preserve">https://www.gastrosance.cz/gn-1/6--h-150-mm--polypropylenova</t>
  </si>
  <si>
    <t xml:space="preserve">Gastronádoba polypropylenová GN 1/6 150 mm</t>
  </si>
  <si>
    <t xml:space="preserve">1/6 PP 150 mm, transparent; EXACT: name "polypropylenová" GN 1/6 150 mm, Cambro MP (polypropylene) series, code R-MP16150; page shows 122 Kč (incl.) and "101 Kč bez DPH". Price shown incl. VAT (CZ 21%); VAT removed for the net price. YES Gastro SKU GNPP-16150.</t>
  </si>
  <si>
    <t xml:space="preserve">https://www.tomgast.cz/gastronadoba-polypropylenova-gn-1-6-150-mm-2/</t>
  </si>
  <si>
    <t xml:space="preserve">Nádoba GN 1/6, HENDI, GN 1/6, 2,4L, Priehľadná, 176x162x(H)150mm Kód: 880463</t>
  </si>
  <si>
    <t xml:space="preserve">1/6 PP 150 mm, clear; material not in product name; HENDI HACCP 880 series: product page 880173 states "Materiály: PP (Polypropylén)"; price shown 4.30 € (net) / 5,29 € s DPH; code 880463; promo – regular (Pôvodne) 4,45 € bez DPH Price shown excl. VAT (SK 23%). YES Gastro SKU GNPP-16150.</t>
  </si>
  <si>
    <t xml:space="preserve">Cambro polypropylénová GN 1/6 nádoba 15cm</t>
  </si>
  <si>
    <t xml:space="preserve">1/6 PP 150 mm, clear (not stated); 'bez DPH' price shown; gross €4.19; code  Price shown excl. VAT (SK 23%). YES Gastro SKU GNPP-16150.</t>
  </si>
  <si>
    <t xml:space="preserve">Nádoba z polypropylénu, GN 1/6, 150 mm | STALGAST, Bufet</t>
  </si>
  <si>
    <t xml:space="preserve">1/6 PP 150 mm, clear (not stated); SKU STALGAST-166153; other offers on this shop for the same variant: STALGAST 4.23 (in stock); CAMBRO 4.97 (in stock); STALGAST 6.13 (in stock); HENDI 6.96 (in stock) Price shown incl. VAT (SK 23%); VAT removed for the net price. YES Gastro SKU GNPP-16150.</t>
  </si>
  <si>
    <t xml:space="preserve">https://gastromania.sk/gastronadoby-polypropylenove/nadoba-z-polypropylenu-gn-1-6-150-mm-stalgast-bufet</t>
  </si>
  <si>
    <t xml:space="preserve">APS GN-nádoba Polypropylen, GN 1/6, objem: 2,20 litra, hĺbka: 150 mm</t>
  </si>
  <si>
    <t xml:space="preserve">1/6 PP 150 mm, clear (not stated); listing shows gross 5,88 €; 'bez DPH' net 4.78 EUR on product page; SKU 227776587 Price shown incl. VAT (SK 23%); VAT removed for the net price. YES Gastro SKU GNPP-16150.</t>
  </si>
  <si>
    <t xml:space="preserve">https://www.gastrozone.sk/aps-gn-nadoba-z-polypropylenu-gn-1-6-objem-2-20-litru-hloubka-150-mm.html</t>
  </si>
  <si>
    <t xml:space="preserve">Gastronádoba polypropylénová GN 1/6 - hloubka 15 cm</t>
  </si>
  <si>
    <t xml:space="preserve">1/6 PP 150 mm, clear (not stated); 'bez DPH' price shown; gross 4.15 EUR; other offers on this shop for the same variant: not stated (shop own line) 4.15 (in stock); HENDI 4.56 (in stock); HENDI 3.40 (in stock) Price shown excl. VAT (SK 23%). YES Gastro SKU GNPP-16150.</t>
  </si>
  <si>
    <t xml:space="preserve">APS recipient GN din polipropilena, GN 1/6, capacitate: 3,40 litri, adancime: 200 mm</t>
  </si>
  <si>
    <t xml:space="preserve">1/6 PP 200 mm, white; EXACT: APS polypropylene GN container, size/depth/material in name. SKU 227776588. Listing price is gross; product page shows gross and "fără TVA" net below it. Price shown incl. VAT (RO 21%); VAT removed for the net price. YES Gastro SKU GNPP-16200.</t>
  </si>
  <si>
    <t xml:space="preserve">https://www.gastrozone.ro/aps-recipient-gn-din-polipropilena-gn-1-6-capacitate-3-40-litri-adancime-200-mm.html</t>
  </si>
  <si>
    <t xml:space="preserve">Recipient GN 1/6 din polipropilenă, adâncime 20 cm | HENDI 880401</t>
  </si>
  <si>
    <t xml:space="preserve">1/6 PP 200 mm, white; EXACT: size, depth and material (polipropilena) in product name. Listing shows "Pret net 20.93 RON" and "Pret brut 25.33 RON/buc". Price shown excl. VAT (RO 21%). YES Gastro SKU GNPP-16200.</t>
  </si>
  <si>
    <t xml:space="preserve">https://mmgastro.ro/ro/products/recipient-gn-1-6-din-polipropilena-adancime-20-cm-hendi-880401-151727</t>
  </si>
  <si>
    <t xml:space="preserve">Recipient GN 1/6 din polipropilenă, 20 cm | APS 82142</t>
  </si>
  <si>
    <t xml:space="preserve">1/6 PP 200 mm, white; EXACT: size, depth and material (polipropilena) in product name. Listing shows "Pret net 36.40 RON" and "Pret brut 44.05 RON/buc". Price shown excl. VAT (RO 21%). YES Gastro SKU GNPP-16200.</t>
  </si>
  <si>
    <t xml:space="preserve">https://mmgastro.ro/ro/products/recipient-gn-1-6-din-polipropilena-20-cm-aps-82142-162439</t>
  </si>
  <si>
    <t xml:space="preserve">Recipient GN 1/6 adâncime 20 cm din polipropilenă HACCP | HENDI 880456</t>
  </si>
  <si>
    <t xml:space="preserve">1/6 PP 200 mm, white; EXACT: size, depth and material (polipropilena) in product name. Listing shows "Pret net 22.38 RON" and "Pret brut 27.08 RON/buc". Price shown excl. VAT (RO 21%). YES Gastro SKU GNPP-16200.</t>
  </si>
  <si>
    <t xml:space="preserve">https://mmgastro.ro/ro/products/recipient-gn-1-6-adancime-20-cm-din-polipropilena-haccp-hendi-880456-130862</t>
  </si>
  <si>
    <t xml:space="preserve">Polypropylen Behälter GN 1/6 – 176x162x200mm</t>
  </si>
  <si>
    <t xml:space="preserve">1/6 PP 200 mm; EXACT: PP in product name and category 'Polypropylen - GN - Behälter', brand HENDI; page shows net price with '(€ x inkl. MwSt.) Zzgl. 20% MwSt.'; listing price. Price shown excl. VAT (AT 20%). YES Gastro SKU GNPP-16200.</t>
  </si>
  <si>
    <t xml:space="preserve">https://www.gastro-star.at/produkt/polypropylenbehaeltergn16-176x162x200mm/</t>
  </si>
  <si>
    <t xml:space="preserve">GN-BEHÄLTER POLYPROPYLEN 1/6 200 tief</t>
  </si>
  <si>
    <t xml:space="preserve">1/6 PP 200 mm; EXACT: PP stated in product name and category 'GN Behälter Polypropylen'; Art.-Nr. 880 401; footer 'Alle Preise excl. 20% MwSt.'; price from category listing. Price shown excl. VAT (AT 20%). YES Gastro SKU GNPP-16200.</t>
  </si>
  <si>
    <t xml:space="preserve">https://www.gastrozimml.at/produkt/gn-behalter-polypropylen-16-200-tief/</t>
  </si>
  <si>
    <t xml:space="preserve">Hendi Gastronorm-Behälter 1/6, GN 1/6, 3, 4L, Transparent, 176x162x(H)200mm – Polypropylen</t>
  </si>
  <si>
    <t xml:space="preserve">1/6 PP 200 mm, transparent; EXACT: '– Polypropylen' in product name; Hendi art. 880456; listing price 'zzgl. 19% MwSt., zzgl. Versandkosten' (German shop, 19% VAT). Price shown excl. VAT (AT 20%). YES Gastro SKU GNPP-16200.</t>
  </si>
  <si>
    <t xml:space="preserve">https://www.gastrodax.de/hendi-haccp-aufbewahrungsbehaelter-gn-1-6-3-4-l-transparent-176-x-162-x-h-200-mm</t>
  </si>
  <si>
    <t xml:space="preserve">Gastronormbehälter GN 1/6 x 200 mm GN 84 Polypropylen transparent</t>
  </si>
  <si>
    <t xml:space="preserve">1/6 PP 200 mm, transparent; EXACT: 'GN 84 Polypropylen' in product name, spec 'Materialtyp: Polypropylen'; WAS Germany Bestell-Nr. 252460; 1-piece net price ('Preis pro Stück, zzgl. MwSt'), quantity tiers ab 3/6/12/24 pcs cheaper (down to ca. -20%); UVP 5.70 €. Price shown excl. VAT (AT 20%); page read with a headless browser (prices rendered by JavaScript). YES Gastro SKU GNPP-16200.</t>
  </si>
  <si>
    <t xml:space="preserve">https://www.intergastro.at/gastronormbehaelter-gn-1-6-x-200-mm-gn-84-polypropylen-transparent-252460</t>
  </si>
  <si>
    <t xml:space="preserve">GN-Behälter - BPA frei - Serie 84 - Inhalt 2,80 l - GN 1/6 (176 x 162 mm) - 200 mm - Polypropylen - premium Qualität</t>
  </si>
  <si>
    <t xml:space="preserve">1/6 PP 200 mm, transparent; EXACT: material 'Polypropylen' in product name; cheapest PP series for this size at this shop, Art.-Nr. 8416200-A; sale price, regular price 5,70 €; 'Preise zzgl. MwSt. zzgl. Versandkosten'. Other PP series same size/depth: 530043-C 4.40€; 82142-B 5.70€. Price shown excl. VAT (AT 20%). YES Gastro SKU GNPP-16200.</t>
  </si>
  <si>
    <t xml:space="preserve">https://shopbuero.com/gn-behaelter-bpa-frei-serie-84-inhalt-2-80-l-gn-1-6-176-x-162-mm-200-mm-polypropylen-premium-qualitaet/8416200-A</t>
  </si>
  <si>
    <t xml:space="preserve">GN Behälter mit Skalierung, GN 1/6 - 200 mm, transparent, Polypropylen, GN 84 Serie</t>
  </si>
  <si>
    <t xml:space="preserve">1/6 PP 200 mm, transparent; PP stated on page, GN 1/6 x 200 mm, art. 8416200; net price shown 4.12 EUR, gross incl. 19% USt 4.90 EUR, UVP 6.78 EUR (gross). Price shown excl. VAT (DE 19%). YES Gastro SKU GNPP-16200.</t>
  </si>
  <si>
    <t xml:space="preserve">https://gastro-spirit.de/behaelter-mit-skalierung-gn-1-6-serie-gn-84-8416200</t>
  </si>
  <si>
    <t xml:space="preserve">APS GN 1/6 Polypropylen Behälter 17,6 x 16,2 cm, Tiefe: 200 mm</t>
  </si>
  <si>
    <t xml:space="preserve">1/6 PP 200 mm, transparent; APS polypropylene container GN 1/6, depth 200 mm, art. 82142 (lid sold separately); net, 'zzgl. MwSt.'. Price shown excl. VAT (DE 19%). YES Gastro SKU GNPP-16200.</t>
  </si>
  <si>
    <t xml:space="preserve">https://www.gastro-hero.de/products/aps-gn-16-polypropylen-behaelter-176-x-162-cm-tiefe-200-mm-82142</t>
  </si>
  <si>
    <t xml:space="preserve">WAS GN 84 Behälter 1/6-200 mm Polypropylen</t>
  </si>
  <si>
    <t xml:space="preserve">1/6 PP 200 mm, transparent; WAS GN 84 polypropylene container GN 1/6 x 200 mm, SKU WAS-8416200; 'zzgl. 19% MwSt.'. Price shown excl. VAT (DE 19%). YES Gastro SKU GNPP-16200.</t>
  </si>
  <si>
    <t xml:space="preserve">https://www.gastrodax.de/was-gn-84-behaelter-1-6-200-mm-polypropylen</t>
  </si>
  <si>
    <t xml:space="preserve">GN Behälter GN 1/6 x 200 mm Kunststoff (APS)</t>
  </si>
  <si>
    <t xml:space="preserve">1/6 PP 200 mm, transparent; PP container GN 1/6 x 200 mm; title says Kunststoff but spec "Materialtyp: Polypropylen"; Bestell-Nr 253649, APS 82142; 'Preis pro Stück, zzgl. MwSt'; UVP 7.80 EUR; Staffelpreise ab 3: 5.94, ab 24: 5.40. Price shown excl. VAT (DE 19%). YES Gastro SKU GNPP-16200.</t>
  </si>
  <si>
    <t xml:space="preserve">https://www.intergastro.de/gn-behaelter-gn-1-6-x-200-mm-kunststoff-253649</t>
  </si>
  <si>
    <t xml:space="preserve">Gastronádoba HACCP - GN 1/6, 200mm Hendi</t>
  </si>
  <si>
    <t xml:space="preserve">1/6 PP 200 mm, transparent; EXACT: Hendi HACCP PP container GN 1/6 200 mm, "materiál: průhledný polypropylen"; code 880456; page shows 174 Kč (s DPH) and "144 Kč bez DPH". Price shown incl. VAT (CZ 21%); VAT removed for the net price. YES Gastro SKU GNPP-16200.</t>
  </si>
  <si>
    <t xml:space="preserve">https://www.gastrofans.cz/zasobnik-gn-1-6-haccp-transparent-3-4-l-176x162x-h-200-mm/</t>
  </si>
  <si>
    <t xml:space="preserve">Gastronádoba GN 1/6 200 mm, HACCP polypropylen | HENDI, 880456</t>
  </si>
  <si>
    <t xml:space="preserve">1/6 PP 200 mm, transparent; EXACT: Hendi PP container GN 1/6 200 mm, parameter "materiál: polypropylen"; code 880456; page shows "Cena bez DPH: 179 Kč" and "Cena s DPH: 216 Kč". Price shown excl. VAT (CZ 21%); page read with a headless browser (prices rendered by JavaScript). YES Gastro SKU GNPP-16200.</t>
  </si>
  <si>
    <t xml:space="preserve">https://www.gastromania.cz/gastronadoby-polypropylenove/gastronadoba-gn-1-6-200-mm-haccp-polypropylen-hendi-880456</t>
  </si>
  <si>
    <t xml:space="preserve">APS GN-nádoba Polypropylen, GN 1/6, obsah: 3,40 litru, hloubka: 200 mm</t>
  </si>
  <si>
    <t xml:space="preserve">1/6 PP 200 mm, milky (opaque); EXACT: APS PP container GN 1/6 200 mm, parameter "Materiál: Polypropylen"; code 227776588; page shows 266 Kč incl. and "220 Kč bez DPH". Price shown excl. VAT (CZ 21%). YES Gastro SKU GNPP-16200.</t>
  </si>
  <si>
    <t xml:space="preserve">https://www.gastrozone.cz/aps-gn-nadoba-z-polypropylenu-gn-1-6-obsah-3-40-litru-hloubka-200-mm.html</t>
  </si>
  <si>
    <t xml:space="preserve">Gastronorm GN 1/6 (h=200 mm) polypropylenová</t>
  </si>
  <si>
    <t xml:space="preserve">1/6 PP 200 mm; EXACT: GN 1/6, h=200 mm, Materiál: polypropylen; cat. no. 3120147; page shows 117 CZK (s DPH) and "cena bez DPH: 97 CZK". Price shown incl. VAT (CZ 21%); VAT removed for the net price. YES Gastro SKU GNPP-16200.</t>
  </si>
  <si>
    <t xml:space="preserve">https://www.gastrosance.cz/gn-1/6--h-200-mm--polypropylenova</t>
  </si>
  <si>
    <t xml:space="preserve">Kontejner GN 1/6 HACCP, HENDI, GN 1/6, 3,4L, Průhledná, 176x162x(H)200mm</t>
  </si>
  <si>
    <t xml:space="preserve">1/6 PP 200 mm, transparent; EXACT: Hendi HACCP container GN 1/6 H 200 mm, page parameter "materiál: PP (polypropylén)"; Hendi code 880456; current (discounted) price 119.20 Kč incl., regular 123,14 Kč, shown "98,51 Kč" bez DPH. Price shown incl. VAT (CZ 21%); VAT removed for the net price. YES Gastro SKU GNPP-16200.</t>
  </si>
  <si>
    <t xml:space="preserve">https://www.promos-gastro.cz/gastro-profi-nadobi-nacini-nerez-hrnce-panvicky-talire-pribory/gastronadoby-nerezove-plne-derovane-smalt-plechy-na-peceni/gastronadoby-polypropylenove-polykarbonatove/haccp-zasobniky-plast-gn/59070-kontejner-gn-1-6-haccp-hendi-gn-1-6-34l-pruhledna-176x162xh200mm.html</t>
  </si>
  <si>
    <t xml:space="preserve">Nádoba GN 1/6, HENDI, GN 1/6, 3,4L, Priehľadná, 176x162x(H)200mm Kód: 880456</t>
  </si>
  <si>
    <t xml:space="preserve">1/6 PP 200 mm, clear; material not in product name; HENDI HACCP 880 series: product page 880173 states "Materiály: PP (Polypropylén)"; price shown 4.90 € (net) / 6,03 € s DPH; code 880456 Price shown excl. VAT (SK 23%). YES Gastro SKU GNPP-16200.</t>
  </si>
  <si>
    <t xml:space="preserve">https://gastrorex.sk/sk/riesenie-pre/zavodne-stravovanie/gastronadoby-gn-plechy/gastronadoby-gn-plechy/gastronadoby-haccp/?page=2</t>
  </si>
  <si>
    <t xml:space="preserve">Gastronádoba GN 1/6 200 mm z polypropylenu | HENDI, Profi Line</t>
  </si>
  <si>
    <t xml:space="preserve">1/6 PP 200 mm, clear (not stated); SKU HENDI-880401; other offers on this shop for the same variant: HENDI 8.56 (in stock); CONTACTO 9.15 (in stock) Price shown incl. VAT (SK 23%); VAT removed for the net price. YES Gastro SKU GNPP-16200.</t>
  </si>
  <si>
    <t xml:space="preserve">https://gastromania.sk/gastronadoby-polypropylenove/gastronadoba-gn-1-6-200-mm-z-polypropylenu-hendi-profi-line</t>
  </si>
  <si>
    <t xml:space="preserve">APS GN nádoba polypropylén, GN 1/6, objem: 3,40 litra, hĺbka: 200 mm</t>
  </si>
  <si>
    <t xml:space="preserve">1/6 PP 200 mm, clear (not stated); listing shows gross 10,71 €; 'bez DPH' net 8.71 EUR on product page; SKU 227776588 Price shown incl. VAT (SK 23%); VAT removed for the net price. YES Gastro SKU GNPP-16200.</t>
  </si>
  <si>
    <t xml:space="preserve">https://www.gastrozone.sk/aps-gn-nadoba-z-polypropylenu-gn-1-6-obsah-3-40-litru-hloubka-200-mm.html</t>
  </si>
  <si>
    <t xml:space="preserve">GN-Gastronádoby, polypropylénové, GN 1/6 (176 x 162 mm) 200 mm</t>
  </si>
  <si>
    <t xml:space="preserve">1/6 PP 200 mm, clear (not stated); listing price incl. VAT (product page of PP lid 1/4 shows 2,60 € s DPH / 2,11 € bez DPH) Price shown incl. VAT (SK 23%); VAT removed for the net price. YES Gastro SKU GNPP-16200.</t>
  </si>
  <si>
    <t xml:space="preserve">Nádoba GN 1/6, HENDI, Profi Line, GN 1/6, 3,4 l, Priehľadná, 176 × 162 × 200 mm | 880401</t>
  </si>
  <si>
    <t xml:space="preserve">1/6 PP 200 mm, clear; material from shop category POLYPROPYLÉNOVÉ NÁDOBY (HENDI 880 series = polypropylene); 'bez DPH' price shown; gross 4.72 EUR Price shown excl. VAT (SK 23%). YES Gastro SKU GNPP-16200.</t>
  </si>
  <si>
    <t xml:space="preserve">Vascheta GN 1/9 polipropilena Bufet Safe, 0,5 litri, H 65 mm</t>
  </si>
  <si>
    <t xml:space="preserve">1/9 PP 65 mm, white; EXACT: Stalgast "Bufet Safe" PP container, size/depth in name, page spec "Constructie: polipropilena". Shown "6.96 lei fără TVA (8.42 lei cu TVA)". Price shown excl. VAT (RO 21%). YES Gastro SKU GNPP-1965.</t>
  </si>
  <si>
    <t xml:space="preserve">https://direca.ro/shop/vascheta-gn-1-9-polipropilena-bufet-safe-05-litri-h-65-mm/</t>
  </si>
  <si>
    <t xml:space="preserve">Cutie polipropilena cu capac 0.6 litri GN1/9 – Stalgast</t>
  </si>
  <si>
    <t xml:space="preserve">1/9 PP 65 mm, white; CLOSE: Stalgast PP box sold bundled with sealing lid (cutie cu capac); dimensions on product page confirm depth; price "( inclusiv T.V.A. )". Price shown incl. VAT (RO 21%); VAT removed for the net price. YES Gastro SKU GNPP-1965.</t>
  </si>
  <si>
    <t xml:space="preserve">https://www.fimax.ro/produs/cutie-polipropilena-cu-capac-0-6-litri-gn1-9-stalgast/</t>
  </si>
  <si>
    <t xml:space="preserve">APS GN-container Polypropylen, GN 1/9, Capacitate: 0,60 Litri, Adancime: 65 mm</t>
  </si>
  <si>
    <t xml:space="preserve">1/9 PP 65 mm, white; EXACT: APS polypropylene GN container, size/depth/material in name. SKU 227776589. Listing price is gross; product page shows gross and "fără TVA" net below it. Price shown incl. VAT (RO 21%); VAT removed for the net price. YES Gastro SKU GNPP-1965.</t>
  </si>
  <si>
    <t xml:space="preserve">https://www.gastrozone.ro/container-aps-gn-polipropilen-gn-1-9-capacitate-0-60-litri-adancime-65-mm.html</t>
  </si>
  <si>
    <t xml:space="preserve">Cuva din polipropilena GN1/9 h65mm</t>
  </si>
  <si>
    <t xml:space="preserve">1/9 PP 65 mm, white; EXACT: "Cuva din polipropilena" with size and depth in name. Shop code GPGNPP-1965; product page states "Pret exclusiv TVA"; prices are round EUR figures. Price shown excl. VAT (RO 21%). YES Gastro SKU GNPP-1965.</t>
  </si>
  <si>
    <t xml:space="preserve">https://pro-cucina.ro/cuva-din-polipropilena-gn1-9-h65mm/</t>
  </si>
  <si>
    <t xml:space="preserve">Recipient GN 1/9 adâncime 6,5 cm din polipropilenă HACCP | HENDI 880562</t>
  </si>
  <si>
    <t xml:space="preserve">1/9 PP 65 mm, white; EXACT: size, depth and material (polipropilena) in product name. Listing shows "Pret net 12.65 RON" and "Pret brut 15.31 RON/buc". Price shown excl. VAT (RO 21%). YES Gastro SKU GNPP-1965.</t>
  </si>
  <si>
    <t xml:space="preserve">https://mmgastro.ro/ro/products/recipient-gn-1-9-adancime-6-5-cm-din-polipropilena-haccp-hendi-880562-140460</t>
  </si>
  <si>
    <t xml:space="preserve">Hendi HACCP Aufbewahrungsbehälter GN 1/9, 65 mm</t>
  </si>
  <si>
    <t xml:space="preserve">1/9 PP 65 mm; EXACT: Hendi HACCP container, bullet 'Polypropylen, BPA frei' on listing/product page; price from category listing 'Zutaten- und Lagerbehälter'; Steuerhinweis 'exkl. MwSt. zzgl. Versandkosten'. Price shown excl. VAT (AT 20%). YES Gastro SKU GNPP-1965.</t>
  </si>
  <si>
    <t xml:space="preserve">https://www.allpax.at/product_info.php/info/Hendi-HACCP-Aufbewahrungsbehaelter-GN-1-9-65-mm.html</t>
  </si>
  <si>
    <t xml:space="preserve">Hendi GN-Behälter mit Deckel und HACCP-Clips, GN 1/9, 65 mm, 0,6 L, PP</t>
  </si>
  <si>
    <t xml:space="preserve">1/9 PP 65 mm, transparent; CLOSE: Hendi PP container sold with lid and HACCP clips (no bare PP container of this size/depth at this shop); 'Material: Polypropylen (PP)'; net price, page adds 'inkl. MwSt.' price at +19%; Hendi art. 873120. Price shown excl. VAT (AT 20%). YES Gastro SKU GNPP-1965.</t>
  </si>
  <si>
    <t xml:space="preserve">https://www.gastro-hero.at/products/hendi-gn-behaelter-mit-deckel-und-haccp-clips-gn-19-65-mm-06-l-pp-873120</t>
  </si>
  <si>
    <t xml:space="preserve">Hendi Gastronorm-Behälter 1/9, GN 1/9, 0, 6L, Transparent, 176x108x(H)65mm – Polypropylen</t>
  </si>
  <si>
    <t xml:space="preserve">1/9 PP 65 mm, transparent; EXACT: '– Polypropylen' in product name; Hendi art. 880562; listing price 'zzgl. 19% MwSt., zzgl. Versandkosten' (German shop, 19% VAT). Price shown excl. VAT (AT 20%). YES Gastro SKU GNPP-1965.</t>
  </si>
  <si>
    <t xml:space="preserve">https://www.gastrodax.de/hendi-haccp-aufbewahrungsbehaelter-gn-1-9-0-6-l-transparent-176-x-108-x-h-65-mm</t>
  </si>
  <si>
    <t xml:space="preserve">Gastronormbehälter GN 1/9 x 65 mm GN 89 Kunststoff transparent</t>
  </si>
  <si>
    <t xml:space="preserve">1/9 PP 65 mm, transparent; EXACT: name says 'GN 89 Kunststoff' but product spec states 'Materialtyp: Polypropylen' (WAS Serie 89 PP); WAS Germany Bestell-Nr. 252578; 1-piece net price ('Preis pro Stück, zzgl. MwSt'), quantity tiers ab 3/6/12/24 pcs cheaper (down to ca. -20%); UVP 3.30 €. Price shown excl. VAT (AT 20%); page read with a headless browser (prices rendered by JavaScript). YES Gastro SKU GNPP-1965.</t>
  </si>
  <si>
    <t xml:space="preserve">https://www.intergastro.at/gastronormbehaelter-gn-1-9-x-65-mm-gn-89-kunststoff-transparent-252578</t>
  </si>
  <si>
    <t xml:space="preserve">zur Zeit leider nicht lieferbar</t>
  </si>
  <si>
    <t xml:space="preserve">Stalgast ARAVEN Gastronormbehälter mit Deckel, Polypropylen, GN 1/9 (65 mm)</t>
  </si>
  <si>
    <t xml:space="preserve">1/9 PP 65 mm; CLOSE: PP container sold together with lid (Araven set); no bare PP container listed in the GN category (153 items, 4 pages); price 'pro Stk exkl. MwSt. zzgl. Versand'; listing price, Art. 928373-347895. Price shown excl. VAT (AT 20%). YES Gastro SKU GNPP-1965.</t>
  </si>
  <si>
    <t xml:space="preserve">https://www.jh-profishop.at/p/stalgast-araven-gastronormbehaelter-mit-deckel-polypropylen-gn-1-9-65-mm-928373-347895/</t>
  </si>
  <si>
    <t xml:space="preserve">GN-Behälter - Inhalt 0,6 l - GN 1/9 (176 x 108 mm) - 65 mm - Polypropylen</t>
  </si>
  <si>
    <t xml:space="preserve">1/9 PP 65 mm; EXACT: material 'Polypropylen' in product name; cheapest PP series for this size at this shop, Art.-Nr. 530050-C; sale price, regular price 2,90 €; 'Preise zzgl. MwSt. zzgl. Versandkosten'. Other PP series same size/depth: 82150-B 2.20€; 8919065-A 2.30€. Price shown excl. VAT (AT 20%). YES Gastro SKU GNPP-1965.</t>
  </si>
  <si>
    <t xml:space="preserve">https://shopbuero.com/gn-behaelter-inhalt-0-6-l-gn-1-9-176-x-108-mm-65-mm-polypropylen/530050-C</t>
  </si>
  <si>
    <t xml:space="preserve">1/9 PP 65 mm, transparent; Hendi HACCP storage container, material 'Polypropylen, BPA frei' stated on page, GN 1/9 x 65 mm (lid sold separately), art. 10016642; 'zzgl. MwSt.'. Price shown excl. VAT (DE 19%). YES Gastro SKU GNPP-1965.</t>
  </si>
  <si>
    <t xml:space="preserve">https://www.allpax.de/product_info.php/info/Hendi-HACCP-Aufbewahrungsbehaelter-GN-1-9-65-mm.html</t>
  </si>
  <si>
    <t xml:space="preserve">(6 Stück) CAMBRO | Polypropylen-Behälter GN 1/9 - Milchig - Höhe: 65mm</t>
  </si>
  <si>
    <t xml:space="preserve">1/9 PP 65 mm, milchig/transparent; Polypropylen container GN 1/9 x 65 mm sold as pack of 6; price per pack, '* Nettopreis | Bruttopreis inkl. 19% MwSt.' shown; UVP 23.40 EUR; art. 92PP190. Price shown excl. VAT (DE 19%); pack of 6, converted to per piece; page read with a headless browser (prices rendered by JavaScript). YES Gastro SKU GNPP-1965.</t>
  </si>
  <si>
    <t xml:space="preserve">https://www.ggmgastro.com/de-de-eur/6-stueck-cambro-polypropylen-behaelter-gn-1-9-milchig-hoehe-65mm-92pp190</t>
  </si>
  <si>
    <t xml:space="preserve">1/9 PP 65 mm, transparent; Right size/depth and PP, but sold bundled with lid and HACCP clips (CLOSE); Hendi art. 873120; no bare Schneider PP container in this size at GastroHero; net, 'zzgl. MwSt.'. Price shown excl. VAT (DE 19%). YES Gastro SKU GNPP-1965.</t>
  </si>
  <si>
    <t xml:space="preserve">https://www.gastro-hero.de/products/hendi-gn-behaelter-mit-deckel-und-haccp-clips-gn-19-65-mm-06-l-pp-873120</t>
  </si>
  <si>
    <t xml:space="preserve">WAS GN 89 Behälter 1/9-065 mm mit Skalierung Polypropylen</t>
  </si>
  <si>
    <t xml:space="preserve">1/9 PP 65 mm, weiß; WAS GN 89 polypropylene container GN 1/9 x 65 mm, SKU WAS-8919065; 'zzgl. 19% MwSt.'. Price shown excl. VAT (DE 19%). YES Gastro SKU GNPP-1965.</t>
  </si>
  <si>
    <t xml:space="preserve">https://www.gastrodax.de/was-gn-89-behaelter-1-9-065-mm-mit-skalierung-polypropylen</t>
  </si>
  <si>
    <t xml:space="preserve">1/9 PP 65 mm, transparent; PP container GN 1/9 x 65 mm; title says Kunststoff but spec "Materialtyp: Polypropylen" on page; Bestell-Nr 252578, Hersteller-Nr 8919065; 'Preis pro Stück, zzgl. MwSt'; UVP 3.30 EUR; Staffelpreise ab 3: 2.54, ab 24: 2.12. Price shown excl. VAT (DE 19%). YES Gastro SKU GNPP-1965.</t>
  </si>
  <si>
    <t xml:space="preserve">https://www.intergastro.de/gastronormbehaelter-gn-1-9-x-65-mm-gn-89-kunststoff-transparent-252578</t>
  </si>
  <si>
    <t xml:space="preserve">Cambro Safetrak IML Polypropylen-Lebensmittelbehälter 1/9 GN 65mm</t>
  </si>
  <si>
    <t xml:space="preserve">1/9 PP 65 mm, transparent; Polypropylen GN 1/9 x 65 mm container (material and depth in product name), art. JN518; 'Zzgl. MwSt.'; Cambro SafeTrak bare container; reduced web price, 'BISHER' 3.95 EUR. Price shown excl. VAT (DE 19%); page read with a headless browser (prices rendered by JavaScript). YES Gastro SKU GNPP-1965.</t>
  </si>
  <si>
    <t xml:space="preserve">https://www.nisbets.de/cambro-safetrak-iml-polypropylen-lebensmittelbehlter-19-gn-65mm/jn518</t>
  </si>
  <si>
    <t xml:space="preserve">Gastronádoba GN 1/9 65 mm, HACCP polypropylen | HENDI, 880562</t>
  </si>
  <si>
    <t xml:space="preserve">1/9 PP 65 mm, transparent; EXACT: Hendi PP container GN 1/9 65 mm, parameter "materiál: polypropylen"; code 880562; page shows "Cena bez DPH: 102 Kč" and "Cena s DPH: 123 Kč". Price shown excl. VAT (CZ 21%); page read with a headless browser (prices rendered by JavaScript). YES Gastro SKU GNPP-1965.</t>
  </si>
  <si>
    <t xml:space="preserve">https://www.gastromania.cz/gastronadoby-polypropylenove/gastronadoba-gn-1-9-65-mm-haccp-polypropylen-hendi-880562</t>
  </si>
  <si>
    <t xml:space="preserve">APS GN-nádoba polypropylen, GN 1/9, objem: 0,60 litru, hloubka: 65 mm</t>
  </si>
  <si>
    <t xml:space="preserve">1/9 PP 65 mm, milky (opaque); EXACT: APS PP container GN 1/9 65 mm, parameter "Materiál: Polypropylen"; code 227776589; page shows 119 Kč incl. and "98 Kč bez DPH". Price shown excl. VAT (CZ 21%). YES Gastro SKU GNPP-1965.</t>
  </si>
  <si>
    <t xml:space="preserve">https://www.gastrozone.cz/aps-gn-nadoba-z-polypropylenu-gn-1-9-objem-0-60-litru-hloubka-65-mm.html</t>
  </si>
  <si>
    <t xml:space="preserve">Gastronorm GN 1/9 (h=65 mm) polypropylenová</t>
  </si>
  <si>
    <t xml:space="preserve">1/9 PP 65 mm; EXACT: GN 1/9, h=65 mm, Materiál: polypropylen; cat. no. 3120154; page shows 37 CZK (s DPH) and "cena bez DPH: 31 CZK". Price shown incl. VAT (CZ 21%); VAT removed for the net price. YES Gastro SKU GNPP-1965.</t>
  </si>
  <si>
    <t xml:space="preserve">https://www.gastrosance.cz/gn-1/9--h-65-mm--polypropylenova</t>
  </si>
  <si>
    <t xml:space="preserve">Kontejner GN 1/9 HACCP, HENDI, GN 1/9, 0,6L, Průhledná, 176x108x(H)65mm</t>
  </si>
  <si>
    <t xml:space="preserve">1/9 PP 65 mm, transparent; EXACT: Hendi HACCP container GN 1/9 H 65 mm, page parameter "materiál: PP (polypropylén)"; Hendi code 880562; current (discounted) price 74.40 Kč incl., regular 76,86 Kč, shown "61,49 Kč" bez DPH. Price shown incl. VAT (CZ 21%); VAT removed for the net price. YES Gastro SKU GNPP-1965.</t>
  </si>
  <si>
    <t xml:space="preserve">https://www.promos-gastro.cz/gastro-profi-nadobi-nacini-nerez-hrnce-panvicky-talire-pribory/gastronadoby-nerezove-plne-derovane-smalt-plechy-na-peceni/gastronadoby-polypropylenove-polykarbonatove/haccp-zasobniky-plast-gn/59068-kontejner-gn-1-9-haccp-hendi-gn-1-9-06l-pruhledna-176x108xh65mm.html</t>
  </si>
  <si>
    <t xml:space="preserve">Gastronádoba polypropylenová GN 1/9 65 mm</t>
  </si>
  <si>
    <t xml:space="preserve">1/9 PP 65 mm, transparent; EXACT: name "polypropylenová" GN 1/9 65 mm, Cambro MP (polypropylene) series, code R-MP19065; page shows 88 Kč (incl.) and "73 Kč bez DPH". Price shown incl. VAT (CZ 21%); VAT removed for the net price. YES Gastro SKU GNPP-1965.</t>
  </si>
  <si>
    <t xml:space="preserve">https://www.tomgast.cz/gastronadoba-polypropylenova-gn-1-9-65-mm/</t>
  </si>
  <si>
    <t xml:space="preserve">Nádoba GN 1/9, HENDI, GN 1/9, 0,6L, Priehľadná, 176x108x(H)65mm Kód: 880562</t>
  </si>
  <si>
    <t xml:space="preserve">1/9 PP 65 mm, clear; material not in product name; HENDI HACCP 880 series: product page 880173 states "Materiály: PP (Polypropylén)"; price shown 3.05 € (net) / 3,75 € s DPH; code 880562 Price shown excl. VAT (SK 23%). YES Gastro SKU GNPP-1965.</t>
  </si>
  <si>
    <t xml:space="preserve">Nádoba z polypropylénu GN 1/9, 65 mm | STALGAST, Bufet Safe</t>
  </si>
  <si>
    <t xml:space="preserve">1/9 PP 65 mm, clear (not stated); SKU STALGAST-169064; other offers on this shop for the same variant: CAMBRO 3.59 (in stock); HENDI 4.88 (in stock); HENDI 6.72 (in stock); ARAVEN 8.16 (in stock) Price shown incl. VAT (SK 23%); VAT removed for the net price. YES Gastro SKU GNPP-1965.</t>
  </si>
  <si>
    <t xml:space="preserve">https://gastromania.sk/gastronadoby-polypropylenove/nadoba-z-polypropylenu-gn-1-9-65-mm-stalgast-bufet-safe</t>
  </si>
  <si>
    <t xml:space="preserve">APS GN-nádoba Polypropylen, GN 1/9, Obsah: 0,60 litra, Hĺbka: 65 mm</t>
  </si>
  <si>
    <t xml:space="preserve">1/9 PP 65 mm, clear (not stated); listing shows gross 4,15 €; 'bez DPH' net 3.37 EUR on product page; SKU 227776589 Price shown incl. VAT (SK 23%); VAT removed for the net price. YES Gastro SKU GNPP-1965.</t>
  </si>
  <si>
    <t xml:space="preserve">https://www.gastrozone.sk/aps-gn-nadoba-z-polypropylenu-gn-1-9-objem-0-60-litru-hloubka-65-mm.html</t>
  </si>
  <si>
    <t xml:space="preserve">Nádoba GN 1/9 z priehľadného polypropylénu, Cambro, GN 1/9, 0,57 l, Priehľadná, 108 × 176 × 65 mm | 92PP190</t>
  </si>
  <si>
    <t xml:space="preserve">1/9 PP 65 mm, clear; 'bez DPH' price shown; gross 1.64 EUR; other offers on this shop for the same variant: not stated (shop own line) 2.50 (in stock); HENDI 3.27 (in stock); not stated (shop own line) 3.30 (in stock) Price shown excl. VAT (SK 23%). YES Gastro SKU GNPP-1965.</t>
  </si>
  <si>
    <t xml:space="preserve">Vascheta GN 1/9 polipropilena Bufet Safe, 1,4 litri, H 150 mm</t>
  </si>
  <si>
    <t xml:space="preserve">1/9 PP 150 mm, white; EXACT: Stalgast "Bufet Safe" PP container, size/depth in name, page spec "Constructie: polipropilena". Shown "10.17 lei fără TVA (12.31 lei cu TVA)". Price shown excl. VAT (RO 21%). YES Gastro SKU GNPP-19150.</t>
  </si>
  <si>
    <t xml:space="preserve">https://direca.ro/shop/vascheta-gn-1-9-polipropilena-bufet-safe-14-litri-h-150-mm/</t>
  </si>
  <si>
    <t xml:space="preserve">Cutie polipropilena cu capac 1.5 litri GN1/9 – Stalgast</t>
  </si>
  <si>
    <t xml:space="preserve">1/9 PP 150 mm, white; CLOSE: Stalgast PP box sold bundled with sealing lid (cutie cu capac); dimensions on product page confirm depth; price "( inclusiv T.V.A. )". Price shown incl. VAT (RO 21%); VAT removed for the net price. YES Gastro SKU GNPP-19150.</t>
  </si>
  <si>
    <t xml:space="preserve">https://www.fimax.ro/produs/cutie-polipropilena-cu-capac-1-5-litri-gn1-9-stalgast/</t>
  </si>
  <si>
    <t xml:space="preserve">(12 bucăți) Recipient din polipropilenă GN 1/9 - Culoare opacă - Înălțime: 150 mm</t>
  </si>
  <si>
    <t xml:space="preserve">1/9 PP 150 mm, white; EXACT: size, depth and material in name. Pack of 12 pcs, price per pack net (footnote "* Toate prețurile plus TVA 19%" on RO storefront); tier offer "2.670,45 RON Reducere-45%"; RRP 494,83 RON; SKU GPP19150-12; listing dims W 105 x D 172 x H 150 mm. Price shown excl. VAT (RO 21%); pack of 12, converted to per piece; page read with a headless browser (prices rendered by JavaScript). YES Gastro SKU GNPP-19150.</t>
  </si>
  <si>
    <t xml:space="preserve">https://www.ggmgastro.com/ro-ro-ron/12-bucati-recipient-din-polipropilena-gn-1-9-culoare-opaca-inaltime-150-mm-gpp19150-12</t>
  </si>
  <si>
    <t xml:space="preserve">ARAVEN Recipient cu capac GN 1/9, PP, adancime: 150 mm, capacitate: 1,5 L, hermetic</t>
  </si>
  <si>
    <t xml:space="preserve">1/9 PP 150 mm, white; CLOSE: Araven PP container sold with hermetic lid (bundle); size/depth/material stated. SKU 229901642. Listing price is gross; product page shows gross and "fără TVA" net below it. Price shown incl. VAT (RO 21%); VAT removed for the net price. YES Gastro SKU GNPP-19150.</t>
  </si>
  <si>
    <t xml:space="preserve">https://www.gastrozone.ro/araven-gn-recipient-cu-capac-1-9-pp-adancime-150-mm-capacitate-1-5-l-hermetic.html</t>
  </si>
  <si>
    <t xml:space="preserve">Recipient GN 1/9 adâncime 15 cm din polipropilenă | HENDI 873137</t>
  </si>
  <si>
    <t xml:space="preserve">1/9 PP 150 mm, white; EXACT: size, depth and material (polipropilena) in product name. Listing shows "Pret net 21.40 RON" and "Pret brut 25.90 RON/buc". Price shown excl. VAT (RO 21%). YES Gastro SKU GNPP-19150.</t>
  </si>
  <si>
    <t xml:space="preserve">https://mmgastro.ro/ro/products/recipient-gn-1-9-adancime-15-cm-din-polipropilena-hendi-873137-159072</t>
  </si>
  <si>
    <t xml:space="preserve">(12 Stück) Polypropylen-Behälter GN 1/9 - Milchig - Höhe: 150mm</t>
  </si>
  <si>
    <t xml:space="preserve">1/9 PP 150 mm, milky; EXACT: 'Polypropylen-Behälter' milky PP, Art. GPP19150-12, pack of 12; price per pack, footnote '* alle Preise zzgl. MwSt. 19%' (AT storefront oddly states 19%); UVP 93.99 €, struck-through regular price 89.07 €. Price shown excl. VAT (AT 20%); pack of 12, converted to per piece; page read with a headless browser (prices rendered by JavaScript). YES Gastro SKU GNPP-19150.</t>
  </si>
  <si>
    <t xml:space="preserve">https://www.ggmgastro.com/de-at-eur/12-stueck-polypropylen-behaelter-gn-1-9-milchig-hoehe-150mm-gpp19150-12</t>
  </si>
  <si>
    <t xml:space="preserve">Hendi GN-Behälter mit Deckel und HACCP-Clips, GN 1/9, 150 mm, 1,5 L, PP</t>
  </si>
  <si>
    <t xml:space="preserve">1/9 PP 150 mm, transparent; CLOSE: Hendi PP container sold with lid and HACCP clips (no bare PP container of this size/depth at this shop); 'Material: Polypropylen (PP)'; net price, page adds 'inkl. MwSt.' price at +19%; Hendi art. 873144. Price shown excl. VAT (AT 20%). YES Gastro SKU GNPP-19150.</t>
  </si>
  <si>
    <t xml:space="preserve">https://www.gastro-hero.at/products/hendi-gn-behaelter-mit-deckel-und-haccp-clips-gn-19-150-mm-15-l-pp-873144</t>
  </si>
  <si>
    <t xml:space="preserve">Stalgast ARAVEN Gastronormbehälter mit Deckel, Polypropylen, GN 1/9 (150 mm)</t>
  </si>
  <si>
    <t xml:space="preserve">1/9 PP 150 mm; CLOSE: PP container sold together with lid (Araven set); no bare PP container listed in the GN category (153 items, 4 pages); price 'pro Stk exkl. MwSt. zzgl. Versand'; listing price, Art. 928376-347899. Price shown excl. VAT (AT 20%). YES Gastro SKU GNPP-19150.</t>
  </si>
  <si>
    <t xml:space="preserve">https://www.jh-profishop.at/p/stalgast-araven-gastronormbehaelter-mit-deckel-polypropylen-gn-1-9-150-mm-928376-347899/</t>
  </si>
  <si>
    <t xml:space="preserve">GN-Behälter - mit Deckel - Serie 86 - Inhalt 1,5 l - GN 1/9 (176 x 108 mm) - 150 mm - Polypropylen - premium Qualität</t>
  </si>
  <si>
    <t xml:space="preserve">1/9 PP 150 mm; CLOSE: WAS Serie 86 PP container sold together with lid (no bare PP container in this size/depth at this shop); Art.-Nr. 8619150-A; sale price, regular price 6,00 €; 'Preise zzgl. MwSt.' Price shown excl. VAT (AT 20%). YES Gastro SKU GNPP-19150.</t>
  </si>
  <si>
    <t xml:space="preserve">https://shopbuero.com/gn-behaelter-mit-deckel-serie-86-inhalt-1-5-l-gn-1-9-176-x-108-mm-150-mm-polypropylen-premium-qualitaet/8619150-A</t>
  </si>
  <si>
    <t xml:space="preserve">WAS (Serie 86)</t>
  </si>
  <si>
    <t xml:space="preserve">1/9 PP 150 mm, milchig/transparent; Polypropylen container GN 1/9 x 150 mm sold as pack of 12; price per pack, '* Nettopreis | Bruttopreis inkl. 19% MwSt.' shown; UVP 93.99 EUR; art. GPP19150-12. Price shown excl. VAT (DE 19%); pack of 12, converted to per piece; page read with a headless browser (prices rendered by JavaScript). YES Gastro SKU GNPP-19150.</t>
  </si>
  <si>
    <t xml:space="preserve">https://www.ggmgastro.com/de-de-eur/12-stueck-polypropylen-behaelter-gn-1-9-milchig-hoehe-150mm-gpp19150-12</t>
  </si>
  <si>
    <t xml:space="preserve">1/9 PP 150 mm, transparent; Right size/depth and PP, but sold bundled with lid and HACCP clips (CLOSE); Hendi art. 873144; no bare Schneider PP container in this size at GastroHero; net, 'zzgl. MwSt.'. Price shown excl. VAT (DE 19%). YES Gastro SKU GNPP-19150.</t>
  </si>
  <si>
    <t xml:space="preserve">https://www.gastro-hero.de/products/hendi-gn-behaelter-mit-deckel-und-haccp-clips-gn-19-150-mm-15-l-pp-873144</t>
  </si>
  <si>
    <t xml:space="preserve">Araven Polypropylen GN 1/9 Lebensmittelbehälter 1,5L (4 Stück)</t>
  </si>
  <si>
    <t xml:space="preserve">1/9 PP 150 mm, transparent; PP GN 1/9, depth 150 mm stated on page, but sold as pack of 4 WITH airtight lids (bundle = CLOSE); 29.99 EUR per 4-pack net (7.50 EUR per piece shown); art. T983; only 1/9 x 150 mm PP item at Nisbets. Price shown excl. VAT (DE 19%); pack of 4, converted to per piece; page read with a headless browser (prices rendered by JavaScript). YES Gastro SKU GNPP-19150.</t>
  </si>
  <si>
    <t xml:space="preserve">https://www.nisbets.de/araven-lebensmittelbehlter-150cl/t983</t>
  </si>
  <si>
    <t xml:space="preserve">(12 ks) Polypropylenová nádoba GN 1/9 - Mléčná - Výška: 150 mm</t>
  </si>
  <si>
    <t xml:space="preserve">1/9 PP 150 mm, milky translucent; EXACT: polypropylene GN 1/9 container, height 150 mm, sold as pack of 12; SKU GPP19150-12; net pack price 1168.03 CZK as displayed, footnote "* čistá cena | hrubá cena vč. 19% DPH: 1 389,96 Kč"; shown as discounted (Sleva-45%) from RRP 2 287,62 Kč. Price shown excl. VAT (CZ 21%); pack of 12, converted to per piece; page read with a headless browser (prices rendered by JavaScript). YES Gastro SKU GNPP-19150.</t>
  </si>
  <si>
    <t xml:space="preserve">https://www.ggmgastro.com/cs-cz-czk/12-ks-polypropylenova-nadoba-gn-1-9-mlecna-vyska-150-mm-gpp19150-12</t>
  </si>
  <si>
    <t xml:space="preserve">Dostupné od 19.10.2026</t>
  </si>
  <si>
    <t xml:space="preserve">Gastronádoba GN 1/9 Hendi - 1,5 l - polypropylen - průhledná</t>
  </si>
  <si>
    <t xml:space="preserve">1/9 PP 150 mm, transparent; EXACT: Hendi PP container GN 1/9 150 mm, "Materiál: Polypropylen (PP)", 176x108x150 mm, EAN 8711369873144; code 873144; page shows 174 Kč (s DPH) and "144 Kč bez DPH". Price shown incl. VAT (CZ 21%); VAT removed for the net price. YES Gastro SKU GNPP-19150.</t>
  </si>
  <si>
    <t xml:space="preserve">https://www.gastrofans.cz/nadoba-gn-1-9-polypropylen--hendi--gn-1-9--1-5l--pruhledna--176x108x-h-150mm/</t>
  </si>
  <si>
    <t xml:space="preserve">Nádoba GN 1/9 z polypropylenu, GN 1/9, 1,5 l, průhledná, 176x108x150 mm | HENDI, 873144</t>
  </si>
  <si>
    <t xml:space="preserve">1/9 PP 150 mm, transparent; EXACT: Hendi PP container GN 1/9 150 mm, parameter "materiál: polypropylen"; code 873144; page shows "Cena bez DPH: 172 Kč" and "Cena s DPH: 208 Kč". Price shown excl. VAT (CZ 21%); page read with a headless browser (prices rendered by JavaScript). YES Gastro SKU GNPP-19150.</t>
  </si>
  <si>
    <t xml:space="preserve">https://www.gastromania.cz/gastronadoby-polypropylenove/nadoba-gn-1-9-z-polypropylenu-gn-1-9-1-5-l-pruhledna-176x108x150-mm-hendi-873144</t>
  </si>
  <si>
    <t xml:space="preserve">ARAVEN Gastronádoba s víkem GN 1/9, PP, hloubka: 150 mm, objem: 1,5 L, hermetická</t>
  </si>
  <si>
    <t xml:space="preserve">1/9 PP 150 mm; CLOSE: PP GN 1/9 150 mm container but sold bundled with a hermetic LDPE lid; code 229901642; page shows 193 Kč incl. and "160 Kč bez DPH". Shop has no plain APS PP 1/9 150. Price shown excl. VAT (CZ 21%). YES Gastro SKU GNPP-19150.</t>
  </si>
  <si>
    <t xml:space="preserve">https://www.gastrozone.cz/araven-gn-nadoba-s-vikem-1-9-pp-hloubka-150-mm-obsah-1-5-l-hermeticka.html</t>
  </si>
  <si>
    <t xml:space="preserve">Skladem - centrální sklad</t>
  </si>
  <si>
    <t xml:space="preserve">(12 ks) Polypropylenová nádoba GN 1/9 - Mliečna - Výška: 150 mm</t>
  </si>
  <si>
    <t xml:space="preserve">1/9 PP 150 mm, milky; SKU GPP19150-12; pack of 12, net price per pack ('* Všetky ceny bez DPH 19 %' footnote – GGM applies 19% VAT on the SK storefront); strike-through regular price 89,07 € Price shown excl. VAT (SK 23%); pack of 12, converted to per piece; page read with a headless browser (prices rendered by JavaScript). YES Gastro SKU GNPP-19150.</t>
  </si>
  <si>
    <t xml:space="preserve">Nádoba z polypropylénu GN 1/9, 150 mm | STALGAST, Bufet Safe</t>
  </si>
  <si>
    <t xml:space="preserve">1/9 PP 150 mm, clear (not stated); SKU STALGAST-169154; other offers on this shop for the same variant: HENDI 8.24 (in stock); CONTACTO 10.64 (in stock); ARAVEN 11.32 (in stock) Price shown incl. VAT (SK 23%); VAT removed for the net price. YES Gastro SKU GNPP-19150.</t>
  </si>
  <si>
    <t xml:space="preserve">https://gastromania.sk/gastronadoby-polypropylenove/nadoba-z-polypropylenu-gn-1-9-150-mm-stalgast-bufet-safe</t>
  </si>
  <si>
    <t xml:space="preserve">ARAVEN Gastronádoba s vekom GN 1/9, PP, Hĺbka: 150 mm, Objem: 1,5 L, hermetická</t>
  </si>
  <si>
    <t xml:space="preserve">1/9 PP 150 mm, clear (not stated); container sold bundled with hermetic lid (s vekom, hermetická); listing shows gross 7,75 €; 'bez DPH' net 6.30 EUR on product page; SKU 229901642 Price shown incl. VAT (SK 23%); VAT removed for the net price. YES Gastro SKU GNPP-19150.</t>
  </si>
  <si>
    <t xml:space="preserve">https://www.gastrozone.sk/araven-gn-nadoba-s-vikem-1-9-pp-hloubka-150-mm-obsah-1-5-l-hermeticka.html</t>
  </si>
  <si>
    <t xml:space="preserve">Nádoba GN 1/9 z polypropylénu, HENDI, GN 1/9, 1,5L, Priehľadná, 176x108x(H)150mm</t>
  </si>
  <si>
    <t xml:space="preserve">1/9 PP 150 mm, clear; 'bez DPH' price shown; gross 4.86 EUR Price shown excl. VAT (SK 23%). YES Gastro SKU GNPP-19150.</t>
  </si>
  <si>
    <t xml:space="preserve">Capac Gastronorm 1/2 GN din policarbonat</t>
  </si>
  <si>
    <t xml:space="preserve">1/2 PC lid, clear; EXACT: plain flat polycarbonate lid, size and material in name. Shown "24.53 lei fără TVA (29.68 lei cu TVA)". Sale price; regular (initial) net price 32.46 lei. Price shown excl. VAT (RO 21%). YES Gastro SKU GNPL-12.</t>
  </si>
  <si>
    <t xml:space="preserve">https://direca.ro/shop/capac-gastronorm-1-2-gn-din-policarbonat/</t>
  </si>
  <si>
    <t xml:space="preserve">Capac pentru tava policarbonat negru GN 1/2 325×265 mm</t>
  </si>
  <si>
    <t xml:space="preserve">1/2 PC lid, black; EXACT: plain flat black polycarbonate lid (no seal mentioned), size and material stated; price "( inclusiv T.V.A. )". Price shown incl. VAT (RO 21%); VAT removed for the net price. YES Gastro SKU GNPL-12.</t>
  </si>
  <si>
    <t xml:space="preserve">https://www.fimax.ro/produs/capac-pentru-tava-policarbonat-negru-gn-1-2-325x265-mm/</t>
  </si>
  <si>
    <t xml:space="preserve">ARAVEN Capac pentru gastrorecipient GN 1/2, policarbonat, liber, cu decupaj pentru polonic</t>
  </si>
  <si>
    <t xml:space="preserve">1/2 PC lid, clear; EXACT: flat PC lid with ladle cut-out (handle cut-outs allowed by rules); SKU 229901718. Listing price is gross; product page shows gross and "fără TVA" net below it. Price shown incl. VAT (RO 21%); VAT removed for the net price. YES Gastro SKU GNPL-12.</t>
  </si>
  <si>
    <t xml:space="preserve">https://www.gastrozone.ro/araven-gn-capac-cu-deschidere-pentru-lingura-1-2-policarbonat-vrac.html</t>
  </si>
  <si>
    <t xml:space="preserve">Capac gastronorm | GN 1/2 din policarbonat</t>
  </si>
  <si>
    <t xml:space="preserve">1/2 PC lid, clear; EXACT: GastroPlast plain polycarbonate lid for PC tray (no silicone/seal), size in name and code. Shop code GNPL12; price in EUR "fara TVA". Price shown excl. VAT (RO 21%). YES Gastro SKU GNPL-12.</t>
  </si>
  <si>
    <t xml:space="preserve">https://www.lancom.ro/capac-gastronorm-gn-12-policarbonat-6961</t>
  </si>
  <si>
    <t xml:space="preserve">Capac pentru recipient GN 1/2 din policarbonat | FORGAST FG06702</t>
  </si>
  <si>
    <t xml:space="preserve">1/2 PC lid, clear; EXACT: plain polycarbonate lid, size and material in name (no seal/handle mentioned). Listing shows "Pret net 15.46 RON" and "Pret brut 18.71 RON/buc". Price shown excl. VAT (RO 21%). YES Gastro SKU GNPL-12.</t>
  </si>
  <si>
    <t xml:space="preserve">https://mmgastro.ro/ro/products/capac-pentru-recipient-gn-1-2-din-policarbonat-forgast-fg06702-63681</t>
  </si>
  <si>
    <t xml:space="preserve">PC GN Deckel 1/2 schwarz</t>
  </si>
  <si>
    <t xml:space="preserve">1/2 PC lid, black; EXACT: flat PC lid for GN 1/2 (listing: "GN 1/2 Deckel aus bruchsicherem Polycarbonat; Schützt Speisen und Inhalte zuverlässig"); Art. 10024420;0; sale price (statt 5.65); listing "Steuerhinweis: exkl. MwSt.", footer "Preisangaben exkl. gesetzl. MwSt." (Gewerbekunden price list). Price shown excl. VAT (AT 20%). YES Gastro SKU GNPL-12.</t>
  </si>
  <si>
    <t xml:space="preserve">https://www.allpax.at/product_info.php/info/PC-GN-Deckel-1-2-schwarz.html</t>
  </si>
  <si>
    <t xml:space="preserve">RIEBER-Polycarbonat Flachdeckel für GN 1/2 Behälter</t>
  </si>
  <si>
    <t xml:space="preserve">1/2 PC lid, transparent; EXACT: Rieber transparent flat lid (Flachdeckel) aus Polycarbonat for GN 1/2; page shows net price with "(… inkl. MwSt.) Zzgl. 20% MwSt.". Price shown excl. VAT (AT 20%). YES Gastro SKU GNPL-12.</t>
  </si>
  <si>
    <t xml:space="preserve">https://www.gastro-star.at/produkt/rieber-polycarbonatflachdeckelfuergn12behaelter-48885/</t>
  </si>
  <si>
    <t xml:space="preserve">Vogue GN-Deckel 1/2 Polycarbonat</t>
  </si>
  <si>
    <t xml:space="preserve">1/2 PC lid, transparent; EXACT: flat polycarbonate lid GN 1/2 ("aufliegend" / Vogue GN-Deckel Polycarbonat); SKU U245; page shows Angebotspreis 5.09 vs Normaler Preis 5.69; price shown is net (page shows e.g. "X € inkl. MwSt." computed at 19% underneath). Price shown excl. VAT (AT 20%). YES Gastro SKU GNPL-12.</t>
  </si>
  <si>
    <t xml:space="preserve">https://www.gastro-hero.at/products/vogue-gn-deckel-12-polycarbonat-u245</t>
  </si>
  <si>
    <t xml:space="preserve">APS GastroNorm-Behälter GN 1/2 Deckel Polycarbonat</t>
  </si>
  <si>
    <t xml:space="preserve">1/2 PC lid, transparent; EXACT: APS polycarbonate GN lid for GN 1/2 (Polycarbonat in name); listing price "zzgl. 19% MwSt.". Price shown excl. VAT (AT 20%). YES Gastro SKU GNPL-12.</t>
  </si>
  <si>
    <t xml:space="preserve">https://www.gastrodax.de/aps-gastronorm-behaelter-gn-1-2-deckel-polycarbonat</t>
  </si>
  <si>
    <t xml:space="preserve">Vogue Polycarbonat Deckel GN1/2</t>
  </si>
  <si>
    <t xml:space="preserve">1/2 PC lid, transparent; EXACT: polycarbonate stated in name/description, flat lid for GN 1/2; Art.-Nr. U245; price "inkl. MwSt., zzgl. Versand". Price shown incl. VAT (AT 20%); VAT removed for the net price. YES Gastro SKU GNPL-12.</t>
  </si>
  <si>
    <t xml:space="preserve">https://www.gastroladen.at/3020@GN-U245/</t>
  </si>
  <si>
    <t xml:space="preserve">GN Deckel GN 94 GN 1/2 Polycarbonat transparent</t>
  </si>
  <si>
    <t xml:space="preserve">1/2 PC lid, transparent; EXACT: WAS GN 94 flat lid GN 1/2, Materialtyp Polycarbonat, transparent; Bestell-Nr 252049; "Preis pro Stück, zzgl. MwSt". Price shown excl. VAT (AT 20%); page read with a headless browser (prices rendered by JavaScript). YES Gastro SKU GNPL-12.</t>
  </si>
  <si>
    <t xml:space="preserve">https://www.intergastro.at/gn-deckel-gn-94-gn-1-2-polycarbonat-transparent-252049</t>
  </si>
  <si>
    <t xml:space="preserve">GN-Deckel - transparent - Serie 94 - GN 1/2 (325 x 265 mm) - Polycarbonat</t>
  </si>
  <si>
    <t xml:space="preserve">1/2 PC lid, transparent; EXACT: flat polycarbonate lid GN 1/2 (Material: Kunststoff, Polycarbonat); Art. 9412001-A; sale price, Regulärer Preis 6.50; footer "Preise zzgl. MwSt. zzgl. Versandkosten". Price shown excl. VAT (AT 20%). YES Gastro SKU GNPL-12.</t>
  </si>
  <si>
    <t xml:space="preserve">https://shopbuero.com/gn-deckel-transparent-serie-94-gn-1-2-325-x-265-mm-polycarbonat/9412001-A</t>
  </si>
  <si>
    <t xml:space="preserve">1/2 PC lid, black; EXACT: plain PC lid GN 1/2; Art.-Nr. 10024420;0; price shown on default 'Gewerbekunden' price list, Steuerhinweis 'zzgl. MwSt.'; promo 'jetzt' price, regular 'statt' 5.65 EUR. Price shown excl. VAT (DE 19%). YES Gastro SKU GNPL-12.</t>
  </si>
  <si>
    <t xml:space="preserve">https://www.allpax.de/product_info.php/info/PC-GN-Deckel-1-2-schwarz.html</t>
  </si>
  <si>
    <t xml:space="preserve">GN Deckel, GN 1/2, transparent, Polycarbonat, GN 94 Serie</t>
  </si>
  <si>
    <t xml:space="preserve">1/2 PC lid, transparent; EXACT: plain flat PC lid GN 1/2 (GN 94 Serie, Polycarbonat stated); Art.Nr. 9412001; price inkl. 19% USt, shop also shows Netto 4,71 EUR; -28% promo vs UVP 7,74 EUR. Price shown incl. VAT (DE 19%); VAT removed for the net price. YES Gastro SKU GNPL-12.</t>
  </si>
  <si>
    <t xml:space="preserve">https://gastro-spirit.de/deckel-gn-1-2-serie-gn-94-9412001</t>
  </si>
  <si>
    <t xml:space="preserve">1/2 PC lid, transparent; EXACT: plain lay-on PC lid GN 1/2 ('Deckel, aufliegend' / Polycarbonat stated); Art.-Nr. U245; page shows gross 5,82 EUR 'inkl. MwSt.' and net 4,89 EUR; footer: 'Alle Preise sind Stückpreise und verstehen sich netto zzgl. MwSt.' (B2B shop); net price recorded. Price shown excl. VAT (DE 19%). YES Gastro SKU GNPL-12.</t>
  </si>
  <si>
    <t xml:space="preserve">https://www.gastro-hero.de/products/vogue-gn-deckel-12-polycarbonat-u245</t>
  </si>
  <si>
    <t xml:space="preserve">1/2 PC lid, transparent; EXACT: plain PC lid GN 1/2, material Polycarbonat stated; Art.-Nr. APS-82013; price 'zzgl. 19% MwSt.' (B2B net); shop also shows UVP 20,10 €; depth derived from APS capacity () per APS GN size table. Price shown excl. VAT (DE 19%). YES Gastro SKU GNPL-12.</t>
  </si>
  <si>
    <t xml:space="preserve">1/2 PC lid, transparent; EXACT: plain flat PC lid GN 1/2; Art.-Nr. U245; price shown 'inkl. MwSt., zzgl. 7,95 EUR Versand in D'. Price shown incl. VAT (DE 19%); VAT removed for the net price. YES Gastro SKU GNPL-12.</t>
  </si>
  <si>
    <t xml:space="preserve">https://www.gastroladen.de/3020@GN-U245/Vogue-Polycarbonat-Deckel-GN1-2.htm</t>
  </si>
  <si>
    <t xml:space="preserve">1/2 PC lid, transparent; EXACT: plain flat PC lid GN 1/2 (Polycarbonat in name); Bestell-Nr 252049, Serie GN 94; single-piece price 'Preis pro Stück, zzgl. MwSt' (Staffelpreise for 3+ pcs exist on page). Price shown excl. VAT (DE 19%). YES Gastro SKU GNPL-12.</t>
  </si>
  <si>
    <t xml:space="preserve">https://www.intergastro.de/gn-deckel-gn-94-gn-1-2-polycarbonat-transparent-252049</t>
  </si>
  <si>
    <t xml:space="preserve">Vogue Polycarbonat GN 1/2 Deckel Transparent</t>
  </si>
  <si>
    <t xml:space="preserve">1/2 PC lid, transparent; EXACT: plain flat PC lid GN 1/2; Art.-Nr. U245; listing shows price with 'Zzgl. MwSt.' (search results page, 2026-10-02); reduced price, regular 'BISHER' 6,09 EUR. Price shown excl. VAT (DE 19%); page read with a headless browser (prices rendered by JavaScript). YES Gastro SKU GNPL-12.</t>
  </si>
  <si>
    <t xml:space="preserve">https://www.nisbets.de/vogue-polycarbonat-deckel/u245</t>
  </si>
  <si>
    <t xml:space="preserve">Víko 1/2 GN - Polykarbonát Maxima</t>
  </si>
  <si>
    <t xml:space="preserve">1/2 PC lid, clear; EXACT: plain polycarbonate lid GN 1/2 (Maxima), material in name ("polykarbonát"); listing shows 131 Kč bez DPH / 159 Kč s DPH. Price shown excl. VAT (CZ 21%). YES Gastro SKU GNPL-12.</t>
  </si>
  <si>
    <t xml:space="preserve">https://www.gastrofans.cz/gastronadoba-viko-1-2-gn-polykarbonat/</t>
  </si>
  <si>
    <t xml:space="preserve">Víko GN 1/2, polykarbonát | YATO, YG-00435</t>
  </si>
  <si>
    <t xml:space="preserve">1/2 PC lid, clear; EXACT: Yato polycarbonate lid GN 1/2 (YG-00435), plain flat lid; brand listing shows bez DPH 92 Kč / s DPH 112 Kč. Price shown excl. VAT (CZ 21%); page read with a headless browser (prices rendered by JavaScript). YES Gastro SKU GNPL-12.</t>
  </si>
  <si>
    <t xml:space="preserve">https://www.gastromania.cz/vika-gn-polykarbonatove/viko-gn-1-2-polykarbonat-yato-yg-00435</t>
  </si>
  <si>
    <t xml:space="preserve">ARAVEN Víko na gastronádobu GN 1/2, polykarbonát, volné, s výřezem na naběračku</t>
  </si>
  <si>
    <t xml:space="preserve">1/2 PC lid, clear; CLOSE: Araven loose ("volné") polycarbonate lid GN 1/2, code 229901718; 214 Kč s DPH / 177 Kč bez DPH. Lid has a ladle notch ("s výřezem na naběračku"); shop has no plain PC lid for this size. Price shown excl. VAT (CZ 21%). YES Gastro SKU GNPL-12.</t>
  </si>
  <si>
    <t xml:space="preserve">https://www.gastrozone.cz/araven-gn-zaluzie-s-vyrezem-na-lzici-1-2-polykarbonat-volne.html</t>
  </si>
  <si>
    <t xml:space="preserve">Víko polykarbonát pro gastronádobu GN 1/2</t>
  </si>
  <si>
    <t xml:space="preserve">1/2 PC lid, clear; CLOSE: Verlo polycarbonate lid GN 1/2 made for Verlo melamine buffet GN dishes ("perfektně zapadne do melaminových gastronádob"), not for standard PC/PP containers; 453.72 Kč bez DPH, no discount. Hendi lids in shop (880623 etc.) are PP, not recorded. Price shown excl. VAT (CZ 21%). YES Gastro SKU GNPL-12.</t>
  </si>
  <si>
    <t xml:space="preserve">https://www.promos-gastro.cz/index.php?id_product=63870&amp;controller=product</t>
  </si>
  <si>
    <t xml:space="preserve">Verlo</t>
  </si>
  <si>
    <t xml:space="preserve">not shown</t>
  </si>
  <si>
    <t xml:space="preserve">1/2 PC lid, clear; CLOSE: Víko polykarbonát pro gastronádobu GN 1/2, code V-61200-L, brand Verlo, Materiál: polykarbonát, transparent; 549 Kč / 454 Kč bez DPH. Verlo polycarbonate lid designed for Verlo melamine GN 1/2 buffet dishes (not for standard PC/PP containers); no other PC GN 1/2 lid in shop. Price shown excl. VAT (CZ 21%). YES Gastro SKU GNPL-12.</t>
  </si>
  <si>
    <t xml:space="preserve">https://www.tomgast.cz/viko-polykarbonat-pro-gastronadobu-gn-1-2/</t>
  </si>
  <si>
    <t xml:space="preserve">Skladem (76 ks)</t>
  </si>
  <si>
    <t xml:space="preserve">Pokrievka pre nádoby GN z polykarbonátu, HENDI, GN 1/2, Priehľadná, 265x325mm Kód: 864128</t>
  </si>
  <si>
    <t xml:space="preserve">1/2 PC lid, clear; price shown 6.05 € (net) / 7,44 € s DPH; code 864128 Price shown excl. VAT (SK 23%). YES Gastro SKU GNPL-12.</t>
  </si>
  <si>
    <t xml:space="preserve">Vogue polykarbonátové veko s priehlbinou na lyžičku GN 1/2</t>
  </si>
  <si>
    <t xml:space="preserve">1/2 PC lid, clear (not stated); lid with spoon recess/cut-out (na lyžičku); 'bez DPH' price shown; gross €7.74; code ; other offers on this shop for the same variant: Vogue 6.09 (Ospravedlňujeme sa, ); Gastro M 6.81 (Ospravedlňujeme sa, ); Vogue 10.41 (Ospravedlňujeme sa, ) Price shown excl. VAT (SK 23%). YES Gastro SKU GNPL-12.</t>
  </si>
  <si>
    <t xml:space="preserve">Veko GN 1/2, polykarbonát | YATO, YG-00435</t>
  </si>
  <si>
    <t xml:space="preserve">1/2 PC lid, clear (not stated); SKU YATO-YG-00435; other offers on this shop for the same variant: STALGAST 6.22 (in stock); UNOX 14.94 (in stock); CONTACTO 17.27 (in stock); APS 28.29 (in stock) Price shown incl. VAT (SK 23%); VAT removed for the net price. YES Gastro SKU GNPL-12.</t>
  </si>
  <si>
    <t xml:space="preserve">https://gastromania.sk/veka-gn-polykarbonatove/veko-gn-1-2-polykarbonat-yato-yg-00435</t>
  </si>
  <si>
    <t xml:space="preserve">APS Veko na gastronádoby GN 1/2 32,5x26,5 cm, PC</t>
  </si>
  <si>
    <t xml:space="preserve">1/2 PC lid, clear (not stated); listing shows gross 8,54 €; 'bez DPH' net 6.94 EUR on product page; SKU 227776542; other offers on this shop for the same variant: Vollrath Pujadas 12.91 (in stock); B.PRO 16.94 (in stock); Araven 8.61 (Na objednávku (3-5 t) Price shown incl. VAT (SK 23%); VAT removed for the net price. YES Gastro SKU GNPL-12.</t>
  </si>
  <si>
    <t xml:space="preserve">https://www.gastrozone.sk/aps-viko-na-gastronadoby-gn-1-2-32-5x26-5-pc.html</t>
  </si>
  <si>
    <t xml:space="preserve">Pokrievka pre nádoby GN z polykarbonátu, HENDI, GN 1/2, Priehľadná, 265 × 325 mm | 864128</t>
  </si>
  <si>
    <t xml:space="preserve">1/2 PC lid, clear; 'bez DPH' price shown; gross 4.75 EUR; other offers on this shop for the same variant: HENDI 3.64 (in stock); HENDI 3.64 (in stock); not stated (shop own line) 4.08 (in stock) Price shown excl. VAT (SK 23%). YES Gastro SKU GNPL-12.</t>
  </si>
  <si>
    <t xml:space="preserve">Capac Gastronorm 1/3 GN din policarbonat</t>
  </si>
  <si>
    <t xml:space="preserve">1/3 PC lid, clear; EXACT: plain flat polycarbonate lid, size and material in name. Shown "16.53 lei fără TVA (20.00 lei cu TVA)". Sale price; regular (initial) net price 22.04 lei. Price shown excl. VAT (RO 21%). YES Gastro SKU GNPL-13.</t>
  </si>
  <si>
    <t xml:space="preserve">https://direca.ro/shop/capac-gastronorm-1-3-gn-din-policarbonat/</t>
  </si>
  <si>
    <t xml:space="preserve">Capac pentru tava policarbonat negru GN 1/3 325×175 mm</t>
  </si>
  <si>
    <t xml:space="preserve">1/3 PC lid, black; EXACT: plain flat black polycarbonate lid (no seal mentioned), size and material stated; price "( inclusiv T.V.A. )". Price shown incl. VAT (RO 21%); VAT removed for the net price. YES Gastro SKU GNPL-13.</t>
  </si>
  <si>
    <t xml:space="preserve">https://www.fimax.ro/produs/capac-pentru-tava-policarbonat-negru-gn-1-3-325x175-mm/</t>
  </si>
  <si>
    <t xml:space="preserve">ARAVEN Capac pentru gastrorecipient GN 1/3, policarbonat, liber, cu decupaj pentru polonic</t>
  </si>
  <si>
    <t xml:space="preserve">1/3 PC lid, clear; EXACT: flat PC lid with ladle cut-out; SKU 229901717. Listing price is gross; product page shows gross and "fără TVA" net below it. Price shown incl. VAT (RO 21%); VAT removed for the net price. YES Gastro SKU GNPL-13.</t>
  </si>
  <si>
    <t xml:space="preserve">https://www.gastrozone.ro/araven-gn-capac-cu-decupaj-pentru-lingura-1-3-policarbonat-vrac.html</t>
  </si>
  <si>
    <t xml:space="preserve">CAPAC GASTRONORM POLICARBONAT PENTRU TAVA POLICARBONAT GN 1/3</t>
  </si>
  <si>
    <t xml:space="preserve">1/3 PC lid, clear; EXACT: GastroPlast plain polycarbonate lid for PC tray (no silicone/seal), size in name and code. Shop code GNPL13; price in EUR "fara TVA". Price shown excl. VAT (RO 21%). YES Gastro SKU GNPL-13.</t>
  </si>
  <si>
    <t xml:space="preserve">https://www.lancom.ro/capac-gastronorm-gn-13-policarbonat-6962</t>
  </si>
  <si>
    <t xml:space="preserve">Capac pentru recipient GN 1/3 din policarbonat | FORGAST FG06703</t>
  </si>
  <si>
    <t xml:space="preserve">1/3 PC lid, clear; EXACT: plain polycarbonate lid, size and material in name (no seal/handle mentioned). Listing shows "Pret net 10.94 RON" and "Pret brut 13.24 RON/buc". Price shown excl. VAT (RO 21%). YES Gastro SKU GNPL-13.</t>
  </si>
  <si>
    <t xml:space="preserve">https://mmgastro.ro/ro/products/capac-pentru-recipient-gn-1-3-din-policarbonat-forgast-fg06703-63686</t>
  </si>
  <si>
    <t xml:space="preserve">PC GN Deckel 1/3 schwarz</t>
  </si>
  <si>
    <t xml:space="preserve">1/3 PC lid, black; EXACT: flat PC lid for GN 1/3 (listing: "GN 1/3 Deckel aus bruchsicherem Polycarbonat; Schützt Speisen und Inhalte zuverlässig"); Art. 10024421;0; sale price (statt 4.59); listing "Steuerhinweis: exkl. MwSt.", footer "Preisangaben exkl. gesetzl. MwSt." (Gewerbekunden price list). Price shown excl. VAT (AT 20%). YES Gastro SKU GNPL-13.</t>
  </si>
  <si>
    <t xml:space="preserve">https://www.allpax.at/product_info.php/info/PC-GN-Deckel-1-3-schwarz.html</t>
  </si>
  <si>
    <t xml:space="preserve">RIEBER-Polycarbonat Flachdeckel für GN 1/3 Behälter</t>
  </si>
  <si>
    <t xml:space="preserve">1/3 PC lid, transparent; EXACT: Rieber transparent flat lid (Flachdeckel) aus Polycarbonat for GN 1/3; page shows net price with "(… inkl. MwSt.) Zzgl. 20% MwSt.". Price shown excl. VAT (AT 20%). YES Gastro SKU GNPL-13.</t>
  </si>
  <si>
    <t xml:space="preserve">https://www.gastro-star.at/produkt/rieber-polycarbonatflachdeckelfuergn13behaelter-48886/</t>
  </si>
  <si>
    <t xml:space="preserve">Vogue GN-Deckel 1/3 Polycarbonat</t>
  </si>
  <si>
    <t xml:space="preserve">1/3 PC lid, transparent; EXACT: flat polycarbonate lid GN 1/3 ("aufliegend" / Vogue GN-Deckel Polycarbonat); SKU U246; page shows Angebotspreis 3.99 vs Normaler Preis 4.49; price shown is net (page shows e.g. "X € inkl. MwSt." computed at 19% underneath). Price shown excl. VAT (AT 20%). YES Gastro SKU GNPL-13.</t>
  </si>
  <si>
    <t xml:space="preserve">https://www.gastro-hero.at/products/vogue-gn-deckel-13-polycarbonat-u246</t>
  </si>
  <si>
    <t xml:space="preserve">APS GastroNorm-Behälter GN 1/3 Deckel Polycarbonat</t>
  </si>
  <si>
    <t xml:space="preserve">1/3 PC lid, transparent; EXACT: APS polycarbonate GN lid for GN 1/3 (Polycarbonat in name); listing price "zzgl. 19% MwSt.". Price shown excl. VAT (AT 20%). YES Gastro SKU GNPL-13.</t>
  </si>
  <si>
    <t xml:space="preserve">https://www.gastrodax.de/aps-gastronorm-behaelter-gn-1-3-deckel-polycarbonat</t>
  </si>
  <si>
    <t xml:space="preserve">Cambro Polycarbonat Deckel GN 1/3 mit Griff</t>
  </si>
  <si>
    <t xml:space="preserve">1/3 PC lid, transparent; EXACT: polycarbonate stated in name/description, flat lid for GN 1/3 (Cambro lid with grip handle); Art.-Nr. DM713; price "inkl. MwSt., zzgl. Versand". Price shown incl. VAT (AT 20%); VAT removed for the net price. YES Gastro SKU GNPL-13.</t>
  </si>
  <si>
    <t xml:space="preserve">https://www.gastroladen.at/3020@GN-DM713/</t>
  </si>
  <si>
    <t xml:space="preserve">GN Deckel GN 94 GN 1/3 Polycarbonat transparent</t>
  </si>
  <si>
    <t xml:space="preserve">1/3 PC lid, transparent; EXACT: WAS GN 94 flat lid GN 1/3, Materialtyp Polycarbonat, transparent; Bestell-Nr 252337; "Preis pro Stück, zzgl. MwSt". Price shown excl. VAT (AT 20%); page read with a headless browser (prices rendered by JavaScript). YES Gastro SKU GNPL-13.</t>
  </si>
  <si>
    <t xml:space="preserve">https://www.intergastro.at/gn-deckel-gn-94-gn-1-3-polycarbonat-transparent-252337</t>
  </si>
  <si>
    <t xml:space="preserve">GN-Deckel - Serie GN 96 Black - transparent - GN 1/3 (325 x 176 mm) - Polycarbonat</t>
  </si>
  <si>
    <t xml:space="preserve">1/3 PC lid, transparent; EXACT: flat polycarbonate lid GN 1/3 (Material: Kunststoff, Polycarbonat); Art. 9613001-A; sale price, Regulärer Preis 5.30; footer "Preise zzgl. MwSt. zzgl. Versandkosten". Price shown excl. VAT (AT 20%). YES Gastro SKU GNPL-13.</t>
  </si>
  <si>
    <t xml:space="preserve">https://shopbuero.com/gn-deckel-serie-gn-96-black-transparent-gn-1-3-325-x-176-mm-polycarbonat/9613001-A</t>
  </si>
  <si>
    <t xml:space="preserve">WAS Germany (GN 96 Black)</t>
  </si>
  <si>
    <t xml:space="preserve">1/3 PC lid, black; EXACT: plain PC lid GN 1/3; Art.-Nr. 10024421;0; price shown on default 'Gewerbekunden' price list, Steuerhinweis 'zzgl. MwSt.'; promo 'jetzt' price, regular 'statt' 4.59 EUR. Price shown excl. VAT (DE 19%). YES Gastro SKU GNPL-13.</t>
  </si>
  <si>
    <t xml:space="preserve">https://www.allpax.de/product_info.php/info/PC-GN-Deckel-1-3-schwarz.html</t>
  </si>
  <si>
    <t xml:space="preserve">GN Deckel, GN 1/3, transparent, Polycarbonat, GN 94 Serie</t>
  </si>
  <si>
    <t xml:space="preserve">1/3 PC lid, transparent; EXACT: plain flat PC lid GN 1/3 (GN 94 Serie, Polycarbonat stated); Art.Nr. 9413001; price inkl. 19% USt, shop also shows Netto 3,84 EUR; -28% promo vs UVP 6,31 EUR. Price shown incl. VAT (DE 19%); VAT removed for the net price. YES Gastro SKU GNPL-13.</t>
  </si>
  <si>
    <t xml:space="preserve">https://gastro-spirit.de/deckel-gn-1-3-serie-gn-94-9413001</t>
  </si>
  <si>
    <t xml:space="preserve">1/3 PC lid, transparent; EXACT: plain lay-on PC lid GN 1/3 ('Deckel, aufliegend' / Polycarbonat stated); Art.-Nr. U246; page shows gross 4,51 EUR 'inkl. MwSt.' and net 3,79 EUR; footer: 'Alle Preise sind Stückpreise und verstehen sich netto zzgl. MwSt.' (B2B shop); net price recorded. Price shown excl. VAT (DE 19%). YES Gastro SKU GNPL-13.</t>
  </si>
  <si>
    <t xml:space="preserve">https://www.gastro-hero.de/products/vogue-gn-deckel-13-polycarbonat-u246</t>
  </si>
  <si>
    <t xml:space="preserve">B.PRO Gastronorm Deckel mit Griffmulde Polycarbonat-GN 1/3 (325 x 176 mm)</t>
  </si>
  <si>
    <t xml:space="preserve">1/3 PC lid, transparent; EXACT: plain PC lid GN 1/3 mit Griffmulde (grip recess), material Polycarbonat stated; Art.-Nr. BLA-1551448; price 'zzgl. 19% MwSt.' (B2B net); shop also shows UVP 12,10 €. Price shown excl. VAT (DE 19%). YES Gastro SKU GNPL-13.</t>
  </si>
  <si>
    <t xml:space="preserve">https://www.gastrodax.de/b-pro-gastronorm-deckel-mit-griffmulde-polycarbonat-gn-1-3-325-x-176-mm</t>
  </si>
  <si>
    <t xml:space="preserve">Auf Lager, Lieferzeit 2-5 Werktage (15.10.2026)</t>
  </si>
  <si>
    <t xml:space="preserve">Cambro Polycarbonat</t>
  </si>
  <si>
    <t xml:space="preserve">1/3 PC lid, transparent; EXACT: plain flat PC lid GN 1/3 ('mit Griff' = moulded handle); Art.-Nr. DM713; price shown 'inkl. MwSt., zzgl. 7,95 EUR Versand in D'. Price shown incl. VAT (DE 19%); VAT removed for the net price. YES Gastro SKU GNPL-13.</t>
  </si>
  <si>
    <t xml:space="preserve">https://www.gastroladen.de/3020@GN-DM713/Cambro-Polycarbonat-Deckel-GN-1-3-mit-Griff.htm</t>
  </si>
  <si>
    <t xml:space="preserve">1/3 PC lid, transparent; EXACT: plain flat PC lid GN 1/3 (Polycarbonat in name); Bestell-Nr 252337, Serie GN 94; single-piece price 'Preis pro Stück, zzgl. MwSt' (Staffelpreise for 3+ pcs exist on page). Price shown excl. VAT (DE 19%). YES Gastro SKU GNPL-13.</t>
  </si>
  <si>
    <t xml:space="preserve">https://www.intergastro.de/gn-deckel-gn-94-gn-1-3-polycarbonat-transparent-252337</t>
  </si>
  <si>
    <t xml:space="preserve">1/3 PC lid, transparent; EXACT: plain flat PC lid GN 1/3 ('mit Griff' = moulded handle); Art.-Nr. DM713; listing shows price with 'Zzgl. MwSt.' (search results page, 2026-10-02). Price shown excl. VAT (DE 19%); page read with a headless browser (prices rendered by JavaScript). YES Gastro SKU GNPL-13.</t>
  </si>
  <si>
    <t xml:space="preserve">https://www.nisbets.de/cambro-polycarbonat-deckel-gn-13-mit-griff/dm713</t>
  </si>
  <si>
    <t xml:space="preserve">Víko GN 1/3 - Průhledná, polykarbonát Hendi</t>
  </si>
  <si>
    <t xml:space="preserve">1/3 PC lid, clear; EXACT: plain polycarbonate lid GN 1/3 (Hendi), material in name ("polykarbonát"); listing shows 98 Kč bez DPH / 119 Kč s DPH. Price shown excl. VAT (CZ 21%). YES Gastro SKU GNPL-13.</t>
  </si>
  <si>
    <t xml:space="preserve">https://www.gastrofans.cz/viko-na-gn-pc-gn-1-3-transparent-325x176-mm/</t>
  </si>
  <si>
    <t xml:space="preserve">Víko GN 1/3, polykarbonát | YATO, YG-00436</t>
  </si>
  <si>
    <t xml:space="preserve">1/3 PC lid, clear; EXACT: Yato polycarbonate lid GN 1/3 (YG-00436), plain flat lid; brand listing shows bez DPH 66 Kč / s DPH 80 Kč. Price shown excl. VAT (CZ 21%); page read with a headless browser (prices rendered by JavaScript). YES Gastro SKU GNPL-13.</t>
  </si>
  <si>
    <t xml:space="preserve">https://www.gastromania.cz/vika-gn-polykarbonatove/viko-gn-1-3-polykarbonat-yato-yg-00436</t>
  </si>
  <si>
    <t xml:space="preserve">ARAVEN Víko na gastronádobu GN 1/3, polykarbonát, volné, s výřezem na naběračku</t>
  </si>
  <si>
    <t xml:space="preserve">1/3 PC lid, clear; CLOSE: Araven loose ("volné") polycarbonate lid GN 1/3, code 229901717; 151 Kč s DPH / 125 Kč bez DPH. Lid has a ladle notch ("s výřezem na naběračku"); shop has no plain PC lid for this size. Price shown excl. VAT (CZ 21%). YES Gastro SKU GNPL-13.</t>
  </si>
  <si>
    <t xml:space="preserve">https://www.gastrozone.cz/araven-gn-poklice-s-vyrezem-na-lzici-1-3-polykarbonat-volne.html</t>
  </si>
  <si>
    <t xml:space="preserve">Víko polykarbonát pro gastronádobu GN 1/3</t>
  </si>
  <si>
    <t xml:space="preserve">1/3 PC lid, clear; CLOSE: Verlo polycarbonate lid GN 1/3 made for Verlo melamine buffet GN dishes ("perfektně zapadne do melaminových gastronádob"), not for standard PC/PP containers; 417.36 Kč bez DPH, no discount. Hendi lids in shop (880623 etc.) are PP, not recorded. Price shown excl. VAT (CZ 21%). YES Gastro SKU GNPL-13.</t>
  </si>
  <si>
    <t xml:space="preserve">https://www.promos-gastro.cz/index.php?id_product=63872&amp;controller=product</t>
  </si>
  <si>
    <t xml:space="preserve">Víko pro gastronádobu GN 1/3</t>
  </si>
  <si>
    <t xml:space="preserve">1/3 PC lid, clear; EXACT: Víko pro gastronádobu GN 1/3, code R-M213001, brand Cambro, Materiál: polykarbonát, transparent; 168 Kč / 139 Kč bez DPH. Cambro lid fits PC and PP Cambro containers; "cena uvedena za 1 kus". Price shown excl. VAT (CZ 21%). YES Gastro SKU GNPL-13.</t>
  </si>
  <si>
    <t xml:space="preserve">https://www.tomgast.cz/viko-pro-gastronadobu-gn-1-3/</t>
  </si>
  <si>
    <t xml:space="preserve">Pokrievka pre nádoby GN z polykarbonátu, HENDI, GN 1/3, Priehľadná, 325x176mm Kód: 864135</t>
  </si>
  <si>
    <t xml:space="preserve">1/3 PC lid, clear; price shown 4.10 € (net) / 5,04 € s DPH; code 864135; promo – regular (Pôvodne) 4,20 € bez DPH Price shown excl. VAT (SK 23%). YES Gastro SKU GNPL-13.</t>
  </si>
  <si>
    <t xml:space="preserve">Gastro M polykarbonátové gastro veko GN 1/3</t>
  </si>
  <si>
    <t xml:space="preserve">1/3 PC lid, clear (not stated); 'bez DPH' price shown; gross €5.79; code ; other offers on this shop for the same variant: Vogue 4.79 (Ospravedlňujeme sa, ); Vogue 5.37 (Ospravedlňujeme sa, ); Vogue 7.84 (Ospravedlňujeme sa, ) Price shown excl. VAT (SK 23%). YES Gastro SKU GNPL-13.</t>
  </si>
  <si>
    <t xml:space="preserve">Veko z čierneho polykarbonátu GN 1/3 | STALGAST, 153002</t>
  </si>
  <si>
    <t xml:space="preserve">1/3 PC lid, black; SKU STALGAST-153002; other offers on this shop for the same variant: YATO 3.17 (in stock); STALGAST 4.45 (in stock); STALGAST 5.33 (in stock); CONTACTO 7.88 (in stock) Price shown incl. VAT (SK 23%); VAT removed for the net price. YES Gastro SKU GNPL-13/B.</t>
  </si>
  <si>
    <t xml:space="preserve">https://gastromania.sk/veka-gn-polykarbonatove/veko-z-cierneho-polykarbonatu-gn-1-3-stalgast-153002</t>
  </si>
  <si>
    <t xml:space="preserve">APS Veko na gastronádoby GN 1/3 32,5x17,5 cm, PC</t>
  </si>
  <si>
    <t xml:space="preserve">1/3 PC lid, clear (not stated); listing shows gross 6,69 €; 'bez DPH' net 5.44 EUR on product page; SKU 227776547; other offers on this shop for the same variant: Vollrath Pujadas 10.15 (in stock); Araven 6.03 (Na objednávku (3-5 t); contacto 7.61 (Na objednávku (3-5 t) Price shown incl. VAT (SK 23%); VAT removed for the net price. YES Gastro SKU GNPL-13.</t>
  </si>
  <si>
    <t xml:space="preserve">https://www.gastrozone.sk/aps-viko-na-gastronadoby-gn-1-3-32-5x17-5-cm-pc.html</t>
  </si>
  <si>
    <t xml:space="preserve">Skladom 4 ks Utorok 6. 10. u vás</t>
  </si>
  <si>
    <t xml:space="preserve">Pokrievka pre nádoby GN z polykarbonátu, HENDI, GN 1/3, Priehľadná, 325 × 176 mm | 864135</t>
  </si>
  <si>
    <t xml:space="preserve">1/3 PC lid, clear; 'bez DPH' price shown; gross 3.3 EUR; other offers on this shop for the same variant: HENDI 2.60 (in stock); HENDI 2.60 (in stock); not stated (shop own line) 2.73 (in stock) Price shown excl. VAT (SK 23%). YES Gastro SKU GNPL-13.</t>
  </si>
  <si>
    <t xml:space="preserve">Capac Gastronorm 1/4 GN din policarbonat</t>
  </si>
  <si>
    <t xml:space="preserve">1/4 PC lid, clear; EXACT: plain flat polycarbonate lid, size and material in name. Shown "14.84 lei fără TVA (17.95 lei cu TVA)". Sale price; regular (initial) net price 19.77 lei. Price shown excl. VAT (RO 21%). YES Gastro SKU GNPL-14.</t>
  </si>
  <si>
    <t xml:space="preserve">https://direca.ro/shop/capac-gastronorm-1-4-gn-din-policarbonat/</t>
  </si>
  <si>
    <t xml:space="preserve">Capac policarbonat transparent GN 1/4 265×176 mm</t>
  </si>
  <si>
    <t xml:space="preserve">1/4 PC lid, clear; EXACT: plain flat polycarbonate lid (no seal mentioned), size and material stated; price "( inclusiv T.V.A. )". Price shown incl. VAT (RO 21%); VAT removed for the net price. YES Gastro SKU GNPL-14.</t>
  </si>
  <si>
    <t xml:space="preserve">https://www.fimax.ro/produs/capac-policarbonat-transparent-gn-1-4-265x176-mm/</t>
  </si>
  <si>
    <t xml:space="preserve">ARAVEN Capac GN 1/4, policarbonat, liber</t>
  </si>
  <si>
    <t xml:space="preserve">1/4 PC lid, clear; EXACT: Araven plain polycarbonate lid ("liber" = loose/plain, no handle cut-out variant), size+material stated. SKU 229901628. Listing price is gross; product page shows gross and "fără TVA" net below it. Price shown incl. VAT (RO 21%); VAT removed for the net price. YES Gastro SKU GNPL-14.</t>
  </si>
  <si>
    <t xml:space="preserve">https://www.gastrozone.ro/araven-gn-cap-1-4-policarbonat-liber.html</t>
  </si>
  <si>
    <t xml:space="preserve">CAPAC GASTRONORM | GN 1/4 POLICARBONAT</t>
  </si>
  <si>
    <t xml:space="preserve">1/4 PC lid, clear; EXACT: GastroPlast plain polycarbonate lid for PC tray (no silicone/seal), size in name and code. Shop code GNPL14; price in EUR "fara TVA". Price shown excl. VAT (RO 21%). YES Gastro SKU GNPL-14.</t>
  </si>
  <si>
    <t xml:space="preserve">https://www.lancom.ro/capac-gastronorm-gn-14-policarbonat-6963</t>
  </si>
  <si>
    <t xml:space="preserve">Capac pentru recipient GN 1/4 din policarbonat | FORGAST FG06704</t>
  </si>
  <si>
    <t xml:space="preserve">1/4 PC lid, clear; EXACT: plain polycarbonate lid, size and material in name (no seal/handle mentioned). Listing shows "Pret net 9.06 RON" and "Pret brut 10.96 RON/buc". Price shown excl. VAT (RO 21%). YES Gastro SKU GNPL-14.</t>
  </si>
  <si>
    <t xml:space="preserve">https://mmgastro.ro/ro/products/capac-pentru-recipient-gn-1-4-din-policarbonat-forgast-fg06704-63690</t>
  </si>
  <si>
    <t xml:space="preserve">PC GN Deckel 1/4 schwarz</t>
  </si>
  <si>
    <t xml:space="preserve">1/4 PC lid, black; EXACT: flat PC lid for GN 1/4 (listing: "GN 1/4 Deckel aus bruchsicherem Polycarbonat; Schützt Speisen und Inhalte zuverlässig"); Art. 10024422;0; sale price (statt 3.69); listing "Steuerhinweis: exkl. MwSt.", footer "Preisangaben exkl. gesetzl. MwSt." (Gewerbekunden price list). Price shown excl. VAT (AT 20%). YES Gastro SKU GNPL-14.</t>
  </si>
  <si>
    <t xml:space="preserve">https://www.allpax.at/product_info.php/info/PC-GN-Deckel-1-4-schwarz.html</t>
  </si>
  <si>
    <t xml:space="preserve">RIEBER-Polycarbonat Flachdeckel für GN 1/4 Behälter</t>
  </si>
  <si>
    <t xml:space="preserve">1/4 PC lid, transparent; EXACT: Rieber transparent flat lid (Flachdeckel) aus Polycarbonat for GN 1/4; page shows net price with "(… inkl. MwSt.) Zzgl. 20% MwSt.". Price shown excl. VAT (AT 20%). YES Gastro SKU GNPL-14.</t>
  </si>
  <si>
    <t xml:space="preserve">https://www.gastro-star.at/produkt/rieber-polycarbonatflachdeckelfuergn14behaelter-48887/</t>
  </si>
  <si>
    <t xml:space="preserve">Vogue GN-Deckel 1/4 Polycarbonat</t>
  </si>
  <si>
    <t xml:space="preserve">1/4 PC lid, transparent; EXACT: flat polycarbonate lid GN 1/4 ("aufliegend" / Vogue GN-Deckel Polycarbonat); SKU U247; page shows Angebotspreis 2.89 vs Normaler Preis 6.79; price shown is net (page shows e.g. "X € inkl. MwSt." computed at 19% underneath). Price shown excl. VAT (AT 20%). YES Gastro SKU GNPL-14.</t>
  </si>
  <si>
    <t xml:space="preserve">https://www.gastro-hero.at/products/vogue-gn-deckel-14-polycarbonat-u247</t>
  </si>
  <si>
    <t xml:space="preserve">APS GastroNorm-Behälter GN 1/4 Deckel Polycarbonat</t>
  </si>
  <si>
    <t xml:space="preserve">1/4 PC lid, transparent; EXACT: APS polycarbonate GN lid for GN 1/4 (Polycarbonat in name); listing price "zzgl. 19% MwSt.". Price shown excl. VAT (AT 20%). YES Gastro SKU GNPL-14.</t>
  </si>
  <si>
    <t xml:space="preserve">https://www.gastrodax.de/aps-gastronorm-behaelter-gn-1-4-deckel-polycarbonat</t>
  </si>
  <si>
    <t xml:space="preserve">Cambro Polycarbonat Deckel GN 1/4 mit Griff</t>
  </si>
  <si>
    <t xml:space="preserve">1/4 PC lid, transparent; EXACT: polycarbonate stated in name/description, flat lid for GN 1/4 (Cambro lid with grip handle); Art.-Nr. DM750; price "inkl. MwSt., zzgl. Versand". Price shown incl. VAT (AT 20%); VAT removed for the net price. YES Gastro SKU GNPL-14.</t>
  </si>
  <si>
    <t xml:space="preserve">https://www.gastroladen.at/3020@GN-DM750/</t>
  </si>
  <si>
    <t xml:space="preserve">GN Deckel GN 94 GN 1/4 Polycarbonat transparent</t>
  </si>
  <si>
    <t xml:space="preserve">1/4 PC lid, transparent; EXACT: WAS GN 94 flat lid GN 1/4, Materialtyp Polycarbonat, transparent; Bestell-Nr 252292; "Preis pro Stück, zzgl. MwSt". Price shown excl. VAT (AT 20%); page read with a headless browser (prices rendered by JavaScript). YES Gastro SKU GNPL-14.</t>
  </si>
  <si>
    <t xml:space="preserve">https://www.intergastro.at/gn-deckel-gn-94-gn-1-4-polycarbonat-transparent-252292</t>
  </si>
  <si>
    <t xml:space="preserve">versandfertig in ca. 3 Wochen</t>
  </si>
  <si>
    <t xml:space="preserve">GN-Deckel - transparent - Serie 94 - GN 1/4 (265 x 162 mm) - Polycarbonat</t>
  </si>
  <si>
    <t xml:space="preserve">1/4 PC lid, transparent; EXACT: flat polycarbonate lid GN 1/4 (Material: Kunststoff, Polycarbonat); Art. 9414001-A; sale price, Regulärer Preis 4.30; footer "Preise zzgl. MwSt. zzgl. Versandkosten". Price shown excl. VAT (AT 20%). YES Gastro SKU GNPL-14.</t>
  </si>
  <si>
    <t xml:space="preserve">https://shopbuero.com/gn-deckel-transparent-serie-94-gn-1-4-265-x-162-mm-polycarbonat/9414001-A</t>
  </si>
  <si>
    <t xml:space="preserve">1/4 PC lid, black; EXACT: plain PC lid GN 1/4; Art.-Nr. 10024422;0; price shown on default 'Gewerbekunden' price list, Steuerhinweis 'zzgl. MwSt.'; promo 'jetzt' price, regular 'statt' 3.69 EUR. Price shown excl. VAT (DE 19%). YES Gastro SKU GNPL-14.</t>
  </si>
  <si>
    <t xml:space="preserve">https://www.allpax.de/product_info.php/info/PC-GN-Deckel-1-4-schwarz.html</t>
  </si>
  <si>
    <t xml:space="preserve">GN Deckel, GN 1/4, transparent, Polycarbonat, GN 94 Serie</t>
  </si>
  <si>
    <t xml:space="preserve">1/4 PC lid, transparent; EXACT: plain flat PC lid GN 1/4 (GN 94 Serie, Polycarbonat stated); Art.Nr. 9414001; price inkl. 19% USt, shop also shows Netto 3,12 EUR; -28% promo vs UVP 5,12 EUR. Price shown incl. VAT (DE 19%); VAT removed for the net price. YES Gastro SKU GNPL-14.</t>
  </si>
  <si>
    <t xml:space="preserve">https://gastro-spirit.de/deckel-gn-1-4-serie-gn-94-9414001</t>
  </si>
  <si>
    <t xml:space="preserve">1/4 PC lid, transparent; EXACT: plain lay-on PC lid GN 1/4 ('Deckel, aufliegend' / Polycarbonat stated); Art.-Nr. U247; page shows gross 3,32 EUR 'inkl. MwSt.' and net 2,79 EUR; footer: 'Alle Preise sind Stückpreise und verstehen sich netto zzgl. MwSt.' (B2B shop); net price recorded. Price shown excl. VAT (DE 19%). YES Gastro SKU GNPL-14.</t>
  </si>
  <si>
    <t xml:space="preserve">https://www.gastro-hero.de/products/vogue-gn-deckel-14-polycarbonat-u247</t>
  </si>
  <si>
    <t xml:space="preserve">B.PRO Gastronorm Deckel mit Griffmulde Polycarbonat-GN 1/4 (265 x 162 mm)</t>
  </si>
  <si>
    <t xml:space="preserve">1/4 PC lid, transparent; EXACT: plain PC lid GN 1/4 mit Griffmulde (grip recess), material Polycarbonat stated; Art.-Nr. BLA-1551449; price 'zzgl. 19% MwSt.' (B2B net); shop also shows UVP 8,90 €. Price shown excl. VAT (DE 19%). YES Gastro SKU GNPL-14.</t>
  </si>
  <si>
    <t xml:space="preserve">https://www.gastrodax.de/b-pro-gastronorm-deckel-mit-griffmulde-polycarbonat-gn-1-4-265-x-162-mm</t>
  </si>
  <si>
    <t xml:space="preserve">1/4 PC lid, transparent; EXACT: plain flat PC lid GN 1/4 ('mit Griff' = moulded handle); Art.-Nr. DM750; price shown 'inkl. MwSt., zzgl. 7,95 EUR Versand in D'. Price shown incl. VAT (DE 19%); VAT removed for the net price. YES Gastro SKU GNPL-14.</t>
  </si>
  <si>
    <t xml:space="preserve">https://www.gastroladen.de/3020@GN-DM750/Cambro-Polycarbonat-Deckel-GN-1-4-mit-Griff.htm</t>
  </si>
  <si>
    <t xml:space="preserve">1/4 PC lid, transparent; EXACT: plain flat PC lid GN 1/4 (Polycarbonat in name); Bestell-Nr 252292, Serie GN 94; single-piece price 'Preis pro Stück, zzgl. MwSt' (Staffelpreise for 3+ pcs exist on page). Price shown excl. VAT (DE 19%). YES Gastro SKU GNPL-14.</t>
  </si>
  <si>
    <t xml:space="preserve">https://www.intergastro.de/gn-deckel-gn-94-gn-1-4-polycarbonat-transparent-252292</t>
  </si>
  <si>
    <t xml:space="preserve">1/4 PC lid, transparent; EXACT: plain flat PC lid GN 1/4 ('mit Griff' = moulded handle); Art.-Nr. DM750; listing shows price with 'Zzgl. MwSt.' (search results page, 2026-10-02); reduced price, regular 'BISHER' 3,39 EUR. Price shown excl. VAT (DE 19%); page read with a headless browser (prices rendered by JavaScript). YES Gastro SKU GNPL-14.</t>
  </si>
  <si>
    <t xml:space="preserve">https://www.nisbets.de/cambro-polycarbonat-deckel-gn-14-mit-griff/dm750</t>
  </si>
  <si>
    <t xml:space="preserve">Víko GN 1/4 - Průhledná, polykarbonát Hendi</t>
  </si>
  <si>
    <t xml:space="preserve">1/4 PC lid, clear; EXACT: plain polycarbonate lid GN 1/4 (Hendi), material in name ("polykarbonát"); listing shows 69 Kč bez DPH / 83 Kč s DPH. Regular price 102 Kč s DPH (listing shows discount). Price shown excl. VAT (CZ 21%). YES Gastro SKU GNPL-14.</t>
  </si>
  <si>
    <t xml:space="preserve">https://www.gastrofans.cz/viko-na-gn-pc-gn-1-4-transparent-265x162-mm/</t>
  </si>
  <si>
    <t xml:space="preserve">Víko GN 1/4, polykarbonát | YATO, YG-00437</t>
  </si>
  <si>
    <t xml:space="preserve">1/4 PC lid, clear; EXACT: Yato polycarbonate lid GN 1/4 (YG-00437), plain flat lid; brand listing shows bez DPH 54 Kč / s DPH 66 Kč. Price shown excl. VAT (CZ 21%); page read with a headless browser (prices rendered by JavaScript). YES Gastro SKU GNPL-14.</t>
  </si>
  <si>
    <t xml:space="preserve">https://www.gastromania.cz/vika-gn-polykarbonatove/viko-gn-1-4-polykarbonat-yato-yg-00437</t>
  </si>
  <si>
    <t xml:space="preserve">ARAVEN Víko na gastronádobu GN 1/4, polykarbonát, volné</t>
  </si>
  <si>
    <t xml:space="preserve">1/4 PC lid, clear; EXACT: Araven loose ("volné") polycarbonate lid GN 1/4, code 229901628; 128 Kč s DPH / 106 Kč bez DPH. Price shown excl. VAT (CZ 21%). YES Gastro SKU GNPL-14.</t>
  </si>
  <si>
    <t xml:space="preserve">https://www.gastrozone.cz/araven-gn-viko-1-4-polykarbonat-volne.html</t>
  </si>
  <si>
    <t xml:space="preserve">Skladem - centrální sklad 5-10 ks</t>
  </si>
  <si>
    <t xml:space="preserve">Gastronorm Víko GN 1/4 polykarbonátové - čiré</t>
  </si>
  <si>
    <t xml:space="preserve">1/4 PC lid, clear; EXACT: "Víko GN 1/4 polykarbonátové - čiré" (clear PC lid, plain); 58 CZK s DPH. Discounted from 64 CZK. Shop has no PC lids for GN 1/2 and 1/3 (only PP, 53/43 CZK). Price shown incl. VAT (CZ 21%); VAT removed for the net price. YES Gastro SKU GNPL-14.</t>
  </si>
  <si>
    <t xml:space="preserve">https://www.gastrosance.cz/viko-gn-1/4-polykarbonatove---cire</t>
  </si>
  <si>
    <t xml:space="preserve">Víko pro gastronádobu GN 1/4</t>
  </si>
  <si>
    <t xml:space="preserve">1/4 PC lid, clear; EXACT: Víko pro gastronádobu GN 1/4, code R-M214001, brand Cambro, Materiál: polykarbonát, transparent; 116 Kč / 96 Kč bez DPH. Cambro lid fits PC and PP Cambro containers; "cena uvedena za 1 kus". Price shown excl. VAT (CZ 21%). YES Gastro SKU GNPL-14.</t>
  </si>
  <si>
    <t xml:space="preserve">https://www.tomgast.cz/viko-pro-gastronadobu-gn-1-4/</t>
  </si>
  <si>
    <t xml:space="preserve">Skladem (50 ks)</t>
  </si>
  <si>
    <t xml:space="preserve">Pokrievka pre nádoby GN z polykarbonátu, HENDI, GN 1/4, Priehľadná, 265x162mm Kód: 864142</t>
  </si>
  <si>
    <t xml:space="preserve">1/4 PC lid, clear; price shown 3.30 € (net) / 4,06 € s DPH; code 864142 Price shown excl. VAT (SK 23%). YES Gastro SKU GNPL-14.</t>
  </si>
  <si>
    <t xml:space="preserve">Gastro M polykarbonátové gastro veko GN 1/4</t>
  </si>
  <si>
    <t xml:space="preserve">1/4 PC lid, clear (not stated); 'bez DPH' price shown; gross €4.42; code ; other offers on this shop for the same variant: Vogue 3.73 (in stock); Vogue 3.95 (Ospravedlňujeme sa, ); Vogue 5.68 (Ospravedlňujeme sa, ) Price shown excl. VAT (SK 23%). YES Gastro SKU GNPL-14.</t>
  </si>
  <si>
    <t xml:space="preserve">Veko z bieleho polykarbonátu GN 1/4 | STALGAST, 184002</t>
  </si>
  <si>
    <t xml:space="preserve">1/4 PC lid, white; SKU STALGAST-184002; other offers on this shop for the same variant: YATO 2.61 (in stock); HENDI 3.17 (in stock); STALGAST 3.79 (in stock); STALGAST 4.40 (in stock) Price shown incl. VAT (SK 23%); VAT removed for the net price. YES Gastro SKU GNPL-14.</t>
  </si>
  <si>
    <t xml:space="preserve">https://gastromania.sk/veka-gn-polykarbonatove/veko-z-bieleho-polykarbonatu-gn-1-4-stalgast-184002</t>
  </si>
  <si>
    <t xml:space="preserve">ARAVEN Veko na gastronádobu GN 1/4, polykarbonát, voľné</t>
  </si>
  <si>
    <t xml:space="preserve">1/4 PC lid, clear (not stated); listing shows gross 4,53 €; 'bez DPH' net 3.68 EUR on product page; SKU 229901628; other offers on this shop for the same variant: Araven 4.95 (Na objednávku (3-5 t) Price shown incl. VAT (SK 23%); VAT removed for the net price. YES Gastro SKU GNPL-14.</t>
  </si>
  <si>
    <t xml:space="preserve">https://www.gastrozone.sk/araven-gn-viko-1-4-polykarbonat-volne.html</t>
  </si>
  <si>
    <t xml:space="preserve">Pokrievka pre nádoby GN z polykarbonátu, HENDI, GN 1/4, Priehľadná, 265 × 162 mm | 864142</t>
  </si>
  <si>
    <t xml:space="preserve">1/4 PC lid, clear; 'bez DPH' price shown; gross 2.6 EUR; other offers on this shop for the same variant: not stated (shop own line) 2.02 (in stock); HENDI 2.15 (in stock); HENDI 2.15 (in stock) Price shown excl. VAT (SK 23%). YES Gastro SKU GNPL-14.</t>
  </si>
  <si>
    <t xml:space="preserve">Capac Gastronorm 1/6 GN din policarbonat</t>
  </si>
  <si>
    <t xml:space="preserve">1/6 PC lid, clear; EXACT: plain flat polycarbonate lid, size and material in name. Shown "8.89 lei fără TVA (10.76 lei cu TVA)". Sale price; regular (initial) net price 11.52 lei. Price shown excl. VAT (RO 21%). YES Gastro SKU GNPL-16.</t>
  </si>
  <si>
    <t xml:space="preserve">https://direca.ro/shop/capac-gastronorm-1-6-gn-din-policarbonat/</t>
  </si>
  <si>
    <t xml:space="preserve">Capac policarbonat transparent GN 1/6 176×162 mm</t>
  </si>
  <si>
    <t xml:space="preserve">1/6 PC lid, clear; EXACT: plain flat polycarbonate lid (no seal mentioned), size and material stated; price "( inclusiv T.V.A. )". Price shown incl. VAT (RO 21%); VAT removed for the net price. YES Gastro SKU GNPL-16.</t>
  </si>
  <si>
    <t xml:space="preserve">https://www.fimax.ro/produs/capac-policarbonat-transparent-gn-1-6-176x162-mm/</t>
  </si>
  <si>
    <t xml:space="preserve">ARAVEN Capac pentru gastrorecipient GN 1/6, policarbonat, liber, cu decupaj pentru polonic</t>
  </si>
  <si>
    <t xml:space="preserve">1/6 PC lid, clear; EXACT: flat PC lid with ladle cut-out; SKU 229901715. Listing price is gross; product page shows gross and "fără TVA" net below it. Price shown incl. VAT (RO 21%); VAT removed for the net price. YES Gastro SKU GNPL-16.</t>
  </si>
  <si>
    <t xml:space="preserve">https://www.gastrozone.ro/araven-gn-capac-cu-deschidere-pentru-lingura-1-6-policarbonat-liber.html</t>
  </si>
  <si>
    <t xml:space="preserve">CAPAC GASTRONORM | GN 1/6 POLICARBONAT</t>
  </si>
  <si>
    <t xml:space="preserve">1/6 PC lid, clear; EXACT: GastroPlast plain polycarbonate lid for PC tray (no silicone/seal), size in name and code. Shop code GNPL16; price in EUR "fara TVA". Price shown excl. VAT (RO 21%). YES Gastro SKU GNPL-16.</t>
  </si>
  <si>
    <t xml:space="preserve">https://www.lancom.ro/capac-gastronorm-gn-16-policarbonat-6964</t>
  </si>
  <si>
    <t xml:space="preserve">Capac pentru recipient GN 1/6 din policarbonat | FORGAST FG06706</t>
  </si>
  <si>
    <t xml:space="preserve">1/6 PC lid, clear; EXACT: plain polycarbonate lid, size and material in name (no seal/handle mentioned). Listing shows "Pret net 6.71 RON" and "Pret brut 8.12 RON/buc". Price shown excl. VAT (RO 21%). YES Gastro SKU GNPL-16.</t>
  </si>
  <si>
    <t xml:space="preserve">https://mmgastro.ro/ro/products/capac-pentru-recipient-gn-1-6-din-policarbonat-forgast-fg06706-63694</t>
  </si>
  <si>
    <t xml:space="preserve">GN Deckel 1/6 PC</t>
  </si>
  <si>
    <t xml:space="preserve">1/6 PC lid, transparent; EXACT: flat PC lid for GN 1/6 (listing: "Transparentes Polycarbonat; Temperaturbeständigkeit: - 40 °C bis + 100 °C"); Art. 10014646;0; sale price (statt 2.25); listing "Steuerhinweis: exkl. MwSt.", footer "Preisangaben exkl. gesetzl. MwSt." (Gewerbekunden price list). Price shown excl. VAT (AT 20%). YES Gastro SKU GNPL-16.</t>
  </si>
  <si>
    <t xml:space="preserve">https://www.allpax.at/product_info.php/info/GN-Deckel-1-6-PC.html</t>
  </si>
  <si>
    <t xml:space="preserve">RIEBER-Polycarbonat Flachdeckel für GN 1/6 Behälter</t>
  </si>
  <si>
    <t xml:space="preserve">1/6 PC lid, transparent; EXACT: Rieber transparent flat lid (Flachdeckel) aus Polycarbonat for GN 1/6; page shows net price with "(… inkl. MwSt.) Zzgl. 20% MwSt.". Price shown excl. VAT (AT 20%). YES Gastro SKU GNPL-16.</t>
  </si>
  <si>
    <t xml:space="preserve">https://www.gastro-star.at/produkt/rieber-polycarbonatflachdeckelfuergn16behaelter-48890/</t>
  </si>
  <si>
    <t xml:space="preserve">Vogue GN-Deckel 1/6 Polycarbonat</t>
  </si>
  <si>
    <t xml:space="preserve">1/6 PC lid, transparent; EXACT: flat polycarbonate lid GN 1/6 ("aufliegend" / Vogue GN-Deckel Polycarbonat); SKU U248; page shows Angebotspreis 2.49 vs Normaler Preis 2.99; price shown is net (page shows e.g. "X € inkl. MwSt." computed at 19% underneath). Price shown excl. VAT (AT 20%). YES Gastro SKU GNPL-16.</t>
  </si>
  <si>
    <t xml:space="preserve">https://www.gastro-hero.at/products/vogue-gn-deckel-16-polycarbonat-u248</t>
  </si>
  <si>
    <t xml:space="preserve">APS GastroNorm-Behälter GN 1/6 Deckel Polycarbonat</t>
  </si>
  <si>
    <t xml:space="preserve">1/6 PC lid, transparent; EXACT: APS polycarbonate GN lid for GN 1/6 (Polycarbonat in name); listing price "zzgl. 19% MwSt.". Price shown excl. VAT (AT 20%). YES Gastro SKU GNPL-16.</t>
  </si>
  <si>
    <t xml:space="preserve">https://www.gastrodax.de/aps-gastronorm-behaelter-gn-1-6-deckel-polycarbonat</t>
  </si>
  <si>
    <t xml:space="preserve">Vogue Polycarbonat Deckel GN1/6</t>
  </si>
  <si>
    <t xml:space="preserve">1/6 PC lid, transparent; EXACT: polycarbonate stated in name/description, flat lid for GN 1/6; Art.-Nr. U248; price "inkl. MwSt., zzgl. Versand". Price shown incl. VAT (AT 20%); VAT removed for the net price. YES Gastro SKU GNPL-16.</t>
  </si>
  <si>
    <t xml:space="preserve">https://www.gastroladen.at/3020@GN-U248/</t>
  </si>
  <si>
    <t xml:space="preserve">GN Deckel GN 94 GN 1/6 Polycarbonat transparent</t>
  </si>
  <si>
    <t xml:space="preserve">1/6 PC lid, transparent; EXACT: WAS GN 94 flat lid GN 1/6, Materialtyp Polycarbonat, transparent; Bestell-Nr 252470; "Preis pro Stück, zzgl. MwSt". Price shown excl. VAT (AT 20%); page read with a headless browser (prices rendered by JavaScript). YES Gastro SKU GNPL-16.</t>
  </si>
  <si>
    <t xml:space="preserve">https://www.intergastro.at/gn-deckel-gn-94-gn-1-6-polycarbonat-transparent-252470</t>
  </si>
  <si>
    <t xml:space="preserve">GN-Deckel - Serie GN 96 Black - transparent - GN 1/6 (176 x 162 mm) - Polycarbonat</t>
  </si>
  <si>
    <t xml:space="preserve">1/6 PC lid, transparent; EXACT: flat polycarbonate lid GN 1/6 (Material: Kunststoff, Polycarbonat); Art. 9616001-A; sale price, Regulärer Preis 3.10; footer "Preise zzgl. MwSt. zzgl. Versandkosten". Price shown excl. VAT (AT 20%). YES Gastro SKU GNPL-16.</t>
  </si>
  <si>
    <t xml:space="preserve">https://shopbuero.com/gn-deckel-serie-gn-96-black-transparent-gn-1-6-176-x-162-mm-polycarbonat/9616001-A</t>
  </si>
  <si>
    <t xml:space="preserve">1/6 PC lid, transparent; EXACT: plain PC lid GN 1/6 with Griffmulde (grip recess); Art.-Nr. 10014646;0; price shown on default 'Gewerbekunden' price list, Steuerhinweis 'zzgl. MwSt.'; promo 'jetzt' price, regular 'statt' 2.25 EUR. Price shown excl. VAT (DE 19%). YES Gastro SKU GNPL-16.</t>
  </si>
  <si>
    <t xml:space="preserve">https://www.allpax.de/product_info.php/info/GN-Deckel-1-6-PC.html</t>
  </si>
  <si>
    <t xml:space="preserve">GN Deckel, GN 1/6, transparent, Polycarbonat, GN 94 Serie</t>
  </si>
  <si>
    <t xml:space="preserve">1/6 PC lid, transparent; EXACT: plain flat PC lid GN 1/6 (GN 94 Serie, Polycarbonat stated); Art.Nr. 9416001; price inkl. 19% USt, shop also shows Netto 2,24 EUR; -28% promo vs UVP 3,69 EUR. Price shown incl. VAT (DE 19%); VAT removed for the net price. YES Gastro SKU GNPL-16.</t>
  </si>
  <si>
    <t xml:space="preserve">https://gastro-spirit.de/deckel-gn-1-6-serie-gn-94-9416001</t>
  </si>
  <si>
    <t xml:space="preserve">Schneider Polycarbonat GN 1/6 Deckel, aufliegend</t>
  </si>
  <si>
    <t xml:space="preserve">1/6 PC lid, transparent; EXACT: plain lay-on PC lid GN 1/6 ('Deckel, aufliegend' / Polycarbonat stated); Art.-Nr. 530145; page shows gross 2,84 EUR 'inkl. MwSt.' and net 2,39 EUR; footer: 'Alle Preise sind Stückpreise und verstehen sich netto zzgl. MwSt.' (B2B shop); net price recorded. Price shown excl. VAT (DE 19%). YES Gastro SKU GNPL-16.</t>
  </si>
  <si>
    <t xml:space="preserve">https://www.gastro-hero.de/products/schneider-polycarbonat-gn-16-deckel-aufliegend-530145</t>
  </si>
  <si>
    <t xml:space="preserve">1/6 PC lid, transparent; EXACT: plain PC lid GN 1/6, material Polycarbonat stated; Art.-Nr. APS-82037; price 'zzgl. 19% MwSt.' (B2B net); shop also shows UVP 9,90 €; depth derived from APS capacity () per APS GN size table. Price shown excl. VAT (DE 19%). YES Gastro SKU GNPL-16.</t>
  </si>
  <si>
    <t xml:space="preserve">1/6 PC lid, transparent; EXACT: plain flat PC lid GN 1/6; Art.-Nr. U248; price shown 'inkl. MwSt., zzgl. 7,95 EUR Versand in D'. Price shown incl. VAT (DE 19%); VAT removed for the net price. YES Gastro SKU GNPL-16.</t>
  </si>
  <si>
    <t xml:space="preserve">https://www.gastroladen.de/3020@GN-U248/Vogue-Polycarbonat-Deckel-GN1-6.htm</t>
  </si>
  <si>
    <t xml:space="preserve">1/6 PC lid, transparent; EXACT: plain flat PC lid GN 1/6 (Polycarbonat in name); Bestell-Nr 252470, Serie GN 94; single-piece price 'Preis pro Stück, zzgl. MwSt' (Staffelpreise for 3+ pcs exist on page). Price shown excl. VAT (DE 19%). YES Gastro SKU GNPL-16.</t>
  </si>
  <si>
    <t xml:space="preserve">https://www.intergastro.de/gn-deckel-gn-94-gn-1-6-polycarbonat-transparent-252470</t>
  </si>
  <si>
    <t xml:space="preserve">Vogue Polycarbonat GN 1/6 Deckel transparent</t>
  </si>
  <si>
    <t xml:space="preserve">1/6 PC lid, transparent; EXACT: plain flat PC lid GN 1/6; Art.-Nr. U248; listing shows price with 'Zzgl. MwSt.' (search results page, 2026-10-02); reduced price, regular 'BISHER' 2,99 EUR. Price shown excl. VAT (DE 19%); page read with a headless browser (prices rendered by JavaScript). YES Gastro SKU GNPL-16.</t>
  </si>
  <si>
    <t xml:space="preserve">https://www.nisbets.de/vogue-polycarbonat-deckel/u248</t>
  </si>
  <si>
    <t xml:space="preserve">Víko 1/6 GN - Polykarbonát Maxima</t>
  </si>
  <si>
    <t xml:space="preserve">1/6 PC lid, clear; EXACT: plain polycarbonate lid GN 1/6 (Maxima), material in name ("polykarbonát"); listing shows 50 Kč bez DPH / 61 Kč s DPH. Price shown excl. VAT (CZ 21%). YES Gastro SKU GNPL-16.</t>
  </si>
  <si>
    <t xml:space="preserve">https://www.gastrofans.cz/gastronadoba-s-vikem-1-6-gn-polykarbonat/</t>
  </si>
  <si>
    <t xml:space="preserve">Víko GN 1/6, polykarbonát | YATO, YG-00438</t>
  </si>
  <si>
    <t xml:space="preserve">1/6 PC lid, clear; EXACT: Yato polycarbonate lid GN 1/6 (YG-00438), plain flat lid; brand listing shows bez DPH 47 Kč / s DPH 57 Kč. Price shown excl. VAT (CZ 21%); page read with a headless browser (prices rendered by JavaScript). YES Gastro SKU GNPL-16.</t>
  </si>
  <si>
    <t xml:space="preserve">https://www.gastromania.cz/vika-gn-polykarbonatove/viko-gn-1-6-polykarbonat-yato-yg-00438</t>
  </si>
  <si>
    <t xml:space="preserve">ARAVEN Víko na gastronádobu GN 1/6, polykarbonát, volné, s výřezem na naběračku</t>
  </si>
  <si>
    <t xml:space="preserve">1/6 PC lid, clear; CLOSE: Araven loose ("volné") polycarbonate lid GN 1/6, code 229901715; 89 Kč s DPH / 74 Kč bez DPH. Lid has a ladle notch ("s výřezem na naběračku"); shop has no plain PC lid for this size. Price shown excl. VAT (CZ 21%). YES Gastro SKU GNPL-16.</t>
  </si>
  <si>
    <t xml:space="preserve">https://www.gastrozone.cz/araven-gn-ulozny-viko-s-vyrezem-na-lzici-1-6-polykarbonat-volne.html</t>
  </si>
  <si>
    <t xml:space="preserve">Gastronorm Víko GN 1/6 polykarbonátové - čiré</t>
  </si>
  <si>
    <t xml:space="preserve">1/6 PC lid, clear; EXACT: "Víko GN 1/6 polykarbonátové - čiré" (clear PC lid, plain); 44 CZK s DPH. Discounted from 48 CZK. Shop has no PC lids for GN 1/2 and 1/3 (only PP, 53/43 CZK). Price shown incl. VAT (CZ 21%); VAT removed for the net price. YES Gastro SKU GNPL-16.</t>
  </si>
  <si>
    <t xml:space="preserve">https://www.gastrosance.cz/viko-gn-1/6-polykarbonatove---cire</t>
  </si>
  <si>
    <t xml:space="preserve">Víko pro gastronádobu GN 1/6</t>
  </si>
  <si>
    <t xml:space="preserve">1/6 PC lid, clear; EXACT: Víko pro gastronádobu GN 1/6, code R-M216001, brand Cambro, Materiál: polykarbonát, transparent; 108 Kč / 89 Kč bez DPH. Cambro lid fits PC and PP Cambro containers; "cena uvedena za 1 kus". Price shown excl. VAT (CZ 21%). YES Gastro SKU GNPL-16.</t>
  </si>
  <si>
    <t xml:space="preserve">https://www.tomgast.cz/viko-pro-gastronadobu-gn-1-6/</t>
  </si>
  <si>
    <t xml:space="preserve">Skladem (57 ks)</t>
  </si>
  <si>
    <t xml:space="preserve">Pokrievka pre nádoby GN z polykarbonátu, HENDI, GN 1/6, Priehľadná, 176x162mm Kód: 864159</t>
  </si>
  <si>
    <t xml:space="preserve">1/6 PC lid, clear; price shown 2.60 € (net) / 3,20 € s DPH; code 864159 Price shown excl. VAT (SK 23%). YES Gastro SKU GNPL-16.</t>
  </si>
  <si>
    <t xml:space="preserve">Vogue polykarbonátové veko transparentné GN 1/6</t>
  </si>
  <si>
    <t xml:space="preserve">1/6 PC lid, clear; 'bez DPH' price shown; gross €3.68; code ; other offers on this shop for the same variant: Vogue 3.49 (in stock); Gastro M 2.69 (Ospravedlňujeme sa, ); Vogue 5.02 (Ospravedlňujeme sa, ) Price shown excl. VAT (SK 23%). YES Gastro SKU GNPL-16.</t>
  </si>
  <si>
    <t xml:space="preserve">Veko GN 1/6, polykarbonát | YATO, YG-00438</t>
  </si>
  <si>
    <t xml:space="preserve">1/6 PC lid, clear (not stated); SKU YATO-YG-00438; other offers on this shop for the same variant: STALGAST 2.37 (in stock); APS 3.05 (in stock); STALGAST 4.17 (in stock); CONTACTO 4.86 (in stock) Price shown incl. VAT (SK 23%); VAT removed for the net price. YES Gastro SKU GNPL-16.</t>
  </si>
  <si>
    <t xml:space="preserve">https://gastromania.sk/veka-gn-polykarbonatove/veko-gn-1-6-polykarbonat-yato-yg-00438</t>
  </si>
  <si>
    <t xml:space="preserve">víko na gastro nádobu GN 1/6 polykarbonát Pujadas</t>
  </si>
  <si>
    <t xml:space="preserve">1/6 PC lid, clear (not stated); listing shows gross 6,00 €; 'bez DPH' net 4.88 EUR on product page; SKU 227705079; other offers on this shop for the same variant: Araven 3.55 (Na objednávku (3-5 t); APS 4.15 (Dočasne vypredané); contacto 4.49 (Na objednávku (3-5 t) Price shown incl. VAT (SK 23%); VAT removed for the net price. YES Gastro SKU GNPL-16.</t>
  </si>
  <si>
    <t xml:space="preserve">https://www.gastrozone.sk/viko-na-gastro-nadobu-gn-1-6-polykarbonat-pujadas.html</t>
  </si>
  <si>
    <t xml:space="preserve">Pokrievka pre nádoby GN z polykarbonátu, HENDI, GN 1/6, Priehľadná, 176 × 162 mm | 864159</t>
  </si>
  <si>
    <t xml:space="preserve">1/6 PC lid, clear; 'bez DPH' price shown; gross 2.04 EUR; other offers on this shop for the same variant: not stated (shop own line) 1.69 (in stock); HENDI 1.82 (in stock); HENDI 1.82 (in stock) Price shown excl. VAT (SK 23%). YES Gastro SKU GNPL-16.</t>
  </si>
  <si>
    <t xml:space="preserve">Capac Gastronorm 1/9 GN din policarbonat</t>
  </si>
  <si>
    <t xml:space="preserve">1/9 PC lid, clear; EXACT: plain flat polycarbonate lid, size and material in name. Shown "7.82 lei fără TVA (9.47 lei cu TVA)". Sale price; regular (initial) net price 10.38 lei. Price shown excl. VAT (RO 21%). YES Gastro SKU GNPL-19.</t>
  </si>
  <si>
    <t xml:space="preserve">https://direca.ro/shop/capac-gastronorm-1-9-gn-din-policarbonat/</t>
  </si>
  <si>
    <t xml:space="preserve">Capac pentru tava policarbonat negru GN 1/9 176×108 mm</t>
  </si>
  <si>
    <t xml:space="preserve">1/9 PC lid, black; EXACT: plain flat black polycarbonate lid (no seal mentioned), size and material stated; price "( inclusiv T.V.A. )". Price shown incl. VAT (RO 21%); VAT removed for the net price. YES Gastro SKU GNPL-19.</t>
  </si>
  <si>
    <t xml:space="preserve">https://www.fimax.ro/produs/capac-pentru-tava-policarbonat-negru-gn-1-9-176x108-mm/</t>
  </si>
  <si>
    <t xml:space="preserve">ARAVEN Capac GN 1/9, policarbonat, liber</t>
  </si>
  <si>
    <t xml:space="preserve">1/9 PC lid, clear; EXACT: Araven plain polycarbonate lid ("liber" = loose/plain, no handle cut-out variant), size+material stated. SKU 229901626. Listing price is gross; product page shows gross and "fără TVA" net below it. Price shown incl. VAT (RO 21%); VAT removed for the net price. YES Gastro SKU GNPL-19.</t>
  </si>
  <si>
    <t xml:space="preserve">https://www.gastrozone.ro/araven-gn-deckel-1-9-policarbonat-liber.html</t>
  </si>
  <si>
    <t xml:space="preserve">Capac gastronorm | GN 1/9 din policarbonat</t>
  </si>
  <si>
    <t xml:space="preserve">1/9 PC lid, clear; EXACT: GastroPlast plain polycarbonate lid for PC tray (no silicone/seal), size in name and code. Shop code GNPL19; price in EUR "fara TVA". Price shown excl. VAT (RO 21%). YES Gastro SKU GNPL-19.</t>
  </si>
  <si>
    <t xml:space="preserve">https://www.lancom.ro/capac-gastronorm-gn-19-policarbonat-6965</t>
  </si>
  <si>
    <t xml:space="preserve">Capac pentru recipient GN 1/9 din policarbonat | FORGAST FG06709</t>
  </si>
  <si>
    <t xml:space="preserve">1/9 PC lid, clear; EXACT: plain polycarbonate lid, size and material in name (no seal/handle mentioned). Marked "In promotie" (promo net price). Listing shows "Pret net 3.80 RON" and "Pret brut 5.12 RON/buc". Price shown excl. VAT (RO 21%). YES Gastro SKU GNPL-19.</t>
  </si>
  <si>
    <t xml:space="preserve">https://mmgastro.ro/ro/products/capac-pentru-recipient-gn-1-9-din-policarbonat-forgast-fg06709-63697</t>
  </si>
  <si>
    <t xml:space="preserve">PC GN Deckel 1/9 schwarz</t>
  </si>
  <si>
    <t xml:space="preserve">1/9 PC lid, black; EXACT: flat PC lid for GN 1/9 (listing: "GN 1/9 Deckel aus bruchsicherem Polycarbonat; Schützt Speisen und Inhalte zuverlässig"); Art. 10024424;0; sale price (statt 0.59); listing "Steuerhinweis: exkl. MwSt.", footer "Preisangaben exkl. gesetzl. MwSt." (Gewerbekunden price list). Price shown excl. VAT (AT 20%). YES Gastro SKU GNPL-19.</t>
  </si>
  <si>
    <t xml:space="preserve">https://www.allpax.at/product_info.php/info/PC-GN-Deckel-1-9-schwarz.html</t>
  </si>
  <si>
    <t xml:space="preserve">RIEBER-Polycarbonat Flachdeckel für GN 1/9 Behälter</t>
  </si>
  <si>
    <t xml:space="preserve">1/9 PC lid, transparent; EXACT: Rieber transparent flat lid (Flachdeckel) aus Polycarbonat for GN 1/9; page shows net price with "(… inkl. MwSt.) Zzgl. 20% MwSt.". Price shown excl. VAT (AT 20%). YES Gastro SKU GNPL-19.</t>
  </si>
  <si>
    <t xml:space="preserve">https://www.gastro-star.at/produkt/rieber-polycarbonatflachdeckelfuergn19behaelter-48891/</t>
  </si>
  <si>
    <t xml:space="preserve">Schneider Polycarbonat GN 1/9 Deckel, aufliegend</t>
  </si>
  <si>
    <t xml:space="preserve">1/9 PC lid, transparent; EXACT: flat polycarbonate lid GN 1/9 ("aufliegend" / Vogue GN-Deckel Polycarbonat); SKU 530155; page shows Angebotspreis 3.29 vs Normaler Preis 3.39; price shown is net (page shows e.g. "X € inkl. MwSt." computed at 19% underneath). Price shown excl. VAT (AT 20%). YES Gastro SKU GNPL-19.</t>
  </si>
  <si>
    <t xml:space="preserve">https://www.gastro-hero.at/products/schneider-polycarbonat-gn-19-deckel-aufliegend-530155</t>
  </si>
  <si>
    <t xml:space="preserve">APS GastroNorm-Behälter GN 1/9 Deckel Polycarbonat</t>
  </si>
  <si>
    <t xml:space="preserve">1/9 PC lid, transparent; EXACT: APS polycarbonate GN lid for GN 1/9 (Polycarbonat in name); listing price "zzgl. 19% MwSt.". Price shown excl. VAT (AT 20%). YES Gastro SKU GNPL-19.</t>
  </si>
  <si>
    <t xml:space="preserve">https://www.gastrodax.de/aps-gastronorm-behaelter-gn-1-9-deckel-polycarbonat</t>
  </si>
  <si>
    <t xml:space="preserve">Vogue Polycarbonat Deckel GN1/9</t>
  </si>
  <si>
    <t xml:space="preserve">1/9 PC lid, transparent; EXACT: polycarbonate stated in name/description, flat lid for GN 1/9; Art.-Nr. U249; price "inkl. MwSt., zzgl. Versand". Price shown incl. VAT (AT 20%); VAT removed for the net price. YES Gastro SKU GNPL-19.</t>
  </si>
  <si>
    <t xml:space="preserve">https://www.gastroladen.at/3020@GN-U249/</t>
  </si>
  <si>
    <t xml:space="preserve">GN Deckel GN 94 GN 1/9 Polycarbonat transparent</t>
  </si>
  <si>
    <t xml:space="preserve">1/9 PC lid, transparent; EXACT: WAS GN 94 flat lid GN 1/9, Materialtyp Polycarbonat, transparent; Bestell-Nr 252543; "Preis pro Stück, zzgl. MwSt". Price shown excl. VAT (AT 20%); page read with a headless browser (prices rendered by JavaScript). YES Gastro SKU GNPL-19.</t>
  </si>
  <si>
    <t xml:space="preserve">https://www.intergastro.at/gn-deckel-gn-94-gn-1-9-polycarbonat-transparent-252543</t>
  </si>
  <si>
    <t xml:space="preserve">GN-Deckel - aufliegendohne Griff - GN 1/9 (176 x 108 mm) - Polycarbonat</t>
  </si>
  <si>
    <t xml:space="preserve">1/9 PC lid, transparent; EXACT: flat polycarbonate lid GN 1/9 (Material: Kunststoff, Polycarbonat); Art. 530155-C; sale price, Regulärer Preis 2.80; footer "Preise zzgl. MwSt. zzgl. Versandkosten". Price shown excl. VAT (AT 20%). YES Gastro SKU GNPL-19.</t>
  </si>
  <si>
    <t xml:space="preserve">https://shopbuero.com/gn-deckel-aufliegendohne-griff-gn-1-9-176-x-108-mm-polycarbonat/530155-C</t>
  </si>
  <si>
    <t xml:space="preserve">1/9 PC lid, black; EXACT: plain PC lid GN 1/9; Art.-Nr. 10024424;0; price shown on default 'Gewerbekunden' price list, Steuerhinweis 'zzgl. MwSt.'; promo 'jetzt' price, regular 'statt' 0.59 EUR. Price shown excl. VAT (DE 19%). YES Gastro SKU GNPL-19.</t>
  </si>
  <si>
    <t xml:space="preserve">https://www.allpax.de/product_info.php/info/PC-GN-Deckel-1-9-schwarz.html</t>
  </si>
  <si>
    <t xml:space="preserve">GN Deckel, GN 1/9, transparent, Polycarbonat, GN 94 Serie</t>
  </si>
  <si>
    <t xml:space="preserve">1/9 PC lid, transparent; EXACT: plain flat PC lid GN 1/9 (GN 94 Serie, Polycarbonat stated); Art.Nr. 9419001; price inkl. 19% USt, shop also shows Netto 1,95 EUR; -28% promo vs UVP 3,21 EUR. Price shown incl. VAT (DE 19%); VAT removed for the net price. YES Gastro SKU GNPL-19.</t>
  </si>
  <si>
    <t xml:space="preserve">https://gastro-spirit.de/deckel-gn-1-9-serie-gn-94-9419001</t>
  </si>
  <si>
    <t xml:space="preserve">1/9 PC lid, transparent; EXACT: plain lay-on PC lid GN 1/9 ('Deckel, aufliegend' / Polycarbonat stated); Art.-Nr. 530155; page shows gross 2,13 EUR 'inkl. MwSt.' and net 1,79 EUR; footer: 'Alle Preise sind Stückpreise und verstehen sich netto zzgl. MwSt.' (B2B shop); net price recorded. Price shown excl. VAT (DE 19%). YES Gastro SKU GNPL-19.</t>
  </si>
  <si>
    <t xml:space="preserve">https://www.gastro-hero.de/products/schneider-polycarbonat-gn-19-deckel-aufliegend-530155</t>
  </si>
  <si>
    <t xml:space="preserve">1/9 PC lid, transparent; EXACT: plain PC lid GN 1/9, material Polycarbonat stated; Art.-Nr. APS-82059; price 'zzgl. 19% MwSt.' (B2B net); shop also shows UVP 9,00 €; depth derived from APS capacity () per APS GN size table. Price shown excl. VAT (DE 19%). YES Gastro SKU GNPL-19.</t>
  </si>
  <si>
    <t xml:space="preserve">1/9 PC lid, transparent; EXACT: plain flat PC lid GN 1/9; Art.-Nr. U249; price shown 'inkl. MwSt., zzgl. 7,95 EUR Versand in D'. Price shown incl. VAT (DE 19%); VAT removed for the net price. YES Gastro SKU GNPL-19.</t>
  </si>
  <si>
    <t xml:space="preserve">https://www.gastroladen.de/3020@GN-U249/Vogue-Polycarbonat-Deckel-GN1-9.htm</t>
  </si>
  <si>
    <t xml:space="preserve">1/9 PC lid, transparent; EXACT: plain flat PC lid GN 1/9 (Polycarbonat in name); Bestell-Nr 252543, Serie GN 94; single-piece price 'Preis pro Stück, zzgl. MwSt' (Staffelpreise for 3+ pcs exist on page). Price shown excl. VAT (DE 19%). YES Gastro SKU GNPL-19.</t>
  </si>
  <si>
    <t xml:space="preserve">https://www.intergastro.de/gn-deckel-gn-94-gn-1-9-polycarbonat-transparent-252543</t>
  </si>
  <si>
    <t xml:space="preserve">1/9 PC lid, transparent; EXACT: plain flat PC lid GN 1/9; Art.-Nr. U249; listing shows price with 'Zzgl. MwSt.' (search results page, 2026-10-02); reduced price, regular 'BISHER' 2,39 EUR. Price shown excl. VAT (DE 19%); page read with a headless browser (prices rendered by JavaScript). YES Gastro SKU GNPL-19.</t>
  </si>
  <si>
    <t xml:space="preserve">https://www.nisbets.de/vogue-polycarbonat-deckel/u249</t>
  </si>
  <si>
    <t xml:space="preserve">Víko PC GN 1/9</t>
  </si>
  <si>
    <t xml:space="preserve">1/9 PC lid, clear; EXACT: "Víko PC GN 1/9" (PC in name, category Polykarbonátové gastronádoby), code 0835166; 71.39 Kč včetně DPH / 59 Kč bez DPH; description minimal ("Pevný a odolný materiál"), assumed plain flat lid. Price shown incl. VAT (CZ 21%); VAT removed for the net price. YES Gastro SKU GNPL-19.</t>
  </si>
  <si>
    <t xml:space="preserve">https://eshop.gastronovotny.cz/viko-pc-gn-1-9--0835166/</t>
  </si>
  <si>
    <t xml:space="preserve">Víko 1/9 GN - Polykarbonát Maxima</t>
  </si>
  <si>
    <t xml:space="preserve">1/9 PC lid, clear; EXACT: plain polycarbonate lid GN 1/9 (Maxima), material in name ("polykarbonát"); listing shows 40 Kč bez DPH / 48 Kč s DPH. Price shown excl. VAT (CZ 21%). YES Gastro SKU GNPL-19.</t>
  </si>
  <si>
    <t xml:space="preserve">https://www.gastrofans.cz/gastronadoba-s-vikem-1-9-gn-polykarbonat/</t>
  </si>
  <si>
    <t xml:space="preserve">Víko GN 1/9, polykarbonát | YATO, YG-00439</t>
  </si>
  <si>
    <t xml:space="preserve">1/9 PC lid, clear; EXACT: Yato polycarbonate lid GN 1/9 (YG-00439), plain flat lid; brand listing shows bez DPH 26 Kč / s DPH 31 Kč. Price shown excl. VAT (CZ 21%); page read with a headless browser (prices rendered by JavaScript). YES Gastro SKU GNPL-19.</t>
  </si>
  <si>
    <t xml:space="preserve">https://www.gastromania.cz/vika-gn-polykarbonatove/viko-gn-1-9-polykarbonat-yato-yg-00439</t>
  </si>
  <si>
    <t xml:space="preserve">ARAVEN Víko na gastronádobu GN 1/9, polykarbonát, volné</t>
  </si>
  <si>
    <t xml:space="preserve">1/9 PC lid, clear; EXACT: Araven loose ("volné") polycarbonate lid GN 1/9, code 229901626; 96 Kč s DPH / 79 Kč bez DPH. Price shown excl. VAT (CZ 21%). YES Gastro SKU GNPL-19.</t>
  </si>
  <si>
    <t xml:space="preserve">https://www.gastrozone.cz/araven-gn-ulozny-viko-1-9-polykarbonat-volne.html</t>
  </si>
  <si>
    <t xml:space="preserve">Skladem - centrální sklad 21-30 ks</t>
  </si>
  <si>
    <t xml:space="preserve">Gastronorm Víko GN 1/9 polykarbonátové - čiré</t>
  </si>
  <si>
    <t xml:space="preserve">1/9 PC lid, clear; EXACT: "Víko GN 1/9 polykarbonátové - čiré" (clear PC lid, plain); 32 CZK s DPH. Shop has no PC lids for GN 1/2 and 1/3 (only PP, 53/43 CZK). Price shown incl. VAT (CZ 21%); VAT removed for the net price. YES Gastro SKU GNPL-19.</t>
  </si>
  <si>
    <t xml:space="preserve">https://www.gastrosance.cz/viko-gn-1/9-polykarbonatove---cire</t>
  </si>
  <si>
    <t xml:space="preserve">Pokrievka pre nádoby GN z polykarbonátu, HENDI, GN 1/9, Priehľadná, 176x108mm Kód: 864166</t>
  </si>
  <si>
    <t xml:space="preserve">1/9 PC lid, clear; price shown 1.90 € (net) / 2,34 € s DPH; code 864166 Price shown excl. VAT (SK 23%). YES Gastro SKU GNPL-19.</t>
  </si>
  <si>
    <t xml:space="preserve">Vogue polykarbonátové veko transparentné GN1/9</t>
  </si>
  <si>
    <t xml:space="preserve">1/9 PC lid, clear; 'bez DPH' price shown; gross €2.94; code ; other offers on this shop for the same variant: Gastro M 2.43 (Ospravedlňujeme sa, ); Vogue 4.02 (Ospravedlňujeme sa, ) Price shown excl. VAT (SK 23%). YES Gastro SKU GNPL-19.</t>
  </si>
  <si>
    <t xml:space="preserve">Veko GN 1/9, polykarbonát | YATO, YG-00439</t>
  </si>
  <si>
    <t xml:space="preserve">1/9 PC lid, clear (not stated); SKU YATO-YG-00439; other offers on this shop for the same variant: STALGAST 1.42 (in stock); APS 2.78 (in stock); STALGAST 2.99 (in stock); CONTACTO 3.80 (in stock) Price shown incl. VAT (SK 23%); VAT removed for the net price. YES Gastro SKU GNPL-19.</t>
  </si>
  <si>
    <t xml:space="preserve">https://gastromania.sk/veka-gn-polykarbonatove/veko-gn-1-9-polykarbonat-yato-yg-00439</t>
  </si>
  <si>
    <t xml:space="preserve">ARAVEN Veko na gastronádobu GN 1/9, polykarbonát, voľné</t>
  </si>
  <si>
    <t xml:space="preserve">1/9 PC lid, clear (not stated); listing shows gross 2,90 €; 'bez DPH' net 2.36 EUR on product page; SKU 229901626; other offers on this shop for the same variant: APS 3.80 (in stock); Vollrath Pujadas 5.64 (in stock); Araven 3.23 (Na objednávku (3-5 t) Price shown incl. VAT (SK 23%); VAT removed for the net price. YES Gastro SKU GNPL-19.</t>
  </si>
  <si>
    <t xml:space="preserve">https://www.gastrozone.sk/araven-gn-ulozny-viko-1-9-polykarbonat-volne.html</t>
  </si>
  <si>
    <t xml:space="preserve">Pokrievka pre nádoby GN z polykarbonátu, HENDI, GN 1/9, Priehľadná, 176 × 108 mm | 864166</t>
  </si>
  <si>
    <t xml:space="preserve">1/9 PC lid, clear; 'bez DPH' price shown; gross 1.49 EUR Price shown excl. VAT (SK 23%). YES Gastro SKU GNPL-19.</t>
  </si>
  <si>
    <t xml:space="preserve">Capac etans GN 1/2 din polipropilena Bufet Safe, 325×265 mm</t>
  </si>
  <si>
    <t xml:space="preserve">1/2 PP lid, white; CLOSE: PP lid described as "etans" (sealing), not plain. Shown "13.80 lei fără TVA (16.70 lei cu TVA)". Price shown excl. VAT (RO 21%). YES Gastro SKU GNPPL-12.</t>
  </si>
  <si>
    <t xml:space="preserve">https://direca.ro/shop/capac-etans-gn-1-2-din-polipropilena-bufet-safe-325x265-mm/</t>
  </si>
  <si>
    <t xml:space="preserve">Stalgast (Bufet Safe)</t>
  </si>
  <si>
    <t xml:space="preserve">Capac polipropilena alba GN 1/2</t>
  </si>
  <si>
    <t xml:space="preserve">1/2 PP lid, white; EXACT: plain white polypropylene lid ("Capac polipropilena alba", not for ovens, no seal mentioned); price "( inclusiv T.V.A. )". Price shown incl. VAT (RO 21%); VAT removed for the net price. YES Gastro SKU GNPPL-12.</t>
  </si>
  <si>
    <t xml:space="preserve">https://www.fimax.ro/produs/capac-polipropilena-alba-gn-1-2/</t>
  </si>
  <si>
    <t xml:space="preserve">Capac pentru produsul pentru gastronomie GN 1/2 polipropilen Pujadas</t>
  </si>
  <si>
    <t xml:space="preserve">1/2 PP lid, white; EXACT: Pujadas plain polypropylene lid, size+material in name. SKU 227705106; stock 51-100 pcs central warehouse. Listing price is gross; product page shows gross and "fără TVA" net below it. Price shown incl. VAT (RO 21%); VAT removed for the net price. YES Gastro SKU GNPPL-12.</t>
  </si>
  <si>
    <t xml:space="preserve">https://www.gastrozone.ro/capac-pentru-produsul-pentru-gastronomie-gn-1-2-polipropilen-pujadas.html</t>
  </si>
  <si>
    <t xml:space="preserve">Capac GN 1/2 polipropilena</t>
  </si>
  <si>
    <t xml:space="preserve">1/2 PP lid, white; EXACT: plain polypropylene lid GN 1/2 in name; stock 9 pcs. Shop code 5512/325; price in EUR "fara TVA". Price shown excl. VAT (RO 21%). YES Gastro SKU GNPPL-12.</t>
  </si>
  <si>
    <t xml:space="preserve">https://www.lancom.ro/capac-gn-1-2-polipropilena-5346</t>
  </si>
  <si>
    <t xml:space="preserve">Capac GN 1/2 din polipropilenă albă PROFI LINE | HENDI 880616</t>
  </si>
  <si>
    <t xml:space="preserve">1/2 PP lid, white; EXACT: plain polypropylene lid, size and material in name (no seal mentioned). Listing shows "Pret net 15.58 RON" and "Pret brut 18.85 RON/buc". Price shown excl. VAT (RO 21%). YES Gastro SKU GNPPL-12.</t>
  </si>
  <si>
    <t xml:space="preserve">https://mmgastro.ro/ro/products/capac-gn-1-2-din-polipropilena-alba-profi-line-hendi-880616-131069</t>
  </si>
  <si>
    <t xml:space="preserve">Hendi GN Deckel 1/2 PP, violett</t>
  </si>
  <si>
    <t xml:space="preserve">1/2 PP lid, violet; CLOSE: right size and PP ('Robustes Polypropylen'), flat lid for Hendi PP/HACCP containers, but it is the violet allergen-colour lid (no plain/white PP lid at this shop); 'exkl. MwSt.' Price shown excl. VAT (AT 20%). YES Gastro SKU GNPPL-12.</t>
  </si>
  <si>
    <t xml:space="preserve">https://www.allpax.at/product_info.php/info/Hendi-GN-Deckel-1-2-PP-violett.html</t>
  </si>
  <si>
    <t xml:space="preserve">Polypropylen Deckel GN 1/2</t>
  </si>
  <si>
    <t xml:space="preserve">1/2 PP lid, white; EXACT: PP lid of right size, plain flat lid (description: 'Polypropylen Deckel für GN', weiss, no seal mentioned); net price shown with '(inkl. MwSt.) Zzgl. 20% MwSt.' Price shown excl. VAT (AT 20%). YES Gastro SKU GNPPL-12.</t>
  </si>
  <si>
    <t xml:space="preserve">https://www.gastro-star.at/produkt/polypropylendeckelgn12/</t>
  </si>
  <si>
    <t xml:space="preserve">Schneider PP GN 1/2 Deckel, einrastend</t>
  </si>
  <si>
    <t xml:space="preserve">1/2 PP lid; EXACT: PP snap-on flat lid ('einrastend', 'Material: Polypropylen (PP)'), no seal; net price, 'inkl. MwSt.' price at +19%; Schneider art. 530015. Sale price, regular 5.79 €. Price shown excl. VAT (AT 20%). YES Gastro SKU GNPPL-12.</t>
  </si>
  <si>
    <t xml:space="preserve">https://www.gastro-hero.at/products/schneider-pp-gn-12-deckel-einrastend-530015</t>
  </si>
  <si>
    <t xml:space="preserve">Hendi Gastronorm-Deckel, GN 1/2, Transparent, 325x265mm</t>
  </si>
  <si>
    <t xml:space="preserve">1/2 PP lid, transparent; CLOSE: flat lid for Hendi PP/HACCP containers but material only given as 'Kunststoff' (category 'GN Behälter PolyPropylen'); the violet allergen-colour lid of this size costs 10.36 €; 'zzgl. 19% MwSt.' (German shop). Price shown excl. VAT (AT 20%). YES Gastro SKU GNPPL-12.</t>
  </si>
  <si>
    <t xml:space="preserve">https://www.gastrodax.de/hendi-gastronorm-deckel-gn-1-2-gn-1-2-transparent-325-x-265-mm</t>
  </si>
  <si>
    <t xml:space="preserve">Cambro biegsamer Polypropylen Deckel GN 1/2</t>
  </si>
  <si>
    <t xml:space="preserve">1/2 PP lid; CLOSE: PP lid of right size but flexible seal cover ('Die innere Dichtung verhindert Auslaufen') = soft-seal type; incl. MwSt. (rate not stated). Price shown incl. VAT (AT 20%); VAT removed for the net price. YES Gastro SKU GNPPL-12.</t>
  </si>
  <si>
    <t xml:space="preserve">https://www.gastroladen.at/3030@GN-DM733/Cambro-biegsamer-Polypropylen-Deckel-GN-1-2.htm</t>
  </si>
  <si>
    <t xml:space="preserve">GN Deckel GN 84 GN 1/2 transparent</t>
  </si>
  <si>
    <t xml:space="preserve">1/2 PP lid, transparent; CLOSE (curated): page states only "Material: Kunststoff"; PP inferred from the WAS GN 84/89 series | EXACT: plain flat PP lid of WAS series GN 84 (Hersteller-Art.-Nr. 8412004); page itself only says 'Material: Kunststoff', PP inferred from the WAS GN 84/89 polypropylene series (same article listed as Polypropylen at shopbuero); 1-piece net price, tiers ab 3 pcs; alternative WAS GN 89 lid same size: 4.26 € (Bestell-Nr. 252560). Price shown excl. VAT (AT 20%); page read with a headless browser (prices rendered by JavaScript). YES Gastro SKU GNPPL-12.</t>
  </si>
  <si>
    <t xml:space="preserve">https://www.intergastro.at/gn-deckel-gn-84-gn-1-2-transparent-252187</t>
  </si>
  <si>
    <t xml:space="preserve">GN-Deckel - transparent - Serie 84 - GN 1/2 (325 x 265 mm) - Polypropylen</t>
  </si>
  <si>
    <t xml:space="preserve">1/2 PP lid, transparent; EXACT: plain PP lid (name 'GN-Deckel ... Polypropylen', no seal), Art.-Nr. 8412004-A; sale price, regular 3,00 €; 'Preise zzgl. MwSt.'. Other plain PP lids this size: 8912001-A 3.70€, 530015-C 2.70€ (einrastend), 82113-B 2.50€; 'luftdicht' sealing lids not recorded. Price shown excl. VAT (AT 20%). YES Gastro SKU GNPPL-12.</t>
  </si>
  <si>
    <t xml:space="preserve">https://shopbuero.com/gn-deckel-transparent-serie-84-gn-1-2-325-x-265-mm-polypropylen/8412004-A</t>
  </si>
  <si>
    <t xml:space="preserve">Deckel für GN Behälter 1/2 aus Kunststoff</t>
  </si>
  <si>
    <t xml:space="preserve">1/2 PP lid, transparent; Plain plastic lid GN 1/2; attribute 'Material: Polypropylen' on page; art. 10021619; 'zzgl. MwSt.'. Price shown excl. VAT (DE 19%). YES Gastro SKU GNPPL-12.</t>
  </si>
  <si>
    <t xml:space="preserve">https://www.allpax.de/product_info.php/info/Deckel-fuer-GN-Behaelter-1-2-aus-Kunststoff.html</t>
  </si>
  <si>
    <t xml:space="preserve">(12 Stück) Polypropylen-Deckel GN 1/2 - Milchig - mit 24 Codierclips</t>
  </si>
  <si>
    <t xml:space="preserve">1/2 PP lid, milchig/transparent; Plain PP lid GN 1/2, pack of 12 lids (+24 HACCP coding clips included), price per pack net; UVP 85.99 EUR; art. GPPL12-12. Price shown excl. VAT (DE 19%); pack of 12, converted to per piece; page read with a headless browser (prices rendered by JavaScript). YES Gastro SKU GNPPL-12.</t>
  </si>
  <si>
    <t xml:space="preserve">https://www.ggmgastro.com/de-de-eur/12-stueck-polypropylen-deckel-gn-1-2-milchig-mit-24-codierclips-gppl12-12</t>
  </si>
  <si>
    <t xml:space="preserve">GN Deckel, GN 1/2, transparent, Polypropylen, GN 84 Serie</t>
  </si>
  <si>
    <t xml:space="preserve">1/2 PP lid, transparent; Plain PP lid for GN 1/2, material Polypropylen on page, art. 8412004; net 2.17 EUR shown next to gross 2.58 EUR incl. 19% USt, UVP 3.57 EUR. Price shown excl. VAT (DE 19%). YES Gastro SKU GNPPL-12.</t>
  </si>
  <si>
    <t xml:space="preserve">https://gastro-spirit.de/deckel-gn-1-2-serie-gn-84-8412004</t>
  </si>
  <si>
    <t xml:space="preserve">1/2 PP lid, transparent; Schneider PP snap-on ('einrastend') flat lid GN 1/2, no seal (sealing version with Silikondichtung sold separately), art. 530015; net, 'zzgl. MwSt.'. Price shown excl. VAT (DE 19%). YES Gastro SKU GNPPL-12.</t>
  </si>
  <si>
    <t xml:space="preserve">https://www.gastro-hero.de/products/schneider-pp-gn-12-deckel-einrastend-530015</t>
  </si>
  <si>
    <t xml:space="preserve">1/2 PP lid, transparent; Cambro flexible PP lid GN 1/2 with inner seal ('innere Dichtung verhindert Auslaufen' = soft-seal lid, CLOSE), art. DM733; incl. MwSt.; no plain PP lid at Gastroladen. Price shown incl. VAT (DE 19%); VAT removed for the net price. YES Gastro SKU GNPPL-12.</t>
  </si>
  <si>
    <t xml:space="preserve">https://www.gastroladen.de/3030@GN-DM733/Cambro-biegsamer-Polypropylen-Deckel-GN-1-2.htm</t>
  </si>
  <si>
    <t xml:space="preserve">1/2 PP lid, transparent; CLOSE (curated): page states only "Material: Kunststoff"; PP inferred from the WAS GN 84/89 series | Plain lid GN 1/2; page states only "Material: Kunststoff"; WAS GN 84 is the PP series (Hersteller-Nr 8412004, same item is listed as Polypropylen at Gastro-Spirit) - treat with care; 'Preis pro Stück, zzgl. MwSt'; Staffelpreise ab 3: 2.25, ab 48: 2.02. Price shown excl. VAT (DE 19%). YES Gastro SKU GNPPL-12.</t>
  </si>
  <si>
    <t xml:space="preserve">https://www.intergastro.de/gn-deckel-gn-84-gn-1-2-transparent-252187</t>
  </si>
  <si>
    <t xml:space="preserve">Nisbets Essentials GN 1/2 Polypropylendeckel klar</t>
  </si>
  <si>
    <t xml:space="preserve">1/2 PP lid, transparent; Plain PP lid GN 1/2 (Material: Polypropylen), art. FA827; 'Zzgl. MwSt.'; reduced price, UVP 3.69 EUR. Price shown excl. VAT (DE 19%); page read with a headless browser (prices rendered by JavaScript). YES Gastro SKU GNPPL-12.</t>
  </si>
  <si>
    <t xml:space="preserve">https://www.nisbets.de/nisbets-essentials-gn-12-polypropylendeckel-klar/fa827</t>
  </si>
  <si>
    <t xml:space="preserve">Víko HACCP - GN 1/2, 325x265mm Hendi</t>
  </si>
  <si>
    <t xml:space="preserve">1/2 PP lid, transparent; EXACT: Hendi plain PP lid GN 1/2, "materiál: průhledný polypropylen", no seal; code 880616; page shows 133 Kč (s DPH) and "110 Kč bez DPH". Price shown incl. VAT (CZ 21%); VAT removed for the net price. YES Gastro SKU GNPPL-12.</t>
  </si>
  <si>
    <t xml:space="preserve">https://www.gastrofans.cz/viko-na-gn-pp-gn-1-2-transparent-325x265-mm/</t>
  </si>
  <si>
    <t xml:space="preserve">Víko z polypropylenu GN 1/2 | HENDI, Profi Line</t>
  </si>
  <si>
    <t xml:space="preserve">1/2 PP lid, transparent; EXACT: Hendi Profi Line PP lid GN 1/2, parameters "materiál: polypropylen", "těsnění: ne", "výřez na úchyty: ne"; code 880616; "Cena bez DPH: 125 Kč", "Cena s DPH: 152 Kč". Price shown excl. VAT (CZ 21%); page read with a headless browser (prices rendered by JavaScript). YES Gastro SKU GNPPL-12.</t>
  </si>
  <si>
    <t xml:space="preserve">https://www.gastromania.cz/vika-gn-polypropylenove/viko-z-polypropylenu-gn-1-2-hendi-profi-line</t>
  </si>
  <si>
    <t xml:space="preserve">víko na gastronádobu GN 1/2 polypropylen Pujadas</t>
  </si>
  <si>
    <t xml:space="preserve">1/2 PP lid; EXACT: Pujadas PP lid GN 1/2, "Materiál: Polypropylen", no seal mentioned; code 227705106; page shows 212 Kč incl. and "175 Kč bez DPH". Price shown excl. VAT (CZ 21%). YES Gastro SKU GNPPL-12.</t>
  </si>
  <si>
    <t xml:space="preserve">https://www.gastrozone.cz/viko-na-gastronadobu-gn-1-2-polypropylen-pujadas.html</t>
  </si>
  <si>
    <t xml:space="preserve">Gastronorm Víko GN 1/2 polypropylenové - transparentní</t>
  </si>
  <si>
    <t xml:space="preserve">1/2 PP lid, transparent; EXACT: plain PP lid GN 1/2 (no seal mentioned); cat. no. 3120120; 53 CZK s DPH, "cena bez DPH: 44 CZK"; coloured (red/blue/yellow/green) versions same price. Price shown incl. VAT (CZ 21%); VAT removed for the net price. YES Gastro SKU GNPPL-12.</t>
  </si>
  <si>
    <t xml:space="preserve">https://www.gastrosance.cz/viko-gn-1/2-polypropylenove---transparentni</t>
  </si>
  <si>
    <t xml:space="preserve">Těsnicí víko pro gastronádobu GN 1/2</t>
  </si>
  <si>
    <t xml:space="preserve">1/2 other: polykarbonát (stated) lid, transparent; APPROX: sealing ("těsnicí") lid, and page parameter says "Materiál: polykarbonát" although the listing filter tags it polypropylen (Cambro MP seal cover); shop has no plain PP lid. Code R-MP12001; 128 Kč incl., "106 Kč bez DPH". Price shown incl. VAT (CZ 21%); VAT removed for the net price. YES Gastro SKU GNPPL-12.</t>
  </si>
  <si>
    <t xml:space="preserve">https://www.tomgast.cz/tesnici-viko-pro-gastronadobu-gn-1-2/</t>
  </si>
  <si>
    <t xml:space="preserve">Pokrievka pre nádoby GN, HENDI, GN 1/2, Priehľadná, 325x265mm Kód: 880616</t>
  </si>
  <si>
    <t xml:space="preserve">1/2 PP lid, clear; material not in product name; HENDI 880609-880654 lids belong to the HACCP polypropylene range (same codes are listed as "veko z polypropylénu" on gastromania.sk); price shown 3.75 € (net) / 4,61 € s DPH; code 880616 Price shown excl. VAT (SK 23%). YES Gastro SKU GNPPL-12.</t>
  </si>
  <si>
    <t xml:space="preserve">Veko GN 1/2 z polypropylénu | REDFOX, VPP 1/2</t>
  </si>
  <si>
    <t xml:space="preserve">1/2 PP lid, clear (not stated); SKU RM-00012457; other offers on this shop for the same variant: STALGAST 3.42 (in stock); HENDI 6.00 (in stock) Price shown incl. VAT (SK 23%); VAT removed for the net price. YES Gastro SKU GNPPL-12.</t>
  </si>
  <si>
    <t xml:space="preserve">https://gastromania.sk/veka-gn-polypropylenove/veko-gn-1-2-z-polypropylenu-redfox-vpp-1-2</t>
  </si>
  <si>
    <t xml:space="preserve">REDFOX</t>
  </si>
  <si>
    <t xml:space="preserve">Pujadas veko ku gastronádobe 1/2, polyprepylen</t>
  </si>
  <si>
    <t xml:space="preserve">1/2 PP lid, clear (not stated); listing shows gross 8,54 €; 'bez DPH' net 6.94 EUR on product page; SKU 227705106 Price shown incl. VAT (SK 23%); VAT removed for the net price. YES Gastro SKU GNPPL-12.</t>
  </si>
  <si>
    <t xml:space="preserve">https://www.gastrozone.sk/pujadas-veko-ku-gastronadobe-1-2-polyprepylen.html</t>
  </si>
  <si>
    <t xml:space="preserve">GN veko polypropylénové GN 1 / 2 ( 265 x 325 mm )</t>
  </si>
  <si>
    <t xml:space="preserve">1/2 PP lid, clear (not stated); listing price incl. VAT (product page of PP lid 1/4 shows 2,60 € s DPH / 2,11 € bez DPH) Price shown incl. VAT (SK 23%); VAT removed for the net price. YES Gastro SKU GNPPL-12.</t>
  </si>
  <si>
    <t xml:space="preserve">Veko na polypropylénovú gastronádobu GN 1/2</t>
  </si>
  <si>
    <t xml:space="preserve">1/2 PP lid, clear (not stated); 'bez DPH' price shown; gross 2.27 EUR; other offers on this shop for the same variant: HENDI 2.93 (in stock) Price shown excl. VAT (SK 23%). YES Gastro SKU GNPPL-12.</t>
  </si>
  <si>
    <t xml:space="preserve">Capac etans GN 1/4 din polipropilena Bufet Safe, 265×162 mm</t>
  </si>
  <si>
    <t xml:space="preserve">1/4 PP lid, white; CLOSE: PP lid described as "etans" (sealing), not plain. Shown "8.77 lei fără TVA (10.61 lei cu TVA)". Price shown excl. VAT (RO 21%). YES Gastro SKU GNPPL-14.</t>
  </si>
  <si>
    <t xml:space="preserve">https://direca.ro/shop/capac-etans-gn-1-4-din-polipropilena-bufet-safe-265x162-mm/</t>
  </si>
  <si>
    <t xml:space="preserve">Capac polipropilena alba GN 1/4</t>
  </si>
  <si>
    <t xml:space="preserve">1/4 PP lid, white; EXACT: plain white polypropylene lid ("Capac polipropilena alba", not for ovens, no seal mentioned); price "( inclusiv T.V.A. )". Price shown incl. VAT (RO 21%); VAT removed for the net price. YES Gastro SKU GNPPL-14.</t>
  </si>
  <si>
    <t xml:space="preserve">https://www.fimax.ro/produs/capac-polipropilena-alba-gn-1-4/</t>
  </si>
  <si>
    <t xml:space="preserve">(12 bucăți) Capace din polipropilenă GN 1/4 – opace – cu 24 de cleme de codificare</t>
  </si>
  <si>
    <t xml:space="preserve">1/4 PP lid, white; CLOSE: plain PP lid supplied with 24 colour-coding clips (allergen/colour coding). Pack of 12 pcs, price per pack net (footnote "* Toate prețurile plus TVA 19%" on RO storefront); tier offer "1.043,15 RON Reducere-15%"; RRP 278,98 RON; SKU GPPL14-12; listing dims W 163 x D 264 x H 14 mm. Price shown excl. VAT (RO 21%); pack of 12, converted to per piece; page read with a headless browser (prices rendered by JavaScript). YES Gastro SKU GNPPL-14.</t>
  </si>
  <si>
    <t xml:space="preserve">https://www.ggmgastro.com/ro-ro-ron/12-bucati-capace-din-polipropilena-gn-1-4-opace-cu-24-de-cleme-de-codificare-gppl14-12</t>
  </si>
  <si>
    <t xml:space="preserve">capac pentru recipientul gastro GN 1/4 din polipropilena Pujadas</t>
  </si>
  <si>
    <t xml:space="preserve">1/4 PP lid, white; EXACT: Pujadas plain polypropylene lid, size+material in name. SKU 227705344. Listing price is gross; product page shows gross and "fără TVA" net below it. Price shown incl. VAT (RO 21%); VAT removed for the net price. YES Gastro SKU GNPPL-14.</t>
  </si>
  <si>
    <t xml:space="preserve">https://www.gastrozone.ro/pujadas-capac-pentru-recipientul-gastro-gn-1-4-din-polipropilena.html</t>
  </si>
  <si>
    <t xml:space="preserve">Capac GN 1/4 din polipropilenă | HENDI 880630</t>
  </si>
  <si>
    <t xml:space="preserve">1/4 PP lid, white; EXACT: plain polypropylene lid, size and material in name (no seal mentioned). Listing shows "Pret net 8.77 RON" and "Pret brut 10.61 RON/buc". Price shown excl. VAT (RO 21%). YES Gastro SKU GNPPL-14.</t>
  </si>
  <si>
    <t xml:space="preserve">https://mmgastro.ro/ro/products/capac-gn-1-4-din-polipropilena-hendi-880630-142445</t>
  </si>
  <si>
    <t xml:space="preserve">(12 Stück) Polypropylen-Deckel GN 1/4 - Milchig - mit 24 Codierclips</t>
  </si>
  <si>
    <t xml:space="preserve">1/4 PP lid, milky; EXACT: milky PP flat lid, Art. GPPL14-12, pack of 12 lids (comes with 24 colour coding clips); price per pack net, '* alle Preise zzgl. MwSt. 19%'; UVP 52.99 €. Price shown excl. VAT (AT 20%); pack of 12, converted to per piece; page read with a headless browser (prices rendered by JavaScript). YES Gastro SKU GNPPL-14.</t>
  </si>
  <si>
    <t xml:space="preserve">https://www.ggmgastro.com/de-at-eur/12-stueck-polypropylen-deckel-gn-1-4-milchig-mit-24-codierclips-gppl14-12</t>
  </si>
  <si>
    <t xml:space="preserve">Polypropylen Deckel GN 1/4</t>
  </si>
  <si>
    <t xml:space="preserve">1/4 PP lid, white; EXACT: PP lid of right size, plain flat lid (description: 'Polypropylen Deckel für GN', weiss, no seal mentioned); net price shown with '(inkl. MwSt.) Zzgl. 20% MwSt.' Price shown excl. VAT (AT 20%). YES Gastro SKU GNPPL-14.</t>
  </si>
  <si>
    <t xml:space="preserve">https://www.gastro-star.at/produkt/polypropylendeckelgn14/</t>
  </si>
  <si>
    <t xml:space="preserve">Schneider PP GN 1/4 Deckel, einrastend</t>
  </si>
  <si>
    <t xml:space="preserve">1/4 PP lid; EXACT: PP snap-on flat lid ('einrastend', 'Material: Polypropylen (PP)'), no seal; net price, 'inkl. MwSt.' price at +19%; Schneider art. 530035. Price shown excl. VAT (AT 20%). YES Gastro SKU GNPPL-14.</t>
  </si>
  <si>
    <t xml:space="preserve">https://www.gastro-hero.at/products/schneider-pp-gn-14-deckel-einrastend-530035</t>
  </si>
  <si>
    <t xml:space="preserve">Hendi Gastronorm-Deckel, GN 1/4, Transparent, 265x162mm – Kunststoff (Art. 880630)</t>
  </si>
  <si>
    <t xml:space="preserve">1/4 PP lid, transparent; CLOSE: flat lid for Hendi PP/HACCP containers but material only given as 'Kunststoff' (category 'GN Behälter PolyPropylen'); the violet allergen-colour lid of this size costs 8.79 €; 'zzgl. 19% MwSt.' (German shop). Price shown excl. VAT (AT 20%). YES Gastro SKU GNPPL-14.</t>
  </si>
  <si>
    <t xml:space="preserve">https://www.gastrodax.de/hendi-gastronorm-deckel-gn-1-4-transparent-265-x-162-mm</t>
  </si>
  <si>
    <t xml:space="preserve">Cambro biegsamer Polypropylen Deckel GN 1/4</t>
  </si>
  <si>
    <t xml:space="preserve">1/4 PP lid; CLOSE: PP lid of right size but flexible seal cover (soft-seal type, 'innere Dichtung'); incl. MwSt. (rate not stated). Price shown incl. VAT (AT 20%); VAT removed for the net price. YES Gastro SKU GNPPL-14.</t>
  </si>
  <si>
    <t xml:space="preserve">https://www.gastroladen.at/3030@GN-DM751/Cambro-biegsamer-Polypropylen-Deckel-GN-1-4.htm</t>
  </si>
  <si>
    <t xml:space="preserve">GN Deckel GN 84 GN 1/4</t>
  </si>
  <si>
    <t xml:space="preserve">1/4 PP lid, transparent; CLOSE (curated): page states only "Material: Kunststoff"; PP inferred from the WAS GN 84/89 series | EXACT: plain flat PP lid of WAS series GN 84 (Hersteller-Art.-Nr. 8414004); page itself only says 'Material: Kunststoff', PP inferred from the WAS GN 84/89 polypropylene series (same article listed as Polypropylen at shopbuero); 1-piece net price, tiers ab 3 pcs; alternative WAS GN 89 lid same size: 2.72 € (Bestell-Nr. 252571). Price shown excl. VAT (AT 20%); page read with a headless browser (prices rendered by JavaScript). YES Gastro SKU GNPPL-14.</t>
  </si>
  <si>
    <t xml:space="preserve">https://www.intergastro.at/gn-deckel-gn-84-gn-1-4-252280</t>
  </si>
  <si>
    <t xml:space="preserve">GN-Deckel - transparent - Serie 84 - GN 1/4 (265 x 162 mm) - Polypropylen</t>
  </si>
  <si>
    <t xml:space="preserve">1/4 PP lid, transparent; EXACT: plain PP lid (name 'GN-Deckel ... Polypropylen', no seal), Art.-Nr. 8414004-A; sale price, regular 2,20 €; 'Preise zzgl. MwSt.'. Other plain PP lids this size: 8914001-A 2.30€, 530035-C 2.10€ (einrastend), 82129-B 2.10€; 'luftdicht' sealing lids not recorded. Price shown excl. VAT (AT 20%). YES Gastro SKU GNPPL-14.</t>
  </si>
  <si>
    <t xml:space="preserve">https://shopbuero.com/gn-deckel-transparent-serie-84-gn-1-4-265-x-162-mm-polypropylen/8414004-A</t>
  </si>
  <si>
    <t xml:space="preserve">Deckel für GN Behälter 1/4 aus Kunststoff</t>
  </si>
  <si>
    <t xml:space="preserve">1/4 PP lid, transparent; Plain plastic lid GN 1/4; 'Material: Polypropylen' on page; art. 10021631; strikethrough price 2.85 EUR; 'zzgl. MwSt.'. Price shown excl. VAT (DE 19%). YES Gastro SKU GNPPL-14.</t>
  </si>
  <si>
    <t xml:space="preserve">https://www.allpax.de/product_info.php/info/Deckel-fuer-GN-Behaelter-1-4-aus-Kunststoff.html</t>
  </si>
  <si>
    <t xml:space="preserve">GN Deckel, GN 1/4, transparent, Polypropylen, GN 84 Serie</t>
  </si>
  <si>
    <t xml:space="preserve">1/4 PP lid, transparent; Plain PP lid for GN 1/4, material Polypropylen on page, art. 8414004; net 1.59 EUR shown next to gross 1.89 EUR incl. 19% USt, UVP 2.62 EUR. Price shown excl. VAT (DE 19%). YES Gastro SKU GNPPL-14.</t>
  </si>
  <si>
    <t xml:space="preserve">https://gastro-spirit.de/deckel-gn-1-4-serie-gn-84-8414004</t>
  </si>
  <si>
    <t xml:space="preserve">1/4 PP lid, transparent; Schneider PP snap-on ('einrastend') flat lid GN 1/4, no seal (sealing version with Silikondichtung sold separately), art. 530035; net, 'zzgl. MwSt.'. Price shown excl. VAT (DE 19%). YES Gastro SKU GNPPL-14.</t>
  </si>
  <si>
    <t xml:space="preserve">https://www.gastro-hero.de/products/schneider-pp-gn-14-deckel-einrastend-530035</t>
  </si>
  <si>
    <t xml:space="preserve">WAS GN 89 Deckel 1/4 Polypropylen</t>
  </si>
  <si>
    <t xml:space="preserve">1/4 PP lid, weiß; WAS GN 89 plain PP lid GN 1/4, SKU WAS-8914001; 'zzgl. 19% MwSt.'; GN 89 lids 1/2, 1/6, 1/9 not found at Gastrodax. Price shown excl. VAT (DE 19%). YES Gastro SKU GNPPL-14.</t>
  </si>
  <si>
    <t xml:space="preserve">https://www.gastrodax.de/was-gn-89-deckel-1-4-polypropylen</t>
  </si>
  <si>
    <t xml:space="preserve">1/4 PP lid, transparent; Cambro flexible PP lid GN 1/4 with inner seal ('innere Dichtung verhindert Auslaufen' = soft-seal lid, CLOSE), art. DM751; incl. MwSt.; no plain PP lid at Gastroladen. Price shown incl. VAT (DE 19%); VAT removed for the net price. YES Gastro SKU GNPPL-14.</t>
  </si>
  <si>
    <t xml:space="preserve">https://www.gastroladen.de/3030@GN-DM751/Cambro-biegsamer-Polypropylen-Deckel-GN-1-4.htm</t>
  </si>
  <si>
    <t xml:space="preserve">GN-Deckel 1/4, Polypropylen (Contacto)</t>
  </si>
  <si>
    <t xml:space="preserve">1/4 PP lid, transparent; Plain lid GN 1/4; Bestell-Nr 1009810, Contacto 5514/265; Polypropylen in product name; 'Preis pro Stück, zzgl. MwSt'; Staffelpreise ab 3: 1.63, ab 24: 1.49. Price shown excl. VAT (DE 19%). YES Gastro SKU GNPPL-14.</t>
  </si>
  <si>
    <t xml:space="preserve">https://www.intergastro.de/gn-deckel-1-4-polypropylen-1009810</t>
  </si>
  <si>
    <t xml:space="preserve">Nisbets Essentials Polypropylen Gastronormdeckel 1/4</t>
  </si>
  <si>
    <t xml:space="preserve">1/4 PP lid, transparent; Plain PP lid GN 1/4 (Material: Polypropylen), art. HZ348; 'Zzgl. MwSt.'. Price shown excl. VAT (DE 19%); page read with a headless browser (prices rendered by JavaScript). YES Gastro SKU GNPPL-14.</t>
  </si>
  <si>
    <t xml:space="preserve">https://www.nisbets.de/nisbets-essentials-polypropylen-gastronormdeckel-1zu4/hz348</t>
  </si>
  <si>
    <t xml:space="preserve">Víko HACCP - GN 1/4, 265x162mm Hendi</t>
  </si>
  <si>
    <t xml:space="preserve">1/4 PP lid, transparent; EXACT: Hendi plain PP lid GN 1/4, "materiál: průhledný polypropylen", no seal; code 880630; page shows 68 Kč (s DPH) and "56 Kč bez DPH". Price shown incl. VAT (CZ 21%); VAT removed for the net price. YES Gastro SKU GNPPL-14.</t>
  </si>
  <si>
    <t xml:space="preserve">https://www.gastrofans.cz/viko-na-gn-pp-gn-1-4-transparent-265x162-mm/</t>
  </si>
  <si>
    <t xml:space="preserve">Víko z polypropylenu GN 1/4 | HENDI, Profi Line</t>
  </si>
  <si>
    <t xml:space="preserve">1/4 PP lid, transparent; EXACT: Hendi Profi Line PP lid GN 1/4, parameters "materiál: polypropylen", "těsnění: ne", "výřez na úchyty: ne"; code 880630; "Cena bez DPH: 75 Kč", "Cena s DPH: 91 Kč". Price shown excl. VAT (CZ 21%); page read with a headless browser (prices rendered by JavaScript). YES Gastro SKU GNPPL-14.</t>
  </si>
  <si>
    <t xml:space="preserve">https://www.gastromania.cz/vika-gn-polypropylenove/viko-z-polypropylenu-gn-1-4-hendi-profi-line</t>
  </si>
  <si>
    <t xml:space="preserve">víko na gastro nádobu GN 1/4 polypropylen Pujadas</t>
  </si>
  <si>
    <t xml:space="preserve">1/4 PP lid; EXACT: Pujadas PP lid GN 1/4, "Materiál: Polypropylen", no seal mentioned; code 227705344; page shows 167 Kč incl. and "138 Kč bez DPH". Price shown excl. VAT (CZ 21%). YES Gastro SKU GNPPL-14.</t>
  </si>
  <si>
    <t xml:space="preserve">https://www.gastrozone.cz/pujadas-viko-na-gastro-nadobu-gn-1-4-polypropylen.html</t>
  </si>
  <si>
    <t xml:space="preserve">Gastronorm Víko GN 1/4 polypropylenové - transparentní</t>
  </si>
  <si>
    <t xml:space="preserve">1/4 PP lid, transparent; EXACT: plain PP lid GN 1/4 (no seal mentioned); cat. no. 3120140; 37 CZK s DPH, "cena bez DPH: 31 CZK"; coloured (red/blue/yellow/green) versions same price. Price shown incl. VAT (CZ 21%); VAT removed for the net price. YES Gastro SKU GNPPL-14.</t>
  </si>
  <si>
    <t xml:space="preserve">https://www.gastrosance.cz/viko-gn-1/4-polypropylenove---transparentni</t>
  </si>
  <si>
    <t xml:space="preserve">Těsnicí víko pro gastronádobu GN 1/4</t>
  </si>
  <si>
    <t xml:space="preserve">1/4 other: polykarbonát (stated) lid, transparent; APPROX: sealing ("těsnicí") lid, and page parameter says "Materiál: polykarbonát" although the listing filter tags it polypropylen (Cambro MP seal cover); shop has no plain PP lid. Code R-MP14001; 85 Kč incl., "70 Kč bez DPH". Price shown incl. VAT (CZ 21%); VAT removed for the net price. YES Gastro SKU GNPPL-14.</t>
  </si>
  <si>
    <t xml:space="preserve">https://www.tomgast.cz/tesnici-viko-pro-gastronadobu-gn-1-4/</t>
  </si>
  <si>
    <t xml:space="preserve">Pokrievka pre nádoby GN, HENDI, GN 1/4, Priehľadná, 265x162mm Kód: 880630</t>
  </si>
  <si>
    <t xml:space="preserve">1/4 PP lid, clear; material not in product name; HENDI 880609-880654 lids belong to the HACCP polypropylene range (same codes are listed as "veko z polypropylénu" on gastromania.sk); price shown 1.90 € (net) / 2,34 € s DPH; code 880630 Price shown excl. VAT (SK 23%). YES Gastro SKU GNPPL-14.</t>
  </si>
  <si>
    <t xml:space="preserve">Veko GN 1/4 z polypropylénu | REDFOX, VPP 1/4</t>
  </si>
  <si>
    <t xml:space="preserve">1/4 PP lid, clear (not stated); SKU RM-00012459; other offers on this shop for the same variant: STALGAST 1.90 (in stock); STALGAST 3.18 (in stock); CONTACTO 3.42 (in stock); HENDI 3.62 (in stock) Price shown incl. VAT (SK 23%); VAT removed for the net price. YES Gastro SKU GNPPL-14.</t>
  </si>
  <si>
    <t xml:space="preserve">https://gastromania.sk/veka-gn-polypropylenove/veko-gn-1-4-z-polypropylenu-redfox-vpp-1-4</t>
  </si>
  <si>
    <t xml:space="preserve">Pujadas veko na gastro nádobu GN 1/4 polypropylén</t>
  </si>
  <si>
    <t xml:space="preserve">1/4 PP lid, clear (not stated); listing shows gross 6,56 €; 'bez DPH' net 5.33 EUR on product page; SKU 227705344 Price shown incl. VAT (SK 23%); VAT removed for the net price. YES Gastro SKU GNPPL-14.</t>
  </si>
  <si>
    <t xml:space="preserve">https://www.gastrozone.sk/pujadas-viko-na-gastro-nadobu-gn-1-4-polypropylen.html</t>
  </si>
  <si>
    <t xml:space="preserve">GN veko polypropylénové GN 1 / 4 ( 265 x 162 mm )</t>
  </si>
  <si>
    <t xml:space="preserve">1/4 PP lid, clear (not stated); listing price incl. VAT (product page of PP lid 1/4 shows 2,60 € s DPH / 2,11 € bez DPH) Price shown incl. VAT (SK 23%); VAT removed for the net price. YES Gastro SKU GNPPL-14.</t>
  </si>
  <si>
    <t xml:space="preserve">Veko na polypropylénovú gastronádobu GN 1/4</t>
  </si>
  <si>
    <t xml:space="preserve">1/4 PP lid, clear (not stated); 'bez DPH' price shown; gross 2.4 EUR; other offers on this shop for the same variant: HENDI 1.64 (in stock); HENDI 116.09 (in stock) Price shown excl. VAT (SK 23%). YES Gastro SKU GNPPL-14.</t>
  </si>
  <si>
    <t xml:space="preserve">Capac etans GN 1/6 din polipropilena Bufet Safe, 176×162 mm</t>
  </si>
  <si>
    <t xml:space="preserve">1/6 PP lid, white; CLOSE: PP lid described as "etans" (sealing), not plain. Shown "6.63 lei fără TVA (8.02 lei cu TVA)". Price shown excl. VAT (RO 21%). YES Gastro SKU GNPPL-16.</t>
  </si>
  <si>
    <t xml:space="preserve">https://direca.ro/shop/capac-etans-gn-1-6-din-polipropilena-bufet-safe-176x162-mm/</t>
  </si>
  <si>
    <t xml:space="preserve">Capac polipropilena alba GN 1/6</t>
  </si>
  <si>
    <t xml:space="preserve">1/6 PP lid, white; EXACT: plain white polypropylene lid ("Capac polipropilena alba", not for ovens, no seal mentioned); price "( inclusiv T.V.A. )". Price shown incl. VAT (RO 21%); VAT removed for the net price. YES Gastro SKU GNPPL-16.</t>
  </si>
  <si>
    <t xml:space="preserve">https://www.fimax.ro/produs/capac-polipropilena-alba-gn-1-6/</t>
  </si>
  <si>
    <t xml:space="preserve">APS GN-Cap, GN 1/6, Inaltime: 25 mm, Lungime: 176 mm, Latime: 162 mm</t>
  </si>
  <si>
    <t xml:space="preserve">1/6 PP lid, white; EXACT: APS GN cap, product page states Material: Polipropilena (PP); SKU 227776585; page: "Produsul nu este pe stoc, livrare 3-5 saptamani". Listing price is gross; product page shows gross and "fără TVA" net below it. Price shown incl. VAT (RO 21%); VAT removed for the net price. YES Gastro SKU GNPPL-16.</t>
  </si>
  <si>
    <t xml:space="preserve">https://www.gastrozone.ro/aps-capac-gn-gn-1-6-inaltime-25-mm-lungime-176-mm-latime-162-mm.html</t>
  </si>
  <si>
    <t xml:space="preserve">not in stock (3-5 weeks)</t>
  </si>
  <si>
    <t xml:space="preserve">Capac din polipropilena GN1/6</t>
  </si>
  <si>
    <t xml:space="preserve">1/6 PP lid, white; EXACT: plain PP lid, size+material in name. Shop code n/a; "Pret exclusiv TVA". Price shown excl. VAT (RO 21%). YES Gastro SKU GNPPL-16.</t>
  </si>
  <si>
    <t xml:space="preserve">https://pro-cucina.ro/capac-din-polipropilena-gn1-6/</t>
  </si>
  <si>
    <t xml:space="preserve">Capac GN 1/6 din polipropilenă albă PROFI LINE | HENDI 880647</t>
  </si>
  <si>
    <t xml:space="preserve">1/6 PP lid, white; EXACT: plain polypropylene lid, size and material in name (no seal mentioned). Listing shows "Pret net 6.81 RON" and "Pret brut 8.24 RON/buc". Price shown excl. VAT (RO 21%). YES Gastro SKU GNPPL-16.</t>
  </si>
  <si>
    <t xml:space="preserve">https://mmgastro.ro/ro/products/capac-gn-1-6-din-polipropilena-alba-profi-line-hendi-880647-131376</t>
  </si>
  <si>
    <t xml:space="preserve">Hendi GN Deckel 1/6 PP, violett</t>
  </si>
  <si>
    <t xml:space="preserve">1/6 PP lid, violet; CLOSE: right size and PP ('Robustes Polypropylen'), flat lid for Hendi PP/HACCP containers, but it is the violet allergen-colour lid (no plain/white PP lid at this shop); 'exkl. MwSt.' Price shown excl. VAT (AT 20%). YES Gastro SKU GNPPL-16.</t>
  </si>
  <si>
    <t xml:space="preserve">https://www.allpax.at/product_info.php/info/Hendi-GN-Deckel-1-6-PP-violett.html</t>
  </si>
  <si>
    <t xml:space="preserve">Polypropylen Deckel GN 1/6</t>
  </si>
  <si>
    <t xml:space="preserve">1/6 PP lid, white; EXACT: PP lid of right size, plain flat lid (description: 'Polypropylen Deckel für GN', weiss, no seal mentioned); net price shown with '(inkl. MwSt.) Zzgl. 20% MwSt.' Price shown excl. VAT (AT 20%). YES Gastro SKU GNPPL-16.</t>
  </si>
  <si>
    <t xml:space="preserve">https://www.gastro-star.at/produkt/polypropylendeckelgn16/</t>
  </si>
  <si>
    <t xml:space="preserve">Schneider PP GN 1/6 Deckel, einrastend</t>
  </si>
  <si>
    <t xml:space="preserve">1/6 PP lid; EXACT: PP snap-on flat lid ('einrastend', 'Material: Polypropylen (PP)'), no seal; net price, 'inkl. MwSt.' price at +19%; Schneider art. 530045. Sale price, regular 3.59 €. Price shown excl. VAT (AT 20%). YES Gastro SKU GNPPL-16.</t>
  </si>
  <si>
    <t xml:space="preserve">https://www.gastro-hero.at/products/schneider-pp-gn-16-deckel-einrastend-530045</t>
  </si>
  <si>
    <t xml:space="preserve">Hendi Gastronorm-Deckel, GN 1/6, Transparent, 176x162mm – Kunststoff (Art. 880647)</t>
  </si>
  <si>
    <t xml:space="preserve">1/6 PP lid, transparent; CLOSE: flat lid for Hendi PP/HACCP containers but material only given as 'Kunststoff' (category 'GN Behälter PolyPropylen'); the violet allergen-colour lid of this size costs 6.54 €; 'zzgl. 19% MwSt.' (German shop). Price shown excl. VAT (AT 20%). YES Gastro SKU GNPPL-16.</t>
  </si>
  <si>
    <t xml:space="preserve">https://www.gastrodax.de/hendi-gastronorm-deckel-gn-1-6-transparent-176-x-162-mm</t>
  </si>
  <si>
    <t xml:space="preserve">Cambro GN 1/6 Deckel aus Polypropylen mit transparentem Griff</t>
  </si>
  <si>
    <t xml:space="preserve">1/6 PP lid; EXACT: rigid PP flat lid with handle (name 'Deckel aus Polypropylen mit transparentem Griff'); the shop also has the flexible seal cover 1/6 at 3,69 € (CLOSE); incl. MwSt. (rate not stated). Price shown incl. VAT (AT 20%); VAT removed for the net price. YES Gastro SKU GNPPL-16.</t>
  </si>
  <si>
    <t xml:space="preserve">https://www.gastroladen.at/3030@GN-CJ660/Cambro-GN-1-6-Deckel-aus-Polypropylen-mit-transparentem-Griff.htm</t>
  </si>
  <si>
    <t xml:space="preserve">GN Deckel GN 84 GN 1/6 transparent</t>
  </si>
  <si>
    <t xml:space="preserve">1/6 PP lid, transparent; CLOSE (curated): page states only "Material: Kunststoff"; PP inferred from the WAS GN 84/89 series | EXACT: plain flat PP lid of WAS series GN 84 (Hersteller-Art.-Nr. 8416004); page itself only says 'Material: Kunststoff', PP inferred from the WAS GN 84/89 polypropylene series (same article listed as Polypropylen at shopbuero); 1-piece net price, tiers ab 3 pcs; alternative WAS GN 89 lid same size: 2.03 € (Bestell-Nr. 252576). Price shown excl. VAT (AT 20%); page read with a headless browser (prices rendered by JavaScript). YES Gastro SKU GNPPL-16.</t>
  </si>
  <si>
    <t xml:space="preserve">https://www.intergastro.at/gn-deckel-gn-84-gn-1-6-transparent-264177</t>
  </si>
  <si>
    <t xml:space="preserve">GN-Deckel - transparent - Serie 84 - GN 1/6 (176 x 162 mm) - Polypropylen</t>
  </si>
  <si>
    <t xml:space="preserve">1/6 PP lid, transparent; EXACT: plain PP lid (name 'GN-Deckel ... Polypropylen', no seal), Art.-Nr. 8416004-A; sale price, regular 2,50 €; 'Preise zzgl. MwSt.'. Other plain PP lids this size: 8916001-A 1.80€, 530045-C 1.90€ (einrastend), 82137-B 2.00€; 'luftdicht' sealing lids not recorded. Price shown excl. VAT (AT 20%). YES Gastro SKU GNPPL-16.</t>
  </si>
  <si>
    <t xml:space="preserve">https://shopbuero.com/gn-deckel-transparent-serie-84-gn-1-6-176-x-162-mm-polypropylen/8416004-A</t>
  </si>
  <si>
    <t xml:space="preserve">Deckel für GN Behälter 1/6 aus Kunststoff</t>
  </si>
  <si>
    <t xml:space="preserve">1/6 PP lid, transparent; Plain plastic lid GN 1/6; 'Material: Polypropylen' on page; art. 10021636; 'zzgl. MwSt.'. Price shown excl. VAT (DE 19%). YES Gastro SKU GNPPL-16.</t>
  </si>
  <si>
    <t xml:space="preserve">https://www.allpax.de/product_info.php/info/Deckel-fuer-GN-Behaelter-1-6-aus-Kunststoff.html</t>
  </si>
  <si>
    <t xml:space="preserve">(6 Stück) CAMBRO | SafeTrak - Polypropylen-Deckel GN 1/6 - Milchig</t>
  </si>
  <si>
    <t xml:space="preserve">1/6 PP lid, milchig/transparent; PP lid GN 1/6 but Cambro SafeTrak seal cover (sealing lid = CLOSE), pack of 6, net per pack; UVP 13.50 EUR; art. 60PPCWSC190; no plain GGM 1/6 PP lid found in sitemap. Price shown excl. VAT (DE 19%); pack of 6, converted to per piece; page read with a headless browser (prices rendered by JavaScript). YES Gastro SKU GNPPL-16.</t>
  </si>
  <si>
    <t xml:space="preserve">https://www.ggmgastro.com/de-de-eur/6-stueck-cambro-safetrak-polypropylen-deckel-gn-1-6-milchig-60ppcwsc190</t>
  </si>
  <si>
    <t xml:space="preserve">GN Deckel, GN 1/6, transparent, Polypropylen, GN 84 Serie</t>
  </si>
  <si>
    <t xml:space="preserve">1/6 PP lid, transparent; Plain PP lid for GN 1/6, material Polypropylen on page, art. 8416004; net 1.81 EUR shown next to gross 2.15 EUR incl. 19% USt, UVP 2.98 EUR. Price shown excl. VAT (DE 19%). YES Gastro SKU GNPPL-16.</t>
  </si>
  <si>
    <t xml:space="preserve">https://gastro-spirit.de/deckel-gn-1-6-serie-gn-84-8416004</t>
  </si>
  <si>
    <t xml:space="preserve">1/6 PP lid, transparent; Schneider PP snap-on ('einrastend') flat lid GN 1/6, no seal (sealing version with Silikondichtung sold separately), art. 530045; net, 'zzgl. MwSt.'. Price shown excl. VAT (DE 19%). YES Gastro SKU GNPPL-16.</t>
  </si>
  <si>
    <t xml:space="preserve">https://www.gastro-hero.de/products/schneider-pp-gn-16-deckel-einrastend-530045</t>
  </si>
  <si>
    <t xml:space="preserve">Cambro biegsamer Polypropylen Deckel GN 1/6</t>
  </si>
  <si>
    <t xml:space="preserve">1/6 PP lid, transparent; Cambro flexible PP lid GN 1/6 with inner seal ('innere Dichtung verhindert Auslaufen' = soft-seal lid, CLOSE), art. DM757; incl. MwSt.; no plain PP lid at Gastroladen. Price shown incl. VAT (DE 19%); VAT removed for the net price. YES Gastro SKU GNPPL-16.</t>
  </si>
  <si>
    <t xml:space="preserve">https://www.gastroladen.de/3030@GN-DM757/Cambro-biegsamer-Polypropylen-Deckel-GN-1-6.htm</t>
  </si>
  <si>
    <t xml:space="preserve">1/6 PP lid, transparent; CLOSE (curated): page states only "Material: Kunststoff"; PP inferred from the WAS GN 84/89 series | Plain lid GN 1/6; page states only "Material: Kunststoff"; GN 84 = WAS PP series (Hersteller-Nr 8416004); 'Preis pro Stück, zzgl. MwSt'; Staffelpreise ab 6: 1.92, ab 24: 1.60. Price shown excl. VAT (DE 19%). YES Gastro SKU GNPPL-16.</t>
  </si>
  <si>
    <t xml:space="preserve">https://www.intergastro.de/gn-deckel-gn-84-gn-1-6-transparent-264177</t>
  </si>
  <si>
    <t xml:space="preserve">Nisbets Essentials Polypropylen Gastronorm-Deckel 1/6</t>
  </si>
  <si>
    <t xml:space="preserve">1/6 PP lid, transparent; Plain PP lid GN 1/6 (Material: Polypropylen), art. HZ349; 'Zzgl. MwSt.'. Price shown excl. VAT (DE 19%); page read with a headless browser (prices rendered by JavaScript). YES Gastro SKU GNPPL-16.</t>
  </si>
  <si>
    <t xml:space="preserve">https://www.nisbets.de/nisbets-essentials-polypropylen-gastronormdeckel-1zu6/hz349</t>
  </si>
  <si>
    <t xml:space="preserve">Víko HACCP - GN 1/6, 176x162mm Hendi</t>
  </si>
  <si>
    <t xml:space="preserve">1/6 PP lid, transparent; EXACT: Hendi plain PP lid GN 1/6, "materiál: průhledný polypropylen", no seal; code 880647; page shows 58 Kč (s DPH) and "48 Kč bez DPH". Price shown incl. VAT (CZ 21%); VAT removed for the net price. YES Gastro SKU GNPPL-16.</t>
  </si>
  <si>
    <t xml:space="preserve">https://www.gastrofans.cz/viko-na-gn-pp-gn-1-6-transparent-176x162-mm/</t>
  </si>
  <si>
    <t xml:space="preserve">Víko z polypropylenu GN 1/6 | HENDI, Profi Line</t>
  </si>
  <si>
    <t xml:space="preserve">1/6 PP lid, transparent; EXACT: Hendi Profi Line PP lid GN 1/6, parameters "materiál: polypropylen", "těsnění: ne", "výřez na úchyty: ne"; code 880647; "Cena bez DPH: 59 Kč", "Cena s DPH: 72 Kč". Price shown excl. VAT (CZ 21%); page read with a headless browser (prices rendered by JavaScript). YES Gastro SKU GNPPL-16.</t>
  </si>
  <si>
    <t xml:space="preserve">https://www.gastromania.cz/vika-gn-polypropylenove/viko-z-polypropylenu-gn-1-6-hendi-profi-line</t>
  </si>
  <si>
    <t xml:space="preserve">víko na gastro nádobu GN 1/6 polypropylen Pujadas</t>
  </si>
  <si>
    <t xml:space="preserve">1/6 PP lid; EXACT: Pujadas PP lid GN 1/6, "Materiál: Polypropylen", no seal mentioned; code 227705109; page shows 148 Kč incl. and "122 Kč bez DPH". Price shown excl. VAT (CZ 21%). YES Gastro SKU GNPPL-16.</t>
  </si>
  <si>
    <t xml:space="preserve">https://www.gastrozone.cz/viko-na-gastro-nadobu-gn-1-6-polypropylen-pujadas.html</t>
  </si>
  <si>
    <t xml:space="preserve">Gastronorm Víko GN 1/6 polypropylenové - transparentní</t>
  </si>
  <si>
    <t xml:space="preserve">1/6 PP lid, transparent; EXACT: plain PP lid GN 1/6 (no seal mentioned); cat. no. 3120150; 27 CZK s DPH, "cena bez DPH: 22 CZK"; coloured (red/blue/yellow/green) versions same price. Price shown incl. VAT (CZ 21%); VAT removed for the net price. YES Gastro SKU GNPPL-16.</t>
  </si>
  <si>
    <t xml:space="preserve">https://www.gastrosance.cz/viko-gn-1/6-polypropylenove---transparentni</t>
  </si>
  <si>
    <t xml:space="preserve">Těsnicí víko pro gastronádobu GN 1/6</t>
  </si>
  <si>
    <t xml:space="preserve">1/6 PP lid, transparent; CLOSE: right size and "Materiál: polypropylen", but it is a sealing ("těsnicí") lid for Cambro containers, not a plain lid. Code R-MP16001; 65 Kč incl., "54 Kč bez DPH". Price shown incl. VAT (CZ 21%); VAT removed for the net price. YES Gastro SKU GNPPL-16.</t>
  </si>
  <si>
    <t xml:space="preserve">https://www.tomgast.cz/tesnici-viko-pro-gastronadobu-gn-1-6/</t>
  </si>
  <si>
    <t xml:space="preserve">Pokrievka pre nádoby GN, HENDI, GN 1/6, Priehľadná, 176x162mm Kód: 880647</t>
  </si>
  <si>
    <t xml:space="preserve">1/6 PP lid, clear; material not in product name; HENDI 880609-880654 lids belong to the HACCP polypropylene range (same codes are listed as "veko z polypropylénu" on gastromania.sk); price shown 1.65 € (net) / 2,03 € s DPH; code 880647 Price shown excl. VAT (SK 23%). YES Gastro SKU GNPPL-16.</t>
  </si>
  <si>
    <t xml:space="preserve">Polypropylénové veko pre nádoby GN 1/6 | STALGAST, Bufet</t>
  </si>
  <si>
    <t xml:space="preserve">1/6 PP lid, clear (not stated); SKU STALGAST-166003; other offers on this shop for the same variant: REDFOX 1.92 (in stock); STALGAST 2.67 (in stock); HENDI 2.84 (in stock); CONTACTO 3.80 (in stock) Price shown incl. VAT (SK 23%); VAT removed for the net price. YES Gastro SKU GNPPL-16.</t>
  </si>
  <si>
    <t xml:space="preserve">https://gastromania.sk/veka-gn-polypropylenove/polypropylenove-veko-pre-nadoby-gn-1-6-stalgast-bufet</t>
  </si>
  <si>
    <t xml:space="preserve">Pujadas Veko ku GN 1/6 polyprepylen 176x162 mm</t>
  </si>
  <si>
    <t xml:space="preserve">1/6 PP lid, clear (not stated); listing shows gross 5,64 €; 'bez DPH' net 4.59 EUR on product page; SKU 227705109 Price shown incl. VAT (SK 23%); VAT removed for the net price. YES Gastro SKU GNPPL-16.</t>
  </si>
  <si>
    <t xml:space="preserve">https://www.gastrozone.sk/pujadas-veko-ku-gn-1-6-polyprepylen-176x162-mm.html</t>
  </si>
  <si>
    <t xml:space="preserve">GN veko polypropylénové GN 1 / 6 ( 176 x 162 mm )</t>
  </si>
  <si>
    <t xml:space="preserve">1/6 PP lid, clear (not stated); listing price incl. VAT (product page of PP lid 1/4 shows 2,60 € s DPH / 2,11 € bez DPH) Price shown incl. VAT (SK 23%); VAT removed for the net price. YES Gastro SKU GNPPL-16.</t>
  </si>
  <si>
    <t xml:space="preserve">Víko polypropylénové GN 1/6</t>
  </si>
  <si>
    <t xml:space="preserve">1/6 PP lid, clear (not stated); 'bez DPH' price shown; gross 1.42 EUR; other offers on this shop for the same variant: HENDI 1.29 (in stock) Price shown excl. VAT (SK 23%). YES Gastro SKU GNPPL-16.</t>
  </si>
  <si>
    <t xml:space="preserve">Capac etans GN 1/9 din polipropilena Bufet Safe, 176×108 mm</t>
  </si>
  <si>
    <t xml:space="preserve">1/9 PP lid, white; CLOSE: PP lid described as "etans" (sealing), not plain. Shown "4.17 lei fără TVA (5.05 lei cu TVA)". Price shown excl. VAT (RO 21%). YES Gastro SKU GNPPL-19.</t>
  </si>
  <si>
    <t xml:space="preserve">https://direca.ro/shop/capac-etans-gn-1-9-din-polipropilena-bufet-safe-176x108-mm/</t>
  </si>
  <si>
    <t xml:space="preserve">(12 bucăți) Capace din polipropilenă GN 1/9 – opace – cu 24 de cleme de codificare</t>
  </si>
  <si>
    <t xml:space="preserve">1/9 PP lid, white; CLOSE: plain PP lid supplied with 24 colour-coding clips (allergen/colour coding). Pack of 12 pcs, price per pack net (footnote "* Toate prețurile plus TVA 19%" on RO storefront); tier offer "1.219,16 RON Reducere-25%"; RRP 305,30 RON; SKU GPPL19-12; listing dims W 113 x D 179 x H 13 mm. Price shown excl. VAT (RO 21%); pack of 12, converted to per piece; page read with a headless browser (prices rendered by JavaScript). YES Gastro SKU GNPPL-19.</t>
  </si>
  <si>
    <t xml:space="preserve">https://www.ggmgastro.com/ro-ro-ron/12-bucati-capace-din-polipropilena-gn-1-9-opace-cu-24-de-cleme-de-codificare-gppl19-12</t>
  </si>
  <si>
    <t xml:space="preserve">APS GN-Cap, GN 1/9, Inaltime: 15 mm, Lungime: 180 mm, Latime: 115 mm</t>
  </si>
  <si>
    <t xml:space="preserve">1/9 PP lid, white; EXACT: APS GN cap, product page states Material: Polipropilena (PP); SKU 227776591; not in stock (3-5 weeks). Listing price is gross; product page shows gross and "fără TVA" net below it. Price shown incl. VAT (RO 21%); VAT removed for the net price. YES Gastro SKU GNPPL-19.</t>
  </si>
  <si>
    <t xml:space="preserve">https://www.gastrozone.ro/aps-gn-capac-gn-1-9-inaltime-15-mm-lungime-180-mm-latime-115-mm.html</t>
  </si>
  <si>
    <t xml:space="preserve">Capac GN 1/9 din polipropilenă PROFI LINE | HENDI 880654</t>
  </si>
  <si>
    <t xml:space="preserve">1/9 PP lid, white; EXACT: plain polypropylene lid, size and material in name (no seal mentioned). Listing shows "Pret net 5.84 RON" and "Pret brut 7.07 RON/buc". Price shown excl. VAT (RO 21%). YES Gastro SKU GNPPL-19.</t>
  </si>
  <si>
    <t xml:space="preserve">https://mmgastro.ro/ro/products/capac-gn-1-9-din-polipropilena-profi-line-hendi-880654-130878</t>
  </si>
  <si>
    <t xml:space="preserve">Capac GN 1/9 din polipropilenă, 1,5 cm | APS 82159</t>
  </si>
  <si>
    <t xml:space="preserve">1/9 PP lid, white; EXACT: plain polypropylene lid, size and material in name (no seal mentioned). Listing shows "Pret net 12.14 RON" and "Pret brut 14.69 RON/buc". Price shown excl. VAT (RO 21%). YES Gastro SKU GNPPL-19.</t>
  </si>
  <si>
    <t xml:space="preserve">https://mmgastro.ro/ro/products/capac-gn-1-9-din-polipropilena-1-5-cm-aps-82159-162442</t>
  </si>
  <si>
    <t xml:space="preserve">(12 Stück) Polypropylen-Deckel GN 1/9 - Milchig - mit 24 Codierclips</t>
  </si>
  <si>
    <t xml:space="preserve">1/9 PP lid, milky; EXACT: milky PP flat lid, Art. GPPL19-12, pack of 12 lids (comes with 24 colour coding clips); price per pack net, '* alle Preise zzgl. MwSt. 19%'; UVP 57.99 €, struck-through regular price 39.32 €. Price shown excl. VAT (AT 20%); pack of 12, converted to per piece; page read with a headless browser (prices rendered by JavaScript). YES Gastro SKU GNPPL-19.</t>
  </si>
  <si>
    <t xml:space="preserve">https://www.ggmgastro.com/de-at-eur/12-stueck-polypropylen-deckel-gn-1-9-milchig-mit-24-codierclips-gppl19-12</t>
  </si>
  <si>
    <t xml:space="preserve">Polypropylen Deckel GN 1/9</t>
  </si>
  <si>
    <t xml:space="preserve">1/9 PP lid, white; EXACT: PP lid of right size, plain flat lid (description: 'Polypropylen Deckel für GN', weiss, no seal mentioned); net price shown with '(inkl. MwSt.) Zzgl. 20% MwSt.' Price shown excl. VAT (AT 20%). YES Gastro SKU GNPPL-19.</t>
  </si>
  <si>
    <t xml:space="preserve">https://www.gastro-star.at/produkt/polypropylendeckelgn19/</t>
  </si>
  <si>
    <t xml:space="preserve">Hendi Gastronorm-Deckel, GN 1/9, Transparent, 176x108mm – Kunststoff (Art. 880654)</t>
  </si>
  <si>
    <t xml:space="preserve">1/9 PP lid, transparent; CLOSE: flat lid for Hendi PP/HACCP containers but material only given as 'Kunststoff' (category 'GN Behälter PolyPropylen'); the violet allergen-colour lid of this size costs 5.64 €; 'zzgl. 19% MwSt.' (German shop). Price shown excl. VAT (AT 20%). YES Gastro SKU GNPPL-19.</t>
  </si>
  <si>
    <t xml:space="preserve">https://www.gastrodax.de/hendi-gastronorm-deckel-gn-1-9-transparent-176-x-108-mm</t>
  </si>
  <si>
    <t xml:space="preserve">Cambro biegsamer Polypropylen Deckel GN 1/9</t>
  </si>
  <si>
    <t xml:space="preserve">1/9 PP lid; CLOSE: PP lid of right size but flexible seal cover (soft-seal type, 'innere Dichtung'); incl. MwSt. (rate not stated). Price shown incl. VAT (AT 20%); VAT removed for the net price. YES Gastro SKU GNPPL-19.</t>
  </si>
  <si>
    <t xml:space="preserve">https://www.gastroladen.at/3030@GN-DM762/Cambro-biegsamer-Polypropylen-Deckel-GN-1-9.htm</t>
  </si>
  <si>
    <t xml:space="preserve">GN Deckel GN 89 GN 1/9 weiß</t>
  </si>
  <si>
    <t xml:space="preserve">1/9 PP lid, white; CLOSE (curated): page states only "Material: Kunststoff"; PP inferred from the WAS GN 84/89 series | EXACT: plain flat PP lid of WAS series GN 89 (Hersteller-Art.-Nr. 8919001); page itself only says 'Material: Kunststoff', PP inferred from the WAS GN 84/89 polypropylene series (same article listed as Polypropylen at shopbuero); 1-piece net price, tiers ab 3 pcs. Price shown excl. VAT (AT 20%); page read with a headless browser (prices rendered by JavaScript). YES Gastro SKU GNPPL-19.</t>
  </si>
  <si>
    <t xml:space="preserve">https://www.intergastro.at/gn-deckel-gn-89-gn-1-9-weiss-252580</t>
  </si>
  <si>
    <t xml:space="preserve">GN-Deckel - BPA frei - Serie 89 - GN 1/9 (176 x 108 mm) - Polypropylen</t>
  </si>
  <si>
    <t xml:space="preserve">1/9 PP lid; EXACT: plain PP lid (name 'GN-Deckel ... Polypropylen', no seal), Art.-Nr. 8919001-A; sale price, regular 2,20 €; 'Preise zzgl. MwSt.'. Other plain PP lids this size: 530055-C 1.90€ (einrastend), 82159-B 1.90€; 'luftdicht' sealing lids not recorded. Price shown excl. VAT (AT 20%). YES Gastro SKU GNPPL-19.</t>
  </si>
  <si>
    <t xml:space="preserve">https://shopbuero.com/gn-deckel-bpa-frei-serie-89-gn-1-9-176-x-108-mm-polypropylen/8919001-A</t>
  </si>
  <si>
    <t xml:space="preserve">WAS (Serie 89)</t>
  </si>
  <si>
    <t xml:space="preserve">1/9 PP lid, milchig/transparent; Plain PP lid GN 1/9, pack of 12 lids (+24 HACCP coding clips included), price per pack net; UVP 57.99 EUR; art. GPPL19-12. Price shown excl. VAT (DE 19%); pack of 12, converted to per piece; page read with a headless browser (prices rendered by JavaScript). YES Gastro SKU GNPPL-19.</t>
  </si>
  <si>
    <t xml:space="preserve">https://www.ggmgastro.com/de-de-eur/12-stueck-polypropylen-deckel-gn-1-9-milchig-mit-24-codierclips-gppl19-12</t>
  </si>
  <si>
    <t xml:space="preserve">GN Deckel, GN 1/9, weiß, Polypropylen, GN 89 Serie</t>
  </si>
  <si>
    <t xml:space="preserve">1/9 PP lid, weiß; Plain PP lid for GN 1/9, material Polypropylen on page, art. 8919001; net 1.59 EUR shown next to gross 1.89 EUR incl. 19% USt, UVP 2.62 EUR. Price shown excl. VAT (DE 19%). YES Gastro SKU GNPPL-19.</t>
  </si>
  <si>
    <t xml:space="preserve">https://gastro-spirit.de/deckel-gn-1-9-serie-gn-89-8919001</t>
  </si>
  <si>
    <t xml:space="preserve">1/9 PP lid, transparent; Cambro flexible PP lid GN 1/9 with inner seal ('innere Dichtung verhindert Auslaufen' = soft-seal lid, CLOSE), art. DM762; incl. MwSt.; no plain PP lid at Gastroladen. Price shown incl. VAT (DE 19%); VAT removed for the net price. YES Gastro SKU GNPPL-19.</t>
  </si>
  <si>
    <t xml:space="preserve">https://www.gastroladen.de/3030@GN-DM762/Cambro-biegsamer-Polypropylen-Deckel-GN-1-9.htm</t>
  </si>
  <si>
    <t xml:space="preserve">Lieferung ab dem 23.10.2026</t>
  </si>
  <si>
    <t xml:space="preserve">1/9 PP lid, weiß; Plain lid GN 1/9; page states only "Material: Kunststoff"; GN 89 = WAS PP series (Hersteller-Nr 8919001; GN 89 1/1 lid page states Materialtyp Polypropylen); 'Preis pro Stück, zzgl. MwSt'; Staffelpreise ab 3: 1.66, ab 24: 1.41. Price shown excl. VAT (DE 19%). YES Gastro SKU GNPPL-19.</t>
  </si>
  <si>
    <t xml:space="preserve">https://www.intergastro.de/gn-deckel-gn-89-gn-1-9-weiss-252580</t>
  </si>
  <si>
    <t xml:space="preserve">Nisbets Essentials Polypropylen Gastronorm-Deckel 1/9</t>
  </si>
  <si>
    <t xml:space="preserve">1/9 PP lid, transparent; Plain PP lid GN 1/9 (Material: Polypropylen), art. HZ350; 'Zzgl. MwSt.'. Price shown excl. VAT (DE 19%); page read with a headless browser (prices rendered by JavaScript). YES Gastro SKU GNPPL-19.</t>
  </si>
  <si>
    <t xml:space="preserve">https://www.nisbets.de/nisbets-essentials-polypropylen-gastronormdeckel-1zu9/hz350</t>
  </si>
  <si>
    <t xml:space="preserve">Víko HACCP - GN 1/9, 76x108mm Hendi</t>
  </si>
  <si>
    <t xml:space="preserve">1/9 PP lid, transparent; EXACT: Hendi plain PP lid GN 1/9, "materiál: průhledný polypropylen", no seal; code 880654; page shows 58 Kč (s DPH) and "48 Kč bez DPH". Price shown incl. VAT (CZ 21%); VAT removed for the net price. YES Gastro SKU GNPPL-19.</t>
  </si>
  <si>
    <t xml:space="preserve">https://www.gastrofans.cz/viko-na-gn-pp-gn-1-9-transparent-176x108-mm/</t>
  </si>
  <si>
    <t xml:space="preserve">Víko z polypropylenu GN 1/9 | HENDI, Profi Line</t>
  </si>
  <si>
    <t xml:space="preserve">1/9 PP lid, transparent; EXACT: Hendi Profi Line PP lid GN 1/9, parameters "materiál: polypropylen", "těsnění: ne", "výřez na úchyty: ne"; code 880654; "Cena bez DPH: 50 Kč", "Cena s DPH: 61 Kč". Price shown excl. VAT (CZ 21%); page read with a headless browser (prices rendered by JavaScript). YES Gastro SKU GNPPL-19.</t>
  </si>
  <si>
    <t xml:space="preserve">https://www.gastromania.cz/vika-gn-polypropylenove/viko-z-polypropylenu-gn-1-9-hendi-profi-line</t>
  </si>
  <si>
    <t xml:space="preserve">Gastronorm Víko GN 1/9 polypropylenové - transparentní</t>
  </si>
  <si>
    <t xml:space="preserve">1/9 PP lid, transparent; EXACT: plain PP lid GN 1/9 (no seal mentioned); cat. no. 3120160; 27 CZK s DPH, "cena bez DPH: 22 CZK"; coloured (red/blue/yellow/green) versions same price. Price shown incl. VAT (CZ 21%); VAT removed for the net price. YES Gastro SKU GNPPL-19.</t>
  </si>
  <si>
    <t xml:space="preserve">https://www.gastrosance.cz/viko-gn-1/9-polypropylenove---transparentni</t>
  </si>
  <si>
    <t xml:space="preserve">Víko pro nádoby GN, HENDI, GN 1/9, Průhledná, 176x108mm</t>
  </si>
  <si>
    <t xml:space="preserve">1/9 PP lid, transparent; EXACT: Hendi plain lid for PP GN containers, page parameter "materiál: PP (polypropylén)", no seal; Hendi code 880654; current price 40.00 Kč incl., regular 41,32 Kč, "33,06 Kč" bez DPH. Price shown incl. VAT (CZ 21%); VAT removed for the net price. YES Gastro SKU GNPPL-19.</t>
  </si>
  <si>
    <t xml:space="preserve">https://www.promos-gastro.cz/gastro-profi-nadobi-nacini-nerez-hrnce-panvicky-talire-pribory/gastronadoby-nerezove-plne-derovane-smalt-plechy-na-peceni/gastronadoby-polypropylenove-polykarbonatove/haccp-zasobniky-plast-gn/59027-viko-pro-nadoby-gn-hendi-gn-1-9-pruhledna-176x108mm.html</t>
  </si>
  <si>
    <t xml:space="preserve">Těsnící víko pro gastronádobu GN 1/9</t>
  </si>
  <si>
    <t xml:space="preserve">1/9 other: polykarbonát (stated) lid, transparent; APPROX: sealing ("těsnicí") lid and page parameter says "Materiál: polykarbonát" (Cambro MP seal cover); shop has no plain PP lid. Code R-MP19001; 61 Kč incl., "50 Kč bez DPH". Price shown incl. VAT (CZ 21%); VAT removed for the net price. YES Gastro SKU GNPPL-19.</t>
  </si>
  <si>
    <t xml:space="preserve">https://www.tomgast.cz/tesnici-viko-pro-gastronadobu-gn-1-9/</t>
  </si>
  <si>
    <t xml:space="preserve">Pokrievka pre nádoby GN, HENDI, GN 1/9, Priehľadná, 176x108mm Kód: 880654</t>
  </si>
  <si>
    <t xml:space="preserve">1/9 PP lid, clear; material not in product name; HENDI 880609-880654 lids belong to the HACCP polypropylene range (same codes are listed as "veko z polypropylénu" on gastromania.sk); price shown 1.65 € (net) / 2,03 € s DPH; code 880654 Price shown excl. VAT (SK 23%). YES Gastro SKU GNPPL-19.</t>
  </si>
  <si>
    <t xml:space="preserve">Veko GN 1/9 z polypropylénu | REDFOX, VPP 1/9</t>
  </si>
  <si>
    <t xml:space="preserve">1/9 PP lid, clear (not stated); SKU RM-00012461; other offers on this shop for the same variant: HENDI 2.41 (in stock); CONTACTO 3.19 (in stock) Price shown incl. VAT (SK 23%); VAT removed for the net price. YES Gastro SKU GNPPL-19.</t>
  </si>
  <si>
    <t xml:space="preserve">https://gastromania.sk/veka-gn-polypropylenove/veko-gn-1-9-z-polypropylenu-redfox-vpp-1-9</t>
  </si>
  <si>
    <t xml:space="preserve">ARAVEN Veko na gastronádobu GN 1/9, polypropylén, hermetické</t>
  </si>
  <si>
    <t xml:space="preserve">1/9 PP lid, clear (not stated); hermetic/sealing lid; listing shows gross 5,16 €; 'bez DPH' net 4.20 EUR on product page; SKU 229901633 Price shown incl. VAT (SK 23%); VAT removed for the net price. YES Gastro SKU GNPPL-19.</t>
  </si>
  <si>
    <t xml:space="preserve">https://www.gastrozone.sk/araven-gn-pokryvka-1-9-polypropylen-hermeticka.html</t>
  </si>
  <si>
    <t xml:space="preserve">Pokrievka pre nádoby GN, HENDI, GN 1/9, Priehľadná, 176 × 108 mm | 880654</t>
  </si>
  <si>
    <t xml:space="preserve">1/9 PP lid, clear; material from shop category POLYPROPYLÉNOVÉ NÁDOBY (HENDI 880 series = polypropylene); 'bez DPH' price shown; gross 1.32 EUR Price shown excl. VAT (SK 23%). YES Gastro SKU GNPPL-19.</t>
  </si>
  <si>
    <t xml:space="preserve">Benchmark products</t>
  </si>
  <si>
    <t xml:space="preserve">Brand is unrestricted. Product materials and dimensions remain distinct.</t>
  </si>
  <si>
    <t xml:space="preserve">Full benchmark specification</t>
  </si>
  <si>
    <t xml:space="preserve">Matching requirements</t>
  </si>
  <si>
    <t xml:space="preserve">GN 1/1 polycarbonate container, 65 mm deep</t>
  </si>
  <si>
    <t xml:space="preserve">Colour unrestricted. Black and clear variants are retained where size, material and depth agree.</t>
  </si>
  <si>
    <t xml:space="preserve">GN 1/2 polycarbonate container, 150 mm deep</t>
  </si>
  <si>
    <t xml:space="preserve">GN 1/3 polypropylene container, 100 mm deep</t>
  </si>
  <si>
    <t xml:space="preserve">GN 1/1 polypropylene lid</t>
  </si>
  <si>
    <t xml:space="preserve">Stated material or dimension conflicts in Hungary and Romania were excluded.</t>
  </si>
  <si>
    <t xml:space="preserve">Squeeze bottle 1000 ml, PP, single tip</t>
  </si>
  <si>
    <t xml:space="preserve">Ketchup/sauce pump dispenser with stand</t>
  </si>
  <si>
    <t xml:space="preserve">HACCP cutting board PE 530x325x20 mm (GN 1/1)</t>
  </si>
  <si>
    <t xml:space="preserve">Size and PE material matter. Missing HACCP or colour-coding evidence is flagged.</t>
  </si>
  <si>
    <t xml:space="preserve">HACCP cutting board PE 600x400x20 mm</t>
  </si>
  <si>
    <t xml:space="preserve">HACCP cutting board PE 300x200x10 mm</t>
  </si>
  <si>
    <t xml:space="preserve">Pizza dough box 600x400x100 mm, PP</t>
  </si>
  <si>
    <t xml:space="preserve">Lid for 600x400 dough box</t>
  </si>
  <si>
    <t xml:space="preserve">Material unrestricted. Both PP and PE lids can match.</t>
  </si>
  <si>
    <t xml:space="preserve">Pizza dough box 600x400x75 mm, PE</t>
  </si>
  <si>
    <t xml:space="preserve">Front-loading insulated thermobox for GN 1/1 (~80-90 l)</t>
  </si>
  <si>
    <t xml:space="preserve">Front loading and 80–90 L must be supported; a generic GN 1/1 box is not sufficient.</t>
  </si>
  <si>
    <t xml:space="preserve">Service tray approx. 370x530 mm, ABS/PP</t>
  </si>
  <si>
    <t xml:space="preserve">Insulated thermo tray with lid, 5-6 compartments</t>
  </si>
  <si>
    <t xml:space="preserve">GN 1/1 container, PP, 65 mm</t>
  </si>
  <si>
    <t xml:space="preserve">Austria / Czechia addition. Match the stated size, material and depth or tip type. Source match labels and notes are retained.</t>
  </si>
  <si>
    <t xml:space="preserve">GN 1/3 container, PC, 100 mm</t>
  </si>
  <si>
    <t xml:space="preserve">GN 1/2 container, PP, 150 mm</t>
  </si>
  <si>
    <t xml:space="preserve">GN 1/1 PC lid, standard</t>
  </si>
  <si>
    <t xml:space="preserve">GN 1/6 container, PP, 100 mm</t>
  </si>
  <si>
    <t xml:space="preserve">GN 1/9 container, PP, 100 mm</t>
  </si>
  <si>
    <t xml:space="preserve">Cutting board 400x300x20 mm, red PE</t>
  </si>
  <si>
    <t xml:space="preserve">Austria / Czechia addition. Red PE and every stated dimension are required for an exact match; source match labels and substitutions are retained.</t>
  </si>
  <si>
    <t xml:space="preserve">Dough box 600x400x75 mm, PP, without lid</t>
  </si>
  <si>
    <t xml:space="preserve">Austria / Czechia addition. PP material, dimensions and no lid are required for an exact match; source match labels and substitutions are retained.</t>
  </si>
  <si>
    <t xml:space="preserve">GN 1/1 container, PC, 100 mm</t>
  </si>
  <si>
    <t xml:space="preserve">GN 1/6 container, PC, 100 mm</t>
  </si>
  <si>
    <t xml:space="preserve">Cutting board 530x325x15 mm, red PE</t>
  </si>
  <si>
    <t xml:space="preserve">GN 1/3 PP lid, standard</t>
  </si>
  <si>
    <t xml:space="preserve">Austria / Czechia addition. Capacity, PP/PE material and a wide covered tip distinguish this variant; source match labels are retained.</t>
  </si>
  <si>
    <t xml:space="preserve">Cutting board 300x200x20 mm, red PE</t>
  </si>
  <si>
    <t xml:space="preserve">Dough box 400x300x100 mm, PP, without lid</t>
  </si>
  <si>
    <t xml:space="preserve">Ketchup/sauce pump dispenser 2 L, PP container (GN 1/6 150 mm) with ABS housing and ~20 ml pump, without stand (YES Gastro GDK-02)</t>
  </si>
  <si>
    <t xml:space="preserve">Austria / Germany / Czechia addition (2 Oct 2026). 2 L ±0.6 L pump dispenser without stand; sets, stand versions and stainless units are APPROX; material must be stated for EXACT.</t>
  </si>
  <si>
    <t xml:space="preserve">GN 1/1 polycarbonate container, 150 mm deep</t>
  </si>
  <si>
    <t xml:space="preserve">GN expansion 2 Oct 2026. GN size, depth and material must agree for EXACT; colour unrestricted (clear and black PC are the same benchmark). Plastic type not stated, or container sold with lid = CLOSE; other depth or copolyester/other material = APPROX.</t>
  </si>
  <si>
    <t xml:space="preserve">GN 1/1 polycarbonate container, 200 mm deep</t>
  </si>
  <si>
    <t xml:space="preserve">GN 1/2 polycarbonate container, 65 mm deep</t>
  </si>
  <si>
    <t xml:space="preserve">GN 1/2 polycarbonate container, 100 mm deep</t>
  </si>
  <si>
    <t xml:space="preserve">GN 1/2 polycarbonate container, 200 mm deep</t>
  </si>
  <si>
    <t xml:space="preserve">GN 1/3 polycarbonate container, 65 mm deep</t>
  </si>
  <si>
    <t xml:space="preserve">GN 1/3 polycarbonate container, 150 mm deep</t>
  </si>
  <si>
    <t xml:space="preserve">GN 1/3 polycarbonate container, 200 mm deep</t>
  </si>
  <si>
    <t xml:space="preserve">GN 1/4 polycarbonate container, 65 mm deep</t>
  </si>
  <si>
    <t xml:space="preserve">GN 1/4 polycarbonate container, 100 mm deep</t>
  </si>
  <si>
    <t xml:space="preserve">GN 1/4 polycarbonate container, 150 mm deep</t>
  </si>
  <si>
    <t xml:space="preserve">GN 1/4 polycarbonate container, 200 mm deep</t>
  </si>
  <si>
    <t xml:space="preserve">GN 1/6 polycarbonate container, 65 mm deep</t>
  </si>
  <si>
    <t xml:space="preserve">GN 1/6 polycarbonate container, 150 mm deep</t>
  </si>
  <si>
    <t xml:space="preserve">GN 1/6 polycarbonate container, 200 mm deep</t>
  </si>
  <si>
    <t xml:space="preserve">GN 1/9 polycarbonate container, 65 mm deep</t>
  </si>
  <si>
    <t xml:space="preserve">GN 1/9 polycarbonate container, 100 mm deep</t>
  </si>
  <si>
    <t xml:space="preserve">GN 1/9 polycarbonate container, 150 mm deep</t>
  </si>
  <si>
    <t xml:space="preserve">GN 1/1 polypropylene container, 100 mm deep</t>
  </si>
  <si>
    <t xml:space="preserve">GN 1/1 polypropylene container, 150 mm deep</t>
  </si>
  <si>
    <t xml:space="preserve">GN 1/1 polypropylene container, 200 mm deep</t>
  </si>
  <si>
    <t xml:space="preserve">GN 1/2 polypropylene container, 65 mm deep</t>
  </si>
  <si>
    <t xml:space="preserve">GN 1/2 polypropylene container, 100 mm deep</t>
  </si>
  <si>
    <t xml:space="preserve">GN 1/2 polypropylene container, 200 mm deep</t>
  </si>
  <si>
    <t xml:space="preserve">GN 1/3 polypropylene container, 65 mm deep</t>
  </si>
  <si>
    <t xml:space="preserve">GN 1/3 polypropylene container, 150 mm deep</t>
  </si>
  <si>
    <t xml:space="preserve">GN 1/3 polypropylene container, 200 mm deep</t>
  </si>
  <si>
    <t xml:space="preserve">GN 1/4 polypropylene container, 65 mm deep</t>
  </si>
  <si>
    <t xml:space="preserve">GN 1/4 polypropylene container, 100 mm deep</t>
  </si>
  <si>
    <t xml:space="preserve">GN 1/4 polypropylene container, 150 mm deep</t>
  </si>
  <si>
    <t xml:space="preserve">GN 1/4 polypropylene container, 200 mm deep</t>
  </si>
  <si>
    <t xml:space="preserve">GN 1/6 polypropylene container, 65 mm deep</t>
  </si>
  <si>
    <t xml:space="preserve">GN 1/6 polypropylene container, 150 mm deep</t>
  </si>
  <si>
    <t xml:space="preserve">GN 1/6 polypropylene container, 200 mm deep</t>
  </si>
  <si>
    <t xml:space="preserve">GN 1/9 polypropylene container, 65 mm deep</t>
  </si>
  <si>
    <t xml:space="preserve">GN 1/9 polypropylene container, 150 mm deep</t>
  </si>
  <si>
    <t xml:space="preserve">GN 1/2 polycarbonate lid, plain flat lid</t>
  </si>
  <si>
    <t xml:space="preserve">GN expansion 2 Oct 2026. Size and material must agree; plain flat lids with or without handle cut-outs are EXACT; sealing/hermetic, raised or allergen-colour lids of the right material = CLOSE; other material = APPROX.</t>
  </si>
  <si>
    <t xml:space="preserve">GN 1/3 polycarbonate lid, plain flat lid</t>
  </si>
  <si>
    <t xml:space="preserve">GN 1/4 polycarbonate lid, plain flat lid</t>
  </si>
  <si>
    <t xml:space="preserve">GN 1/6 polycarbonate lid, plain flat lid</t>
  </si>
  <si>
    <t xml:space="preserve">GN 1/9 polycarbonate lid, plain flat lid</t>
  </si>
  <si>
    <t xml:space="preserve">GN 1/2 polypropylene lid, plain flat lid</t>
  </si>
  <si>
    <t xml:space="preserve">GN 1/4 polypropylene lid, plain flat lid</t>
  </si>
  <si>
    <t xml:space="preserve">GN 1/6 polypropylene lid, plain flat lid</t>
  </si>
  <si>
    <t xml:space="preserve">GN 1/9 polypropylene lid, plain flat lid</t>
  </si>
  <si>
    <t xml:space="preserve">Sources and exchange rates</t>
  </si>
  <si>
    <t xml:space="preserve">Erste Bank account-conversion mid-rates. Published 30 Sep 2026, 18:00 CEST.</t>
  </si>
  <si>
    <t xml:space="preserve">HUF per unit (mid)</t>
  </si>
  <si>
    <t xml:space="preserve">Bank buys at</t>
  </si>
  <si>
    <t xml:space="preserve">Bank sells at</t>
  </si>
  <si>
    <t xml:space="preserve">Published (Budapest)</t>
  </si>
  <si>
    <t xml:space="preserve">Units per EUR</t>
  </si>
  <si>
    <t xml:space="preserve">Mid-rates provide a consistent reference for market comparisons. Cross-rates use the HUF mid-rates above. These are a dated snapshot, not a live feed.</t>
  </si>
  <si>
    <t xml:space="preserve">https://www.erstebank.hu/hu/arfolyamok-table-szamlakonv-from200302</t>
  </si>
  <si>
    <t xml:space="preserve">AT / DE / CZ / SK / RO</t>
  </si>
  <si>
    <t xml:space="preserve">Claude research 02.10.2026 (live shop pages) - GN expansion</t>
  </si>
  <si>
    <t xml:space="preserve">Official rate data</t>
  </si>
  <si>
    <t xml:space="preserve">How to use the workbook</t>
  </si>
  <si>
    <t xml:space="preserve">Coverage</t>
  </si>
  <si>
    <t xml:space="preserve">Additional basket variants have research for Austria and Czechia only. The 45 GN container and lid variants added on 2 Oct 2026 have research for Austria, Germany, Czechia, Slovakia and Romania (up to 7 offers in AT/DE, 3-5 in CZ/SK/RO where available). Other markets show a dash where no offer exists. Original basket entries are unchanged apart from the live-checked corrections in Change log.</t>
  </si>
  <si>
    <t xml:space="preserve">https://openbankapi.erstebank.hu/public/api/v1/fxRatesList?rateType=ipInterBank&amp;date=2026-09-30&amp;currencies=EUR</t>
  </si>
  <si>
    <t xml:space="preserve">Compare</t>
  </si>
  <si>
    <t xml:space="preserve">Choose Minimum, Median or Maximum. Switch local prices / EUR net per piece. Select a product by name for the detailed country comparison.</t>
  </si>
  <si>
    <t xml:space="preserve">Review</t>
  </si>
  <si>
    <t xml:space="preserve">Filter by product or country. Enter your decision, priority and comments in amber cells.</t>
  </si>
  <si>
    <t xml:space="preserve">Original prices, notes and URLs sit beside the current net-per-piece conversions. Filter by product, country, competitor or match quality.</t>
  </si>
  <si>
    <t xml:space="preserve">https://openbankapi.erstebank.hu/public/api/v1/fxRatesList?rateType=ipInterBank&amp;date=2026-09-30&amp;currencies=RON</t>
  </si>
  <si>
    <t xml:space="preserve">Hungary / Romania</t>
  </si>
  <si>
    <t xml:space="preserve">You confirmed all listed prices are net per piece on 30 Sep 2026. Analysis uses that basis. Live checks on 30 Sep 2026 corrected one VAT-inclusive Romania price and three EUR prices recorded as RON; see Change log.</t>
  </si>
  <si>
    <t xml:space="preserve">Match filter</t>
  </si>
  <si>
    <t xml:space="preserve">EXACT + CLOSE follows the benchmark files. EXACT only is stricter. All mapped includes existing APPROX and INCOMPLETE matches.</t>
  </si>
  <si>
    <t xml:space="preserve">Source extracts</t>
  </si>
  <si>
    <t xml:space="preserve">Prices, descriptions, notes and dates are preserved. Item numbers and observation-count fields were removed. Historical source FX values remain historical.</t>
  </si>
  <si>
    <t xml:space="preserve">https://openbankapi.erstebank.hu/public/api/v1/fxRatesList?rateType=ipInterBank&amp;date=2026-09-30&amp;currencies=CZK</t>
  </si>
  <si>
    <t xml:space="preserve">Czech calculations</t>
  </si>
  <si>
    <t xml:space="preserve">The original VAT, pack-size and rounding rules calculate the net piece price. Erste FX then converts that amount into EUR.</t>
  </si>
  <si>
    <t xml:space="preserve">Missing values</t>
  </si>
  <si>
    <t xml:space="preserve">A dash means no qualifying price, not zero. Existing source competitor-eligibility rules are preserved.</t>
  </si>
  <si>
    <t xml:space="preserve">The supplied snapshots remain unchanged except rows re-checked live (see Change log). Romania still contains one 2029 date (Hendi; hendi.ro could not be re-checked); it is highlighted.</t>
  </si>
  <si>
    <t xml:space="preserve">Repeated observations</t>
  </si>
  <si>
    <t xml:space="preserve">Repeated shops, colour variants and dates retain their original statistical weight.</t>
  </si>
  <si>
    <t xml:space="preserve">Refresh</t>
  </si>
  <si>
    <t xml:space="preserve">Changing the amber FX inputs or comparison selectors updates the analysis. New research requires an updated source import.</t>
  </si>
  <si>
    <t xml:space="preserve">Live corrections</t>
  </si>
  <si>
    <t xml:space="preserve">Rows corrected or added after live checks on 30 Sep 2026 are listed in Change log, with the old value, new value and the page used. Source extracts keep the original values.</t>
  </si>
  <si>
    <t xml:space="preserve">Change log</t>
  </si>
  <si>
    <t xml:space="preserve">Corrections confirmed on live shop pages on 30 Sep 2026 and 2 Oct 2026, the 2 Oct 2026 Austria/Germany expansion and the 2 Oct 2026 GN container/lid expansion (AT/DE/CZ/SK/RO). Only listed fields changed; everything else is as supplied.</t>
  </si>
  <si>
    <t xml:space="preserve">Date</t>
  </si>
  <si>
    <t xml:space="preserve">Sheet</t>
  </si>
  <si>
    <t xml:space="preserve">Row</t>
  </si>
  <si>
    <t xml:space="preserve">Field(s)</t>
  </si>
  <si>
    <t xml:space="preserve">Old value</t>
  </si>
  <si>
    <t xml:space="preserve">New value</t>
  </si>
  <si>
    <t xml:space="preserve">Evidence (live page)</t>
  </si>
  <si>
    <t xml:space="preserve">Reason</t>
  </si>
  <si>
    <t xml:space="preserve">Listed price / date / URL</t>
  </si>
  <si>
    <t xml:space="preserve">132.98 RON · 30.06.2026 · search page</t>
  </si>
  <si>
    <t xml:space="preserve">91.90 RON · 30.09.2026 · product page</t>
  </si>
  <si>
    <t xml:space="preserve">Recorded value included 21% VAT (109.90 x 1.21 = 132.98) but was analysed as net. Live page: 111.20 lei incl. TVA / 91.90 lei fără TVA.</t>
  </si>
  <si>
    <t xml:space="preserve">Listed price / currency</t>
  </si>
  <si>
    <t xml:space="preserve">42.05 RON</t>
  </si>
  <si>
    <t xml:space="preserve">8.00 EUR</t>
  </si>
  <si>
    <t xml:space="preserve">Shop lists prices in EUR (8.00 € / buc fara TVA), invoiced in RON at the BNR rate; the RON figure was a converted value recorded under the wrong currency.</t>
  </si>
  <si>
    <t xml:space="preserve">26.28 RON</t>
  </si>
  <si>
    <t xml:space="preserve">5.00 EUR</t>
  </si>
  <si>
    <t xml:space="preserve">Shop lists prices in EUR (5.00 € / buc fara TVA (discounted from 6.24 €)), invoiced in RON at the BNR rate; the RON figure was a converted value recorded under the wrong currency.</t>
  </si>
  <si>
    <t xml:space="preserve">Date checked / listed price</t>
  </si>
  <si>
    <t xml:space="preserve">30.06.2028 · 85.27 RON</t>
  </si>
  <si>
    <t xml:space="preserve">30.09.2026 · 85.04 RON</t>
  </si>
  <si>
    <t xml:space="preserve">Source date 30.06.2028 is impossible. Offer re-checked live: 102.90 lei incl. TVA (85.04 net), within 0.3% of the recorded 85.27.</t>
  </si>
  <si>
    <t xml:space="preserve">Row added</t>
  </si>
  <si>
    <t xml:space="preserve">(missing)</t>
  </si>
  <si>
    <t xml:space="preserve">46.99 EUR excl. · pack 6 · EXACT</t>
  </si>
  <si>
    <t xml:space="preserve">Row is in the current research_AT.xlsx (added in commit c11720d) but the master used the older 95-row Austria snapshot. Live page shows the same net price.</t>
  </si>
  <si>
    <t xml:space="preserve">23.00 EUR excl. · pack 1 · EXACT</t>
  </si>
  <si>
    <t xml:space="preserve">60.99 EUR excl. · pack 6 · APPROX</t>
  </si>
  <si>
    <t xml:space="preserve">21.00 EUR excl. · pack 1 · EXACT</t>
  </si>
  <si>
    <t xml:space="preserve">39.99 EUR excl. · pack 12 · EXACT</t>
  </si>
  <si>
    <t xml:space="preserve">4.75 EUR excl. · pack 1 · EXACT</t>
  </si>
  <si>
    <t xml:space="preserve">29.49 EUR excl. · pack 12 · EXACT</t>
  </si>
  <si>
    <t xml:space="preserve">5.55 EUR excl. · pack 1 · EXACT</t>
  </si>
  <si>
    <t xml:space="preserve">51.99 EUR excl. · pack 12 · CLOSE</t>
  </si>
  <si>
    <t xml:space="preserve">35.99 EUR excl. · pack 6 · CLOSE</t>
  </si>
  <si>
    <t xml:space="preserve">28.99 EUR excl. · pack 1 · EXACT</t>
  </si>
  <si>
    <t xml:space="preserve">26.49 EUR excl. · pack 1 · EXACT</t>
  </si>
  <si>
    <t xml:space="preserve">29.49 EUR excl. · pack 1 · EXACT</t>
  </si>
  <si>
    <t xml:space="preserve">88.99 EUR excl. · pack 8 · CLOSE</t>
  </si>
  <si>
    <t xml:space="preserve">76.99 EUR excl. · pack 8 · CLOSE</t>
  </si>
  <si>
    <t xml:space="preserve">289.99 EUR excl. · pack 1 · EXACT</t>
  </si>
  <si>
    <t xml:space="preserve">561.00 EUR excl. · pack 1 · APPROX</t>
  </si>
  <si>
    <t xml:space="preserve">43.99 EUR excl. · pack 6 · APPROX</t>
  </si>
  <si>
    <t xml:space="preserve">Listed price</t>
  </si>
  <si>
    <t xml:space="preserve">3543</t>
  </si>
  <si>
    <t xml:space="preserve">7236</t>
  </si>
  <si>
    <t xml:space="preserve">https://www.gasztronagyker.hu/gn-edeny-1-1-65-mm-6-l-polikarbonat — product page: Fogy. ár 9 190 Ft / Nettó ár 7 236 Ft</t>
  </si>
  <si>
    <t xml:space="preserve">Recorded 3 543 Ft (×1.27 = 4 500) does not exist on the site; the only PC GN 1/1 65 mm item is 7 236 Ft net. Date and URL updated.</t>
  </si>
  <si>
    <t xml:space="preserve">12519</t>
  </si>
  <si>
    <t xml:space="preserve">11732</t>
  </si>
  <si>
    <t xml:space="preserve">https://www.gasztronagyker.hu/vagolap-60x40x2-cm-feher-polipropilen — Fogy. ár 14 900 Ft / Nettó ár 11 732 Ft</t>
  </si>
  <si>
    <t xml:space="preserve">Recorded 12 519 Ft not found; live net price 11 732 Ft. Date and URL updated.</t>
  </si>
  <si>
    <t xml:space="preserve">Board is polypropylene (polipropilén) with rubber feet; benchmark requires PE.</t>
  </si>
  <si>
    <t xml:space="preserve">https://www.gasztronagyker.hu/vagolap-53x32-5x2-cm-gn-1-1-feher-polipropilen</t>
  </si>
  <si>
    <t xml:space="preserve">Board is polypropylene (prémium, gumitalpacskával); benchmark requires PE. Price 7 850 Ft net confirmed (9 970 Ft gross).</t>
  </si>
  <si>
    <t xml:space="preserve">https://hunniakristaly.hu/korhazi-thermotalca-5-reszes-zarhato-komplett-96237</t>
  </si>
  <si>
    <t xml:space="preserve">Item is "KTT Kórházi thermotálca 5 részes, zárható, komplett" — a lockable complete set with dishes, not a tray + lid only. Price 30 494 Ft net confirmed.</t>
  </si>
  <si>
    <t xml:space="preserve">106.27</t>
  </si>
  <si>
    <t xml:space="preserve">87.83</t>
  </si>
  <si>
    <t xml:space="preserve">https://pentrubar.ro/en/fast-food/1001-mayonnaise-pump-dispenser-25l-8681285507297.html — "lei 106.27 … Tax incl."</t>
  </si>
  <si>
    <t xml:space="preserve">Page price 106.27 RON includes 21% VAT; net = 106.27 / 1.21 = 87.83 RON.</t>
  </si>
  <si>
    <t xml:space="preserve">Product is a 2.5 L GN 1/6 pump dispenser sold with a white holder/stand (20 ml pump) — matches the "with stand" benchmark; capacity 2.5 L.</t>
  </si>
  <si>
    <t xml:space="preserve">30.52</t>
  </si>
  <si>
    <t xml:space="preserve">31.93</t>
  </si>
  <si>
    <t xml:space="preserve">https://www.patiser.ro/depozitare-transport/capac-cutie-casetă-aluat-pizza-paine-60-x-40.html — "38,64 Lei" TVA inclus</t>
  </si>
  <si>
    <t xml:space="preserve">Live gross 38.64 lei / 1.21 = 31.93 RON net (recorded 30.52 = 38.64 / 1.266, wrong divisor). Product out of stock.</t>
  </si>
  <si>
    <t xml:space="preserve">49.99</t>
  </si>
  <si>
    <t xml:space="preserve">52.31</t>
  </si>
  <si>
    <t xml:space="preserve">https://gastroprofesional.ro/capac-caseta-aluat-600x400x20mm-stalgast.html — 52.31 RON pre-tax / 63.29 RON with tax</t>
  </si>
  <si>
    <t xml:space="preserve">Live net 52.31 RON (recorded 49.99 = 63.29 / 1.266, wrong divisor).</t>
  </si>
  <si>
    <t xml:space="preserve">30.06.2029</t>
  </si>
  <si>
    <t xml:space="preserve">hendi.ro (not fetchable)</t>
  </si>
  <si>
    <t xml:space="preserve">30.06.2029 is impossible; corrected to 30.06.2026 (same batch as row 53). Price not re-verified.</t>
  </si>
  <si>
    <t xml:space="preserve">https://pro-cucina.ro/produs/cuva-din-policarbonat-gn1-1-h65mm/</t>
  </si>
  <si>
    <t xml:space="preserve">Same SKU GPGNP-1165 as row 24 (black is a colour option of the same listing, same 8.00 € price) — duplicate excluded from statistics.</t>
  </si>
  <si>
    <t xml:space="preserve">Title says Polypropylen, specification table says Polyethylen (PE) — material conflict confirmed live; EXACT downgraded to CLOSE. Price 28.90 € net confirmed.</t>
  </si>
  <si>
    <t xml:space="preserve">Item is a 5-part cooling set (base, stainless tray, 2 cool packs, PS hood), not an insulated 5–6 compartment tray with lid.</t>
  </si>
  <si>
    <t xml:space="preserve">609–869</t>
  </si>
  <si>
    <t xml:space="preserve">Austria / Germany / Czechia</t>
  </si>
  <si>
    <t xml:space="preserve">28 shops</t>
  </si>
  <si>
    <t xml:space="preserve">34 products incl. Ketchup pump dispenser 2 L, PP</t>
  </si>
  <si>
    <t xml:space="preserve">Rows added</t>
  </si>
  <si>
    <t xml:space="preserve">261 offers</t>
  </si>
  <si>
    <t xml:space="preserve">Product URLs in column N</t>
  </si>
  <si>
    <t xml:space="preserve">Expansion research 2 Oct 2026: new shops LUSINI Österreich, Gastro Zimml, expondo Österreich (AT); LUSINI Deutschland, Esmeyer Shop, Gastro-Spirit (DE); Gastrofans, Promos Gastro, Gastrošance (CZ); gap filling at existing shops (Gastromania and Gastrozone block automated access and were not re-checked). Prices read on live product pages; net per piece recomputed in column AD. Two doubtful findings were left out (GGM GN 1/2 PP 150 mm priced only on the Italian storefront; Gastrodax GN 1/3 lid with an implausible 25.57 € listing).</t>
  </si>
  <si>
    <t xml:space="preserve">Benchmarks / Compare / Review</t>
  </si>
  <si>
    <t xml:space="preserve">41 / 46 / 211–216</t>
  </si>
  <si>
    <t xml:space="preserve">All</t>
  </si>
  <si>
    <t xml:space="preserve">New benchmark product</t>
  </si>
  <si>
    <t xml:space="preserve">Variant requested by Dogukan; "Sauce pump dispenser with stand" kept as is and excluded from the expansion.</t>
  </si>
  <si>
    <t xml:space="preserve">All formula sheets</t>
  </si>
  <si>
    <t xml:space="preserve">Formula ranges</t>
  </si>
  <si>
    <t xml:space="preserve">Offers rows 7:608, Review rows 7:210</t>
  </si>
  <si>
    <t xml:space="preserve">Offers rows 7:1000, Review rows 7:216</t>
  </si>
  <si>
    <t xml:space="preserve">Ranges extended to hold the new rows; table BenchmarkOffers = B6:AK869.</t>
  </si>
  <si>
    <t xml:space="preserve">7–869</t>
  </si>
  <si>
    <t xml:space="preserve">Formulas in columns I and AD</t>
  </si>
  <si>
    <t xml:space="preserve">AD/rate ; V</t>
  </si>
  <si>
    <t xml:space="preserve">ROUND(AD/rate, 6) ; ROUND(V, 6)</t>
  </si>
  <si>
    <t xml:space="preserve">Robustness fix: the rank formulas (AF/AG) compare values as text with 15 significant digits; unrounded quotients could rank a row against itself and shift the median/maximum by one position (seen on Hungary GN 1/1 PC 65 mm and Czech GN 1/2 PP 150 mm after recalculation). Rounding to 6 decimals removes the ambiguity; values are unchanged to the cent.</t>
  </si>
  <si>
    <t xml:space="preserve">Source CZ</t>
  </si>
  <si>
    <t xml:space="preserve">Prices / Competitors / Summary blocks</t>
  </si>
  <si>
    <t xml:space="preserve">Net price per piece, Counted, Used in Summary, Min/Median/Max, Competitors in statistics</t>
  </si>
  <si>
    <t xml:space="preserve">Formula text from the source workbook (e.g. =IF(OR(G2="",…)) — not evaluable, "(saved value)" columns empty</t>
  </si>
  <si>
    <t xml:space="preserve">Computed values (141 price rows)</t>
  </si>
  <si>
    <t xml:space="preserve">The extract stored the original formulas as text referring to the original row numbers; replaced by the values they compute. Cross-checked against the Offers sheet (identical net values).</t>
  </si>
  <si>
    <t xml:space="preserve">Source SK</t>
  </si>
  <si>
    <t xml:space="preserve">Summary value, Counted, Min/Median/Max</t>
  </si>
  <si>
    <t xml:space="preserve">Formula text from the source workbook</t>
  </si>
  <si>
    <t xml:space="preserve">Saved values (89 cells)</t>
  </si>
  <si>
    <t xml:space="preserve">Same issue as Source CZ; the "(saved value)" columns held the numbers, which were copied over.</t>
  </si>
  <si>
    <t xml:space="preserve">Competitor delivery</t>
  </si>
  <si>
    <t xml:space="preserve">All shops</t>
  </si>
  <si>
    <t xml:space="preserve">Sheet added</t>
  </si>
  <si>
    <t xml:space="preserve">Delivery fees, free-delivery thresholds, minimum orders of 45 competitor shops</t>
  </si>
  <si>
    <t xml:space="preserve">Shop delivery / terms pages (URLs in the sheet)</t>
  </si>
  <si>
    <t xml:space="preserve">Research 2 Oct 2026 for the new shops and Romania; 30 Sep 2026 source data for the original AT/DE/CZ/SK shops. Summary compares the market norm with the Express One cost and holds the suggested delivery fee and free-delivery threshold per market.</t>
  </si>
  <si>
    <t xml:space="preserve">Delivery cost</t>
  </si>
  <si>
    <t xml:space="preserve">Express One</t>
  </si>
  <si>
    <t xml:space="preserve">All benchmarks</t>
  </si>
  <si>
    <t xml:space="preserve">Delivery cost per piece</t>
  </si>
  <si>
    <t xml:space="preserve">Express One international contract SZK056966/202608040002/1 (4 Aug 2026); BOX DIMENSIONS.xlsx</t>
  </si>
  <si>
    <t xml:space="preserve">Delivery is invoiced as a separate fee (Dogukan, 2 Oct 2026); this sheet shows what a parcel costs YES Gastro: tariff by weight band + 10.5% e-toll + fuel surcharge (assumed 12%), one parcel per assumed order quantity (default one supplier carton), chargeable weight = max(actual, volumetric at 6000 cm3/kg). Cutting boards, PE dough box and thermo tray weights are estimates.</t>
  </si>
  <si>
    <t xml:space="preserve">Pricing</t>
  </si>
  <si>
    <t xml:space="preserve">Market-entry net prices</t>
  </si>
  <si>
    <t xml:space="preserve">Market-entry logic: undercut the cheapest EXACT+CLOSE competitor by 5%, unless that offer is an outlier (&gt;35% below the median), then 25% below the median; never above median −25%; extra 5% with fewer than 3 offers; rounded down; cost from the Gastroplast price list (column D) with markup over cost shown per market; price never below cost x (1 + C10).</t>
  </si>
  <si>
    <t xml:space="preserve">Offers / Review / Compare / Pricing</t>
  </si>
  <si>
    <t xml:space="preserve">all formulas</t>
  </si>
  <si>
    <t xml:space="preserve">Range limits in formulas and conditional formats</t>
  </si>
  <si>
    <t xml:space="preserve">Offers rows 7-1000; Review rows 7-216</t>
  </si>
  <si>
    <t xml:space="preserve">Offers rows 7-3000; Review rows 7-600</t>
  </si>
  <si>
    <t xml:space="preserve">The GN expansion adds more offer rows than the old limit of row 1000 allowed. Every COUNTIFS/SUMIFS/MINIFS/MAXIFS range and the conditional-format ranges were widened; values are unchanged.</t>
  </si>
  <si>
    <t xml:space="preserve">Benchmarks</t>
  </si>
  <si>
    <t xml:space="preserve">42-86</t>
  </si>
  <si>
    <t xml:space="preserve">45 GN variants</t>
  </si>
  <si>
    <t xml:space="preserve">45 benchmark specifications</t>
  </si>
  <si>
    <t xml:space="preserve">Shopify catalogue (read-only), 2 Oct 2026</t>
  </si>
  <si>
    <t xml:space="preserve">Every GN container and GN lid variant of the webshop (GNP-, GNP-/B, GNPP-, GNPL-, GNPPL-) that was not yet in the file. Clear and black PC are one benchmark (colour unrestricted, as for the existing GN rows). 13 variants already in the file were not researched again.</t>
  </si>
  <si>
    <t xml:space="preserve">217-486</t>
  </si>
  <si>
    <t xml:space="preserve">270 product x market rows with the standard min/median/max formulas</t>
  </si>
  <si>
    <t xml:space="preserve">Same formulas as rows 7-216.</t>
  </si>
  <si>
    <t xml:space="preserve">47-91</t>
  </si>
  <si>
    <t xml:space="preserve">Rows added; research-dates block moved</t>
  </si>
  <si>
    <t xml:space="preserve">Research dates at rows 48-55</t>
  </si>
  <si>
    <t xml:space="preserve">Research dates at rows 94-100</t>
  </si>
  <si>
    <t xml:space="preserve">Product rows added with the standard formulas; the research-date block and note were moved below them.</t>
  </si>
  <si>
    <t xml:space="preserve">50-94</t>
  </si>
  <si>
    <t xml:space="preserve">Rows added; notes moved</t>
  </si>
  <si>
    <t xml:space="preserve">Notes at rows 51-58</t>
  </si>
  <si>
    <t xml:space="preserve">Notes at rows 96-103</t>
  </si>
  <si>
    <t xml:space="preserve">Market-entry logic copied from row 49. Cost (column D) left empty: the Gastroplast price list was not supplied with this update.</t>
  </si>
  <si>
    <t xml:space="preserve">appended</t>
  </si>
  <si>
    <t xml:space="preserve">see rows</t>
  </si>
  <si>
    <t xml:space="preserve">Offers added</t>
  </si>
  <si>
    <t xml:space="preserve">29 offers (Austria 7, Germany 7, Czech 5, Slovakia 5, Romania 5)</t>
  </si>
  <si>
    <t xml:space="preserve">Live shop pages 2 Oct 2026 (URLs in Offers)</t>
  </si>
  <si>
    <t xml:space="preserve">GN expansion; YES Gastro code GNP-11150 / GNP-11150/B.</t>
  </si>
  <si>
    <t xml:space="preserve">GN expansion; YES Gastro code GNP-11200 / GNP-11200/B.</t>
  </si>
  <si>
    <t xml:space="preserve">GN expansion; YES Gastro code GNP-1265 / GNP-1265/B.</t>
  </si>
  <si>
    <t xml:space="preserve">GN expansion; YES Gastro code GNP-12100 / GNP-12100/B.</t>
  </si>
  <si>
    <t xml:space="preserve">GN expansion; YES Gastro code GNP-12200 / GNP-12200/B.</t>
  </si>
  <si>
    <t xml:space="preserve">GN expansion; YES Gastro code GNP-1365 / GNP-1365/B.</t>
  </si>
  <si>
    <t xml:space="preserve">GN expansion; YES Gastro code GNP-13150 / GNP-13150/B.</t>
  </si>
  <si>
    <t xml:space="preserve">GN expansion; YES Gastro code GNP-13200 / GNP-13200/B.</t>
  </si>
  <si>
    <t xml:space="preserve">GN expansion; YES Gastro code GNP-1465 / GNP-1465/B.</t>
  </si>
  <si>
    <t xml:space="preserve">GN expansion; YES Gastro code GNP-14100 / GNP-14100/B.</t>
  </si>
  <si>
    <t xml:space="preserve">GN expansion; YES Gastro code GNP-14150 / GNP-14150/B.</t>
  </si>
  <si>
    <t xml:space="preserve">25 offers (Austria 7, Germany 7, Czech 3, Slovakia 4, Romania 4)</t>
  </si>
  <si>
    <t xml:space="preserve">GN expansion; YES Gastro code GNP-14200 / GNP-14200/B.</t>
  </si>
  <si>
    <t xml:space="preserve">GN expansion; YES Gastro code GNP-1665 / GNP-1665/B.</t>
  </si>
  <si>
    <t xml:space="preserve">GN expansion; YES Gastro code GNP-16150 / GNP-16150/B.</t>
  </si>
  <si>
    <t xml:space="preserve">GN expansion; YES Gastro code GNP-16200 / GNP-16200/B.</t>
  </si>
  <si>
    <t xml:space="preserve">GN expansion; YES Gastro code GNP-1965 / GNP-1965/B.</t>
  </si>
  <si>
    <t xml:space="preserve">GN expansion; YES Gastro code GNP-19100 / GNP-19100/B.</t>
  </si>
  <si>
    <t xml:space="preserve">6 offers (Czech 2, Slovakia 2, Romania 2)</t>
  </si>
  <si>
    <t xml:space="preserve">GN expansion; YES Gastro code GNP-19150 / GNP-19150/B.</t>
  </si>
  <si>
    <t xml:space="preserve">GN expansion; YES Gastro code GNPP-11100.</t>
  </si>
  <si>
    <t xml:space="preserve">GN expansion; YES Gastro code GNPP-11150.</t>
  </si>
  <si>
    <t xml:space="preserve">GN expansion; YES Gastro code GNPP-11200.</t>
  </si>
  <si>
    <t xml:space="preserve">25 offers (Austria 4, Germany 7, Czech 5, Slovakia 4, Romania 5)</t>
  </si>
  <si>
    <t xml:space="preserve">GN expansion; YES Gastro code GNPP-1265.</t>
  </si>
  <si>
    <t xml:space="preserve">GN expansion; YES Gastro code GNPP-12100.</t>
  </si>
  <si>
    <t xml:space="preserve">GN expansion; YES Gastro code GNPP-12200.</t>
  </si>
  <si>
    <t xml:space="preserve">28 offers (Austria 6, Germany 7, Czech 5, Slovakia 5, Romania 5)</t>
  </si>
  <si>
    <t xml:space="preserve">GN expansion; YES Gastro code GNPP-1365.</t>
  </si>
  <si>
    <t xml:space="preserve">GN expansion; YES Gastro code GNPP-13150.</t>
  </si>
  <si>
    <t xml:space="preserve">25 offers (Austria 6, Germany 4, Czech 5, Slovakia 5, Romania 5)</t>
  </si>
  <si>
    <t xml:space="preserve">GN expansion; YES Gastro code GNPP-13200.</t>
  </si>
  <si>
    <t xml:space="preserve">25 offers (Austria 4, Germany 6, Czech 5, Slovakia 5, Romania 5)</t>
  </si>
  <si>
    <t xml:space="preserve">GN expansion; YES Gastro code GNPP-1465.</t>
  </si>
  <si>
    <t xml:space="preserve">GN expansion; YES Gastro code GNPP-14100.</t>
  </si>
  <si>
    <t xml:space="preserve">GN expansion; YES Gastro code GNPP-14150.</t>
  </si>
  <si>
    <t xml:space="preserve">27 offers (Austria 7, Germany 6, Czech 5, Slovakia 5, Romania 4)</t>
  </si>
  <si>
    <t xml:space="preserve">GN expansion; YES Gastro code GNPP-14200.</t>
  </si>
  <si>
    <t xml:space="preserve">GN expansion; YES Gastro code GNPP-1665.</t>
  </si>
  <si>
    <t xml:space="preserve">GN expansion; YES Gastro code GNPP-16150.</t>
  </si>
  <si>
    <t xml:space="preserve">23 offers (Austria 5, Germany 4, Czech 5, Slovakia 5, Romania 4)</t>
  </si>
  <si>
    <t xml:space="preserve">GN expansion; YES Gastro code GNPP-16200.</t>
  </si>
  <si>
    <t xml:space="preserve">26 offers (Austria 6, Germany 6, Czech 5, Slovakia 4, Romania 5)</t>
  </si>
  <si>
    <t xml:space="preserve">GN expansion; YES Gastro code GNPP-1965.</t>
  </si>
  <si>
    <t xml:space="preserve">20 offers (Austria 4, Germany 3, Czech 4, Slovakia 4, Romania 5)</t>
  </si>
  <si>
    <t xml:space="preserve">GN expansion; YES Gastro code GNPP-19150.</t>
  </si>
  <si>
    <t xml:space="preserve">GN expansion; YES Gastro code GNPL-12.</t>
  </si>
  <si>
    <t xml:space="preserve">GN expansion; YES Gastro code GNPL-13.</t>
  </si>
  <si>
    <t xml:space="preserve">GN expansion; YES Gastro code GNPL-14.</t>
  </si>
  <si>
    <t xml:space="preserve">GN expansion; YES Gastro code GNPL-16.</t>
  </si>
  <si>
    <t xml:space="preserve">GN expansion; YES Gastro code GNPL-19.</t>
  </si>
  <si>
    <t xml:space="preserve">GN expansion; YES Gastro code GNPPL-12.</t>
  </si>
  <si>
    <t xml:space="preserve">GN expansion; YES Gastro code GNPPL-14.</t>
  </si>
  <si>
    <t xml:space="preserve">GN expansion; YES Gastro code GNPPL-16.</t>
  </si>
  <si>
    <t xml:space="preserve">25 offers (Austria 6, Germany 5, Czech 5, Slovakia 4, Romania 5)</t>
  </si>
  <si>
    <t xml:space="preserve">GN expansion; YES Gastro code GNPPL-19.</t>
  </si>
  <si>
    <t xml:space="preserve">EXACT (as researched)</t>
  </si>
  <si>
    <t xml:space="preserve">https://shopbuero.com/gn-behaelter-serie-gn-96-black-schwarz-inhalt-0-6-l-gn-1-9-176-x-108-mm-polycarbonat/9619065-A</t>
  </si>
  <si>
    <t xml:space="preserve">depth not stated on the page, inferred from the article number and volume</t>
  </si>
  <si>
    <t xml:space="preserve">https://shopbuero.com/gn-behaelter-serie-gn-96-black-schwarz-inhalt-20-l-gn-1-1-530-x-325-mm-polycarbonat/9611150-A</t>
  </si>
  <si>
    <t xml:space="preserve">https://shopbuero.com/gn-behaelter-serie-gn-96-black-schwarz-inhalt-26-4-l-gn-1-1-530-x-325-mm-polycarbonat/9611200-A</t>
  </si>
  <si>
    <t xml:space="preserve">https://shopbuero.com/gn-behaelter-serie-gn-96-black-schwarz-inhalt-4-0-l-gn-1-2-325-x-265-mm-polycarbonat/9612065-A</t>
  </si>
  <si>
    <t xml:space="preserve">https://shopbuero.com/gn-behaelter-serie-gn-96-black-schwarz-inhalt-6-1-l-gn-1-2-325-x-265-mm-polycarbonat/9612100-A</t>
  </si>
  <si>
    <t xml:space="preserve">https://shopbuero.com/gn-behaelter-serie-gn-96-black-schwarz-inhalt-11-9-l-gn-1-2-325-x-265-mm-polycarbonat/9612200-A</t>
  </si>
  <si>
    <t xml:space="preserve">https://shopbuero.com/gn-behaelter-serie-gn-96-black-schwarz-inhalt-2-5-l-gn-1-3-325-x-176-mm-polycarbonat/9613065-A</t>
  </si>
  <si>
    <t xml:space="preserve">https://shopbuero.com/gn-behaelter-serie-gn-96-black-schwarz-inhalt-5-5-l-gn-1-3-325-x-176-mm-polycarbonat/9613150-A</t>
  </si>
  <si>
    <t xml:space="preserve">https://shopbuero.com/gn-behaelter-serie-gn-96-black-schwarz-inhalt-7-1-l-gn-1-3-325-x-176-mm-polycarbonat/9613200-A</t>
  </si>
  <si>
    <t xml:space="preserve">https://shopbuero.com/gn-behaelter-serie-gn-96-black-schwarz-inhalt-1-7-l-gn-1-4-265-x-162-mm-polycarbonat/9614065-A</t>
  </si>
  <si>
    <t xml:space="preserve">https://shopbuero.com/gn-behaelter-serie-gn-96-black-schwarz-inhalt-2-6-l-gn-1-4-265-x-162-mm-polycarbonat/9614100-A</t>
  </si>
  <si>
    <t xml:space="preserve">https://shopbuero.com/gn-behaelter-serie-gn-96-black-schwarz-inhalt-3-8-l-gn-1-4-265-x-162-mm-polycarbonat/9614150-A</t>
  </si>
  <si>
    <t xml:space="preserve">https://shopbuero.com/gn-behaelter-serie-gn-96-black-schwarz-inhalt-4-8-l-gn-1-4-265-x-162-mm-polycarbonat/9614200-A</t>
  </si>
  <si>
    <t xml:space="preserve">https://shopbuero.com/gn-behaelter-serie-gn-96-black-schwarz-inhalt-1-0-l-gn-1-6-176-x-162-mm-polycarbonat/9616065-A</t>
  </si>
  <si>
    <t xml:space="preserve">https://shopbuero.com/gn-behaelter-serie-gn-96-black-schwarz-inhalt-2-3-l-gn-1-6-176-x-162-mm-polycarbonat/9616150-A</t>
  </si>
  <si>
    <t xml:space="preserve">https://shopbuero.com/gn-behaelter-serie-gn-96-black-schwarz-inhalt-2-8-l-gn-1-6-176-x-162-mm-polycarbonat/9616200-A</t>
  </si>
  <si>
    <t xml:space="preserve">https://shopbuero.com/gn-behaelter-serie-gn-96-black-schwarz-inhalt-0-9-l-gn-1-9-176-x-108-mm-polycarbonat/9619100-A</t>
  </si>
  <si>
    <t xml:space="preserve">page states only "Material: Kunststoff"; PP inferred from the WAS GN 84/89 series</t>
  </si>
  <si>
    <t xml:space="preserve">https://www.ggmgastro.com/cs-cz-czk/12-ks-polypropylenova-nadoba-gn-1-4-transparentni-vyska-65-mm-gpcp1465</t>
  </si>
  <si>
    <t xml:space="preserve">product title says polypropylene while category and description say polycarbonate (material conflict on the page)</t>
  </si>
  <si>
    <t xml:space="preserve">https://www.ggmgastro.com/cs-cz-czk/12-ks-polypropylenova-nadoba-gn-1-6-transparentni-vyska-65-mm-gpcp1665</t>
  </si>
  <si>
    <t xml:space="preserve">https://www.ggmgastro.com/cs-cz-czk/12-ks-polypropylenova-nadoba-gn-gn-1-9-transparentni-vyska-65-mm-gpcp1965</t>
  </si>
  <si>
    <t xml:space="preserve">not added</t>
  </si>
  <si>
    <t xml:space="preserve">offer found (656.91 CZK)</t>
  </si>
  <si>
    <t xml:space="preserve">not recorded</t>
  </si>
  <si>
    <t xml:space="preserve">https://www.ggmgastro.com/cs-cz-czk/polykarbonatove-viko-gn-1-6-cire-gpcl16</t>
  </si>
  <si>
    <t xml:space="preserve">GGM GPCL16: pack quantity not shown on the page, per-piece price uncertain</t>
  </si>
  <si>
    <t xml:space="preserve">page description belongs to the 150 mm item; depth taken from title/URL only</t>
  </si>
  <si>
    <t xml:space="preserve">https://www.intergastro.de/gn-deckel-gn-84-gn-1-4-252280</t>
  </si>
  <si>
    <t xml:space="preserve">various</t>
  </si>
  <si>
    <t xml:space="preserve">Rows beyond the target count</t>
  </si>
  <si>
    <t xml:space="preserve">681 further offers found</t>
  </si>
  <si>
    <t xml:space="preserve">kept in claude/gn-offers-raw-2026-10-02.csv (repository)</t>
  </si>
  <si>
    <t xml:space="preserve">Research target: up to 7 offers per variant in AT/DE, 3-5 in CZ/SK/RO. One best offer per shop (EXACT preferred, then cheapest) was kept first, shops ordered by their coverage of the market; further brand/colour rows filled up to the target. The raw file holds every offer found.</t>
  </si>
  <si>
    <t xml:space="preserve">Austria / Germany</t>
  </si>
  <si>
    <t xml:space="preserve">LUSINI Österreich / LUSINI Deutschland</t>
  </si>
  <si>
    <t xml:space="preserve">Shop skipped</t>
  </si>
  <si>
    <t xml:space="preserve">no offers</t>
  </si>
  <si>
    <t xml:space="preserve">https://www.lusini.com/de-at/pdp/122413/ (Cloudflare "Sicherheitsüberprüfung" challenge, HTTP 403 to the fetch tool)</t>
  </si>
  <si>
    <t xml:space="preserve">Blocks automated access; not worked around, per instruction.</t>
  </si>
  <si>
    <t xml:space="preserve">https://www.esmeyer-shop.de/en/vogue-clear-polycarbonate-gn-1-1-100mm (HTTP 403 Forbidden, also in a headless browser)</t>
  </si>
  <si>
    <t xml:space="preserve">Blocks automated access; not worked around.</t>
  </si>
  <si>
    <t xml:space="preserve">Hendi (hendi.ro) / gastroprofesional.ro</t>
  </si>
  <si>
    <t xml:space="preserve">Shops skipped</t>
  </si>
  <si>
    <t xml:space="preserve">hendi.ro: connection failure / HTTP 502; gastroprofesional.ro: HTTP 403 + Cloudflare "Sorry, you have been blocked"</t>
  </si>
  <si>
    <t xml:space="preserve">Blocked or unreachable; not worked around.</t>
  </si>
  <si>
    <t xml:space="preserve">Patiser.ro / Magora / Stylehoreca</t>
  </si>
  <si>
    <t xml:space="preserve">Shops checked, nothing recorded</t>
  </si>
  <si>
    <t xml:space="preserve">patiser.ro PC GN category shows one placeholder price (45,76 lei) and wrong dimensions on every item; magora.ro and stylehoreca.ro carry no plastic GN containers</t>
  </si>
  <si>
    <t xml:space="preserve">Not usable as price evidence.</t>
  </si>
  <si>
    <t xml:space="preserve">Shop checked, nothing recorded</t>
  </si>
  <si>
    <t xml:space="preserve">https://www.expondo.at/ GN category: 2 Royal Catering containers, both stainless steel</t>
  </si>
  <si>
    <t xml:space="preserve">No plastic GN range.</t>
  </si>
  <si>
    <t xml:space="preserve">hendi.sk, tomgast.sk, gastroshop.sk, gastroprodukt.sk, gastro-obchod.sk, gastrotrend.sk, horecaworld.sk, METRO.sk, GastroMarket.sk</t>
  </si>
  <si>
    <t xml:space="preserve">Shops not usable</t>
  </si>
  <si>
    <t xml:space="preserve">TLS/certificate errors or HTTP 502 through the proxy; METRO.sk and GastroMarket.sk known blocked (bot challenge)</t>
  </si>
  <si>
    <t xml:space="preserve">New Slovak shops used instead: Gastroalka.sk, Profikuchyna.sk, GastroREX.sk, Masiarskenaradie.sk, GGM Gastro (SK storefront).</t>
  </si>
  <si>
    <t xml:space="preserve">Czech / Slovakia / Romania / Austria</t>
  </si>
  <si>
    <t xml:space="preserve">Gastromania, Gastrozone, Intergastro (AT shop), Nisbets, GGM Gastro</t>
  </si>
  <si>
    <t xml:space="preserve">GN variants</t>
  </si>
  <si>
    <t xml:space="preserve">Fetch method</t>
  </si>
  <si>
    <t xml:space="preserve">offers recorded</t>
  </si>
  <si>
    <t xml:space="preserve">Product pages loaded in a plain headless browser (prices rendered by JavaScript; Gastromania answers 503 to the simple fetch tool but serves the page to a browser); gastrozone.* answered the fetch tool directly</t>
  </si>
  <si>
    <t xml:space="preserve">These shops did not show a bot challenge or captcha on 2 Oct 2026, so they were used; rows carry "page read with a headless browser" in the notes. Remove the rows if these shops should stay excluded.</t>
  </si>
  <si>
    <t xml:space="preserve">GGM Gastro (Austrian storefront), GastroHero Österreich, Gastrodax, shopbuero.com</t>
  </si>
  <si>
    <t xml:space="preserve">0.19</t>
  </si>
  <si>
    <t xml:space="preserve">Shop pages quote German VAT ("zzgl. 19% MwSt" / "inkl. 19% MwSt") although the storefront targets Austria</t>
  </si>
  <si>
    <t xml:space="preserve">Net prices were read directly, so the per-piece net is unaffected; the source VAT rate is kept as shown.</t>
  </si>
  <si>
    <t xml:space="preserve">Czech / Slovakia / Romania</t>
  </si>
  <si>
    <t xml:space="preserve">GGM Gastro (CZ / SK / RO storefronts)</t>
  </si>
  <si>
    <t xml:space="preserve">VAT rate (source) / pack size</t>
  </si>
  <si>
    <t xml:space="preserve">0.19 (CZ), 0.23 (SK), 0.21 (RO); packs of 6 or 12</t>
  </si>
  <si>
    <t xml:space="preserve">Footnote "čistá cena | hrubá cena vč. 19% DPH" / "bez DPH 19 %" / "plus TVA 19%"</t>
  </si>
  <si>
    <t xml:space="preserve">Net pack prices converted to per piece; most 12-packs "available from 19 Oct 2026".</t>
  </si>
  <si>
    <t xml:space="preserve">My cost EUR (column D)</t>
  </si>
  <si>
    <t xml:space="preserve">empty</t>
  </si>
  <si>
    <t xml:space="preserve">Gastroplast price list not supplied with this update</t>
  </si>
  <si>
    <t xml:space="preserve">Fill the amber cells from the price list (column "EUR") to get markup over cost; entry prices do not depend on cost while C10 = 0.</t>
  </si>
  <si>
    <t xml:space="preserve">Hungary source extract</t>
  </si>
  <si>
    <t xml:space="preserve">Original research values. Item numbers and observation counts removed; source formulas retain their original wording.</t>
  </si>
  <si>
    <t xml:space="preserve">Prices</t>
  </si>
  <si>
    <t xml:space="preserve">Product Type</t>
  </si>
  <si>
    <t xml:space="preserve">Product Name
(as listed on site)</t>
  </si>
  <si>
    <t xml:space="preserve">Competitor / Shop</t>
  </si>
  <si>
    <t xml:space="preserve">Competitor URL</t>
  </si>
  <si>
    <t xml:space="preserve">Price</t>
  </si>
  <si>
    <t xml:space="preserve">Price (HUF equiv.)</t>
  </si>
  <si>
    <t xml:space="preserve">Date Checked</t>
  </si>
  <si>
    <t xml:space="preserve">Notes / Variant details</t>
  </si>
  <si>
    <t xml:space="preserve">Checked by</t>
  </si>
  <si>
    <t xml:space="preserve">Source reliability</t>
  </si>
  <si>
    <t xml:space="preserve">GN Container</t>
  </si>
  <si>
    <t xml:space="preserve">Cutting Board</t>
  </si>
  <si>
    <t xml:space="preserve">Pizza Dough Box / Lid</t>
  </si>
  <si>
    <t xml:space="preserve">Tray</t>
  </si>
  <si>
    <t xml:space="preserve">Thermobox / Thermo Tray</t>
  </si>
  <si>
    <t xml:space="preserve">Net per piece, confirmed by you on 30 Sep 2026. Current Erste conversions are in Offers, Review and Compare.</t>
  </si>
  <si>
    <t xml:space="preserve">Romania source extract</t>
  </si>
  <si>
    <t xml:space="preserve">Price (local currency)</t>
  </si>
  <si>
    <t xml:space="preserve">Price (EUR equiv.)</t>
  </si>
  <si>
    <t xml:space="preserve">Brand</t>
  </si>
  <si>
    <t xml:space="preserve">Price (EUR equiv.) (saved value)</t>
  </si>
  <si>
    <t xml:space="preserve">30.06.2028</t>
  </si>
  <si>
    <t xml:space="preserve">https://www.gastrozone.ro/cautare/policarbonatice/marime=gn-1-1/?text=gn+1/1+65+mm+policarbonat&amp;frontendCategoryTree-categoryId=1051711</t>
  </si>
  <si>
    <t xml:space="preserve">Sauce Dispenser</t>
  </si>
  <si>
    <t xml:space="preserve">https://pentrubar.ro/ro/150-fast-food</t>
  </si>
  <si>
    <t xml:space="preserve">Pizza dough proofing box</t>
  </si>
  <si>
    <t xml:space="preserve">Pizza dough box lid</t>
  </si>
  <si>
    <t xml:space="preserve">GN Container Lid</t>
  </si>
  <si>
    <t xml:space="preserve">Price: The price MUST always be in NET as shown on the website (in local currency). If only gross price given, calculate the NET price.</t>
  </si>
  <si>
    <t xml:space="preserve">Historical source FX</t>
  </si>
  <si>
    <t xml:space="preserve">HUF per EUR</t>
  </si>
  <si>
    <t xml:space="preserve">HUF per RON</t>
  </si>
  <si>
    <t xml:space="preserve">Austria source extract</t>
  </si>
  <si>
    <t xml:space="preserve">Basket item</t>
  </si>
  <si>
    <t xml:space="preserve">Product name</t>
  </si>
  <si>
    <t xml:space="preserve">Product URL</t>
  </si>
  <si>
    <t xml:space="preserve">Listed price EUR</t>
  </si>
  <si>
    <t xml:space="preserve">Incl./excl. VAT</t>
  </si>
  <si>
    <t xml:space="preserve">Pack size (pcs)</t>
  </si>
  <si>
    <t xml:space="preserve">Pack description</t>
  </si>
  <si>
    <t xml:space="preserve">Net price per piece EUR</t>
  </si>
  <si>
    <t xml:space="preserve">Match quality</t>
  </si>
  <si>
    <t xml:space="preserve">Competitors</t>
  </si>
  <si>
    <t xml:space="preserve">Name</t>
  </si>
  <si>
    <t xml:space="preserve">URL</t>
  </si>
  <si>
    <t xml:space="preserve">Type</t>
  </si>
  <si>
    <t xml:space="preserve">B2B / B2C focus</t>
  </si>
  <si>
    <t xml:space="preserve">Prices shown</t>
  </si>
  <si>
    <t xml:space="preserve">Shipping to AT</t>
  </si>
  <si>
    <t xml:space="preserve">Min. order</t>
  </si>
  <si>
    <t xml:space="preserve">https://www.intergastro.at</t>
  </si>
  <si>
    <t xml:space="preserve">pan-EU</t>
  </si>
  <si>
    <t xml:space="preserve">B2B</t>
  </si>
  <si>
    <t xml:space="preserve">excl. VAT (net shown first; gross incl. 20% AT VAT also shown)</t>
  </si>
  <si>
    <t xml:space="preserve">Parcels up to 31.5 kg flat 8.95 EUR net via DPD to AT; bulky items by freight, cost shown in cart (e.g. fridge approx. 35 EUR)</t>
  </si>
  <si>
    <t xml:space="preserve">German gastro supplier (Dortmund) with Austrian storefront; sells only to businesses. Tiered quantity prices; single-unit price recorded.</t>
  </si>
  <si>
    <t xml:space="preserve">https://www.gastroladen.at</t>
  </si>
  <si>
    <t xml:space="preserve">B2B + B2C</t>
  </si>
  <si>
    <t xml:space="preserve">incl. VAT ("alle Preise inkl. Mehrwertsteuer"); EU business customers with UID can buy VAT-free</t>
  </si>
  <si>
    <t xml:space="preserve">AT: parcel 13.15 EUR (most brands; 7.95 for ESGE/Thomas/Valera), freight 90.00 EUR; Bartscher by weight from 10.80 EUR (0-10 kg). Shipping shown incl. VAT</t>
  </si>
  <si>
    <t xml:space="preserve">German-based seller (Harotec GmbH) with .at storefront, mostly Nisbets range (Vogue, Cambro, Hygiplas, Gastronoble) plus Bartscher. Product pages show 'Versand in D' by default; the VAT rate used for AT is not stated, so net assumes 20%.</t>
  </si>
  <si>
    <t xml:space="preserve">https://www.jh-profishop.at</t>
  </si>
  <si>
    <t xml:space="preserve">local</t>
  </si>
  <si>
    <t xml:space="preserve">excl. VAT (toggle 'ohne/mit MwSt.' in header; default excl.)</t>
  </si>
  <si>
    <t xml:space="preserve">15 EUR net within Austria; free from 250 EUR net goods value</t>
  </si>
  <si>
    <t xml:space="preserve">none stated (free shipping threshold 250 EUR net)</t>
  </si>
  <si>
    <t xml:space="preserve">Austrian subsidiary of Jungheinrich; general B2B industrial/operations webshop with a gastro range (mainly Stalgast). Business customers only. Limited plastic GN range (no GN 1/1 PC, no PP lid, no squeeze bottles, thermoboxes or trays found).</t>
  </si>
  <si>
    <t xml:space="preserve">https://www.gastrodax.de</t>
  </si>
  <si>
    <t xml:space="preserve">excl. VAT (list shows 'zzgl. 19% MwSt.' - German rate; EU businesses with VAT-ID get VAT refunded)</t>
  </si>
  <si>
    <t xml:space="preserve">Free to Germany and Austria from 99 EUR (incl. VAT) order value; below that 9.95 EUR (incl. VAT) flat for both countries; freight items by forwarder</t>
  </si>
  <si>
    <t xml:space="preserve">none stated</t>
  </si>
  <si>
    <t xml:space="preserve">German gastro webshop (40,000+ items: Hendi, Contacto, WAS, APS, Rieber) that explicitly delivers to DE &amp; AT. Many Contacto items currently on 20% 'Sonderangebot' - sale price recorded, normal price in notes.</t>
  </si>
  <si>
    <t xml:space="preserve">https://www.gastro-hero.at</t>
  </si>
  <si>
    <t xml:space="preserve">excl. VAT (net price shown first; the 'inkl. MwSt.' line on product pages is net x 1.19, i.e. German VAT)</t>
  </si>
  <si>
    <t xml:space="preserve">Within Austria: free from 350 EUR net; below that 'Komfort-Lieferung' 9.90 EUR net (options with transport protection/tail-lift 19.90-39.90 EUR net)</t>
  </si>
  <si>
    <t xml:space="preserve">No order minimum stated, but many small items have a minimum quantity per item (e.g. 2, 4, 8 or 12 pcs)</t>
  </si>
  <si>
    <t xml:space="preserve">Pan-EU gastro webshop (GastroHero, Hamburg) with Austrian Shopify storefront. Category and search listings load via JavaScript; products located via the public sitemap and read from server-rendered product pages. Several items on sale ('Angebotspreis'); sale price recorded.</t>
  </si>
  <si>
    <t xml:space="preserve">https://shopbuero.com</t>
  </si>
  <si>
    <t xml:space="preserve">excl. VAT ('Preise zzgl. MwSt.'; gross line shown at German 19%)</t>
  </si>
  <si>
    <t xml:space="preserve">Austria: from 19.90 EUR (exact cost calculated in cart by type/quantity)</t>
  </si>
  <si>
    <t xml:space="preserve">Minimum order value per shipping warehouse: 150 EUR net for EU countries outside Germany (70 EUR net in DE)</t>
  </si>
  <si>
    <t xml:space="preserve">German B2B webshop for business/gastro/hotel supplies (large WAS and Schneider GN range). Most items shown with a struck-through 'regulärer Preis' and a current Verkaufspreis; current price recorded. No squeeze bottles found.</t>
  </si>
  <si>
    <t xml:space="preserve">https://www.allpax.at</t>
  </si>
  <si>
    <t xml:space="preserve">excl. VAT ('Steuerhinweis: exkl. MwSt.')</t>
  </si>
  <si>
    <t xml:space="preserve">Per shipping table on allpax.at (/ShippingInfo): parcel rates of 3.70-9.51 EUR (DHL Ausland / DPD) depending on article; freight items 54-174 EUR; exact cost shown in cart</t>
  </si>
  <si>
    <t xml:space="preserve">German packaging &amp; catering supplies retailer (ALLPAX GmbH &amp; Co. KG) with Austrian storefront; ranges from Hendi, Bartscher, APS and others. Product pages with variant selectors (e.g. PP GN containers, PP lids) show a default-variant price only, so those items were not recorded.</t>
  </si>
  <si>
    <t xml:space="preserve">Summary</t>
  </si>
  <si>
    <t xml:space="preserve">Min net/pc EUR</t>
  </si>
  <si>
    <t xml:space="preserve">Median net/pc EUR</t>
  </si>
  <si>
    <t xml:space="preserve">Max net/pc EUR</t>
  </si>
  <si>
    <t xml:space="preserve">Competitors with price</t>
  </si>
  <si>
    <t xml:space="preserve">GastroHero Österreich, Gastrodax, Gastroladen.at (Harotec GmbH), Intergastro (AT shop), shopbuero.com</t>
  </si>
  <si>
    <t xml:space="preserve">ALLPAX Österreich, GastroHero Österreich, Gastrodax, Gastroladen.at (Harotec GmbH), Intergastro (AT shop), shopbuero.com</t>
  </si>
  <si>
    <t xml:space="preserve">GastroHero Österreich, Gastrodax, Gastroladen.at (Harotec GmbH), Intergastro (AT shop), Jungheinrich PROFISHOP Austria, shopbuero.com</t>
  </si>
  <si>
    <t xml:space="preserve">ALLPAX Österreich, GastroHero Österreich, Gastrodax, Gastroladen.at (Harotec GmbH), Intergastro (AT shop)</t>
  </si>
  <si>
    <t xml:space="preserve">GastroHero Österreich, Gastrodax, Gastroladen.at (Harotec GmbH), Intergastro (AT shop)</t>
  </si>
  <si>
    <t xml:space="preserve">ALLPAX Österreich, GastroHero Österreich, Gastrodax, Gastroladen.at (Harotec GmbH), Intergastro (AT shop), Jungheinrich PROFISHOP Austria, shopbuero.com</t>
  </si>
  <si>
    <t xml:space="preserve">ALLPAX Österreich, GastroHero Österreich, Gastrodax, Gastroladen.at (Harotec GmbH), Intergastro (AT shop), Jungheinrich PROFISHOP Austria</t>
  </si>
  <si>
    <t xml:space="preserve">Gastrodax, Gastroladen.at (Harotec GmbH), Intergastro (AT shop)</t>
  </si>
  <si>
    <t xml:space="preserve">Gastrodax, Gastroladen.at (Harotec GmbH)</t>
  </si>
  <si>
    <t xml:space="preserve">ALLPAX Österreich, Gastrodax</t>
  </si>
  <si>
    <t xml:space="preserve">Net price = listed gross / 1.20 (AT standard VAT 20%) when listed incl. VAT; divided by pack size. Only EXACT and CLOSE matches counted.</t>
  </si>
  <si>
    <t xml:space="preserve">Not accessible</t>
  </si>
  <si>
    <t xml:space="preserve">Reason prices not counted</t>
  </si>
  <si>
    <t xml:space="preserve">https://www.ggmgastro.com/de-at-eur</t>
  </si>
  <si>
    <t xml:space="preserve">Price not readable: product prices are filled in by JavaScript (page HTML only contains a '{{price}}' template); could not be read with the tools available.</t>
  </si>
  <si>
    <t xml:space="preserve">B2B only; site states net prices incl. delivery. Search-engine snippets show pack prices (e.g. 6-pc GN sets), but these were not verified on the Austrian storefront, so none were recorded.</t>
  </si>
  <si>
    <t xml:space="preserve">LUSINI (Austrian storefront)</t>
  </si>
  <si>
    <t xml:space="preserve">https://www.lusini.com/de-at/</t>
  </si>
  <si>
    <t xml:space="preserve">Site blocks automated access (HTTP 403), so no prices could be read or verified.</t>
  </si>
  <si>
    <t xml:space="preserve">Large pan-EU hotel &amp; gastro supplier; hotelwaesche.at redirects here.</t>
  </si>
  <si>
    <t xml:space="preserve">Kaufland.at Marktplatz</t>
  </si>
  <si>
    <t xml:space="preserve">https://www.kaufland.at</t>
  </si>
  <si>
    <t xml:space="preserve">marketplace</t>
  </si>
  <si>
    <t xml:space="preserve">Blocks automated access (HTTP 403); prices not verified.</t>
  </si>
  <si>
    <t xml:space="preserve">Gastro sellers such as GASTROVERTRIEBSKONTOR, getgastro and HENDI items are listed (per search-engine snippets).</t>
  </si>
  <si>
    <t xml:space="preserve">eBay.at / Amazon.de</t>
  </si>
  <si>
    <t xml:space="preserve">https://www.ebay.at</t>
  </si>
  <si>
    <t xml:space="preserve">Blocks automated access (403 / bot check); prices not verified.</t>
  </si>
  <si>
    <t xml:space="preserve">amazon.at redirects to amazon.de.</t>
  </si>
  <si>
    <t xml:space="preserve">METRO Österreich</t>
  </si>
  <si>
    <t xml:space="preserve">https://www.metro.at</t>
  </si>
  <si>
    <t xml:space="preserve">Blocks automated access (HTTP 403). Cash &amp; carry wholesaler; online prices generally need a customer card/login.</t>
  </si>
  <si>
    <t xml:space="preserve">Transgourmet Österreich (Webshop)</t>
  </si>
  <si>
    <t xml:space="preserve">https://shop.transgourmet.at</t>
  </si>
  <si>
    <t xml:space="preserve">Price on request: product page shows 'auf Anfr.' instead of a price; full access needs a customer login.</t>
  </si>
  <si>
    <t xml:space="preserve">Example: Gastronorm-Behälter 1/3 H=100 mm PP (Art. 1623644).</t>
  </si>
  <si>
    <t xml:space="preserve">Kiennast / Eurogast</t>
  </si>
  <si>
    <t xml:space="preserve">https://www.kiennast.at/de/webshops/</t>
  </si>
  <si>
    <t xml:space="preserve">Login only: customer-specific ('persönlicher') webshops; no public prices.</t>
  </si>
  <si>
    <t xml:space="preserve">Food &amp; non-food wholesaler for gastro in Vienna, Lower Austria and Burgenland.</t>
  </si>
  <si>
    <t xml:space="preserve">Hendi Österreich</t>
  </si>
  <si>
    <t xml:space="preserve">https://hendi.com/at</t>
  </si>
  <si>
    <t xml:space="preserve">Manufacturer site that renders in JavaScript; no prices visible. Hendi sells through dealers.</t>
  </si>
  <si>
    <t xml:space="preserve">Hendi items are priced at Gastrodax, GastroHero and Allpax.</t>
  </si>
  <si>
    <t xml:space="preserve">Gradwohl (gastroartikel.at)</t>
  </si>
  <si>
    <t xml:space="preserve">https://gastroartikel.at</t>
  </si>
  <si>
    <t xml:space="preserve">Catalogue only, no prices: an Austrian manufacturer (Melk) that sells through dealers ('Shops finden').</t>
  </si>
  <si>
    <t xml:space="preserve">Makes Polyhygien cutting boards and kitchen tools.</t>
  </si>
  <si>
    <t xml:space="preserve">https://www.stalgast.de</t>
  </si>
  <si>
    <t xml:space="preserve">Catalogue without prices on stalgast.de; stalgast.at redirects to the Swiss site (CHF).</t>
  </si>
  <si>
    <t xml:space="preserve">Stalgast items are priced at Jungheinrich PROFISHOP and Intergastro.</t>
  </si>
  <si>
    <t xml:space="preserve">Esmeyer</t>
  </si>
  <si>
    <t xml:space="preserve">https://www.esmeyer-shop.de</t>
  </si>
  <si>
    <t xml:space="preserve">Blocks automated access (HTTP 403); the fetched page showed no price. Not verified.</t>
  </si>
  <si>
    <t xml:space="preserve">German gastro webshop.</t>
  </si>
  <si>
    <t xml:space="preserve">Gastrotiger</t>
  </si>
  <si>
    <t xml:space="preserve">https://gastrotiger.at</t>
  </si>
  <si>
    <t xml:space="preserve">Blocks automated access (HTTP 403); not verified.</t>
  </si>
  <si>
    <t xml:space="preserve">https://www.gastrozimml.at</t>
  </si>
  <si>
    <t xml:space="preserve">Not counted: shows prices (excl. 20% VAT) but only a request basket ('Anfragekorb'), no checkout, and fewer than 6 basket items (only stainless sauce dispensers, no plastic GN, boards or bottles).</t>
  </si>
  <si>
    <t xml:space="preserve">Tyrol (Oberlienz); HOGAST partner.</t>
  </si>
  <si>
    <t xml:space="preserve">OM Gastrohandel</t>
  </si>
  <si>
    <t xml:space="preserve">https://om-gastrohandel.at</t>
  </si>
  <si>
    <t xml:space="preserve">Not counted: shows prices (excl. VAT) but carries no basket items (focus on cleaning chemicals, paper and dishwashers).</t>
  </si>
  <si>
    <t xml:space="preserve">Altendorf, Lower Austria.</t>
  </si>
  <si>
    <t xml:space="preserve">https://www.gastro-star.at</t>
  </si>
  <si>
    <t xml:space="preserve">Not counted: shows prices (excl. + incl. 20% VAT) but focuses on equipment; no plastic GN, boards, squeeze bottles or dough boxes found.</t>
  </si>
  <si>
    <t xml:space="preserve">Only stainless/Rieber GN lids found.</t>
  </si>
  <si>
    <t xml:space="preserve">ZORRO Gastro (AT storefront)</t>
  </si>
  <si>
    <t xml:space="preserve">https://www.zorro.de/at/</t>
  </si>
  <si>
    <t xml:space="preserve">Not counted: shows prices, but focuses on equipment; GN range is stainless steel only and none of the plastic basket items were found.</t>
  </si>
  <si>
    <t xml:space="preserve">research_AT.xlsx · Original basket entries remain in the existing extract above.</t>
  </si>
  <si>
    <t xml:space="preserve">Additional variants · Prices</t>
  </si>
  <si>
    <t xml:space="preserve">Additional variants · Competitors</t>
  </si>
  <si>
    <t xml:space="preserve">excl. VAT (net price shown; site computes gross at 19%, e.g. 46.99 net / 55.92 gross)</t>
  </si>
  <si>
    <t xml:space="preserve">Free delivery ('Kostenloser Versand'; site states prices incl. delivery)</t>
  </si>
  <si>
    <t xml:space="preserve">not shown; smallwares mostly sold in sets of 6, 8 or 12</t>
  </si>
  <si>
    <t xml:space="preserve">German pan-EU gastro supplier (GGM Gastro International). Prices appear via JavaScript on screen, but each product page's HTML carries schema.org price data for the de-at storefront (net and gross); those values were recorded. Product URLs found via GGM's public sitemap. B2B only.</t>
  </si>
  <si>
    <t xml:space="preserve">excl. VAT ('Zzgl. 20% MwSt.'; gross incl. 20% also shown)</t>
  </si>
  <si>
    <t xml:space="preserve">Austria: free delivery ('frei Haus') from 300 EUR net goods value; charges below that not stated on the shipping page</t>
  </si>
  <si>
    <t xml:space="preserve">Austrian B2B gastro equipment shop (WooCommerce). Carries plastic GN containers/lids (HENDI, RIEBER) and Rieber front-loaders only - no squeeze bottles, cutting boards, dough boxes or trays. Original 17-item basket: 5 items (below the 6-item threshold); new variants 18-34: 8 items. Included at the user's request; prices are counted in the Summary.</t>
  </si>
  <si>
    <t xml:space="preserve">Additional variants · Summary</t>
  </si>
  <si>
    <t xml:space="preserve">ALLPAX Österreich, GGM Gastro (Austrian storefront), GastroHero Österreich, Gastrodax, Intergastro (AT shop), shopbuero.com</t>
  </si>
  <si>
    <t xml:space="preserve">ALLPAX Österreich, GGM Gastro (Austrian storefront), Gastro Star, GastroHero Österreich, Gastrodax, Intergastro (AT shop), Jungheinrich PROFISHOP Austria, shopbuero.com</t>
  </si>
  <si>
    <t xml:space="preserve">ALLPAX Österreich, GGM Gastro (Austrian storefront), Gastro Star, GastroHero Österreich, Gastrodax, Gastroladen.at (Harotec GmbH), Intergastro (AT shop), Jungheinrich PROFISHOP Austria, shopbuero.com</t>
  </si>
  <si>
    <t xml:space="preserve">ALLPAX Österreich, GGM Gastro (Austrian storefront), Gastro Star, GastroHero Österreich, Gastrodax, Gastroladen.at (Harotec GmbH), Intergastro (AT shop), shopbuero.com</t>
  </si>
  <si>
    <t xml:space="preserve">GGM Gastro (Austrian storefront), Gastro Star, GastroHero Österreich, Gastrodax, Gastroladen.at (Harotec GmbH), Intergastro (AT shop), Jungheinrich PROFISHOP Austria, shopbuero.com</t>
  </si>
  <si>
    <t xml:space="preserve">GGM Gastro (Austrian storefront), Gastro Star, GastroHero Österreich, Gastrodax, Intergastro (AT shop), Jungheinrich PROFISHOP Austria, shopbuero.com</t>
  </si>
  <si>
    <t xml:space="preserve">ALLPAX Österreich, GGM Gastro (Austrian storefront), GastroHero Österreich, Gastrodax, Gastroladen.at (Harotec GmbH), Intergastro (AT shop)</t>
  </si>
  <si>
    <t xml:space="preserve">GGM Gastro (Austrian storefront), Gastrodax, Gastroladen.at (Harotec GmbH), Intergastro (AT shop), Jungheinrich PROFISHOP Austria, shopbuero.com</t>
  </si>
  <si>
    <t xml:space="preserve">ALLPAX Österreich, GGM Gastro (Austrian storefront), Gastrodax, Gastroladen.at (Harotec GmbH), Intergastro (AT shop), Jungheinrich PROFISHOP Austria, shopbuero.com</t>
  </si>
  <si>
    <t xml:space="preserve">Gastroladen.at (Harotec GmbH), Intergastro (AT shop)</t>
  </si>
  <si>
    <t xml:space="preserve">Intergastro (AT shop), Jungheinrich PROFISHOP Austria, shopbuero.com</t>
  </si>
  <si>
    <t xml:space="preserve">Additional variants · Not accessible</t>
  </si>
  <si>
    <t xml:space="preserve">LUSINI Austria (incl. VEGA and PULSIVA)</t>
  </si>
  <si>
    <t xml:space="preserve">Blocks automated access: every lusini.com page (including robots.txt and the sitemap) returns HTTP 403 to scripts and to the web-fetch tool, so no price could be read or verified. Re-checked 2026-09-30.</t>
  </si>
  <si>
    <t xml:space="preserve">vega-direct.at and pulsiva.at now redirect to lusini.com/de-at, and vega-direct.com / pulsiva.com to lusini.com/vega and /pulsiva: VEGA and PULSIVA are sold through the LUSINI shop. Search-engine snippets show LUSINI de-at listings (e.g. pdp/248536 'Behälter GN 1/1'), but prices/variants could not be confirmed on the site, so none were recorded. Needs a manual check in a normal browser.</t>
  </si>
  <si>
    <t xml:space="preserve">METRO Austria</t>
  </si>
  <si>
    <t xml:space="preserve">https://shop.metro.at</t>
  </si>
  <si>
    <t xml:space="preserve">Login only: shop.metro.at redirects to the sign-in page ('Willkommen im METRO Shop' - customer registration required). www.metro.at returns HTTP 403 and produkte.metro.at is a JavaScript-only page with no readable product data.</t>
  </si>
  <si>
    <t xml:space="preserve">Cash &amp; carry wholesaler; METRO Professional GN containers exist in its range (seen on metro.de marketplace and in Austrian flyer-aggregator sites), but no current Austrian online price is publicly readable.</t>
  </si>
  <si>
    <t xml:space="preserve">HENDI Austria</t>
  </si>
  <si>
    <t xml:space="preserve">Price not readable: hendi.com/at product pages (3,467 AT URLs in the public sitemap) are JavaScript app shells - the HTML contains no product data or prices, and no HENDI AT prices appear in search indexes. HENDI sells through dealers.</t>
  </si>
  <si>
    <t xml:space="preserve">HENDI products are priced at Gastro Star, GastroHero, Gastrodax and Allpax (see Prices sheet, brand = Hendi).</t>
  </si>
  <si>
    <t xml:space="preserve">Live-confirmed additions</t>
  </si>
  <si>
    <t xml:space="preserve">research_AT.xlsx (current version) · Rows for original basket items that the master had not imported. Each listed price was confirmed on the live page on 30 Sep 2026.</t>
  </si>
  <si>
    <t xml:space="preserve">Live-confirmed additions · Prices</t>
  </si>
  <si>
    <t xml:space="preserve">Germany source extract</t>
  </si>
  <si>
    <t xml:space="preserve">Shipping to DE</t>
  </si>
  <si>
    <t xml:space="preserve">https://www.intergastro.de</t>
  </si>
  <si>
    <t xml:space="preserve">excl. VAT (net shown first; gross incl. 19% MwSt also shown)</t>
  </si>
  <si>
    <t xml:space="preserve">Germany: flat 8.95 EUR net per order regardless of volume/weight (parcel up to ~30 kg, larger by freight); island surcharge 12.50 EUR; express +18.00 EUR. Austria (from AT shop): parcels up to 31.5 kg 8.95 EUR net</t>
  </si>
  <si>
    <t xml:space="preserve">German gastro supplier (Dortmund, since 1952); business customers only. Tiered quantity prices; single-unit price recorded. Same net prices as on intergastro.at.</t>
  </si>
  <si>
    <t xml:space="preserve">https://www.ggmgastro.com/de-de-eur</t>
  </si>
  <si>
    <t xml:space="preserve">excl. VAT (net shown; gross at 19% also given, e.g. 44.99 net / 53.54 gross)</t>
  </si>
  <si>
    <t xml:space="preserve">Free delivery ('Kostenloser Versand', prices 'inkl. Lieferung') from 30 EUR order value, mainland only; island surcharges extra</t>
  </si>
  <si>
    <t xml:space="preserve">German pan-EU gastro supplier (GGM Gastro International, Ochtrup). On-screen prices load via JavaScript, but each product page's HTML carries schema.org price data for the de-de storefront (net and gross); those were recorded. Product URLs from GGM's public sitemap. B2B only. German prices are 2-15 EUR lower than on the Austrian storefront. Checked with a headless browser: the rendered on-screen price matches the recorded value (e.g. 44.99 net for the 6-pack GN 1/1 PC).</t>
  </si>
  <si>
    <t xml:space="preserve">https://www.gastro-hero.de</t>
  </si>
  <si>
    <t xml:space="preserve">excl. VAT (site: 'Alle Preise sind Stückpreise und verstehen sich netto zzgl. MwSt.'; gross incl. 19% shown more prominently)</t>
  </si>
  <si>
    <t xml:space="preserve">Germany: free from 350 EUR net order value; below that 7.90 EUR net shipping</t>
  </si>
  <si>
    <t xml:space="preserve">No order minimum, but many small items have a minimum quantity per item (2, 4, 8 or 12 pcs)</t>
  </si>
  <si>
    <t xml:space="preserve">Hamburg-based gastro webshop (Shopify). Listings load via JavaScript; products located via the public sitemap and read from server-rendered product pages. Business customers only. German net prices differ from the Austrian storefront (mostly lower).</t>
  </si>
  <si>
    <t xml:space="preserve">https://www.allpax.de</t>
  </si>
  <si>
    <t xml:space="preserve">excl. VAT ('Steuerhinweis: zzgl. MwSt.')</t>
  </si>
  <si>
    <t xml:space="preserve">Germany: per shipping table (/ShippingInfo) parcel rates of about 0.00-5.87 EUR (DHL Inland / DPD) depending on article; freight rates shown separately; exact cost in cart</t>
  </si>
  <si>
    <t xml:space="preserve">German packaging &amp; catering supplies retailer (ALLPAX GmbH &amp; Co. KG, Emden) - Hendi, Bartscher, APS, AmerBox ranges. Same net prices as allpax.at. Variant-selector pages (PP GN containers, PP lids) show a default-variant price only, so those items were not recorded.</t>
  </si>
  <si>
    <t xml:space="preserve">https://www.gastroladen.de</t>
  </si>
  <si>
    <t xml:space="preserve">incl. VAT ('alle Preise inkl. Mehrwertsteuer', 19% for DE)</t>
  </si>
  <si>
    <t xml:space="preserve">Germany: parcel and freight 7.95 EUR (all brands except Bartscher &amp; Saro), free from 1,199 EUR; Bartscher/Saro by weight from 8.35 EUR (0-10 kg). Incl. VAT</t>
  </si>
  <si>
    <t xml:space="preserve">SUBSTITUTE - added because LUSINI (incl. VEGA/PULSIVA) and METRO block access. German seller (Harotec GmbH), mostly Nisbets range (Vogue, Cambro, Hygiplas, Gastronoble) plus Bartscher. Same shop as gastroladen.at; DE gross prices are the AT gross prices recalculated at 19%.</t>
  </si>
  <si>
    <t xml:space="preserve">https://www.nisbets.de</t>
  </si>
  <si>
    <t xml:space="preserve">excl. VAT by default ('Zzgl. MwSt.'; toggle to incl. VAT available)</t>
  </si>
  <si>
    <t xml:space="preserve">Germany: free for orders over 100 EUR net; under 100 EUR net 9.95 EUR net (standard, 2-4 working days)</t>
  </si>
  <si>
    <t xml:space="preserve">Pan-EU gastro supplier (Nisbets; Vogue, Hygiplas, Cambro, Araven, Olympia ranges). Site is behind a Cloudflare check that blocks plain scripts; read with a headless Chromium browser (normal browsing, no bypass techniques). Many items show a reduced 'Web Preis' vs UVP; web price recorded. Some items have quantity tiers - single-unit (1+) price recorded.</t>
  </si>
  <si>
    <t xml:space="preserve">excl. VAT ('zzgl. 19% MwSt.')</t>
  </si>
  <si>
    <t xml:space="preserve">Germany (and Austria): free from 99 EUR (incl. VAT) order value; below that 9.95 EUR (incl. VAT) flat; freight items by forwarder</t>
  </si>
  <si>
    <t xml:space="preserve">SUBSTITUTE - added because LUSINI (incl. VEGA/PULSIVA) and METRO block access. German gastro webshop (40,000+ items: Hendi, Contacto, WAS, APS, Rieber). Many Contacto items on 20% 'Sonderangebot' - sale price recorded, normal price in notes. Prices read on gastrodax.de on 2026-09-30.</t>
  </si>
  <si>
    <t xml:space="preserve">GGM Gastro, GastroHero, Gastrodax [substitute], Gastroladen.de (Harotec GmbH) [substitute], Intergastro, Nisbets</t>
  </si>
  <si>
    <t xml:space="preserve">ALLPAX, GastroHero, Gastrodax [substitute], Gastroladen.de (Harotec GmbH) [substitute], Intergastro, Nisbets</t>
  </si>
  <si>
    <t xml:space="preserve">ALLPAX, GGM Gastro, GastroHero, Gastrodax [substitute], Gastroladen.de (Harotec GmbH) [substitute], Intergastro, Nisbets</t>
  </si>
  <si>
    <t xml:space="preserve">Gastrodax [substitute], Gastroladen.de (Harotec GmbH) [substitute], Intergastro, Nisbets</t>
  </si>
  <si>
    <t xml:space="preserve">GastroHero, Gastrodax [substitute], Gastroladen.de (Harotec GmbH) [substitute], Intergastro, Nisbets</t>
  </si>
  <si>
    <t xml:space="preserve">Gastrodax [substitute], Gastroladen.de (Harotec GmbH) [substitute], Nisbets</t>
  </si>
  <si>
    <t xml:space="preserve">ALLPAX, Gastrodax [substitute]</t>
  </si>
  <si>
    <t xml:space="preserve">Net price = listed gross / 1.19 (DE standard VAT 19%) when listed incl. VAT; divided by pack size. Only EXACT and CLOSE matches counted.</t>
  </si>
  <si>
    <t xml:space="preserve">LUSINI Germany (incl. VEGA and PULSIVA)</t>
  </si>
  <si>
    <t xml:space="preserve">https://www.lusini.com/de-de/</t>
  </si>
  <si>
    <t xml:space="preserve">Blocks automated access: all lusini.com pages (incl. robots.txt) return HTTP 403 to scripts and to the web-fetch tool; no price could be read or verified. Checked 2026-09-30. Re-tested with a headless Chromium browser: the Cloudflare 'Sicherheitsüberprüfung wird durchgeführt' (bot check) page never clears, even after 25 s, so the shop cannot be read without bot-detection evasion (not attempted).</t>
  </si>
  <si>
    <t xml:space="preserve">VEGA and PULSIVA are sold through the LUSINI shop: vega-direct.com redirects to lusini.com/vega, pulsiva.com to lusini.com/pulsiva, pulsiva.de to lusini.com/de-de (vega-direct.de does not resolve). Needs a manual check in a normal browser.</t>
  </si>
  <si>
    <t xml:space="preserve">METRO Germany</t>
  </si>
  <si>
    <t xml:space="preserve">https://www.metro.de/marktplatz</t>
  </si>
  <si>
    <t xml:space="preserve">Blocks automated access: www.metro.de including the METRO Marktplatz returns HTTP 403 to scripts and to the web-fetch tool; produkte.metro.de is a JavaScript-only page with no readable product data; shop.metro.de (customer shop) returned 503 / needs a customer login. Re-tested with a headless Chromium browser: METRO returns an access-denied page ('ARE YOU LOST? Sorry, only our team of experts has access here.') for both the Marktplatz start page and product pages.</t>
  </si>
  <si>
    <t xml:space="preserve">Search-engine snippets show METRO Professional PC GN containers on the METRO Marktplatz (e.g. GN 1/1 100 mm, GN 1/2 150 mm), but the prices could not be confirmed on the site, so none were recorded.</t>
  </si>
  <si>
    <t xml:space="preserve">Czech source extract</t>
  </si>
  <si>
    <t xml:space="preserve">Original research values. Item numbers and observation counts removed. The source workbook's formulas (net price per piece, counted / used-in-summary flags, summary statistics) referred to row numbers of the original file and could not evaluate here; on 2 Oct 2026 they were replaced by the values they compute (net = listed / (1 + VAT) when incl. VAT, divided by pack size; summary = EXACT + CLOSE rows of counted competitors).</t>
  </si>
  <si>
    <t xml:space="preserve">VAT rate used</t>
  </si>
  <si>
    <t xml:space="preserve">Price basis (per pack / per piece)</t>
  </si>
  <si>
    <t xml:space="preserve">Net price per piece CZK</t>
  </si>
  <si>
    <t xml:space="preserve">Competitor counted?</t>
  </si>
  <si>
    <t xml:space="preserve">Used in Summary?</t>
  </si>
  <si>
    <t xml:space="preserve">Net price per piece CZK (saved value)</t>
  </si>
  <si>
    <t xml:space="preserve">Competitor counted? (saved value)</t>
  </si>
  <si>
    <t xml:space="preserve">Used in Summary? (saved value)</t>
  </si>
  <si>
    <t xml:space="preserve">Squeeze bottle 500 ml, polypropylene, single tip</t>
  </si>
  <si>
    <t xml:space="preserve">Squeeze bottle 1000 ml, polypropylene, single tip</t>
  </si>
  <si>
    <t xml:space="preserve">Squeeze bottle 500 ml with triple tip</t>
  </si>
  <si>
    <t xml:space="preserve">HACCP PE cutting board 530 x 325 x 20 mm (GN 1/1)</t>
  </si>
  <si>
    <t xml:space="preserve">HACCP PE cutting board 600 x 400 x 20 mm</t>
  </si>
  <si>
    <t xml:space="preserve">HACCP PE cutting board 300 x 200 x 10 mm</t>
  </si>
  <si>
    <t xml:space="preserve">Pizza dough proofing box 600 x 400 x 100 mm, polypropylene</t>
  </si>
  <si>
    <t xml:space="preserve">Lid for 600 x 400 mm dough box</t>
  </si>
  <si>
    <t xml:space="preserve">Pizza dough proofing box 600 x 400 x 75 mm, polyethylene</t>
  </si>
  <si>
    <t xml:space="preserve">Front-loading insulated thermobox for GN 1/1, approx. 80-90 l</t>
  </si>
  <si>
    <t xml:space="preserve">Service tray approx. 370 x 530 mm, ABS/polypropylene</t>
  </si>
  <si>
    <t xml:space="preserve">Type (local / pan-EU / marketplace)</t>
  </si>
  <si>
    <t xml:space="preserve">Prices shown incl./excl. VAT</t>
  </si>
  <si>
    <t xml:space="preserve">Shipping to Czechia</t>
  </si>
  <si>
    <t xml:space="preserve">Shipping to Austria (business address)</t>
  </si>
  <si>
    <t xml:space="preserve">Shipping VAT treatment</t>
  </si>
  <si>
    <t xml:space="preserve">Free-shipping threshold</t>
  </si>
  <si>
    <t xml:space="preserve">Minimum order value</t>
  </si>
  <si>
    <t xml:space="preserve">Shipping / terms source URL(s)</t>
  </si>
  <si>
    <t xml:space="preserve">Counted (yes/no)</t>
  </si>
  <si>
    <t xml:space="preserve">Counted (yes/no) (saved value)</t>
  </si>
  <si>
    <t xml:space="preserve">https://www.tomgast.cz/</t>
  </si>
  <si>
    <t xml:space="preserve">B2B + B2C (HORECA specialist; sells to consumers and businesses)</t>
  </si>
  <si>
    <t xml:space="preserve">Both shown: incl. 21% VAT as main price, "bez DPH" (excl. VAT) shown alongside</t>
  </si>
  <si>
    <t xml:space="preserve">GLS 149 CZK or PPL to address 149 CZK; personal pick-up Karviná free; cash on delivery +39 CZK</t>
  </si>
  <si>
    <t xml:space="preserve">Not offered: checkout country list contains only Czech Republic and Slovakia (checked in cart 2026-09-30). No Austrian shipping rate published.</t>
  </si>
  <si>
    <t xml:space="preserve">Shipping incl. 21% VAT (checkout: 1,440 CZK item + 149 CZK shipping = 1,589 CZK total, 1,313.22 CZK excl. VAT)</t>
  </si>
  <si>
    <t xml:space="preserve">Over 6,000 CZK (shipping page says "nad 6 000 Kč"; site header says "Objednávky nad 6 000 Kč bez DPH doručíme zdarma" i.e. 6,000 CZK excl. VAT)</t>
  </si>
  <si>
    <t xml:space="preserve">Not stated</t>
  </si>
  <si>
    <t xml:space="preserve">https://www.tomgast.cz/doprava-a-platba/ ; https://www.tomgast.cz/obchodni-podminky/ ; checkout https://www.tomgast.cz/objednavka/krok-1/</t>
  </si>
  <si>
    <t xml:space="preserve">Karviná-based HORECA wholesaler (TOMGAST Czech Republic s.r.o.), large Cambro range. Prices public without login. Stock status shown per item; some chosen items are "Očekáváme naskladnění" (awaiting stock).</t>
  </si>
  <si>
    <t xml:space="preserve">https://eshop.gastronovotny.cz/</t>
  </si>
  <si>
    <t xml:space="preserve">B2B-oriented wholesale ("Velkoobchod s gastro vybavením"), also sells to consumers (consumer withdrawal rights in T&amp;C)</t>
  </si>
  <si>
    <t xml:space="preserve">Main price excl. VAT; "včetně DPH" (incl. 21% VAT) shown alongside</t>
  </si>
  <si>
    <t xml:space="preserve">Checkout options: PPL up to 20 kg 275 CZK; TopTrans (large/atypical items) 990 CZK; personal pick-up Brno free; cash on delivery +45 CZK</t>
  </si>
  <si>
    <t xml:space="preserve">Not offered: checkout step 2 offers only "Česká republika" as billing/delivery country (checked 2026-09-30). No Austrian rate published.</t>
  </si>
  <si>
    <t xml:space="preserve">Shipping prices shown excl. VAT (PPL 275 CZK = 332.75 CZK incl. VAT in checkout)</t>
  </si>
  <si>
    <t xml:space="preserve">No general free-shipping threshold published; some individual products (e.g. Liebherr appliances) flagged "Doprava ZDARMA"</t>
  </si>
  <si>
    <t xml:space="preserve">500 CZK excl. VAT (cart: "Minimální cena objednávky je 500 Kč bez DPH")</t>
  </si>
  <si>
    <t xml:space="preserve">https://eshop.gastronovotny.cz/obchodni-podminky/ ; checkout https://eshop.gastronovotny.cz/objednavka/krok-1/</t>
  </si>
  <si>
    <t xml:space="preserve">GASTRO NOVOTNÝ, družstvo, Brno. Prices public without login. Many items show availability "Na dotaz" (availability on request) while the price is displayed - recorded as listed prices; noted per item. No squeeze bottle near 1,000 ml, no triple-tip bottle, no pump dispenser, no 300 x 200 board, no dough-box lid, no thermo tray found.</t>
  </si>
  <si>
    <t xml:space="preserve">https://www.gastrozone.cz/</t>
  </si>
  <si>
    <t xml:space="preserve">B2C + B2B (gastro and household range; published T&amp;C are written for consumers and state they do not apply to business buyers)</t>
  </si>
  <si>
    <t xml:space="preserve">Main price incl. 21% VAT; "bez DPH" (excl. VAT) shown below on product pages</t>
  </si>
  <si>
    <t xml:space="preserve">Address delivery (DPD/GLS/PPL, carrier chosen by shop) 95 CZK; pick-up points 49-79 CZK (GLS ParcelShop 49, Balíkovna 59, Zásilkovna 65, PPL Smart 69, DPD Pickup 79); cash on delivery +35 CZK approx.; pick-up Tábor warehouse free. Bulky goods: special transport agreed individually.</t>
  </si>
  <si>
    <t xml:space="preserve">No published rate: "Doprava do zahraničí" - price set individually from carriers' tariffs and quoted on request before order confirmation; invoiced under destination-country VAT rules. Quote required.</t>
  </si>
  <si>
    <t xml:space="preserve">Shipping prices shown incl. VAT ("s DPH")</t>
  </si>
  <si>
    <t xml:space="preserve">All CZ delivery and pick-up options free for orders over 3,000 CZK incl. VAT (CZ only)</t>
  </si>
  <si>
    <t xml:space="preserve">https://www.gastrozone.cz/informace/doprava-a-platba/ ; https://www.gastrozone.cz/informace/obchodni-podminky/</t>
  </si>
  <si>
    <t xml:space="preserve">GASTROZONE, spol. s r.o., Tábor. Broad multi-brand range (Araven, APS, Pujadas, Cambro, Hendi, Schneider, Contacto). Prices public without login. Several chosen items are "Na objednávku (3-5 týdnů)" (to order); noted per item.</t>
  </si>
  <si>
    <t xml:space="preserve">https://www.gastromania.cz/</t>
  </si>
  <si>
    <t xml:space="preserve">B2B + B2C (HORECA equipment "velkoobchod"; consumer T&amp;C; separate B2B reseller programme)</t>
  </si>
  <si>
    <t xml:space="preserve">Both shown: "bez DPH" (excl.) and "s DPH" (incl. 21% VAT); prices injected by JavaScript (read with a rendering browser)</t>
  </si>
  <si>
    <t xml:space="preserve">PPL: 109 CZK with bank transfer/online payment, 169 CZK cash on delivery (parcels up to 31.5 kg, max 60x60x120 cm); oversize, &gt;31.5 kg or pallet shipments priced individually at order confirmation</t>
  </si>
  <si>
    <t xml:space="preserve">Not published: T&amp;C state that published delivery costs apply only to delivery within the Czech Republic; no Austrian rate or foreign-delivery terms found (quote would be needed).</t>
  </si>
  <si>
    <t xml:space="preserve">Shipping VAT treatment not stated explicitly for the 109/169 CZK fees (free-shipping threshold is stated incl. VAT)</t>
  </si>
  <si>
    <t xml:space="preserve">Over 7,000 CZK incl. VAT ("Při nákupu nad 7000 Kč s DPH je doprava zdarma")</t>
  </si>
  <si>
    <t xml:space="preserve">Not stated (20% deposit required for orders over 10,000 CZK incl. VAT and made-to-order goods)</t>
  </si>
  <si>
    <t xml:space="preserve">https://www.gastromania.cz/zpusoby-dopravy.html ; https://www.gastromania.cz/obchodni-podminky.html</t>
  </si>
  <si>
    <t xml:space="preserve">Ostrava-area HORECA shop with CZ/SK storefronts. Multi-brand (Hendi, Contacto, Stalgast, APS, Redfox, Cambro, Yato) and also lists TOMGAST-branded items at identical prices to tomgast.cz. Many items show a crossed-out base price with a current discounted price; the current price for 1 pc is recorded and discounts noted. Where several variants match equally, the lowest current price was taken.</t>
  </si>
  <si>
    <t xml:space="preserve">https://www.ggmgastro.com/cs-cz-czk/</t>
  </si>
  <si>
    <t xml:space="preserve">B2B only (site footer: offers aimed exclusively at commercial customers per §14 BGB, not consumers)</t>
  </si>
  <si>
    <t xml:space="preserve">Excl. VAT (net CZK) shown as main price; gross shown "vč. 19% DPH" - the CZ storefront applies German 19% VAT, not Czech 21%</t>
  </si>
  <si>
    <t xml:space="preserve">Product pages show "Doprava zdarma**" and footnote "Všechny ceny plus DPH 19 %, včetně dodávky" (prices include delivery); site banner "Doprava zdarma po celé Evropě na všechny objednávky". ** = mainland only; island surcharge.</t>
  </si>
  <si>
    <t xml:space="preserve">No specific Austrian rate on the CZ storefront; site banner claims free delivery across Europe on all orders, but the shipping-cost page (English text) says its listed rates (free from 30 EUR net; insured 9.90 EUR, lifting platform 19.90/29.90 EUR, express from 49.90 EUR) apply to the German mainland only and other European countries must request a quote. Austrian customers are normally served via the de-at-eur storefront.</t>
  </si>
  <si>
    <t xml:space="preserve">Shipping stated as included in prices (net); where charged, rates on shipping-cost page are in EUR net</t>
  </si>
  <si>
    <t xml:space="preserve">Free shipping claimed on all orders (Europe-wide banner); shipping-cost page: free from 30 EUR net purchase value (German mainland)</t>
  </si>
  <si>
    <t xml:space="preserve">Not stated (free-shipping reference value 30 EUR net)</t>
  </si>
  <si>
    <t xml:space="preserve">https://www.ggmgastro.com/cs-cz-czk/shipping-cost ; https://www.ggmgastro.com/cs-cz-czk/terms</t>
  </si>
  <si>
    <t xml:space="preserve">GGM Gastro International GmbH (Germany), Czech-language CZK storefront. Site search and pages are JavaScript-rendered and block headless browsers; products were located via the public product sitemap and read in a full (non-headless) browser. Many products are sold in multi-packs (price per pack; per-piece net computed). Some pages show odd bulk banners (e.g. "30 929,19 Kč Sleva-10%") not used. No 300 x 200 board, no triple-tip bottle (only a 3-hole membrane accessory FFO-055), no separate 600x400 dough-box lid and no thermo tray found.</t>
  </si>
  <si>
    <t xml:space="preserve">MAKRO Czechia</t>
  </si>
  <si>
    <t xml:space="preserve">https://www.makro.cz/</t>
  </si>
  <si>
    <t xml:space="preserve">B2B (cash &amp; carry wholesaler; makro customer card / registration)</t>
  </si>
  <si>
    <t xml:space="preserve">Hidden: product listings on sortiment.makro.cz show "Pro zobrazení cen se prosím přihlaste" (log in to see prices)</t>
  </si>
  <si>
    <t xml:space="preserve">"makro distribuce" delivery service (m-objednávka) for registered customers; only requirement stated is a minimum order value (amount not published publicly). Otherwise in-store purchase ("Nakoupíte v obchodě").</t>
  </si>
  <si>
    <t xml:space="preserve">Not offered / not published</t>
  </si>
  <si>
    <t xml:space="preserve">Not published</t>
  </si>
  <si>
    <t xml:space="preserve">Minimum order value required for makro distribuce - amount not shown publicly</t>
  </si>
  <si>
    <t xml:space="preserve">https://www.makro.cz/makro-distribuce ; https://sortiment.makro.cz/shop/search?q=gastron%C3%A1doba%20polykarbon%C3%A1t</t>
  </si>
  <si>
    <t xml:space="preserve">Login-only prices - NOT COUNTED. Relevant items exist in the catalogue (e.g. METRO PROFESSIONAL polycarbonate GN 1/1 and 1/2 150 mm containers, APS and Hendi GN containers) but no price is publicly readable. www.makro.cz returns HTTP 403 to plain scripts; readable in a browser.</t>
  </si>
  <si>
    <t xml:space="preserve">A GASTRO</t>
  </si>
  <si>
    <t xml:space="preserve">https://agastro.cz/</t>
  </si>
  <si>
    <t xml:space="preserve">Unknown (HORECA equipment shop per search-engine snippets)</t>
  </si>
  <si>
    <t xml:space="preserve">Not readable - site blocked (Cloudflare security check / HTTP 403)</t>
  </si>
  <si>
    <t xml:space="preserve">NOT COUNTED - access error. Every URL tried (home, robots.txt, sitemap.xml, www/eshop subdomains, category pages) returns HTTP 403 or a Cloudflare "Provádění bezpečnostního ověření" challenge, both to scripts and to a full browser; the web-fetch tool also gets 403. Search-engine results show category pages such as /gastronadoby-vacbox/, /gastronadoby-zmrlinove/ and /detail/21689/, but no price could be verified, so none recorded. Needs a manual check in a normal browser.</t>
  </si>
  <si>
    <t xml:space="preserve">Item description</t>
  </si>
  <si>
    <t xml:space="preserve">Min net/pc CZK</t>
  </si>
  <si>
    <t xml:space="preserve">Median net/pc CZK</t>
  </si>
  <si>
    <t xml:space="preserve">Max net/pc CZK</t>
  </si>
  <si>
    <t xml:space="preserve">Competitors in statistics</t>
  </si>
  <si>
    <t xml:space="preserve">Min net/pc CZK (saved value)</t>
  </si>
  <si>
    <t xml:space="preserve">Median net/pc CZK (saved value)</t>
  </si>
  <si>
    <t xml:space="preserve">Max net/pc CZK (saved value)</t>
  </si>
  <si>
    <t xml:space="preserve">Competitors in statistics (saved value)</t>
  </si>
  <si>
    <t xml:space="preserve">GGM Gastro (CZ storefront), Gastromania, Gastrozone, TOMGAST</t>
  </si>
  <si>
    <t xml:space="preserve">GGM Gastro (CZ storefront), Gastro Novotný, Gastromania, Gastrozone, TOMGAST</t>
  </si>
  <si>
    <t xml:space="preserve">GGM Gastro (CZ storefront), Gastromania, Gastrozone</t>
  </si>
  <si>
    <t xml:space="preserve">GGM Gastro (CZ storefront), Gastro Novotný, Gastromania, Gastrozone</t>
  </si>
  <si>
    <t xml:space="preserve">Gastromania, Gastrozone, TOMGAST</t>
  </si>
  <si>
    <t xml:space="preserve">GGM Gastro (CZ storefront), Gastro Novotný</t>
  </si>
  <si>
    <t xml:space="preserve">Notes:</t>
  </si>
  <si>
    <t xml:space="preserve">Statistics use only primary observations with match quality EXACT or CLOSE from competitors marked Counted = yes on the Competitors sheet (max one observation per competitor per item).</t>
  </si>
  <si>
    <t xml:space="preserve">Net price per piece = listed price / (1 + VAT rate) when the listed price includes VAT, divided by pack size when the price is per pack. Czech VAT 21%.</t>
  </si>
  <si>
    <t xml:space="preserve">Blank statistics = no qualifying observation. APPROX matches are listed on the Prices sheet but excluded from statistics.</t>
  </si>
  <si>
    <t xml:space="preserve">Where several products matched equally well, the lowest current 1-unit price was taken as primary; alternatives, promotions and pack sizes are in the Prices notes.</t>
  </si>
  <si>
    <t xml:space="preserve">GGM Gastro prices are shown net on its CZ storefront (gross uses German 19% VAT, recorded in the VAT-rate column); net per piece is taken directly from the displayed net price. All other shops use Czech 21% VAT.</t>
  </si>
  <si>
    <t xml:space="preserve">Prices checked 2026-09-30. All prices in CZK from Czech storefronts. MAKRO (login-only prices) and A GASTRO (site blocked) are not counted - see Not accessible.</t>
  </si>
  <si>
    <t xml:space="preserve">https://sortiment.makro.cz/shop/search?q=gastron%C3%A1doba%20polykarbon%C3%A1t</t>
  </si>
  <si>
    <t xml:space="preserve">Login required: every product tile shows "Pro zobrazení cen se prosím přihlaste" (please log in to view prices). Checked GN containers (METRO PROFESSIONAL, APS, Hendi).</t>
  </si>
  <si>
    <t xml:space="preserve">Competitor not counted. Homepage www.makro.cz returns HTTP 403 to non-browser clients.</t>
  </si>
  <si>
    <t xml:space="preserve">https://www.makro.cz/metro/services/idamstream/login?returnUrl=/</t>
  </si>
  <si>
    <t xml:space="preserve">Price display link on homepage product teasers ("Přihlaste se pro zobrazení ceny") leads to login.</t>
  </si>
  <si>
    <t xml:space="preserve">Access error: Cloudflare bot challenge / HTTP 403 on all pages (home, robots.txt, sitemap.xml, category pages), in scripts, a full browser and the web-fetch tool.</t>
  </si>
  <si>
    <t xml:space="preserve">Competitor not counted. Search snippets only (e.g. https://agastro.cz/gastronadoby-vacbox/, https://agastro.cz/detail/21689/) - not used as price evidence.</t>
  </si>
  <si>
    <t xml:space="preserve">https://agastro.cz/gastronadoby-vacbox/</t>
  </si>
  <si>
    <t xml:space="preserve">HTTP 403 (Cloudflare) - category page found via search engine could not be opened.</t>
  </si>
  <si>
    <t xml:space="preserve">https://www.ggmgastro.com/cs-cz-czk/search?q=polykarbon%C3%A1t</t>
  </si>
  <si>
    <t xml:space="preserve">Search results are JavaScript-loaded and the site returns "403 FORBIDDEN - This request was blocked" to headless browsers.</t>
  </si>
  <si>
    <t xml:space="preserve">Worked around: products located via the public product sitemap and read in a full (non-headless) browser; prices recorded from product pages.</t>
  </si>
  <si>
    <t xml:space="preserve">https://www.ggmgastro.com/cs-cz-czk/6-ks-stlacovaci-lahev-na-omacky-1-020-ml-o-80-mm-se-sroubovacim-uzaverem-a-uzaviraci-cepickou-transparentni-93259-6</t>
  </si>
  <si>
    <t xml:space="preserve">Product shows "Není k dispozici pro vybranou zemi dodání" (not available for the selected delivery country).</t>
  </si>
  <si>
    <t xml:space="preserve">Not used as primary observation for item 6.</t>
  </si>
  <si>
    <t xml:space="preserve">https://www.gastromania.cz/products/search/language:cze?q=polykarbon%C3%A1t+GN+1%2F1</t>
  </si>
  <si>
    <t xml:space="preserve">Prices are injected by JavaScript (empty in raw HTML).</t>
  </si>
  <si>
    <t xml:space="preserve">Worked around: read with a rendering browser; all recorded prices verified on rendered product pages/listings.</t>
  </si>
  <si>
    <t xml:space="preserve">research_CZ.xlsx · Original basket entries remain in the existing extract above.</t>
  </si>
  <si>
    <t xml:space="preserve">Items 18-34 (additional variants) added 2026-09-30 for the same competitors; same rules (EXACT/CLOSE only in statistics, net = gross/1.21 for Czech VAT, GGM uses its own net CZK).</t>
  </si>
  <si>
    <t xml:space="preserve">Slovakia source extract</t>
  </si>
  <si>
    <t xml:space="preserve">Original research values. Item numbers and observation counts removed. The source workbook's formulas (summary value, counted flag, summary statistics) referred to row numbers of the original file and could not evaluate here; on 2 Oct 2026 they were replaced by their saved values.</t>
  </si>
  <si>
    <t xml:space="preserve">Pack size</t>
  </si>
  <si>
    <t xml:space="preserve">Summary value (EXACT/CLOSE from counted competitor)</t>
  </si>
  <si>
    <t xml:space="preserve">Net price per piece EUR (saved value)</t>
  </si>
  <si>
    <t xml:space="preserve">Summary value (EXACT/CLOSE from counted competitor) (saved value)</t>
  </si>
  <si>
    <t xml:space="preserve">B2B or B2C focus</t>
  </si>
  <si>
    <t xml:space="preserve">Shipping to Slovakia</t>
  </si>
  <si>
    <t xml:space="preserve">Shipping to Austria</t>
  </si>
  <si>
    <t xml:space="preserve">Shipping/terms source URL</t>
  </si>
  <si>
    <t xml:space="preserve">METRO Slovakia</t>
  </si>
  <si>
    <t xml:space="preserve">https://www.metro.sk/</t>
  </si>
  <si>
    <t xml:space="preserve">B2B (cash &amp; carry, registered business customers)</t>
  </si>
  <si>
    <t xml:space="preserve">Not readable (site blocked)</t>
  </si>
  <si>
    <t xml:space="preserve">Every www.metro.sk URL (home page, robots.txt) returned HTTP 403 from a METRO-branded block page to scripts and to the web-fetch tool; shop.metro.sk / produkty.metro.sk did not resolve through the proxy. No prices recorded. Needs a manual check in a normal browser (METRO online shop typically needs a customer card login).</t>
  </si>
  <si>
    <t xml:space="preserve">https://gastromania.sk/</t>
  </si>
  <si>
    <t xml:space="preserve">B2B + B2C (HORECA specialist; B2B contract customers)</t>
  </si>
  <si>
    <t xml:space="preserve">Both shown on product pages: 'Cena bez DPH' (shown first) and 'Cena s DPH' (23%). T&amp;Cs state prices include VAT.</t>
  </si>
  <si>
    <t xml:space="preserve">SPS courier 8 EUR (bank transfer / online payment) or 9 EUR (cash on delivery), parcels max 31.5 kg and 60x60x120 cm; oversized parcels and pallet freight priced individually at order confirmation.</t>
  </si>
  <si>
    <t xml:space="preserve">Not offered publicly: T&amp;Cs state published delivery costs apply only within the Slovak Republic; no Austria option or price shown.</t>
  </si>
  <si>
    <t xml:space="preserve">Not explicitly stated for shipping; T&amp;Cs say listed prices include VAT</t>
  </si>
  <si>
    <t xml:space="preserve">Free delivery from 300 EUR (incl./excl. VAT not stated)</t>
  </si>
  <si>
    <t xml:space="preserve">None stated</t>
  </si>
  <si>
    <t xml:space="preserve">https://gastromania.sk/sposoby-dorucenia.html ; https://gastromania.sk/obchodne-podmienky.html ; https://gastromania.sk/b2b.html</t>
  </si>
  <si>
    <t xml:space="preserve">Czech company (Český Těšín, IČ 28654684) with a Slovak storefront; large HORECA range (Contacto, HENDI, Stalgast, Bartscher, Cambro, APS). B2B customers sign a contract and get individual offers after login (not recorded). Many items show promotional prices with a crossed-out base price and 'lowest price in last 30 days'; the current (first-shown) price is recorded. Scripted access was repeatedly rate-limited (CAPTCHA), so product pages were read through the web-fetch tool on the same date.</t>
  </si>
  <si>
    <t xml:space="preserve">GastroMarket.sk</t>
  </si>
  <si>
    <t xml:space="preserve">https://www.gastromarket.sk/</t>
  </si>
  <si>
    <t xml:space="preserve">Not determined (site not readable)</t>
  </si>
  <si>
    <t xml:space="preserve">Not readable (Cloudflare challenge)</t>
  </si>
  <si>
    <t xml:space="preserve">All URLs (home, robots.txt, sitemap.xml, search) return HTTP 403 with a Cloudflare 'Len chvíľu...' JavaScript challenge, both to scripts and to the web-fetch tool. No prices recorded. Web-search results associate GastroMarket with Linorex s.r.o. (Bratislava) through public-procurement contract PDFs on crz.gov.sk; those tender prices were NOT used (not current webshop prices). Needs a manual check in a normal browser.</t>
  </si>
  <si>
    <t xml:space="preserve">https://www.gastrozone.sk/</t>
  </si>
  <si>
    <t xml:space="preserve">B2C (B2B account available)</t>
  </si>
  <si>
    <t xml:space="preserve">incl. VAT (23% SK DPH) shown first; net 'bez DPH' also shown on product pages</t>
  </si>
  <si>
    <t xml:space="preserve">Home delivery (courier) 4.90 EUR; pick-up points (Packeta, GLS ParcelShop) 3.90 EUR; DPD Pickup / Express One 4.20 EUR. Cash on delivery +1.80 EUR.</t>
  </si>
  <si>
    <t xml:space="preserve">Not offered publicly: the shop's T&amp;Cs state published delivery costs apply only to delivery within the Slovak Republic; no Austria option shown (storefronts only SK/CZ/HU).</t>
  </si>
  <si>
    <t xml:space="preserve">Shipping prices shown incl. VAT with net in brackets (e.g. 4.90 EUR = 3.98 EUR bez DPH)</t>
  </si>
  <si>
    <t xml:space="preserve">Free delivery and pick-up for orders over 120 EUR incl. VAT (SK)</t>
  </si>
  <si>
    <t xml:space="preserve">https://www.gastrozone.sk/informacie/doprava-a-platba/ ; https://www.gastrozone.sk/informacie/obchodne-podmienky/</t>
  </si>
  <si>
    <t xml:space="preserve">Czech company (Tábor/Hajany, VAT ID CZ29181747) running a Slovak-language storefront; general gastro + household range (Araven, Pujadas, HENDI, APS, Cambro, Schneider). Public prices are retail; registered B2B customers see wholesale prices after login (not recorded). Slovak T&amp;Cs apply to consumers only. Several items shown 'Na objednávku (3-5 týždňov)' (to order, 3-5 weeks).</t>
  </si>
  <si>
    <t xml:space="preserve">Min net price per piece EUR</t>
  </si>
  <si>
    <t xml:space="preserve">Median net price per piece EUR</t>
  </si>
  <si>
    <t xml:space="preserve">Max net price per piece EUR</t>
  </si>
  <si>
    <t xml:space="preserve">Min net price per piece EUR (saved value)</t>
  </si>
  <si>
    <t xml:space="preserve">Median net price per piece EUR (saved value)</t>
  </si>
  <si>
    <t xml:space="preserve">Max net price per piece EUR (saved value)</t>
  </si>
  <si>
    <t xml:space="preserve">HACCP colour-coded PE cutting board 530 x 325 x 20 mm (GN 1/1)</t>
  </si>
  <si>
    <t xml:space="preserve">HACCP colour-coded PE cutting board 600 x 400 x 20 mm</t>
  </si>
  <si>
    <t xml:space="preserve">HACCP colour-coded PE cutting board 300 x 200 x 10 mm</t>
  </si>
  <si>
    <t xml:space="preserve">Statistics use only EXACT and CLOSE primary observations from counted competitors (Prices column P), one per competitor per item.</t>
  </si>
  <si>
    <t xml:space="preserve">Net price per piece = listed price / 1.23 when the listed price includes Slovak VAT (23%), divided by pack size when priced per pack.</t>
  </si>
  <si>
    <t xml:space="preserve">Blank statistics = no qualifying observation. APPROX matches are listed on the Prices sheet but excluded here.</t>
  </si>
  <si>
    <t xml:space="preserve">Competitor / page</t>
  </si>
  <si>
    <t xml:space="preserve">Access error: HTTP 403 block page on all www.metro.sk URLs (scripts and web-fetch tool); shop.metro.sk and produkty.metro.sk unreachable. METRO online prices are normally shown only to registered customers.</t>
  </si>
  <si>
    <t xml:space="preserve">Not counted. No price evidence gathered; no search-snippet prices used.</t>
  </si>
  <si>
    <t xml:space="preserve">Access error: Cloudflare JavaScript bot challenge (HTTP 403 'Len chvíľu...') on every URL incl. robots.txt, sitemap and search.</t>
  </si>
  <si>
    <t xml:space="preserve">Not counted. No prices could be read; web search found only public-procurement PDFs (crz.gov.sk), not used as price evidence.</t>
  </si>
  <si>
    <t xml:space="preserve">Gastromania.sk (scripted access only)</t>
  </si>
  <si>
    <t xml:space="preserve">Partial access issue: after about 20 scripted requests the site returned a 'Security check' CAPTCHA page (IP rate limit). Listing pages load prices by JavaScript; product pages show prices in HTML.</t>
  </si>
  <si>
    <t xml:space="preserve">Competitor IS counted: prices were read from the live product pages via the web-fetch tool on the same date. Listed here only to document the access limitation.</t>
  </si>
</sst>
</file>

<file path=xl/styles.xml><?xml version="1.0" encoding="utf-8"?>
<styleSheet xmlns="http://schemas.openxmlformats.org/spreadsheetml/2006/main">
  <numFmts count="17">
    <numFmt numFmtId="164" formatCode="General"/>
    <numFmt numFmtId="165" formatCode="#,##0.00"/>
    <numFmt numFmtId="166" formatCode="\€#,##0.00"/>
    <numFmt numFmtId="167" formatCode="dd\ mmm\ yyyy"/>
    <numFmt numFmtId="168" formatCode="0%"/>
    <numFmt numFmtId="169" formatCode="General"/>
    <numFmt numFmtId="170" formatCode="\+0%;\-0%;0%"/>
    <numFmt numFmtId="171" formatCode="#,##0"/>
    <numFmt numFmtId="172" formatCode="0.0%"/>
    <numFmt numFmtId="173" formatCode="0.0000"/>
    <numFmt numFmtId="174" formatCode="0.000"/>
    <numFmt numFmtId="175" formatCode="dd\ mmm\ yyyy\ hh:mm"/>
    <numFmt numFmtId="176" formatCode="0.000000"/>
    <numFmt numFmtId="177" formatCode="0"/>
    <numFmt numFmtId="178" formatCode="0.########"/>
    <numFmt numFmtId="179" formatCode="m/d/yyyy"/>
    <numFmt numFmtId="180" formatCode="0.00"/>
  </numFmts>
  <fonts count="26">
    <font>
      <sz val="11"/>
      <name val="Calibri"/>
      <family val="0"/>
      <charset val="1"/>
    </font>
    <font>
      <sz val="10"/>
      <name val="Arial"/>
      <family val="0"/>
    </font>
    <font>
      <sz val="10"/>
      <name val="Arial"/>
      <family val="0"/>
    </font>
    <font>
      <sz val="10"/>
      <name val="Arial"/>
      <family val="0"/>
    </font>
    <font>
      <sz val="10"/>
      <color rgb="FF233548"/>
      <name val="Arial"/>
      <family val="0"/>
      <charset val="1"/>
    </font>
    <font>
      <b val="true"/>
      <sz val="16"/>
      <color rgb="FF17324F"/>
      <name val="Arial"/>
      <family val="0"/>
      <charset val="1"/>
    </font>
    <font>
      <sz val="10"/>
      <color rgb="FF26394E"/>
      <name val="Arial"/>
      <family val="0"/>
      <charset val="1"/>
    </font>
    <font>
      <i val="true"/>
      <sz val="10"/>
      <color rgb="FF6A7C8E"/>
      <name val="Arial"/>
      <family val="0"/>
      <charset val="1"/>
    </font>
    <font>
      <b val="true"/>
      <sz val="10"/>
      <color rgb="FF17324F"/>
      <name val="Arial"/>
      <family val="0"/>
      <charset val="1"/>
    </font>
    <font>
      <sz val="10"/>
      <color rgb="FF855A19"/>
      <name val="Arial"/>
      <family val="0"/>
      <charset val="1"/>
    </font>
    <font>
      <sz val="10"/>
      <color rgb="FF6A7C8E"/>
      <name val="Arial"/>
      <family val="0"/>
      <charset val="1"/>
    </font>
    <font>
      <b val="true"/>
      <sz val="10"/>
      <color rgb="FF177B82"/>
      <name val="Arial"/>
      <family val="0"/>
      <charset val="1"/>
    </font>
    <font>
      <b val="true"/>
      <sz val="10"/>
      <color rgb="FFFFFFFF"/>
      <name val="Arial"/>
      <family val="0"/>
      <charset val="1"/>
    </font>
    <font>
      <sz val="10"/>
      <color rgb="FF2866A6"/>
      <name val="Arial"/>
      <family val="0"/>
      <charset val="1"/>
    </font>
    <font>
      <b val="true"/>
      <sz val="10"/>
      <color rgb="FF2866A6"/>
      <name val="Arial"/>
      <family val="0"/>
      <charset val="1"/>
    </font>
    <font>
      <b val="true"/>
      <sz val="14"/>
      <name val="Cambria"/>
      <family val="0"/>
      <charset val="1"/>
    </font>
    <font>
      <b val="true"/>
      <sz val="11"/>
      <name val="Cambria"/>
      <family val="0"/>
      <charset val="1"/>
    </font>
    <font>
      <i val="true"/>
      <sz val="11"/>
      <name val="Cambria"/>
      <family val="0"/>
      <charset val="1"/>
    </font>
    <font>
      <b val="true"/>
      <sz val="11"/>
      <color rgb="FFFFFFFF"/>
      <name val="Cambria"/>
      <family val="0"/>
      <charset val="1"/>
    </font>
    <font>
      <b val="true"/>
      <sz val="12"/>
      <name val="Cambria"/>
      <family val="0"/>
      <charset val="1"/>
    </font>
    <font>
      <b val="true"/>
      <sz val="10"/>
      <color rgb="FF855A19"/>
      <name val="Arial"/>
      <family val="0"/>
      <charset val="1"/>
    </font>
    <font>
      <sz val="10"/>
      <name val="Arial"/>
      <family val="2"/>
    </font>
    <font>
      <b val="true"/>
      <sz val="10"/>
      <color rgb="FF72609A"/>
      <name val="Arial"/>
      <family val="0"/>
      <charset val="1"/>
    </font>
    <font>
      <sz val="10"/>
      <color rgb="FF17324F"/>
      <name val="Arial"/>
      <family val="0"/>
      <charset val="1"/>
    </font>
    <font>
      <b val="true"/>
      <sz val="10"/>
      <color rgb="FF26394E"/>
      <name val="Arial"/>
      <family val="0"/>
      <charset val="1"/>
    </font>
    <font>
      <i val="true"/>
      <sz val="10"/>
      <color rgb="FF26394E"/>
      <name val="Arial"/>
      <family val="0"/>
      <charset val="1"/>
    </font>
  </fonts>
  <fills count="22">
    <fill>
      <patternFill patternType="none"/>
    </fill>
    <fill>
      <patternFill patternType="gray125"/>
    </fill>
    <fill>
      <patternFill patternType="solid">
        <fgColor rgb="FFFFFFFF"/>
        <bgColor rgb="FFFAFCFE"/>
      </patternFill>
    </fill>
    <fill>
      <patternFill patternType="solid">
        <fgColor rgb="FFFFF2CD"/>
        <bgColor rgb="FFFFF2CC"/>
      </patternFill>
    </fill>
    <fill>
      <patternFill patternType="solid">
        <fgColor rgb="FF17324F"/>
        <bgColor rgb="FF233548"/>
      </patternFill>
    </fill>
    <fill>
      <patternFill patternType="solid">
        <fgColor rgb="FF2866A6"/>
        <bgColor rgb="FF245A81"/>
      </patternFill>
    </fill>
    <fill>
      <patternFill patternType="solid">
        <fgColor rgb="FF177B82"/>
        <bgColor rgb="FF2866A6"/>
      </patternFill>
    </fill>
    <fill>
      <patternFill patternType="solid">
        <fgColor rgb="FF4B759B"/>
        <bgColor rgb="FF526B82"/>
      </patternFill>
    </fill>
    <fill>
      <patternFill patternType="solid">
        <fgColor rgb="FF465C79"/>
        <bgColor rgb="FF526B82"/>
      </patternFill>
    </fill>
    <fill>
      <patternFill patternType="solid">
        <fgColor rgb="FF72609A"/>
        <bgColor rgb="FF526B82"/>
      </patternFill>
    </fill>
    <fill>
      <patternFill patternType="solid">
        <fgColor rgb="FF477D77"/>
        <bgColor rgb="FF4B759B"/>
      </patternFill>
    </fill>
    <fill>
      <patternFill patternType="solid">
        <fgColor rgb="FFEAF2FB"/>
        <bgColor rgb="FFEAF6F4"/>
      </patternFill>
    </fill>
    <fill>
      <patternFill patternType="solid">
        <fgColor rgb="FFEAF6F4"/>
        <bgColor rgb="FFEAF2FB"/>
      </patternFill>
    </fill>
    <fill>
      <patternFill patternType="solid">
        <fgColor rgb="FFF2F6FA"/>
        <bgColor rgb="FFF2F2F2"/>
      </patternFill>
    </fill>
    <fill>
      <patternFill patternType="solid">
        <fgColor rgb="FFFAFCFE"/>
        <bgColor rgb="FFFFFFFF"/>
      </patternFill>
    </fill>
    <fill>
      <patternFill patternType="solid">
        <fgColor rgb="FFFFF2CC"/>
        <bgColor rgb="FFFFF2CD"/>
      </patternFill>
    </fill>
    <fill>
      <patternFill patternType="solid">
        <fgColor rgb="FF1F4E78"/>
        <bgColor rgb="FF245A81"/>
      </patternFill>
    </fill>
    <fill>
      <patternFill patternType="solid">
        <fgColor rgb="FFF2F2F2"/>
        <bgColor rgb="FFF2F6FA"/>
      </patternFill>
    </fill>
    <fill>
      <patternFill patternType="solid">
        <fgColor rgb="FF526B82"/>
        <bgColor rgb="FF4B759B"/>
      </patternFill>
    </fill>
    <fill>
      <patternFill patternType="solid">
        <fgColor rgb="FFF0ECF8"/>
        <bgColor rgb="FFF2F2F2"/>
      </patternFill>
    </fill>
    <fill>
      <patternFill patternType="solid">
        <fgColor rgb="FFFBEFEA"/>
        <bgColor rgb="FFFBE8E7"/>
      </patternFill>
    </fill>
    <fill>
      <patternFill patternType="solid">
        <fgColor rgb="FFE6F2E9"/>
        <bgColor rgb="FFE4F2E7"/>
      </patternFill>
    </fill>
  </fills>
  <borders count="6">
    <border diagonalUp="false" diagonalDown="false">
      <left/>
      <right/>
      <top/>
      <bottom/>
      <diagonal/>
    </border>
    <border diagonalUp="false" diagonalDown="false">
      <left/>
      <right/>
      <top/>
      <bottom style="thin">
        <color rgb="FF245A81"/>
      </bottom>
      <diagonal/>
    </border>
    <border diagonalUp="false" diagonalDown="false">
      <left/>
      <right style="thin">
        <color rgb="FFFFFFFF"/>
      </right>
      <top/>
      <bottom/>
      <diagonal/>
    </border>
    <border diagonalUp="false" diagonalDown="false">
      <left style="thin">
        <color rgb="FFFFFFFF"/>
      </left>
      <right style="thin">
        <color rgb="FFFFFFFF"/>
      </right>
      <top/>
      <bottom/>
      <diagonal/>
    </border>
    <border diagonalUp="false" diagonalDown="false">
      <left/>
      <right/>
      <top style="medium">
        <color rgb="FFD9E3ED"/>
      </top>
      <bottom/>
      <diagonal/>
    </border>
    <border diagonalUp="false" diagonalDown="false">
      <left/>
      <right/>
      <top style="thin">
        <color rgb="FFD9E3E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center" vertical="center" textRotation="0" wrapText="true" indent="0" shrinkToFit="false"/>
      <protection locked="true" hidden="false"/>
    </xf>
    <xf numFmtId="164" fontId="12" fillId="6" borderId="3" xfId="0" applyFont="true" applyBorder="true" applyAlignment="true" applyProtection="false">
      <alignment horizontal="center" vertical="center" textRotation="0" wrapText="true" indent="0" shrinkToFit="false"/>
      <protection locked="true" hidden="false"/>
    </xf>
    <xf numFmtId="164" fontId="12" fillId="7" borderId="3" xfId="0" applyFont="true" applyBorder="true" applyAlignment="true" applyProtection="false">
      <alignment horizontal="center" vertical="center" textRotation="0" wrapText="true" indent="0" shrinkToFit="false"/>
      <protection locked="true" hidden="false"/>
    </xf>
    <xf numFmtId="164" fontId="12" fillId="8"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4" fontId="12" fillId="10" borderId="3" xfId="0" applyFont="true" applyBorder="true" applyAlignment="true" applyProtection="false">
      <alignment horizontal="center" vertical="center" textRotation="0" wrapText="true" indent="0" shrinkToFit="false"/>
      <protection locked="true" hidden="false"/>
    </xf>
    <xf numFmtId="164" fontId="13" fillId="11" borderId="0" xfId="0" applyFont="true" applyBorder="false" applyAlignment="true" applyProtection="false">
      <alignment horizontal="right" vertical="center" textRotation="0" wrapText="false" indent="0" shrinkToFit="false"/>
      <protection locked="true" hidden="false"/>
    </xf>
    <xf numFmtId="164" fontId="13" fillId="11" borderId="0" xfId="0" applyFont="true" applyBorder="false" applyAlignment="true" applyProtection="false">
      <alignment horizontal="center" vertical="center" textRotation="0" wrapText="fals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6" fillId="2"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6" fontId="6" fillId="2" borderId="0" xfId="0" applyFont="true" applyBorder="false" applyAlignment="true" applyProtection="false">
      <alignment horizontal="center" vertical="center" textRotation="0" wrapText="false" indent="0" shrinkToFit="false"/>
      <protection locked="true" hidden="false"/>
    </xf>
    <xf numFmtId="166" fontId="11" fillId="12" borderId="0" xfId="0" applyFont="true" applyBorder="false" applyAlignment="true" applyProtection="false">
      <alignment horizontal="center" vertical="center" textRotation="0" wrapText="false" indent="0" shrinkToFit="false"/>
      <protection locked="true" hidden="false"/>
    </xf>
    <xf numFmtId="164" fontId="8" fillId="13" borderId="0" xfId="0" applyFont="true" applyBorder="false" applyAlignment="true" applyProtection="false">
      <alignment horizontal="general" vertical="center" textRotation="0" wrapText="true" indent="0" shrinkToFit="false"/>
      <protection locked="true" hidden="false"/>
    </xf>
    <xf numFmtId="165" fontId="6" fillId="13" borderId="0" xfId="0" applyFont="true" applyBorder="false" applyAlignment="true" applyProtection="false">
      <alignment horizontal="center" vertical="center" textRotation="0" wrapText="false" indent="0" shrinkToFit="false"/>
      <protection locked="true" hidden="false"/>
    </xf>
    <xf numFmtId="164" fontId="8" fillId="13" borderId="0" xfId="0" applyFont="true" applyBorder="false" applyAlignment="true" applyProtection="false">
      <alignment horizontal="center" vertical="center" textRotation="0" wrapText="false" indent="0" shrinkToFit="false"/>
      <protection locked="true" hidden="false"/>
    </xf>
    <xf numFmtId="166" fontId="6" fillId="13" borderId="0" xfId="0" applyFont="true" applyBorder="false" applyAlignment="true" applyProtection="false">
      <alignment horizontal="center" vertical="center" textRotation="0" wrapText="false" indent="0" shrinkToFit="false"/>
      <protection locked="true" hidden="false"/>
    </xf>
    <xf numFmtId="164" fontId="14" fillId="11" borderId="0" xfId="0" applyFont="true" applyBorder="false" applyAlignment="true" applyProtection="false">
      <alignment horizontal="center" vertical="center" textRotation="0" wrapText="false" indent="0" shrinkToFit="false"/>
      <protection locked="true" hidden="false"/>
    </xf>
    <xf numFmtId="164" fontId="10" fillId="14" borderId="0" xfId="0" applyFont="true" applyBorder="true" applyAlignment="true" applyProtection="false">
      <alignment horizontal="center" vertical="center" textRotation="0" wrapText="true" indent="0" shrinkToFit="false"/>
      <protection locked="true" hidden="false"/>
    </xf>
    <xf numFmtId="164" fontId="8" fillId="13" borderId="4" xfId="0" applyFont="true" applyBorder="true" applyAlignment="true" applyProtection="false">
      <alignment horizontal="general" vertical="center" textRotation="0" wrapText="true" indent="0" shrinkToFit="false"/>
      <protection locked="true" hidden="false"/>
    </xf>
    <xf numFmtId="165" fontId="6" fillId="13" borderId="4"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7" fontId="6" fillId="2" borderId="0" xfId="0" applyFont="true" applyBorder="false" applyAlignment="true" applyProtection="false">
      <alignment horizontal="center" vertical="center" textRotation="0" wrapText="false" indent="0" shrinkToFit="false"/>
      <protection locked="true" hidden="false"/>
    </xf>
    <xf numFmtId="164" fontId="6" fillId="13" borderId="0" xfId="0" applyFont="true" applyBorder="false" applyAlignment="true" applyProtection="false">
      <alignment horizontal="general" vertical="center" textRotation="0" wrapText="false" indent="0" shrinkToFit="false"/>
      <protection locked="true" hidden="false"/>
    </xf>
    <xf numFmtId="167" fontId="6" fillId="13"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8" fontId="0" fillId="15" borderId="0" xfId="0" applyFont="false" applyBorder="false" applyAlignment="true" applyProtection="false">
      <alignment horizontal="general" vertical="bottom" textRotation="0" wrapText="false" indent="0" shrinkToFit="false"/>
      <protection locked="true" hidden="false"/>
    </xf>
    <xf numFmtId="164" fontId="0" fillId="15"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16" borderId="0" xfId="0" applyFont="true" applyBorder="true" applyAlignment="true" applyProtection="false">
      <alignment horizontal="center" vertical="center" textRotation="0" wrapText="true" indent="0" shrinkToFit="false"/>
      <protection locked="true" hidden="false"/>
    </xf>
    <xf numFmtId="164" fontId="18" fillId="16" borderId="0" xfId="0" applyFont="true" applyBorder="false" applyAlignment="true" applyProtection="false">
      <alignment horizontal="center" vertical="center" textRotation="0" wrapText="true" indent="0" shrinkToFit="false"/>
      <protection locked="true" hidden="false"/>
    </xf>
    <xf numFmtId="165" fontId="0" fillId="15"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16" fillId="0" borderId="0" xfId="0" applyFont="true" applyBorder="false" applyAlignment="true" applyProtection="false">
      <alignment horizontal="right" vertical="bottom" textRotation="0" wrapText="false" indent="0" shrinkToFit="false"/>
      <protection locked="true" hidden="false"/>
    </xf>
    <xf numFmtId="170" fontId="16" fillId="0" borderId="0" xfId="0" applyFont="tru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true" applyProtection="false">
      <alignment horizontal="right" vertical="bottom" textRotation="0" wrapText="false" indent="0" shrinkToFit="false"/>
      <protection locked="true" hidden="false"/>
    </xf>
    <xf numFmtId="171" fontId="16" fillId="0" borderId="0" xfId="0" applyFont="true" applyBorder="false" applyAlignment="true" applyProtection="false">
      <alignment horizontal="right" vertical="bottom" textRotation="0" wrapText="false" indent="0" shrinkToFit="false"/>
      <protection locked="true" hidden="false"/>
    </xf>
    <xf numFmtId="164" fontId="0" fillId="17" borderId="0" xfId="0" applyFont="true" applyBorder="false" applyAlignment="true" applyProtection="false">
      <alignment horizontal="general" vertical="bottom" textRotation="0" wrapText="false" indent="0" shrinkToFit="false"/>
      <protection locked="true" hidden="false"/>
    </xf>
    <xf numFmtId="169" fontId="0" fillId="17" borderId="0" xfId="0" applyFont="false" applyBorder="false" applyAlignment="true" applyProtection="false">
      <alignment horizontal="right" vertical="bottom" textRotation="0" wrapText="false" indent="0" shrinkToFit="false"/>
      <protection locked="true" hidden="false"/>
    </xf>
    <xf numFmtId="165" fontId="0" fillId="17" borderId="0" xfId="0" applyFont="false" applyBorder="false" applyAlignment="true" applyProtection="false">
      <alignment horizontal="right" vertical="bottom" textRotation="0" wrapText="false" indent="0" shrinkToFit="false"/>
      <protection locked="true" hidden="false"/>
    </xf>
    <xf numFmtId="164" fontId="0" fillId="17" borderId="0" xfId="0" applyFont="false" applyBorder="false" applyAlignment="true" applyProtection="false">
      <alignment horizontal="left" vertical="bottom" textRotation="0" wrapText="false" indent="0" shrinkToFit="false"/>
      <protection locked="true" hidden="false"/>
    </xf>
    <xf numFmtId="165" fontId="16" fillId="17" borderId="0" xfId="0" applyFont="true" applyBorder="false" applyAlignment="true" applyProtection="false">
      <alignment horizontal="right" vertical="bottom" textRotation="0" wrapText="false" indent="0" shrinkToFit="false"/>
      <protection locked="true" hidden="false"/>
    </xf>
    <xf numFmtId="170" fontId="16" fillId="17" borderId="0" xfId="0" applyFont="true" applyBorder="false" applyAlignment="true" applyProtection="false">
      <alignment horizontal="right" vertical="bottom" textRotation="0" wrapText="false" indent="0" shrinkToFit="false"/>
      <protection locked="true" hidden="false"/>
    </xf>
    <xf numFmtId="170" fontId="0" fillId="17" borderId="0" xfId="0" applyFont="false" applyBorder="false" applyAlignment="true" applyProtection="false">
      <alignment horizontal="right" vertical="bottom" textRotation="0" wrapText="false" indent="0" shrinkToFit="false"/>
      <protection locked="true" hidden="false"/>
    </xf>
    <xf numFmtId="171" fontId="16" fillId="17"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17" borderId="0" xfId="0" applyFont="false" applyBorder="false" applyAlignment="true" applyProtection="false">
      <alignment horizontal="general" vertical="bottom" textRotation="0" wrapText="false" indent="0" shrinkToFit="false"/>
      <protection locked="true" hidden="false"/>
    </xf>
    <xf numFmtId="164" fontId="0" fillId="17"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1" fontId="0" fillId="15" borderId="0" xfId="0" applyFont="false" applyBorder="false" applyAlignment="true" applyProtection="false">
      <alignment horizontal="general" vertical="bottom" textRotation="0" wrapText="false" indent="0" shrinkToFit="false"/>
      <protection locked="true" hidden="false"/>
    </xf>
    <xf numFmtId="172" fontId="0" fillId="15"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18" fillId="16"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71" fontId="0" fillId="17"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4" fontId="0" fillId="15" borderId="0" xfId="0" applyFont="fals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74" fontId="0" fillId="17" borderId="0" xfId="0" applyFont="false" applyBorder="false" applyAlignment="true" applyProtection="false">
      <alignment horizontal="general" vertical="bottom" textRotation="0" wrapText="false" indent="0" shrinkToFit="false"/>
      <protection locked="true" hidden="false"/>
    </xf>
    <xf numFmtId="165" fontId="16" fillId="17" borderId="0" xfId="0" applyFont="true" applyBorder="false" applyAlignment="true" applyProtection="false">
      <alignment horizontal="general" vertical="bottom" textRotation="0" wrapText="false" indent="0" shrinkToFit="false"/>
      <protection locked="true" hidden="false"/>
    </xf>
    <xf numFmtId="164" fontId="20" fillId="3" borderId="3"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6" fillId="2" borderId="0" xfId="0" applyFont="true" applyBorder="false" applyAlignment="true" applyProtection="false">
      <alignment horizontal="center" vertical="center" textRotation="0" wrapText="true" indent="0" shrinkToFit="false"/>
      <protection locked="true" hidden="false"/>
    </xf>
    <xf numFmtId="165" fontId="14" fillId="11" borderId="0" xfId="0" applyFont="true" applyBorder="false" applyAlignment="true" applyProtection="false">
      <alignment horizontal="center" vertical="center" textRotation="0" wrapText="true" indent="0" shrinkToFit="false"/>
      <protection locked="true" hidden="false"/>
    </xf>
    <xf numFmtId="166" fontId="6" fillId="2" borderId="0" xfId="0" applyFont="true" applyBorder="false" applyAlignment="true" applyProtection="false">
      <alignment horizontal="center" vertical="center" textRotation="0" wrapText="true" indent="0" shrinkToFit="false"/>
      <protection locked="true" hidden="false"/>
    </xf>
    <xf numFmtId="166" fontId="11" fillId="1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6" fontId="6" fillId="2" borderId="0" xfId="0" applyFont="true" applyBorder="false" applyAlignment="true" applyProtection="false">
      <alignment horizontal="general" vertical="center" textRotation="0" wrapText="true" indent="0" shrinkToFit="false"/>
      <protection locked="true" hidden="false"/>
    </xf>
    <xf numFmtId="164" fontId="6" fillId="13" borderId="0" xfId="0" applyFont="true" applyBorder="false" applyAlignment="true" applyProtection="false">
      <alignment horizontal="center" vertical="center" textRotation="0" wrapText="true" indent="0" shrinkToFit="false"/>
      <protection locked="true" hidden="false"/>
    </xf>
    <xf numFmtId="165" fontId="6" fillId="13" borderId="0" xfId="0" applyFont="true" applyBorder="false" applyAlignment="true" applyProtection="false">
      <alignment horizontal="center" vertical="center" textRotation="0" wrapText="true" indent="0" shrinkToFit="false"/>
      <protection locked="true" hidden="false"/>
    </xf>
    <xf numFmtId="166" fontId="6" fillId="13" borderId="0" xfId="0" applyFont="true" applyBorder="false" applyAlignment="true" applyProtection="false">
      <alignment horizontal="center" vertical="center" textRotation="0" wrapText="true" indent="0" shrinkToFit="false"/>
      <protection locked="true" hidden="false"/>
    </xf>
    <xf numFmtId="166" fontId="6" fillId="13" borderId="0" xfId="0" applyFont="true" applyBorder="false" applyAlignment="true" applyProtection="false">
      <alignment horizontal="general" vertical="center" textRotation="0" wrapText="true" indent="0" shrinkToFit="false"/>
      <protection locked="true" hidden="false"/>
    </xf>
    <xf numFmtId="164" fontId="8" fillId="2" borderId="5" xfId="0" applyFont="true" applyBorder="true" applyAlignment="true" applyProtection="false">
      <alignment horizontal="general" vertical="center" textRotation="0" wrapText="true" indent="0" shrinkToFit="false"/>
      <protection locked="true" hidden="false"/>
    </xf>
    <xf numFmtId="164" fontId="6" fillId="2" borderId="5" xfId="0" applyFont="true" applyBorder="true" applyAlignment="true" applyProtection="false">
      <alignment horizontal="center" vertical="center" textRotation="0" wrapText="true" indent="0" shrinkToFit="false"/>
      <protection locked="true" hidden="false"/>
    </xf>
    <xf numFmtId="165" fontId="6" fillId="2" borderId="5" xfId="0" applyFont="true" applyBorder="true" applyAlignment="true" applyProtection="false">
      <alignment horizontal="center" vertical="center" textRotation="0" wrapText="true" indent="0" shrinkToFit="false"/>
      <protection locked="true" hidden="false"/>
    </xf>
    <xf numFmtId="165" fontId="14" fillId="11" borderId="5" xfId="0" applyFont="true" applyBorder="true" applyAlignment="true" applyProtection="false">
      <alignment horizontal="center" vertical="center" textRotation="0" wrapText="true" indent="0" shrinkToFit="false"/>
      <protection locked="true" hidden="false"/>
    </xf>
    <xf numFmtId="166" fontId="6" fillId="2" borderId="5" xfId="0" applyFont="true" applyBorder="true" applyAlignment="true" applyProtection="false">
      <alignment horizontal="center" vertical="center" textRotation="0" wrapText="true" indent="0" shrinkToFit="false"/>
      <protection locked="true" hidden="false"/>
    </xf>
    <xf numFmtId="166" fontId="11" fillId="12" borderId="5" xfId="0" applyFont="true" applyBorder="true" applyAlignment="true" applyProtection="false">
      <alignment horizontal="center" vertical="center" textRotation="0" wrapText="true" indent="0" shrinkToFit="false"/>
      <protection locked="true" hidden="false"/>
    </xf>
    <xf numFmtId="164" fontId="9" fillId="3" borderId="5"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13" borderId="0" xfId="0" applyFont="true" applyBorder="false" applyAlignment="true" applyProtection="false">
      <alignment horizontal="general" vertical="center" textRotation="0" wrapText="true" indent="0" shrinkToFit="false"/>
      <protection locked="true" hidden="false"/>
    </xf>
    <xf numFmtId="164" fontId="12" fillId="18" borderId="3" xfId="0" applyFont="true" applyBorder="true" applyAlignment="true" applyProtection="false">
      <alignment horizontal="center" vertical="center" textRotation="0" wrapText="true" indent="0" shrinkToFit="false"/>
      <protection locked="true" hidden="false"/>
    </xf>
    <xf numFmtId="165" fontId="11" fillId="12" borderId="0" xfId="0" applyFont="true" applyBorder="fals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general" vertical="center" textRotation="0" wrapText="true" indent="0" shrinkToFit="false"/>
      <protection locked="true" hidden="false"/>
    </xf>
    <xf numFmtId="172" fontId="6" fillId="2" borderId="0" xfId="0" applyFont="true" applyBorder="false" applyAlignment="true" applyProtection="false">
      <alignment horizontal="general" vertical="center" textRotation="0" wrapText="true" indent="0" shrinkToFit="false"/>
      <protection locked="true" hidden="false"/>
    </xf>
    <xf numFmtId="165" fontId="6" fillId="2" borderId="0" xfId="0" applyFont="true" applyBorder="false" applyAlignment="true" applyProtection="false">
      <alignment horizontal="general" vertical="center" textRotation="0" wrapText="true" indent="0" shrinkToFit="false"/>
      <protection locked="true" hidden="false"/>
    </xf>
    <xf numFmtId="167" fontId="6" fillId="2" borderId="0" xfId="0" applyFont="true" applyBorder="false" applyAlignment="true" applyProtection="false">
      <alignment horizontal="general" vertical="center" textRotation="0" wrapText="true" indent="0" shrinkToFit="false"/>
      <protection locked="true" hidden="false"/>
    </xf>
    <xf numFmtId="164" fontId="13" fillId="13" borderId="0" xfId="0" applyFont="true" applyBorder="false" applyAlignment="true" applyProtection="false">
      <alignment horizontal="general" vertical="center" textRotation="0" wrapText="true" indent="0" shrinkToFit="false"/>
      <protection locked="true" hidden="false"/>
    </xf>
    <xf numFmtId="172" fontId="6" fillId="13" borderId="0" xfId="0" applyFont="true" applyBorder="false" applyAlignment="true" applyProtection="false">
      <alignment horizontal="general" vertical="center" textRotation="0" wrapText="true" indent="0" shrinkToFit="false"/>
      <protection locked="true" hidden="false"/>
    </xf>
    <xf numFmtId="165" fontId="6" fillId="13" borderId="0" xfId="0" applyFont="true" applyBorder="false" applyAlignment="true" applyProtection="false">
      <alignment horizontal="general" vertical="center" textRotation="0" wrapText="true" indent="0" shrinkToFit="false"/>
      <protection locked="true" hidden="false"/>
    </xf>
    <xf numFmtId="167" fontId="6" fillId="13" borderId="0" xfId="0" applyFont="true" applyBorder="false" applyAlignment="true" applyProtection="false">
      <alignment horizontal="general" vertical="center" textRotation="0" wrapText="true" indent="0" shrinkToFit="false"/>
      <protection locked="true" hidden="false"/>
    </xf>
    <xf numFmtId="164" fontId="12" fillId="9" borderId="2" xfId="0" applyFont="true" applyBorder="true" applyAlignment="true" applyProtection="false">
      <alignment horizontal="center" vertical="center" textRotation="0" wrapText="true" indent="0" shrinkToFit="false"/>
      <protection locked="true" hidden="false"/>
    </xf>
    <xf numFmtId="164" fontId="22" fillId="19" borderId="0" xfId="0" applyFont="true" applyBorder="false" applyAlignment="true" applyProtection="false">
      <alignment horizontal="general" vertical="center" textRotation="0" wrapText="tru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73" fontId="9" fillId="3" borderId="0" xfId="0" applyFont="true" applyBorder="false" applyAlignment="true" applyProtection="false">
      <alignment horizontal="general" vertical="center" textRotation="0" wrapText="false" indent="0" shrinkToFit="false"/>
      <protection locked="true" hidden="false"/>
    </xf>
    <xf numFmtId="173" fontId="6" fillId="2" borderId="0" xfId="0" applyFont="true" applyBorder="false" applyAlignment="true" applyProtection="false">
      <alignment horizontal="general" vertical="center" textRotation="0" wrapText="false" indent="0" shrinkToFit="false"/>
      <protection locked="true" hidden="false"/>
    </xf>
    <xf numFmtId="175" fontId="6" fillId="2" borderId="0" xfId="0" applyFont="true" applyBorder="false" applyAlignment="true" applyProtection="false">
      <alignment horizontal="general" vertical="center" textRotation="0" wrapText="false" indent="0" shrinkToFit="false"/>
      <protection locked="true" hidden="false"/>
    </xf>
    <xf numFmtId="176" fontId="11" fillId="12" borderId="0" xfId="0" applyFont="true" applyBorder="false" applyAlignment="true" applyProtection="false">
      <alignment horizontal="general" vertical="center" textRotation="0" wrapText="false" indent="0" shrinkToFit="false"/>
      <protection locked="true" hidden="false"/>
    </xf>
    <xf numFmtId="173" fontId="6" fillId="13" borderId="0" xfId="0" applyFont="true" applyBorder="false" applyAlignment="true" applyProtection="false">
      <alignment horizontal="general" vertical="center" textRotation="0" wrapText="false" indent="0" shrinkToFit="false"/>
      <protection locked="true" hidden="false"/>
    </xf>
    <xf numFmtId="175" fontId="6" fillId="13" borderId="0" xfId="0" applyFont="true" applyBorder="false" applyAlignment="true" applyProtection="false">
      <alignment horizontal="general" vertical="center" textRotation="0" wrapText="false" indent="0" shrinkToFit="false"/>
      <protection locked="true" hidden="false"/>
    </xf>
    <xf numFmtId="164" fontId="13" fillId="11"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14" fillId="11" borderId="0" xfId="0" applyFont="true" applyBorder="false" applyAlignment="true" applyProtection="false">
      <alignment horizontal="general" vertical="center" textRotation="0" wrapText="false" indent="0" shrinkToFit="false"/>
      <protection locked="true" hidden="false"/>
    </xf>
    <xf numFmtId="164" fontId="6" fillId="13"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4" fontId="6" fillId="20" borderId="0" xfId="0" applyFont="true" applyBorder="false" applyAlignment="true" applyProtection="false">
      <alignment horizontal="general" vertical="center" textRotation="0" wrapText="true" indent="0" shrinkToFit="false"/>
      <protection locked="true" hidden="false"/>
    </xf>
    <xf numFmtId="164" fontId="6" fillId="21" borderId="0" xfId="0" applyFont="true" applyBorder="false" applyAlignment="true" applyProtection="false">
      <alignment horizontal="general" vertical="center" textRotation="0" wrapText="true" indent="0" shrinkToFit="false"/>
      <protection locked="true" hidden="false"/>
    </xf>
    <xf numFmtId="164" fontId="23" fillId="2" borderId="0" xfId="0" applyFont="true" applyBorder="false" applyAlignment="true" applyProtection="false">
      <alignment horizontal="general" vertical="center" textRotation="0" wrapText="true" indent="0" shrinkToFit="false"/>
      <protection locked="true" hidden="false"/>
    </xf>
    <xf numFmtId="177" fontId="6" fillId="2" borderId="0" xfId="0" applyFont="true" applyBorder="false" applyAlignment="true" applyProtection="false">
      <alignment horizontal="center" vertical="center" textRotation="0" wrapText="true" indent="0" shrinkToFit="false"/>
      <protection locked="true" hidden="false"/>
    </xf>
    <xf numFmtId="164" fontId="23" fillId="13" borderId="0" xfId="0" applyFont="true" applyBorder="false" applyAlignment="true" applyProtection="false">
      <alignment horizontal="general" vertical="center" textRotation="0" wrapText="true" indent="0" shrinkToFit="false"/>
      <protection locked="true" hidden="false"/>
    </xf>
    <xf numFmtId="177" fontId="6" fillId="13"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78" fontId="6" fillId="2" borderId="0" xfId="0" applyFont="true" applyBorder="false" applyAlignment="true" applyProtection="false">
      <alignment horizontal="center" vertical="center" textRotation="0" wrapText="true" indent="0" shrinkToFit="false"/>
      <protection locked="true" hidden="false"/>
    </xf>
    <xf numFmtId="164" fontId="25" fillId="2" borderId="0" xfId="0" applyFont="true" applyBorder="false" applyAlignment="true" applyProtection="false">
      <alignment horizontal="center" vertical="center" textRotation="0" wrapText="true" indent="0" shrinkToFit="false"/>
      <protection locked="true" hidden="false"/>
    </xf>
    <xf numFmtId="178" fontId="6" fillId="13" borderId="0" xfId="0" applyFont="true" applyBorder="false" applyAlignment="true" applyProtection="false">
      <alignment horizontal="center" vertical="center" textRotation="0" wrapText="true" indent="0" shrinkToFit="false"/>
      <protection locked="true" hidden="false"/>
    </xf>
    <xf numFmtId="164" fontId="25" fillId="13" borderId="0" xfId="0" applyFont="true" applyBorder="false" applyAlignment="true" applyProtection="false">
      <alignment horizontal="center" vertical="center" textRotation="0" wrapText="true" indent="0" shrinkToFit="false"/>
      <protection locked="true" hidden="false"/>
    </xf>
    <xf numFmtId="179" fontId="6" fillId="13" borderId="0" xfId="0" applyFont="true" applyBorder="false" applyAlignment="true" applyProtection="false">
      <alignment horizontal="center" vertical="center" textRotation="0" wrapText="true" indent="0" shrinkToFit="false"/>
      <protection locked="true" hidden="false"/>
    </xf>
    <xf numFmtId="179" fontId="6" fillId="2" borderId="0" xfId="0" applyFont="true" applyBorder="false" applyAlignment="true" applyProtection="false">
      <alignment horizontal="center" vertical="center" textRotation="0" wrapText="true" indent="0" shrinkToFit="false"/>
      <protection locked="true" hidden="false"/>
    </xf>
    <xf numFmtId="180" fontId="6" fillId="2" borderId="0" xfId="0" applyFont="true" applyBorder="false" applyAlignment="true" applyProtection="false">
      <alignment horizontal="center" vertical="center" textRotation="0" wrapText="true" indent="0" shrinkToFit="false"/>
      <protection locked="true" hidden="false"/>
    </xf>
    <xf numFmtId="180" fontId="6" fillId="1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center" vertical="center" textRotation="0" wrapText="true" indent="0" shrinkToFit="false"/>
      <protection locked="true" hidden="false"/>
    </xf>
    <xf numFmtId="180" fontId="6" fillId="2" borderId="0" xfId="0" applyFont="true" applyBorder="false" applyAlignment="true" applyProtection="false">
      <alignment horizontal="general" vertical="center" textRotation="0" wrapText="true" indent="0" shrinkToFit="false"/>
      <protection locked="true" hidden="false"/>
    </xf>
    <xf numFmtId="180" fontId="6" fillId="13" borderId="0" xfId="0" applyFont="true" applyBorder="false" applyAlignment="true" applyProtection="false">
      <alignment horizontal="general" vertical="center" textRotation="0" wrapText="true" indent="0" shrinkToFit="false"/>
      <protection locked="true" hidden="false"/>
    </xf>
    <xf numFmtId="168" fontId="6" fillId="2" borderId="0" xfId="0" applyFont="true" applyBorder="false" applyAlignment="true" applyProtection="false">
      <alignment horizontal="center" vertical="center" textRotation="0" wrapText="true" indent="0" shrinkToFit="false"/>
      <protection locked="true" hidden="false"/>
    </xf>
    <xf numFmtId="164" fontId="25" fillId="2" borderId="0" xfId="0" applyFont="true" applyBorder="false" applyAlignment="true" applyProtection="false">
      <alignment horizontal="general" vertical="center" textRotation="0" wrapText="true" indent="0" shrinkToFit="false"/>
      <protection locked="true" hidden="false"/>
    </xf>
    <xf numFmtId="168" fontId="6" fillId="13" borderId="0" xfId="0" applyFont="true" applyBorder="false" applyAlignment="true" applyProtection="false">
      <alignment horizontal="center" vertical="center" textRotation="0" wrapText="true" indent="0" shrinkToFit="false"/>
      <protection locked="true" hidden="false"/>
    </xf>
    <xf numFmtId="164" fontId="25" fillId="13" borderId="0" xfId="0" applyFont="true" applyBorder="false" applyAlignment="true" applyProtection="false">
      <alignment horizontal="general"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3" fillId="1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ont>
        <b val="1"/>
        <color rgb="FF2B6741"/>
      </font>
      <fill>
        <patternFill>
          <bgColor rgb="FFE4F2E7"/>
        </patternFill>
      </fill>
    </dxf>
    <dxf>
      <font>
        <b val="1"/>
        <color rgb="FFAD3E39"/>
      </font>
      <fill>
        <patternFill>
          <bgColor rgb="FFFBE8E7"/>
        </patternFill>
      </fill>
    </dxf>
    <dxf>
      <fill>
        <patternFill>
          <bgColor rgb="FFF8CBAD"/>
        </patternFill>
      </fill>
    </dxf>
    <dxf>
      <fill>
        <patternFill>
          <bgColor rgb="FFC6EFCE"/>
        </patternFill>
      </fill>
    </dxf>
    <dxf>
      <fill>
        <patternFill patternType="solid">
          <fgColor rgb="FF17324F"/>
          <bgColor rgb="FF000000"/>
        </patternFill>
      </fill>
    </dxf>
    <dxf>
      <fill>
        <patternFill patternType="solid">
          <fgColor rgb="FFF2F6FA"/>
          <bgColor rgb="FF000000"/>
        </patternFill>
      </fill>
    </dxf>
    <dxf>
      <fill>
        <patternFill patternType="solid">
          <fgColor rgb="FFFFFFFF"/>
          <bgColor rgb="FF000000"/>
        </patternFill>
      </fill>
    </dxf>
    <dxf>
      <fill>
        <patternFill patternType="solid">
          <fgColor rgb="FF26394E"/>
          <bgColor rgb="FF000000"/>
        </patternFill>
      </fill>
    </dxf>
    <dxf>
      <fill>
        <patternFill patternType="solid">
          <fgColor rgb="FF2866A6"/>
          <bgColor rgb="FF000000"/>
        </patternFill>
      </fill>
    </dxf>
    <dxf>
      <fill>
        <patternFill patternType="solid">
          <fgColor rgb="FFEAF2FB"/>
          <bgColor rgb="FF000000"/>
        </patternFill>
      </fill>
    </dxf>
    <dxf>
      <fill>
        <patternFill patternType="solid">
          <fgColor rgb="FF177B82"/>
          <bgColor rgb="FF000000"/>
        </patternFill>
      </fill>
    </dxf>
    <dxf>
      <fill>
        <patternFill patternType="solid">
          <fgColor rgb="FFEAF6F4"/>
          <bgColor rgb="FF000000"/>
        </patternFill>
      </fill>
    </dxf>
    <dxf>
      <fill>
        <patternFill patternType="solid">
          <fgColor rgb="FFFFF2CD"/>
          <bgColor rgb="FF000000"/>
        </patternFill>
      </fill>
    </dxf>
    <dxf>
      <fill>
        <patternFill patternType="solid">
          <fgColor rgb="FF855A19"/>
          <bgColor rgb="FF000000"/>
        </patternFill>
      </fill>
    </dxf>
    <dxf>
      <fill>
        <patternFill patternType="solid">
          <fgColor rgb="FF72609A"/>
          <bgColor rgb="FF000000"/>
        </patternFill>
      </fill>
    </dxf>
    <dxf>
      <fill>
        <patternFill patternType="solid">
          <fgColor rgb="FFE4F2E7"/>
          <bgColor rgb="FF000000"/>
        </patternFill>
      </fill>
    </dxf>
    <dxf>
      <fill>
        <patternFill patternType="solid">
          <fgColor rgb="FFFBE8E7"/>
          <bgColor rgb="FF000000"/>
        </patternFill>
      </fill>
    </dxf>
    <dxf>
      <fill>
        <patternFill patternType="solid">
          <fgColor rgb="FFFFF1CD"/>
          <bgColor rgb="FF000000"/>
        </patternFill>
      </fill>
    </dxf>
    <dxf>
      <fill>
        <patternFill patternType="solid">
          <fgColor rgb="FF2B6741"/>
          <bgColor rgb="FF000000"/>
        </patternFill>
      </fill>
    </dxf>
    <dxf>
      <fill>
        <patternFill patternType="solid">
          <fgColor rgb="FF936218"/>
          <bgColor rgb="FF000000"/>
        </patternFill>
      </fill>
    </dxf>
    <dxf>
      <fill>
        <patternFill patternType="solid">
          <fgColor rgb="FFAD3E39"/>
          <bgColor rgb="FF000000"/>
        </patternFill>
      </fill>
    </dxf>
    <dxf>
      <fill>
        <patternFill patternType="solid">
          <fgColor rgb="FF526B82"/>
          <bgColor rgb="FF000000"/>
        </patternFill>
      </fill>
    </dxf>
    <dxf>
      <font>
        <color rgb="FF936218"/>
      </font>
      <fill>
        <patternFill>
          <bgColor rgb="FFFFF1CD"/>
        </patternFill>
      </fill>
    </dxf>
    <dxf>
      <font>
        <color rgb="FFAD3E39"/>
      </font>
      <fill>
        <patternFill>
          <bgColor rgb="FFFBE8E7"/>
        </patternFill>
      </fill>
    </dxf>
    <dxf>
      <font>
        <color rgb="FF2B6741"/>
      </font>
      <fill>
        <patternFill>
          <bgColor rgb="FFE4F2E7"/>
        </patternFill>
      </fill>
    </dxf>
    <dxf>
      <fill>
        <patternFill patternType="solid">
          <fgColor rgb="FFF0ECF8"/>
          <bgColor rgb="FF000000"/>
        </patternFill>
      </fill>
    </dxf>
    <dxf>
      <fill>
        <patternFill patternType="solid">
          <fgColor rgb="FFFBEFEA"/>
          <bgColor rgb="FF000000"/>
        </patternFill>
      </fill>
    </dxf>
    <dxf>
      <fill>
        <patternFill patternType="solid">
          <fgColor rgb="FFE6F2E9"/>
          <bgColor rgb="FF000000"/>
        </patternFill>
      </fill>
    </dxf>
  </dxfs>
  <colors>
    <indexedColors>
      <rgbColor rgb="FF000000"/>
      <rgbColor rgb="FFFFFFFF"/>
      <rgbColor rgb="FFFF0000"/>
      <rgbColor rgb="FF00FF00"/>
      <rgbColor rgb="FF0000FF"/>
      <rgbColor rgb="FFFFF1CD"/>
      <rgbColor rgb="FFFF00FF"/>
      <rgbColor rgb="FF00FFFF"/>
      <rgbColor rgb="FF800000"/>
      <rgbColor rgb="FF2B6741"/>
      <rgbColor rgb="FF000080"/>
      <rgbColor rgb="FF936218"/>
      <rgbColor rgb="FF800080"/>
      <rgbColor rgb="FF177B82"/>
      <rgbColor rgb="FFE6F2E9"/>
      <rgbColor rgb="FF71849A"/>
      <rgbColor rgb="FF6A7C8E"/>
      <rgbColor rgb="FFAD3E39"/>
      <rgbColor rgb="FFFFF2CC"/>
      <rgbColor rgb="FFEAF6F4"/>
      <rgbColor rgb="FF660066"/>
      <rgbColor rgb="FFF2F6FA"/>
      <rgbColor rgb="FF2866A6"/>
      <rgbColor rgb="FFD9E3ED"/>
      <rgbColor rgb="FF000080"/>
      <rgbColor rgb="FFFF00FF"/>
      <rgbColor rgb="FFFBEFEA"/>
      <rgbColor rgb="FF00FFFF"/>
      <rgbColor rgb="FF800080"/>
      <rgbColor rgb="FF800000"/>
      <rgbColor rgb="FF245A81"/>
      <rgbColor rgb="FF0000FF"/>
      <rgbColor rgb="FF00CCFF"/>
      <rgbColor rgb="FFE4F2E7"/>
      <rgbColor rgb="FFC6EFCE"/>
      <rgbColor rgb="FFFFF2CD"/>
      <rgbColor rgb="FFEAF2FB"/>
      <rgbColor rgb="FFFBE8E7"/>
      <rgbColor rgb="FFF0ECF8"/>
      <rgbColor rgb="FFF8CBAD"/>
      <rgbColor rgb="FF4B759B"/>
      <rgbColor rgb="FF33CCCC"/>
      <rgbColor rgb="FFFAFCFE"/>
      <rgbColor rgb="FFF2F2F2"/>
      <rgbColor rgb="FFD69A35"/>
      <rgbColor rgb="FFFF6600"/>
      <rgbColor rgb="FF72609A"/>
      <rgbColor rgb="FF92A8BB"/>
      <rgbColor rgb="FF17324F"/>
      <rgbColor rgb="FF477D77"/>
      <rgbColor rgb="FF526B82"/>
      <rgbColor rgb="FF26394E"/>
      <rgbColor rgb="FF855A19"/>
      <rgbColor rgb="FF465C79"/>
      <rgbColor rgb="FF1F4E78"/>
      <rgbColor rgb="FF2335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BenchmarkOffers" displayName="BenchmarkOffers" ref="B6:AK2109" headerRowCount="1" totalsRowCount="0" totalsRowShown="0">
  <autoFilter ref="B6:AK2109"/>
  <tableColumns count="36">
    <tableColumn id="1" name="Product"/>
    <tableColumn id="2" name="Country"/>
    <tableColumn id="3" name="Competitor"/>
    <tableColumn id="4" name="Product name (source)"/>
    <tableColumn id="5" name="Listed price (source)"/>
    <tableColumn id="6" name="Currency (source)"/>
    <tableColumn id="7" name="Selected net/pc local"/>
    <tableColumn id="8" name="Selected net/pc EUR"/>
    <tableColumn id="9" name="Master match"/>
    <tableColumn id="10" name="Date checked (source)"/>
    <tableColumn id="11" name="Your comment"/>
    <tableColumn id="12" name="Notes (source)"/>
    <tableColumn id="13" name="URL (source)"/>
    <tableColumn id="14" name="Brand (source)"/>
    <tableColumn id="15" name="VAT (source)"/>
    <tableColumn id="16" name="VAT rate (source)"/>
    <tableColumn id="17" name="Pack size (source)"/>
    <tableColumn id="18" name="Price basis (source)"/>
    <tableColumn id="19" name="Match (source)"/>
    <tableColumn id="20" name="Matching note"/>
    <tableColumn id="21" name="Net/pc saved (source)"/>
    <tableColumn id="22" name="Historical FX saved (source)"/>
    <tableColumn id="23" name="Source file"/>
    <tableColumn id="24" name="Checked by (source)"/>
    <tableColumn id="25" name="In stock? (source)"/>
    <tableColumn id="26" name="Reliability (source)"/>
    <tableColumn id="27" name="Native currency"/>
    <tableColumn id="28" name="Source eligible"/>
    <tableColumn id="29" name="Net/pc local calculation"/>
    <tableColumn id="30" name="Included by filter"/>
    <tableColumn id="31" name="Local calculation order"/>
    <tableColumn id="32" name="EUR calculation order"/>
    <tableColumn id="33" name="Local price available"/>
    <tableColumn id="34" name="EUR price available"/>
    <tableColumn id="35" name="Research date calculation"/>
    <tableColumn id="36" name="Date issue"/>
  </tableColumns>
</table>
</file>

<file path=xl/tables/table2.xml><?xml version="1.0" encoding="utf-8"?>
<table xmlns="http://schemas.openxmlformats.org/spreadsheetml/2006/main" id="2" name="BenchmarkSpecifications" displayName="BenchmarkSpecifications" ref="B6:D86" headerRowCount="1" totalsRowCount="0" totalsRowShown="0">
  <autoFilter ref="B6:D86"/>
  <tableColumns count="3">
    <tableColumn id="1" name="Product"/>
    <tableColumn id="2" name="Full benchmark specification"/>
    <tableColumn id="3" name="Matching requirements"/>
  </tableColumns>
</table>
</file>

<file path=xl/tables/table3.xml><?xml version="1.0" encoding="utf-8"?>
<table xmlns="http://schemas.openxmlformats.org/spreadsheetml/2006/main" id="3" name="ChangeLog" displayName="ChangeLog" ref="B5:L140" headerRowCount="1" totalsRowCount="0" totalsRowShown="0">
  <autoFilter ref="B5:L140"/>
  <tableColumns count="11">
    <tableColumn id="1" name="Date"/>
    <tableColumn id="2" name="Sheet"/>
    <tableColumn id="3" name="Row"/>
    <tableColumn id="4" name="Market"/>
    <tableColumn id="5" name="Competitor"/>
    <tableColumn id="6" name="Product"/>
    <tableColumn id="7" name="Field(s)"/>
    <tableColumn id="8" name="Old value"/>
    <tableColumn id="9" name="New value"/>
    <tableColumn id="10" name="Evidence (live page)"/>
    <tableColumn id="11" name="Reason"/>
  </tableColumns>
</table>
</file>

<file path=xl/tables/table4.xml><?xml version="1.0" encoding="utf-8"?>
<table xmlns="http://schemas.openxmlformats.org/spreadsheetml/2006/main" id="4" name="CountryReview" displayName="CountryReview" ref="B6:O486" headerRowCount="1" totalsRowCount="0" totalsRowShown="0">
  <autoFilter ref="B6:O486"/>
  <tableColumns count="14">
    <tableColumn id="1" name="Product"/>
    <tableColumn id="2" name="Country"/>
    <tableColumn id="3" name="Currency"/>
    <tableColumn id="4" name="Price basis"/>
    <tableColumn id="5" name="Min local"/>
    <tableColumn id="6" name="Median local"/>
    <tableColumn id="7" name="Max local"/>
    <tableColumn id="8" name="Min EUR"/>
    <tableColumn id="9" name="Median EUR"/>
    <tableColumn id="10" name="Max EUR"/>
    <tableColumn id="11" name="Your decision"/>
    <tableColumn id="12" name="Priority"/>
    <tableColumn id="13" name="Your comments"/>
    <tableColumn id="14" name="Selected statistic"/>
  </tableColumns>
</table>
</file>

<file path=xl/tables/table5.xml><?xml version="1.0" encoding="utf-8"?>
<table xmlns="http://schemas.openxmlformats.org/spreadsheetml/2006/main" id="5" name="SrcATAdditionalCompetitors" displayName="SrcATAdditionalCompetitors" ref="B283:I292" headerRowCount="1" totalsRowCount="0" totalsRowShown="0">
  <autoFilter ref="B283:I292"/>
  <tableColumns count="8">
    <tableColumn id="1" name="Name"/>
    <tableColumn id="2" name="URL"/>
    <tableColumn id="3" name="Type"/>
    <tableColumn id="4" name="B2B / B2C focus"/>
    <tableColumn id="5" name="Prices shown"/>
    <tableColumn id="6" name="Shipping to AT"/>
    <tableColumn id="7" name="Min. order"/>
    <tableColumn id="8" name="Notes"/>
  </tableColumns>
</table>
</file>

<file path=xl/tables/table6.xml><?xml version="1.0" encoding="utf-8"?>
<table xmlns="http://schemas.openxmlformats.org/spreadsheetml/2006/main" id="6" name="SrcATAdditionalNotaccessible" displayName="SrcATAdditionalNotaccessible" ref="B320:F334" headerRowCount="1" totalsRowCount="0" totalsRowShown="0">
  <autoFilter ref="B320:F334"/>
  <tableColumns count="5">
    <tableColumn id="1" name="Name"/>
    <tableColumn id="2" name="URL"/>
    <tableColumn id="3" name="Type"/>
    <tableColumn id="4" name="Reason prices not counted"/>
    <tableColumn id="5" name="Notes"/>
  </tableColumns>
</table>
</file>

<file path=xl/tables/table7.xml><?xml version="1.0" encoding="utf-8"?>
<table xmlns="http://schemas.openxmlformats.org/spreadsheetml/2006/main" id="7" name="SrcATAdditionalPrices" displayName="SrcATAdditionalPrices" ref="B167:N278" headerRowCount="1" totalsRowCount="0" totalsRowShown="0">
  <autoFilter ref="B167:N278"/>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
</file>

<file path=xl/tables/table8.xml><?xml version="1.0" encoding="utf-8"?>
<table xmlns="http://schemas.openxmlformats.org/spreadsheetml/2006/main" id="8" name="SrcATAdditionalSummary" displayName="SrcATAdditionalSummary" ref="B297:F315" headerRowCount="1" totalsRowCount="0" totalsRowShown="0">
  <autoFilter ref="B297:F315"/>
  <tableColumns count="5">
    <tableColumn id="1" name="Basket item"/>
    <tableColumn id="2" name="Min net/pc EUR"/>
    <tableColumn id="3" name="Median net/pc EUR"/>
    <tableColumn id="4" name="Max net/pc EUR"/>
    <tableColumn id="5" name="Competitors with price"/>
  </tableColumns>
</table>
</file>

<file path=xl/tables/table9.xml><?xml version="1.0" encoding="utf-8"?>
<table xmlns="http://schemas.openxmlformats.org/spreadsheetml/2006/main" id="9" name="SrcATCompetitors" displayName="SrcATCompetitors" ref="B108:I115" headerRowCount="1" totalsRowCount="0" totalsRowShown="0">
  <autoFilter ref="B108:I115"/>
  <tableColumns count="8">
    <tableColumn id="1" name="Name"/>
    <tableColumn id="2" name="URL"/>
    <tableColumn id="3" name="Type"/>
    <tableColumn id="4" name="B2B / B2C focus"/>
    <tableColumn id="5" name="Prices shown"/>
    <tableColumn id="6" name="Shipping to AT"/>
    <tableColumn id="7" name="Min. order"/>
    <tableColumn id="8" name="Notes"/>
  </tableColumns>
</table>
</file>

<file path=xl/tables/table10.xml><?xml version="1.0" encoding="utf-8"?>
<table xmlns="http://schemas.openxmlformats.org/spreadsheetml/2006/main" id="10" name="SrcATLiveAdditions" displayName="SrcATLiveAdditions" ref="B344:N362" headerRowCount="1" totalsRowCount="0" totalsRowShown="0">
  <autoFilter ref="B344:N362"/>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
</file>

<file path=xl/tables/table11.xml><?xml version="1.0" encoding="utf-8"?>
<table xmlns="http://schemas.openxmlformats.org/spreadsheetml/2006/main" id="11" name="SrcATNotaccessible" displayName="SrcATNotaccessible" ref="B143:F159" headerRowCount="1" totalsRowCount="0" totalsRowShown="0">
  <autoFilter ref="B143:F159"/>
  <tableColumns count="5">
    <tableColumn id="1" name="Name"/>
    <tableColumn id="2" name="URL"/>
    <tableColumn id="3" name="Type"/>
    <tableColumn id="4" name="Reason prices not counted"/>
    <tableColumn id="5" name="Notes"/>
  </tableColumns>
</table>
</file>

<file path=xl/tables/table12.xml><?xml version="1.0" encoding="utf-8"?>
<table xmlns="http://schemas.openxmlformats.org/spreadsheetml/2006/main" id="12" name="SrcATPrices" displayName="SrcATPrices" ref="B8:N103" headerRowCount="1" totalsRowCount="0" totalsRowShown="0">
  <autoFilter ref="B8:N103"/>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
</file>

<file path=xl/tables/table13.xml><?xml version="1.0" encoding="utf-8"?>
<table xmlns="http://schemas.openxmlformats.org/spreadsheetml/2006/main" id="13" name="SrcATSummary" displayName="SrcATSummary" ref="B120:F138" headerRowCount="1" totalsRowCount="0" totalsRowShown="0">
  <autoFilter ref="B120:F138"/>
  <tableColumns count="5">
    <tableColumn id="1" name="Basket item"/>
    <tableColumn id="2" name="Min net/pc EUR"/>
    <tableColumn id="3" name="Median net/pc EUR"/>
    <tableColumn id="4" name="Max net/pc EUR"/>
    <tableColumn id="5" name="Competitors with price"/>
  </tableColumns>
</table>
</file>

<file path=xl/tables/table14.xml><?xml version="1.0" encoding="utf-8"?>
<table xmlns="http://schemas.openxmlformats.org/spreadsheetml/2006/main" id="14" name="SrcCZAdditionalCompetitors" displayName="SrcCZAdditionalCompetitors" ref="B215:O222" headerRowCount="1" totalsRowCount="0" totalsRowShown="0">
  <autoFilter ref="B215:O222"/>
  <tableColumns count="14">
    <tableColumn id="1" name="Name"/>
    <tableColumn id="2" name="URL"/>
    <tableColumn id="3" name="Type (local / pan-EU / marketplace)"/>
    <tableColumn id="4" name="B2B / B2C focus"/>
    <tableColumn id="5" name="Prices shown incl./excl. VAT"/>
    <tableColumn id="6" name="Shipping to Czechia"/>
    <tableColumn id="7" name="Shipping to Austria (business address)"/>
    <tableColumn id="8" name="Shipping VAT treatment"/>
    <tableColumn id="9" name="Free-shipping threshold"/>
    <tableColumn id="10" name="Minimum order value"/>
    <tableColumn id="11" name="Shipping / terms source URL(s)"/>
    <tableColumn id="12" name="Counted (yes/no)"/>
    <tableColumn id="13" name="Notes"/>
    <tableColumn id="14" name="Counted (yes/no) (saved value)"/>
  </tableColumns>
</table>
</file>

<file path=xl/tables/table15.xml><?xml version="1.0" encoding="utf-8"?>
<table xmlns="http://schemas.openxmlformats.org/spreadsheetml/2006/main" id="15" name="SrcCZAdditionalNotaccessible" displayName="SrcCZAdditionalNotaccessible" ref="B257:F264" headerRowCount="1" totalsRowCount="0" totalsRowShown="0">
  <autoFilter ref="B257:F264"/>
  <tableColumns count="5">
    <tableColumn id="1" name="Competitor"/>
    <tableColumn id="2" name="URL"/>
    <tableColumn id="3" name="Reason"/>
    <tableColumn id="4" name="Date checked"/>
    <tableColumn id="5" name="Notes"/>
  </tableColumns>
</table>
</file>

<file path=xl/tables/table16.xml><?xml version="1.0" encoding="utf-8"?>
<table xmlns="http://schemas.openxmlformats.org/spreadsheetml/2006/main" id="16" name="SrcCZAdditionalPrices" displayName="SrcCZAdditionalPrices" ref="B141:U210" headerRowCount="1" totalsRowCount="0" totalsRowShown="0">
  <autoFilter ref="B141:U210"/>
  <tableColumns count="20">
    <tableColumn id="1" name="Basket item"/>
    <tableColumn id="2" name="Competitor"/>
    <tableColumn id="3" name="Product name"/>
    <tableColumn id="4" name="Brand"/>
    <tableColumn id="5" name="Product URL"/>
    <tableColumn id="6" name="Listed price"/>
    <tableColumn id="7" name="Currency"/>
    <tableColumn id="8" name="Incl./excl. VAT"/>
    <tableColumn id="9" name="VAT rate used"/>
    <tableColumn id="10" name="Pack size (pcs)"/>
    <tableColumn id="11" name="Price basis (per pack / per piece)"/>
    <tableColumn id="12" name="Net price per piece CZK"/>
    <tableColumn id="13" name="Match quality"/>
    <tableColumn id="14" name="Notes"/>
    <tableColumn id="15" name="Date checked"/>
    <tableColumn id="16" name="Competitor counted?"/>
    <tableColumn id="17" name="Used in Summary?"/>
    <tableColumn id="18" name="Net price per piece CZK (saved value)"/>
    <tableColumn id="19" name="Competitor counted? (saved value)"/>
    <tableColumn id="20" name="Used in Summary? (saved value)"/>
  </tableColumns>
</table>
</file>

<file path=xl/tables/table17.xml><?xml version="1.0" encoding="utf-8"?>
<table xmlns="http://schemas.openxmlformats.org/spreadsheetml/2006/main" id="17" name="SrcCZAdditionalSummary" displayName="SrcCZAdditionalSummary" ref="B227:J244" headerRowCount="1" totalsRowCount="0" totalsRowShown="0">
  <autoFilter ref="B227:J244"/>
  <tableColumns count="9">
    <tableColumn id="1" name="Item description"/>
    <tableColumn id="2" name="Min net/pc CZK"/>
    <tableColumn id="3" name="Median net/pc CZK"/>
    <tableColumn id="4" name="Max net/pc CZK"/>
    <tableColumn id="5" name="Competitors in statistics"/>
    <tableColumn id="6" name="Min net/pc CZK (saved value)"/>
    <tableColumn id="7" name="Median net/pc CZK (saved value)"/>
    <tableColumn id="8" name="Max net/pc CZK (saved value)"/>
    <tableColumn id="9" name="Competitors in statistics (saved value)"/>
  </tableColumns>
</table>
</file>

<file path=xl/tables/table18.xml><?xml version="1.0" encoding="utf-8"?>
<table xmlns="http://schemas.openxmlformats.org/spreadsheetml/2006/main" id="18" name="SrcCZCompetitors" displayName="SrcCZCompetitors" ref="B85:O92" headerRowCount="1" totalsRowCount="0" totalsRowShown="0">
  <autoFilter ref="B85:O92"/>
  <tableColumns count="14">
    <tableColumn id="1" name="Name"/>
    <tableColumn id="2" name="URL"/>
    <tableColumn id="3" name="Type (local / pan-EU / marketplace)"/>
    <tableColumn id="4" name="B2B / B2C focus"/>
    <tableColumn id="5" name="Prices shown incl./excl. VAT"/>
    <tableColumn id="6" name="Shipping to Czechia"/>
    <tableColumn id="7" name="Shipping to Austria (business address)"/>
    <tableColumn id="8" name="Shipping VAT treatment"/>
    <tableColumn id="9" name="Free-shipping threshold"/>
    <tableColumn id="10" name="Minimum order value"/>
    <tableColumn id="11" name="Shipping / terms source URL(s)"/>
    <tableColumn id="12" name="Counted (yes/no)"/>
    <tableColumn id="13" name="Notes"/>
    <tableColumn id="14" name="Counted (yes/no) (saved value)"/>
  </tableColumns>
</table>
</file>

<file path=xl/tables/table19.xml><?xml version="1.0" encoding="utf-8"?>
<table xmlns="http://schemas.openxmlformats.org/spreadsheetml/2006/main" id="19" name="SrcCZNotaccessible" displayName="SrcCZNotaccessible" ref="B126:F133" headerRowCount="1" totalsRowCount="0" totalsRowShown="0">
  <autoFilter ref="B126:F133"/>
  <tableColumns count="5">
    <tableColumn id="1" name="Competitor"/>
    <tableColumn id="2" name="URL"/>
    <tableColumn id="3" name="Reason"/>
    <tableColumn id="4" name="Date checked"/>
    <tableColumn id="5" name="Notes"/>
  </tableColumns>
</table>
</file>

<file path=xl/tables/table20.xml><?xml version="1.0" encoding="utf-8"?>
<table xmlns="http://schemas.openxmlformats.org/spreadsheetml/2006/main" id="20" name="SrcCZPrices" displayName="SrcCZPrices" ref="B8:U80" headerRowCount="1" totalsRowCount="0" totalsRowShown="0">
  <autoFilter ref="B8:U80"/>
  <tableColumns count="20">
    <tableColumn id="1" name="Basket item"/>
    <tableColumn id="2" name="Competitor"/>
    <tableColumn id="3" name="Product name"/>
    <tableColumn id="4" name="Brand"/>
    <tableColumn id="5" name="Product URL"/>
    <tableColumn id="6" name="Listed price"/>
    <tableColumn id="7" name="Currency"/>
    <tableColumn id="8" name="Incl./excl. VAT"/>
    <tableColumn id="9" name="VAT rate used"/>
    <tableColumn id="10" name="Pack size (pcs)"/>
    <tableColumn id="11" name="Price basis (per pack / per piece)"/>
    <tableColumn id="12" name="Net price per piece CZK"/>
    <tableColumn id="13" name="Match quality"/>
    <tableColumn id="14" name="Notes"/>
    <tableColumn id="15" name="Date checked"/>
    <tableColumn id="16" name="Competitor counted?"/>
    <tableColumn id="17" name="Used in Summary?"/>
    <tableColumn id="18" name="Net price per piece CZK (saved value)"/>
    <tableColumn id="19" name="Competitor counted? (saved value)"/>
    <tableColumn id="20" name="Used in Summary? (saved value)"/>
  </tableColumns>
</table>
</file>

<file path=xl/tables/table21.xml><?xml version="1.0" encoding="utf-8"?>
<table xmlns="http://schemas.openxmlformats.org/spreadsheetml/2006/main" id="21" name="SrcCZSummary" displayName="SrcCZSummary" ref="B97:J114" headerRowCount="1" totalsRowCount="0" totalsRowShown="0">
  <autoFilter ref="B97:J114"/>
  <tableColumns count="9">
    <tableColumn id="1" name="Item description"/>
    <tableColumn id="2" name="Min net/pc CZK"/>
    <tableColumn id="3" name="Median net/pc CZK"/>
    <tableColumn id="4" name="Max net/pc CZK"/>
    <tableColumn id="5" name="Competitors in statistics"/>
    <tableColumn id="6" name="Min net/pc CZK (saved value)"/>
    <tableColumn id="7" name="Median net/pc CZK (saved value)"/>
    <tableColumn id="8" name="Max net/pc CZK (saved value)"/>
    <tableColumn id="9" name="Competitors in statistics (saved value)"/>
  </tableColumns>
</table>
</file>

<file path=xl/tables/table22.xml><?xml version="1.0" encoding="utf-8"?>
<table xmlns="http://schemas.openxmlformats.org/spreadsheetml/2006/main" id="22" name="SrcDECompetitors" displayName="SrcDECompetitors" ref="B121:I128" headerRowCount="1" totalsRowCount="0" totalsRowShown="0">
  <autoFilter ref="B121:I128"/>
  <tableColumns count="8">
    <tableColumn id="1" name="Name"/>
    <tableColumn id="2" name="URL"/>
    <tableColumn id="3" name="Type"/>
    <tableColumn id="4" name="B2B / B2C focus"/>
    <tableColumn id="5" name="Prices shown"/>
    <tableColumn id="6" name="Shipping to DE"/>
    <tableColumn id="7" name="Min. order"/>
    <tableColumn id="8" name="Notes"/>
  </tableColumns>
</table>
</file>

<file path=xl/tables/table23.xml><?xml version="1.0" encoding="utf-8"?>
<table xmlns="http://schemas.openxmlformats.org/spreadsheetml/2006/main" id="23" name="SrcDENotaccessible" displayName="SrcDENotaccessible" ref="B156:F158" headerRowCount="1" totalsRowCount="0" totalsRowShown="0">
  <autoFilter ref="B156:F158"/>
  <tableColumns count="5">
    <tableColumn id="1" name="Name"/>
    <tableColumn id="2" name="URL"/>
    <tableColumn id="3" name="Type"/>
    <tableColumn id="4" name="Reason prices not counted"/>
    <tableColumn id="5" name="Notes"/>
  </tableColumns>
</table>
</file>

<file path=xl/tables/table24.xml><?xml version="1.0" encoding="utf-8"?>
<table xmlns="http://schemas.openxmlformats.org/spreadsheetml/2006/main" id="24" name="SrcDEPrices" displayName="SrcDEPrices" ref="B8:N116" headerRowCount="1" totalsRowCount="0" totalsRowShown="0">
  <autoFilter ref="B8:N116"/>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
</file>

<file path=xl/tables/table25.xml><?xml version="1.0" encoding="utf-8"?>
<table xmlns="http://schemas.openxmlformats.org/spreadsheetml/2006/main" id="25" name="SrcDESummary" displayName="SrcDESummary" ref="B133:F151" headerRowCount="1" totalsRowCount="0" totalsRowShown="0">
  <autoFilter ref="B133:F151"/>
  <tableColumns count="5">
    <tableColumn id="1" name="Basket item"/>
    <tableColumn id="2" name="Min net/pc EUR"/>
    <tableColumn id="3" name="Median net/pc EUR"/>
    <tableColumn id="4" name="Max net/pc EUR"/>
    <tableColumn id="5" name="Competitors with price"/>
  </tableColumns>
</table>
</file>

<file path=xl/tables/table26.xml><?xml version="1.0" encoding="utf-8"?>
<table xmlns="http://schemas.openxmlformats.org/spreadsheetml/2006/main" id="26" name="SrcHUDATA" displayName="SrcHUDATA" ref="B8:M53" headerRowCount="1" totalsRowCount="0" totalsRowShown="0">
  <autoFilter ref="B8:M53"/>
  <tableColumns count="12">
    <tableColumn id="1" name="Country"/>
    <tableColumn id="2" name="Product Type"/>
    <tableColumn id="3" name="Product Name&#10;(as listed on site)"/>
    <tableColumn id="4" name="Competitor / Shop"/>
    <tableColumn id="5" name="Competitor URL"/>
    <tableColumn id="6" name="Price"/>
    <tableColumn id="7" name="Currency"/>
    <tableColumn id="8" name="Price (HUF equiv.)"/>
    <tableColumn id="9" name="Date Checked"/>
    <tableColumn id="10" name="Notes / Variant details"/>
    <tableColumn id="11" name="Checked by"/>
    <tableColumn id="12" name="Source reliability"/>
  </tableColumns>
</table>
</file>

<file path=xl/tables/table27.xml><?xml version="1.0" encoding="utf-8"?>
<table xmlns="http://schemas.openxmlformats.org/spreadsheetml/2006/main" id="27" name="SrcRODATA" displayName="SrcRODATA" ref="B8:N58" headerRowCount="1" totalsRowCount="0" totalsRowShown="0">
  <autoFilter ref="B8:N58"/>
  <tableColumns count="13">
    <tableColumn id="1" name="Country"/>
    <tableColumn id="2" name="Product Type"/>
    <tableColumn id="3" name="Product Name&#10;(as listed on site)"/>
    <tableColumn id="4" name="Competitor / Shop"/>
    <tableColumn id="5" name="Competitor URL"/>
    <tableColumn id="6" name="Price (local currency)"/>
    <tableColumn id="7" name="Currency"/>
    <tableColumn id="8" name="Price (EUR equiv.)"/>
    <tableColumn id="9" name="Date Checked"/>
    <tableColumn id="10" name="Notes / Variant details"/>
    <tableColumn id="11" name="Brand"/>
    <tableColumn id="12" name="Checked by"/>
    <tableColumn id="13" name="Price (EUR equiv.) (saved value)"/>
  </tableColumns>
</table>
</file>

<file path=xl/tables/table28.xml><?xml version="1.0" encoding="utf-8"?>
<table xmlns="http://schemas.openxmlformats.org/spreadsheetml/2006/main" id="28" name="SrcSKCompetitors" displayName="SrcSKCompetitors" ref="B47:O51" headerRowCount="1" totalsRowCount="0" totalsRowShown="0">
  <autoFilter ref="B47:O51"/>
  <tableColumns count="14">
    <tableColumn id="1" name="Name"/>
    <tableColumn id="2" name="URL"/>
    <tableColumn id="3" name="Type (local / pan-EU / marketplace)"/>
    <tableColumn id="4" name="B2B or B2C focus"/>
    <tableColumn id="5" name="Prices shown incl./excl. VAT"/>
    <tableColumn id="6" name="Shipping to Slovakia"/>
    <tableColumn id="7" name="Shipping to Austria"/>
    <tableColumn id="8" name="Shipping VAT treatment"/>
    <tableColumn id="9" name="Free-shipping threshold"/>
    <tableColumn id="10" name="Minimum order value"/>
    <tableColumn id="11" name="Shipping/terms source URL"/>
    <tableColumn id="12" name="Counted (yes/no)"/>
    <tableColumn id="13" name="Notes"/>
    <tableColumn id="14" name="Counted (yes/no) (saved value)"/>
  </tableColumns>
</table>
</file>

<file path=xl/tables/table29.xml><?xml version="1.0" encoding="utf-8"?>
<table xmlns="http://schemas.openxmlformats.org/spreadsheetml/2006/main" id="29" name="SrcSKNotaccessible" displayName="SrcSKNotaccessible" ref="B81:F84" headerRowCount="1" totalsRowCount="0" totalsRowShown="0">
  <autoFilter ref="B81:F84"/>
  <tableColumns count="5">
    <tableColumn id="1" name="Competitor / page"/>
    <tableColumn id="2" name="URL"/>
    <tableColumn id="3" name="Reason"/>
    <tableColumn id="4" name="Date checked"/>
    <tableColumn id="5" name="Notes"/>
  </tableColumns>
</table>
</file>

<file path=xl/tables/table30.xml><?xml version="1.0" encoding="utf-8"?>
<table xmlns="http://schemas.openxmlformats.org/spreadsheetml/2006/main" id="30" name="SrcSKPrices" displayName="SrcSKPrices" ref="B8:R42" headerRowCount="1" totalsRowCount="0" totalsRowShown="0">
  <autoFilter ref="B8:R42"/>
  <tableColumns count="17">
    <tableColumn id="1" name="Competitor"/>
    <tableColumn id="2" name="Product name"/>
    <tableColumn id="3" name="Brand"/>
    <tableColumn id="4" name="Product URL"/>
    <tableColumn id="5" name="Listed price"/>
    <tableColumn id="6" name="Currency"/>
    <tableColumn id="7" name="Incl./excl. VAT"/>
    <tableColumn id="8" name="VAT rate used"/>
    <tableColumn id="9" name="Pack size"/>
    <tableColumn id="10" name="Price basis (per pack / per piece)"/>
    <tableColumn id="11" name="Net price per piece EUR"/>
    <tableColumn id="12" name="Match quality"/>
    <tableColumn id="13" name="Notes"/>
    <tableColumn id="14" name="Date checked"/>
    <tableColumn id="15" name="Summary value (EXACT/CLOSE from counted competitor)"/>
    <tableColumn id="16" name="Net price per piece EUR (saved value)"/>
    <tableColumn id="17" name="Summary value (EXACT/CLOSE from counted competitor) (saved value)"/>
  </tableColumns>
</table>
</file>

<file path=xl/tables/table31.xml><?xml version="1.0" encoding="utf-8"?>
<table xmlns="http://schemas.openxmlformats.org/spreadsheetml/2006/main" id="31" name="SrcSKSummary" displayName="SrcSKSummary" ref="B56:H73" headerRowCount="1" totalsRowCount="0" totalsRowShown="0">
  <autoFilter ref="B56:H73"/>
  <tableColumns count="7">
    <tableColumn id="1" name="Item description"/>
    <tableColumn id="2" name="Min net price per piece EUR"/>
    <tableColumn id="3" name="Median net price per piece EUR"/>
    <tableColumn id="4" name="Max net price per piece EUR"/>
    <tableColumn id="5" name="Min net price per piece EUR (saved value)"/>
    <tableColumn id="6" name="Median net price per piece EUR (saved value)"/>
    <tableColumn id="7" name="Max net price per piece EUR (saved valu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table" Target="../tables/table3.xml"/>
</Relationships>
</file>

<file path=xl/worksheets/_rels/sheet10.xml.rels><?xml version="1.0" encoding="UTF-8"?>
<Relationships xmlns="http://schemas.openxmlformats.org/package/2006/relationships"><Relationship Id="rId1" Type="http://schemas.openxmlformats.org/officeDocument/2006/relationships/table" Target="../tables/table26.xml"/>
</Relationships>
</file>

<file path=xl/worksheets/_rels/sheet11.xml.rels><?xml version="1.0" encoding="UTF-8"?>
<Relationships xmlns="http://schemas.openxmlformats.org/package/2006/relationships"><Relationship Id="rId1" Type="http://schemas.openxmlformats.org/officeDocument/2006/relationships/table" Target="../tables/table27.xml"/>
</Relationships>
</file>

<file path=xl/worksheets/_rels/sheet12.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Relationship Id="rId3" Type="http://schemas.openxmlformats.org/officeDocument/2006/relationships/table" Target="../tables/table7.xml"/><Relationship Id="rId4" Type="http://schemas.openxmlformats.org/officeDocument/2006/relationships/table" Target="../tables/table8.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 Id="rId9" Type="http://schemas.openxmlformats.org/officeDocument/2006/relationships/table" Target="../tables/table13.xml"/>
</Relationships>
</file>

<file path=xl/worksheets/_rels/sheet13.xml.rels><?xml version="1.0" encoding="UTF-8"?>
<Relationships xmlns="http://schemas.openxmlformats.org/package/2006/relationships"><Relationship Id="rId1" Type="http://schemas.openxmlformats.org/officeDocument/2006/relationships/table" Target="../tables/table22.xml"/><Relationship Id="rId2" Type="http://schemas.openxmlformats.org/officeDocument/2006/relationships/table" Target="../tables/table23.xml"/><Relationship Id="rId3" Type="http://schemas.openxmlformats.org/officeDocument/2006/relationships/table" Target="../tables/table24.xml"/><Relationship Id="rId4" Type="http://schemas.openxmlformats.org/officeDocument/2006/relationships/table" Target="../tables/table25.xml"/>
</Relationships>
</file>

<file path=xl/worksheets/_rels/sheet14.xml.rels><?xml version="1.0" encoding="UTF-8"?>
<Relationships xmlns="http://schemas.openxmlformats.org/package/2006/relationships"><Relationship Id="rId1" Type="http://schemas.openxmlformats.org/officeDocument/2006/relationships/table" Target="../tables/table14.xml"/><Relationship Id="rId2" Type="http://schemas.openxmlformats.org/officeDocument/2006/relationships/table" Target="../tables/table15.xml"/><Relationship Id="rId3" Type="http://schemas.openxmlformats.org/officeDocument/2006/relationships/table" Target="../tables/table16.xml"/><Relationship Id="rId4" Type="http://schemas.openxmlformats.org/officeDocument/2006/relationships/table" Target="../tables/table17.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 Id="rId8" Type="http://schemas.openxmlformats.org/officeDocument/2006/relationships/table" Target="../tables/table21.xml"/>
</Relationships>
</file>

<file path=xl/worksheets/_rels/sheet15.xml.rels><?xml version="1.0" encoding="UTF-8"?>
<Relationships xmlns="http://schemas.openxmlformats.org/package/2006/relationships"><Relationship Id="rId1" Type="http://schemas.openxmlformats.org/officeDocument/2006/relationships/table" Target="../tables/table28.xml"/><Relationship Id="rId2" Type="http://schemas.openxmlformats.org/officeDocument/2006/relationships/table" Target="../tables/table29.xml"/><Relationship Id="rId3" Type="http://schemas.openxmlformats.org/officeDocument/2006/relationships/table" Target="../tables/table30.xml"/><Relationship Id="rId4" Type="http://schemas.openxmlformats.org/officeDocument/2006/relationships/table" Target="../tables/table3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24F"/>
    <pageSetUpPr fitToPage="false"/>
  </sheetPr>
  <dimension ref="A1:N103"/>
  <sheetViews>
    <sheetView showFormulas="false" showGridLines="false" showRowColHeaders="true" showZeros="true" rightToLeft="false" tabSelected="false" showOutlineSymbols="true" defaultGridColor="true" view="normal" topLeftCell="A29" colorId="64" zoomScale="100" zoomScaleNormal="100" zoomScalePageLayoutView="100" workbookViewId="0">
      <selection pane="topLeft" activeCell="J29" activeCellId="0" sqref="J29"/>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48"/>
    <col collapsed="false" customWidth="true" hidden="false" outlineLevel="0" max="8" min="3" style="2" width="18"/>
    <col collapsed="false" customWidth="true" hidden="false" outlineLevel="0" max="9" min="9" style="1" width="3"/>
    <col collapsed="false" customWidth="true" hidden="false" outlineLevel="0" max="13" min="10" style="2" width="17"/>
    <col collapsed="false" customWidth="true" hidden="false" outlineLevel="0" max="14" min="14" style="1" width="9"/>
  </cols>
  <sheetData>
    <row r="1" customFormat="false" ht="21.75" hidden="false" customHeight="true" outlineLevel="0" collapsed="false">
      <c r="A1" s="3"/>
      <c r="B1" s="3"/>
      <c r="C1" s="4"/>
      <c r="D1" s="4"/>
      <c r="E1" s="4"/>
      <c r="F1" s="4"/>
      <c r="G1" s="4"/>
      <c r="H1" s="4"/>
      <c r="I1" s="3"/>
      <c r="J1" s="4"/>
      <c r="K1" s="4"/>
      <c r="L1" s="4"/>
      <c r="M1" s="4"/>
      <c r="N1" s="3"/>
    </row>
    <row r="2" customFormat="false" ht="28.5" hidden="false" customHeight="true" outlineLevel="0" collapsed="false">
      <c r="A2" s="3"/>
      <c r="B2" s="5" t="s">
        <v>0</v>
      </c>
      <c r="C2" s="6"/>
      <c r="D2" s="6"/>
      <c r="E2" s="6"/>
      <c r="F2" s="6"/>
      <c r="G2" s="6"/>
      <c r="H2" s="6"/>
      <c r="I2" s="7"/>
      <c r="J2" s="6"/>
      <c r="K2" s="6"/>
      <c r="L2" s="6"/>
      <c r="M2" s="6"/>
      <c r="N2" s="3"/>
    </row>
    <row r="3" customFormat="false" ht="22.5" hidden="false" customHeight="true" outlineLevel="0" collapsed="false">
      <c r="A3" s="3"/>
      <c r="B3" s="8" t="s">
        <v>1</v>
      </c>
      <c r="C3" s="6"/>
      <c r="D3" s="6"/>
      <c r="E3" s="6"/>
      <c r="F3" s="6"/>
      <c r="G3" s="6"/>
      <c r="H3" s="6"/>
      <c r="I3" s="7"/>
      <c r="J3" s="6"/>
      <c r="K3" s="6"/>
      <c r="L3" s="6"/>
      <c r="M3" s="6"/>
      <c r="N3" s="3"/>
    </row>
    <row r="4" customFormat="false" ht="21.75" hidden="false" customHeight="true" outlineLevel="0" collapsed="false">
      <c r="A4" s="3"/>
      <c r="B4" s="9"/>
      <c r="C4" s="10"/>
      <c r="D4" s="10"/>
      <c r="E4" s="10"/>
      <c r="F4" s="10"/>
      <c r="G4" s="10"/>
      <c r="H4" s="10"/>
      <c r="I4" s="9"/>
      <c r="J4" s="10"/>
      <c r="K4" s="10"/>
      <c r="L4" s="10"/>
      <c r="M4" s="10"/>
      <c r="N4" s="11"/>
    </row>
    <row r="5" customFormat="false" ht="28.5" hidden="false" customHeight="true" outlineLevel="0" collapsed="false">
      <c r="A5" s="3"/>
      <c r="B5" s="12" t="s">
        <v>2</v>
      </c>
      <c r="C5" s="13" t="s">
        <v>3</v>
      </c>
      <c r="D5" s="14" t="s">
        <v>4</v>
      </c>
      <c r="E5" s="13" t="s">
        <v>5</v>
      </c>
      <c r="F5" s="10"/>
      <c r="G5" s="14" t="s">
        <v>6</v>
      </c>
      <c r="H5" s="13" t="s">
        <v>7</v>
      </c>
      <c r="I5" s="9"/>
      <c r="J5" s="14" t="s">
        <v>8</v>
      </c>
      <c r="K5" s="10"/>
      <c r="L5" s="10"/>
      <c r="M5" s="10"/>
      <c r="N5" s="3"/>
    </row>
    <row r="6" customFormat="false" ht="21.75" hidden="false" customHeight="true" outlineLevel="0" collapsed="false">
      <c r="A6" s="3"/>
      <c r="B6" s="9"/>
      <c r="C6" s="10"/>
      <c r="D6" s="10"/>
      <c r="E6" s="10"/>
      <c r="F6" s="10"/>
      <c r="G6" s="10"/>
      <c r="H6" s="10"/>
      <c r="I6" s="9"/>
      <c r="J6" s="15" t="s">
        <v>9</v>
      </c>
      <c r="K6" s="15"/>
      <c r="L6" s="15"/>
      <c r="M6" s="15"/>
      <c r="N6" s="3"/>
    </row>
    <row r="7" customFormat="false" ht="21.75" hidden="false" customHeight="true" outlineLevel="0" collapsed="false">
      <c r="A7" s="3"/>
      <c r="B7" s="16" t="str">
        <f aca="false">IF(E5="Local prices","Local net prices per piece. Currency differs by country.","EUR net prices per piece. Erste Bank mid-rates published 30 Sep 2026 at 18:00 CEST.")</f>
        <v>EUR net prices per piece. Erste Bank mid-rates published 30 Sep 2026 at 18:00 CEST.</v>
      </c>
      <c r="C7" s="16"/>
      <c r="D7" s="16"/>
      <c r="E7" s="16"/>
      <c r="F7" s="16"/>
      <c r="G7" s="16"/>
      <c r="H7" s="16"/>
      <c r="I7" s="9"/>
      <c r="J7" s="15"/>
      <c r="K7" s="15"/>
      <c r="L7" s="15"/>
      <c r="M7" s="15"/>
      <c r="N7" s="3"/>
    </row>
    <row r="8" customFormat="false" ht="21.75" hidden="false" customHeight="true" outlineLevel="0" collapsed="false">
      <c r="A8" s="3"/>
      <c r="B8" s="17" t="s">
        <v>10</v>
      </c>
      <c r="C8" s="18"/>
      <c r="D8" s="18"/>
      <c r="E8" s="18"/>
      <c r="F8" s="18"/>
      <c r="G8" s="18"/>
      <c r="H8" s="18"/>
      <c r="I8" s="9"/>
      <c r="J8" s="10"/>
      <c r="K8" s="10"/>
      <c r="L8" s="10"/>
      <c r="M8" s="10"/>
      <c r="N8" s="3"/>
    </row>
    <row r="9" customFormat="false" ht="21.75" hidden="false" customHeight="true" outlineLevel="0" collapsed="false">
      <c r="A9" s="3"/>
      <c r="B9" s="9"/>
      <c r="C9" s="10"/>
      <c r="D9" s="10"/>
      <c r="E9" s="10"/>
      <c r="F9" s="10"/>
      <c r="G9" s="10"/>
      <c r="H9" s="10"/>
      <c r="I9" s="9"/>
      <c r="J9" s="19" t="s">
        <v>11</v>
      </c>
      <c r="K9" s="20"/>
      <c r="L9" s="20"/>
      <c r="M9" s="20"/>
      <c r="N9" s="3"/>
    </row>
    <row r="10" customFormat="false" ht="36" hidden="false" customHeight="true" outlineLevel="0" collapsed="false">
      <c r="A10" s="3"/>
      <c r="B10" s="21" t="s">
        <v>12</v>
      </c>
      <c r="C10" s="22" t="s">
        <v>13</v>
      </c>
      <c r="D10" s="23" t="s">
        <v>14</v>
      </c>
      <c r="E10" s="24" t="s">
        <v>15</v>
      </c>
      <c r="F10" s="25" t="s">
        <v>16</v>
      </c>
      <c r="G10" s="26" t="s">
        <v>17</v>
      </c>
      <c r="H10" s="27" t="s">
        <v>18</v>
      </c>
      <c r="I10" s="9"/>
      <c r="J10" s="10"/>
      <c r="K10" s="10"/>
      <c r="L10" s="10"/>
      <c r="M10" s="10"/>
      <c r="N10" s="3"/>
    </row>
    <row r="11" customFormat="false" ht="22.5" hidden="false" customHeight="true" outlineLevel="0" collapsed="false">
      <c r="A11" s="3"/>
      <c r="B11" s="28"/>
      <c r="C11" s="29" t="str">
        <f aca="false">IF($E$5="Local prices","HUF net/pc","EUR net/pc")</f>
        <v>EUR net/pc</v>
      </c>
      <c r="D11" s="29" t="str">
        <f aca="false">IF($E$5="Local prices","RON net/pc","EUR net/pc")</f>
        <v>EUR net/pc</v>
      </c>
      <c r="E11" s="29" t="str">
        <f aca="false">IF($E$5="Local prices","EUR net/pc","EUR net/pc")</f>
        <v>EUR net/pc</v>
      </c>
      <c r="F11" s="29" t="str">
        <f aca="false">IF($E$5="Local prices","EUR net/pc","EUR net/pc")</f>
        <v>EUR net/pc</v>
      </c>
      <c r="G11" s="29" t="str">
        <f aca="false">IF($E$5="Local prices","CZK net/pc","EUR net/pc")</f>
        <v>EUR net/pc</v>
      </c>
      <c r="H11" s="29" t="str">
        <f aca="false">IF($E$5="Local prices","EUR net/pc","EUR net/pc")</f>
        <v>EUR net/pc</v>
      </c>
      <c r="I11" s="9"/>
      <c r="J11" s="21" t="s">
        <v>19</v>
      </c>
      <c r="K11" s="30" t="s">
        <v>20</v>
      </c>
      <c r="L11" s="30" t="s">
        <v>3</v>
      </c>
      <c r="M11" s="30" t="s">
        <v>21</v>
      </c>
      <c r="N11" s="3"/>
    </row>
    <row r="12" customFormat="false" ht="34.5" hidden="false" customHeight="true" outlineLevel="0" collapsed="false">
      <c r="A12" s="3"/>
      <c r="B12" s="31" t="s">
        <v>9</v>
      </c>
      <c r="C12" s="32" t="n">
        <f aca="false">IF(IF($E$5="Local prices",COUNTIFS(Offers!$B$7:$B$3000,$B12,Offers!$C$7:$C$3000,C$10,Offers!$AH$7:$AH$3000,"yes"),COUNTIFS(Offers!$B$7:$B$3000,$B12,Offers!$C$7:$C$3000,C$10,Offers!$AI$7:$AI$3000,"yes"))=0,"—",SUMIFS(Review!$O$7:$O$600,Review!$B$7:$B$600,$B12,Review!$C$7:$C$600,C$10))</f>
        <v>10.912021</v>
      </c>
      <c r="D12" s="32" t="n">
        <f aca="false">IF(IF($E$5="Local prices",COUNTIFS(Offers!$B$7:$B$3000,$B12,Offers!$C$7:$C$3000,D$10,Offers!$AH$7:$AH$3000,"yes"),COUNTIFS(Offers!$B$7:$B$3000,$B12,Offers!$C$7:$C$3000,D$10,Offers!$AI$7:$AI$3000,"yes"))=0,"—",SUMIFS(Review!$O$7:$O$600,Review!$B$7:$B$600,$B12,Review!$C$7:$C$600,D$10))</f>
        <v>10.029101</v>
      </c>
      <c r="E12" s="32" t="n">
        <f aca="false">IF(IF($E$5="Local prices",COUNTIFS(Offers!$B$7:$B$3000,$B12,Offers!$C$7:$C$3000,E$10,Offers!$AH$7:$AH$3000,"yes"),COUNTIFS(Offers!$B$7:$B$3000,$B12,Offers!$C$7:$C$3000,E$10,Offers!$AI$7:$AI$3000,"yes"))=0,"—",SUMIFS(Review!$O$7:$O$600,Review!$B$7:$B$600,$B12,Review!$C$7:$C$600,E$10))</f>
        <v>14.07</v>
      </c>
      <c r="F12" s="32" t="n">
        <f aca="false">IF(IF($E$5="Local prices",COUNTIFS(Offers!$B$7:$B$3000,$B12,Offers!$C$7:$C$3000,F$10,Offers!$AH$7:$AH$3000,"yes"),COUNTIFS(Offers!$B$7:$B$3000,$B12,Offers!$C$7:$C$3000,F$10,Offers!$AI$7:$AI$3000,"yes"))=0,"—",SUMIFS(Review!$O$7:$O$600,Review!$B$7:$B$600,$B12,Review!$C$7:$C$600,F$10))</f>
        <v>13.11</v>
      </c>
      <c r="G12" s="32" t="n">
        <f aca="false">IF(IF($E$5="Local prices",COUNTIFS(Offers!$B$7:$B$3000,$B12,Offers!$C$7:$C$3000,G$10,Offers!$AH$7:$AH$3000,"yes"),COUNTIFS(Offers!$B$7:$B$3000,$B12,Offers!$C$7:$C$3000,G$10,Offers!$AI$7:$AI$3000,"yes"))=0,"—",SUMIFS(Review!$O$7:$O$600,Review!$B$7:$B$600,$B12,Review!$C$7:$C$600,G$10))</f>
        <v>12.1480785</v>
      </c>
      <c r="H12" s="32" t="n">
        <f aca="false">IF(IF($E$5="Local prices",COUNTIFS(Offers!$B$7:$B$3000,$B12,Offers!$C$7:$C$3000,H$10,Offers!$AH$7:$AH$3000,"yes"),COUNTIFS(Offers!$B$7:$B$3000,$B12,Offers!$C$7:$C$3000,H$10,Offers!$AI$7:$AI$3000,"yes"))=0,"—",SUMIFS(Review!$O$7:$O$600,Review!$B$7:$B$600,$B12,Review!$C$7:$C$600,H$10))</f>
        <v>18.4676425</v>
      </c>
      <c r="I12" s="9"/>
      <c r="J12" s="33" t="s">
        <v>13</v>
      </c>
      <c r="K12" s="34" t="n">
        <f aca="false">IF(COUNTIFS(Offers!$B$7:$B$3000,$J$6,Offers!$C$7:$C$3000,$J12,Offers!$AI$7:$AI$3000,"yes")=0,"—",SUMIFS(Review!$I$7:$I$600,Review!$B$7:$B$600,$J$6,Review!$C$7:$C$600,$J12))</f>
        <v>6.883177</v>
      </c>
      <c r="L12" s="35" t="n">
        <f aca="false">IF(COUNTIFS(Offers!$B$7:$B$3000,$J$6,Offers!$C$7:$C$3000,$J12,Offers!$AI$7:$AI$3000,"yes")=0,"—",SUMIFS(Review!$J$7:$J$600,Review!$B$7:$B$600,$J$6,Review!$C$7:$C$600,$J12))</f>
        <v>10.912021</v>
      </c>
      <c r="M12" s="34" t="n">
        <f aca="false">IF(COUNTIFS(Offers!$B$7:$B$3000,$J$6,Offers!$C$7:$C$3000,$J12,Offers!$AI$7:$AI$3000,"yes")=0,"—",SUMIFS(Review!$K$7:$K$600,Review!$B$7:$B$600,$J$6,Review!$C$7:$C$600,$J12))</f>
        <v>19.764552</v>
      </c>
      <c r="N12" s="3"/>
    </row>
    <row r="13" customFormat="false" ht="34.5" hidden="false" customHeight="true" outlineLevel="0" collapsed="false">
      <c r="A13" s="3"/>
      <c r="B13" s="36" t="s">
        <v>22</v>
      </c>
      <c r="C13" s="37" t="n">
        <f aca="false">IF(IF($E$5="Local prices",COUNTIFS(Offers!$B$7:$B$3000,$B13,Offers!$C$7:$C$3000,C$10,Offers!$AH$7:$AH$3000,"yes"),COUNTIFS(Offers!$B$7:$B$3000,$B13,Offers!$C$7:$C$3000,C$10,Offers!$AI$7:$AI$3000,"yes"))=0,"—",SUMIFS(Review!$O$7:$O$600,Review!$B$7:$B$600,$B13,Review!$C$7:$C$600,C$10))</f>
        <v>9.607768</v>
      </c>
      <c r="D13" s="37" t="n">
        <f aca="false">IF(IF($E$5="Local prices",COUNTIFS(Offers!$B$7:$B$3000,$B13,Offers!$C$7:$C$3000,D$10,Offers!$AH$7:$AH$3000,"yes"),COUNTIFS(Offers!$B$7:$B$3000,$B13,Offers!$C$7:$C$3000,D$10,Offers!$AI$7:$AI$3000,"yes"))=0,"—",SUMIFS(Review!$O$7:$O$600,Review!$B$7:$B$600,$B13,Review!$C$7:$C$600,D$10))</f>
        <v>10.87228</v>
      </c>
      <c r="E13" s="37" t="n">
        <f aca="false">IF(IF($E$5="Local prices",COUNTIFS(Offers!$B$7:$B$3000,$B13,Offers!$C$7:$C$3000,E$10,Offers!$AH$7:$AH$3000,"yes"),COUNTIFS(Offers!$B$7:$B$3000,$B13,Offers!$C$7:$C$3000,E$10,Offers!$AI$7:$AI$3000,"yes"))=0,"—",SUMIFS(Review!$O$7:$O$600,Review!$B$7:$B$600,$B13,Review!$C$7:$C$600,E$10))</f>
        <v>10.9</v>
      </c>
      <c r="F13" s="37" t="n">
        <f aca="false">IF(IF($E$5="Local prices",COUNTIFS(Offers!$B$7:$B$3000,$B13,Offers!$C$7:$C$3000,F$10,Offers!$AH$7:$AH$3000,"yes"),COUNTIFS(Offers!$B$7:$B$3000,$B13,Offers!$C$7:$C$3000,F$10,Offers!$AI$7:$AI$3000,"yes"))=0,"—",SUMIFS(Review!$O$7:$O$600,Review!$B$7:$B$600,$B13,Review!$C$7:$C$600,F$10))</f>
        <v>9.35</v>
      </c>
      <c r="G13" s="37" t="n">
        <f aca="false">IF(IF($E$5="Local prices",COUNTIFS(Offers!$B$7:$B$3000,$B13,Offers!$C$7:$C$3000,G$10,Offers!$AH$7:$AH$3000,"yes"),COUNTIFS(Offers!$B$7:$B$3000,$B13,Offers!$C$7:$C$3000,G$10,Offers!$AI$7:$AI$3000,"yes"))=0,"—",SUMIFS(Review!$O$7:$O$600,Review!$B$7:$B$600,$B13,Review!$C$7:$C$600,G$10))</f>
        <v>10.5092955</v>
      </c>
      <c r="H13" s="37" t="n">
        <f aca="false">IF(IF($E$5="Local prices",COUNTIFS(Offers!$B$7:$B$3000,$B13,Offers!$C$7:$C$3000,H$10,Offers!$AH$7:$AH$3000,"yes"),COUNTIFS(Offers!$B$7:$B$3000,$B13,Offers!$C$7:$C$3000,H$10,Offers!$AI$7:$AI$3000,"yes"))=0,"—",SUMIFS(Review!$O$7:$O$600,Review!$B$7:$B$600,$B13,Review!$C$7:$C$600,H$10))</f>
        <v>15.688821</v>
      </c>
      <c r="I13" s="9"/>
      <c r="J13" s="38" t="s">
        <v>14</v>
      </c>
      <c r="K13" s="39" t="n">
        <f aca="false">IF(COUNTIFS(Offers!$B$7:$B$3000,$J$6,Offers!$C$7:$C$3000,$J13,Offers!$AI$7:$AI$3000,"yes")=0,"—",SUMIFS(Review!$I$7:$I$600,Review!$B$7:$B$600,$J$6,Review!$C$7:$C$600,$J13))</f>
        <v>8</v>
      </c>
      <c r="L13" s="35" t="n">
        <f aca="false">IF(COUNTIFS(Offers!$B$7:$B$3000,$J$6,Offers!$C$7:$C$3000,$J13,Offers!$AI$7:$AI$3000,"yes")=0,"—",SUMIFS(Review!$J$7:$J$600,Review!$B$7:$B$600,$J$6,Review!$C$7:$C$600,$J13))</f>
        <v>10.029101</v>
      </c>
      <c r="M13" s="39" t="n">
        <f aca="false">IF(COUNTIFS(Offers!$B$7:$B$3000,$J$6,Offers!$C$7:$C$3000,$J13,Offers!$AI$7:$AI$3000,"yes")=0,"—",SUMIFS(Review!$K$7:$K$600,Review!$B$7:$B$600,$J$6,Review!$C$7:$C$600,$J13))</f>
        <v>17.413081</v>
      </c>
      <c r="N13" s="3"/>
    </row>
    <row r="14" customFormat="false" ht="34.5" hidden="false" customHeight="true" outlineLevel="0" collapsed="false">
      <c r="A14" s="3"/>
      <c r="B14" s="31" t="s">
        <v>23</v>
      </c>
      <c r="C14" s="32" t="n">
        <f aca="false">IF(IF($E$5="Local prices",COUNTIFS(Offers!$B$7:$B$3000,$B14,Offers!$C$7:$C$3000,C$10,Offers!$AH$7:$AH$3000,"yes"),COUNTIFS(Offers!$B$7:$B$3000,$B14,Offers!$C$7:$C$3000,C$10,Offers!$AI$7:$AI$3000,"yes"))=0,"—",SUMIFS(Review!$O$7:$O$600,Review!$B$7:$B$600,$B14,Review!$C$7:$C$600,C$10))</f>
        <v>4.247357</v>
      </c>
      <c r="D14" s="32" t="n">
        <f aca="false">IF(IF($E$5="Local prices",COUNTIFS(Offers!$B$7:$B$3000,$B14,Offers!$C$7:$C$3000,D$10,Offers!$AH$7:$AH$3000,"yes"),COUNTIFS(Offers!$B$7:$B$3000,$B14,Offers!$C$7:$C$3000,D$10,Offers!$AI$7:$AI$3000,"yes"))=0,"—",SUMIFS(Review!$O$7:$O$600,Review!$B$7:$B$600,$B14,Review!$C$7:$C$600,D$10))</f>
        <v>6.404376</v>
      </c>
      <c r="E14" s="32" t="n">
        <f aca="false">IF(IF($E$5="Local prices",COUNTIFS(Offers!$B$7:$B$3000,$B14,Offers!$C$7:$C$3000,E$10,Offers!$AH$7:$AH$3000,"yes"),COUNTIFS(Offers!$B$7:$B$3000,$B14,Offers!$C$7:$C$3000,E$10,Offers!$AI$7:$AI$3000,"yes"))=0,"—",SUMIFS(Review!$O$7:$O$600,Review!$B$7:$B$600,$B14,Review!$C$7:$C$600,E$10))</f>
        <v>5.305</v>
      </c>
      <c r="F14" s="32" t="n">
        <f aca="false">IF(IF($E$5="Local prices",COUNTIFS(Offers!$B$7:$B$3000,$B14,Offers!$C$7:$C$3000,F$10,Offers!$AH$7:$AH$3000,"yes"),COUNTIFS(Offers!$B$7:$B$3000,$B14,Offers!$C$7:$C$3000,F$10,Offers!$AI$7:$AI$3000,"yes"))=0,"—",SUMIFS(Review!$O$7:$O$600,Review!$B$7:$B$600,$B14,Review!$C$7:$C$600,F$10))</f>
        <v>6.93</v>
      </c>
      <c r="G14" s="32" t="n">
        <f aca="false">IF(IF($E$5="Local prices",COUNTIFS(Offers!$B$7:$B$3000,$B14,Offers!$C$7:$C$3000,G$10,Offers!$AH$7:$AH$3000,"yes"),COUNTIFS(Offers!$B$7:$B$3000,$B14,Offers!$C$7:$C$3000,G$10,Offers!$AI$7:$AI$3000,"yes"))=0,"—",SUMIFS(Review!$O$7:$O$600,Review!$B$7:$B$600,$B14,Review!$C$7:$C$600,G$10))</f>
        <v>4.15868</v>
      </c>
      <c r="H14" s="32" t="n">
        <f aca="false">IF(IF($E$5="Local prices",COUNTIFS(Offers!$B$7:$B$3000,$B14,Offers!$C$7:$C$3000,H$10,Offers!$AH$7:$AH$3000,"yes"),COUNTIFS(Offers!$B$7:$B$3000,$B14,Offers!$C$7:$C$3000,H$10,Offers!$AI$7:$AI$3000,"yes"))=0,"—",SUMIFS(Review!$O$7:$O$600,Review!$B$7:$B$600,$B14,Review!$C$7:$C$600,H$10))</f>
        <v>11.991992</v>
      </c>
      <c r="I14" s="9"/>
      <c r="J14" s="33" t="s">
        <v>15</v>
      </c>
      <c r="K14" s="34" t="n">
        <f aca="false">IF(COUNTIFS(Offers!$B$7:$B$3000,$J$6,Offers!$C$7:$C$3000,$J14,Offers!$AI$7:$AI$3000,"yes")=0,"—",SUMIFS(Review!$I$7:$I$600,Review!$B$7:$B$600,$J$6,Review!$C$7:$C$600,$J14))</f>
        <v>7.83</v>
      </c>
      <c r="L14" s="35" t="n">
        <f aca="false">IF(COUNTIFS(Offers!$B$7:$B$3000,$J$6,Offers!$C$7:$C$3000,$J14,Offers!$AI$7:$AI$3000,"yes")=0,"—",SUMIFS(Review!$J$7:$J$600,Review!$B$7:$B$600,$J$6,Review!$C$7:$C$600,$J14))</f>
        <v>14.07</v>
      </c>
      <c r="M14" s="34" t="n">
        <f aca="false">IF(COUNTIFS(Offers!$B$7:$B$3000,$J$6,Offers!$C$7:$C$3000,$J14,Offers!$AI$7:$AI$3000,"yes")=0,"—",SUMIFS(Review!$K$7:$K$600,Review!$B$7:$B$600,$J$6,Review!$C$7:$C$600,$J14))</f>
        <v>23</v>
      </c>
      <c r="N14" s="3"/>
    </row>
    <row r="15" customFormat="false" ht="34.5" hidden="false" customHeight="true" outlineLevel="0" collapsed="false">
      <c r="A15" s="3"/>
      <c r="B15" s="36" t="s">
        <v>24</v>
      </c>
      <c r="C15" s="37" t="str">
        <f aca="false">IF(IF($E$5="Local prices",COUNTIFS(Offers!$B$7:$B$3000,$B15,Offers!$C$7:$C$3000,C$10,Offers!$AH$7:$AH$3000,"yes"),COUNTIFS(Offers!$B$7:$B$3000,$B15,Offers!$C$7:$C$3000,C$10,Offers!$AI$7:$AI$3000,"yes"))=0,"—",SUMIFS(Review!$O$7:$O$600,Review!$B$7:$B$600,$B15,Review!$C$7:$C$600,C$10))</f>
        <v>—</v>
      </c>
      <c r="D15" s="37" t="n">
        <f aca="false">IF(IF($E$5="Local prices",COUNTIFS(Offers!$B$7:$B$3000,$B15,Offers!$C$7:$C$3000,D$10,Offers!$AH$7:$AH$3000,"yes"),COUNTIFS(Offers!$B$7:$B$3000,$B15,Offers!$C$7:$C$3000,D$10,Offers!$AI$7:$AI$3000,"yes"))=0,"—",SUMIFS(Review!$O$7:$O$600,Review!$B$7:$B$600,$B15,Review!$C$7:$C$600,D$10))</f>
        <v>4.50959</v>
      </c>
      <c r="E15" s="37" t="n">
        <f aca="false">IF(IF($E$5="Local prices",COUNTIFS(Offers!$B$7:$B$3000,$B15,Offers!$C$7:$C$3000,E$10,Offers!$AH$7:$AH$3000,"yes"),COUNTIFS(Offers!$B$7:$B$3000,$B15,Offers!$C$7:$C$3000,E$10,Offers!$AI$7:$AI$3000,"yes"))=0,"—",SUMIFS(Review!$O$7:$O$600,Review!$B$7:$B$600,$B15,Review!$C$7:$C$600,E$10))</f>
        <v>6.525</v>
      </c>
      <c r="F15" s="37" t="n">
        <f aca="false">IF(IF($E$5="Local prices",COUNTIFS(Offers!$B$7:$B$3000,$B15,Offers!$C$7:$C$3000,F$10,Offers!$AH$7:$AH$3000,"yes"),COUNTIFS(Offers!$B$7:$B$3000,$B15,Offers!$C$7:$C$3000,F$10,Offers!$AI$7:$AI$3000,"yes"))=0,"—",SUMIFS(Review!$O$7:$O$600,Review!$B$7:$B$600,$B15,Review!$C$7:$C$600,F$10))</f>
        <v>7.5</v>
      </c>
      <c r="G15" s="37" t="n">
        <f aca="false">IF(IF($E$5="Local prices",COUNTIFS(Offers!$B$7:$B$3000,$B15,Offers!$C$7:$C$3000,G$10,Offers!$AH$7:$AH$3000,"yes"),COUNTIFS(Offers!$B$7:$B$3000,$B15,Offers!$C$7:$C$3000,G$10,Offers!$AI$7:$AI$3000,"yes"))=0,"—",SUMIFS(Review!$O$7:$O$600,Review!$B$7:$B$600,$B15,Review!$C$7:$C$600,G$10))</f>
        <v>5.040613</v>
      </c>
      <c r="H15" s="37" t="n">
        <f aca="false">IF(IF($E$5="Local prices",COUNTIFS(Offers!$B$7:$B$3000,$B15,Offers!$C$7:$C$3000,H$10,Offers!$AH$7:$AH$3000,"yes"),COUNTIFS(Offers!$B$7:$B$3000,$B15,Offers!$C$7:$C$3000,H$10,Offers!$AI$7:$AI$3000,"yes"))=0,"—",SUMIFS(Review!$O$7:$O$600,Review!$B$7:$B$600,$B15,Review!$C$7:$C$600,H$10))</f>
        <v>9.945447</v>
      </c>
      <c r="I15" s="9"/>
      <c r="J15" s="38" t="s">
        <v>16</v>
      </c>
      <c r="K15" s="39" t="n">
        <f aca="false">IF(COUNTIFS(Offers!$B$7:$B$3000,$J$6,Offers!$C$7:$C$3000,$J15,Offers!$AI$7:$AI$3000,"yes")=0,"—",SUMIFS(Review!$I$7:$I$600,Review!$B$7:$B$600,$J$6,Review!$C$7:$C$600,$J15))</f>
        <v>7.26</v>
      </c>
      <c r="L15" s="35" t="n">
        <f aca="false">IF(COUNTIFS(Offers!$B$7:$B$3000,$J$6,Offers!$C$7:$C$3000,$J15,Offers!$AI$7:$AI$3000,"yes")=0,"—",SUMIFS(Review!$J$7:$J$600,Review!$B$7:$B$600,$J$6,Review!$C$7:$C$600,$J15))</f>
        <v>13.11</v>
      </c>
      <c r="M15" s="39" t="n">
        <f aca="false">IF(COUNTIFS(Offers!$B$7:$B$3000,$J$6,Offers!$C$7:$C$3000,$J15,Offers!$AI$7:$AI$3000,"yes")=0,"—",SUMIFS(Review!$K$7:$K$600,Review!$B$7:$B$600,$J$6,Review!$C$7:$C$600,$J15))</f>
        <v>22.43</v>
      </c>
      <c r="N15" s="3"/>
    </row>
    <row r="16" customFormat="false" ht="34.5" hidden="false" customHeight="true" outlineLevel="0" collapsed="false">
      <c r="A16" s="3"/>
      <c r="B16" s="31" t="s">
        <v>25</v>
      </c>
      <c r="C16" s="32" t="str">
        <f aca="false">IF(IF($E$5="Local prices",COUNTIFS(Offers!$B$7:$B$3000,$B16,Offers!$C$7:$C$3000,C$10,Offers!$AH$7:$AH$3000,"yes"),COUNTIFS(Offers!$B$7:$B$3000,$B16,Offers!$C$7:$C$3000,C$10,Offers!$AI$7:$AI$3000,"yes"))=0,"—",SUMIFS(Review!$O$7:$O$600,Review!$B$7:$B$600,$B16,Review!$C$7:$C$600,C$10))</f>
        <v>—</v>
      </c>
      <c r="D16" s="32" t="str">
        <f aca="false">IF(IF($E$5="Local prices",COUNTIFS(Offers!$B$7:$B$3000,$B16,Offers!$C$7:$C$3000,D$10,Offers!$AH$7:$AH$3000,"yes"),COUNTIFS(Offers!$B$7:$B$3000,$B16,Offers!$C$7:$C$3000,D$10,Offers!$AI$7:$AI$3000,"yes"))=0,"—",SUMIFS(Review!$O$7:$O$600,Review!$B$7:$B$600,$B16,Review!$C$7:$C$600,D$10))</f>
        <v>—</v>
      </c>
      <c r="E16" s="32" t="n">
        <f aca="false">IF(IF($E$5="Local prices",COUNTIFS(Offers!$B$7:$B$3000,$B16,Offers!$C$7:$C$3000,E$10,Offers!$AH$7:$AH$3000,"yes"),COUNTIFS(Offers!$B$7:$B$3000,$B16,Offers!$C$7:$C$3000,E$10,Offers!$AI$7:$AI$3000,"yes"))=0,"—",SUMIFS(Review!$O$7:$O$600,Review!$B$7:$B$600,$B16,Review!$C$7:$C$600,E$10))</f>
        <v>2.32</v>
      </c>
      <c r="F16" s="32" t="n">
        <f aca="false">IF(IF($E$5="Local prices",COUNTIFS(Offers!$B$7:$B$3000,$B16,Offers!$C$7:$C$3000,F$10,Offers!$AH$7:$AH$3000,"yes"),COUNTIFS(Offers!$B$7:$B$3000,$B16,Offers!$C$7:$C$3000,F$10,Offers!$AI$7:$AI$3000,"yes"))=0,"—",SUMIFS(Review!$O$7:$O$600,Review!$B$7:$B$600,$B16,Review!$C$7:$C$600,F$10))</f>
        <v>2.055</v>
      </c>
      <c r="G16" s="32" t="n">
        <f aca="false">IF(IF($E$5="Local prices",COUNTIFS(Offers!$B$7:$B$3000,$B16,Offers!$C$7:$C$3000,G$10,Offers!$AH$7:$AH$3000,"yes"),COUNTIFS(Offers!$B$7:$B$3000,$B16,Offers!$C$7:$C$3000,G$10,Offers!$AI$7:$AI$3000,"yes"))=0,"—",SUMIFS(Review!$O$7:$O$600,Review!$B$7:$B$600,$B16,Review!$C$7:$C$600,G$10))</f>
        <v>4.708558</v>
      </c>
      <c r="H16" s="32" t="str">
        <f aca="false">IF(IF($E$5="Local prices",COUNTIFS(Offers!$B$7:$B$3000,$B16,Offers!$C$7:$C$3000,H$10,Offers!$AH$7:$AH$3000,"yes"),COUNTIFS(Offers!$B$7:$B$3000,$B16,Offers!$C$7:$C$3000,H$10,Offers!$AI$7:$AI$3000,"yes"))=0,"—",SUMIFS(Review!$O$7:$O$600,Review!$B$7:$B$600,$B16,Review!$C$7:$C$600,H$10))</f>
        <v>—</v>
      </c>
      <c r="I16" s="9"/>
      <c r="J16" s="33" t="s">
        <v>17</v>
      </c>
      <c r="K16" s="34" t="n">
        <f aca="false">IF(COUNTIFS(Offers!$B$7:$B$3000,$J$6,Offers!$C$7:$C$3000,$J16,Offers!$AI$7:$AI$3000,"yes")=0,"—",SUMIFS(Review!$I$7:$I$600,Review!$B$7:$B$600,$J$6,Review!$C$7:$C$600,$J16))</f>
        <v>7.804741</v>
      </c>
      <c r="L16" s="35" t="n">
        <f aca="false">IF(COUNTIFS(Offers!$B$7:$B$3000,$J$6,Offers!$C$7:$C$3000,$J16,Offers!$AI$7:$AI$3000,"yes")=0,"—",SUMIFS(Review!$J$7:$J$600,Review!$B$7:$B$600,$J$6,Review!$C$7:$C$600,$J16))</f>
        <v>12.1480785</v>
      </c>
      <c r="M16" s="34" t="n">
        <f aca="false">IF(COUNTIFS(Offers!$B$7:$B$3000,$J$6,Offers!$C$7:$C$3000,$J16,Offers!$AI$7:$AI$3000,"yes")=0,"—",SUMIFS(Review!$K$7:$K$600,Review!$B$7:$B$600,$J$6,Review!$C$7:$C$600,$J16))</f>
        <v>16.986838</v>
      </c>
      <c r="N16" s="3"/>
    </row>
    <row r="17" customFormat="false" ht="34.5" hidden="false" customHeight="true" outlineLevel="0" collapsed="false">
      <c r="A17" s="3"/>
      <c r="B17" s="36" t="s">
        <v>26</v>
      </c>
      <c r="C17" s="37" t="str">
        <f aca="false">IF(IF($E$5="Local prices",COUNTIFS(Offers!$B$7:$B$3000,$B17,Offers!$C$7:$C$3000,C$10,Offers!$AH$7:$AH$3000,"yes"),COUNTIFS(Offers!$B$7:$B$3000,$B17,Offers!$C$7:$C$3000,C$10,Offers!$AI$7:$AI$3000,"yes"))=0,"—",SUMIFS(Review!$O$7:$O$600,Review!$B$7:$B$600,$B17,Review!$C$7:$C$600,C$10))</f>
        <v>—</v>
      </c>
      <c r="D17" s="37" t="str">
        <f aca="false">IF(IF($E$5="Local prices",COUNTIFS(Offers!$B$7:$B$3000,$B17,Offers!$C$7:$C$3000,D$10,Offers!$AH$7:$AH$3000,"yes"),COUNTIFS(Offers!$B$7:$B$3000,$B17,Offers!$C$7:$C$3000,D$10,Offers!$AI$7:$AI$3000,"yes"))=0,"—",SUMIFS(Review!$O$7:$O$600,Review!$B$7:$B$600,$B17,Review!$C$7:$C$600,D$10))</f>
        <v>—</v>
      </c>
      <c r="E17" s="37" t="n">
        <f aca="false">IF(IF($E$5="Local prices",COUNTIFS(Offers!$B$7:$B$3000,$B17,Offers!$C$7:$C$3000,E$10,Offers!$AH$7:$AH$3000,"yes"),COUNTIFS(Offers!$B$7:$B$3000,$B17,Offers!$C$7:$C$3000,E$10,Offers!$AI$7:$AI$3000,"yes"))=0,"—",SUMIFS(Review!$O$7:$O$600,Review!$B$7:$B$600,$B17,Review!$C$7:$C$600,E$10))</f>
        <v>2.96</v>
      </c>
      <c r="F17" s="37" t="n">
        <f aca="false">IF(IF($E$5="Local prices",COUNTIFS(Offers!$B$7:$B$3000,$B17,Offers!$C$7:$C$3000,F$10,Offers!$AH$7:$AH$3000,"yes"),COUNTIFS(Offers!$B$7:$B$3000,$B17,Offers!$C$7:$C$3000,F$10,Offers!$AI$7:$AI$3000,"yes"))=0,"—",SUMIFS(Review!$O$7:$O$600,Review!$B$7:$B$600,$B17,Review!$C$7:$C$600,F$10))</f>
        <v>1.97</v>
      </c>
      <c r="G17" s="37" t="n">
        <f aca="false">IF(IF($E$5="Local prices",COUNTIFS(Offers!$B$7:$B$3000,$B17,Offers!$C$7:$C$3000,G$10,Offers!$AH$7:$AH$3000,"yes"),COUNTIFS(Offers!$B$7:$B$3000,$B17,Offers!$C$7:$C$3000,G$10,Offers!$AI$7:$AI$3000,"yes"))=0,"—",SUMIFS(Review!$O$7:$O$600,Review!$B$7:$B$600,$B17,Review!$C$7:$C$600,G$10))</f>
        <v>3.80779</v>
      </c>
      <c r="H17" s="37" t="n">
        <f aca="false">IF(IF($E$5="Local prices",COUNTIFS(Offers!$B$7:$B$3000,$B17,Offers!$C$7:$C$3000,H$10,Offers!$AH$7:$AH$3000,"yes"),COUNTIFS(Offers!$B$7:$B$3000,$B17,Offers!$C$7:$C$3000,H$10,Offers!$AI$7:$AI$3000,"yes"))=0,"—",SUMIFS(Review!$O$7:$O$600,Review!$B$7:$B$600,$B17,Review!$C$7:$C$600,H$10))</f>
        <v>1.28</v>
      </c>
      <c r="I17" s="9"/>
      <c r="J17" s="38" t="s">
        <v>18</v>
      </c>
      <c r="K17" s="39" t="n">
        <f aca="false">IF(COUNTIFS(Offers!$B$7:$B$3000,$J$6,Offers!$C$7:$C$3000,$J17,Offers!$AI$7:$AI$3000,"yes")=0,"—",SUMIFS(Review!$I$7:$I$600,Review!$B$7:$B$600,$J$6,Review!$C$7:$C$600,$J17))</f>
        <v>16.455285</v>
      </c>
      <c r="L17" s="35" t="n">
        <f aca="false">IF(COUNTIFS(Offers!$B$7:$B$3000,$J$6,Offers!$C$7:$C$3000,$J17,Offers!$AI$7:$AI$3000,"yes")=0,"—",SUMIFS(Review!$J$7:$J$600,Review!$B$7:$B$600,$J$6,Review!$C$7:$C$600,$J17))</f>
        <v>18.4676425</v>
      </c>
      <c r="M17" s="39" t="n">
        <f aca="false">IF(COUNTIFS(Offers!$B$7:$B$3000,$J$6,Offers!$C$7:$C$3000,$J17,Offers!$AI$7:$AI$3000,"yes")=0,"—",SUMIFS(Review!$K$7:$K$600,Review!$B$7:$B$600,$J$6,Review!$C$7:$C$600,$J17))</f>
        <v>20.48</v>
      </c>
      <c r="N17" s="3"/>
    </row>
    <row r="18" customFormat="false" ht="34.5" hidden="false" customHeight="true" outlineLevel="0" collapsed="false">
      <c r="A18" s="3"/>
      <c r="B18" s="31" t="s">
        <v>27</v>
      </c>
      <c r="C18" s="32" t="str">
        <f aca="false">IF(IF($E$5="Local prices",COUNTIFS(Offers!$B$7:$B$3000,$B18,Offers!$C$7:$C$3000,C$10,Offers!$AH$7:$AH$3000,"yes"),COUNTIFS(Offers!$B$7:$B$3000,$B18,Offers!$C$7:$C$3000,C$10,Offers!$AI$7:$AI$3000,"yes"))=0,"—",SUMIFS(Review!$O$7:$O$600,Review!$B$7:$B$600,$B18,Review!$C$7:$C$600,C$10))</f>
        <v>—</v>
      </c>
      <c r="D18" s="32" t="str">
        <f aca="false">IF(IF($E$5="Local prices",COUNTIFS(Offers!$B$7:$B$3000,$B18,Offers!$C$7:$C$3000,D$10,Offers!$AH$7:$AH$3000,"yes"),COUNTIFS(Offers!$B$7:$B$3000,$B18,Offers!$C$7:$C$3000,D$10,Offers!$AI$7:$AI$3000,"yes"))=0,"—",SUMIFS(Review!$O$7:$O$600,Review!$B$7:$B$600,$B18,Review!$C$7:$C$600,D$10))</f>
        <v>—</v>
      </c>
      <c r="E18" s="32" t="str">
        <f aca="false">IF(IF($E$5="Local prices",COUNTIFS(Offers!$B$7:$B$3000,$B18,Offers!$C$7:$C$3000,E$10,Offers!$AH$7:$AH$3000,"yes"),COUNTIFS(Offers!$B$7:$B$3000,$B18,Offers!$C$7:$C$3000,E$10,Offers!$AI$7:$AI$3000,"yes"))=0,"—",SUMIFS(Review!$O$7:$O$600,Review!$B$7:$B$600,$B18,Review!$C$7:$C$600,E$10))</f>
        <v>—</v>
      </c>
      <c r="F18" s="32" t="str">
        <f aca="false">IF(IF($E$5="Local prices",COUNTIFS(Offers!$B$7:$B$3000,$B18,Offers!$C$7:$C$3000,F$10,Offers!$AH$7:$AH$3000,"yes"),COUNTIFS(Offers!$B$7:$B$3000,$B18,Offers!$C$7:$C$3000,F$10,Offers!$AI$7:$AI$3000,"yes"))=0,"—",SUMIFS(Review!$O$7:$O$600,Review!$B$7:$B$600,$B18,Review!$C$7:$C$600,F$10))</f>
        <v>—</v>
      </c>
      <c r="G18" s="32" t="str">
        <f aca="false">IF(IF($E$5="Local prices",COUNTIFS(Offers!$B$7:$B$3000,$B18,Offers!$C$7:$C$3000,G$10,Offers!$AH$7:$AH$3000,"yes"),COUNTIFS(Offers!$B$7:$B$3000,$B18,Offers!$C$7:$C$3000,G$10,Offers!$AI$7:$AI$3000,"yes"))=0,"—",SUMIFS(Review!$O$7:$O$600,Review!$B$7:$B$600,$B18,Review!$C$7:$C$600,G$10))</f>
        <v>—</v>
      </c>
      <c r="H18" s="32" t="str">
        <f aca="false">IF(IF($E$5="Local prices",COUNTIFS(Offers!$B$7:$B$3000,$B18,Offers!$C$7:$C$3000,H$10,Offers!$AH$7:$AH$3000,"yes"),COUNTIFS(Offers!$B$7:$B$3000,$B18,Offers!$C$7:$C$3000,H$10,Offers!$AI$7:$AI$3000,"yes"))=0,"—",SUMIFS(Review!$O$7:$O$600,Review!$B$7:$B$600,$B18,Review!$C$7:$C$600,H$10))</f>
        <v>—</v>
      </c>
      <c r="I18" s="9"/>
      <c r="J18" s="10"/>
      <c r="K18" s="10"/>
      <c r="L18" s="10"/>
      <c r="M18" s="10"/>
      <c r="N18" s="3"/>
    </row>
    <row r="19" customFormat="false" ht="34.5" hidden="false" customHeight="true" outlineLevel="0" collapsed="false">
      <c r="A19" s="3"/>
      <c r="B19" s="36" t="s">
        <v>28</v>
      </c>
      <c r="C19" s="37" t="str">
        <f aca="false">IF(IF($E$5="Local prices",COUNTIFS(Offers!$B$7:$B$3000,$B19,Offers!$C$7:$C$3000,C$10,Offers!$AH$7:$AH$3000,"yes"),COUNTIFS(Offers!$B$7:$B$3000,$B19,Offers!$C$7:$C$3000,C$10,Offers!$AI$7:$AI$3000,"yes"))=0,"—",SUMIFS(Review!$O$7:$O$600,Review!$B$7:$B$600,$B19,Review!$C$7:$C$600,C$10))</f>
        <v>—</v>
      </c>
      <c r="D19" s="37" t="n">
        <f aca="false">IF(IF($E$5="Local prices",COUNTIFS(Offers!$B$7:$B$3000,$B19,Offers!$C$7:$C$3000,D$10,Offers!$AH$7:$AH$3000,"yes"),COUNTIFS(Offers!$B$7:$B$3000,$B19,Offers!$C$7:$C$3000,D$10,Offers!$AI$7:$AI$3000,"yes"))=0,"—",SUMIFS(Review!$O$7:$O$600,Review!$B$7:$B$600,$B19,Review!$C$7:$C$600,D$10))</f>
        <v>16.641903</v>
      </c>
      <c r="E19" s="37" t="n">
        <f aca="false">IF(IF($E$5="Local prices",COUNTIFS(Offers!$B$7:$B$3000,$B19,Offers!$C$7:$C$3000,E$10,Offers!$AH$7:$AH$3000,"yes"),COUNTIFS(Offers!$B$7:$B$3000,$B19,Offers!$C$7:$C$3000,E$10,Offers!$AI$7:$AI$3000,"yes"))=0,"—",SUMIFS(Review!$O$7:$O$600,Review!$B$7:$B$600,$B19,Review!$C$7:$C$600,E$10))</f>
        <v>30.5</v>
      </c>
      <c r="F19" s="37" t="n">
        <f aca="false">IF(IF($E$5="Local prices",COUNTIFS(Offers!$B$7:$B$3000,$B19,Offers!$C$7:$C$3000,F$10,Offers!$AH$7:$AH$3000,"yes"),COUNTIFS(Offers!$B$7:$B$3000,$B19,Offers!$C$7:$C$3000,F$10,Offers!$AI$7:$AI$3000,"yes"))=0,"—",SUMIFS(Review!$O$7:$O$600,Review!$B$7:$B$600,$B19,Review!$C$7:$C$600,F$10))</f>
        <v>27.49</v>
      </c>
      <c r="G19" s="37" t="n">
        <f aca="false">IF(IF($E$5="Local prices",COUNTIFS(Offers!$B$7:$B$3000,$B19,Offers!$C$7:$C$3000,G$10,Offers!$AH$7:$AH$3000,"yes"),COUNTIFS(Offers!$B$7:$B$3000,$B19,Offers!$C$7:$C$3000,G$10,Offers!$AI$7:$AI$3000,"yes"))=0,"—",SUMIFS(Review!$O$7:$O$600,Review!$B$7:$B$600,$B19,Review!$C$7:$C$600,G$10))</f>
        <v>40.84817</v>
      </c>
      <c r="H19" s="37" t="str">
        <f aca="false">IF(IF($E$5="Local prices",COUNTIFS(Offers!$B$7:$B$3000,$B19,Offers!$C$7:$C$3000,H$10,Offers!$AH$7:$AH$3000,"yes"),COUNTIFS(Offers!$B$7:$B$3000,$B19,Offers!$C$7:$C$3000,H$10,Offers!$AI$7:$AI$3000,"yes"))=0,"—",SUMIFS(Review!$O$7:$O$600,Review!$B$7:$B$600,$B19,Review!$C$7:$C$600,H$10))</f>
        <v>—</v>
      </c>
      <c r="I19" s="9"/>
      <c r="J19" s="10"/>
      <c r="K19" s="10"/>
      <c r="L19" s="10"/>
      <c r="M19" s="10"/>
      <c r="N19" s="3"/>
    </row>
    <row r="20" customFormat="false" ht="24" hidden="false" customHeight="true" outlineLevel="0" collapsed="false">
      <c r="A20" s="3"/>
      <c r="B20" s="31" t="s">
        <v>29</v>
      </c>
      <c r="C20" s="32" t="str">
        <f aca="false">IF(IF($E$5="Local prices",COUNTIFS(Offers!$B$7:$B$3000,$B20,Offers!$C$7:$C$3000,C$10,Offers!$AH$7:$AH$3000,"yes"),COUNTIFS(Offers!$B$7:$B$3000,$B20,Offers!$C$7:$C$3000,C$10,Offers!$AI$7:$AI$3000,"yes"))=0,"—",SUMIFS(Review!$O$7:$O$600,Review!$B$7:$B$600,$B20,Review!$C$7:$C$600,C$10))</f>
        <v>—</v>
      </c>
      <c r="D20" s="32" t="str">
        <f aca="false">IF(IF($E$5="Local prices",COUNTIFS(Offers!$B$7:$B$3000,$B20,Offers!$C$7:$C$3000,D$10,Offers!$AH$7:$AH$3000,"yes"),COUNTIFS(Offers!$B$7:$B$3000,$B20,Offers!$C$7:$C$3000,D$10,Offers!$AI$7:$AI$3000,"yes"))=0,"—",SUMIFS(Review!$O$7:$O$600,Review!$B$7:$B$600,$B20,Review!$C$7:$C$600,D$10))</f>
        <v>—</v>
      </c>
      <c r="E20" s="32" t="n">
        <f aca="false">IF(IF($E$5="Local prices",COUNTIFS(Offers!$B$7:$B$3000,$B20,Offers!$C$7:$C$3000,E$10,Offers!$AH$7:$AH$3000,"yes"),COUNTIFS(Offers!$B$7:$B$3000,$B20,Offers!$C$7:$C$3000,E$10,Offers!$AI$7:$AI$3000,"yes"))=0,"—",SUMIFS(Review!$O$7:$O$600,Review!$B$7:$B$600,$B20,Review!$C$7:$C$600,E$10))</f>
        <v>24.57</v>
      </c>
      <c r="F20" s="32" t="n">
        <f aca="false">IF(IF($E$5="Local prices",COUNTIFS(Offers!$B$7:$B$3000,$B20,Offers!$C$7:$C$3000,F$10,Offers!$AH$7:$AH$3000,"yes"),COUNTIFS(Offers!$B$7:$B$3000,$B20,Offers!$C$7:$C$3000,F$10,Offers!$AI$7:$AI$3000,"yes"))=0,"—",SUMIFS(Review!$O$7:$O$600,Review!$B$7:$B$600,$B20,Review!$C$7:$C$600,F$10))</f>
        <v>22.79</v>
      </c>
      <c r="G20" s="32" t="n">
        <f aca="false">IF(IF($E$5="Local prices",COUNTIFS(Offers!$B$7:$B$3000,$B20,Offers!$C$7:$C$3000,G$10,Offers!$AH$7:$AH$3000,"yes"),COUNTIFS(Offers!$B$7:$B$3000,$B20,Offers!$C$7:$C$3000,G$10,Offers!$AI$7:$AI$3000,"yes"))=0,"—",SUMIFS(Review!$O$7:$O$600,Review!$B$7:$B$600,$B20,Review!$C$7:$C$600,G$10))</f>
        <v>44.628937</v>
      </c>
      <c r="H20" s="32" t="n">
        <f aca="false">IF(IF($E$5="Local prices",COUNTIFS(Offers!$B$7:$B$3000,$B20,Offers!$C$7:$C$3000,H$10,Offers!$AH$7:$AH$3000,"yes"),COUNTIFS(Offers!$B$7:$B$3000,$B20,Offers!$C$7:$C$3000,H$10,Offers!$AI$7:$AI$3000,"yes"))=0,"—",SUMIFS(Review!$O$7:$O$600,Review!$B$7:$B$600,$B20,Review!$C$7:$C$600,H$10))</f>
        <v>36.154675</v>
      </c>
      <c r="I20" s="9"/>
      <c r="J20" s="40" t="s">
        <v>30</v>
      </c>
      <c r="K20" s="40"/>
      <c r="L20" s="40"/>
      <c r="M20" s="40"/>
      <c r="N20" s="3"/>
    </row>
    <row r="21" customFormat="false" ht="34.5" hidden="false" customHeight="true" outlineLevel="0" collapsed="false">
      <c r="A21" s="3"/>
      <c r="B21" s="36" t="s">
        <v>31</v>
      </c>
      <c r="C21" s="37" t="str">
        <f aca="false">IF(IF($E$5="Local prices",COUNTIFS(Offers!$B$7:$B$3000,$B21,Offers!$C$7:$C$3000,C$10,Offers!$AH$7:$AH$3000,"yes"),COUNTIFS(Offers!$B$7:$B$3000,$B21,Offers!$C$7:$C$3000,C$10,Offers!$AI$7:$AI$3000,"yes"))=0,"—",SUMIFS(Review!$O$7:$O$600,Review!$B$7:$B$600,$B21,Review!$C$7:$C$600,C$10))</f>
        <v>—</v>
      </c>
      <c r="D21" s="37" t="str">
        <f aca="false">IF(IF($E$5="Local prices",COUNTIFS(Offers!$B$7:$B$3000,$B21,Offers!$C$7:$C$3000,D$10,Offers!$AH$7:$AH$3000,"yes"),COUNTIFS(Offers!$B$7:$B$3000,$B21,Offers!$C$7:$C$3000,D$10,Offers!$AI$7:$AI$3000,"yes"))=0,"—",SUMIFS(Review!$O$7:$O$600,Review!$B$7:$B$600,$B21,Review!$C$7:$C$600,D$10))</f>
        <v>—</v>
      </c>
      <c r="E21" s="37" t="n">
        <f aca="false">IF(IF($E$5="Local prices",COUNTIFS(Offers!$B$7:$B$3000,$B21,Offers!$C$7:$C$3000,E$10,Offers!$AH$7:$AH$3000,"yes"),COUNTIFS(Offers!$B$7:$B$3000,$B21,Offers!$C$7:$C$3000,E$10,Offers!$AI$7:$AI$3000,"yes"))=0,"—",SUMIFS(Review!$O$7:$O$600,Review!$B$7:$B$600,$B21,Review!$C$7:$C$600,E$10))</f>
        <v>33.5</v>
      </c>
      <c r="F21" s="37" t="n">
        <f aca="false">IF(IF($E$5="Local prices",COUNTIFS(Offers!$B$7:$B$3000,$B21,Offers!$C$7:$C$3000,F$10,Offers!$AH$7:$AH$3000,"yes"),COUNTIFS(Offers!$B$7:$B$3000,$B21,Offers!$C$7:$C$3000,F$10,Offers!$AI$7:$AI$3000,"yes"))=0,"—",SUMIFS(Review!$O$7:$O$600,Review!$B$7:$B$600,$B21,Review!$C$7:$C$600,F$10))</f>
        <v>34.275</v>
      </c>
      <c r="G21" s="37" t="n">
        <f aca="false">IF(IF($E$5="Local prices",COUNTIFS(Offers!$B$7:$B$3000,$B21,Offers!$C$7:$C$3000,G$10,Offers!$AH$7:$AH$3000,"yes"),COUNTIFS(Offers!$B$7:$B$3000,$B21,Offers!$C$7:$C$3000,G$10,Offers!$AI$7:$AI$3000,"yes"))=0,"—",SUMIFS(Review!$O$7:$O$600,Review!$B$7:$B$600,$B21,Review!$C$7:$C$600,G$10))</f>
        <v>40.5975925</v>
      </c>
      <c r="H21" s="37" t="n">
        <f aca="false">IF(IF($E$5="Local prices",COUNTIFS(Offers!$B$7:$B$3000,$B21,Offers!$C$7:$C$3000,H$10,Offers!$AH$7:$AH$3000,"yes"),COUNTIFS(Offers!$B$7:$B$3000,$B21,Offers!$C$7:$C$3000,H$10,Offers!$AI$7:$AI$3000,"yes"))=0,"—",SUMIFS(Review!$O$7:$O$600,Review!$B$7:$B$600,$B21,Review!$C$7:$C$600,H$10))</f>
        <v>32.85</v>
      </c>
      <c r="I21" s="9"/>
      <c r="J21" s="41" t="s">
        <v>32</v>
      </c>
      <c r="K21" s="41"/>
      <c r="L21" s="41"/>
      <c r="M21" s="41"/>
      <c r="N21" s="3"/>
    </row>
    <row r="22" customFormat="false" ht="34.5" hidden="false" customHeight="true" outlineLevel="0" collapsed="false">
      <c r="A22" s="3"/>
      <c r="B22" s="31" t="s">
        <v>33</v>
      </c>
      <c r="C22" s="32" t="str">
        <f aca="false">IF(IF($E$5="Local prices",COUNTIFS(Offers!$B$7:$B$3000,$B22,Offers!$C$7:$C$3000,C$10,Offers!$AH$7:$AH$3000,"yes"),COUNTIFS(Offers!$B$7:$B$3000,$B22,Offers!$C$7:$C$3000,C$10,Offers!$AI$7:$AI$3000,"yes"))=0,"—",SUMIFS(Review!$O$7:$O$600,Review!$B$7:$B$600,$B22,Review!$C$7:$C$600,C$10))</f>
        <v>—</v>
      </c>
      <c r="D22" s="32" t="str">
        <f aca="false">IF(IF($E$5="Local prices",COUNTIFS(Offers!$B$7:$B$3000,$B22,Offers!$C$7:$C$3000,D$10,Offers!$AH$7:$AH$3000,"yes"),COUNTIFS(Offers!$B$7:$B$3000,$B22,Offers!$C$7:$C$3000,D$10,Offers!$AI$7:$AI$3000,"yes"))=0,"—",SUMIFS(Review!$O$7:$O$600,Review!$B$7:$B$600,$B22,Review!$C$7:$C$600,D$10))</f>
        <v>—</v>
      </c>
      <c r="E22" s="32" t="n">
        <f aca="false">IF(IF($E$5="Local prices",COUNTIFS(Offers!$B$7:$B$3000,$B22,Offers!$C$7:$C$3000,E$10,Offers!$AH$7:$AH$3000,"yes"),COUNTIFS(Offers!$B$7:$B$3000,$B22,Offers!$C$7:$C$3000,E$10,Offers!$AI$7:$AI$3000,"yes"))=0,"—",SUMIFS(Review!$O$7:$O$600,Review!$B$7:$B$600,$B22,Review!$C$7:$C$600,E$10))</f>
        <v>8.12</v>
      </c>
      <c r="F22" s="32" t="n">
        <f aca="false">IF(IF($E$5="Local prices",COUNTIFS(Offers!$B$7:$B$3000,$B22,Offers!$C$7:$C$3000,F$10,Offers!$AH$7:$AH$3000,"yes"),COUNTIFS(Offers!$B$7:$B$3000,$B22,Offers!$C$7:$C$3000,F$10,Offers!$AI$7:$AI$3000,"yes"))=0,"—",SUMIFS(Review!$O$7:$O$600,Review!$B$7:$B$600,$B22,Review!$C$7:$C$600,F$10))</f>
        <v>7.96</v>
      </c>
      <c r="G22" s="32" t="n">
        <f aca="false">IF(IF($E$5="Local prices",COUNTIFS(Offers!$B$7:$B$3000,$B22,Offers!$C$7:$C$3000,G$10,Offers!$AH$7:$AH$3000,"yes"),COUNTIFS(Offers!$B$7:$B$3000,$B22,Offers!$C$7:$C$3000,G$10,Offers!$AI$7:$AI$3000,"yes"))=0,"—",SUMIFS(Review!$O$7:$O$600,Review!$B$7:$B$600,$B22,Review!$C$7:$C$600,G$10))</f>
        <v>6.35123</v>
      </c>
      <c r="H22" s="32" t="n">
        <f aca="false">IF(IF($E$5="Local prices",COUNTIFS(Offers!$B$7:$B$3000,$B22,Offers!$C$7:$C$3000,H$10,Offers!$AH$7:$AH$3000,"yes"),COUNTIFS(Offers!$B$7:$B$3000,$B22,Offers!$C$7:$C$3000,H$10,Offers!$AI$7:$AI$3000,"yes"))=0,"—",SUMIFS(Review!$O$7:$O$600,Review!$B$7:$B$600,$B22,Review!$C$7:$C$600,H$10))</f>
        <v>6.59</v>
      </c>
      <c r="I22" s="9"/>
      <c r="J22" s="41"/>
      <c r="K22" s="41"/>
      <c r="L22" s="41"/>
      <c r="M22" s="41"/>
      <c r="N22" s="3"/>
    </row>
    <row r="23" customFormat="false" ht="34.5" hidden="false" customHeight="true" outlineLevel="0" collapsed="false">
      <c r="A23" s="3"/>
      <c r="B23" s="36" t="s">
        <v>34</v>
      </c>
      <c r="C23" s="37" t="n">
        <f aca="false">IF(IF($E$5="Local prices",COUNTIFS(Offers!$B$7:$B$3000,$B23,Offers!$C$7:$C$3000,C$10,Offers!$AH$7:$AH$3000,"yes"),COUNTIFS(Offers!$B$7:$B$3000,$B23,Offers!$C$7:$C$3000,C$10,Offers!$AI$7:$AI$3000,"yes"))=0,"—",SUMIFS(Review!$O$7:$O$600,Review!$B$7:$B$600,$B23,Review!$C$7:$C$600,C$10))</f>
        <v>10.898364</v>
      </c>
      <c r="D23" s="37" t="n">
        <f aca="false">IF(IF($E$5="Local prices",COUNTIFS(Offers!$B$7:$B$3000,$B23,Offers!$C$7:$C$3000,D$10,Offers!$AH$7:$AH$3000,"yes"),COUNTIFS(Offers!$B$7:$B$3000,$B23,Offers!$C$7:$C$3000,D$10,Offers!$AI$7:$AI$3000,"yes"))=0,"—",SUMIFS(Review!$O$7:$O$600,Review!$B$7:$B$600,$B23,Review!$C$7:$C$600,D$10))</f>
        <v>11.482401</v>
      </c>
      <c r="E23" s="37" t="n">
        <f aca="false">IF(IF($E$5="Local prices",COUNTIFS(Offers!$B$7:$B$3000,$B23,Offers!$C$7:$C$3000,E$10,Offers!$AH$7:$AH$3000,"yes"),COUNTIFS(Offers!$B$7:$B$3000,$B23,Offers!$C$7:$C$3000,E$10,Offers!$AI$7:$AI$3000,"yes"))=0,"—",SUMIFS(Review!$O$7:$O$600,Review!$B$7:$B$600,$B23,Review!$C$7:$C$600,E$10))</f>
        <v>21.28</v>
      </c>
      <c r="F23" s="37" t="n">
        <f aca="false">IF(IF($E$5="Local prices",COUNTIFS(Offers!$B$7:$B$3000,$B23,Offers!$C$7:$C$3000,F$10,Offers!$AH$7:$AH$3000,"yes"),COUNTIFS(Offers!$B$7:$B$3000,$B23,Offers!$C$7:$C$3000,F$10,Offers!$AI$7:$AI$3000,"yes"))=0,"—",SUMIFS(Review!$O$7:$O$600,Review!$B$7:$B$600,$B23,Review!$C$7:$C$600,F$10))</f>
        <v>21.18</v>
      </c>
      <c r="G23" s="37" t="n">
        <f aca="false">IF(IF($E$5="Local prices",COUNTIFS(Offers!$B$7:$B$3000,$B23,Offers!$C$7:$C$3000,G$10,Offers!$AH$7:$AH$3000,"yes"),COUNTIFS(Offers!$B$7:$B$3000,$B23,Offers!$C$7:$C$3000,G$10,Offers!$AI$7:$AI$3000,"yes"))=0,"—",SUMIFS(Review!$O$7:$O$600,Review!$B$7:$B$600,$B23,Review!$C$7:$C$600,G$10))</f>
        <v>17.2218565</v>
      </c>
      <c r="H23" s="37" t="n">
        <f aca="false">IF(IF($E$5="Local prices",COUNTIFS(Offers!$B$7:$B$3000,$B23,Offers!$C$7:$C$3000,H$10,Offers!$AH$7:$AH$3000,"yes"),COUNTIFS(Offers!$B$7:$B$3000,$B23,Offers!$C$7:$C$3000,H$10,Offers!$AI$7:$AI$3000,"yes"))=0,"—",SUMIFS(Review!$O$7:$O$600,Review!$B$7:$B$600,$B23,Review!$C$7:$C$600,H$10))</f>
        <v>15.6583335</v>
      </c>
      <c r="I23" s="9"/>
      <c r="J23" s="10"/>
      <c r="K23" s="10"/>
      <c r="L23" s="10"/>
      <c r="M23" s="10"/>
      <c r="N23" s="3"/>
    </row>
    <row r="24" customFormat="false" ht="24" hidden="false" customHeight="true" outlineLevel="0" collapsed="false">
      <c r="A24" s="3"/>
      <c r="B24" s="31" t="s">
        <v>35</v>
      </c>
      <c r="C24" s="32" t="n">
        <f aca="false">IF(IF($E$5="Local prices",COUNTIFS(Offers!$B$7:$B$3000,$B24,Offers!$C$7:$C$3000,C$10,Offers!$AH$7:$AH$3000,"yes"),COUNTIFS(Offers!$B$7:$B$3000,$B24,Offers!$C$7:$C$3000,C$10,Offers!$AI$7:$AI$3000,"yes"))=0,"—",SUMIFS(Review!$O$7:$O$600,Review!$B$7:$B$600,$B24,Review!$C$7:$C$600,C$10))</f>
        <v>7.322936</v>
      </c>
      <c r="D24" s="32" t="n">
        <f aca="false">IF(IF($E$5="Local prices",COUNTIFS(Offers!$B$7:$B$3000,$B24,Offers!$C$7:$C$3000,D$10,Offers!$AH$7:$AH$3000,"yes"),COUNTIFS(Offers!$B$7:$B$3000,$B24,Offers!$C$7:$C$3000,D$10,Offers!$AI$7:$AI$3000,"yes"))=0,"—",SUMIFS(Review!$O$7:$O$600,Review!$B$7:$B$600,$B24,Review!$C$7:$C$600,D$10))</f>
        <v>7.989364</v>
      </c>
      <c r="E24" s="32" t="n">
        <f aca="false">IF(IF($E$5="Local prices",COUNTIFS(Offers!$B$7:$B$3000,$B24,Offers!$C$7:$C$3000,E$10,Offers!$AH$7:$AH$3000,"yes"),COUNTIFS(Offers!$B$7:$B$3000,$B24,Offers!$C$7:$C$3000,E$10,Offers!$AI$7:$AI$3000,"yes"))=0,"—",SUMIFS(Review!$O$7:$O$600,Review!$B$7:$B$600,$B24,Review!$C$7:$C$600,E$10))</f>
        <v>10.49</v>
      </c>
      <c r="F24" s="32" t="n">
        <f aca="false">IF(IF($E$5="Local prices",COUNTIFS(Offers!$B$7:$B$3000,$B24,Offers!$C$7:$C$3000,F$10,Offers!$AH$7:$AH$3000,"yes"),COUNTIFS(Offers!$B$7:$B$3000,$B24,Offers!$C$7:$C$3000,F$10,Offers!$AI$7:$AI$3000,"yes"))=0,"—",SUMIFS(Review!$O$7:$O$600,Review!$B$7:$B$600,$B24,Review!$C$7:$C$600,F$10))</f>
        <v>8.69</v>
      </c>
      <c r="G24" s="32" t="n">
        <f aca="false">IF(IF($E$5="Local prices",COUNTIFS(Offers!$B$7:$B$3000,$B24,Offers!$C$7:$C$3000,G$10,Offers!$AH$7:$AH$3000,"yes"),COUNTIFS(Offers!$B$7:$B$3000,$B24,Offers!$C$7:$C$3000,G$10,Offers!$AI$7:$AI$3000,"yes"))=0,"—",SUMIFS(Review!$O$7:$O$600,Review!$B$7:$B$600,$B24,Review!$C$7:$C$600,G$10))</f>
        <v>7.984895</v>
      </c>
      <c r="H24" s="32" t="n">
        <f aca="false">IF(IF($E$5="Local prices",COUNTIFS(Offers!$B$7:$B$3000,$B24,Offers!$C$7:$C$3000,H$10,Offers!$AH$7:$AH$3000,"yes"),COUNTIFS(Offers!$B$7:$B$3000,$B24,Offers!$C$7:$C$3000,H$10,Offers!$AI$7:$AI$3000,"yes"))=0,"—",SUMIFS(Review!$O$7:$O$600,Review!$B$7:$B$600,$B24,Review!$C$7:$C$600,H$10))</f>
        <v>11.3825205</v>
      </c>
      <c r="I24" s="9"/>
      <c r="J24" s="40" t="s">
        <v>36</v>
      </c>
      <c r="K24" s="40"/>
      <c r="L24" s="40"/>
      <c r="M24" s="40"/>
      <c r="N24" s="3"/>
    </row>
    <row r="25" customFormat="false" ht="34.5" hidden="false" customHeight="true" outlineLevel="0" collapsed="false">
      <c r="A25" s="3"/>
      <c r="B25" s="36" t="s">
        <v>37</v>
      </c>
      <c r="C25" s="37" t="n">
        <f aca="false">IF(IF($E$5="Local prices",COUNTIFS(Offers!$B$7:$B$3000,$B25,Offers!$C$7:$C$3000,C$10,Offers!$AH$7:$AH$3000,"yes"),COUNTIFS(Offers!$B$7:$B$3000,$B25,Offers!$C$7:$C$3000,C$10,Offers!$AI$7:$AI$3000,"yes"))=0,"—",SUMIFS(Review!$O$7:$O$600,Review!$B$7:$B$600,$B25,Review!$C$7:$C$600,C$10))</f>
        <v>10.925678</v>
      </c>
      <c r="D25" s="37" t="str">
        <f aca="false">IF(IF($E$5="Local prices",COUNTIFS(Offers!$B$7:$B$3000,$B25,Offers!$C$7:$C$3000,D$10,Offers!$AH$7:$AH$3000,"yes"),COUNTIFS(Offers!$B$7:$B$3000,$B25,Offers!$C$7:$C$3000,D$10,Offers!$AI$7:$AI$3000,"yes"))=0,"—",SUMIFS(Review!$O$7:$O$600,Review!$B$7:$B$600,$B25,Review!$C$7:$C$600,D$10))</f>
        <v>—</v>
      </c>
      <c r="E25" s="37" t="n">
        <f aca="false">IF(IF($E$5="Local prices",COUNTIFS(Offers!$B$7:$B$3000,$B25,Offers!$C$7:$C$3000,E$10,Offers!$AH$7:$AH$3000,"yes"),COUNTIFS(Offers!$B$7:$B$3000,$B25,Offers!$C$7:$C$3000,E$10,Offers!$AI$7:$AI$3000,"yes"))=0,"—",SUMIFS(Review!$O$7:$O$600,Review!$B$7:$B$600,$B25,Review!$C$7:$C$600,E$10))</f>
        <v>12.8</v>
      </c>
      <c r="F25" s="37" t="n">
        <f aca="false">IF(IF($E$5="Local prices",COUNTIFS(Offers!$B$7:$B$3000,$B25,Offers!$C$7:$C$3000,F$10,Offers!$AH$7:$AH$3000,"yes"),COUNTIFS(Offers!$B$7:$B$3000,$B25,Offers!$C$7:$C$3000,F$10,Offers!$AI$7:$AI$3000,"yes"))=0,"—",SUMIFS(Review!$O$7:$O$600,Review!$B$7:$B$600,$B25,Review!$C$7:$C$600,F$10))</f>
        <v>11.395</v>
      </c>
      <c r="G25" s="37" t="n">
        <f aca="false">IF(IF($E$5="Local prices",COUNTIFS(Offers!$B$7:$B$3000,$B25,Offers!$C$7:$C$3000,G$10,Offers!$AH$7:$AH$3000,"yes"),COUNTIFS(Offers!$B$7:$B$3000,$B25,Offers!$C$7:$C$3000,G$10,Offers!$AI$7:$AI$3000,"yes"))=0,"—",SUMIFS(Review!$O$7:$O$600,Review!$B$7:$B$600,$B25,Review!$C$7:$C$600,G$10))</f>
        <v>10.5576095</v>
      </c>
      <c r="H25" s="37" t="n">
        <f aca="false">IF(IF($E$5="Local prices",COUNTIFS(Offers!$B$7:$B$3000,$B25,Offers!$C$7:$C$3000,H$10,Offers!$AH$7:$AH$3000,"yes"),COUNTIFS(Offers!$B$7:$B$3000,$B25,Offers!$C$7:$C$3000,H$10,Offers!$AI$7:$AI$3000,"yes"))=0,"—",SUMIFS(Review!$O$7:$O$600,Review!$B$7:$B$600,$B25,Review!$C$7:$C$600,H$10))</f>
        <v>15.21</v>
      </c>
      <c r="I25" s="9"/>
      <c r="J25" s="41" t="s">
        <v>38</v>
      </c>
      <c r="K25" s="41"/>
      <c r="L25" s="41"/>
      <c r="M25" s="41"/>
      <c r="N25" s="3"/>
    </row>
    <row r="26" customFormat="false" ht="34.5" hidden="false" customHeight="true" outlineLevel="0" collapsed="false">
      <c r="A26" s="3"/>
      <c r="B26" s="31" t="s">
        <v>39</v>
      </c>
      <c r="C26" s="32" t="str">
        <f aca="false">IF(IF($E$5="Local prices",COUNTIFS(Offers!$B$7:$B$3000,$B26,Offers!$C$7:$C$3000,C$10,Offers!$AH$7:$AH$3000,"yes"),COUNTIFS(Offers!$B$7:$B$3000,$B26,Offers!$C$7:$C$3000,C$10,Offers!$AI$7:$AI$3000,"yes"))=0,"—",SUMIFS(Review!$O$7:$O$600,Review!$B$7:$B$600,$B26,Review!$C$7:$C$600,C$10))</f>
        <v>—</v>
      </c>
      <c r="D26" s="32" t="str">
        <f aca="false">IF(IF($E$5="Local prices",COUNTIFS(Offers!$B$7:$B$3000,$B26,Offers!$C$7:$C$3000,D$10,Offers!$AH$7:$AH$3000,"yes"),COUNTIFS(Offers!$B$7:$B$3000,$B26,Offers!$C$7:$C$3000,D$10,Offers!$AI$7:$AI$3000,"yes"))=0,"—",SUMIFS(Review!$O$7:$O$600,Review!$B$7:$B$600,$B26,Review!$C$7:$C$600,D$10))</f>
        <v>—</v>
      </c>
      <c r="E26" s="32" t="n">
        <f aca="false">IF(IF($E$5="Local prices",COUNTIFS(Offers!$B$7:$B$3000,$B26,Offers!$C$7:$C$3000,E$10,Offers!$AH$7:$AH$3000,"yes"),COUNTIFS(Offers!$B$7:$B$3000,$B26,Offers!$C$7:$C$3000,E$10,Offers!$AI$7:$AI$3000,"yes"))=0,"—",SUMIFS(Review!$O$7:$O$600,Review!$B$7:$B$600,$B26,Review!$C$7:$C$600,E$10))</f>
        <v>260.435</v>
      </c>
      <c r="F26" s="32" t="n">
        <f aca="false">IF(IF($E$5="Local prices",COUNTIFS(Offers!$B$7:$B$3000,$B26,Offers!$C$7:$C$3000,F$10,Offers!$AH$7:$AH$3000,"yes"),COUNTIFS(Offers!$B$7:$B$3000,$B26,Offers!$C$7:$C$3000,F$10,Offers!$AI$7:$AI$3000,"yes"))=0,"—",SUMIFS(Review!$O$7:$O$600,Review!$B$7:$B$600,$B26,Review!$C$7:$C$600,F$10))</f>
        <v>252.97</v>
      </c>
      <c r="G26" s="32" t="n">
        <f aca="false">IF(IF($E$5="Local prices",COUNTIFS(Offers!$B$7:$B$3000,$B26,Offers!$C$7:$C$3000,G$10,Offers!$AH$7:$AH$3000,"yes"),COUNTIFS(Offers!$B$7:$B$3000,$B26,Offers!$C$7:$C$3000,G$10,Offers!$AI$7:$AI$3000,"yes"))=0,"—",SUMIFS(Review!$O$7:$O$600,Review!$B$7:$B$600,$B26,Review!$C$7:$C$600,G$10))</f>
        <v>225.515135</v>
      </c>
      <c r="H26" s="32" t="n">
        <f aca="false">IF(IF($E$5="Local prices",COUNTIFS(Offers!$B$7:$B$3000,$B26,Offers!$C$7:$C$3000,H$10,Offers!$AH$7:$AH$3000,"yes"),COUNTIFS(Offers!$B$7:$B$3000,$B26,Offers!$C$7:$C$3000,H$10,Offers!$AI$7:$AI$3000,"yes"))=0,"—",SUMIFS(Review!$O$7:$O$600,Review!$B$7:$B$600,$B26,Review!$C$7:$C$600,H$10))</f>
        <v>207.12</v>
      </c>
      <c r="I26" s="9"/>
      <c r="J26" s="41"/>
      <c r="K26" s="41"/>
      <c r="L26" s="41"/>
      <c r="M26" s="41"/>
      <c r="N26" s="3"/>
    </row>
    <row r="27" customFormat="false" ht="34.5" hidden="false" customHeight="true" outlineLevel="0" collapsed="false">
      <c r="A27" s="3"/>
      <c r="B27" s="36" t="s">
        <v>40</v>
      </c>
      <c r="C27" s="37" t="str">
        <f aca="false">IF(IF($E$5="Local prices",COUNTIFS(Offers!$B$7:$B$3000,$B27,Offers!$C$7:$C$3000,C$10,Offers!$AH$7:$AH$3000,"yes"),COUNTIFS(Offers!$B$7:$B$3000,$B27,Offers!$C$7:$C$3000,C$10,Offers!$AI$7:$AI$3000,"yes"))=0,"—",SUMIFS(Review!$O$7:$O$600,Review!$B$7:$B$600,$B27,Review!$C$7:$C$600,C$10))</f>
        <v>—</v>
      </c>
      <c r="D27" s="37" t="str">
        <f aca="false">IF(IF($E$5="Local prices",COUNTIFS(Offers!$B$7:$B$3000,$B27,Offers!$C$7:$C$3000,D$10,Offers!$AH$7:$AH$3000,"yes"),COUNTIFS(Offers!$B$7:$B$3000,$B27,Offers!$C$7:$C$3000,D$10,Offers!$AI$7:$AI$3000,"yes"))=0,"—",SUMIFS(Review!$O$7:$O$600,Review!$B$7:$B$600,$B27,Review!$C$7:$C$600,D$10))</f>
        <v>—</v>
      </c>
      <c r="E27" s="37" t="n">
        <f aca="false">IF(IF($E$5="Local prices",COUNTIFS(Offers!$B$7:$B$3000,$B27,Offers!$C$7:$C$3000,E$10,Offers!$AH$7:$AH$3000,"yes"),COUNTIFS(Offers!$B$7:$B$3000,$B27,Offers!$C$7:$C$3000,E$10,Offers!$AI$7:$AI$3000,"yes"))=0,"—",SUMIFS(Review!$O$7:$O$600,Review!$B$7:$B$600,$B27,Review!$C$7:$C$600,E$10))</f>
        <v>11.365</v>
      </c>
      <c r="F27" s="37" t="n">
        <f aca="false">IF(IF($E$5="Local prices",COUNTIFS(Offers!$B$7:$B$3000,$B27,Offers!$C$7:$C$3000,F$10,Offers!$AH$7:$AH$3000,"yes"),COUNTIFS(Offers!$B$7:$B$3000,$B27,Offers!$C$7:$C$3000,F$10,Offers!$AI$7:$AI$3000,"yes"))=0,"—",SUMIFS(Review!$O$7:$O$600,Review!$B$7:$B$600,$B27,Review!$C$7:$C$600,F$10))</f>
        <v>7.47</v>
      </c>
      <c r="G27" s="37" t="n">
        <f aca="false">IF(IF($E$5="Local prices",COUNTIFS(Offers!$B$7:$B$3000,$B27,Offers!$C$7:$C$3000,G$10,Offers!$AH$7:$AH$3000,"yes"),COUNTIFS(Offers!$B$7:$B$3000,$B27,Offers!$C$7:$C$3000,G$10,Offers!$AI$7:$AI$3000,"yes"))=0,"—",SUMIFS(Review!$O$7:$O$600,Review!$B$7:$B$600,$B27,Review!$C$7:$C$600,G$10))</f>
        <v>8.195142</v>
      </c>
      <c r="H27" s="37" t="str">
        <f aca="false">IF(IF($E$5="Local prices",COUNTIFS(Offers!$B$7:$B$3000,$B27,Offers!$C$7:$C$3000,H$10,Offers!$AH$7:$AH$3000,"yes"),COUNTIFS(Offers!$B$7:$B$3000,$B27,Offers!$C$7:$C$3000,H$10,Offers!$AI$7:$AI$3000,"yes"))=0,"—",SUMIFS(Review!$O$7:$O$600,Review!$B$7:$B$600,$B27,Review!$C$7:$C$600,H$10))</f>
        <v>—</v>
      </c>
      <c r="I27" s="9"/>
      <c r="J27" s="10"/>
      <c r="K27" s="10"/>
      <c r="L27" s="10"/>
      <c r="M27" s="10"/>
      <c r="N27" s="3"/>
    </row>
    <row r="28" customFormat="false" ht="24" hidden="false" customHeight="true" outlineLevel="0" collapsed="false">
      <c r="A28" s="3"/>
      <c r="B28" s="31" t="s">
        <v>41</v>
      </c>
      <c r="C28" s="32" t="str">
        <f aca="false">IF(IF($E$5="Local prices",COUNTIFS(Offers!$B$7:$B$3000,$B28,Offers!$C$7:$C$3000,C$10,Offers!$AH$7:$AH$3000,"yes"),COUNTIFS(Offers!$B$7:$B$3000,$B28,Offers!$C$7:$C$3000,C$10,Offers!$AI$7:$AI$3000,"yes"))=0,"—",SUMIFS(Review!$O$7:$O$600,Review!$B$7:$B$600,$B28,Review!$C$7:$C$600,C$10))</f>
        <v>—</v>
      </c>
      <c r="D28" s="32" t="str">
        <f aca="false">IF(IF($E$5="Local prices",COUNTIFS(Offers!$B$7:$B$3000,$B28,Offers!$C$7:$C$3000,D$10,Offers!$AH$7:$AH$3000,"yes"),COUNTIFS(Offers!$B$7:$B$3000,$B28,Offers!$C$7:$C$3000,D$10,Offers!$AI$7:$AI$3000,"yes"))=0,"—",SUMIFS(Review!$O$7:$O$600,Review!$B$7:$B$600,$B28,Review!$C$7:$C$600,D$10))</f>
        <v>—</v>
      </c>
      <c r="E28" s="32" t="n">
        <f aca="false">IF(IF($E$5="Local prices",COUNTIFS(Offers!$B$7:$B$3000,$B28,Offers!$C$7:$C$3000,E$10,Offers!$AH$7:$AH$3000,"yes"),COUNTIFS(Offers!$B$7:$B$3000,$B28,Offers!$C$7:$C$3000,E$10,Offers!$AI$7:$AI$3000,"yes"))=0,"—",SUMIFS(Review!$O$7:$O$600,Review!$B$7:$B$600,$B28,Review!$C$7:$C$600,E$10))</f>
        <v>26.19</v>
      </c>
      <c r="F28" s="32" t="n">
        <f aca="false">IF(IF($E$5="Local prices",COUNTIFS(Offers!$B$7:$B$3000,$B28,Offers!$C$7:$C$3000,F$10,Offers!$AH$7:$AH$3000,"yes"),COUNTIFS(Offers!$B$7:$B$3000,$B28,Offers!$C$7:$C$3000,F$10,Offers!$AI$7:$AI$3000,"yes"))=0,"—",SUMIFS(Review!$O$7:$O$600,Review!$B$7:$B$600,$B28,Review!$C$7:$C$600,F$10))</f>
        <v>29.74</v>
      </c>
      <c r="G28" s="32" t="n">
        <f aca="false">IF(IF($E$5="Local prices",COUNTIFS(Offers!$B$7:$B$3000,$B28,Offers!$C$7:$C$3000,G$10,Offers!$AH$7:$AH$3000,"yes"),COUNTIFS(Offers!$B$7:$B$3000,$B28,Offers!$C$7:$C$3000,G$10,Offers!$AI$7:$AI$3000,"yes"))=0,"—",SUMIFS(Review!$O$7:$O$600,Review!$B$7:$B$600,$B28,Review!$C$7:$C$600,G$10))</f>
        <v>99.00991</v>
      </c>
      <c r="H28" s="32" t="str">
        <f aca="false">IF(IF($E$5="Local prices",COUNTIFS(Offers!$B$7:$B$3000,$B28,Offers!$C$7:$C$3000,H$10,Offers!$AH$7:$AH$3000,"yes"),COUNTIFS(Offers!$B$7:$B$3000,$B28,Offers!$C$7:$C$3000,H$10,Offers!$AI$7:$AI$3000,"yes"))=0,"—",SUMIFS(Review!$O$7:$O$600,Review!$B$7:$B$600,$B28,Review!$C$7:$C$600,H$10))</f>
        <v>—</v>
      </c>
      <c r="I28" s="9"/>
      <c r="J28" s="40" t="s">
        <v>42</v>
      </c>
      <c r="K28" s="40"/>
      <c r="L28" s="40"/>
      <c r="M28" s="40"/>
      <c r="N28" s="3"/>
    </row>
    <row r="29" customFormat="false" ht="34.5" hidden="false" customHeight="true" outlineLevel="0" collapsed="false">
      <c r="A29" s="3"/>
      <c r="B29" s="42" t="s">
        <v>43</v>
      </c>
      <c r="C29" s="43" t="str">
        <f aca="false">IF(IF($E$5="Local prices",COUNTIFS(Offers!$B$7:$B$3000,$B29,Offers!$C$7:$C$3000,C$10,Offers!$AH$7:$AH$3000,"yes"),COUNTIFS(Offers!$B$7:$B$3000,$B29,Offers!$C$7:$C$3000,C$10,Offers!$AI$7:$AI$3000,"yes"))=0,"—",SUMIFS(Review!$O$7:$O$600,Review!$B$7:$B$600,$B29,Review!$C$7:$C$600,C$10))</f>
        <v>—</v>
      </c>
      <c r="D29" s="43" t="str">
        <f aca="false">IF(IF($E$5="Local prices",COUNTIFS(Offers!$B$7:$B$3000,$B29,Offers!$C$7:$C$3000,D$10,Offers!$AH$7:$AH$3000,"yes"),COUNTIFS(Offers!$B$7:$B$3000,$B29,Offers!$C$7:$C$3000,D$10,Offers!$AI$7:$AI$3000,"yes"))=0,"—",SUMIFS(Review!$O$7:$O$600,Review!$B$7:$B$600,$B29,Review!$C$7:$C$600,D$10))</f>
        <v>—</v>
      </c>
      <c r="E29" s="43" t="n">
        <f aca="false">IF(IF($E$5="Local prices",COUNTIFS(Offers!$B$7:$B$3000,$B29,Offers!$C$7:$C$3000,E$10,Offers!$AH$7:$AH$3000,"yes"),COUNTIFS(Offers!$B$7:$B$3000,$B29,Offers!$C$7:$C$3000,E$10,Offers!$AI$7:$AI$3000,"yes"))=0,"—",SUMIFS(Review!$O$7:$O$600,Review!$B$7:$B$600,$B29,Review!$C$7:$C$600,E$10))</f>
        <v>12.23</v>
      </c>
      <c r="F29" s="43" t="n">
        <f aca="false">IF(IF($E$5="Local prices",COUNTIFS(Offers!$B$7:$B$3000,$B29,Offers!$C$7:$C$3000,F$10,Offers!$AH$7:$AH$3000,"yes"),COUNTIFS(Offers!$B$7:$B$3000,$B29,Offers!$C$7:$C$3000,F$10,Offers!$AI$7:$AI$3000,"yes"))=0,"—",SUMIFS(Review!$O$7:$O$600,Review!$B$7:$B$600,$B29,Review!$C$7:$C$600,F$10))</f>
        <v>8.505</v>
      </c>
      <c r="G29" s="43" t="n">
        <f aca="false">IF(IF($E$5="Local prices",COUNTIFS(Offers!$B$7:$B$3000,$B29,Offers!$C$7:$C$3000,G$10,Offers!$AH$7:$AH$3000,"yes"),COUNTIFS(Offers!$B$7:$B$3000,$B29,Offers!$C$7:$C$3000,G$10,Offers!$AI$7:$AI$3000,"yes"))=0,"—",SUMIFS(Review!$O$7:$O$600,Review!$B$7:$B$600,$B29,Review!$C$7:$C$600,G$10))</f>
        <v>7.596746</v>
      </c>
      <c r="H29" s="43" t="str">
        <f aca="false">IF(IF($E$5="Local prices",COUNTIFS(Offers!$B$7:$B$3000,$B29,Offers!$C$7:$C$3000,H$10,Offers!$AH$7:$AH$3000,"yes"),COUNTIFS(Offers!$B$7:$B$3000,$B29,Offers!$C$7:$C$3000,H$10,Offers!$AI$7:$AI$3000,"yes"))=0,"—",SUMIFS(Review!$O$7:$O$600,Review!$B$7:$B$600,$B29,Review!$C$7:$C$600,H$10))</f>
        <v>—</v>
      </c>
      <c r="I29" s="9"/>
      <c r="J29" s="41" t="s">
        <v>44</v>
      </c>
      <c r="K29" s="41"/>
      <c r="L29" s="41"/>
      <c r="M29" s="41"/>
      <c r="N29" s="3"/>
    </row>
    <row r="30" customFormat="false" ht="34.5" hidden="false" customHeight="true" outlineLevel="0" collapsed="false">
      <c r="A30" s="3"/>
      <c r="B30" s="31" t="s">
        <v>45</v>
      </c>
      <c r="C30" s="32" t="str">
        <f aca="false">IF(IF($E$5="Local prices",COUNTIFS(Offers!$B$7:$B$3000,$B30,Offers!$C$7:$C$3000,C$10,Offers!$AH$7:$AH$3000,"yes"),COUNTIFS(Offers!$B$7:$B$3000,$B30,Offers!$C$7:$C$3000,C$10,Offers!$AI$7:$AI$3000,"yes"))=0,"—",SUMIFS(Review!$O$7:$O$600,Review!$B$7:$B$600,$B30,Review!$C$7:$C$600,C$10))</f>
        <v>—</v>
      </c>
      <c r="D30" s="32" t="str">
        <f aca="false">IF(IF($E$5="Local prices",COUNTIFS(Offers!$B$7:$B$3000,$B30,Offers!$C$7:$C$3000,D$10,Offers!$AH$7:$AH$3000,"yes"),COUNTIFS(Offers!$B$7:$B$3000,$B30,Offers!$C$7:$C$3000,D$10,Offers!$AI$7:$AI$3000,"yes"))=0,"—",SUMIFS(Review!$O$7:$O$600,Review!$B$7:$B$600,$B30,Review!$C$7:$C$600,D$10))</f>
        <v>—</v>
      </c>
      <c r="E30" s="32" t="n">
        <f aca="false">IF(IF($E$5="Local prices",COUNTIFS(Offers!$B$7:$B$3000,$B30,Offers!$C$7:$C$3000,E$10,Offers!$AH$7:$AH$3000,"yes"),COUNTIFS(Offers!$B$7:$B$3000,$B30,Offers!$C$7:$C$3000,E$10,Offers!$AI$7:$AI$3000,"yes"))=0,"—",SUMIFS(Review!$O$7:$O$600,Review!$B$7:$B$600,$B30,Review!$C$7:$C$600,E$10))</f>
        <v>7.295</v>
      </c>
      <c r="F30" s="32" t="n">
        <f aca="false">IF(IF($E$5="Local prices",COUNTIFS(Offers!$B$7:$B$3000,$B30,Offers!$C$7:$C$3000,F$10,Offers!$AH$7:$AH$3000,"yes"),COUNTIFS(Offers!$B$7:$B$3000,$B30,Offers!$C$7:$C$3000,F$10,Offers!$AI$7:$AI$3000,"yes"))=0,"—",SUMIFS(Review!$O$7:$O$600,Review!$B$7:$B$600,$B30,Review!$C$7:$C$600,F$10))</f>
        <v>5.52</v>
      </c>
      <c r="G30" s="32" t="n">
        <f aca="false">IF(IF($E$5="Local prices",COUNTIFS(Offers!$B$7:$B$3000,$B30,Offers!$C$7:$C$3000,G$10,Offers!$AH$7:$AH$3000,"yes"),COUNTIFS(Offers!$B$7:$B$3000,$B30,Offers!$C$7:$C$3000,G$10,Offers!$AI$7:$AI$3000,"yes"))=0,"—",SUMIFS(Review!$O$7:$O$600,Review!$B$7:$B$600,$B30,Review!$C$7:$C$600,G$10))</f>
        <v>5.479942</v>
      </c>
      <c r="H30" s="32" t="str">
        <f aca="false">IF(IF($E$5="Local prices",COUNTIFS(Offers!$B$7:$B$3000,$B30,Offers!$C$7:$C$3000,H$10,Offers!$AH$7:$AH$3000,"yes"),COUNTIFS(Offers!$B$7:$B$3000,$B30,Offers!$C$7:$C$3000,H$10,Offers!$AI$7:$AI$3000,"yes"))=0,"—",SUMIFS(Review!$O$7:$O$600,Review!$B$7:$B$600,$B30,Review!$C$7:$C$600,H$10))</f>
        <v>—</v>
      </c>
      <c r="I30" s="9"/>
      <c r="J30" s="41"/>
      <c r="K30" s="41"/>
      <c r="L30" s="41"/>
      <c r="M30" s="41"/>
      <c r="N30" s="3"/>
    </row>
    <row r="31" customFormat="false" ht="34.5" hidden="false" customHeight="true" outlineLevel="0" collapsed="false">
      <c r="A31" s="3"/>
      <c r="B31" s="36" t="s">
        <v>46</v>
      </c>
      <c r="C31" s="37" t="str">
        <f aca="false">IF(IF($E$5="Local prices",COUNTIFS(Offers!$B$7:$B$3000,$B31,Offers!$C$7:$C$3000,C$10,Offers!$AH$7:$AH$3000,"yes"),COUNTIFS(Offers!$B$7:$B$3000,$B31,Offers!$C$7:$C$3000,C$10,Offers!$AI$7:$AI$3000,"yes"))=0,"—",SUMIFS(Review!$O$7:$O$600,Review!$B$7:$B$600,$B31,Review!$C$7:$C$600,C$10))</f>
        <v>—</v>
      </c>
      <c r="D31" s="37" t="str">
        <f aca="false">IF(IF($E$5="Local prices",COUNTIFS(Offers!$B$7:$B$3000,$B31,Offers!$C$7:$C$3000,D$10,Offers!$AH$7:$AH$3000,"yes"),COUNTIFS(Offers!$B$7:$B$3000,$B31,Offers!$C$7:$C$3000,D$10,Offers!$AI$7:$AI$3000,"yes"))=0,"—",SUMIFS(Review!$O$7:$O$600,Review!$B$7:$B$600,$B31,Review!$C$7:$C$600,D$10))</f>
        <v>—</v>
      </c>
      <c r="E31" s="37" t="n">
        <f aca="false">IF(IF($E$5="Local prices",COUNTIFS(Offers!$B$7:$B$3000,$B31,Offers!$C$7:$C$3000,E$10,Offers!$AH$7:$AH$3000,"yes"),COUNTIFS(Offers!$B$7:$B$3000,$B31,Offers!$C$7:$C$3000,E$10,Offers!$AI$7:$AI$3000,"yes"))=0,"—",SUMIFS(Review!$O$7:$O$600,Review!$B$7:$B$600,$B31,Review!$C$7:$C$600,E$10))</f>
        <v>6.99</v>
      </c>
      <c r="F31" s="37" t="n">
        <f aca="false">IF(IF($E$5="Local prices",COUNTIFS(Offers!$B$7:$B$3000,$B31,Offers!$C$7:$C$3000,F$10,Offers!$AH$7:$AH$3000,"yes"),COUNTIFS(Offers!$B$7:$B$3000,$B31,Offers!$C$7:$C$3000,F$10,Offers!$AI$7:$AI$3000,"yes"))=0,"—",SUMIFS(Review!$O$7:$O$600,Review!$B$7:$B$600,$B31,Review!$C$7:$C$600,F$10))</f>
        <v>9.94</v>
      </c>
      <c r="G31" s="37" t="n">
        <f aca="false">IF(IF($E$5="Local prices",COUNTIFS(Offers!$B$7:$B$3000,$B31,Offers!$C$7:$C$3000,G$10,Offers!$AH$7:$AH$3000,"yes"),COUNTIFS(Offers!$B$7:$B$3000,$B31,Offers!$C$7:$C$3000,G$10,Offers!$AI$7:$AI$3000,"yes"))=0,"—",SUMIFS(Review!$O$7:$O$600,Review!$B$7:$B$600,$B31,Review!$C$7:$C$600,G$10))</f>
        <v>6.0333</v>
      </c>
      <c r="H31" s="37" t="str">
        <f aca="false">IF(IF($E$5="Local prices",COUNTIFS(Offers!$B$7:$B$3000,$B31,Offers!$C$7:$C$3000,H$10,Offers!$AH$7:$AH$3000,"yes"),COUNTIFS(Offers!$B$7:$B$3000,$B31,Offers!$C$7:$C$3000,H$10,Offers!$AI$7:$AI$3000,"yes"))=0,"—",SUMIFS(Review!$O$7:$O$600,Review!$B$7:$B$600,$B31,Review!$C$7:$C$600,H$10))</f>
        <v>—</v>
      </c>
      <c r="I31" s="9"/>
      <c r="J31" s="10"/>
      <c r="K31" s="10"/>
      <c r="L31" s="10"/>
      <c r="M31" s="10"/>
      <c r="N31" s="3"/>
    </row>
    <row r="32" customFormat="false" ht="24" hidden="false" customHeight="true" outlineLevel="0" collapsed="false">
      <c r="A32" s="3"/>
      <c r="B32" s="31" t="s">
        <v>47</v>
      </c>
      <c r="C32" s="32" t="str">
        <f aca="false">IF(IF($E$5="Local prices",COUNTIFS(Offers!$B$7:$B$3000,$B32,Offers!$C$7:$C$3000,C$10,Offers!$AH$7:$AH$3000,"yes"),COUNTIFS(Offers!$B$7:$B$3000,$B32,Offers!$C$7:$C$3000,C$10,Offers!$AI$7:$AI$3000,"yes"))=0,"—",SUMIFS(Review!$O$7:$O$600,Review!$B$7:$B$600,$B32,Review!$C$7:$C$600,C$10))</f>
        <v>—</v>
      </c>
      <c r="D32" s="32" t="str">
        <f aca="false">IF(IF($E$5="Local prices",COUNTIFS(Offers!$B$7:$B$3000,$B32,Offers!$C$7:$C$3000,D$10,Offers!$AH$7:$AH$3000,"yes"),COUNTIFS(Offers!$B$7:$B$3000,$B32,Offers!$C$7:$C$3000,D$10,Offers!$AI$7:$AI$3000,"yes"))=0,"—",SUMIFS(Review!$O$7:$O$600,Review!$B$7:$B$600,$B32,Review!$C$7:$C$600,D$10))</f>
        <v>—</v>
      </c>
      <c r="E32" s="32" t="n">
        <f aca="false">IF(IF($E$5="Local prices",COUNTIFS(Offers!$B$7:$B$3000,$B32,Offers!$C$7:$C$3000,E$10,Offers!$AH$7:$AH$3000,"yes"),COUNTIFS(Offers!$B$7:$B$3000,$B32,Offers!$C$7:$C$3000,E$10,Offers!$AI$7:$AI$3000,"yes"))=0,"—",SUMIFS(Review!$O$7:$O$600,Review!$B$7:$B$600,$B32,Review!$C$7:$C$600,E$10))</f>
        <v>10.39</v>
      </c>
      <c r="F32" s="32" t="n">
        <f aca="false">IF(IF($E$5="Local prices",COUNTIFS(Offers!$B$7:$B$3000,$B32,Offers!$C$7:$C$3000,F$10,Offers!$AH$7:$AH$3000,"yes"),COUNTIFS(Offers!$B$7:$B$3000,$B32,Offers!$C$7:$C$3000,F$10,Offers!$AI$7:$AI$3000,"yes"))=0,"—",SUMIFS(Review!$O$7:$O$600,Review!$B$7:$B$600,$B32,Review!$C$7:$C$600,F$10))</f>
        <v>9.245</v>
      </c>
      <c r="G32" s="32" t="n">
        <f aca="false">IF(IF($E$5="Local prices",COUNTIFS(Offers!$B$7:$B$3000,$B32,Offers!$C$7:$C$3000,G$10,Offers!$AH$7:$AH$3000,"yes"),COUNTIFS(Offers!$B$7:$B$3000,$B32,Offers!$C$7:$C$3000,G$10,Offers!$AI$7:$AI$3000,"yes"))=0,"—",SUMIFS(Review!$O$7:$O$600,Review!$B$7:$B$600,$B32,Review!$C$7:$C$600,G$10))</f>
        <v>10.8268165</v>
      </c>
      <c r="H32" s="32" t="str">
        <f aca="false">IF(IF($E$5="Local prices",COUNTIFS(Offers!$B$7:$B$3000,$B32,Offers!$C$7:$C$3000,H$10,Offers!$AH$7:$AH$3000,"yes"),COUNTIFS(Offers!$B$7:$B$3000,$B32,Offers!$C$7:$C$3000,H$10,Offers!$AI$7:$AI$3000,"yes"))=0,"—",SUMIFS(Review!$O$7:$O$600,Review!$B$7:$B$600,$B32,Review!$C$7:$C$600,H$10))</f>
        <v>—</v>
      </c>
      <c r="I32" s="9"/>
      <c r="J32" s="40" t="s">
        <v>48</v>
      </c>
      <c r="K32" s="40"/>
      <c r="L32" s="40"/>
      <c r="M32" s="40"/>
      <c r="N32" s="3"/>
    </row>
    <row r="33" customFormat="false" ht="34.5" hidden="false" customHeight="true" outlineLevel="0" collapsed="false">
      <c r="A33" s="3"/>
      <c r="B33" s="36" t="s">
        <v>49</v>
      </c>
      <c r="C33" s="37" t="str">
        <f aca="false">IF(IF($E$5="Local prices",COUNTIFS(Offers!$B$7:$B$3000,$B33,Offers!$C$7:$C$3000,C$10,Offers!$AH$7:$AH$3000,"yes"),COUNTIFS(Offers!$B$7:$B$3000,$B33,Offers!$C$7:$C$3000,C$10,Offers!$AI$7:$AI$3000,"yes"))=0,"—",SUMIFS(Review!$O$7:$O$600,Review!$B$7:$B$600,$B33,Review!$C$7:$C$600,C$10))</f>
        <v>—</v>
      </c>
      <c r="D33" s="37" t="str">
        <f aca="false">IF(IF($E$5="Local prices",COUNTIFS(Offers!$B$7:$B$3000,$B33,Offers!$C$7:$C$3000,D$10,Offers!$AH$7:$AH$3000,"yes"),COUNTIFS(Offers!$B$7:$B$3000,$B33,Offers!$C$7:$C$3000,D$10,Offers!$AI$7:$AI$3000,"yes"))=0,"—",SUMIFS(Review!$O$7:$O$600,Review!$B$7:$B$600,$B33,Review!$C$7:$C$600,D$10))</f>
        <v>—</v>
      </c>
      <c r="E33" s="37" t="n">
        <f aca="false">IF(IF($E$5="Local prices",COUNTIFS(Offers!$B$7:$B$3000,$B33,Offers!$C$7:$C$3000,E$10,Offers!$AH$7:$AH$3000,"yes"),COUNTIFS(Offers!$B$7:$B$3000,$B33,Offers!$C$7:$C$3000,E$10,Offers!$AI$7:$AI$3000,"yes"))=0,"—",SUMIFS(Review!$O$7:$O$600,Review!$B$7:$B$600,$B33,Review!$C$7:$C$600,E$10))</f>
        <v>3.44</v>
      </c>
      <c r="F33" s="37" t="n">
        <f aca="false">IF(IF($E$5="Local prices",COUNTIFS(Offers!$B$7:$B$3000,$B33,Offers!$C$7:$C$3000,F$10,Offers!$AH$7:$AH$3000,"yes"),COUNTIFS(Offers!$B$7:$B$3000,$B33,Offers!$C$7:$C$3000,F$10,Offers!$AI$7:$AI$3000,"yes"))=0,"—",SUMIFS(Review!$O$7:$O$600,Review!$B$7:$B$600,$B33,Review!$C$7:$C$600,F$10))</f>
        <v>2.315</v>
      </c>
      <c r="G33" s="37" t="n">
        <f aca="false">IF(IF($E$5="Local prices",COUNTIFS(Offers!$B$7:$B$3000,$B33,Offers!$C$7:$C$3000,G$10,Offers!$AH$7:$AH$3000,"yes"),COUNTIFS(Offers!$B$7:$B$3000,$B33,Offers!$C$7:$C$3000,G$10,Offers!$AI$7:$AI$3000,"yes"))=0,"—",SUMIFS(Review!$O$7:$O$600,Review!$B$7:$B$600,$B33,Review!$C$7:$C$600,G$10))</f>
        <v>3.125868</v>
      </c>
      <c r="H33" s="37" t="str">
        <f aca="false">IF(IF($E$5="Local prices",COUNTIFS(Offers!$B$7:$B$3000,$B33,Offers!$C$7:$C$3000,H$10,Offers!$AH$7:$AH$3000,"yes"),COUNTIFS(Offers!$B$7:$B$3000,$B33,Offers!$C$7:$C$3000,H$10,Offers!$AI$7:$AI$3000,"yes"))=0,"—",SUMIFS(Review!$O$7:$O$600,Review!$B$7:$B$600,$B33,Review!$C$7:$C$600,H$10))</f>
        <v>—</v>
      </c>
      <c r="I33" s="9"/>
      <c r="J33" s="41" t="s">
        <v>50</v>
      </c>
      <c r="K33" s="41"/>
      <c r="L33" s="41"/>
      <c r="M33" s="41"/>
      <c r="N33" s="3"/>
    </row>
    <row r="34" customFormat="false" ht="34.5" hidden="false" customHeight="true" outlineLevel="0" collapsed="false">
      <c r="A34" s="3"/>
      <c r="B34" s="31" t="s">
        <v>51</v>
      </c>
      <c r="C34" s="32" t="str">
        <f aca="false">IF(IF($E$5="Local prices",COUNTIFS(Offers!$B$7:$B$3000,$B34,Offers!$C$7:$C$3000,C$10,Offers!$AH$7:$AH$3000,"yes"),COUNTIFS(Offers!$B$7:$B$3000,$B34,Offers!$C$7:$C$3000,C$10,Offers!$AI$7:$AI$3000,"yes"))=0,"—",SUMIFS(Review!$O$7:$O$600,Review!$B$7:$B$600,$B34,Review!$C$7:$C$600,C$10))</f>
        <v>—</v>
      </c>
      <c r="D34" s="32" t="str">
        <f aca="false">IF(IF($E$5="Local prices",COUNTIFS(Offers!$B$7:$B$3000,$B34,Offers!$C$7:$C$3000,D$10,Offers!$AH$7:$AH$3000,"yes"),COUNTIFS(Offers!$B$7:$B$3000,$B34,Offers!$C$7:$C$3000,D$10,Offers!$AI$7:$AI$3000,"yes"))=0,"—",SUMIFS(Review!$O$7:$O$600,Review!$B$7:$B$600,$B34,Review!$C$7:$C$600,D$10))</f>
        <v>—</v>
      </c>
      <c r="E34" s="32" t="n">
        <f aca="false">IF(IF($E$5="Local prices",COUNTIFS(Offers!$B$7:$B$3000,$B34,Offers!$C$7:$C$3000,E$10,Offers!$AH$7:$AH$3000,"yes"),COUNTIFS(Offers!$B$7:$B$3000,$B34,Offers!$C$7:$C$3000,E$10,Offers!$AI$7:$AI$3000,"yes"))=0,"—",SUMIFS(Review!$O$7:$O$600,Review!$B$7:$B$600,$B34,Review!$C$7:$C$600,E$10))</f>
        <v>3.5</v>
      </c>
      <c r="F34" s="32" t="n">
        <f aca="false">IF(IF($E$5="Local prices",COUNTIFS(Offers!$B$7:$B$3000,$B34,Offers!$C$7:$C$3000,F$10,Offers!$AH$7:$AH$3000,"yes"),COUNTIFS(Offers!$B$7:$B$3000,$B34,Offers!$C$7:$C$3000,F$10,Offers!$AI$7:$AI$3000,"yes"))=0,"—",SUMIFS(Review!$O$7:$O$600,Review!$B$7:$B$600,$B34,Review!$C$7:$C$600,F$10))</f>
        <v>2.79</v>
      </c>
      <c r="G34" s="32" t="n">
        <f aca="false">IF(IF($E$5="Local prices",COUNTIFS(Offers!$B$7:$B$3000,$B34,Offers!$C$7:$C$3000,G$10,Offers!$AH$7:$AH$3000,"yes"),COUNTIFS(Offers!$B$7:$B$3000,$B34,Offers!$C$7:$C$3000,G$10,Offers!$AI$7:$AI$3000,"yes"))=0,"—",SUMIFS(Review!$O$7:$O$600,Review!$B$7:$B$600,$B34,Review!$C$7:$C$600,G$10))</f>
        <v>2.825135</v>
      </c>
      <c r="H34" s="32" t="str">
        <f aca="false">IF(IF($E$5="Local prices",COUNTIFS(Offers!$B$7:$B$3000,$B34,Offers!$C$7:$C$3000,H$10,Offers!$AH$7:$AH$3000,"yes"),COUNTIFS(Offers!$B$7:$B$3000,$B34,Offers!$C$7:$C$3000,H$10,Offers!$AI$7:$AI$3000,"yes"))=0,"—",SUMIFS(Review!$O$7:$O$600,Review!$B$7:$B$600,$B34,Review!$C$7:$C$600,H$10))</f>
        <v>—</v>
      </c>
      <c r="I34" s="9"/>
      <c r="J34" s="41"/>
      <c r="K34" s="41"/>
      <c r="L34" s="41"/>
      <c r="M34" s="41"/>
      <c r="N34" s="3"/>
    </row>
    <row r="35" customFormat="false" ht="34.5" hidden="false" customHeight="true" outlineLevel="0" collapsed="false">
      <c r="A35" s="3"/>
      <c r="B35" s="36" t="s">
        <v>52</v>
      </c>
      <c r="C35" s="37" t="str">
        <f aca="false">IF(IF($E$5="Local prices",COUNTIFS(Offers!$B$7:$B$3000,$B35,Offers!$C$7:$C$3000,C$10,Offers!$AH$7:$AH$3000,"yes"),COUNTIFS(Offers!$B$7:$B$3000,$B35,Offers!$C$7:$C$3000,C$10,Offers!$AI$7:$AI$3000,"yes"))=0,"—",SUMIFS(Review!$O$7:$O$600,Review!$B$7:$B$600,$B35,Review!$C$7:$C$600,C$10))</f>
        <v>—</v>
      </c>
      <c r="D35" s="37" t="str">
        <f aca="false">IF(IF($E$5="Local prices",COUNTIFS(Offers!$B$7:$B$3000,$B35,Offers!$C$7:$C$3000,D$10,Offers!$AH$7:$AH$3000,"yes"),COUNTIFS(Offers!$B$7:$B$3000,$B35,Offers!$C$7:$C$3000,D$10,Offers!$AI$7:$AI$3000,"yes"))=0,"—",SUMIFS(Review!$O$7:$O$600,Review!$B$7:$B$600,$B35,Review!$C$7:$C$600,D$10))</f>
        <v>—</v>
      </c>
      <c r="E35" s="37" t="n">
        <f aca="false">IF(IF($E$5="Local prices",COUNTIFS(Offers!$B$7:$B$3000,$B35,Offers!$C$7:$C$3000,E$10,Offers!$AH$7:$AH$3000,"yes"),COUNTIFS(Offers!$B$7:$B$3000,$B35,Offers!$C$7:$C$3000,E$10,Offers!$AI$7:$AI$3000,"yes"))=0,"—",SUMIFS(Review!$O$7:$O$600,Review!$B$7:$B$600,$B35,Review!$C$7:$C$600,E$10))</f>
        <v>1.175</v>
      </c>
      <c r="F35" s="37" t="n">
        <f aca="false">IF(IF($E$5="Local prices",COUNTIFS(Offers!$B$7:$B$3000,$B35,Offers!$C$7:$C$3000,F$10,Offers!$AH$7:$AH$3000,"yes"),COUNTIFS(Offers!$B$7:$B$3000,$B35,Offers!$C$7:$C$3000,F$10,Offers!$AI$7:$AI$3000,"yes"))=0,"—",SUMIFS(Review!$O$7:$O$600,Review!$B$7:$B$600,$B35,Review!$C$7:$C$600,F$10))</f>
        <v>1.08</v>
      </c>
      <c r="G35" s="37" t="n">
        <f aca="false">IF(IF($E$5="Local prices",COUNTIFS(Offers!$B$7:$B$3000,$B35,Offers!$C$7:$C$3000,G$10,Offers!$AH$7:$AH$3000,"yes"),COUNTIFS(Offers!$B$7:$B$3000,$B35,Offers!$C$7:$C$3000,G$10,Offers!$AI$7:$AI$3000,"yes"))=0,"—",SUMIFS(Review!$O$7:$O$600,Review!$B$7:$B$600,$B35,Review!$C$7:$C$600,G$10))</f>
        <v>1.7397095</v>
      </c>
      <c r="H35" s="37" t="str">
        <f aca="false">IF(IF($E$5="Local prices",COUNTIFS(Offers!$B$7:$B$3000,$B35,Offers!$C$7:$C$3000,H$10,Offers!$AH$7:$AH$3000,"yes"),COUNTIFS(Offers!$B$7:$B$3000,$B35,Offers!$C$7:$C$3000,H$10,Offers!$AI$7:$AI$3000,"yes"))=0,"—",SUMIFS(Review!$O$7:$O$600,Review!$B$7:$B$600,$B35,Review!$C$7:$C$600,H$10))</f>
        <v>—</v>
      </c>
      <c r="I35" s="9"/>
      <c r="J35" s="10"/>
      <c r="K35" s="10"/>
      <c r="L35" s="10"/>
      <c r="M35" s="10"/>
      <c r="N35" s="3"/>
    </row>
    <row r="36" customFormat="false" ht="24" hidden="false" customHeight="true" outlineLevel="0" collapsed="false">
      <c r="A36" s="3"/>
      <c r="B36" s="31" t="s">
        <v>53</v>
      </c>
      <c r="C36" s="32" t="str">
        <f aca="false">IF(IF($E$5="Local prices",COUNTIFS(Offers!$B$7:$B$3000,$B36,Offers!$C$7:$C$3000,C$10,Offers!$AH$7:$AH$3000,"yes"),COUNTIFS(Offers!$B$7:$B$3000,$B36,Offers!$C$7:$C$3000,C$10,Offers!$AI$7:$AI$3000,"yes"))=0,"—",SUMIFS(Review!$O$7:$O$600,Review!$B$7:$B$600,$B36,Review!$C$7:$C$600,C$10))</f>
        <v>—</v>
      </c>
      <c r="D36" s="32" t="str">
        <f aca="false">IF(IF($E$5="Local prices",COUNTIFS(Offers!$B$7:$B$3000,$B36,Offers!$C$7:$C$3000,D$10,Offers!$AH$7:$AH$3000,"yes"),COUNTIFS(Offers!$B$7:$B$3000,$B36,Offers!$C$7:$C$3000,D$10,Offers!$AI$7:$AI$3000,"yes"))=0,"—",SUMIFS(Review!$O$7:$O$600,Review!$B$7:$B$600,$B36,Review!$C$7:$C$600,D$10))</f>
        <v>—</v>
      </c>
      <c r="E36" s="32" t="n">
        <f aca="false">IF(IF($E$5="Local prices",COUNTIFS(Offers!$B$7:$B$3000,$B36,Offers!$C$7:$C$3000,E$10,Offers!$AH$7:$AH$3000,"yes"),COUNTIFS(Offers!$B$7:$B$3000,$B36,Offers!$C$7:$C$3000,E$10,Offers!$AI$7:$AI$3000,"yes"))=0,"—",SUMIFS(Review!$O$7:$O$600,Review!$B$7:$B$600,$B36,Review!$C$7:$C$600,E$10))</f>
        <v>1.73</v>
      </c>
      <c r="F36" s="32" t="n">
        <f aca="false">IF(IF($E$5="Local prices",COUNTIFS(Offers!$B$7:$B$3000,$B36,Offers!$C$7:$C$3000,F$10,Offers!$AH$7:$AH$3000,"yes"),COUNTIFS(Offers!$B$7:$B$3000,$B36,Offers!$C$7:$C$3000,F$10,Offers!$AI$7:$AI$3000,"yes"))=0,"—",SUMIFS(Review!$O$7:$O$600,Review!$B$7:$B$600,$B36,Review!$C$7:$C$600,F$10))</f>
        <v>1.08</v>
      </c>
      <c r="G36" s="32" t="n">
        <f aca="false">IF(IF($E$5="Local prices",COUNTIFS(Offers!$B$7:$B$3000,$B36,Offers!$C$7:$C$3000,G$10,Offers!$AH$7:$AH$3000,"yes"),COUNTIFS(Offers!$B$7:$B$3000,$B36,Offers!$C$7:$C$3000,G$10,Offers!$AI$7:$AI$3000,"yes"))=0,"—",SUMIFS(Review!$O$7:$O$600,Review!$B$7:$B$600,$B36,Review!$C$7:$C$600,G$10))</f>
        <v>1.555871</v>
      </c>
      <c r="H36" s="32" t="str">
        <f aca="false">IF(IF($E$5="Local prices",COUNTIFS(Offers!$B$7:$B$3000,$B36,Offers!$C$7:$C$3000,H$10,Offers!$AH$7:$AH$3000,"yes"),COUNTIFS(Offers!$B$7:$B$3000,$B36,Offers!$C$7:$C$3000,H$10,Offers!$AI$7:$AI$3000,"yes"))=0,"—",SUMIFS(Review!$O$7:$O$600,Review!$B$7:$B$600,$B36,Review!$C$7:$C$600,H$10))</f>
        <v>—</v>
      </c>
      <c r="I36" s="9"/>
      <c r="J36" s="40" t="s">
        <v>54</v>
      </c>
      <c r="K36" s="40"/>
      <c r="L36" s="40"/>
      <c r="M36" s="40"/>
      <c r="N36" s="3"/>
    </row>
    <row r="37" customFormat="false" ht="34.5" hidden="false" customHeight="true" outlineLevel="0" collapsed="false">
      <c r="A37" s="3"/>
      <c r="B37" s="36" t="s">
        <v>55</v>
      </c>
      <c r="C37" s="37" t="str">
        <f aca="false">IF(IF($E$5="Local prices",COUNTIFS(Offers!$B$7:$B$3000,$B37,Offers!$C$7:$C$3000,C$10,Offers!$AH$7:$AH$3000,"yes"),COUNTIFS(Offers!$B$7:$B$3000,$B37,Offers!$C$7:$C$3000,C$10,Offers!$AI$7:$AI$3000,"yes"))=0,"—",SUMIFS(Review!$O$7:$O$600,Review!$B$7:$B$600,$B37,Review!$C$7:$C$600,C$10))</f>
        <v>—</v>
      </c>
      <c r="D37" s="37" t="str">
        <f aca="false">IF(IF($E$5="Local prices",COUNTIFS(Offers!$B$7:$B$3000,$B37,Offers!$C$7:$C$3000,D$10,Offers!$AH$7:$AH$3000,"yes"),COUNTIFS(Offers!$B$7:$B$3000,$B37,Offers!$C$7:$C$3000,D$10,Offers!$AI$7:$AI$3000,"yes"))=0,"—",SUMIFS(Review!$O$7:$O$600,Review!$B$7:$B$600,$B37,Review!$C$7:$C$600,D$10))</f>
        <v>—</v>
      </c>
      <c r="E37" s="37" t="n">
        <f aca="false">IF(IF($E$5="Local prices",COUNTIFS(Offers!$B$7:$B$3000,$B37,Offers!$C$7:$C$3000,E$10,Offers!$AH$7:$AH$3000,"yes"),COUNTIFS(Offers!$B$7:$B$3000,$B37,Offers!$C$7:$C$3000,E$10,Offers!$AI$7:$AI$3000,"yes"))=0,"—",SUMIFS(Review!$O$7:$O$600,Review!$B$7:$B$600,$B37,Review!$C$7:$C$600,E$10))</f>
        <v>20.96</v>
      </c>
      <c r="F37" s="37" t="n">
        <f aca="false">IF(IF($E$5="Local prices",COUNTIFS(Offers!$B$7:$B$3000,$B37,Offers!$C$7:$C$3000,F$10,Offers!$AH$7:$AH$3000,"yes"),COUNTIFS(Offers!$B$7:$B$3000,$B37,Offers!$C$7:$C$3000,F$10,Offers!$AI$7:$AI$3000,"yes"))=0,"—",SUMIFS(Review!$O$7:$O$600,Review!$B$7:$B$600,$B37,Review!$C$7:$C$600,F$10))</f>
        <v>6.58</v>
      </c>
      <c r="G37" s="37" t="n">
        <f aca="false">IF(IF($E$5="Local prices",COUNTIFS(Offers!$B$7:$B$3000,$B37,Offers!$C$7:$C$3000,G$10,Offers!$AH$7:$AH$3000,"yes"),COUNTIFS(Offers!$B$7:$B$3000,$B37,Offers!$C$7:$C$3000,G$10,Offers!$AI$7:$AI$3000,"yes"))=0,"—",SUMIFS(Review!$O$7:$O$600,Review!$B$7:$B$600,$B37,Review!$C$7:$C$600,G$10))</f>
        <v>36.612515</v>
      </c>
      <c r="H37" s="37" t="str">
        <f aca="false">IF(IF($E$5="Local prices",COUNTIFS(Offers!$B$7:$B$3000,$B37,Offers!$C$7:$C$3000,H$10,Offers!$AH$7:$AH$3000,"yes"),COUNTIFS(Offers!$B$7:$B$3000,$B37,Offers!$C$7:$C$3000,H$10,Offers!$AI$7:$AI$3000,"yes"))=0,"—",SUMIFS(Review!$O$7:$O$600,Review!$B$7:$B$600,$B37,Review!$C$7:$C$600,H$10))</f>
        <v>—</v>
      </c>
      <c r="I37" s="9"/>
      <c r="J37" s="41" t="s">
        <v>56</v>
      </c>
      <c r="K37" s="41"/>
      <c r="L37" s="41"/>
      <c r="M37" s="41"/>
      <c r="N37" s="3"/>
    </row>
    <row r="38" customFormat="false" ht="34.5" hidden="false" customHeight="true" outlineLevel="0" collapsed="false">
      <c r="A38" s="3"/>
      <c r="B38" s="31" t="s">
        <v>57</v>
      </c>
      <c r="C38" s="32" t="str">
        <f aca="false">IF(IF($E$5="Local prices",COUNTIFS(Offers!$B$7:$B$3000,$B38,Offers!$C$7:$C$3000,C$10,Offers!$AH$7:$AH$3000,"yes"),COUNTIFS(Offers!$B$7:$B$3000,$B38,Offers!$C$7:$C$3000,C$10,Offers!$AI$7:$AI$3000,"yes"))=0,"—",SUMIFS(Review!$O$7:$O$600,Review!$B$7:$B$600,$B38,Review!$C$7:$C$600,C$10))</f>
        <v>—</v>
      </c>
      <c r="D38" s="32" t="str">
        <f aca="false">IF(IF($E$5="Local prices",COUNTIFS(Offers!$B$7:$B$3000,$B38,Offers!$C$7:$C$3000,D$10,Offers!$AH$7:$AH$3000,"yes"),COUNTIFS(Offers!$B$7:$B$3000,$B38,Offers!$C$7:$C$3000,D$10,Offers!$AI$7:$AI$3000,"yes"))=0,"—",SUMIFS(Review!$O$7:$O$600,Review!$B$7:$B$600,$B38,Review!$C$7:$C$600,D$10))</f>
        <v>—</v>
      </c>
      <c r="E38" s="32" t="n">
        <f aca="false">IF(IF($E$5="Local prices",COUNTIFS(Offers!$B$7:$B$3000,$B38,Offers!$C$7:$C$3000,E$10,Offers!$AH$7:$AH$3000,"yes"),COUNTIFS(Offers!$B$7:$B$3000,$B38,Offers!$C$7:$C$3000,E$10,Offers!$AI$7:$AI$3000,"yes"))=0,"—",SUMIFS(Review!$O$7:$O$600,Review!$B$7:$B$600,$B38,Review!$C$7:$C$600,E$10))</f>
        <v>21.46</v>
      </c>
      <c r="F38" s="32" t="n">
        <f aca="false">IF(IF($E$5="Local prices",COUNTIFS(Offers!$B$7:$B$3000,$B38,Offers!$C$7:$C$3000,F$10,Offers!$AH$7:$AH$3000,"yes"),COUNTIFS(Offers!$B$7:$B$3000,$B38,Offers!$C$7:$C$3000,F$10,Offers!$AI$7:$AI$3000,"yes"))=0,"—",SUMIFS(Review!$O$7:$O$600,Review!$B$7:$B$600,$B38,Review!$C$7:$C$600,F$10))</f>
        <v>9.4</v>
      </c>
      <c r="G38" s="32" t="n">
        <f aca="false">IF(IF($E$5="Local prices",COUNTIFS(Offers!$B$7:$B$3000,$B38,Offers!$C$7:$C$3000,G$10,Offers!$AH$7:$AH$3000,"yes"),COUNTIFS(Offers!$B$7:$B$3000,$B38,Offers!$C$7:$C$3000,G$10,Offers!$AI$7:$AI$3000,"yes"))=0,"—",SUMIFS(Review!$O$7:$O$600,Review!$B$7:$B$600,$B38,Review!$C$7:$C$600,G$10))</f>
        <v>10.5576095</v>
      </c>
      <c r="H38" s="32" t="str">
        <f aca="false">IF(IF($E$5="Local prices",COUNTIFS(Offers!$B$7:$B$3000,$B38,Offers!$C$7:$C$3000,H$10,Offers!$AH$7:$AH$3000,"yes"),COUNTIFS(Offers!$B$7:$B$3000,$B38,Offers!$C$7:$C$3000,H$10,Offers!$AI$7:$AI$3000,"yes"))=0,"—",SUMIFS(Review!$O$7:$O$600,Review!$B$7:$B$600,$B38,Review!$C$7:$C$600,H$10))</f>
        <v>—</v>
      </c>
      <c r="I38" s="9"/>
      <c r="J38" s="41"/>
      <c r="K38" s="41"/>
      <c r="L38" s="41"/>
      <c r="M38" s="41"/>
      <c r="N38" s="3"/>
    </row>
    <row r="39" customFormat="false" ht="34.5" hidden="false" customHeight="true" outlineLevel="0" collapsed="false">
      <c r="A39" s="3"/>
      <c r="B39" s="36" t="s">
        <v>58</v>
      </c>
      <c r="C39" s="37" t="str">
        <f aca="false">IF(IF($E$5="Local prices",COUNTIFS(Offers!$B$7:$B$3000,$B39,Offers!$C$7:$C$3000,C$10,Offers!$AH$7:$AH$3000,"yes"),COUNTIFS(Offers!$B$7:$B$3000,$B39,Offers!$C$7:$C$3000,C$10,Offers!$AI$7:$AI$3000,"yes"))=0,"—",SUMIFS(Review!$O$7:$O$600,Review!$B$7:$B$600,$B39,Review!$C$7:$C$600,C$10))</f>
        <v>—</v>
      </c>
      <c r="D39" s="37" t="str">
        <f aca="false">IF(IF($E$5="Local prices",COUNTIFS(Offers!$B$7:$B$3000,$B39,Offers!$C$7:$C$3000,D$10,Offers!$AH$7:$AH$3000,"yes"),COUNTIFS(Offers!$B$7:$B$3000,$B39,Offers!$C$7:$C$3000,D$10,Offers!$AI$7:$AI$3000,"yes"))=0,"—",SUMIFS(Review!$O$7:$O$600,Review!$B$7:$B$600,$B39,Review!$C$7:$C$600,D$10))</f>
        <v>—</v>
      </c>
      <c r="E39" s="37" t="n">
        <f aca="false">IF(IF($E$5="Local prices",COUNTIFS(Offers!$B$7:$B$3000,$B39,Offers!$C$7:$C$3000,E$10,Offers!$AH$7:$AH$3000,"yes"),COUNTIFS(Offers!$B$7:$B$3000,$B39,Offers!$C$7:$C$3000,E$10,Offers!$AI$7:$AI$3000,"yes"))=0,"—",SUMIFS(Review!$O$7:$O$600,Review!$B$7:$B$600,$B39,Review!$C$7:$C$600,E$10))</f>
        <v>17.545</v>
      </c>
      <c r="F39" s="37" t="n">
        <f aca="false">IF(IF($E$5="Local prices",COUNTIFS(Offers!$B$7:$B$3000,$B39,Offers!$C$7:$C$3000,F$10,Offers!$AH$7:$AH$3000,"yes"),COUNTIFS(Offers!$B$7:$B$3000,$B39,Offers!$C$7:$C$3000,F$10,Offers!$AI$7:$AI$3000,"yes"))=0,"—",SUMIFS(Review!$O$7:$O$600,Review!$B$7:$B$600,$B39,Review!$C$7:$C$600,F$10))</f>
        <v>13.62</v>
      </c>
      <c r="G39" s="37" t="n">
        <f aca="false">IF(IF($E$5="Local prices",COUNTIFS(Offers!$B$7:$B$3000,$B39,Offers!$C$7:$C$3000,G$10,Offers!$AH$7:$AH$3000,"yes"),COUNTIFS(Offers!$B$7:$B$3000,$B39,Offers!$C$7:$C$3000,G$10,Offers!$AI$7:$AI$3000,"yes"))=0,"—",SUMIFS(Review!$O$7:$O$600,Review!$B$7:$B$600,$B39,Review!$C$7:$C$600,G$10))</f>
        <v>11.83281</v>
      </c>
      <c r="H39" s="37" t="str">
        <f aca="false">IF(IF($E$5="Local prices",COUNTIFS(Offers!$B$7:$B$3000,$B39,Offers!$C$7:$C$3000,H$10,Offers!$AH$7:$AH$3000,"yes"),COUNTIFS(Offers!$B$7:$B$3000,$B39,Offers!$C$7:$C$3000,H$10,Offers!$AI$7:$AI$3000,"yes"))=0,"—",SUMIFS(Review!$O$7:$O$600,Review!$B$7:$B$600,$B39,Review!$C$7:$C$600,H$10))</f>
        <v>—</v>
      </c>
      <c r="I39" s="9"/>
      <c r="J39" s="10"/>
      <c r="K39" s="10"/>
      <c r="L39" s="10"/>
      <c r="M39" s="10"/>
      <c r="N39" s="3"/>
    </row>
    <row r="40" customFormat="false" ht="34.5" hidden="false" customHeight="true" outlineLevel="0" collapsed="false">
      <c r="A40" s="3"/>
      <c r="B40" s="31" t="s">
        <v>59</v>
      </c>
      <c r="C40" s="32" t="str">
        <f aca="false">IF(IF($E$5="Local prices",COUNTIFS(Offers!$B$7:$B$3000,$B40,Offers!$C$7:$C$3000,C$10,Offers!$AH$7:$AH$3000,"yes"),COUNTIFS(Offers!$B$7:$B$3000,$B40,Offers!$C$7:$C$3000,C$10,Offers!$AI$7:$AI$3000,"yes"))=0,"—",SUMIFS(Review!$O$7:$O$600,Review!$B$7:$B$600,$B40,Review!$C$7:$C$600,C$10))</f>
        <v>—</v>
      </c>
      <c r="D40" s="32" t="str">
        <f aca="false">IF(IF($E$5="Local prices",COUNTIFS(Offers!$B$7:$B$3000,$B40,Offers!$C$7:$C$3000,D$10,Offers!$AH$7:$AH$3000,"yes"),COUNTIFS(Offers!$B$7:$B$3000,$B40,Offers!$C$7:$C$3000,D$10,Offers!$AI$7:$AI$3000,"yes"))=0,"—",SUMIFS(Review!$O$7:$O$600,Review!$B$7:$B$600,$B40,Review!$C$7:$C$600,D$10))</f>
        <v>—</v>
      </c>
      <c r="E40" s="32" t="n">
        <f aca="false">IF(IF($E$5="Local prices",COUNTIFS(Offers!$B$7:$B$3000,$B40,Offers!$C$7:$C$3000,E$10,Offers!$AH$7:$AH$3000,"yes"),COUNTIFS(Offers!$B$7:$B$3000,$B40,Offers!$C$7:$C$3000,E$10,Offers!$AI$7:$AI$3000,"yes"))=0,"—",SUMIFS(Review!$O$7:$O$600,Review!$B$7:$B$600,$B40,Review!$C$7:$C$600,E$10))</f>
        <v>4.13</v>
      </c>
      <c r="F40" s="32" t="n">
        <f aca="false">IF(IF($E$5="Local prices",COUNTIFS(Offers!$B$7:$B$3000,$B40,Offers!$C$7:$C$3000,F$10,Offers!$AH$7:$AH$3000,"yes"),COUNTIFS(Offers!$B$7:$B$3000,$B40,Offers!$C$7:$C$3000,F$10,Offers!$AI$7:$AI$3000,"yes"))=0,"—",SUMIFS(Review!$O$7:$O$600,Review!$B$7:$B$600,$B40,Review!$C$7:$C$600,F$10))</f>
        <v>3.75</v>
      </c>
      <c r="G40" s="32" t="n">
        <f aca="false">IF(IF($E$5="Local prices",COUNTIFS(Offers!$B$7:$B$3000,$B40,Offers!$C$7:$C$3000,G$10,Offers!$AH$7:$AH$3000,"yes"),COUNTIFS(Offers!$B$7:$B$3000,$B40,Offers!$C$7:$C$3000,G$10,Offers!$AI$7:$AI$3000,"yes"))=0,"—",SUMIFS(Review!$O$7:$O$600,Review!$B$7:$B$600,$B40,Review!$C$7:$C$600,G$10))</f>
        <v>3.9164965</v>
      </c>
      <c r="H40" s="32" t="str">
        <f aca="false">IF(IF($E$5="Local prices",COUNTIFS(Offers!$B$7:$B$3000,$B40,Offers!$C$7:$C$3000,H$10,Offers!$AH$7:$AH$3000,"yes"),COUNTIFS(Offers!$B$7:$B$3000,$B40,Offers!$C$7:$C$3000,H$10,Offers!$AI$7:$AI$3000,"yes"))=0,"—",SUMIFS(Review!$O$7:$O$600,Review!$B$7:$B$600,$B40,Review!$C$7:$C$600,H$10))</f>
        <v>—</v>
      </c>
      <c r="I40" s="9"/>
      <c r="J40" s="10"/>
      <c r="K40" s="10"/>
      <c r="L40" s="10"/>
      <c r="M40" s="10"/>
      <c r="N40" s="3"/>
    </row>
    <row r="41" customFormat="false" ht="34.5" hidden="false" customHeight="true" outlineLevel="0" collapsed="false">
      <c r="A41" s="3"/>
      <c r="B41" s="36" t="s">
        <v>60</v>
      </c>
      <c r="C41" s="37" t="str">
        <f aca="false">IF(IF($E$5="Local prices",COUNTIFS(Offers!$B$7:$B$3000,$B41,Offers!$C$7:$C$3000,C$10,Offers!$AH$7:$AH$3000,"yes"),COUNTIFS(Offers!$B$7:$B$3000,$B41,Offers!$C$7:$C$3000,C$10,Offers!$AI$7:$AI$3000,"yes"))=0,"—",SUMIFS(Review!$O$7:$O$600,Review!$B$7:$B$600,$B41,Review!$C$7:$C$600,C$10))</f>
        <v>—</v>
      </c>
      <c r="D41" s="37" t="str">
        <f aca="false">IF(IF($E$5="Local prices",COUNTIFS(Offers!$B$7:$B$3000,$B41,Offers!$C$7:$C$3000,D$10,Offers!$AH$7:$AH$3000,"yes"),COUNTIFS(Offers!$B$7:$B$3000,$B41,Offers!$C$7:$C$3000,D$10,Offers!$AI$7:$AI$3000,"yes"))=0,"—",SUMIFS(Review!$O$7:$O$600,Review!$B$7:$B$600,$B41,Review!$C$7:$C$600,D$10))</f>
        <v>—</v>
      </c>
      <c r="E41" s="37" t="n">
        <f aca="false">IF(IF($E$5="Local prices",COUNTIFS(Offers!$B$7:$B$3000,$B41,Offers!$C$7:$C$3000,E$10,Offers!$AH$7:$AH$3000,"yes"),COUNTIFS(Offers!$B$7:$B$3000,$B41,Offers!$C$7:$C$3000,E$10,Offers!$AI$7:$AI$3000,"yes"))=0,"—",SUMIFS(Review!$O$7:$O$600,Review!$B$7:$B$600,$B41,Review!$C$7:$C$600,E$10))</f>
        <v>25.53</v>
      </c>
      <c r="F41" s="37" t="n">
        <f aca="false">IF(IF($E$5="Local prices",COUNTIFS(Offers!$B$7:$B$3000,$B41,Offers!$C$7:$C$3000,F$10,Offers!$AH$7:$AH$3000,"yes"),COUNTIFS(Offers!$B$7:$B$3000,$B41,Offers!$C$7:$C$3000,F$10,Offers!$AI$7:$AI$3000,"yes"))=0,"—",SUMIFS(Review!$O$7:$O$600,Review!$B$7:$B$600,$B41,Review!$C$7:$C$600,F$10))</f>
        <v>24.05</v>
      </c>
      <c r="G41" s="37" t="n">
        <f aca="false">IF(IF($E$5="Local prices",COUNTIFS(Offers!$B$7:$B$3000,$B41,Offers!$C$7:$C$3000,G$10,Offers!$AH$7:$AH$3000,"yes"),COUNTIFS(Offers!$B$7:$B$3000,$B41,Offers!$C$7:$C$3000,G$10,Offers!$AI$7:$AI$3000,"yes"))=0,"—",SUMIFS(Review!$O$7:$O$600,Review!$B$7:$B$600,$B41,Review!$C$7:$C$600,G$10))</f>
        <v>37.709404</v>
      </c>
      <c r="H41" s="37" t="str">
        <f aca="false">IF(IF($E$5="Local prices",COUNTIFS(Offers!$B$7:$B$3000,$B41,Offers!$C$7:$C$3000,H$10,Offers!$AH$7:$AH$3000,"yes"),COUNTIFS(Offers!$B$7:$B$3000,$B41,Offers!$C$7:$C$3000,H$10,Offers!$AI$7:$AI$3000,"yes"))=0,"—",SUMIFS(Review!$O$7:$O$600,Review!$B$7:$B$600,$B41,Review!$C$7:$C$600,H$10))</f>
        <v>—</v>
      </c>
      <c r="I41" s="9"/>
      <c r="J41" s="10"/>
      <c r="K41" s="10"/>
      <c r="L41" s="10"/>
      <c r="M41" s="10"/>
      <c r="N41" s="3"/>
    </row>
    <row r="42" customFormat="false" ht="34.5" hidden="false" customHeight="true" outlineLevel="0" collapsed="false">
      <c r="A42" s="3"/>
      <c r="B42" s="31" t="s">
        <v>61</v>
      </c>
      <c r="C42" s="32" t="str">
        <f aca="false">IF(IF($E$5="Local prices",COUNTIFS(Offers!$B$7:$B$3000,$B42,Offers!$C$7:$C$3000,C$10,Offers!$AH$7:$AH$3000,"yes"),COUNTIFS(Offers!$B$7:$B$3000,$B42,Offers!$C$7:$C$3000,C$10,Offers!$AI$7:$AI$3000,"yes"))=0,"—",SUMIFS(Review!$O$7:$O$600,Review!$B$7:$B$600,$B42,Review!$C$7:$C$600,C$10))</f>
        <v>—</v>
      </c>
      <c r="D42" s="32" t="str">
        <f aca="false">IF(IF($E$5="Local prices",COUNTIFS(Offers!$B$7:$B$3000,$B42,Offers!$C$7:$C$3000,D$10,Offers!$AH$7:$AH$3000,"yes"),COUNTIFS(Offers!$B$7:$B$3000,$B42,Offers!$C$7:$C$3000,D$10,Offers!$AI$7:$AI$3000,"yes"))=0,"—",SUMIFS(Review!$O$7:$O$600,Review!$B$7:$B$600,$B42,Review!$C$7:$C$600,D$10))</f>
        <v>—</v>
      </c>
      <c r="E42" s="32" t="n">
        <f aca="false">IF(IF($E$5="Local prices",COUNTIFS(Offers!$B$7:$B$3000,$B42,Offers!$C$7:$C$3000,E$10,Offers!$AH$7:$AH$3000,"yes"),COUNTIFS(Offers!$B$7:$B$3000,$B42,Offers!$C$7:$C$3000,E$10,Offers!$AI$7:$AI$3000,"yes"))=0,"—",SUMIFS(Review!$O$7:$O$600,Review!$B$7:$B$600,$B42,Review!$C$7:$C$600,E$10))</f>
        <v>3.27</v>
      </c>
      <c r="F42" s="32" t="n">
        <f aca="false">IF(IF($E$5="Local prices",COUNTIFS(Offers!$B$7:$B$3000,$B42,Offers!$C$7:$C$3000,F$10,Offers!$AH$7:$AH$3000,"yes"),COUNTIFS(Offers!$B$7:$B$3000,$B42,Offers!$C$7:$C$3000,F$10,Offers!$AI$7:$AI$3000,"yes"))=0,"—",SUMIFS(Review!$O$7:$O$600,Review!$B$7:$B$600,$B42,Review!$C$7:$C$600,F$10))</f>
        <v>3.17</v>
      </c>
      <c r="G42" s="32" t="n">
        <f aca="false">IF(IF($E$5="Local prices",COUNTIFS(Offers!$B$7:$B$3000,$B42,Offers!$C$7:$C$3000,G$10,Offers!$AH$7:$AH$3000,"yes"),COUNTIFS(Offers!$B$7:$B$3000,$B42,Offers!$C$7:$C$3000,G$10,Offers!$AI$7:$AI$3000,"yes"))=0,"—",SUMIFS(Review!$O$7:$O$600,Review!$B$7:$B$600,$B42,Review!$C$7:$C$600,G$10))</f>
        <v>2.7223655</v>
      </c>
      <c r="H42" s="32" t="str">
        <f aca="false">IF(IF($E$5="Local prices",COUNTIFS(Offers!$B$7:$B$3000,$B42,Offers!$C$7:$C$3000,H$10,Offers!$AH$7:$AH$3000,"yes"),COUNTIFS(Offers!$B$7:$B$3000,$B42,Offers!$C$7:$C$3000,H$10,Offers!$AI$7:$AI$3000,"yes"))=0,"—",SUMIFS(Review!$O$7:$O$600,Review!$B$7:$B$600,$B42,Review!$C$7:$C$600,H$10))</f>
        <v>—</v>
      </c>
      <c r="I42" s="9"/>
      <c r="J42" s="10"/>
      <c r="K42" s="10"/>
      <c r="L42" s="10"/>
      <c r="M42" s="10"/>
      <c r="N42" s="3"/>
    </row>
    <row r="43" customFormat="false" ht="34.5" hidden="false" customHeight="true" outlineLevel="0" collapsed="false">
      <c r="A43" s="3"/>
      <c r="B43" s="36" t="s">
        <v>62</v>
      </c>
      <c r="C43" s="37" t="str">
        <f aca="false">IF(IF($E$5="Local prices",COUNTIFS(Offers!$B$7:$B$3000,$B43,Offers!$C$7:$C$3000,C$10,Offers!$AH$7:$AH$3000,"yes"),COUNTIFS(Offers!$B$7:$B$3000,$B43,Offers!$C$7:$C$3000,C$10,Offers!$AI$7:$AI$3000,"yes"))=0,"—",SUMIFS(Review!$O$7:$O$600,Review!$B$7:$B$600,$B43,Review!$C$7:$C$600,C$10))</f>
        <v>—</v>
      </c>
      <c r="D43" s="37" t="str">
        <f aca="false">IF(IF($E$5="Local prices",COUNTIFS(Offers!$B$7:$B$3000,$B43,Offers!$C$7:$C$3000,D$10,Offers!$AH$7:$AH$3000,"yes"),COUNTIFS(Offers!$B$7:$B$3000,$B43,Offers!$C$7:$C$3000,D$10,Offers!$AI$7:$AI$3000,"yes"))=0,"—",SUMIFS(Review!$O$7:$O$600,Review!$B$7:$B$600,$B43,Review!$C$7:$C$600,D$10))</f>
        <v>—</v>
      </c>
      <c r="E43" s="37" t="n">
        <f aca="false">IF(IF($E$5="Local prices",COUNTIFS(Offers!$B$7:$B$3000,$B43,Offers!$C$7:$C$3000,E$10,Offers!$AH$7:$AH$3000,"yes"),COUNTIFS(Offers!$B$7:$B$3000,$B43,Offers!$C$7:$C$3000,E$10,Offers!$AI$7:$AI$3000,"yes"))=0,"—",SUMIFS(Review!$O$7:$O$600,Review!$B$7:$B$600,$B43,Review!$C$7:$C$600,E$10))</f>
        <v>1.73</v>
      </c>
      <c r="F43" s="37" t="str">
        <f aca="false">IF(IF($E$5="Local prices",COUNTIFS(Offers!$B$7:$B$3000,$B43,Offers!$C$7:$C$3000,F$10,Offers!$AH$7:$AH$3000,"yes"),COUNTIFS(Offers!$B$7:$B$3000,$B43,Offers!$C$7:$C$3000,F$10,Offers!$AI$7:$AI$3000,"yes"))=0,"—",SUMIFS(Review!$O$7:$O$600,Review!$B$7:$B$600,$B43,Review!$C$7:$C$600,F$10))</f>
        <v>—</v>
      </c>
      <c r="G43" s="37" t="n">
        <f aca="false">IF(IF($E$5="Local prices",COUNTIFS(Offers!$B$7:$B$3000,$B43,Offers!$C$7:$C$3000,G$10,Offers!$AH$7:$AH$3000,"yes"),COUNTIFS(Offers!$B$7:$B$3000,$B43,Offers!$C$7:$C$3000,G$10,Offers!$AI$7:$AI$3000,"yes"))=0,"—",SUMIFS(Review!$O$7:$O$600,Review!$B$7:$B$600,$B43,Review!$C$7:$C$600,G$10))</f>
        <v>2.435962</v>
      </c>
      <c r="H43" s="37" t="str">
        <f aca="false">IF(IF($E$5="Local prices",COUNTIFS(Offers!$B$7:$B$3000,$B43,Offers!$C$7:$C$3000,H$10,Offers!$AH$7:$AH$3000,"yes"),COUNTIFS(Offers!$B$7:$B$3000,$B43,Offers!$C$7:$C$3000,H$10,Offers!$AI$7:$AI$3000,"yes"))=0,"—",SUMIFS(Review!$O$7:$O$600,Review!$B$7:$B$600,$B43,Review!$C$7:$C$600,H$10))</f>
        <v>—</v>
      </c>
      <c r="I43" s="9"/>
      <c r="J43" s="10"/>
      <c r="K43" s="10"/>
      <c r="L43" s="10"/>
      <c r="M43" s="10"/>
      <c r="N43" s="3"/>
    </row>
    <row r="44" customFormat="false" ht="34.5" hidden="false" customHeight="true" outlineLevel="0" collapsed="false">
      <c r="A44" s="3"/>
      <c r="B44" s="31" t="s">
        <v>63</v>
      </c>
      <c r="C44" s="32" t="str">
        <f aca="false">IF(IF($E$5="Local prices",COUNTIFS(Offers!$B$7:$B$3000,$B44,Offers!$C$7:$C$3000,C$10,Offers!$AH$7:$AH$3000,"yes"),COUNTIFS(Offers!$B$7:$B$3000,$B44,Offers!$C$7:$C$3000,C$10,Offers!$AI$7:$AI$3000,"yes"))=0,"—",SUMIFS(Review!$O$7:$O$600,Review!$B$7:$B$600,$B44,Review!$C$7:$C$600,C$10))</f>
        <v>—</v>
      </c>
      <c r="D44" s="32" t="str">
        <f aca="false">IF(IF($E$5="Local prices",COUNTIFS(Offers!$B$7:$B$3000,$B44,Offers!$C$7:$C$3000,D$10,Offers!$AH$7:$AH$3000,"yes"),COUNTIFS(Offers!$B$7:$B$3000,$B44,Offers!$C$7:$C$3000,D$10,Offers!$AI$7:$AI$3000,"yes"))=0,"—",SUMIFS(Review!$O$7:$O$600,Review!$B$7:$B$600,$B44,Review!$C$7:$C$600,D$10))</f>
        <v>—</v>
      </c>
      <c r="E44" s="32" t="n">
        <f aca="false">IF(IF($E$5="Local prices",COUNTIFS(Offers!$B$7:$B$3000,$B44,Offers!$C$7:$C$3000,E$10,Offers!$AH$7:$AH$3000,"yes"),COUNTIFS(Offers!$B$7:$B$3000,$B44,Offers!$C$7:$C$3000,E$10,Offers!$AI$7:$AI$3000,"yes"))=0,"—",SUMIFS(Review!$O$7:$O$600,Review!$B$7:$B$600,$B44,Review!$C$7:$C$600,E$10))</f>
        <v>9.3</v>
      </c>
      <c r="F44" s="32" t="str">
        <f aca="false">IF(IF($E$5="Local prices",COUNTIFS(Offers!$B$7:$B$3000,$B44,Offers!$C$7:$C$3000,F$10,Offers!$AH$7:$AH$3000,"yes"),COUNTIFS(Offers!$B$7:$B$3000,$B44,Offers!$C$7:$C$3000,F$10,Offers!$AI$7:$AI$3000,"yes"))=0,"—",SUMIFS(Review!$O$7:$O$600,Review!$B$7:$B$600,$B44,Review!$C$7:$C$600,F$10))</f>
        <v>—</v>
      </c>
      <c r="G44" s="32" t="str">
        <f aca="false">IF(IF($E$5="Local prices",COUNTIFS(Offers!$B$7:$B$3000,$B44,Offers!$C$7:$C$3000,G$10,Offers!$AH$7:$AH$3000,"yes"),COUNTIFS(Offers!$B$7:$B$3000,$B44,Offers!$C$7:$C$3000,G$10,Offers!$AI$7:$AI$3000,"yes"))=0,"—",SUMIFS(Review!$O$7:$O$600,Review!$B$7:$B$600,$B44,Review!$C$7:$C$600,G$10))</f>
        <v>—</v>
      </c>
      <c r="H44" s="32" t="str">
        <f aca="false">IF(IF($E$5="Local prices",COUNTIFS(Offers!$B$7:$B$3000,$B44,Offers!$C$7:$C$3000,H$10,Offers!$AH$7:$AH$3000,"yes"),COUNTIFS(Offers!$B$7:$B$3000,$B44,Offers!$C$7:$C$3000,H$10,Offers!$AI$7:$AI$3000,"yes"))=0,"—",SUMIFS(Review!$O$7:$O$600,Review!$B$7:$B$600,$B44,Review!$C$7:$C$600,H$10))</f>
        <v>—</v>
      </c>
      <c r="I44" s="9"/>
      <c r="J44" s="10"/>
      <c r="K44" s="10"/>
      <c r="L44" s="10"/>
      <c r="M44" s="10"/>
      <c r="N44" s="3"/>
    </row>
    <row r="45" customFormat="false" ht="34.5" hidden="false" customHeight="true" outlineLevel="0" collapsed="false">
      <c r="A45" s="3"/>
      <c r="B45" s="36" t="s">
        <v>64</v>
      </c>
      <c r="C45" s="37" t="str">
        <f aca="false">IF(IF($E$5="Local prices",COUNTIFS(Offers!$B$7:$B$3000,$B45,Offers!$C$7:$C$3000,C$10,Offers!$AH$7:$AH$3000,"yes"),COUNTIFS(Offers!$B$7:$B$3000,$B45,Offers!$C$7:$C$3000,C$10,Offers!$AI$7:$AI$3000,"yes"))=0,"—",SUMIFS(Review!$O$7:$O$600,Review!$B$7:$B$600,$B45,Review!$C$7:$C$600,C$10))</f>
        <v>—</v>
      </c>
      <c r="D45" s="37" t="str">
        <f aca="false">IF(IF($E$5="Local prices",COUNTIFS(Offers!$B$7:$B$3000,$B45,Offers!$C$7:$C$3000,D$10,Offers!$AH$7:$AH$3000,"yes"),COUNTIFS(Offers!$B$7:$B$3000,$B45,Offers!$C$7:$C$3000,D$10,Offers!$AI$7:$AI$3000,"yes"))=0,"—",SUMIFS(Review!$O$7:$O$600,Review!$B$7:$B$600,$B45,Review!$C$7:$C$600,D$10))</f>
        <v>—</v>
      </c>
      <c r="E45" s="37" t="n">
        <f aca="false">IF(IF($E$5="Local prices",COUNTIFS(Offers!$B$7:$B$3000,$B45,Offers!$C$7:$C$3000,E$10,Offers!$AH$7:$AH$3000,"yes"),COUNTIFS(Offers!$B$7:$B$3000,$B45,Offers!$C$7:$C$3000,E$10,Offers!$AI$7:$AI$3000,"yes"))=0,"—",SUMIFS(Review!$O$7:$O$600,Review!$B$7:$B$600,$B45,Review!$C$7:$C$600,E$10))</f>
        <v>11.97</v>
      </c>
      <c r="F45" s="37" t="n">
        <f aca="false">IF(IF($E$5="Local prices",COUNTIFS(Offers!$B$7:$B$3000,$B45,Offers!$C$7:$C$3000,F$10,Offers!$AH$7:$AH$3000,"yes"),COUNTIFS(Offers!$B$7:$B$3000,$B45,Offers!$C$7:$C$3000,F$10,Offers!$AI$7:$AI$3000,"yes"))=0,"—",SUMIFS(Review!$O$7:$O$600,Review!$B$7:$B$600,$B45,Review!$C$7:$C$600,F$10))</f>
        <v>11.09</v>
      </c>
      <c r="G45" s="37" t="n">
        <f aca="false">IF(IF($E$5="Local prices",COUNTIFS(Offers!$B$7:$B$3000,$B45,Offers!$C$7:$C$3000,G$10,Offers!$AH$7:$AH$3000,"yes"),COUNTIFS(Offers!$B$7:$B$3000,$B45,Offers!$C$7:$C$3000,G$10,Offers!$AI$7:$AI$3000,"yes"))=0,"—",SUMIFS(Review!$O$7:$O$600,Review!$B$7:$B$600,$B45,Review!$C$7:$C$600,G$10))</f>
        <v>11.369733</v>
      </c>
      <c r="H45" s="37" t="str">
        <f aca="false">IF(IF($E$5="Local prices",COUNTIFS(Offers!$B$7:$B$3000,$B45,Offers!$C$7:$C$3000,H$10,Offers!$AH$7:$AH$3000,"yes"),COUNTIFS(Offers!$B$7:$B$3000,$B45,Offers!$C$7:$C$3000,H$10,Offers!$AI$7:$AI$3000,"yes"))=0,"—",SUMIFS(Review!$O$7:$O$600,Review!$B$7:$B$600,$B45,Review!$C$7:$C$600,H$10))</f>
        <v>—</v>
      </c>
      <c r="I45" s="9"/>
      <c r="J45" s="10"/>
      <c r="K45" s="10"/>
      <c r="L45" s="10"/>
      <c r="M45" s="10"/>
      <c r="N45" s="3"/>
    </row>
    <row r="46" customFormat="false" ht="21.75" hidden="false" customHeight="true" outlineLevel="0" collapsed="false">
      <c r="A46" s="3"/>
      <c r="B46" s="36" t="s">
        <v>65</v>
      </c>
      <c r="C46" s="37" t="str">
        <f aca="false">IF(IF($E$5="Local prices",COUNTIFS(Offers!$B$7:$B$3000,$B46,Offers!$C$7:$C$3000,C$10,Offers!$AH$7:$AH$3000,"yes"),COUNTIFS(Offers!$B$7:$B$3000,$B46,Offers!$C$7:$C$3000,C$10,Offers!$AI$7:$AI$3000,"yes"))=0,"—",SUMIFS(Review!$O$7:$O$600,Review!$B$7:$B$600,$B46,Review!$C$7:$C$600,C$10))</f>
        <v>—</v>
      </c>
      <c r="D46" s="37" t="str">
        <f aca="false">IF(IF($E$5="Local prices",COUNTIFS(Offers!$B$7:$B$3000,$B46,Offers!$C$7:$C$3000,D$10,Offers!$AH$7:$AH$3000,"yes"),COUNTIFS(Offers!$B$7:$B$3000,$B46,Offers!$C$7:$C$3000,D$10,Offers!$AI$7:$AI$3000,"yes"))=0,"—",SUMIFS(Review!$O$7:$O$600,Review!$B$7:$B$600,$B46,Review!$C$7:$C$600,D$10))</f>
        <v>—</v>
      </c>
      <c r="E46" s="37" t="n">
        <f aca="false">IF(IF($E$5="Local prices",COUNTIFS(Offers!$B$7:$B$3000,$B46,Offers!$C$7:$C$3000,E$10,Offers!$AH$7:$AH$3000,"yes"),COUNTIFS(Offers!$B$7:$B$3000,$B46,Offers!$C$7:$C$3000,E$10,Offers!$AI$7:$AI$3000,"yes"))=0,"—",SUMIFS(Review!$O$7:$O$600,Review!$B$7:$B$600,$B46,Review!$C$7:$C$600,E$10))</f>
        <v>26.89</v>
      </c>
      <c r="F46" s="37" t="n">
        <f aca="false">IF(IF($E$5="Local prices",COUNTIFS(Offers!$B$7:$B$3000,$B46,Offers!$C$7:$C$3000,F$10,Offers!$AH$7:$AH$3000,"yes"),COUNTIFS(Offers!$B$7:$B$3000,$B46,Offers!$C$7:$C$3000,F$10,Offers!$AI$7:$AI$3000,"yes"))=0,"—",SUMIFS(Review!$O$7:$O$600,Review!$B$7:$B$600,$B46,Review!$C$7:$C$600,F$10))</f>
        <v>24.99</v>
      </c>
      <c r="G46" s="37" t="n">
        <f aca="false">IF(IF($E$5="Local prices",COUNTIFS(Offers!$B$7:$B$3000,$B46,Offers!$C$7:$C$3000,G$10,Offers!$AH$7:$AH$3000,"yes"),COUNTIFS(Offers!$B$7:$B$3000,$B46,Offers!$C$7:$C$3000,G$10,Offers!$AI$7:$AI$3000,"yes"))=0,"—",SUMIFS(Review!$O$7:$O$600,Review!$B$7:$B$600,$B46,Review!$C$7:$C$600,G$10))</f>
        <v>26.7423545</v>
      </c>
      <c r="H46" s="37" t="str">
        <f aca="false">IF(IF($E$5="Local prices",COUNTIFS(Offers!$B$7:$B$3000,$B46,Offers!$C$7:$C$3000,H$10,Offers!$AH$7:$AH$3000,"yes"),COUNTIFS(Offers!$B$7:$B$3000,$B46,Offers!$C$7:$C$3000,H$10,Offers!$AI$7:$AI$3000,"yes"))=0,"—",SUMIFS(Review!$O$7:$O$600,Review!$B$7:$B$600,$B46,Review!$C$7:$C$600,H$10))</f>
        <v>—</v>
      </c>
      <c r="I46" s="9"/>
      <c r="J46" s="10"/>
      <c r="K46" s="10"/>
      <c r="L46" s="10"/>
      <c r="M46" s="10"/>
      <c r="N46" s="3"/>
    </row>
    <row r="47" customFormat="false" ht="21.75" hidden="false" customHeight="true" outlineLevel="0" collapsed="false">
      <c r="A47" s="3"/>
      <c r="B47" s="36" t="s">
        <v>66</v>
      </c>
      <c r="C47" s="37" t="str">
        <f aca="false">IF(IF($E$5="Local prices",COUNTIFS(Offers!$B$7:$B$3000,$B47,Offers!$C$7:$C$3000,C$10,Offers!$AH$7:$AH$3000,"yes"),COUNTIFS(Offers!$B$7:$B$3000,$B47,Offers!$C$7:$C$3000,C$10,Offers!$AI$7:$AI$3000,"yes"))=0,"—",SUMIFS(Review!$O$7:$O$600,Review!$B$7:$B$600,$B47,Review!$C$7:$C$600,C$10))</f>
        <v>—</v>
      </c>
      <c r="D47" s="37" t="n">
        <f aca="false">IF(IF($E$5="Local prices",COUNTIFS(Offers!$B$7:$B$3000,$B47,Offers!$C$7:$C$3000,D$10,Offers!$AH$7:$AH$3000,"yes"),COUNTIFS(Offers!$B$7:$B$3000,$B47,Offers!$C$7:$C$3000,D$10,Offers!$AI$7:$AI$3000,"yes"))=0,"—",SUMIFS(Review!$O$7:$O$600,Review!$B$7:$B$600,$B47,Review!$C$7:$C$600,D$10))</f>
        <v>15.897252</v>
      </c>
      <c r="E47" s="37" t="n">
        <f aca="false">IF(IF($E$5="Local prices",COUNTIFS(Offers!$B$7:$B$3000,$B47,Offers!$C$7:$C$3000,E$10,Offers!$AH$7:$AH$3000,"yes"),COUNTIFS(Offers!$B$7:$B$3000,$B47,Offers!$C$7:$C$3000,E$10,Offers!$AI$7:$AI$3000,"yes"))=0,"—",SUMIFS(Review!$O$7:$O$600,Review!$B$7:$B$600,$B47,Review!$C$7:$C$600,E$10))</f>
        <v>19.79</v>
      </c>
      <c r="F47" s="37" t="n">
        <f aca="false">IF(IF($E$5="Local prices",COUNTIFS(Offers!$B$7:$B$3000,$B47,Offers!$C$7:$C$3000,F$10,Offers!$AH$7:$AH$3000,"yes"),COUNTIFS(Offers!$B$7:$B$3000,$B47,Offers!$C$7:$C$3000,F$10,Offers!$AI$7:$AI$3000,"yes"))=0,"—",SUMIFS(Review!$O$7:$O$600,Review!$B$7:$B$600,$B47,Review!$C$7:$C$600,F$10))</f>
        <v>17.73</v>
      </c>
      <c r="G47" s="37" t="n">
        <f aca="false">IF(IF($E$5="Local prices",COUNTIFS(Offers!$B$7:$B$3000,$B47,Offers!$C$7:$C$3000,G$10,Offers!$AH$7:$AH$3000,"yes"),COUNTIFS(Offers!$B$7:$B$3000,$B47,Offers!$C$7:$C$3000,G$10,Offers!$AI$7:$AI$3000,"yes"))=0,"—",SUMIFS(Review!$O$7:$O$600,Review!$B$7:$B$600,$B47,Review!$C$7:$C$600,G$10))</f>
        <v>15.394936</v>
      </c>
      <c r="H47" s="37" t="n">
        <f aca="false">IF(IF($E$5="Local prices",COUNTIFS(Offers!$B$7:$B$3000,$B47,Offers!$C$7:$C$3000,H$10,Offers!$AH$7:$AH$3000,"yes"),COUNTIFS(Offers!$B$7:$B$3000,$B47,Offers!$C$7:$C$3000,H$10,Offers!$AI$7:$AI$3000,"yes"))=0,"—",SUMIFS(Review!$O$7:$O$600,Review!$B$7:$B$600,$B47,Review!$C$7:$C$600,H$10))</f>
        <v>16.42</v>
      </c>
      <c r="I47" s="9"/>
      <c r="J47" s="10"/>
      <c r="K47" s="10"/>
      <c r="L47" s="10"/>
      <c r="M47" s="10"/>
      <c r="N47" s="3"/>
    </row>
    <row r="48" customFormat="false" ht="21.75" hidden="false" customHeight="true" outlineLevel="0" collapsed="false">
      <c r="A48" s="3"/>
      <c r="B48" s="36" t="s">
        <v>67</v>
      </c>
      <c r="C48" s="37" t="str">
        <f aca="false">IF(IF($E$5="Local prices",COUNTIFS(Offers!$B$7:$B$3000,$B48,Offers!$C$7:$C$3000,C$10,Offers!$AH$7:$AH$3000,"yes"),COUNTIFS(Offers!$B$7:$B$3000,$B48,Offers!$C$7:$C$3000,C$10,Offers!$AI$7:$AI$3000,"yes"))=0,"—",SUMIFS(Review!$O$7:$O$600,Review!$B$7:$B$600,$B48,Review!$C$7:$C$600,C$10))</f>
        <v>—</v>
      </c>
      <c r="D48" s="37" t="n">
        <f aca="false">IF(IF($E$5="Local prices",COUNTIFS(Offers!$B$7:$B$3000,$B48,Offers!$C$7:$C$3000,D$10,Offers!$AH$7:$AH$3000,"yes"),COUNTIFS(Offers!$B$7:$B$3000,$B48,Offers!$C$7:$C$3000,D$10,Offers!$AI$7:$AI$3000,"yes"))=0,"—",SUMIFS(Review!$O$7:$O$600,Review!$B$7:$B$600,$B48,Review!$C$7:$C$600,D$10))</f>
        <v>20.050622</v>
      </c>
      <c r="E48" s="37" t="n">
        <f aca="false">IF(IF($E$5="Local prices",COUNTIFS(Offers!$B$7:$B$3000,$B48,Offers!$C$7:$C$3000,E$10,Offers!$AH$7:$AH$3000,"yes"),COUNTIFS(Offers!$B$7:$B$3000,$B48,Offers!$C$7:$C$3000,E$10,Offers!$AI$7:$AI$3000,"yes"))=0,"—",SUMIFS(Review!$O$7:$O$600,Review!$B$7:$B$600,$B48,Review!$C$7:$C$600,E$10))</f>
        <v>25.9</v>
      </c>
      <c r="F48" s="37" t="n">
        <f aca="false">IF(IF($E$5="Local prices",COUNTIFS(Offers!$B$7:$B$3000,$B48,Offers!$C$7:$C$3000,F$10,Offers!$AH$7:$AH$3000,"yes"),COUNTIFS(Offers!$B$7:$B$3000,$B48,Offers!$C$7:$C$3000,F$10,Offers!$AI$7:$AI$3000,"yes"))=0,"—",SUMIFS(Review!$O$7:$O$600,Review!$B$7:$B$600,$B48,Review!$C$7:$C$600,F$10))</f>
        <v>22.43</v>
      </c>
      <c r="G48" s="37" t="n">
        <f aca="false">IF(IF($E$5="Local prices",COUNTIFS(Offers!$B$7:$B$3000,$B48,Offers!$C$7:$C$3000,G$10,Offers!$AH$7:$AH$3000,"yes"),COUNTIFS(Offers!$B$7:$B$3000,$B48,Offers!$C$7:$C$3000,G$10,Offers!$AI$7:$AI$3000,"yes"))=0,"—",SUMIFS(Review!$O$7:$O$600,Review!$B$7:$B$600,$B48,Review!$C$7:$C$600,G$10))</f>
        <v>18.506678</v>
      </c>
      <c r="H48" s="37" t="n">
        <f aca="false">IF(IF($E$5="Local prices",COUNTIFS(Offers!$B$7:$B$3000,$B48,Offers!$C$7:$C$3000,H$10,Offers!$AH$7:$AH$3000,"yes"),COUNTIFS(Offers!$B$7:$B$3000,$B48,Offers!$C$7:$C$3000,H$10,Offers!$AI$7:$AI$3000,"yes"))=0,"—",SUMIFS(Review!$O$7:$O$600,Review!$B$7:$B$600,$B48,Review!$C$7:$C$600,H$10))</f>
        <v>17.96</v>
      </c>
      <c r="I48" s="9"/>
      <c r="J48" s="10"/>
      <c r="K48" s="10"/>
      <c r="L48" s="10"/>
      <c r="M48" s="10"/>
      <c r="N48" s="3"/>
    </row>
    <row r="49" customFormat="false" ht="36" hidden="false" customHeight="true" outlineLevel="0" collapsed="false">
      <c r="A49" s="3"/>
      <c r="B49" s="36" t="s">
        <v>68</v>
      </c>
      <c r="C49" s="37" t="str">
        <f aca="false">IF(IF($E$5="Local prices",COUNTIFS(Offers!$B$7:$B$3000,$B49,Offers!$C$7:$C$3000,C$10,Offers!$AH$7:$AH$3000,"yes"),COUNTIFS(Offers!$B$7:$B$3000,$B49,Offers!$C$7:$C$3000,C$10,Offers!$AI$7:$AI$3000,"yes"))=0,"—",SUMIFS(Review!$O$7:$O$600,Review!$B$7:$B$600,$B49,Review!$C$7:$C$600,C$10))</f>
        <v>—</v>
      </c>
      <c r="D49" s="37" t="n">
        <f aca="false">IF(IF($E$5="Local prices",COUNTIFS(Offers!$B$7:$B$3000,$B49,Offers!$C$7:$C$3000,D$10,Offers!$AH$7:$AH$3000,"yes"),COUNTIFS(Offers!$B$7:$B$3000,$B49,Offers!$C$7:$C$3000,D$10,Offers!$AI$7:$AI$3000,"yes"))=0,"—",SUMIFS(Review!$O$7:$O$600,Review!$B$7:$B$600,$B49,Review!$C$7:$C$600,D$10))</f>
        <v>6.14858</v>
      </c>
      <c r="E49" s="37" t="n">
        <f aca="false">IF(IF($E$5="Local prices",COUNTIFS(Offers!$B$7:$B$3000,$B49,Offers!$C$7:$C$3000,E$10,Offers!$AH$7:$AH$3000,"yes"),COUNTIFS(Offers!$B$7:$B$3000,$B49,Offers!$C$7:$C$3000,E$10,Offers!$AI$7:$AI$3000,"yes"))=0,"—",SUMIFS(Review!$O$7:$O$600,Review!$B$7:$B$600,$B49,Review!$C$7:$C$600,E$10))</f>
        <v>7.1</v>
      </c>
      <c r="F49" s="37" t="n">
        <f aca="false">IF(IF($E$5="Local prices",COUNTIFS(Offers!$B$7:$B$3000,$B49,Offers!$C$7:$C$3000,F$10,Offers!$AH$7:$AH$3000,"yes"),COUNTIFS(Offers!$B$7:$B$3000,$B49,Offers!$C$7:$C$3000,F$10,Offers!$AI$7:$AI$3000,"yes"))=0,"—",SUMIFS(Review!$O$7:$O$600,Review!$B$7:$B$600,$B49,Review!$C$7:$C$600,F$10))</f>
        <v>6.16</v>
      </c>
      <c r="G49" s="37" t="n">
        <f aca="false">IF(IF($E$5="Local prices",COUNTIFS(Offers!$B$7:$B$3000,$B49,Offers!$C$7:$C$3000,G$10,Offers!$AH$7:$AH$3000,"yes"),COUNTIFS(Offers!$B$7:$B$3000,$B49,Offers!$C$7:$C$3000,G$10,Offers!$AI$7:$AI$3000,"yes"))=0,"—",SUMIFS(Review!$O$7:$O$600,Review!$B$7:$B$600,$B49,Review!$C$7:$C$600,G$10))</f>
        <v>6.510093</v>
      </c>
      <c r="H49" s="37" t="n">
        <f aca="false">IF(IF($E$5="Local prices",COUNTIFS(Offers!$B$7:$B$3000,$B49,Offers!$C$7:$C$3000,H$10,Offers!$AH$7:$AH$3000,"yes"),COUNTIFS(Offers!$B$7:$B$3000,$B49,Offers!$C$7:$C$3000,H$10,Offers!$AI$7:$AI$3000,"yes"))=0,"—",SUMIFS(Review!$O$7:$O$600,Review!$B$7:$B$600,$B49,Review!$C$7:$C$600,H$10))</f>
        <v>6.15</v>
      </c>
      <c r="I49" s="9"/>
      <c r="J49" s="10"/>
      <c r="K49" s="10"/>
      <c r="L49" s="10"/>
      <c r="M49" s="10"/>
      <c r="N49" s="3"/>
    </row>
    <row r="50" customFormat="false" ht="27" hidden="false" customHeight="true" outlineLevel="0" collapsed="false">
      <c r="A50" s="3"/>
      <c r="B50" s="36" t="s">
        <v>69</v>
      </c>
      <c r="C50" s="37" t="str">
        <f aca="false">IF(IF($E$5="Local prices",COUNTIFS(Offers!$B$7:$B$3000,$B50,Offers!$C$7:$C$3000,C$10,Offers!$AH$7:$AH$3000,"yes"),COUNTIFS(Offers!$B$7:$B$3000,$B50,Offers!$C$7:$C$3000,C$10,Offers!$AI$7:$AI$3000,"yes"))=0,"—",SUMIFS(Review!$O$7:$O$600,Review!$B$7:$B$600,$B50,Review!$C$7:$C$600,C$10))</f>
        <v>—</v>
      </c>
      <c r="D50" s="37" t="n">
        <f aca="false">IF(IF($E$5="Local prices",COUNTIFS(Offers!$B$7:$B$3000,$B50,Offers!$C$7:$C$3000,D$10,Offers!$AH$7:$AH$3000,"yes"),COUNTIFS(Offers!$B$7:$B$3000,$B50,Offers!$C$7:$C$3000,D$10,Offers!$AI$7:$AI$3000,"yes"))=0,"—",SUMIFS(Review!$O$7:$O$600,Review!$B$7:$B$600,$B50,Review!$C$7:$C$600,D$10))</f>
        <v>6.94439</v>
      </c>
      <c r="E50" s="37" t="n">
        <f aca="false">IF(IF($E$5="Local prices",COUNTIFS(Offers!$B$7:$B$3000,$B50,Offers!$C$7:$C$3000,E$10,Offers!$AH$7:$AH$3000,"yes"),COUNTIFS(Offers!$B$7:$B$3000,$B50,Offers!$C$7:$C$3000,E$10,Offers!$AI$7:$AI$3000,"yes"))=0,"—",SUMIFS(Review!$O$7:$O$600,Review!$B$7:$B$600,$B50,Review!$C$7:$C$600,E$10))</f>
        <v>7.49</v>
      </c>
      <c r="F50" s="37" t="n">
        <f aca="false">IF(IF($E$5="Local prices",COUNTIFS(Offers!$B$7:$B$3000,$B50,Offers!$C$7:$C$3000,F$10,Offers!$AH$7:$AH$3000,"yes"),COUNTIFS(Offers!$B$7:$B$3000,$B50,Offers!$C$7:$C$3000,F$10,Offers!$AI$7:$AI$3000,"yes"))=0,"—",SUMIFS(Review!$O$7:$O$600,Review!$B$7:$B$600,$B50,Review!$C$7:$C$600,F$10))</f>
        <v>7.09</v>
      </c>
      <c r="G50" s="37" t="n">
        <f aca="false">IF(IF($E$5="Local prices",COUNTIFS(Offers!$B$7:$B$3000,$B50,Offers!$C$7:$C$3000,G$10,Offers!$AH$7:$AH$3000,"yes"),COUNTIFS(Offers!$B$7:$B$3000,$B50,Offers!$C$7:$C$3000,G$10,Offers!$AI$7:$AI$3000,"yes"))=0,"—",SUMIFS(Review!$O$7:$O$600,Review!$B$7:$B$600,$B50,Review!$C$7:$C$600,G$10))</f>
        <v>6.755756</v>
      </c>
      <c r="H50" s="37" t="n">
        <f aca="false">IF(IF($E$5="Local prices",COUNTIFS(Offers!$B$7:$B$3000,$B50,Offers!$C$7:$C$3000,H$10,Offers!$AH$7:$AH$3000,"yes"),COUNTIFS(Offers!$B$7:$B$3000,$B50,Offers!$C$7:$C$3000,H$10,Offers!$AI$7:$AI$3000,"yes"))=0,"—",SUMIFS(Review!$O$7:$O$600,Review!$B$7:$B$600,$B50,Review!$C$7:$C$600,H$10))</f>
        <v>6.75</v>
      </c>
      <c r="I50" s="9"/>
      <c r="J50" s="10"/>
      <c r="K50" s="10"/>
      <c r="L50" s="10"/>
      <c r="M50" s="10"/>
      <c r="N50" s="3"/>
    </row>
    <row r="51" customFormat="false" ht="27" hidden="false" customHeight="true" outlineLevel="0" collapsed="false">
      <c r="A51" s="3"/>
      <c r="B51" s="36" t="s">
        <v>70</v>
      </c>
      <c r="C51" s="37" t="str">
        <f aca="false">IF(IF($E$5="Local prices",COUNTIFS(Offers!$B$7:$B$3000,$B51,Offers!$C$7:$C$3000,C$10,Offers!$AH$7:$AH$3000,"yes"),COUNTIFS(Offers!$B$7:$B$3000,$B51,Offers!$C$7:$C$3000,C$10,Offers!$AI$7:$AI$3000,"yes"))=0,"—",SUMIFS(Review!$O$7:$O$600,Review!$B$7:$B$600,$B51,Review!$C$7:$C$600,C$10))</f>
        <v>—</v>
      </c>
      <c r="D51" s="37" t="n">
        <f aca="false">IF(IF($E$5="Local prices",COUNTIFS(Offers!$B$7:$B$3000,$B51,Offers!$C$7:$C$3000,D$10,Offers!$AH$7:$AH$3000,"yes"),COUNTIFS(Offers!$B$7:$B$3000,$B51,Offers!$C$7:$C$3000,D$10,Offers!$AI$7:$AI$3000,"yes"))=0,"—",SUMIFS(Review!$O$7:$O$600,Review!$B$7:$B$600,$B51,Review!$C$7:$C$600,D$10))</f>
        <v>10.724487</v>
      </c>
      <c r="E51" s="37" t="n">
        <f aca="false">IF(IF($E$5="Local prices",COUNTIFS(Offers!$B$7:$B$3000,$B51,Offers!$C$7:$C$3000,E$10,Offers!$AH$7:$AH$3000,"yes"),COUNTIFS(Offers!$B$7:$B$3000,$B51,Offers!$C$7:$C$3000,E$10,Offers!$AI$7:$AI$3000,"yes"))=0,"—",SUMIFS(Review!$O$7:$O$600,Review!$B$7:$B$600,$B51,Review!$C$7:$C$600,E$10))</f>
        <v>11.69</v>
      </c>
      <c r="F51" s="37" t="n">
        <f aca="false">IF(IF($E$5="Local prices",COUNTIFS(Offers!$B$7:$B$3000,$B51,Offers!$C$7:$C$3000,F$10,Offers!$AH$7:$AH$3000,"yes"),COUNTIFS(Offers!$B$7:$B$3000,$B51,Offers!$C$7:$C$3000,F$10,Offers!$AI$7:$AI$3000,"yes"))=0,"—",SUMIFS(Review!$O$7:$O$600,Review!$B$7:$B$600,$B51,Review!$C$7:$C$600,F$10))</f>
        <v>11.19</v>
      </c>
      <c r="G51" s="37" t="n">
        <f aca="false">IF(IF($E$5="Local prices",COUNTIFS(Offers!$B$7:$B$3000,$B51,Offers!$C$7:$C$3000,G$10,Offers!$AH$7:$AH$3000,"yes"),COUNTIFS(Offers!$B$7:$B$3000,$B51,Offers!$C$7:$C$3000,G$10,Offers!$AI$7:$AI$3000,"yes"))=0,"—",SUMIFS(Review!$O$7:$O$600,Review!$B$7:$B$600,$B51,Review!$C$7:$C$600,G$10))</f>
        <v>10.235995</v>
      </c>
      <c r="H51" s="37" t="n">
        <f aca="false">IF(IF($E$5="Local prices",COUNTIFS(Offers!$B$7:$B$3000,$B51,Offers!$C$7:$C$3000,H$10,Offers!$AH$7:$AH$3000,"yes"),COUNTIFS(Offers!$B$7:$B$3000,$B51,Offers!$C$7:$C$3000,H$10,Offers!$AI$7:$AI$3000,"yes"))=0,"—",SUMIFS(Review!$O$7:$O$600,Review!$B$7:$B$600,$B51,Review!$C$7:$C$600,H$10))</f>
        <v>10.68</v>
      </c>
      <c r="I51" s="9"/>
      <c r="J51" s="10"/>
      <c r="K51" s="10"/>
      <c r="L51" s="10"/>
      <c r="M51" s="10"/>
      <c r="N51" s="3"/>
    </row>
    <row r="52" customFormat="false" ht="27" hidden="false" customHeight="true" outlineLevel="0" collapsed="false">
      <c r="A52" s="3"/>
      <c r="B52" s="36" t="s">
        <v>71</v>
      </c>
      <c r="C52" s="37" t="str">
        <f aca="false">IF(IF($E$5="Local prices",COUNTIFS(Offers!$B$7:$B$3000,$B52,Offers!$C$7:$C$3000,C$10,Offers!$AH$7:$AH$3000,"yes"),COUNTIFS(Offers!$B$7:$B$3000,$B52,Offers!$C$7:$C$3000,C$10,Offers!$AI$7:$AI$3000,"yes"))=0,"—",SUMIFS(Review!$O$7:$O$600,Review!$B$7:$B$600,$B52,Review!$C$7:$C$600,C$10))</f>
        <v>—</v>
      </c>
      <c r="D52" s="37" t="n">
        <f aca="false">IF(IF($E$5="Local prices",COUNTIFS(Offers!$B$7:$B$3000,$B52,Offers!$C$7:$C$3000,D$10,Offers!$AH$7:$AH$3000,"yes"),COUNTIFS(Offers!$B$7:$B$3000,$B52,Offers!$C$7:$C$3000,D$10,Offers!$AI$7:$AI$3000,"yes"))=0,"—",SUMIFS(Review!$O$7:$O$600,Review!$B$7:$B$600,$B52,Review!$C$7:$C$600,D$10))</f>
        <v>4.755912</v>
      </c>
      <c r="E52" s="37" t="n">
        <f aca="false">IF(IF($E$5="Local prices",COUNTIFS(Offers!$B$7:$B$3000,$B52,Offers!$C$7:$C$3000,E$10,Offers!$AH$7:$AH$3000,"yes"),COUNTIFS(Offers!$B$7:$B$3000,$B52,Offers!$C$7:$C$3000,E$10,Offers!$AI$7:$AI$3000,"yes"))=0,"—",SUMIFS(Review!$O$7:$O$600,Review!$B$7:$B$600,$B52,Review!$C$7:$C$600,E$10))</f>
        <v>5.66</v>
      </c>
      <c r="F52" s="37" t="n">
        <f aca="false">IF(IF($E$5="Local prices",COUNTIFS(Offers!$B$7:$B$3000,$B52,Offers!$C$7:$C$3000,F$10,Offers!$AH$7:$AH$3000,"yes"),COUNTIFS(Offers!$B$7:$B$3000,$B52,Offers!$C$7:$C$3000,F$10,Offers!$AI$7:$AI$3000,"yes"))=0,"—",SUMIFS(Review!$O$7:$O$600,Review!$B$7:$B$600,$B52,Review!$C$7:$C$600,F$10))</f>
        <v>4.92</v>
      </c>
      <c r="G52" s="37" t="n">
        <f aca="false">IF(IF($E$5="Local prices",COUNTIFS(Offers!$B$7:$B$3000,$B52,Offers!$C$7:$C$3000,G$10,Offers!$AH$7:$AH$3000,"yes"),COUNTIFS(Offers!$B$7:$B$3000,$B52,Offers!$C$7:$C$3000,G$10,Offers!$AI$7:$AI$3000,"yes"))=0,"—",SUMIFS(Review!$O$7:$O$600,Review!$B$7:$B$600,$B52,Review!$C$7:$C$600,G$10))</f>
        <v>4.585726</v>
      </c>
      <c r="H52" s="37" t="n">
        <f aca="false">IF(IF($E$5="Local prices",COUNTIFS(Offers!$B$7:$B$3000,$B52,Offers!$C$7:$C$3000,H$10,Offers!$AH$7:$AH$3000,"yes"),COUNTIFS(Offers!$B$7:$B$3000,$B52,Offers!$C$7:$C$3000,H$10,Offers!$AI$7:$AI$3000,"yes"))=0,"—",SUMIFS(Review!$O$7:$O$600,Review!$B$7:$B$600,$B52,Review!$C$7:$C$600,H$10))</f>
        <v>4.71</v>
      </c>
      <c r="I52" s="9"/>
      <c r="J52" s="10"/>
      <c r="K52" s="10"/>
      <c r="L52" s="10"/>
      <c r="M52" s="10"/>
      <c r="N52" s="3"/>
    </row>
    <row r="53" customFormat="false" ht="27" hidden="false" customHeight="true" outlineLevel="0" collapsed="false">
      <c r="A53" s="3"/>
      <c r="B53" s="36" t="s">
        <v>72</v>
      </c>
      <c r="C53" s="37" t="str">
        <f aca="false">IF(IF($E$5="Local prices",COUNTIFS(Offers!$B$7:$B$3000,$B53,Offers!$C$7:$C$3000,C$10,Offers!$AH$7:$AH$3000,"yes"),COUNTIFS(Offers!$B$7:$B$3000,$B53,Offers!$C$7:$C$3000,C$10,Offers!$AI$7:$AI$3000,"yes"))=0,"—",SUMIFS(Review!$O$7:$O$600,Review!$B$7:$B$600,$B53,Review!$C$7:$C$600,C$10))</f>
        <v>—</v>
      </c>
      <c r="D53" s="37" t="n">
        <f aca="false">IF(IF($E$5="Local prices",COUNTIFS(Offers!$B$7:$B$3000,$B53,Offers!$C$7:$C$3000,D$10,Offers!$AH$7:$AH$3000,"yes"),COUNTIFS(Offers!$B$7:$B$3000,$B53,Offers!$C$7:$C$3000,D$10,Offers!$AI$7:$AI$3000,"yes"))=0,"—",SUMIFS(Review!$O$7:$O$600,Review!$B$7:$B$600,$B53,Review!$C$7:$C$600,D$10))</f>
        <v>7.285451</v>
      </c>
      <c r="E53" s="37" t="n">
        <f aca="false">IF(IF($E$5="Local prices",COUNTIFS(Offers!$B$7:$B$3000,$B53,Offers!$C$7:$C$3000,E$10,Offers!$AH$7:$AH$3000,"yes"),COUNTIFS(Offers!$B$7:$B$3000,$B53,Offers!$C$7:$C$3000,E$10,Offers!$AI$7:$AI$3000,"yes"))=0,"—",SUMIFS(Review!$O$7:$O$600,Review!$B$7:$B$600,$B53,Review!$C$7:$C$600,E$10))</f>
        <v>8.1</v>
      </c>
      <c r="F53" s="37" t="n">
        <f aca="false">IF(IF($E$5="Local prices",COUNTIFS(Offers!$B$7:$B$3000,$B53,Offers!$C$7:$C$3000,F$10,Offers!$AH$7:$AH$3000,"yes"),COUNTIFS(Offers!$B$7:$B$3000,$B53,Offers!$C$7:$C$3000,F$10,Offers!$AI$7:$AI$3000,"yes"))=0,"—",SUMIFS(Review!$O$7:$O$600,Review!$B$7:$B$600,$B53,Review!$C$7:$C$600,F$10))</f>
        <v>6.87</v>
      </c>
      <c r="G53" s="37" t="n">
        <f aca="false">IF(IF($E$5="Local prices",COUNTIFS(Offers!$B$7:$B$3000,$B53,Offers!$C$7:$C$3000,G$10,Offers!$AH$7:$AH$3000,"yes"),COUNTIFS(Offers!$B$7:$B$3000,$B53,Offers!$C$7:$C$3000,G$10,Offers!$AI$7:$AI$3000,"yes"))=0,"—",SUMIFS(Review!$O$7:$O$600,Review!$B$7:$B$600,$B53,Review!$C$7:$C$600,G$10))</f>
        <v>8.721067</v>
      </c>
      <c r="H53" s="37" t="n">
        <f aca="false">IF(IF($E$5="Local prices",COUNTIFS(Offers!$B$7:$B$3000,$B53,Offers!$C$7:$C$3000,H$10,Offers!$AH$7:$AH$3000,"yes"),COUNTIFS(Offers!$B$7:$B$3000,$B53,Offers!$C$7:$C$3000,H$10,Offers!$AI$7:$AI$3000,"yes"))=0,"—",SUMIFS(Review!$O$7:$O$600,Review!$B$7:$B$600,$B53,Review!$C$7:$C$600,H$10))</f>
        <v>6.75</v>
      </c>
      <c r="I53" s="9"/>
      <c r="J53" s="10"/>
      <c r="K53" s="10"/>
      <c r="L53" s="10"/>
      <c r="M53" s="10"/>
      <c r="N53" s="3"/>
    </row>
    <row r="54" customFormat="false" ht="27" hidden="false" customHeight="true" outlineLevel="0" collapsed="false">
      <c r="A54" s="3"/>
      <c r="B54" s="36" t="s">
        <v>73</v>
      </c>
      <c r="C54" s="37" t="str">
        <f aca="false">IF(IF($E$5="Local prices",COUNTIFS(Offers!$B$7:$B$3000,$B54,Offers!$C$7:$C$3000,C$10,Offers!$AH$7:$AH$3000,"yes"),COUNTIFS(Offers!$B$7:$B$3000,$B54,Offers!$C$7:$C$3000,C$10,Offers!$AI$7:$AI$3000,"yes"))=0,"—",SUMIFS(Review!$O$7:$O$600,Review!$B$7:$B$600,$B54,Review!$C$7:$C$600,C$10))</f>
        <v>—</v>
      </c>
      <c r="D54" s="37" t="n">
        <f aca="false">IF(IF($E$5="Local prices",COUNTIFS(Offers!$B$7:$B$3000,$B54,Offers!$C$7:$C$3000,D$10,Offers!$AH$7:$AH$3000,"yes"),COUNTIFS(Offers!$B$7:$B$3000,$B54,Offers!$C$7:$C$3000,D$10,Offers!$AI$7:$AI$3000,"yes"))=0,"—",SUMIFS(Review!$O$7:$O$600,Review!$B$7:$B$600,$B54,Review!$C$7:$C$600,D$10))</f>
        <v>8.655381</v>
      </c>
      <c r="E54" s="37" t="n">
        <f aca="false">IF(IF($E$5="Local prices",COUNTIFS(Offers!$B$7:$B$3000,$B54,Offers!$C$7:$C$3000,E$10,Offers!$AH$7:$AH$3000,"yes"),COUNTIFS(Offers!$B$7:$B$3000,$B54,Offers!$C$7:$C$3000,E$10,Offers!$AI$7:$AI$3000,"yes"))=0,"—",SUMIFS(Review!$O$7:$O$600,Review!$B$7:$B$600,$B54,Review!$C$7:$C$600,E$10))</f>
        <v>9.99</v>
      </c>
      <c r="F54" s="37" t="n">
        <f aca="false">IF(IF($E$5="Local prices",COUNTIFS(Offers!$B$7:$B$3000,$B54,Offers!$C$7:$C$3000,F$10,Offers!$AH$7:$AH$3000,"yes"),COUNTIFS(Offers!$B$7:$B$3000,$B54,Offers!$C$7:$C$3000,F$10,Offers!$AI$7:$AI$3000,"yes"))=0,"—",SUMIFS(Review!$O$7:$O$600,Review!$B$7:$B$600,$B54,Review!$C$7:$C$600,F$10))</f>
        <v>8.83</v>
      </c>
      <c r="G54" s="37" t="n">
        <f aca="false">IF(IF($E$5="Local prices",COUNTIFS(Offers!$B$7:$B$3000,$B54,Offers!$C$7:$C$3000,G$10,Offers!$AH$7:$AH$3000,"yes"),COUNTIFS(Offers!$B$7:$B$3000,$B54,Offers!$C$7:$C$3000,G$10,Offers!$AI$7:$AI$3000,"yes"))=0,"—",SUMIFS(Review!$O$7:$O$600,Review!$B$7:$B$600,$B54,Review!$C$7:$C$600,G$10))</f>
        <v>10.235995</v>
      </c>
      <c r="H54" s="37" t="n">
        <f aca="false">IF(IF($E$5="Local prices",COUNTIFS(Offers!$B$7:$B$3000,$B54,Offers!$C$7:$C$3000,H$10,Offers!$AH$7:$AH$3000,"yes"),COUNTIFS(Offers!$B$7:$B$3000,$B54,Offers!$C$7:$C$3000,H$10,Offers!$AI$7:$AI$3000,"yes"))=0,"—",SUMIFS(Review!$O$7:$O$600,Review!$B$7:$B$600,$B54,Review!$C$7:$C$600,H$10))</f>
        <v>10</v>
      </c>
      <c r="I54" s="9"/>
      <c r="J54" s="10"/>
      <c r="K54" s="10"/>
      <c r="L54" s="10"/>
      <c r="M54" s="10"/>
      <c r="N54" s="3"/>
    </row>
    <row r="55" customFormat="false" ht="27" hidden="false" customHeight="true" outlineLevel="0" collapsed="false">
      <c r="A55" s="3"/>
      <c r="B55" s="36" t="s">
        <v>74</v>
      </c>
      <c r="C55" s="37" t="str">
        <f aca="false">IF(IF($E$5="Local prices",COUNTIFS(Offers!$B$7:$B$3000,$B55,Offers!$C$7:$C$3000,C$10,Offers!$AH$7:$AH$3000,"yes"),COUNTIFS(Offers!$B$7:$B$3000,$B55,Offers!$C$7:$C$3000,C$10,Offers!$AI$7:$AI$3000,"yes"))=0,"—",SUMIFS(Review!$O$7:$O$600,Review!$B$7:$B$600,$B55,Review!$C$7:$C$600,C$10))</f>
        <v>—</v>
      </c>
      <c r="D55" s="37" t="n">
        <f aca="false">IF(IF($E$5="Local prices",COUNTIFS(Offers!$B$7:$B$3000,$B55,Offers!$C$7:$C$3000,D$10,Offers!$AH$7:$AH$3000,"yes"),COUNTIFS(Offers!$B$7:$B$3000,$B55,Offers!$C$7:$C$3000,D$10,Offers!$AI$7:$AI$3000,"yes"))=0,"—",SUMIFS(Review!$O$7:$O$600,Review!$B$7:$B$600,$B55,Review!$C$7:$C$600,D$10))</f>
        <v>3.867258</v>
      </c>
      <c r="E55" s="37" t="n">
        <f aca="false">IF(IF($E$5="Local prices",COUNTIFS(Offers!$B$7:$B$3000,$B55,Offers!$C$7:$C$3000,E$10,Offers!$AH$7:$AH$3000,"yes"),COUNTIFS(Offers!$B$7:$B$3000,$B55,Offers!$C$7:$C$3000,E$10,Offers!$AI$7:$AI$3000,"yes"))=0,"—",SUMIFS(Review!$O$7:$O$600,Review!$B$7:$B$600,$B55,Review!$C$7:$C$600,E$10))</f>
        <v>5.66</v>
      </c>
      <c r="F55" s="37" t="n">
        <f aca="false">IF(IF($E$5="Local prices",COUNTIFS(Offers!$B$7:$B$3000,$B55,Offers!$C$7:$C$3000,F$10,Offers!$AH$7:$AH$3000,"yes"),COUNTIFS(Offers!$B$7:$B$3000,$B55,Offers!$C$7:$C$3000,F$10,Offers!$AI$7:$AI$3000,"yes"))=0,"—",SUMIFS(Review!$O$7:$O$600,Review!$B$7:$B$600,$B55,Review!$C$7:$C$600,F$10))</f>
        <v>4.4</v>
      </c>
      <c r="G55" s="37" t="n">
        <f aca="false">IF(IF($E$5="Local prices",COUNTIFS(Offers!$B$7:$B$3000,$B55,Offers!$C$7:$C$3000,G$10,Offers!$AH$7:$AH$3000,"yes"),COUNTIFS(Offers!$B$7:$B$3000,$B55,Offers!$C$7:$C$3000,G$10,Offers!$AI$7:$AI$3000,"yes"))=0,"—",SUMIFS(Review!$O$7:$O$600,Review!$B$7:$B$600,$B55,Review!$C$7:$C$600,G$10))</f>
        <v>4.176286</v>
      </c>
      <c r="H55" s="37" t="n">
        <f aca="false">IF(IF($E$5="Local prices",COUNTIFS(Offers!$B$7:$B$3000,$B55,Offers!$C$7:$C$3000,H$10,Offers!$AH$7:$AH$3000,"yes"),COUNTIFS(Offers!$B$7:$B$3000,$B55,Offers!$C$7:$C$3000,H$10,Offers!$AI$7:$AI$3000,"yes"))=0,"—",SUMIFS(Review!$O$7:$O$600,Review!$B$7:$B$600,$B55,Review!$C$7:$C$600,H$10))</f>
        <v>3.68</v>
      </c>
      <c r="I55" s="9"/>
      <c r="J55" s="10"/>
      <c r="K55" s="10"/>
      <c r="L55" s="10"/>
      <c r="M55" s="10"/>
      <c r="N55" s="3"/>
    </row>
    <row r="56" customFormat="false" ht="21.75" hidden="false" customHeight="true" outlineLevel="0" collapsed="false">
      <c r="A56" s="3"/>
      <c r="B56" s="36" t="s">
        <v>75</v>
      </c>
      <c r="C56" s="37" t="str">
        <f aca="false">IF(IF($E$5="Local prices",COUNTIFS(Offers!$B$7:$B$3000,$B56,Offers!$C$7:$C$3000,C$10,Offers!$AH$7:$AH$3000,"yes"),COUNTIFS(Offers!$B$7:$B$3000,$B56,Offers!$C$7:$C$3000,C$10,Offers!$AI$7:$AI$3000,"yes"))=0,"—",SUMIFS(Review!$O$7:$O$600,Review!$B$7:$B$600,$B56,Review!$C$7:$C$600,C$10))</f>
        <v>—</v>
      </c>
      <c r="D56" s="37" t="n">
        <f aca="false">IF(IF($E$5="Local prices",COUNTIFS(Offers!$B$7:$B$3000,$B56,Offers!$C$7:$C$3000,D$10,Offers!$AH$7:$AH$3000,"yes"),COUNTIFS(Offers!$B$7:$B$3000,$B56,Offers!$C$7:$C$3000,D$10,Offers!$AI$7:$AI$3000,"yes"))=0,"—",SUMIFS(Review!$O$7:$O$600,Review!$B$7:$B$600,$B56,Review!$C$7:$C$600,D$10))</f>
        <v>4.318217</v>
      </c>
      <c r="E56" s="37" t="n">
        <f aca="false">IF(IF($E$5="Local prices",COUNTIFS(Offers!$B$7:$B$3000,$B56,Offers!$C$7:$C$3000,E$10,Offers!$AH$7:$AH$3000,"yes"),COUNTIFS(Offers!$B$7:$B$3000,$B56,Offers!$C$7:$C$3000,E$10,Offers!$AI$7:$AI$3000,"yes"))=0,"—",SUMIFS(Review!$O$7:$O$600,Review!$B$7:$B$600,$B56,Review!$C$7:$C$600,E$10))</f>
        <v>4.79</v>
      </c>
      <c r="F56" s="37" t="n">
        <f aca="false">IF(IF($E$5="Local prices",COUNTIFS(Offers!$B$7:$B$3000,$B56,Offers!$C$7:$C$3000,F$10,Offers!$AH$7:$AH$3000,"yes"),COUNTIFS(Offers!$B$7:$B$3000,$B56,Offers!$C$7:$C$3000,F$10,Offers!$AI$7:$AI$3000,"yes"))=0,"—",SUMIFS(Review!$O$7:$O$600,Review!$B$7:$B$600,$B56,Review!$C$7:$C$600,F$10))</f>
        <v>4.59</v>
      </c>
      <c r="G56" s="37" t="n">
        <f aca="false">IF(IF($E$5="Local prices",COUNTIFS(Offers!$B$7:$B$3000,$B56,Offers!$C$7:$C$3000,G$10,Offers!$AH$7:$AH$3000,"yes"),COUNTIFS(Offers!$B$7:$B$3000,$B56,Offers!$C$7:$C$3000,G$10,Offers!$AI$7:$AI$3000,"yes"))=0,"—",SUMIFS(Review!$O$7:$O$600,Review!$B$7:$B$600,$B56,Review!$C$7:$C$600,G$10))</f>
        <v>4.381006</v>
      </c>
      <c r="H56" s="37" t="n">
        <f aca="false">IF(IF($E$5="Local prices",COUNTIFS(Offers!$B$7:$B$3000,$B56,Offers!$C$7:$C$3000,H$10,Offers!$AH$7:$AH$3000,"yes"),COUNTIFS(Offers!$B$7:$B$3000,$B56,Offers!$C$7:$C$3000,H$10,Offers!$AI$7:$AI$3000,"yes"))=0,"—",SUMIFS(Review!$O$7:$O$600,Review!$B$7:$B$600,$B56,Review!$C$7:$C$600,H$10))</f>
        <v>4.35</v>
      </c>
      <c r="I56" s="9"/>
      <c r="J56" s="10"/>
      <c r="K56" s="10"/>
      <c r="L56" s="10"/>
      <c r="M56" s="10"/>
      <c r="N56" s="3"/>
    </row>
    <row r="57" customFormat="false" ht="21.75" hidden="false" customHeight="true" outlineLevel="0" collapsed="false">
      <c r="A57" s="3"/>
      <c r="B57" s="36" t="s">
        <v>76</v>
      </c>
      <c r="C57" s="37" t="str">
        <f aca="false">IF(IF($E$5="Local prices",COUNTIFS(Offers!$B$7:$B$3000,$B57,Offers!$C$7:$C$3000,C$10,Offers!$AH$7:$AH$3000,"yes"),COUNTIFS(Offers!$B$7:$B$3000,$B57,Offers!$C$7:$C$3000,C$10,Offers!$AI$7:$AI$3000,"yes"))=0,"—",SUMIFS(Review!$O$7:$O$600,Review!$B$7:$B$600,$B57,Review!$C$7:$C$600,C$10))</f>
        <v>—</v>
      </c>
      <c r="D57" s="37" t="n">
        <f aca="false">IF(IF($E$5="Local prices",COUNTIFS(Offers!$B$7:$B$3000,$B57,Offers!$C$7:$C$3000,D$10,Offers!$AH$7:$AH$3000,"yes"),COUNTIFS(Offers!$B$7:$B$3000,$B57,Offers!$C$7:$C$3000,D$10,Offers!$AI$7:$AI$3000,"yes"))=0,"—",SUMIFS(Review!$O$7:$O$600,Review!$B$7:$B$600,$B57,Review!$C$7:$C$600,D$10))</f>
        <v>5.57446</v>
      </c>
      <c r="E57" s="37" t="n">
        <f aca="false">IF(IF($E$5="Local prices",COUNTIFS(Offers!$B$7:$B$3000,$B57,Offers!$C$7:$C$3000,E$10,Offers!$AH$7:$AH$3000,"yes"),COUNTIFS(Offers!$B$7:$B$3000,$B57,Offers!$C$7:$C$3000,E$10,Offers!$AI$7:$AI$3000,"yes"))=0,"—",SUMIFS(Review!$O$7:$O$600,Review!$B$7:$B$600,$B57,Review!$C$7:$C$600,E$10))</f>
        <v>6.28</v>
      </c>
      <c r="F57" s="37" t="n">
        <f aca="false">IF(IF($E$5="Local prices",COUNTIFS(Offers!$B$7:$B$3000,$B57,Offers!$C$7:$C$3000,F$10,Offers!$AH$7:$AH$3000,"yes"),COUNTIFS(Offers!$B$7:$B$3000,$B57,Offers!$C$7:$C$3000,F$10,Offers!$AI$7:$AI$3000,"yes"))=0,"—",SUMIFS(Review!$O$7:$O$600,Review!$B$7:$B$600,$B57,Review!$C$7:$C$600,F$10))</f>
        <v>5.49</v>
      </c>
      <c r="G57" s="37" t="n">
        <f aca="false">IF(IF($E$5="Local prices",COUNTIFS(Offers!$B$7:$B$3000,$B57,Offers!$C$7:$C$3000,G$10,Offers!$AH$7:$AH$3000,"yes"),COUNTIFS(Offers!$B$7:$B$3000,$B57,Offers!$C$7:$C$3000,G$10,Offers!$AI$7:$AI$3000,"yes"))=0,"—",SUMIFS(Review!$O$7:$O$600,Review!$B$7:$B$600,$B57,Review!$C$7:$C$600,G$10))</f>
        <v>6.018765</v>
      </c>
      <c r="H57" s="37" t="n">
        <f aca="false">IF(IF($E$5="Local prices",COUNTIFS(Offers!$B$7:$B$3000,$B57,Offers!$C$7:$C$3000,H$10,Offers!$AH$7:$AH$3000,"yes"),COUNTIFS(Offers!$B$7:$B$3000,$B57,Offers!$C$7:$C$3000,H$10,Offers!$AI$7:$AI$3000,"yes"))=0,"—",SUMIFS(Review!$O$7:$O$600,Review!$B$7:$B$600,$B57,Review!$C$7:$C$600,H$10))</f>
        <v>5.55</v>
      </c>
      <c r="I57" s="9"/>
      <c r="J57" s="10"/>
      <c r="K57" s="10"/>
      <c r="L57" s="10"/>
      <c r="M57" s="10"/>
      <c r="N57" s="3"/>
    </row>
    <row r="58" customFormat="false" ht="21.75" hidden="false" customHeight="true" outlineLevel="0" collapsed="false">
      <c r="A58" s="3"/>
      <c r="B58" s="36" t="s">
        <v>77</v>
      </c>
      <c r="C58" s="37" t="str">
        <f aca="false">IF(IF($E$5="Local prices",COUNTIFS(Offers!$B$7:$B$3000,$B58,Offers!$C$7:$C$3000,C$10,Offers!$AH$7:$AH$3000,"yes"),COUNTIFS(Offers!$B$7:$B$3000,$B58,Offers!$C$7:$C$3000,C$10,Offers!$AI$7:$AI$3000,"yes"))=0,"—",SUMIFS(Review!$O$7:$O$600,Review!$B$7:$B$600,$B58,Review!$C$7:$C$600,C$10))</f>
        <v>—</v>
      </c>
      <c r="D58" s="37" t="n">
        <f aca="false">IF(IF($E$5="Local prices",COUNTIFS(Offers!$B$7:$B$3000,$B58,Offers!$C$7:$C$3000,D$10,Offers!$AH$7:$AH$3000,"yes"),COUNTIFS(Offers!$B$7:$B$3000,$B58,Offers!$C$7:$C$3000,D$10,Offers!$AI$7:$AI$3000,"yes"))=0,"—",SUMIFS(Review!$O$7:$O$600,Review!$B$7:$B$600,$B58,Review!$C$7:$C$600,D$10))</f>
        <v>6.474483</v>
      </c>
      <c r="E58" s="37" t="n">
        <f aca="false">IF(IF($E$5="Local prices",COUNTIFS(Offers!$B$7:$B$3000,$B58,Offers!$C$7:$C$3000,E$10,Offers!$AH$7:$AH$3000,"yes"),COUNTIFS(Offers!$B$7:$B$3000,$B58,Offers!$C$7:$C$3000,E$10,Offers!$AI$7:$AI$3000,"yes"))=0,"—",SUMIFS(Review!$O$7:$O$600,Review!$B$7:$B$600,$B58,Review!$C$7:$C$600,E$10))</f>
        <v>12</v>
      </c>
      <c r="F58" s="37" t="n">
        <f aca="false">IF(IF($E$5="Local prices",COUNTIFS(Offers!$B$7:$B$3000,$B58,Offers!$C$7:$C$3000,F$10,Offers!$AH$7:$AH$3000,"yes"),COUNTIFS(Offers!$B$7:$B$3000,$B58,Offers!$C$7:$C$3000,F$10,Offers!$AI$7:$AI$3000,"yes"))=0,"—",SUMIFS(Review!$O$7:$O$600,Review!$B$7:$B$600,$B58,Review!$C$7:$C$600,F$10))</f>
        <v>9.12</v>
      </c>
      <c r="G58" s="37" t="n">
        <f aca="false">IF(IF($E$5="Local prices",COUNTIFS(Offers!$B$7:$B$3000,$B58,Offers!$C$7:$C$3000,G$10,Offers!$AH$7:$AH$3000,"yes"),COUNTIFS(Offers!$B$7:$B$3000,$B58,Offers!$C$7:$C$3000,G$10,Offers!$AI$7:$AI$3000,"yes"))=0,"—",SUMIFS(Review!$O$7:$O$600,Review!$B$7:$B$600,$B58,Review!$C$7:$C$600,G$10))</f>
        <v>6.551037</v>
      </c>
      <c r="H58" s="37" t="n">
        <f aca="false">IF(IF($E$5="Local prices",COUNTIFS(Offers!$B$7:$B$3000,$B58,Offers!$C$7:$C$3000,H$10,Offers!$AH$7:$AH$3000,"yes"),COUNTIFS(Offers!$B$7:$B$3000,$B58,Offers!$C$7:$C$3000,H$10,Offers!$AI$7:$AI$3000,"yes"))=0,"—",SUMIFS(Review!$O$7:$O$600,Review!$B$7:$B$600,$B58,Review!$C$7:$C$600,H$10))</f>
        <v>7.74</v>
      </c>
      <c r="I58" s="3"/>
      <c r="J58" s="4"/>
      <c r="K58" s="4"/>
      <c r="L58" s="4"/>
      <c r="M58" s="4"/>
      <c r="N58" s="3"/>
    </row>
    <row r="59" customFormat="false" ht="21.75" hidden="false" customHeight="true" outlineLevel="0" collapsed="false">
      <c r="A59" s="3"/>
      <c r="B59" s="36" t="s">
        <v>78</v>
      </c>
      <c r="C59" s="37" t="str">
        <f aca="false">IF(IF($E$5="Local prices",COUNTIFS(Offers!$B$7:$B$3000,$B59,Offers!$C$7:$C$3000,C$10,Offers!$AH$7:$AH$3000,"yes"),COUNTIFS(Offers!$B$7:$B$3000,$B59,Offers!$C$7:$C$3000,C$10,Offers!$AI$7:$AI$3000,"yes"))=0,"—",SUMIFS(Review!$O$7:$O$600,Review!$B$7:$B$600,$B59,Review!$C$7:$C$600,C$10))</f>
        <v>—</v>
      </c>
      <c r="D59" s="37" t="n">
        <f aca="false">IF(IF($E$5="Local prices",COUNTIFS(Offers!$B$7:$B$3000,$B59,Offers!$C$7:$C$3000,D$10,Offers!$AH$7:$AH$3000,"yes"),COUNTIFS(Offers!$B$7:$B$3000,$B59,Offers!$C$7:$C$3000,D$10,Offers!$AI$7:$AI$3000,"yes"))=0,"—",SUMIFS(Review!$O$7:$O$600,Review!$B$7:$B$600,$B59,Review!$C$7:$C$600,D$10))</f>
        <v>2.374167</v>
      </c>
      <c r="E59" s="37" t="n">
        <f aca="false">IF(IF($E$5="Local prices",COUNTIFS(Offers!$B$7:$B$3000,$B59,Offers!$C$7:$C$3000,E$10,Offers!$AH$7:$AH$3000,"yes"),COUNTIFS(Offers!$B$7:$B$3000,$B59,Offers!$C$7:$C$3000,E$10,Offers!$AI$7:$AI$3000,"yes"))=0,"—",SUMIFS(Review!$O$7:$O$600,Review!$B$7:$B$600,$B59,Review!$C$7:$C$600,E$10))</f>
        <v>3.69</v>
      </c>
      <c r="F59" s="37" t="n">
        <f aca="false">IF(IF($E$5="Local prices",COUNTIFS(Offers!$B$7:$B$3000,$B59,Offers!$C$7:$C$3000,F$10,Offers!$AH$7:$AH$3000,"yes"),COUNTIFS(Offers!$B$7:$B$3000,$B59,Offers!$C$7:$C$3000,F$10,Offers!$AI$7:$AI$3000,"yes"))=0,"—",SUMIFS(Review!$O$7:$O$600,Review!$B$7:$B$600,$B59,Review!$C$7:$C$600,F$10))</f>
        <v>3.52</v>
      </c>
      <c r="G59" s="37" t="n">
        <f aca="false">IF(IF($E$5="Local prices",COUNTIFS(Offers!$B$7:$B$3000,$B59,Offers!$C$7:$C$3000,G$10,Offers!$AH$7:$AH$3000,"yes"),COUNTIFS(Offers!$B$7:$B$3000,$B59,Offers!$C$7:$C$3000,G$10,Offers!$AI$7:$AI$3000,"yes"))=0,"—",SUMIFS(Review!$O$7:$O$600,Review!$B$7:$B$600,$B59,Review!$C$7:$C$600,G$10))</f>
        <v>2.415695</v>
      </c>
      <c r="H59" s="37" t="n">
        <f aca="false">IF(IF($E$5="Local prices",COUNTIFS(Offers!$B$7:$B$3000,$B59,Offers!$C$7:$C$3000,H$10,Offers!$AH$7:$AH$3000,"yes"),COUNTIFS(Offers!$B$7:$B$3000,$B59,Offers!$C$7:$C$3000,H$10,Offers!$AI$7:$AI$3000,"yes"))=0,"—",SUMIFS(Review!$O$7:$O$600,Review!$B$7:$B$600,$B59,Review!$C$7:$C$600,H$10))</f>
        <v>2.8</v>
      </c>
      <c r="I59" s="3"/>
      <c r="J59" s="4"/>
      <c r="K59" s="4"/>
      <c r="L59" s="4"/>
      <c r="M59" s="4"/>
      <c r="N59" s="3"/>
    </row>
    <row r="60" customFormat="false" ht="21.75" hidden="false" customHeight="true" outlineLevel="0" collapsed="false">
      <c r="A60" s="3"/>
      <c r="B60" s="36" t="s">
        <v>79</v>
      </c>
      <c r="C60" s="37" t="str">
        <f aca="false">IF(IF($E$5="Local prices",COUNTIFS(Offers!$B$7:$B$3000,$B60,Offers!$C$7:$C$3000,C$10,Offers!$AH$7:$AH$3000,"yes"),COUNTIFS(Offers!$B$7:$B$3000,$B60,Offers!$C$7:$C$3000,C$10,Offers!$AI$7:$AI$3000,"yes"))=0,"—",SUMIFS(Review!$O$7:$O$600,Review!$B$7:$B$600,$B60,Review!$C$7:$C$600,C$10))</f>
        <v>—</v>
      </c>
      <c r="D60" s="37" t="n">
        <f aca="false">IF(IF($E$5="Local prices",COUNTIFS(Offers!$B$7:$B$3000,$B60,Offers!$C$7:$C$3000,D$10,Offers!$AH$7:$AH$3000,"yes"),COUNTIFS(Offers!$B$7:$B$3000,$B60,Offers!$C$7:$C$3000,D$10,Offers!$AI$7:$AI$3000,"yes"))=0,"—",SUMIFS(Review!$O$7:$O$600,Review!$B$7:$B$600,$B60,Review!$C$7:$C$600,D$10))</f>
        <v>3.990419</v>
      </c>
      <c r="E60" s="37" t="n">
        <f aca="false">IF(IF($E$5="Local prices",COUNTIFS(Offers!$B$7:$B$3000,$B60,Offers!$C$7:$C$3000,E$10,Offers!$AH$7:$AH$3000,"yes"),COUNTIFS(Offers!$B$7:$B$3000,$B60,Offers!$C$7:$C$3000,E$10,Offers!$AI$7:$AI$3000,"yes"))=0,"—",SUMIFS(Review!$O$7:$O$600,Review!$B$7:$B$600,$B60,Review!$C$7:$C$600,E$10))</f>
        <v>5.08</v>
      </c>
      <c r="F60" s="37" t="n">
        <f aca="false">IF(IF($E$5="Local prices",COUNTIFS(Offers!$B$7:$B$3000,$B60,Offers!$C$7:$C$3000,F$10,Offers!$AH$7:$AH$3000,"yes"),COUNTIFS(Offers!$B$7:$B$3000,$B60,Offers!$C$7:$C$3000,F$10,Offers!$AI$7:$AI$3000,"yes"))=0,"—",SUMIFS(Review!$O$7:$O$600,Review!$B$7:$B$600,$B60,Review!$C$7:$C$600,F$10))</f>
        <v>4.34</v>
      </c>
      <c r="G60" s="37" t="n">
        <f aca="false">IF(IF($E$5="Local prices",COUNTIFS(Offers!$B$7:$B$3000,$B60,Offers!$C$7:$C$3000,G$10,Offers!$AH$7:$AH$3000,"yes"),COUNTIFS(Offers!$B$7:$B$3000,$B60,Offers!$C$7:$C$3000,G$10,Offers!$AI$7:$AI$3000,"yes"))=0,"—",SUMIFS(Review!$O$7:$O$600,Review!$B$7:$B$600,$B60,Review!$C$7:$C$600,G$10))</f>
        <v>4.585726</v>
      </c>
      <c r="H60" s="37" t="n">
        <f aca="false">IF(IF($E$5="Local prices",COUNTIFS(Offers!$B$7:$B$3000,$B60,Offers!$C$7:$C$3000,H$10,Offers!$AH$7:$AH$3000,"yes"),COUNTIFS(Offers!$B$7:$B$3000,$B60,Offers!$C$7:$C$3000,H$10,Offers!$AI$7:$AI$3000,"yes"))=0,"—",SUMIFS(Review!$O$7:$O$600,Review!$B$7:$B$600,$B60,Review!$C$7:$C$600,H$10))</f>
        <v>3.97</v>
      </c>
      <c r="I60" s="3"/>
      <c r="J60" s="4"/>
      <c r="K60" s="4"/>
      <c r="L60" s="4"/>
      <c r="M60" s="4"/>
      <c r="N60" s="3"/>
    </row>
    <row r="61" customFormat="false" ht="13.5" hidden="false" customHeight="false" outlineLevel="0" collapsed="false">
      <c r="B61" s="36" t="s">
        <v>80</v>
      </c>
      <c r="C61" s="37" t="str">
        <f aca="false">IF(IF($E$5="Local prices",COUNTIFS(Offers!$B$7:$B$3000,$B61,Offers!$C$7:$C$3000,C$10,Offers!$AH$7:$AH$3000,"yes"),COUNTIFS(Offers!$B$7:$B$3000,$B61,Offers!$C$7:$C$3000,C$10,Offers!$AI$7:$AI$3000,"yes"))=0,"—",SUMIFS(Review!$O$7:$O$600,Review!$B$7:$B$600,$B61,Review!$C$7:$C$600,C$10))</f>
        <v>—</v>
      </c>
      <c r="D61" s="37" t="n">
        <f aca="false">IF(IF($E$5="Local prices",COUNTIFS(Offers!$B$7:$B$3000,$B61,Offers!$C$7:$C$3000,D$10,Offers!$AH$7:$AH$3000,"yes"),COUNTIFS(Offers!$B$7:$B$3000,$B61,Offers!$C$7:$C$3000,D$10,Offers!$AI$7:$AI$3000,"yes"))=0,"—",SUMIFS(Review!$O$7:$O$600,Review!$B$7:$B$600,$B61,Review!$C$7:$C$600,D$10))</f>
        <v>5.551722</v>
      </c>
      <c r="E61" s="37" t="n">
        <f aca="false">IF(IF($E$5="Local prices",COUNTIFS(Offers!$B$7:$B$3000,$B61,Offers!$C$7:$C$3000,E$10,Offers!$AH$7:$AH$3000,"yes"),COUNTIFS(Offers!$B$7:$B$3000,$B61,Offers!$C$7:$C$3000,E$10,Offers!$AI$7:$AI$3000,"yes"))=0,"—",SUMIFS(Review!$O$7:$O$600,Review!$B$7:$B$600,$B61,Review!$C$7:$C$600,E$10))</f>
        <v>8.74</v>
      </c>
      <c r="F61" s="37" t="n">
        <f aca="false">IF(IF($E$5="Local prices",COUNTIFS(Offers!$B$7:$B$3000,$B61,Offers!$C$7:$C$3000,F$10,Offers!$AH$7:$AH$3000,"yes"),COUNTIFS(Offers!$B$7:$B$3000,$B61,Offers!$C$7:$C$3000,F$10,Offers!$AI$7:$AI$3000,"yes"))=0,"—",SUMIFS(Review!$O$7:$O$600,Review!$B$7:$B$600,$B61,Review!$C$7:$C$600,F$10))</f>
        <v>7.08</v>
      </c>
      <c r="G61" s="37" t="n">
        <f aca="false">IF(IF($E$5="Local prices",COUNTIFS(Offers!$B$7:$B$3000,$B61,Offers!$C$7:$C$3000,G$10,Offers!$AH$7:$AH$3000,"yes"),COUNTIFS(Offers!$B$7:$B$3000,$B61,Offers!$C$7:$C$3000,G$10,Offers!$AI$7:$AI$3000,"yes"))=0,"—",SUMIFS(Review!$O$7:$O$600,Review!$B$7:$B$600,$B61,Review!$C$7:$C$600,G$10))</f>
        <v>3.756201</v>
      </c>
      <c r="H61" s="37" t="n">
        <f aca="false">IF(IF($E$5="Local prices",COUNTIFS(Offers!$B$7:$B$3000,$B61,Offers!$C$7:$C$3000,H$10,Offers!$AH$7:$AH$3000,"yes"),COUNTIFS(Offers!$B$7:$B$3000,$B61,Offers!$C$7:$C$3000,H$10,Offers!$AI$7:$AI$3000,"yes"))=0,"—",SUMIFS(Review!$O$7:$O$600,Review!$B$7:$B$600,$B61,Review!$C$7:$C$600,H$10))</f>
        <v>6.05</v>
      </c>
    </row>
    <row r="62" customFormat="false" ht="13.5" hidden="false" customHeight="false" outlineLevel="0" collapsed="false">
      <c r="B62" s="36" t="s">
        <v>81</v>
      </c>
      <c r="C62" s="37" t="str">
        <f aca="false">IF(IF($E$5="Local prices",COUNTIFS(Offers!$B$7:$B$3000,$B62,Offers!$C$7:$C$3000,C$10,Offers!$AH$7:$AH$3000,"yes"),COUNTIFS(Offers!$B$7:$B$3000,$B62,Offers!$C$7:$C$3000,C$10,Offers!$AI$7:$AI$3000,"yes"))=0,"—",SUMIFS(Review!$O$7:$O$600,Review!$B$7:$B$600,$B62,Review!$C$7:$C$600,C$10))</f>
        <v>—</v>
      </c>
      <c r="D62" s="37" t="n">
        <f aca="false">IF(IF($E$5="Local prices",COUNTIFS(Offers!$B$7:$B$3000,$B62,Offers!$C$7:$C$3000,D$10,Offers!$AH$7:$AH$3000,"yes"),COUNTIFS(Offers!$B$7:$B$3000,$B62,Offers!$C$7:$C$3000,D$10,Offers!$AI$7:$AI$3000,"yes"))=0,"—",SUMIFS(Review!$O$7:$O$600,Review!$B$7:$B$600,$B62,Review!$C$7:$C$600,D$10))</f>
        <v>1.898575</v>
      </c>
      <c r="E62" s="37" t="n">
        <f aca="false">IF(IF($E$5="Local prices",COUNTIFS(Offers!$B$7:$B$3000,$B62,Offers!$C$7:$C$3000,E$10,Offers!$AH$7:$AH$3000,"yes"),COUNTIFS(Offers!$B$7:$B$3000,$B62,Offers!$C$7:$C$3000,E$10,Offers!$AI$7:$AI$3000,"yes"))=0,"—",SUMIFS(Review!$O$7:$O$600,Review!$B$7:$B$600,$B62,Review!$C$7:$C$600,E$10))</f>
        <v>3.65</v>
      </c>
      <c r="F62" s="37" t="n">
        <f aca="false">IF(IF($E$5="Local prices",COUNTIFS(Offers!$B$7:$B$3000,$B62,Offers!$C$7:$C$3000,F$10,Offers!$AH$7:$AH$3000,"yes"),COUNTIFS(Offers!$B$7:$B$3000,$B62,Offers!$C$7:$C$3000,F$10,Offers!$AI$7:$AI$3000,"yes"))=0,"—",SUMIFS(Review!$O$7:$O$600,Review!$B$7:$B$600,$B62,Review!$C$7:$C$600,F$10))</f>
        <v>2.28</v>
      </c>
      <c r="G62" s="37" t="n">
        <f aca="false">IF(IF($E$5="Local prices",COUNTIFS(Offers!$B$7:$B$3000,$B62,Offers!$C$7:$C$3000,G$10,Offers!$AH$7:$AH$3000,"yes"),COUNTIFS(Offers!$B$7:$B$3000,$B62,Offers!$C$7:$C$3000,G$10,Offers!$AI$7:$AI$3000,"yes"))=0,"—",SUMIFS(Review!$O$7:$O$600,Review!$B$7:$B$600,$B62,Review!$C$7:$C$600,G$10))</f>
        <v>2.170031</v>
      </c>
      <c r="H62" s="37" t="n">
        <f aca="false">IF(IF($E$5="Local prices",COUNTIFS(Offers!$B$7:$B$3000,$B62,Offers!$C$7:$C$3000,H$10,Offers!$AH$7:$AH$3000,"yes"),COUNTIFS(Offers!$B$7:$B$3000,$B62,Offers!$C$7:$C$3000,H$10,Offers!$AI$7:$AI$3000,"yes"))=0,"—",SUMIFS(Review!$O$7:$O$600,Review!$B$7:$B$600,$B62,Review!$C$7:$C$600,H$10))</f>
        <v>2.28</v>
      </c>
    </row>
    <row r="63" customFormat="false" ht="13.5" hidden="false" customHeight="false" outlineLevel="0" collapsed="false">
      <c r="B63" s="36" t="s">
        <v>82</v>
      </c>
      <c r="C63" s="37" t="str">
        <f aca="false">IF(IF($E$5="Local prices",COUNTIFS(Offers!$B$7:$B$3000,$B63,Offers!$C$7:$C$3000,C$10,Offers!$AH$7:$AH$3000,"yes"),COUNTIFS(Offers!$B$7:$B$3000,$B63,Offers!$C$7:$C$3000,C$10,Offers!$AI$7:$AI$3000,"yes"))=0,"—",SUMIFS(Review!$O$7:$O$600,Review!$B$7:$B$600,$B63,Review!$C$7:$C$600,C$10))</f>
        <v>—</v>
      </c>
      <c r="D63" s="37" t="n">
        <f aca="false">IF(IF($E$5="Local prices",COUNTIFS(Offers!$B$7:$B$3000,$B63,Offers!$C$7:$C$3000,D$10,Offers!$AH$7:$AH$3000,"yes"),COUNTIFS(Offers!$B$7:$B$3000,$B63,Offers!$C$7:$C$3000,D$10,Offers!$AI$7:$AI$3000,"yes"))=0,"—",SUMIFS(Review!$O$7:$O$600,Review!$B$7:$B$600,$B63,Review!$C$7:$C$600,D$10))</f>
        <v>2.046369</v>
      </c>
      <c r="E63" s="37" t="n">
        <f aca="false">IF(IF($E$5="Local prices",COUNTIFS(Offers!$B$7:$B$3000,$B63,Offers!$C$7:$C$3000,E$10,Offers!$AH$7:$AH$3000,"yes"),COUNTIFS(Offers!$B$7:$B$3000,$B63,Offers!$C$7:$C$3000,E$10,Offers!$AI$7:$AI$3000,"yes"))=0,"—",SUMIFS(Review!$O$7:$O$600,Review!$B$7:$B$600,$B63,Review!$C$7:$C$600,E$10))</f>
        <v>4</v>
      </c>
      <c r="F63" s="37" t="n">
        <f aca="false">IF(IF($E$5="Local prices",COUNTIFS(Offers!$B$7:$B$3000,$B63,Offers!$C$7:$C$3000,F$10,Offers!$AH$7:$AH$3000,"yes"),COUNTIFS(Offers!$B$7:$B$3000,$B63,Offers!$C$7:$C$3000,F$10,Offers!$AI$7:$AI$3000,"yes"))=0,"—",SUMIFS(Review!$O$7:$O$600,Review!$B$7:$B$600,$B63,Review!$C$7:$C$600,F$10))</f>
        <v>2.88</v>
      </c>
      <c r="G63" s="37" t="n">
        <f aca="false">IF(IF($E$5="Local prices",COUNTIFS(Offers!$B$7:$B$3000,$B63,Offers!$C$7:$C$3000,G$10,Offers!$AH$7:$AH$3000,"yes"),COUNTIFS(Offers!$B$7:$B$3000,$B63,Offers!$C$7:$C$3000,G$10,Offers!$AI$7:$AI$3000,"yes"))=0,"—",SUMIFS(Review!$O$7:$O$600,Review!$B$7:$B$600,$B63,Review!$C$7:$C$600,G$10))</f>
        <v>4.176286</v>
      </c>
      <c r="H63" s="37" t="n">
        <f aca="false">IF(IF($E$5="Local prices",COUNTIFS(Offers!$B$7:$B$3000,$B63,Offers!$C$7:$C$3000,H$10,Offers!$AH$7:$AH$3000,"yes"),COUNTIFS(Offers!$B$7:$B$3000,$B63,Offers!$C$7:$C$3000,H$10,Offers!$AI$7:$AI$3000,"yes"))=0,"—",SUMIFS(Review!$O$7:$O$600,Review!$B$7:$B$600,$B63,Review!$C$7:$C$600,H$10))</f>
        <v>2.48</v>
      </c>
    </row>
    <row r="64" customFormat="false" ht="13.5" hidden="false" customHeight="false" outlineLevel="0" collapsed="false">
      <c r="B64" s="36" t="s">
        <v>83</v>
      </c>
      <c r="C64" s="37" t="str">
        <f aca="false">IF(IF($E$5="Local prices",COUNTIFS(Offers!$B$7:$B$3000,$B64,Offers!$C$7:$C$3000,C$10,Offers!$AH$7:$AH$3000,"yes"),COUNTIFS(Offers!$B$7:$B$3000,$B64,Offers!$C$7:$C$3000,C$10,Offers!$AI$7:$AI$3000,"yes"))=0,"—",SUMIFS(Review!$O$7:$O$600,Review!$B$7:$B$600,$B64,Review!$C$7:$C$600,C$10))</f>
        <v>—</v>
      </c>
      <c r="D64" s="37" t="n">
        <f aca="false">IF(IF($E$5="Local prices",COUNTIFS(Offers!$B$7:$B$3000,$B64,Offers!$C$7:$C$3000,D$10,Offers!$AH$7:$AH$3000,"yes"),COUNTIFS(Offers!$B$7:$B$3000,$B64,Offers!$C$7:$C$3000,D$10,Offers!$AI$7:$AI$3000,"yes"))=0,"—",SUMIFS(Review!$O$7:$O$600,Review!$B$7:$B$600,$B64,Review!$C$7:$C$600,D$10))</f>
        <v>3.693587</v>
      </c>
      <c r="E64" s="37" t="str">
        <f aca="false">IF(IF($E$5="Local prices",COUNTIFS(Offers!$B$7:$B$3000,$B64,Offers!$C$7:$C$3000,E$10,Offers!$AH$7:$AH$3000,"yes"),COUNTIFS(Offers!$B$7:$B$3000,$B64,Offers!$C$7:$C$3000,E$10,Offers!$AI$7:$AI$3000,"yes"))=0,"—",SUMIFS(Review!$O$7:$O$600,Review!$B$7:$B$600,$B64,Review!$C$7:$C$600,E$10))</f>
        <v>—</v>
      </c>
      <c r="F64" s="37" t="str">
        <f aca="false">IF(IF($E$5="Local prices",COUNTIFS(Offers!$B$7:$B$3000,$B64,Offers!$C$7:$C$3000,F$10,Offers!$AH$7:$AH$3000,"yes"),COUNTIFS(Offers!$B$7:$B$3000,$B64,Offers!$C$7:$C$3000,F$10,Offers!$AI$7:$AI$3000,"yes"))=0,"—",SUMIFS(Review!$O$7:$O$600,Review!$B$7:$B$600,$B64,Review!$C$7:$C$600,F$10))</f>
        <v>—</v>
      </c>
      <c r="G64" s="37" t="n">
        <f aca="false">IF(IF($E$5="Local prices",COUNTIFS(Offers!$B$7:$B$3000,$B64,Offers!$C$7:$C$3000,G$10,Offers!$AH$7:$AH$3000,"yes"),COUNTIFS(Offers!$B$7:$B$3000,$B64,Offers!$C$7:$C$3000,G$10,Offers!$AI$7:$AI$3000,"yes"))=0,"—",SUMIFS(Review!$O$7:$O$600,Review!$B$7:$B$600,$B64,Review!$C$7:$C$600,G$10))</f>
        <v>7.062836</v>
      </c>
      <c r="H64" s="37" t="n">
        <f aca="false">IF(IF($E$5="Local prices",COUNTIFS(Offers!$B$7:$B$3000,$B64,Offers!$C$7:$C$3000,H$10,Offers!$AH$7:$AH$3000,"yes"),COUNTIFS(Offers!$B$7:$B$3000,$B64,Offers!$C$7:$C$3000,H$10,Offers!$AI$7:$AI$3000,"yes"))=0,"—",SUMIFS(Review!$O$7:$O$600,Review!$B$7:$B$600,$B64,Review!$C$7:$C$600,H$10))</f>
        <v>6.53</v>
      </c>
    </row>
    <row r="65" customFormat="false" ht="13.5" hidden="false" customHeight="false" outlineLevel="0" collapsed="false">
      <c r="B65" s="36" t="s">
        <v>84</v>
      </c>
      <c r="C65" s="37" t="str">
        <f aca="false">IF(IF($E$5="Local prices",COUNTIFS(Offers!$B$7:$B$3000,$B65,Offers!$C$7:$C$3000,C$10,Offers!$AH$7:$AH$3000,"yes"),COUNTIFS(Offers!$B$7:$B$3000,$B65,Offers!$C$7:$C$3000,C$10,Offers!$AI$7:$AI$3000,"yes"))=0,"—",SUMIFS(Review!$O$7:$O$600,Review!$B$7:$B$600,$B65,Review!$C$7:$C$600,C$10))</f>
        <v>—</v>
      </c>
      <c r="D65" s="37" t="n">
        <f aca="false">IF(IF($E$5="Local prices",COUNTIFS(Offers!$B$7:$B$3000,$B65,Offers!$C$7:$C$3000,D$10,Offers!$AH$7:$AH$3000,"yes"),COUNTIFS(Offers!$B$7:$B$3000,$B65,Offers!$C$7:$C$3000,D$10,Offers!$AI$7:$AI$3000,"yes"))=0,"—",SUMIFS(Review!$O$7:$O$600,Review!$B$7:$B$600,$B65,Review!$C$7:$C$600,D$10))</f>
        <v>9.220027</v>
      </c>
      <c r="E65" s="37" t="n">
        <f aca="false">IF(IF($E$5="Local prices",COUNTIFS(Offers!$B$7:$B$3000,$B65,Offers!$C$7:$C$3000,E$10,Offers!$AH$7:$AH$3000,"yes"),COUNTIFS(Offers!$B$7:$B$3000,$B65,Offers!$C$7:$C$3000,E$10,Offers!$AI$7:$AI$3000,"yes"))=0,"—",SUMIFS(Review!$O$7:$O$600,Review!$B$7:$B$600,$B65,Review!$C$7:$C$600,E$10))</f>
        <v>14.48</v>
      </c>
      <c r="F65" s="37" t="n">
        <f aca="false">IF(IF($E$5="Local prices",COUNTIFS(Offers!$B$7:$B$3000,$B65,Offers!$C$7:$C$3000,F$10,Offers!$AH$7:$AH$3000,"yes"),COUNTIFS(Offers!$B$7:$B$3000,$B65,Offers!$C$7:$C$3000,F$10,Offers!$AI$7:$AI$3000,"yes"))=0,"—",SUMIFS(Review!$O$7:$O$600,Review!$B$7:$B$600,$B65,Review!$C$7:$C$600,F$10))</f>
        <v>11.09</v>
      </c>
      <c r="G65" s="37" t="n">
        <f aca="false">IF(IF($E$5="Local prices",COUNTIFS(Offers!$B$7:$B$3000,$B65,Offers!$C$7:$C$3000,G$10,Offers!$AH$7:$AH$3000,"yes"),COUNTIFS(Offers!$B$7:$B$3000,$B65,Offers!$C$7:$C$3000,G$10,Offers!$AI$7:$AI$3000,"yes"))=0,"—",SUMIFS(Review!$O$7:$O$600,Review!$B$7:$B$600,$B65,Review!$C$7:$C$600,G$10))</f>
        <v>12.621391</v>
      </c>
      <c r="H65" s="37" t="n">
        <f aca="false">IF(IF($E$5="Local prices",COUNTIFS(Offers!$B$7:$B$3000,$B65,Offers!$C$7:$C$3000,H$10,Offers!$AH$7:$AH$3000,"yes"),COUNTIFS(Offers!$B$7:$B$3000,$B65,Offers!$C$7:$C$3000,H$10,Offers!$AI$7:$AI$3000,"yes"))=0,"—",SUMIFS(Review!$O$7:$O$600,Review!$B$7:$B$600,$B65,Review!$C$7:$C$600,H$10))</f>
        <v>12</v>
      </c>
    </row>
    <row r="66" customFormat="false" ht="13.5" hidden="false" customHeight="false" outlineLevel="0" collapsed="false">
      <c r="B66" s="36" t="s">
        <v>85</v>
      </c>
      <c r="C66" s="37" t="str">
        <f aca="false">IF(IF($E$5="Local prices",COUNTIFS(Offers!$B$7:$B$3000,$B66,Offers!$C$7:$C$3000,C$10,Offers!$AH$7:$AH$3000,"yes"),COUNTIFS(Offers!$B$7:$B$3000,$B66,Offers!$C$7:$C$3000,C$10,Offers!$AI$7:$AI$3000,"yes"))=0,"—",SUMIFS(Review!$O$7:$O$600,Review!$B$7:$B$600,$B66,Review!$C$7:$C$600,C$10))</f>
        <v>—</v>
      </c>
      <c r="D66" s="37" t="n">
        <f aca="false">IF(IF($E$5="Local prices",COUNTIFS(Offers!$B$7:$B$3000,$B66,Offers!$C$7:$C$3000,D$10,Offers!$AH$7:$AH$3000,"yes"),COUNTIFS(Offers!$B$7:$B$3000,$B66,Offers!$C$7:$C$3000,D$10,Offers!$AI$7:$AI$3000,"yes"))=0,"—",SUMIFS(Review!$O$7:$O$600,Review!$B$7:$B$600,$B66,Review!$C$7:$C$600,D$10))</f>
        <v>12.204315</v>
      </c>
      <c r="E66" s="37" t="n">
        <f aca="false">IF(IF($E$5="Local prices",COUNTIFS(Offers!$B$7:$B$3000,$B66,Offers!$C$7:$C$3000,E$10,Offers!$AH$7:$AH$3000,"yes"),COUNTIFS(Offers!$B$7:$B$3000,$B66,Offers!$C$7:$C$3000,E$10,Offers!$AI$7:$AI$3000,"yes"))=0,"—",SUMIFS(Review!$O$7:$O$600,Review!$B$7:$B$600,$B66,Review!$C$7:$C$600,E$10))</f>
        <v>14.66</v>
      </c>
      <c r="F66" s="37" t="n">
        <f aca="false">IF(IF($E$5="Local prices",COUNTIFS(Offers!$B$7:$B$3000,$B66,Offers!$C$7:$C$3000,F$10,Offers!$AH$7:$AH$3000,"yes"),COUNTIFS(Offers!$B$7:$B$3000,$B66,Offers!$C$7:$C$3000,F$10,Offers!$AI$7:$AI$3000,"yes"))=0,"—",SUMIFS(Review!$O$7:$O$600,Review!$B$7:$B$600,$B66,Review!$C$7:$C$600,F$10))</f>
        <v>10.6</v>
      </c>
      <c r="G66" s="37" t="n">
        <f aca="false">IF(IF($E$5="Local prices",COUNTIFS(Offers!$B$7:$B$3000,$B66,Offers!$C$7:$C$3000,G$10,Offers!$AH$7:$AH$3000,"yes"),COUNTIFS(Offers!$B$7:$B$3000,$B66,Offers!$C$7:$C$3000,G$10,Offers!$AI$7:$AI$3000,"yes"))=0,"—",SUMIFS(Review!$O$7:$O$600,Review!$B$7:$B$600,$B66,Review!$C$7:$C$600,G$10))</f>
        <v>14.415147</v>
      </c>
      <c r="H66" s="37" t="n">
        <f aca="false">IF(IF($E$5="Local prices",COUNTIFS(Offers!$B$7:$B$3000,$B66,Offers!$C$7:$C$3000,H$10,Offers!$AH$7:$AH$3000,"yes"),COUNTIFS(Offers!$B$7:$B$3000,$B66,Offers!$C$7:$C$3000,H$10,Offers!$AI$7:$AI$3000,"yes"))=0,"—",SUMIFS(Review!$O$7:$O$600,Review!$B$7:$B$600,$B66,Review!$C$7:$C$600,H$10))</f>
        <v>13.5</v>
      </c>
    </row>
    <row r="67" customFormat="false" ht="13.5" hidden="false" customHeight="false" outlineLevel="0" collapsed="false">
      <c r="B67" s="36" t="s">
        <v>86</v>
      </c>
      <c r="C67" s="37" t="str">
        <f aca="false">IF(IF($E$5="Local prices",COUNTIFS(Offers!$B$7:$B$3000,$B67,Offers!$C$7:$C$3000,C$10,Offers!$AH$7:$AH$3000,"yes"),COUNTIFS(Offers!$B$7:$B$3000,$B67,Offers!$C$7:$C$3000,C$10,Offers!$AI$7:$AI$3000,"yes"))=0,"—",SUMIFS(Review!$O$7:$O$600,Review!$B$7:$B$600,$B67,Review!$C$7:$C$600,C$10))</f>
        <v>—</v>
      </c>
      <c r="D67" s="37" t="n">
        <f aca="false">IF(IF($E$5="Local prices",COUNTIFS(Offers!$B$7:$B$3000,$B67,Offers!$C$7:$C$3000,D$10,Offers!$AH$7:$AH$3000,"yes"),COUNTIFS(Offers!$B$7:$B$3000,$B67,Offers!$C$7:$C$3000,D$10,Offers!$AI$7:$AI$3000,"yes"))=0,"—",SUMIFS(Review!$O$7:$O$600,Review!$B$7:$B$600,$B67,Review!$C$7:$C$600,D$10))</f>
        <v>14.821014</v>
      </c>
      <c r="E67" s="37" t="n">
        <f aca="false">IF(IF($E$5="Local prices",COUNTIFS(Offers!$B$7:$B$3000,$B67,Offers!$C$7:$C$3000,E$10,Offers!$AH$7:$AH$3000,"yes"),COUNTIFS(Offers!$B$7:$B$3000,$B67,Offers!$C$7:$C$3000,E$10,Offers!$AI$7:$AI$3000,"yes"))=0,"—",SUMIFS(Review!$O$7:$O$600,Review!$B$7:$B$600,$B67,Review!$C$7:$C$600,E$10))</f>
        <v>17.5</v>
      </c>
      <c r="F67" s="37" t="n">
        <f aca="false">IF(IF($E$5="Local prices",COUNTIFS(Offers!$B$7:$B$3000,$B67,Offers!$C$7:$C$3000,F$10,Offers!$AH$7:$AH$3000,"yes"),COUNTIFS(Offers!$B$7:$B$3000,$B67,Offers!$C$7:$C$3000,F$10,Offers!$AI$7:$AI$3000,"yes"))=0,"—",SUMIFS(Review!$O$7:$O$600,Review!$B$7:$B$600,$B67,Review!$C$7:$C$600,F$10))</f>
        <v>15.79</v>
      </c>
      <c r="G67" s="37" t="n">
        <f aca="false">IF(IF($E$5="Local prices",COUNTIFS(Offers!$B$7:$B$3000,$B67,Offers!$C$7:$C$3000,G$10,Offers!$AH$7:$AH$3000,"yes"),COUNTIFS(Offers!$B$7:$B$3000,$B67,Offers!$C$7:$C$3000,G$10,Offers!$AI$7:$AI$3000,"yes"))=0,"—",SUMIFS(Review!$O$7:$O$600,Review!$B$7:$B$600,$B67,Review!$C$7:$C$600,G$10))</f>
        <v>18.001839</v>
      </c>
      <c r="H67" s="37" t="n">
        <f aca="false">IF(IF($E$5="Local prices",COUNTIFS(Offers!$B$7:$B$3000,$B67,Offers!$C$7:$C$3000,H$10,Offers!$AH$7:$AH$3000,"yes"),COUNTIFS(Offers!$B$7:$B$3000,$B67,Offers!$C$7:$C$3000,H$10,Offers!$AI$7:$AI$3000,"yes"))=0,"—",SUMIFS(Review!$O$7:$O$600,Review!$B$7:$B$600,$B67,Review!$C$7:$C$600,H$10))</f>
        <v>15.63</v>
      </c>
    </row>
    <row r="68" customFormat="false" ht="13.5" hidden="false" customHeight="false" outlineLevel="0" collapsed="false">
      <c r="B68" s="36" t="s">
        <v>87</v>
      </c>
      <c r="C68" s="37" t="str">
        <f aca="false">IF(IF($E$5="Local prices",COUNTIFS(Offers!$B$7:$B$3000,$B68,Offers!$C$7:$C$3000,C$10,Offers!$AH$7:$AH$3000,"yes"),COUNTIFS(Offers!$B$7:$B$3000,$B68,Offers!$C$7:$C$3000,C$10,Offers!$AI$7:$AI$3000,"yes"))=0,"—",SUMIFS(Review!$O$7:$O$600,Review!$B$7:$B$600,$B68,Review!$C$7:$C$600,C$10))</f>
        <v>—</v>
      </c>
      <c r="D68" s="37" t="n">
        <f aca="false">IF(IF($E$5="Local prices",COUNTIFS(Offers!$B$7:$B$3000,$B68,Offers!$C$7:$C$3000,D$10,Offers!$AH$7:$AH$3000,"yes"),COUNTIFS(Offers!$B$7:$B$3000,$B68,Offers!$C$7:$C$3000,D$10,Offers!$AI$7:$AI$3000,"yes"))=0,"—",SUMIFS(Review!$O$7:$O$600,Review!$B$7:$B$600,$B68,Review!$C$7:$C$600,D$10))</f>
        <v>4.653594</v>
      </c>
      <c r="E68" s="37" t="n">
        <f aca="false">IF(IF($E$5="Local prices",COUNTIFS(Offers!$B$7:$B$3000,$B68,Offers!$C$7:$C$3000,E$10,Offers!$AH$7:$AH$3000,"yes"),COUNTIFS(Offers!$B$7:$B$3000,$B68,Offers!$C$7:$C$3000,E$10,Offers!$AI$7:$AI$3000,"yes"))=0,"—",SUMIFS(Review!$O$7:$O$600,Review!$B$7:$B$600,$B68,Review!$C$7:$C$600,E$10))</f>
        <v>4.29</v>
      </c>
      <c r="F68" s="37" t="n">
        <f aca="false">IF(IF($E$5="Local prices",COUNTIFS(Offers!$B$7:$B$3000,$B68,Offers!$C$7:$C$3000,F$10,Offers!$AH$7:$AH$3000,"yes"),COUNTIFS(Offers!$B$7:$B$3000,$B68,Offers!$C$7:$C$3000,F$10,Offers!$AI$7:$AI$3000,"yes"))=0,"—",SUMIFS(Review!$O$7:$O$600,Review!$B$7:$B$600,$B68,Review!$C$7:$C$600,F$10))</f>
        <v>4.33</v>
      </c>
      <c r="G68" s="37" t="n">
        <f aca="false">IF(IF($E$5="Local prices",COUNTIFS(Offers!$B$7:$B$3000,$B68,Offers!$C$7:$C$3000,G$10,Offers!$AH$7:$AH$3000,"yes"),COUNTIFS(Offers!$B$7:$B$3000,$B68,Offers!$C$7:$C$3000,G$10,Offers!$AI$7:$AI$3000,"yes"))=0,"—",SUMIFS(Review!$O$7:$O$600,Review!$B$7:$B$600,$B68,Review!$C$7:$C$600,G$10))</f>
        <v>4.838759</v>
      </c>
      <c r="H68" s="37" t="n">
        <f aca="false">IF(IF($E$5="Local prices",COUNTIFS(Offers!$B$7:$B$3000,$B68,Offers!$C$7:$C$3000,H$10,Offers!$AH$7:$AH$3000,"yes"),COUNTIFS(Offers!$B$7:$B$3000,$B68,Offers!$C$7:$C$3000,H$10,Offers!$AI$7:$AI$3000,"yes"))=0,"—",SUMIFS(Review!$O$7:$O$600,Review!$B$7:$B$600,$B68,Review!$C$7:$C$600,H$10))</f>
        <v>3.96</v>
      </c>
    </row>
    <row r="69" customFormat="false" ht="13.5" hidden="false" customHeight="false" outlineLevel="0" collapsed="false">
      <c r="B69" s="36" t="s">
        <v>88</v>
      </c>
      <c r="C69" s="37" t="str">
        <f aca="false">IF(IF($E$5="Local prices",COUNTIFS(Offers!$B$7:$B$3000,$B69,Offers!$C$7:$C$3000,C$10,Offers!$AH$7:$AH$3000,"yes"),COUNTIFS(Offers!$B$7:$B$3000,$B69,Offers!$C$7:$C$3000,C$10,Offers!$AI$7:$AI$3000,"yes"))=0,"—",SUMIFS(Review!$O$7:$O$600,Review!$B$7:$B$600,$B69,Review!$C$7:$C$600,C$10))</f>
        <v>—</v>
      </c>
      <c r="D69" s="37" t="n">
        <f aca="false">IF(IF($E$5="Local prices",COUNTIFS(Offers!$B$7:$B$3000,$B69,Offers!$C$7:$C$3000,D$10,Offers!$AH$7:$AH$3000,"yes"),COUNTIFS(Offers!$B$7:$B$3000,$B69,Offers!$C$7:$C$3000,D$10,Offers!$AI$7:$AI$3000,"yes"))=0,"—",SUMIFS(Review!$O$7:$O$600,Review!$B$7:$B$600,$B69,Review!$C$7:$C$600,D$10))</f>
        <v>6.815544</v>
      </c>
      <c r="E69" s="37" t="n">
        <f aca="false">IF(IF($E$5="Local prices",COUNTIFS(Offers!$B$7:$B$3000,$B69,Offers!$C$7:$C$3000,E$10,Offers!$AH$7:$AH$3000,"yes"),COUNTIFS(Offers!$B$7:$B$3000,$B69,Offers!$C$7:$C$3000,E$10,Offers!$AI$7:$AI$3000,"yes"))=0,"—",SUMIFS(Review!$O$7:$O$600,Review!$B$7:$B$600,$B69,Review!$C$7:$C$600,E$10))</f>
        <v>7.08</v>
      </c>
      <c r="F69" s="37" t="n">
        <f aca="false">IF(IF($E$5="Local prices",COUNTIFS(Offers!$B$7:$B$3000,$B69,Offers!$C$7:$C$3000,F$10,Offers!$AH$7:$AH$3000,"yes"),COUNTIFS(Offers!$B$7:$B$3000,$B69,Offers!$C$7:$C$3000,F$10,Offers!$AI$7:$AI$3000,"yes"))=0,"—",SUMIFS(Review!$O$7:$O$600,Review!$B$7:$B$600,$B69,Review!$C$7:$C$600,F$10))</f>
        <v>5.79</v>
      </c>
      <c r="G69" s="37" t="n">
        <f aca="false">IF(IF($E$5="Local prices",COUNTIFS(Offers!$B$7:$B$3000,$B69,Offers!$C$7:$C$3000,G$10,Offers!$AH$7:$AH$3000,"yes"),COUNTIFS(Offers!$B$7:$B$3000,$B69,Offers!$C$7:$C$3000,G$10,Offers!$AI$7:$AI$3000,"yes"))=0,"—",SUMIFS(Review!$O$7:$O$600,Review!$B$7:$B$600,$B69,Review!$C$7:$C$600,G$10))</f>
        <v>6.192367</v>
      </c>
      <c r="H69" s="37" t="n">
        <f aca="false">IF(IF($E$5="Local prices",COUNTIFS(Offers!$B$7:$B$3000,$B69,Offers!$C$7:$C$3000,H$10,Offers!$AH$7:$AH$3000,"yes"),COUNTIFS(Offers!$B$7:$B$3000,$B69,Offers!$C$7:$C$3000,H$10,Offers!$AI$7:$AI$3000,"yes"))=0,"—",SUMIFS(Review!$O$7:$O$600,Review!$B$7:$B$600,$B69,Review!$C$7:$C$600,H$10))</f>
        <v>6.05</v>
      </c>
    </row>
    <row r="70" customFormat="false" ht="13.5" hidden="false" customHeight="false" outlineLevel="0" collapsed="false">
      <c r="B70" s="36" t="s">
        <v>89</v>
      </c>
      <c r="C70" s="37" t="str">
        <f aca="false">IF(IF($E$5="Local prices",COUNTIFS(Offers!$B$7:$B$3000,$B70,Offers!$C$7:$C$3000,C$10,Offers!$AH$7:$AH$3000,"yes"),COUNTIFS(Offers!$B$7:$B$3000,$B70,Offers!$C$7:$C$3000,C$10,Offers!$AI$7:$AI$3000,"yes"))=0,"—",SUMIFS(Review!$O$7:$O$600,Review!$B$7:$B$600,$B70,Review!$C$7:$C$600,C$10))</f>
        <v>—</v>
      </c>
      <c r="D70" s="37" t="n">
        <f aca="false">IF(IF($E$5="Local prices",COUNTIFS(Offers!$B$7:$B$3000,$B70,Offers!$C$7:$C$3000,D$10,Offers!$AH$7:$AH$3000,"yes"),COUNTIFS(Offers!$B$7:$B$3000,$B70,Offers!$C$7:$C$3000,D$10,Offers!$AI$7:$AI$3000,"yes"))=0,"—",SUMIFS(Review!$O$7:$O$600,Review!$B$7:$B$600,$B70,Review!$C$7:$C$600,D$10))</f>
        <v>7.959995</v>
      </c>
      <c r="E70" s="37" t="n">
        <f aca="false">IF(IF($E$5="Local prices",COUNTIFS(Offers!$B$7:$B$3000,$B70,Offers!$C$7:$C$3000,E$10,Offers!$AH$7:$AH$3000,"yes"),COUNTIFS(Offers!$B$7:$B$3000,$B70,Offers!$C$7:$C$3000,E$10,Offers!$AI$7:$AI$3000,"yes"))=0,"—",SUMIFS(Review!$O$7:$O$600,Review!$B$7:$B$600,$B70,Review!$C$7:$C$600,E$10))</f>
        <v>8.95</v>
      </c>
      <c r="F70" s="37" t="n">
        <f aca="false">IF(IF($E$5="Local prices",COUNTIFS(Offers!$B$7:$B$3000,$B70,Offers!$C$7:$C$3000,F$10,Offers!$AH$7:$AH$3000,"yes"),COUNTIFS(Offers!$B$7:$B$3000,$B70,Offers!$C$7:$C$3000,F$10,Offers!$AI$7:$AI$3000,"yes"))=0,"—",SUMIFS(Review!$O$7:$O$600,Review!$B$7:$B$600,$B70,Review!$C$7:$C$600,F$10))</f>
        <v>7.14</v>
      </c>
      <c r="G70" s="37" t="n">
        <f aca="false">IF(IF($E$5="Local prices",COUNTIFS(Offers!$B$7:$B$3000,$B70,Offers!$C$7:$C$3000,G$10,Offers!$AH$7:$AH$3000,"yes"),COUNTIFS(Offers!$B$7:$B$3000,$B70,Offers!$C$7:$C$3000,G$10,Offers!$AI$7:$AI$3000,"yes"))=0,"—",SUMIFS(Review!$O$7:$O$600,Review!$B$7:$B$600,$B70,Review!$C$7:$C$600,G$10))</f>
        <v>10.252782</v>
      </c>
      <c r="H70" s="37" t="n">
        <f aca="false">IF(IF($E$5="Local prices",COUNTIFS(Offers!$B$7:$B$3000,$B70,Offers!$C$7:$C$3000,H$10,Offers!$AH$7:$AH$3000,"yes"),COUNTIFS(Offers!$B$7:$B$3000,$B70,Offers!$C$7:$C$3000,H$10,Offers!$AI$7:$AI$3000,"yes"))=0,"—",SUMIFS(Review!$O$7:$O$600,Review!$B$7:$B$600,$B70,Review!$C$7:$C$600,H$10))</f>
        <v>8.5</v>
      </c>
    </row>
    <row r="71" customFormat="false" ht="13.5" hidden="false" customHeight="false" outlineLevel="0" collapsed="false">
      <c r="B71" s="36" t="s">
        <v>90</v>
      </c>
      <c r="C71" s="37" t="str">
        <f aca="false">IF(IF($E$5="Local prices",COUNTIFS(Offers!$B$7:$B$3000,$B71,Offers!$C$7:$C$3000,C$10,Offers!$AH$7:$AH$3000,"yes"),COUNTIFS(Offers!$B$7:$B$3000,$B71,Offers!$C$7:$C$3000,C$10,Offers!$AI$7:$AI$3000,"yes"))=0,"—",SUMIFS(Review!$O$7:$O$600,Review!$B$7:$B$600,$B71,Review!$C$7:$C$600,C$10))</f>
        <v>—</v>
      </c>
      <c r="D71" s="37" t="n">
        <f aca="false">IF(IF($E$5="Local prices",COUNTIFS(Offers!$B$7:$B$3000,$B71,Offers!$C$7:$C$3000,D$10,Offers!$AH$7:$AH$3000,"yes"),COUNTIFS(Offers!$B$7:$B$3000,$B71,Offers!$C$7:$C$3000,D$10,Offers!$AI$7:$AI$3000,"yes"))=0,"—",SUMIFS(Review!$O$7:$O$600,Review!$B$7:$B$600,$B71,Review!$C$7:$C$600,D$10))</f>
        <v>4.068105</v>
      </c>
      <c r="E71" s="37" t="n">
        <f aca="false">IF(IF($E$5="Local prices",COUNTIFS(Offers!$B$7:$B$3000,$B71,Offers!$C$7:$C$3000,E$10,Offers!$AH$7:$AH$3000,"yes"),COUNTIFS(Offers!$B$7:$B$3000,$B71,Offers!$C$7:$C$3000,E$10,Offers!$AI$7:$AI$3000,"yes"))=0,"—",SUMIFS(Review!$O$7:$O$600,Review!$B$7:$B$600,$B71,Review!$C$7:$C$600,E$10))</f>
        <v>5.15</v>
      </c>
      <c r="F71" s="37" t="n">
        <f aca="false">IF(IF($E$5="Local prices",COUNTIFS(Offers!$B$7:$B$3000,$B71,Offers!$C$7:$C$3000,F$10,Offers!$AH$7:$AH$3000,"yes"),COUNTIFS(Offers!$B$7:$B$3000,$B71,Offers!$C$7:$C$3000,F$10,Offers!$AI$7:$AI$3000,"yes"))=0,"—",SUMIFS(Review!$O$7:$O$600,Review!$B$7:$B$600,$B71,Review!$C$7:$C$600,F$10))</f>
        <v>4.19</v>
      </c>
      <c r="G71" s="37" t="n">
        <f aca="false">IF(IF($E$5="Local prices",COUNTIFS(Offers!$B$7:$B$3000,$B71,Offers!$C$7:$C$3000,G$10,Offers!$AH$7:$AH$3000,"yes"),COUNTIFS(Offers!$B$7:$B$3000,$B71,Offers!$C$7:$C$3000,G$10,Offers!$AI$7:$AI$3000,"yes"))=0,"—",SUMIFS(Review!$O$7:$O$600,Review!$B$7:$B$600,$B71,Review!$C$7:$C$600,G$10))</f>
        <v>3.65466</v>
      </c>
      <c r="H71" s="37" t="n">
        <f aca="false">IF(IF($E$5="Local prices",COUNTIFS(Offers!$B$7:$B$3000,$B71,Offers!$C$7:$C$3000,H$10,Offers!$AH$7:$AH$3000,"yes"),COUNTIFS(Offers!$B$7:$B$3000,$B71,Offers!$C$7:$C$3000,H$10,Offers!$AI$7:$AI$3000,"yes"))=0,"—",SUMIFS(Review!$O$7:$O$600,Review!$B$7:$B$600,$B71,Review!$C$7:$C$600,H$10))</f>
        <v>4.45</v>
      </c>
    </row>
    <row r="72" customFormat="false" ht="13.5" hidden="false" customHeight="false" outlineLevel="0" collapsed="false">
      <c r="B72" s="36" t="s">
        <v>91</v>
      </c>
      <c r="C72" s="37" t="str">
        <f aca="false">IF(IF($E$5="Local prices",COUNTIFS(Offers!$B$7:$B$3000,$B72,Offers!$C$7:$C$3000,C$10,Offers!$AH$7:$AH$3000,"yes"),COUNTIFS(Offers!$B$7:$B$3000,$B72,Offers!$C$7:$C$3000,C$10,Offers!$AI$7:$AI$3000,"yes"))=0,"—",SUMIFS(Review!$O$7:$O$600,Review!$B$7:$B$600,$B72,Review!$C$7:$C$600,C$10))</f>
        <v>—</v>
      </c>
      <c r="D72" s="37" t="n">
        <f aca="false">IF(IF($E$5="Local prices",COUNTIFS(Offers!$B$7:$B$3000,$B72,Offers!$C$7:$C$3000,D$10,Offers!$AH$7:$AH$3000,"yes"),COUNTIFS(Offers!$B$7:$B$3000,$B72,Offers!$C$7:$C$3000,D$10,Offers!$AI$7:$AI$3000,"yes"))=0,"—",SUMIFS(Review!$O$7:$O$600,Review!$B$7:$B$600,$B72,Review!$C$7:$C$600,D$10))</f>
        <v>5.900363</v>
      </c>
      <c r="E72" s="37" t="n">
        <f aca="false">IF(IF($E$5="Local prices",COUNTIFS(Offers!$B$7:$B$3000,$B72,Offers!$C$7:$C$3000,E$10,Offers!$AH$7:$AH$3000,"yes"),COUNTIFS(Offers!$B$7:$B$3000,$B72,Offers!$C$7:$C$3000,E$10,Offers!$AI$7:$AI$3000,"yes"))=0,"—",SUMIFS(Review!$O$7:$O$600,Review!$B$7:$B$600,$B72,Review!$C$7:$C$600,E$10))</f>
        <v>6.99</v>
      </c>
      <c r="F72" s="37" t="n">
        <f aca="false">IF(IF($E$5="Local prices",COUNTIFS(Offers!$B$7:$B$3000,$B72,Offers!$C$7:$C$3000,F$10,Offers!$AH$7:$AH$3000,"yes"),COUNTIFS(Offers!$B$7:$B$3000,$B72,Offers!$C$7:$C$3000,F$10,Offers!$AI$7:$AI$3000,"yes"))=0,"—",SUMIFS(Review!$O$7:$O$600,Review!$B$7:$B$600,$B72,Review!$C$7:$C$600,F$10))</f>
        <v>5.75</v>
      </c>
      <c r="G72" s="37" t="n">
        <f aca="false">IF(IF($E$5="Local prices",COUNTIFS(Offers!$B$7:$B$3000,$B72,Offers!$C$7:$C$3000,G$10,Offers!$AH$7:$AH$3000,"yes"),COUNTIFS(Offers!$B$7:$B$3000,$B72,Offers!$C$7:$C$3000,G$10,Offers!$AI$7:$AI$3000,"yes"))=0,"—",SUMIFS(Review!$O$7:$O$600,Review!$B$7:$B$600,$B72,Review!$C$7:$C$600,G$10))</f>
        <v>5.718645</v>
      </c>
      <c r="H72" s="37" t="n">
        <f aca="false">IF(IF($E$5="Local prices",COUNTIFS(Offers!$B$7:$B$3000,$B72,Offers!$C$7:$C$3000,H$10,Offers!$AH$7:$AH$3000,"yes"),COUNTIFS(Offers!$B$7:$B$3000,$B72,Offers!$C$7:$C$3000,H$10,Offers!$AI$7:$AI$3000,"yes"))=0,"—",SUMIFS(Review!$O$7:$O$600,Review!$B$7:$B$600,$B72,Review!$C$7:$C$600,H$10))</f>
        <v>6.38</v>
      </c>
    </row>
    <row r="73" customFormat="false" ht="13.5" hidden="false" customHeight="false" outlineLevel="0" collapsed="false">
      <c r="B73" s="36" t="s">
        <v>92</v>
      </c>
      <c r="C73" s="37" t="str">
        <f aca="false">IF(IF($E$5="Local prices",COUNTIFS(Offers!$B$7:$B$3000,$B73,Offers!$C$7:$C$3000,C$10,Offers!$AH$7:$AH$3000,"yes"),COUNTIFS(Offers!$B$7:$B$3000,$B73,Offers!$C$7:$C$3000,C$10,Offers!$AI$7:$AI$3000,"yes"))=0,"—",SUMIFS(Review!$O$7:$O$600,Review!$B$7:$B$600,$B73,Review!$C$7:$C$600,C$10))</f>
        <v>—</v>
      </c>
      <c r="D73" s="37" t="n">
        <f aca="false">IF(IF($E$5="Local prices",COUNTIFS(Offers!$B$7:$B$3000,$B73,Offers!$C$7:$C$3000,D$10,Offers!$AH$7:$AH$3000,"yes"),COUNTIFS(Offers!$B$7:$B$3000,$B73,Offers!$C$7:$C$3000,D$10,Offers!$AI$7:$AI$3000,"yes"))=0,"—",SUMIFS(Review!$O$7:$O$600,Review!$B$7:$B$600,$B73,Review!$C$7:$C$600,D$10))</f>
        <v>6.821229</v>
      </c>
      <c r="E73" s="37" t="n">
        <f aca="false">IF(IF($E$5="Local prices",COUNTIFS(Offers!$B$7:$B$3000,$B73,Offers!$C$7:$C$3000,E$10,Offers!$AH$7:$AH$3000,"yes"),COUNTIFS(Offers!$B$7:$B$3000,$B73,Offers!$C$7:$C$3000,E$10,Offers!$AI$7:$AI$3000,"yes"))=0,"—",SUMIFS(Review!$O$7:$O$600,Review!$B$7:$B$600,$B73,Review!$C$7:$C$600,E$10))</f>
        <v>6.85</v>
      </c>
      <c r="F73" s="37" t="n">
        <f aca="false">IF(IF($E$5="Local prices",COUNTIFS(Offers!$B$7:$B$3000,$B73,Offers!$C$7:$C$3000,F$10,Offers!$AH$7:$AH$3000,"yes"),COUNTIFS(Offers!$B$7:$B$3000,$B73,Offers!$C$7:$C$3000,F$10,Offers!$AI$7:$AI$3000,"yes"))=0,"—",SUMIFS(Review!$O$7:$O$600,Review!$B$7:$B$600,$B73,Review!$C$7:$C$600,F$10))</f>
        <v>7.245</v>
      </c>
      <c r="G73" s="37" t="n">
        <f aca="false">IF(IF($E$5="Local prices",COUNTIFS(Offers!$B$7:$B$3000,$B73,Offers!$C$7:$C$3000,G$10,Offers!$AH$7:$AH$3000,"yes"),COUNTIFS(Offers!$B$7:$B$3000,$B73,Offers!$C$7:$C$3000,G$10,Offers!$AI$7:$AI$3000,"yes"))=0,"—",SUMIFS(Review!$O$7:$O$600,Review!$B$7:$B$600,$B73,Review!$C$7:$C$600,G$10))</f>
        <v>8.628534</v>
      </c>
      <c r="H73" s="37" t="n">
        <f aca="false">IF(IF($E$5="Local prices",COUNTIFS(Offers!$B$7:$B$3000,$B73,Offers!$C$7:$C$3000,H$10,Offers!$AH$7:$AH$3000,"yes"),COUNTIFS(Offers!$B$7:$B$3000,$B73,Offers!$C$7:$C$3000,H$10,Offers!$AI$7:$AI$3000,"yes"))=0,"—",SUMIFS(Review!$O$7:$O$600,Review!$B$7:$B$600,$B73,Review!$C$7:$C$600,H$10))</f>
        <v>7.5</v>
      </c>
    </row>
    <row r="74" customFormat="false" ht="13.5" hidden="false" customHeight="false" outlineLevel="0" collapsed="false">
      <c r="B74" s="36" t="s">
        <v>93</v>
      </c>
      <c r="C74" s="37" t="str">
        <f aca="false">IF(IF($E$5="Local prices",COUNTIFS(Offers!$B$7:$B$3000,$B74,Offers!$C$7:$C$3000,C$10,Offers!$AH$7:$AH$3000,"yes"),COUNTIFS(Offers!$B$7:$B$3000,$B74,Offers!$C$7:$C$3000,C$10,Offers!$AI$7:$AI$3000,"yes"))=0,"—",SUMIFS(Review!$O$7:$O$600,Review!$B$7:$B$600,$B74,Review!$C$7:$C$600,C$10))</f>
        <v>—</v>
      </c>
      <c r="D74" s="37" t="n">
        <f aca="false">IF(IF($E$5="Local prices",COUNTIFS(Offers!$B$7:$B$3000,$B74,Offers!$C$7:$C$3000,D$10,Offers!$AH$7:$AH$3000,"yes"),COUNTIFS(Offers!$B$7:$B$3000,$B74,Offers!$C$7:$C$3000,D$10,Offers!$AI$7:$AI$3000,"yes"))=0,"—",SUMIFS(Review!$O$7:$O$600,Review!$B$7:$B$600,$B74,Review!$C$7:$C$600,D$10))</f>
        <v>3.505354</v>
      </c>
      <c r="E74" s="37" t="n">
        <f aca="false">IF(IF($E$5="Local prices",COUNTIFS(Offers!$B$7:$B$3000,$B74,Offers!$C$7:$C$3000,E$10,Offers!$AH$7:$AH$3000,"yes"),COUNTIFS(Offers!$B$7:$B$3000,$B74,Offers!$C$7:$C$3000,E$10,Offers!$AI$7:$AI$3000,"yes"))=0,"—",SUMIFS(Review!$O$7:$O$600,Review!$B$7:$B$600,$B74,Review!$C$7:$C$600,E$10))</f>
        <v>5.66</v>
      </c>
      <c r="F74" s="37" t="n">
        <f aca="false">IF(IF($E$5="Local prices",COUNTIFS(Offers!$B$7:$B$3000,$B74,Offers!$C$7:$C$3000,F$10,Offers!$AH$7:$AH$3000,"yes"),COUNTIFS(Offers!$B$7:$B$3000,$B74,Offers!$C$7:$C$3000,F$10,Offers!$AI$7:$AI$3000,"yes"))=0,"—",SUMIFS(Review!$O$7:$O$600,Review!$B$7:$B$600,$B74,Review!$C$7:$C$600,F$10))</f>
        <v>3.615</v>
      </c>
      <c r="G74" s="37" t="n">
        <f aca="false">IF(IF($E$5="Local prices",COUNTIFS(Offers!$B$7:$B$3000,$B74,Offers!$C$7:$C$3000,G$10,Offers!$AH$7:$AH$3000,"yes"),COUNTIFS(Offers!$B$7:$B$3000,$B74,Offers!$C$7:$C$3000,G$10,Offers!$AI$7:$AI$3000,"yes"))=0,"—",SUMIFS(Review!$O$7:$O$600,Review!$B$7:$B$600,$B74,Review!$C$7:$C$600,G$10))</f>
        <v>3.553118</v>
      </c>
      <c r="H74" s="37" t="n">
        <f aca="false">IF(IF($E$5="Local prices",COUNTIFS(Offers!$B$7:$B$3000,$B74,Offers!$C$7:$C$3000,H$10,Offers!$AH$7:$AH$3000,"yes"),COUNTIFS(Offers!$B$7:$B$3000,$B74,Offers!$C$7:$C$3000,H$10,Offers!$AI$7:$AI$3000,"yes"))=0,"—",SUMIFS(Review!$O$7:$O$600,Review!$B$7:$B$600,$B74,Review!$C$7:$C$600,H$10))</f>
        <v>3.63</v>
      </c>
    </row>
    <row r="75" customFormat="false" ht="13.5" hidden="false" customHeight="false" outlineLevel="0" collapsed="false">
      <c r="B75" s="36" t="s">
        <v>94</v>
      </c>
      <c r="C75" s="37" t="str">
        <f aca="false">IF(IF($E$5="Local prices",COUNTIFS(Offers!$B$7:$B$3000,$B75,Offers!$C$7:$C$3000,C$10,Offers!$AH$7:$AH$3000,"yes"),COUNTIFS(Offers!$B$7:$B$3000,$B75,Offers!$C$7:$C$3000,C$10,Offers!$AI$7:$AI$3000,"yes"))=0,"—",SUMIFS(Review!$O$7:$O$600,Review!$B$7:$B$600,$B75,Review!$C$7:$C$600,C$10))</f>
        <v>—</v>
      </c>
      <c r="D75" s="37" t="n">
        <f aca="false">IF(IF($E$5="Local prices",COUNTIFS(Offers!$B$7:$B$3000,$B75,Offers!$C$7:$C$3000,D$10,Offers!$AH$7:$AH$3000,"yes"),COUNTIFS(Offers!$B$7:$B$3000,$B75,Offers!$C$7:$C$3000,D$10,Offers!$AI$7:$AI$3000,"yes"))=0,"—",SUMIFS(Review!$O$7:$O$600,Review!$B$7:$B$600,$B75,Review!$C$7:$C$600,D$10))</f>
        <v>3.869152</v>
      </c>
      <c r="E75" s="37" t="n">
        <f aca="false">IF(IF($E$5="Local prices",COUNTIFS(Offers!$B$7:$B$3000,$B75,Offers!$C$7:$C$3000,E$10,Offers!$AH$7:$AH$3000,"yes"),COUNTIFS(Offers!$B$7:$B$3000,$B75,Offers!$C$7:$C$3000,E$10,Offers!$AI$7:$AI$3000,"yes"))=0,"—",SUMIFS(Review!$O$7:$O$600,Review!$B$7:$B$600,$B75,Review!$C$7:$C$600,E$10))</f>
        <v>4.25</v>
      </c>
      <c r="F75" s="37" t="n">
        <f aca="false">IF(IF($E$5="Local prices",COUNTIFS(Offers!$B$7:$B$3000,$B75,Offers!$C$7:$C$3000,F$10,Offers!$AH$7:$AH$3000,"yes"),COUNTIFS(Offers!$B$7:$B$3000,$B75,Offers!$C$7:$C$3000,F$10,Offers!$AI$7:$AI$3000,"yes"))=0,"—",SUMIFS(Review!$O$7:$O$600,Review!$B$7:$B$600,$B75,Review!$C$7:$C$600,F$10))</f>
        <v>3.92</v>
      </c>
      <c r="G75" s="37" t="n">
        <f aca="false">IF(IF($E$5="Local prices",COUNTIFS(Offers!$B$7:$B$3000,$B75,Offers!$C$7:$C$3000,G$10,Offers!$AH$7:$AH$3000,"yes"),COUNTIFS(Offers!$B$7:$B$3000,$B75,Offers!$C$7:$C$3000,G$10,Offers!$AI$7:$AI$3000,"yes"))=0,"—",SUMIFS(Review!$O$7:$O$600,Review!$B$7:$B$600,$B75,Review!$C$7:$C$600,G$10))</f>
        <v>4.500562</v>
      </c>
      <c r="H75" s="37" t="n">
        <f aca="false">IF(IF($E$5="Local prices",COUNTIFS(Offers!$B$7:$B$3000,$B75,Offers!$C$7:$C$3000,H$10,Offers!$AH$7:$AH$3000,"yes"),COUNTIFS(Offers!$B$7:$B$3000,$B75,Offers!$C$7:$C$3000,H$10,Offers!$AI$7:$AI$3000,"yes"))=0,"—",SUMIFS(Review!$O$7:$O$600,Review!$B$7:$B$600,$B75,Review!$C$7:$C$600,H$10))</f>
        <v>4.01</v>
      </c>
    </row>
    <row r="76" customFormat="false" ht="13.5" hidden="false" customHeight="false" outlineLevel="0" collapsed="false">
      <c r="B76" s="36" t="s">
        <v>95</v>
      </c>
      <c r="C76" s="37" t="str">
        <f aca="false">IF(IF($E$5="Local prices",COUNTIFS(Offers!$B$7:$B$3000,$B76,Offers!$C$7:$C$3000,C$10,Offers!$AH$7:$AH$3000,"yes"),COUNTIFS(Offers!$B$7:$B$3000,$B76,Offers!$C$7:$C$3000,C$10,Offers!$AI$7:$AI$3000,"yes"))=0,"—",SUMIFS(Review!$O$7:$O$600,Review!$B$7:$B$600,$B76,Review!$C$7:$C$600,C$10))</f>
        <v>—</v>
      </c>
      <c r="D76" s="37" t="n">
        <f aca="false">IF(IF($E$5="Local prices",COUNTIFS(Offers!$B$7:$B$3000,$B76,Offers!$C$7:$C$3000,D$10,Offers!$AH$7:$AH$3000,"yes"),COUNTIFS(Offers!$B$7:$B$3000,$B76,Offers!$C$7:$C$3000,D$10,Offers!$AI$7:$AI$3000,"yes"))=0,"—",SUMIFS(Review!$O$7:$O$600,Review!$B$7:$B$600,$B76,Review!$C$7:$C$600,D$10))</f>
        <v>3.965787</v>
      </c>
      <c r="E76" s="37" t="n">
        <f aca="false">IF(IF($E$5="Local prices",COUNTIFS(Offers!$B$7:$B$3000,$B76,Offers!$C$7:$C$3000,E$10,Offers!$AH$7:$AH$3000,"yes"),COUNTIFS(Offers!$B$7:$B$3000,$B76,Offers!$C$7:$C$3000,E$10,Offers!$AI$7:$AI$3000,"yes"))=0,"—",SUMIFS(Review!$O$7:$O$600,Review!$B$7:$B$600,$B76,Review!$C$7:$C$600,E$10))</f>
        <v>5.25</v>
      </c>
      <c r="F76" s="37" t="n">
        <f aca="false">IF(IF($E$5="Local prices",COUNTIFS(Offers!$B$7:$B$3000,$B76,Offers!$C$7:$C$3000,F$10,Offers!$AH$7:$AH$3000,"yes"),COUNTIFS(Offers!$B$7:$B$3000,$B76,Offers!$C$7:$C$3000,F$10,Offers!$AI$7:$AI$3000,"yes"))=0,"—",SUMIFS(Review!$O$7:$O$600,Review!$B$7:$B$600,$B76,Review!$C$7:$C$600,F$10))</f>
        <v>4.56</v>
      </c>
      <c r="G76" s="37" t="n">
        <f aca="false">IF(IF($E$5="Local prices",COUNTIFS(Offers!$B$7:$B$3000,$B76,Offers!$C$7:$C$3000,G$10,Offers!$AH$7:$AH$3000,"yes"),COUNTIFS(Offers!$B$7:$B$3000,$B76,Offers!$C$7:$C$3000,G$10,Offers!$AI$7:$AI$3000,"yes"))=0,"—",SUMIFS(Review!$O$7:$O$600,Review!$B$7:$B$600,$B76,Review!$C$7:$C$600,G$10))</f>
        <v>5.312481</v>
      </c>
      <c r="H76" s="37" t="n">
        <f aca="false">IF(IF($E$5="Local prices",COUNTIFS(Offers!$B$7:$B$3000,$B76,Offers!$C$7:$C$3000,H$10,Offers!$AH$7:$AH$3000,"yes"),COUNTIFS(Offers!$B$7:$B$3000,$B76,Offers!$C$7:$C$3000,H$10,Offers!$AI$7:$AI$3000,"yes"))=0,"—",SUMIFS(Review!$O$7:$O$600,Review!$B$7:$B$600,$B76,Review!$C$7:$C$600,H$10))</f>
        <v>5.51</v>
      </c>
    </row>
    <row r="77" customFormat="false" ht="13.5" hidden="false" customHeight="false" outlineLevel="0" collapsed="false">
      <c r="B77" s="36" t="s">
        <v>96</v>
      </c>
      <c r="C77" s="37" t="str">
        <f aca="false">IF(IF($E$5="Local prices",COUNTIFS(Offers!$B$7:$B$3000,$B77,Offers!$C$7:$C$3000,C$10,Offers!$AH$7:$AH$3000,"yes"),COUNTIFS(Offers!$B$7:$B$3000,$B77,Offers!$C$7:$C$3000,C$10,Offers!$AI$7:$AI$3000,"yes"))=0,"—",SUMIFS(Review!$O$7:$O$600,Review!$B$7:$B$600,$B77,Review!$C$7:$C$600,C$10))</f>
        <v>—</v>
      </c>
      <c r="D77" s="37" t="n">
        <f aca="false">IF(IF($E$5="Local prices",COUNTIFS(Offers!$B$7:$B$3000,$B77,Offers!$C$7:$C$3000,D$10,Offers!$AH$7:$AH$3000,"yes"),COUNTIFS(Offers!$B$7:$B$3000,$B77,Offers!$C$7:$C$3000,D$10,Offers!$AI$7:$AI$3000,"yes"))=0,"—",SUMIFS(Review!$O$7:$O$600,Review!$B$7:$B$600,$B77,Review!$C$7:$C$600,D$10))</f>
        <v>7.1101835</v>
      </c>
      <c r="E77" s="37" t="n">
        <f aca="false">IF(IF($E$5="Local prices",COUNTIFS(Offers!$B$7:$B$3000,$B77,Offers!$C$7:$C$3000,E$10,Offers!$AH$7:$AH$3000,"yes"),COUNTIFS(Offers!$B$7:$B$3000,$B77,Offers!$C$7:$C$3000,E$10,Offers!$AI$7:$AI$3000,"yes"))=0,"—",SUMIFS(Review!$O$7:$O$600,Review!$B$7:$B$600,$B77,Review!$C$7:$C$600,E$10))</f>
        <v>6</v>
      </c>
      <c r="F77" s="37" t="n">
        <f aca="false">IF(IF($E$5="Local prices",COUNTIFS(Offers!$B$7:$B$3000,$B77,Offers!$C$7:$C$3000,F$10,Offers!$AH$7:$AH$3000,"yes"),COUNTIFS(Offers!$B$7:$B$3000,$B77,Offers!$C$7:$C$3000,F$10,Offers!$AI$7:$AI$3000,"yes"))=0,"—",SUMIFS(Review!$O$7:$O$600,Review!$B$7:$B$600,$B77,Review!$C$7:$C$600,F$10))</f>
        <v>5.89</v>
      </c>
      <c r="G77" s="37" t="n">
        <f aca="false">IF(IF($E$5="Local prices",COUNTIFS(Offers!$B$7:$B$3000,$B77,Offers!$C$7:$C$3000,G$10,Offers!$AH$7:$AH$3000,"yes"),COUNTIFS(Offers!$B$7:$B$3000,$B77,Offers!$C$7:$C$3000,G$10,Offers!$AI$7:$AI$3000,"yes"))=0,"—",SUMIFS(Review!$O$7:$O$600,Review!$B$7:$B$600,$B77,Review!$C$7:$C$600,G$10))</f>
        <v>6.429024</v>
      </c>
      <c r="H77" s="37" t="n">
        <f aca="false">IF(IF($E$5="Local prices",COUNTIFS(Offers!$B$7:$B$3000,$B77,Offers!$C$7:$C$3000,H$10,Offers!$AH$7:$AH$3000,"yes"),COUNTIFS(Offers!$B$7:$B$3000,$B77,Offers!$C$7:$C$3000,H$10,Offers!$AI$7:$AI$3000,"yes"))=0,"—",SUMIFS(Review!$O$7:$O$600,Review!$B$7:$B$600,$B77,Review!$C$7:$C$600,H$10))</f>
        <v>7.14</v>
      </c>
    </row>
    <row r="78" customFormat="false" ht="13.5" hidden="false" customHeight="false" outlineLevel="0" collapsed="false">
      <c r="B78" s="36" t="s">
        <v>97</v>
      </c>
      <c r="C78" s="37" t="str">
        <f aca="false">IF(IF($E$5="Local prices",COUNTIFS(Offers!$B$7:$B$3000,$B78,Offers!$C$7:$C$3000,C$10,Offers!$AH$7:$AH$3000,"yes"),COUNTIFS(Offers!$B$7:$B$3000,$B78,Offers!$C$7:$C$3000,C$10,Offers!$AI$7:$AI$3000,"yes"))=0,"—",SUMIFS(Review!$O$7:$O$600,Review!$B$7:$B$600,$B78,Review!$C$7:$C$600,C$10))</f>
        <v>—</v>
      </c>
      <c r="D78" s="37" t="n">
        <f aca="false">IF(IF($E$5="Local prices",COUNTIFS(Offers!$B$7:$B$3000,$B78,Offers!$C$7:$C$3000,D$10,Offers!$AH$7:$AH$3000,"yes"),COUNTIFS(Offers!$B$7:$B$3000,$B78,Offers!$C$7:$C$3000,D$10,Offers!$AI$7:$AI$3000,"yes"))=0,"—",SUMIFS(Review!$O$7:$O$600,Review!$B$7:$B$600,$B78,Review!$C$7:$C$600,D$10))</f>
        <v>2.673543</v>
      </c>
      <c r="E78" s="37" t="n">
        <f aca="false">IF(IF($E$5="Local prices",COUNTIFS(Offers!$B$7:$B$3000,$B78,Offers!$C$7:$C$3000,E$10,Offers!$AH$7:$AH$3000,"yes"),COUNTIFS(Offers!$B$7:$B$3000,$B78,Offers!$C$7:$C$3000,E$10,Offers!$AI$7:$AI$3000,"yes"))=0,"—",SUMIFS(Review!$O$7:$O$600,Review!$B$7:$B$600,$B78,Review!$C$7:$C$600,E$10))</f>
        <v>3.34</v>
      </c>
      <c r="F78" s="37" t="n">
        <f aca="false">IF(IF($E$5="Local prices",COUNTIFS(Offers!$B$7:$B$3000,$B78,Offers!$C$7:$C$3000,F$10,Offers!$AH$7:$AH$3000,"yes"),COUNTIFS(Offers!$B$7:$B$3000,$B78,Offers!$C$7:$C$3000,F$10,Offers!$AI$7:$AI$3000,"yes"))=0,"—",SUMIFS(Review!$O$7:$O$600,Review!$B$7:$B$600,$B78,Review!$C$7:$C$600,F$10))</f>
        <v>2.59</v>
      </c>
      <c r="G78" s="37" t="n">
        <f aca="false">IF(IF($E$5="Local prices",COUNTIFS(Offers!$B$7:$B$3000,$B78,Offers!$C$7:$C$3000,G$10,Offers!$AH$7:$AH$3000,"yes"),COUNTIFS(Offers!$B$7:$B$3000,$B78,Offers!$C$7:$C$3000,G$10,Offers!$AI$7:$AI$3000,"yes"))=0,"—",SUMIFS(Review!$O$7:$O$600,Review!$B$7:$B$600,$B78,Review!$C$7:$C$600,G$10))</f>
        <v>3.65466</v>
      </c>
      <c r="H78" s="37" t="n">
        <f aca="false">IF(IF($E$5="Local prices",COUNTIFS(Offers!$B$7:$B$3000,$B78,Offers!$C$7:$C$3000,H$10,Offers!$AH$7:$AH$3000,"yes"),COUNTIFS(Offers!$B$7:$B$3000,$B78,Offers!$C$7:$C$3000,H$10,Offers!$AI$7:$AI$3000,"yes"))=0,"—",SUMIFS(Review!$O$7:$O$600,Review!$B$7:$B$600,$B78,Review!$C$7:$C$600,H$10))</f>
        <v>3</v>
      </c>
    </row>
    <row r="79" customFormat="false" ht="13.5" hidden="false" customHeight="false" outlineLevel="0" collapsed="false">
      <c r="B79" s="36" t="s">
        <v>98</v>
      </c>
      <c r="C79" s="37" t="str">
        <f aca="false">IF(IF($E$5="Local prices",COUNTIFS(Offers!$B$7:$B$3000,$B79,Offers!$C$7:$C$3000,C$10,Offers!$AH$7:$AH$3000,"yes"),COUNTIFS(Offers!$B$7:$B$3000,$B79,Offers!$C$7:$C$3000,C$10,Offers!$AI$7:$AI$3000,"yes"))=0,"—",SUMIFS(Review!$O$7:$O$600,Review!$B$7:$B$600,$B79,Review!$C$7:$C$600,C$10))</f>
        <v>—</v>
      </c>
      <c r="D79" s="37" t="n">
        <f aca="false">IF(IF($E$5="Local prices",COUNTIFS(Offers!$B$7:$B$3000,$B79,Offers!$C$7:$C$3000,D$10,Offers!$AH$7:$AH$3000,"yes"),COUNTIFS(Offers!$B$7:$B$3000,$B79,Offers!$C$7:$C$3000,D$10,Offers!$AI$7:$AI$3000,"yes"))=0,"—",SUMIFS(Review!$O$7:$O$600,Review!$B$7:$B$600,$B79,Review!$C$7:$C$600,D$10))</f>
        <v>3.823678</v>
      </c>
      <c r="E79" s="37" t="n">
        <f aca="false">IF(IF($E$5="Local prices",COUNTIFS(Offers!$B$7:$B$3000,$B79,Offers!$C$7:$C$3000,E$10,Offers!$AH$7:$AH$3000,"yes"),COUNTIFS(Offers!$B$7:$B$3000,$B79,Offers!$C$7:$C$3000,E$10,Offers!$AI$7:$AI$3000,"yes"))=0,"—",SUMIFS(Review!$O$7:$O$600,Review!$B$7:$B$600,$B79,Review!$C$7:$C$600,E$10))</f>
        <v>4.15</v>
      </c>
      <c r="F79" s="37" t="n">
        <f aca="false">IF(IF($E$5="Local prices",COUNTIFS(Offers!$B$7:$B$3000,$B79,Offers!$C$7:$C$3000,F$10,Offers!$AH$7:$AH$3000,"yes"),COUNTIFS(Offers!$B$7:$B$3000,$B79,Offers!$C$7:$C$3000,F$10,Offers!$AI$7:$AI$3000,"yes"))=0,"—",SUMIFS(Review!$O$7:$O$600,Review!$B$7:$B$600,$B79,Review!$C$7:$C$600,F$10))</f>
        <v>3.38</v>
      </c>
      <c r="G79" s="37" t="n">
        <f aca="false">IF(IF($E$5="Local prices",COUNTIFS(Offers!$B$7:$B$3000,$B79,Offers!$C$7:$C$3000,G$10,Offers!$AH$7:$AH$3000,"yes"),COUNTIFS(Offers!$B$7:$B$3000,$B79,Offers!$C$7:$C$3000,G$10,Offers!$AI$7:$AI$3000,"yes"))=0,"—",SUMIFS(Review!$O$7:$O$600,Review!$B$7:$B$600,$B79,Review!$C$7:$C$600,G$10))</f>
        <v>5.199885</v>
      </c>
      <c r="H79" s="37" t="n">
        <f aca="false">IF(IF($E$5="Local prices",COUNTIFS(Offers!$B$7:$B$3000,$B79,Offers!$C$7:$C$3000,H$10,Offers!$AH$7:$AH$3000,"yes"),COUNTIFS(Offers!$B$7:$B$3000,$B79,Offers!$C$7:$C$3000,H$10,Offers!$AI$7:$AI$3000,"yes"))=0,"—",SUMIFS(Review!$O$7:$O$600,Review!$B$7:$B$600,$B79,Review!$C$7:$C$600,H$10))</f>
        <v>3.43</v>
      </c>
    </row>
    <row r="80" customFormat="false" ht="13.5" hidden="false" customHeight="false" outlineLevel="0" collapsed="false">
      <c r="B80" s="36" t="s">
        <v>99</v>
      </c>
      <c r="C80" s="37" t="str">
        <f aca="false">IF(IF($E$5="Local prices",COUNTIFS(Offers!$B$7:$B$3000,$B80,Offers!$C$7:$C$3000,C$10,Offers!$AH$7:$AH$3000,"yes"),COUNTIFS(Offers!$B$7:$B$3000,$B80,Offers!$C$7:$C$3000,C$10,Offers!$AI$7:$AI$3000,"yes"))=0,"—",SUMIFS(Review!$O$7:$O$600,Review!$B$7:$B$600,$B80,Review!$C$7:$C$600,C$10))</f>
        <v>—</v>
      </c>
      <c r="D80" s="37" t="n">
        <f aca="false">IF(IF($E$5="Local prices",COUNTIFS(Offers!$B$7:$B$3000,$B80,Offers!$C$7:$C$3000,D$10,Offers!$AH$7:$AH$3000,"yes"),COUNTIFS(Offers!$B$7:$B$3000,$B80,Offers!$C$7:$C$3000,D$10,Offers!$AI$7:$AI$3000,"yes"))=0,"—",SUMIFS(Review!$O$7:$O$600,Review!$B$7:$B$600,$B80,Review!$C$7:$C$600,D$10))</f>
        <v>5.568775</v>
      </c>
      <c r="E80" s="37" t="n">
        <f aca="false">IF(IF($E$5="Local prices",COUNTIFS(Offers!$B$7:$B$3000,$B80,Offers!$C$7:$C$3000,E$10,Offers!$AH$7:$AH$3000,"yes"),COUNTIFS(Offers!$B$7:$B$3000,$B80,Offers!$C$7:$C$3000,E$10,Offers!$AI$7:$AI$3000,"yes"))=0,"—",SUMIFS(Review!$O$7:$O$600,Review!$B$7:$B$600,$B80,Review!$C$7:$C$600,E$10))</f>
        <v>4.74</v>
      </c>
      <c r="F80" s="37" t="n">
        <f aca="false">IF(IF($E$5="Local prices",COUNTIFS(Offers!$B$7:$B$3000,$B80,Offers!$C$7:$C$3000,F$10,Offers!$AH$7:$AH$3000,"yes"),COUNTIFS(Offers!$B$7:$B$3000,$B80,Offers!$C$7:$C$3000,F$10,Offers!$AI$7:$AI$3000,"yes"))=0,"—",SUMIFS(Review!$O$7:$O$600,Review!$B$7:$B$600,$B80,Review!$C$7:$C$600,F$10))</f>
        <v>6.195</v>
      </c>
      <c r="G80" s="37" t="n">
        <f aca="false">IF(IF($E$5="Local prices",COUNTIFS(Offers!$B$7:$B$3000,$B80,Offers!$C$7:$C$3000,G$10,Offers!$AH$7:$AH$3000,"yes"),COUNTIFS(Offers!$B$7:$B$3000,$B80,Offers!$C$7:$C$3000,G$10,Offers!$AI$7:$AI$3000,"yes"))=0,"—",SUMIFS(Review!$O$7:$O$600,Review!$B$7:$B$600,$B80,Review!$C$7:$C$600,G$10))</f>
        <v>5.887744</v>
      </c>
      <c r="H80" s="37" t="n">
        <f aca="false">IF(IF($E$5="Local prices",COUNTIFS(Offers!$B$7:$B$3000,$B80,Offers!$C$7:$C$3000,H$10,Offers!$AH$7:$AH$3000,"yes"),COUNTIFS(Offers!$B$7:$B$3000,$B80,Offers!$C$7:$C$3000,H$10,Offers!$AI$7:$AI$3000,"yes"))=0,"—",SUMIFS(Review!$O$7:$O$600,Review!$B$7:$B$600,$B80,Review!$C$7:$C$600,H$10))</f>
        <v>6.5</v>
      </c>
    </row>
    <row r="81" customFormat="false" ht="13.5" hidden="false" customHeight="false" outlineLevel="0" collapsed="false">
      <c r="B81" s="36" t="s">
        <v>100</v>
      </c>
      <c r="C81" s="37" t="str">
        <f aca="false">IF(IF($E$5="Local prices",COUNTIFS(Offers!$B$7:$B$3000,$B81,Offers!$C$7:$C$3000,C$10,Offers!$AH$7:$AH$3000,"yes"),COUNTIFS(Offers!$B$7:$B$3000,$B81,Offers!$C$7:$C$3000,C$10,Offers!$AI$7:$AI$3000,"yes"))=0,"—",SUMIFS(Review!$O$7:$O$600,Review!$B$7:$B$600,$B81,Review!$C$7:$C$600,C$10))</f>
        <v>—</v>
      </c>
      <c r="D81" s="37" t="n">
        <f aca="false">IF(IF($E$5="Local prices",COUNTIFS(Offers!$B$7:$B$3000,$B81,Offers!$C$7:$C$3000,D$10,Offers!$AH$7:$AH$3000,"yes"),COUNTIFS(Offers!$B$7:$B$3000,$B81,Offers!$C$7:$C$3000,D$10,Offers!$AI$7:$AI$3000,"yes"))=0,"—",SUMIFS(Review!$O$7:$O$600,Review!$B$7:$B$600,$B81,Review!$C$7:$C$600,D$10))</f>
        <v>2.396904</v>
      </c>
      <c r="E81" s="37" t="n">
        <f aca="false">IF(IF($E$5="Local prices",COUNTIFS(Offers!$B$7:$B$3000,$B81,Offers!$C$7:$C$3000,E$10,Offers!$AH$7:$AH$3000,"yes"),COUNTIFS(Offers!$B$7:$B$3000,$B81,Offers!$C$7:$C$3000,E$10,Offers!$AI$7:$AI$3000,"yes"))=0,"—",SUMIFS(Review!$O$7:$O$600,Review!$B$7:$B$600,$B81,Review!$C$7:$C$600,E$10))</f>
        <v>4.285</v>
      </c>
      <c r="F81" s="37" t="n">
        <f aca="false">IF(IF($E$5="Local prices",COUNTIFS(Offers!$B$7:$B$3000,$B81,Offers!$C$7:$C$3000,F$10,Offers!$AH$7:$AH$3000,"yes"),COUNTIFS(Offers!$B$7:$B$3000,$B81,Offers!$C$7:$C$3000,F$10,Offers!$AI$7:$AI$3000,"yes"))=0,"—",SUMIFS(Review!$O$7:$O$600,Review!$B$7:$B$600,$B81,Review!$C$7:$C$600,F$10))</f>
        <v>3.435</v>
      </c>
      <c r="G81" s="37" t="n">
        <f aca="false">IF(IF($E$5="Local prices",COUNTIFS(Offers!$B$7:$B$3000,$B81,Offers!$C$7:$C$3000,G$10,Offers!$AH$7:$AH$3000,"yes"),COUNTIFS(Offers!$B$7:$B$3000,$B81,Offers!$C$7:$C$3000,G$10,Offers!$AI$7:$AI$3000,"yes"))=0,"—",SUMIFS(Review!$O$7:$O$600,Review!$B$7:$B$600,$B81,Review!$C$7:$C$600,G$10))</f>
        <v>2.977856</v>
      </c>
      <c r="H81" s="37" t="n">
        <f aca="false">IF(IF($E$5="Local prices",COUNTIFS(Offers!$B$7:$B$3000,$B81,Offers!$C$7:$C$3000,H$10,Offers!$AH$7:$AH$3000,"yes"),COUNTIFS(Offers!$B$7:$B$3000,$B81,Offers!$C$7:$C$3000,H$10,Offers!$AI$7:$AI$3000,"yes"))=0,"—",SUMIFS(Review!$O$7:$O$600,Review!$B$7:$B$600,$B81,Review!$C$7:$C$600,H$10))</f>
        <v>2.67</v>
      </c>
    </row>
    <row r="82" customFormat="false" ht="13.5" hidden="false" customHeight="false" outlineLevel="0" collapsed="false">
      <c r="B82" s="36" t="s">
        <v>101</v>
      </c>
      <c r="C82" s="37" t="str">
        <f aca="false">IF(IF($E$5="Local prices",COUNTIFS(Offers!$B$7:$B$3000,$B82,Offers!$C$7:$C$3000,C$10,Offers!$AH$7:$AH$3000,"yes"),COUNTIFS(Offers!$B$7:$B$3000,$B82,Offers!$C$7:$C$3000,C$10,Offers!$AI$7:$AI$3000,"yes"))=0,"—",SUMIFS(Review!$O$7:$O$600,Review!$B$7:$B$600,$B82,Review!$C$7:$C$600,C$10))</f>
        <v>—</v>
      </c>
      <c r="D82" s="37" t="n">
        <f aca="false">IF(IF($E$5="Local prices",COUNTIFS(Offers!$B$7:$B$3000,$B82,Offers!$C$7:$C$3000,D$10,Offers!$AH$7:$AH$3000,"yes"),COUNTIFS(Offers!$B$7:$B$3000,$B82,Offers!$C$7:$C$3000,D$10,Offers!$AI$7:$AI$3000,"yes"))=0,"—",SUMIFS(Review!$O$7:$O$600,Review!$B$7:$B$600,$B82,Review!$C$7:$C$600,D$10))</f>
        <v>4.405377</v>
      </c>
      <c r="E82" s="37" t="n">
        <f aca="false">IF(IF($E$5="Local prices",COUNTIFS(Offers!$B$7:$B$3000,$B82,Offers!$C$7:$C$3000,E$10,Offers!$AH$7:$AH$3000,"yes"),COUNTIFS(Offers!$B$7:$B$3000,$B82,Offers!$C$7:$C$3000,E$10,Offers!$AI$7:$AI$3000,"yes"))=0,"—",SUMIFS(Review!$O$7:$O$600,Review!$B$7:$B$600,$B82,Review!$C$7:$C$600,E$10))</f>
        <v>5.145</v>
      </c>
      <c r="F82" s="37" t="n">
        <f aca="false">IF(IF($E$5="Local prices",COUNTIFS(Offers!$B$7:$B$3000,$B82,Offers!$C$7:$C$3000,F$10,Offers!$AH$7:$AH$3000,"yes"),COUNTIFS(Offers!$B$7:$B$3000,$B82,Offers!$C$7:$C$3000,F$10,Offers!$AI$7:$AI$3000,"yes"))=0,"—",SUMIFS(Review!$O$7:$O$600,Review!$B$7:$B$600,$B82,Review!$C$7:$C$600,F$10))</f>
        <v>5.79</v>
      </c>
      <c r="G82" s="37" t="n">
        <f aca="false">IF(IF($E$5="Local prices",COUNTIFS(Offers!$B$7:$B$3000,$B82,Offers!$C$7:$C$3000,G$10,Offers!$AH$7:$AH$3000,"yes"),COUNTIFS(Offers!$B$7:$B$3000,$B82,Offers!$C$7:$C$3000,G$10,Offers!$AI$7:$AI$3000,"yes"))=0,"—",SUMIFS(Review!$O$7:$O$600,Review!$B$7:$B$600,$B82,Review!$C$7:$C$600,G$10))</f>
        <v>6.2193905</v>
      </c>
      <c r="H82" s="37" t="n">
        <f aca="false">IF(IF($E$5="Local prices",COUNTIFS(Offers!$B$7:$B$3000,$B82,Offers!$C$7:$C$3000,H$10,Offers!$AH$7:$AH$3000,"yes"),COUNTIFS(Offers!$B$7:$B$3000,$B82,Offers!$C$7:$C$3000,H$10,Offers!$AI$7:$AI$3000,"yes"))=0,"—",SUMIFS(Review!$O$7:$O$600,Review!$B$7:$B$600,$B82,Review!$C$7:$C$600,H$10))</f>
        <v>4.05</v>
      </c>
    </row>
    <row r="83" customFormat="false" ht="13.5" hidden="false" customHeight="false" outlineLevel="0" collapsed="false">
      <c r="B83" s="36" t="s">
        <v>102</v>
      </c>
      <c r="C83" s="37" t="str">
        <f aca="false">IF(IF($E$5="Local prices",COUNTIFS(Offers!$B$7:$B$3000,$B83,Offers!$C$7:$C$3000,C$10,Offers!$AH$7:$AH$3000,"yes"),COUNTIFS(Offers!$B$7:$B$3000,$B83,Offers!$C$7:$C$3000,C$10,Offers!$AI$7:$AI$3000,"yes"))=0,"—",SUMIFS(Review!$O$7:$O$600,Review!$B$7:$B$600,$B83,Review!$C$7:$C$600,C$10))</f>
        <v>—</v>
      </c>
      <c r="D83" s="37" t="n">
        <f aca="false">IF(IF($E$5="Local prices",COUNTIFS(Offers!$B$7:$B$3000,$B83,Offers!$C$7:$C$3000,D$10,Offers!$AH$7:$AH$3000,"yes"),COUNTIFS(Offers!$B$7:$B$3000,$B83,Offers!$C$7:$C$3000,D$10,Offers!$AI$7:$AI$3000,"yes"))=0,"—",SUMIFS(Review!$O$7:$O$600,Review!$B$7:$B$600,$B83,Review!$C$7:$C$600,D$10))</f>
        <v>4.647909</v>
      </c>
      <c r="E83" s="37" t="n">
        <f aca="false">IF(IF($E$5="Local prices",COUNTIFS(Offers!$B$7:$B$3000,$B83,Offers!$C$7:$C$3000,E$10,Offers!$AH$7:$AH$3000,"yes"),COUNTIFS(Offers!$B$7:$B$3000,$B83,Offers!$C$7:$C$3000,E$10,Offers!$AI$7:$AI$3000,"yes"))=0,"—",SUMIFS(Review!$O$7:$O$600,Review!$B$7:$B$600,$B83,Review!$C$7:$C$600,E$10))</f>
        <v>5.09</v>
      </c>
      <c r="F83" s="37" t="n">
        <f aca="false">IF(IF($E$5="Local prices",COUNTIFS(Offers!$B$7:$B$3000,$B83,Offers!$C$7:$C$3000,F$10,Offers!$AH$7:$AH$3000,"yes"),COUNTIFS(Offers!$B$7:$B$3000,$B83,Offers!$C$7:$C$3000,F$10,Offers!$AI$7:$AI$3000,"yes"))=0,"—",SUMIFS(Review!$O$7:$O$600,Review!$B$7:$B$600,$B83,Review!$C$7:$C$600,F$10))</f>
        <v>4.71</v>
      </c>
      <c r="G83" s="37" t="n">
        <f aca="false">IF(IF($E$5="Local prices",COUNTIFS(Offers!$B$7:$B$3000,$B83,Offers!$C$7:$C$3000,G$10,Offers!$AH$7:$AH$3000,"yes"),COUNTIFS(Offers!$B$7:$B$3000,$B83,Offers!$C$7:$C$3000,G$10,Offers!$AI$7:$AI$3000,"yes"))=0,"—",SUMIFS(Review!$O$7:$O$600,Review!$B$7:$B$600,$B83,Review!$C$7:$C$600,G$10))</f>
        <v>7.247084</v>
      </c>
      <c r="H83" s="37" t="n">
        <f aca="false">IF(IF($E$5="Local prices",COUNTIFS(Offers!$B$7:$B$3000,$B83,Offers!$C$7:$C$3000,H$10,Offers!$AH$7:$AH$3000,"yes"),COUNTIFS(Offers!$B$7:$B$3000,$B83,Offers!$C$7:$C$3000,H$10,Offers!$AI$7:$AI$3000,"yes"))=0,"—",SUMIFS(Review!$O$7:$O$600,Review!$B$7:$B$600,$B83,Review!$C$7:$C$600,H$10))</f>
        <v>6.05</v>
      </c>
    </row>
    <row r="84" customFormat="false" ht="13.5" hidden="false" customHeight="false" outlineLevel="0" collapsed="false">
      <c r="B84" s="36" t="s">
        <v>103</v>
      </c>
      <c r="C84" s="37" t="str">
        <f aca="false">IF(IF($E$5="Local prices",COUNTIFS(Offers!$B$7:$B$3000,$B84,Offers!$C$7:$C$3000,C$10,Offers!$AH$7:$AH$3000,"yes"),COUNTIFS(Offers!$B$7:$B$3000,$B84,Offers!$C$7:$C$3000,C$10,Offers!$AI$7:$AI$3000,"yes"))=0,"—",SUMIFS(Review!$O$7:$O$600,Review!$B$7:$B$600,$B84,Review!$C$7:$C$600,C$10))</f>
        <v>—</v>
      </c>
      <c r="D84" s="37" t="n">
        <f aca="false">IF(IF($E$5="Local prices",COUNTIFS(Offers!$B$7:$B$3000,$B84,Offers!$C$7:$C$3000,D$10,Offers!$AH$7:$AH$3000,"yes"),COUNTIFS(Offers!$B$7:$B$3000,$B84,Offers!$C$7:$C$3000,D$10,Offers!$AI$7:$AI$3000,"yes"))=0,"—",SUMIFS(Review!$O$7:$O$600,Review!$B$7:$B$600,$B84,Review!$C$7:$C$600,D$10))</f>
        <v>3.132081</v>
      </c>
      <c r="E84" s="37" t="n">
        <f aca="false">IF(IF($E$5="Local prices",COUNTIFS(Offers!$B$7:$B$3000,$B84,Offers!$C$7:$C$3000,E$10,Offers!$AH$7:$AH$3000,"yes"),COUNTIFS(Offers!$B$7:$B$3000,$B84,Offers!$C$7:$C$3000,E$10,Offers!$AI$7:$AI$3000,"yes"))=0,"—",SUMIFS(Review!$O$7:$O$600,Review!$B$7:$B$600,$B84,Review!$C$7:$C$600,E$10))</f>
        <v>4.18</v>
      </c>
      <c r="F84" s="37" t="n">
        <f aca="false">IF(IF($E$5="Local prices",COUNTIFS(Offers!$B$7:$B$3000,$B84,Offers!$C$7:$C$3000,F$10,Offers!$AH$7:$AH$3000,"yes"),COUNTIFS(Offers!$B$7:$B$3000,$B84,Offers!$C$7:$C$3000,F$10,Offers!$AI$7:$AI$3000,"yes"))=0,"—",SUMIFS(Review!$O$7:$O$600,Review!$B$7:$B$600,$B84,Review!$C$7:$C$600,F$10))</f>
        <v>3.99</v>
      </c>
      <c r="G84" s="37" t="n">
        <f aca="false">IF(IF($E$5="Local prices",COUNTIFS(Offers!$B$7:$B$3000,$B84,Offers!$C$7:$C$3000,G$10,Offers!$AH$7:$AH$3000,"yes"),COUNTIFS(Offers!$B$7:$B$3000,$B84,Offers!$C$7:$C$3000,G$10,Offers!$AI$7:$AI$3000,"yes"))=0,"—",SUMIFS(Review!$O$7:$O$600,Review!$B$7:$B$600,$B84,Review!$C$7:$C$600,G$10))</f>
        <v>5.117997</v>
      </c>
      <c r="H84" s="37" t="n">
        <f aca="false">IF(IF($E$5="Local prices",COUNTIFS(Offers!$B$7:$B$3000,$B84,Offers!$C$7:$C$3000,H$10,Offers!$AH$7:$AH$3000,"yes"),COUNTIFS(Offers!$B$7:$B$3000,$B84,Offers!$C$7:$C$3000,H$10,Offers!$AI$7:$AI$3000,"yes"))=0,"—",SUMIFS(Review!$O$7:$O$600,Review!$B$7:$B$600,$B84,Review!$C$7:$C$600,H$10))</f>
        <v>4.1</v>
      </c>
    </row>
    <row r="85" customFormat="false" ht="13.5" hidden="false" customHeight="false" outlineLevel="0" collapsed="false">
      <c r="B85" s="36" t="s">
        <v>104</v>
      </c>
      <c r="C85" s="37" t="str">
        <f aca="false">IF(IF($E$5="Local prices",COUNTIFS(Offers!$B$7:$B$3000,$B85,Offers!$C$7:$C$3000,C$10,Offers!$AH$7:$AH$3000,"yes"),COUNTIFS(Offers!$B$7:$B$3000,$B85,Offers!$C$7:$C$3000,C$10,Offers!$AI$7:$AI$3000,"yes"))=0,"—",SUMIFS(Review!$O$7:$O$600,Review!$B$7:$B$600,$B85,Review!$C$7:$C$600,C$10))</f>
        <v>—</v>
      </c>
      <c r="D85" s="37" t="n">
        <f aca="false">IF(IF($E$5="Local prices",COUNTIFS(Offers!$B$7:$B$3000,$B85,Offers!$C$7:$C$3000,D$10,Offers!$AH$7:$AH$3000,"yes"),COUNTIFS(Offers!$B$7:$B$3000,$B85,Offers!$C$7:$C$3000,D$10,Offers!$AI$7:$AI$3000,"yes"))=0,"—",SUMIFS(Review!$O$7:$O$600,Review!$B$7:$B$600,$B85,Review!$C$7:$C$600,D$10))</f>
        <v>2.811862</v>
      </c>
      <c r="E85" s="37" t="n">
        <f aca="false">IF(IF($E$5="Local prices",COUNTIFS(Offers!$B$7:$B$3000,$B85,Offers!$C$7:$C$3000,E$10,Offers!$AH$7:$AH$3000,"yes"),COUNTIFS(Offers!$B$7:$B$3000,$B85,Offers!$C$7:$C$3000,E$10,Offers!$AI$7:$AI$3000,"yes"))=0,"—",SUMIFS(Review!$O$7:$O$600,Review!$B$7:$B$600,$B85,Review!$C$7:$C$600,E$10))</f>
        <v>3.16</v>
      </c>
      <c r="F85" s="37" t="n">
        <f aca="false">IF(IF($E$5="Local prices",COUNTIFS(Offers!$B$7:$B$3000,$B85,Offers!$C$7:$C$3000,F$10,Offers!$AH$7:$AH$3000,"yes"),COUNTIFS(Offers!$B$7:$B$3000,$B85,Offers!$C$7:$C$3000,F$10,Offers!$AI$7:$AI$3000,"yes"))=0,"—",SUMIFS(Review!$O$7:$O$600,Review!$B$7:$B$600,$B85,Review!$C$7:$C$600,F$10))</f>
        <v>3.12</v>
      </c>
      <c r="G85" s="37" t="n">
        <f aca="false">IF(IF($E$5="Local prices",COUNTIFS(Offers!$B$7:$B$3000,$B85,Offers!$C$7:$C$3000,G$10,Offers!$AH$7:$AH$3000,"yes"),COUNTIFS(Offers!$B$7:$B$3000,$B85,Offers!$C$7:$C$3000,G$10,Offers!$AI$7:$AI$3000,"yes"))=0,"—",SUMIFS(Review!$O$7:$O$600,Review!$B$7:$B$600,$B85,Review!$C$7:$C$600,G$10))</f>
        <v>2.825135</v>
      </c>
      <c r="H85" s="37" t="n">
        <f aca="false">IF(IF($E$5="Local prices",COUNTIFS(Offers!$B$7:$B$3000,$B85,Offers!$C$7:$C$3000,H$10,Offers!$AH$7:$AH$3000,"yes"),COUNTIFS(Offers!$B$7:$B$3000,$B85,Offers!$C$7:$C$3000,H$10,Offers!$AI$7:$AI$3000,"yes"))=0,"—",SUMIFS(Review!$O$7:$O$600,Review!$B$7:$B$600,$B85,Review!$C$7:$C$600,H$10))</f>
        <v>3.3</v>
      </c>
    </row>
    <row r="86" customFormat="false" ht="13.5" hidden="false" customHeight="false" outlineLevel="0" collapsed="false">
      <c r="B86" s="36" t="s">
        <v>105</v>
      </c>
      <c r="C86" s="37" t="str">
        <f aca="false">IF(IF($E$5="Local prices",COUNTIFS(Offers!$B$7:$B$3000,$B86,Offers!$C$7:$C$3000,C$10,Offers!$AH$7:$AH$3000,"yes"),COUNTIFS(Offers!$B$7:$B$3000,$B86,Offers!$C$7:$C$3000,C$10,Offers!$AI$7:$AI$3000,"yes"))=0,"—",SUMIFS(Review!$O$7:$O$600,Review!$B$7:$B$600,$B86,Review!$C$7:$C$600,C$10))</f>
        <v>—</v>
      </c>
      <c r="D86" s="37" t="n">
        <f aca="false">IF(IF($E$5="Local prices",COUNTIFS(Offers!$B$7:$B$3000,$B86,Offers!$C$7:$C$3000,D$10,Offers!$AH$7:$AH$3000,"yes"),COUNTIFS(Offers!$B$7:$B$3000,$B86,Offers!$C$7:$C$3000,D$10,Offers!$AI$7:$AI$3000,"yes"))=0,"—",SUMIFS(Review!$O$7:$O$600,Review!$B$7:$B$600,$B86,Review!$C$7:$C$600,D$10))</f>
        <v>1.684465</v>
      </c>
      <c r="E86" s="37" t="n">
        <f aca="false">IF(IF($E$5="Local prices",COUNTIFS(Offers!$B$7:$B$3000,$B86,Offers!$C$7:$C$3000,E$10,Offers!$AH$7:$AH$3000,"yes"),COUNTIFS(Offers!$B$7:$B$3000,$B86,Offers!$C$7:$C$3000,E$10,Offers!$AI$7:$AI$3000,"yes"))=0,"—",SUMIFS(Review!$O$7:$O$600,Review!$B$7:$B$600,$B86,Review!$C$7:$C$600,E$10))</f>
        <v>2.49</v>
      </c>
      <c r="F86" s="37" t="n">
        <f aca="false">IF(IF($E$5="Local prices",COUNTIFS(Offers!$B$7:$B$3000,$B86,Offers!$C$7:$C$3000,F$10,Offers!$AH$7:$AH$3000,"yes"),COUNTIFS(Offers!$B$7:$B$3000,$B86,Offers!$C$7:$C$3000,F$10,Offers!$AI$7:$AI$3000,"yes"))=0,"—",SUMIFS(Review!$O$7:$O$600,Review!$B$7:$B$600,$B86,Review!$C$7:$C$600,F$10))</f>
        <v>2.24</v>
      </c>
      <c r="G86" s="37" t="n">
        <f aca="false">IF(IF($E$5="Local prices",COUNTIFS(Offers!$B$7:$B$3000,$B86,Offers!$C$7:$C$3000,G$10,Offers!$AH$7:$AH$3000,"yes"),COUNTIFS(Offers!$B$7:$B$3000,$B86,Offers!$C$7:$C$3000,G$10,Offers!$AI$7:$AI$3000,"yes"))=0,"—",SUMIFS(Review!$O$7:$O$600,Review!$B$7:$B$600,$B86,Review!$C$7:$C$600,G$10))</f>
        <v>2.047199</v>
      </c>
      <c r="H86" s="37" t="n">
        <f aca="false">IF(IF($E$5="Local prices",COUNTIFS(Offers!$B$7:$B$3000,$B86,Offers!$C$7:$C$3000,H$10,Offers!$AH$7:$AH$3000,"yes"),COUNTIFS(Offers!$B$7:$B$3000,$B86,Offers!$C$7:$C$3000,H$10,Offers!$AI$7:$AI$3000,"yes"))=0,"—",SUMIFS(Review!$O$7:$O$600,Review!$B$7:$B$600,$B86,Review!$C$7:$C$600,H$10))</f>
        <v>2.6</v>
      </c>
    </row>
    <row r="87" customFormat="false" ht="13.5" hidden="false" customHeight="false" outlineLevel="0" collapsed="false">
      <c r="B87" s="36" t="s">
        <v>106</v>
      </c>
      <c r="C87" s="37" t="str">
        <f aca="false">IF(IF($E$5="Local prices",COUNTIFS(Offers!$B$7:$B$3000,$B87,Offers!$C$7:$C$3000,C$10,Offers!$AH$7:$AH$3000,"yes"),COUNTIFS(Offers!$B$7:$B$3000,$B87,Offers!$C$7:$C$3000,C$10,Offers!$AI$7:$AI$3000,"yes"))=0,"—",SUMIFS(Review!$O$7:$O$600,Review!$B$7:$B$600,$B87,Review!$C$7:$C$600,C$10))</f>
        <v>—</v>
      </c>
      <c r="D87" s="37" t="n">
        <f aca="false">IF(IF($E$5="Local prices",COUNTIFS(Offers!$B$7:$B$3000,$B87,Offers!$C$7:$C$3000,D$10,Offers!$AH$7:$AH$3000,"yes"),COUNTIFS(Offers!$B$7:$B$3000,$B87,Offers!$C$7:$C$3000,D$10,Offers!$AI$7:$AI$3000,"yes"))=0,"—",SUMIFS(Review!$O$7:$O$600,Review!$B$7:$B$600,$B87,Review!$C$7:$C$600,D$10))</f>
        <v>1.481722</v>
      </c>
      <c r="E87" s="37" t="n">
        <f aca="false">IF(IF($E$5="Local prices",COUNTIFS(Offers!$B$7:$B$3000,$B87,Offers!$C$7:$C$3000,E$10,Offers!$AH$7:$AH$3000,"yes"),COUNTIFS(Offers!$B$7:$B$3000,$B87,Offers!$C$7:$C$3000,E$10,Offers!$AI$7:$AI$3000,"yes"))=0,"—",SUMIFS(Review!$O$7:$O$600,Review!$B$7:$B$600,$B87,Review!$C$7:$C$600,E$10))</f>
        <v>2.1</v>
      </c>
      <c r="F87" s="37" t="n">
        <f aca="false">IF(IF($E$5="Local prices",COUNTIFS(Offers!$B$7:$B$3000,$B87,Offers!$C$7:$C$3000,F$10,Offers!$AH$7:$AH$3000,"yes"),COUNTIFS(Offers!$B$7:$B$3000,$B87,Offers!$C$7:$C$3000,F$10,Offers!$AI$7:$AI$3000,"yes"))=0,"—",SUMIFS(Review!$O$7:$O$600,Review!$B$7:$B$600,$B87,Review!$C$7:$C$600,F$10))</f>
        <v>1.79</v>
      </c>
      <c r="G87" s="37" t="n">
        <f aca="false">IF(IF($E$5="Local prices",COUNTIFS(Offers!$B$7:$B$3000,$B87,Offers!$C$7:$C$3000,G$10,Offers!$AH$7:$AH$3000,"yes"),COUNTIFS(Offers!$B$7:$B$3000,$B87,Offers!$C$7:$C$3000,G$10,Offers!$AI$7:$AI$3000,"yes"))=0,"—",SUMIFS(Review!$O$7:$O$600,Review!$B$7:$B$600,$B87,Review!$C$7:$C$600,G$10))</f>
        <v>1.637759</v>
      </c>
      <c r="H87" s="37" t="n">
        <f aca="false">IF(IF($E$5="Local prices",COUNTIFS(Offers!$B$7:$B$3000,$B87,Offers!$C$7:$C$3000,H$10,Offers!$AH$7:$AH$3000,"yes"),COUNTIFS(Offers!$B$7:$B$3000,$B87,Offers!$C$7:$C$3000,H$10,Offers!$AI$7:$AI$3000,"yes"))=0,"—",SUMIFS(Review!$O$7:$O$600,Review!$B$7:$B$600,$B87,Review!$C$7:$C$600,H$10))</f>
        <v>1.9</v>
      </c>
    </row>
    <row r="88" customFormat="false" ht="13.5" hidden="false" customHeight="false" outlineLevel="0" collapsed="false">
      <c r="B88" s="36" t="s">
        <v>107</v>
      </c>
      <c r="C88" s="37" t="str">
        <f aca="false">IF(IF($E$5="Local prices",COUNTIFS(Offers!$B$7:$B$3000,$B88,Offers!$C$7:$C$3000,C$10,Offers!$AH$7:$AH$3000,"yes"),COUNTIFS(Offers!$B$7:$B$3000,$B88,Offers!$C$7:$C$3000,C$10,Offers!$AI$7:$AI$3000,"yes"))=0,"—",SUMIFS(Review!$O$7:$O$600,Review!$B$7:$B$600,$B88,Review!$C$7:$C$600,C$10))</f>
        <v>—</v>
      </c>
      <c r="D88" s="37" t="n">
        <f aca="false">IF(IF($E$5="Local prices",COUNTIFS(Offers!$B$7:$B$3000,$B88,Offers!$C$7:$C$3000,D$10,Offers!$AH$7:$AH$3000,"yes"),COUNTIFS(Offers!$B$7:$B$3000,$B88,Offers!$C$7:$C$3000,D$10,Offers!$AI$7:$AI$3000,"yes"))=0,"—",SUMIFS(Review!$O$7:$O$600,Review!$B$7:$B$600,$B88,Review!$C$7:$C$600,D$10))</f>
        <v>2.952076</v>
      </c>
      <c r="E88" s="37" t="n">
        <f aca="false">IF(IF($E$5="Local prices",COUNTIFS(Offers!$B$7:$B$3000,$B88,Offers!$C$7:$C$3000,E$10,Offers!$AH$7:$AH$3000,"yes"),COUNTIFS(Offers!$B$7:$B$3000,$B88,Offers!$C$7:$C$3000,E$10,Offers!$AI$7:$AI$3000,"yes"))=0,"—",SUMIFS(Review!$O$7:$O$600,Review!$B$7:$B$600,$B88,Review!$C$7:$C$600,E$10))</f>
        <v>4.24</v>
      </c>
      <c r="F88" s="37" t="n">
        <f aca="false">IF(IF($E$5="Local prices",COUNTIFS(Offers!$B$7:$B$3000,$B88,Offers!$C$7:$C$3000,F$10,Offers!$AH$7:$AH$3000,"yes"),COUNTIFS(Offers!$B$7:$B$3000,$B88,Offers!$C$7:$C$3000,F$10,Offers!$AI$7:$AI$3000,"yes"))=0,"—",SUMIFS(Review!$O$7:$O$600,Review!$B$7:$B$600,$B88,Review!$C$7:$C$600,F$10))</f>
        <v>2.69</v>
      </c>
      <c r="G88" s="37" t="n">
        <f aca="false">IF(IF($E$5="Local prices",COUNTIFS(Offers!$B$7:$B$3000,$B88,Offers!$C$7:$C$3000,G$10,Offers!$AH$7:$AH$3000,"yes"),COUNTIFS(Offers!$B$7:$B$3000,$B88,Offers!$C$7:$C$3000,G$10,Offers!$AI$7:$AI$3000,"yes"))=0,"—",SUMIFS(Review!$O$7:$O$600,Review!$B$7:$B$600,$B88,Review!$C$7:$C$600,G$10))</f>
        <v>4.8092795</v>
      </c>
      <c r="H88" s="37" t="n">
        <f aca="false">IF(IF($E$5="Local prices",COUNTIFS(Offers!$B$7:$B$3000,$B88,Offers!$C$7:$C$3000,H$10,Offers!$AH$7:$AH$3000,"yes"),COUNTIFS(Offers!$B$7:$B$3000,$B88,Offers!$C$7:$C$3000,H$10,Offers!$AI$7:$AI$3000,"yes"))=0,"—",SUMIFS(Review!$O$7:$O$600,Review!$B$7:$B$600,$B88,Review!$C$7:$C$600,H$10))</f>
        <v>3</v>
      </c>
    </row>
    <row r="89" customFormat="false" ht="13.5" hidden="false" customHeight="false" outlineLevel="0" collapsed="false">
      <c r="B89" s="36" t="s">
        <v>108</v>
      </c>
      <c r="C89" s="37" t="str">
        <f aca="false">IF(IF($E$5="Local prices",COUNTIFS(Offers!$B$7:$B$3000,$B89,Offers!$C$7:$C$3000,C$10,Offers!$AH$7:$AH$3000,"yes"),COUNTIFS(Offers!$B$7:$B$3000,$B89,Offers!$C$7:$C$3000,C$10,Offers!$AI$7:$AI$3000,"yes"))=0,"—",SUMIFS(Review!$O$7:$O$600,Review!$B$7:$B$600,$B89,Review!$C$7:$C$600,C$10))</f>
        <v>—</v>
      </c>
      <c r="D89" s="37" t="n">
        <f aca="false">IF(IF($E$5="Local prices",COUNTIFS(Offers!$B$7:$B$3000,$B89,Offers!$C$7:$C$3000,D$10,Offers!$AH$7:$AH$3000,"yes"),COUNTIFS(Offers!$B$7:$B$3000,$B89,Offers!$C$7:$C$3000,D$10,Offers!$AI$7:$AI$3000,"yes"))=0,"—",SUMIFS(Review!$O$7:$O$600,Review!$B$7:$B$600,$B89,Review!$C$7:$C$600,D$10))</f>
        <v>1.820889</v>
      </c>
      <c r="E89" s="37" t="n">
        <f aca="false">IF(IF($E$5="Local prices",COUNTIFS(Offers!$B$7:$B$3000,$B89,Offers!$C$7:$C$3000,E$10,Offers!$AH$7:$AH$3000,"yes"),COUNTIFS(Offers!$B$7:$B$3000,$B89,Offers!$C$7:$C$3000,E$10,Offers!$AI$7:$AI$3000,"yes"))=0,"—",SUMIFS(Review!$O$7:$O$600,Review!$B$7:$B$600,$B89,Review!$C$7:$C$600,E$10))</f>
        <v>2.37</v>
      </c>
      <c r="F89" s="37" t="n">
        <f aca="false">IF(IF($E$5="Local prices",COUNTIFS(Offers!$B$7:$B$3000,$B89,Offers!$C$7:$C$3000,F$10,Offers!$AH$7:$AH$3000,"yes"),COUNTIFS(Offers!$B$7:$B$3000,$B89,Offers!$C$7:$C$3000,F$10,Offers!$AI$7:$AI$3000,"yes"))=0,"—",SUMIFS(Review!$O$7:$O$600,Review!$B$7:$B$600,$B89,Review!$C$7:$C$600,F$10))</f>
        <v>2.19</v>
      </c>
      <c r="G89" s="37" t="n">
        <f aca="false">IF(IF($E$5="Local prices",COUNTIFS(Offers!$B$7:$B$3000,$B89,Offers!$C$7:$C$3000,G$10,Offers!$AH$7:$AH$3000,"yes"),COUNTIFS(Offers!$B$7:$B$3000,$B89,Offers!$C$7:$C$3000,G$10,Offers!$AI$7:$AI$3000,"yes"))=0,"—",SUMIFS(Review!$O$7:$O$600,Review!$B$7:$B$600,$B89,Review!$C$7:$C$600,G$10))</f>
        <v>2.685925</v>
      </c>
      <c r="H89" s="37" t="n">
        <f aca="false">IF(IF($E$5="Local prices",COUNTIFS(Offers!$B$7:$B$3000,$B89,Offers!$C$7:$C$3000,H$10,Offers!$AH$7:$AH$3000,"yes"),COUNTIFS(Offers!$B$7:$B$3000,$B89,Offers!$C$7:$C$3000,H$10,Offers!$AI$7:$AI$3000,"yes"))=0,"—",SUMIFS(Review!$O$7:$O$600,Review!$B$7:$B$600,$B89,Review!$C$7:$C$600,H$10))</f>
        <v>1.98</v>
      </c>
    </row>
    <row r="90" customFormat="false" ht="13.5" hidden="false" customHeight="false" outlineLevel="0" collapsed="false">
      <c r="B90" s="36" t="s">
        <v>109</v>
      </c>
      <c r="C90" s="37" t="str">
        <f aca="false">IF(IF($E$5="Local prices",COUNTIFS(Offers!$B$7:$B$3000,$B90,Offers!$C$7:$C$3000,C$10,Offers!$AH$7:$AH$3000,"yes"),COUNTIFS(Offers!$B$7:$B$3000,$B90,Offers!$C$7:$C$3000,C$10,Offers!$AI$7:$AI$3000,"yes"))=0,"—",SUMIFS(Review!$O$7:$O$600,Review!$B$7:$B$600,$B90,Review!$C$7:$C$600,C$10))</f>
        <v>—</v>
      </c>
      <c r="D90" s="37" t="n">
        <f aca="false">IF(IF($E$5="Local prices",COUNTIFS(Offers!$B$7:$B$3000,$B90,Offers!$C$7:$C$3000,D$10,Offers!$AH$7:$AH$3000,"yes"),COUNTIFS(Offers!$B$7:$B$3000,$B90,Offers!$C$7:$C$3000,D$10,Offers!$AI$7:$AI$3000,"yes"))=0,"—",SUMIFS(Review!$O$7:$O$600,Review!$B$7:$B$600,$B90,Review!$C$7:$C$600,D$10))</f>
        <v>1.290349</v>
      </c>
      <c r="E90" s="37" t="n">
        <f aca="false">IF(IF($E$5="Local prices",COUNTIFS(Offers!$B$7:$B$3000,$B90,Offers!$C$7:$C$3000,E$10,Offers!$AH$7:$AH$3000,"yes"),COUNTIFS(Offers!$B$7:$B$3000,$B90,Offers!$C$7:$C$3000,E$10,Offers!$AI$7:$AI$3000,"yes"))=0,"—",SUMIFS(Review!$O$7:$O$600,Review!$B$7:$B$600,$B90,Review!$C$7:$C$600,E$10))</f>
        <v>2.02</v>
      </c>
      <c r="F90" s="37" t="n">
        <f aca="false">IF(IF($E$5="Local prices",COUNTIFS(Offers!$B$7:$B$3000,$B90,Offers!$C$7:$C$3000,F$10,Offers!$AH$7:$AH$3000,"yes"),COUNTIFS(Offers!$B$7:$B$3000,$B90,Offers!$C$7:$C$3000,F$10,Offers!$AI$7:$AI$3000,"yes"))=0,"—",SUMIFS(Review!$O$7:$O$600,Review!$B$7:$B$600,$B90,Review!$C$7:$C$600,F$10))</f>
        <v>2</v>
      </c>
      <c r="G90" s="37" t="n">
        <f aca="false">IF(IF($E$5="Local prices",COUNTIFS(Offers!$B$7:$B$3000,$B90,Offers!$C$7:$C$3000,G$10,Offers!$AH$7:$AH$3000,"yes"),COUNTIFS(Offers!$B$7:$B$3000,$B90,Offers!$C$7:$C$3000,G$10,Offers!$AI$7:$AI$3000,"yes"))=0,"—",SUMIFS(Review!$O$7:$O$600,Review!$B$7:$B$600,$B90,Review!$C$7:$C$600,G$10))</f>
        <v>2.199511</v>
      </c>
      <c r="H90" s="37" t="n">
        <f aca="false">IF(IF($E$5="Local prices",COUNTIFS(Offers!$B$7:$B$3000,$B90,Offers!$C$7:$C$3000,H$10,Offers!$AH$7:$AH$3000,"yes"),COUNTIFS(Offers!$B$7:$B$3000,$B90,Offers!$C$7:$C$3000,H$10,Offers!$AI$7:$AI$3000,"yes"))=0,"—",SUMIFS(Review!$O$7:$O$600,Review!$B$7:$B$600,$B90,Review!$C$7:$C$600,H$10))</f>
        <v>1.65</v>
      </c>
    </row>
    <row r="91" customFormat="false" ht="13.5" hidden="false" customHeight="false" outlineLevel="0" collapsed="false">
      <c r="B91" s="36" t="s">
        <v>110</v>
      </c>
      <c r="C91" s="37" t="str">
        <f aca="false">IF(IF($E$5="Local prices",COUNTIFS(Offers!$B$7:$B$3000,$B91,Offers!$C$7:$C$3000,C$10,Offers!$AH$7:$AH$3000,"yes"),COUNTIFS(Offers!$B$7:$B$3000,$B91,Offers!$C$7:$C$3000,C$10,Offers!$AI$7:$AI$3000,"yes"))=0,"—",SUMIFS(Review!$O$7:$O$600,Review!$B$7:$B$600,$B91,Review!$C$7:$C$600,C$10))</f>
        <v>—</v>
      </c>
      <c r="D91" s="37" t="n">
        <f aca="false">IF(IF($E$5="Local prices",COUNTIFS(Offers!$B$7:$B$3000,$B91,Offers!$C$7:$C$3000,D$10,Offers!$AH$7:$AH$3000,"yes"),COUNTIFS(Offers!$B$7:$B$3000,$B91,Offers!$C$7:$C$3000,D$10,Offers!$AI$7:$AI$3000,"yes"))=0,"—",SUMIFS(Review!$O$7:$O$600,Review!$B$7:$B$600,$B91,Review!$C$7:$C$600,D$10))</f>
        <v>2.30027</v>
      </c>
      <c r="E91" s="37" t="n">
        <f aca="false">IF(IF($E$5="Local prices",COUNTIFS(Offers!$B$7:$B$3000,$B91,Offers!$C$7:$C$3000,E$10,Offers!$AH$7:$AH$3000,"yes"),COUNTIFS(Offers!$B$7:$B$3000,$B91,Offers!$C$7:$C$3000,E$10,Offers!$AI$7:$AI$3000,"yes"))=0,"—",SUMIFS(Review!$O$7:$O$600,Review!$B$7:$B$600,$B91,Review!$C$7:$C$600,E$10))</f>
        <v>2.125</v>
      </c>
      <c r="F91" s="37" t="n">
        <f aca="false">IF(IF($E$5="Local prices",COUNTIFS(Offers!$B$7:$B$3000,$B91,Offers!$C$7:$C$3000,F$10,Offers!$AH$7:$AH$3000,"yes"),COUNTIFS(Offers!$B$7:$B$3000,$B91,Offers!$C$7:$C$3000,F$10,Offers!$AI$7:$AI$3000,"yes"))=0,"—",SUMIFS(Review!$O$7:$O$600,Review!$B$7:$B$600,$B91,Review!$C$7:$C$600,F$10))</f>
        <v>1.79</v>
      </c>
      <c r="G91" s="37" t="n">
        <f aca="false">IF(IF($E$5="Local prices",COUNTIFS(Offers!$B$7:$B$3000,$B91,Offers!$C$7:$C$3000,G$10,Offers!$AH$7:$AH$3000,"yes"),COUNTIFS(Offers!$B$7:$B$3000,$B91,Offers!$C$7:$C$3000,G$10,Offers!$AI$7:$AI$3000,"yes"))=0,"—",SUMIFS(Review!$O$7:$O$600,Review!$B$7:$B$600,$B91,Review!$C$7:$C$600,G$10))</f>
        <v>1.6580265</v>
      </c>
      <c r="H91" s="37" t="n">
        <f aca="false">IF(IF($E$5="Local prices",COUNTIFS(Offers!$B$7:$B$3000,$B91,Offers!$C$7:$C$3000,H$10,Offers!$AH$7:$AH$3000,"yes"),COUNTIFS(Offers!$B$7:$B$3000,$B91,Offers!$C$7:$C$3000,H$10,Offers!$AI$7:$AI$3000,"yes"))=0,"—",SUMIFS(Review!$O$7:$O$600,Review!$B$7:$B$600,$B91,Review!$C$7:$C$600,H$10))</f>
        <v>1.585</v>
      </c>
    </row>
    <row r="92" customFormat="false" ht="13.5" hidden="false" customHeight="false" outlineLevel="0" collapsed="false">
      <c r="B92" s="9"/>
      <c r="C92" s="10"/>
      <c r="D92" s="10"/>
      <c r="E92" s="10"/>
      <c r="F92" s="10"/>
      <c r="G92" s="10"/>
      <c r="H92" s="10"/>
    </row>
    <row r="93" customFormat="false" ht="13.5" hidden="false" customHeight="false" outlineLevel="0" collapsed="false">
      <c r="B93" s="44" t="s">
        <v>111</v>
      </c>
      <c r="C93" s="45"/>
      <c r="D93" s="45"/>
      <c r="E93" s="10"/>
      <c r="F93" s="10"/>
      <c r="G93" s="10"/>
      <c r="H93" s="10"/>
    </row>
    <row r="94" customFormat="false" ht="13.5" hidden="false" customHeight="false" outlineLevel="0" collapsed="false">
      <c r="B94" s="21" t="s">
        <v>19</v>
      </c>
      <c r="C94" s="30" t="s">
        <v>112</v>
      </c>
      <c r="D94" s="30" t="s">
        <v>113</v>
      </c>
      <c r="E94" s="10"/>
      <c r="F94" s="10"/>
      <c r="G94" s="10"/>
      <c r="H94" s="10"/>
    </row>
    <row r="95" customFormat="false" ht="13.5" hidden="false" customHeight="false" outlineLevel="0" collapsed="false">
      <c r="B95" s="7" t="s">
        <v>13</v>
      </c>
      <c r="C95" s="46" t="n">
        <f aca="false">_xlfn.MINIFS(Offers!$AJ$7:$AJ$3000,Offers!$C$7:$C$3000,B95,Offers!$AJ$7:$AJ$3000,"&gt;0")</f>
        <v>46181</v>
      </c>
      <c r="D95" s="46" t="n">
        <f aca="false">_xlfn.MAXIFS(Offers!$AJ$7:$AJ$3000,Offers!$C$7:$C$3000,B95)</f>
        <v>46297</v>
      </c>
      <c r="E95" s="10"/>
      <c r="F95" s="10"/>
      <c r="G95" s="10"/>
      <c r="H95" s="10"/>
    </row>
    <row r="96" customFormat="false" ht="13.5" hidden="false" customHeight="false" outlineLevel="0" collapsed="false">
      <c r="B96" s="47" t="s">
        <v>14</v>
      </c>
      <c r="C96" s="48" t="n">
        <f aca="false">_xlfn.MINIFS(Offers!$AJ$7:$AJ$3000,Offers!$C$7:$C$3000,B96,Offers!$AJ$7:$AJ$3000,"&gt;0")</f>
        <v>46203</v>
      </c>
      <c r="D96" s="48" t="n">
        <f aca="false">_xlfn.MAXIFS(Offers!$AJ$7:$AJ$3000,Offers!$C$7:$C$3000,B96)</f>
        <v>46297</v>
      </c>
      <c r="E96" s="10"/>
      <c r="F96" s="10"/>
      <c r="G96" s="10"/>
      <c r="H96" s="10"/>
    </row>
    <row r="97" customFormat="false" ht="13.5" hidden="false" customHeight="false" outlineLevel="0" collapsed="false">
      <c r="B97" s="7" t="s">
        <v>15</v>
      </c>
      <c r="C97" s="46" t="n">
        <f aca="false">_xlfn.MINIFS(Offers!$AJ$7:$AJ$3000,Offers!$C$7:$C$3000,B97,Offers!$AJ$7:$AJ$3000,"&gt;0")</f>
        <v>46295</v>
      </c>
      <c r="D97" s="46" t="n">
        <f aca="false">_xlfn.MAXIFS(Offers!$AJ$7:$AJ$3000,Offers!$C$7:$C$3000,B97)</f>
        <v>46297</v>
      </c>
      <c r="E97" s="10"/>
      <c r="F97" s="10"/>
      <c r="G97" s="10"/>
      <c r="H97" s="10"/>
    </row>
    <row r="98" customFormat="false" ht="13.5" hidden="false" customHeight="false" outlineLevel="0" collapsed="false">
      <c r="B98" s="47" t="s">
        <v>16</v>
      </c>
      <c r="C98" s="48" t="n">
        <f aca="false">_xlfn.MINIFS(Offers!$AJ$7:$AJ$3000,Offers!$C$7:$C$3000,B98,Offers!$AJ$7:$AJ$3000,"&gt;0")</f>
        <v>46295</v>
      </c>
      <c r="D98" s="48" t="n">
        <f aca="false">_xlfn.MAXIFS(Offers!$AJ$7:$AJ$3000,Offers!$C$7:$C$3000,B98)</f>
        <v>46297</v>
      </c>
      <c r="E98" s="10"/>
      <c r="F98" s="10"/>
      <c r="G98" s="10"/>
      <c r="H98" s="10"/>
    </row>
    <row r="99" customFormat="false" ht="13.5" hidden="false" customHeight="false" outlineLevel="0" collapsed="false">
      <c r="B99" s="7" t="s">
        <v>17</v>
      </c>
      <c r="C99" s="46" t="n">
        <f aca="false">_xlfn.MINIFS(Offers!$AJ$7:$AJ$3000,Offers!$C$7:$C$3000,B99,Offers!$AJ$7:$AJ$3000,"&gt;0")</f>
        <v>46295</v>
      </c>
      <c r="D99" s="46" t="n">
        <f aca="false">_xlfn.MAXIFS(Offers!$AJ$7:$AJ$3000,Offers!$C$7:$C$3000,B99)</f>
        <v>46297</v>
      </c>
      <c r="E99" s="10"/>
      <c r="F99" s="10"/>
      <c r="G99" s="10"/>
      <c r="H99" s="10"/>
    </row>
    <row r="100" customFormat="false" ht="13.5" hidden="false" customHeight="false" outlineLevel="0" collapsed="false">
      <c r="B100" s="47" t="s">
        <v>18</v>
      </c>
      <c r="C100" s="48" t="n">
        <f aca="false">_xlfn.MINIFS(Offers!$AJ$7:$AJ$3000,Offers!$C$7:$C$3000,B100,Offers!$AJ$7:$AJ$3000,"&gt;0")</f>
        <v>46295</v>
      </c>
      <c r="D100" s="48" t="n">
        <f aca="false">_xlfn.MAXIFS(Offers!$AJ$7:$AJ$3000,Offers!$C$7:$C$3000,B100)</f>
        <v>46297</v>
      </c>
      <c r="E100" s="10"/>
      <c r="F100" s="10"/>
      <c r="G100" s="10"/>
      <c r="H100" s="10"/>
    </row>
    <row r="101" customFormat="false" ht="13.5" hidden="false" customHeight="false" outlineLevel="0" collapsed="false">
      <c r="B101" s="9"/>
      <c r="C101" s="10"/>
      <c r="D101" s="10"/>
      <c r="E101" s="10"/>
      <c r="F101" s="10"/>
      <c r="G101" s="10"/>
      <c r="H101" s="10"/>
    </row>
    <row r="102" customFormat="false" ht="13.5" hidden="false" customHeight="true" outlineLevel="0" collapsed="false">
      <c r="B102" s="49" t="s">
        <v>114</v>
      </c>
      <c r="C102" s="49"/>
      <c r="D102" s="49"/>
      <c r="E102" s="49"/>
      <c r="F102" s="49"/>
      <c r="G102" s="49"/>
      <c r="H102" s="49"/>
    </row>
    <row r="103" customFormat="false" ht="13.5" hidden="false" customHeight="false" outlineLevel="0" collapsed="false">
      <c r="B103" s="49"/>
      <c r="C103" s="49"/>
      <c r="D103" s="49"/>
      <c r="E103" s="49"/>
      <c r="F103" s="49"/>
      <c r="G103" s="49"/>
      <c r="H103" s="49"/>
    </row>
  </sheetData>
  <mergeCells count="8">
    <mergeCell ref="J6:M7"/>
    <mergeCell ref="B7:H7"/>
    <mergeCell ref="J21:M22"/>
    <mergeCell ref="J25:M26"/>
    <mergeCell ref="J29:M30"/>
    <mergeCell ref="J33:M34"/>
    <mergeCell ref="J37:M38"/>
    <mergeCell ref="B102:H103"/>
  </mergeCells>
  <conditionalFormatting sqref="C12:H91">
    <cfRule type="expression" priority="2" aboveAverage="0" equalAverage="0" bottom="0" percent="0" rank="0" text="" dxfId="0">
      <formula>AND($E$5="Net per piece EUR",ISNUMBER(C12),C12=MIN($C12:$H12))</formula>
    </cfRule>
  </conditionalFormatting>
  <conditionalFormatting sqref="D95:D100">
    <cfRule type="expression" priority="3" aboveAverage="0" equalAverage="0" bottom="0" percent="0" rank="0" text="" dxfId="1">
      <formula>D50&gt;DATE(2026,9,30)</formula>
    </cfRule>
  </conditionalFormatting>
  <dataValidations count="3">
    <dataValidation allowBlank="false" errorStyle="stop" operator="between" showDropDown="false" showErrorMessage="false" showInputMessage="false" sqref="C5" type="list">
      <formula1>"Minimum,Median,Maximum"</formula1>
      <formula2>0</formula2>
    </dataValidation>
    <dataValidation allowBlank="false" errorStyle="stop" operator="between" showDropDown="false" showErrorMessage="false" showInputMessage="false" sqref="E5" type="list">
      <formula1>"Local prices,Net per piece EUR"</formula1>
      <formula2>0</formula2>
    </dataValidation>
    <dataValidation allowBlank="false" errorStyle="stop" operator="between" showDropDown="false" showErrorMessage="false" showInputMessage="false" sqref="H5" type="list">
      <formula1>"EXACT + CLOSE,EXACT only,All mapped"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O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4" topLeftCell="E15" activePane="bottomRight" state="frozen"/>
      <selection pane="topLeft" activeCell="A1" activeCellId="0" sqref="A1"/>
      <selection pane="topRight" activeCell="E1" activeCellId="0" sqref="E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3" min="3" style="1" width="14"/>
    <col collapsed="false" customWidth="true" hidden="false" outlineLevel="0" max="4" min="4" style="1" width="12"/>
    <col collapsed="false" customWidth="true" hidden="false" outlineLevel="0" max="8" min="5" style="1" width="11.5"/>
    <col collapsed="false" customWidth="true" hidden="false" outlineLevel="0" max="9" min="9" style="1" width="26"/>
    <col collapsed="false" customWidth="true" hidden="false" outlineLevel="0" max="18" min="10" style="1" width="11.5"/>
    <col collapsed="false" customWidth="true" hidden="false" outlineLevel="0" max="19" min="19" style="1" width="26"/>
    <col collapsed="false" customWidth="true" hidden="false" outlineLevel="0" max="28" min="20" style="1" width="11.5"/>
    <col collapsed="false" customWidth="true" hidden="false" outlineLevel="0" max="29" min="29" style="1" width="26"/>
    <col collapsed="false" customWidth="true" hidden="false" outlineLevel="0" max="39" min="30" style="1" width="11.5"/>
    <col collapsed="false" customWidth="true" hidden="false" outlineLevel="0" max="40" min="40" style="1" width="26"/>
    <col collapsed="false" customWidth="true" hidden="false" outlineLevel="0" max="49" min="41" style="1" width="11.5"/>
    <col collapsed="false" customWidth="true" hidden="false" outlineLevel="0" max="50" min="50" style="1" width="26"/>
    <col collapsed="false" customWidth="true" hidden="false" outlineLevel="0" max="60" min="51" style="1" width="11.5"/>
    <col collapsed="false" customWidth="true" hidden="false" outlineLevel="0" max="61" min="61" style="1" width="26"/>
    <col collapsed="false" customWidth="true" hidden="false" outlineLevel="0" max="67" min="62" style="1" width="11.5"/>
  </cols>
  <sheetData>
    <row r="2" customFormat="false" ht="17.25" hidden="false" customHeight="true" outlineLevel="0" collapsed="false">
      <c r="B2" s="50" t="s">
        <v>115</v>
      </c>
    </row>
    <row r="3" customFormat="false" ht="91.5" hidden="false" customHeight="true" outlineLevel="0" collapsed="false">
      <c r="B3" s="51" t="s">
        <v>116</v>
      </c>
      <c r="C3" s="51"/>
      <c r="D3" s="51"/>
      <c r="E3" s="51"/>
      <c r="F3" s="51"/>
      <c r="G3" s="51"/>
      <c r="H3" s="51"/>
      <c r="I3" s="51"/>
      <c r="J3" s="51"/>
      <c r="K3" s="51"/>
      <c r="L3" s="51"/>
      <c r="M3" s="51"/>
      <c r="N3" s="51"/>
      <c r="O3" s="51"/>
      <c r="P3" s="51"/>
      <c r="Q3" s="51"/>
      <c r="R3" s="51"/>
      <c r="S3" s="51"/>
      <c r="T3" s="51"/>
      <c r="U3" s="51"/>
      <c r="V3" s="51"/>
      <c r="W3" s="51"/>
      <c r="X3" s="51"/>
      <c r="Y3" s="51"/>
      <c r="Z3" s="51"/>
      <c r="AA3" s="51"/>
      <c r="AB3" s="51"/>
    </row>
    <row r="5" customFormat="false" ht="15" hidden="false" customHeight="true" outlineLevel="0" collapsed="false">
      <c r="B5" s="52" t="s">
        <v>117</v>
      </c>
      <c r="C5" s="53" t="n">
        <v>0.25</v>
      </c>
      <c r="F5" s="51" t="s">
        <v>118</v>
      </c>
      <c r="G5" s="51"/>
      <c r="H5" s="51"/>
      <c r="I5" s="51"/>
      <c r="J5" s="51"/>
      <c r="K5" s="51"/>
      <c r="L5" s="51"/>
      <c r="M5" s="51"/>
      <c r="N5" s="51"/>
      <c r="O5" s="51"/>
      <c r="P5" s="51"/>
      <c r="Q5" s="51"/>
      <c r="R5" s="51"/>
      <c r="S5" s="51"/>
      <c r="T5" s="51"/>
      <c r="U5" s="51"/>
      <c r="V5" s="51"/>
      <c r="W5" s="51"/>
      <c r="X5" s="51"/>
      <c r="Y5" s="51"/>
      <c r="Z5" s="51"/>
      <c r="AA5" s="51"/>
      <c r="AB5" s="51"/>
    </row>
    <row r="6" customFormat="false" ht="15" hidden="false" customHeight="true" outlineLevel="0" collapsed="false">
      <c r="B6" s="52" t="s">
        <v>119</v>
      </c>
      <c r="C6" s="53" t="n">
        <v>0.05</v>
      </c>
      <c r="F6" s="51"/>
      <c r="G6" s="51"/>
      <c r="H6" s="51"/>
      <c r="I6" s="51"/>
      <c r="J6" s="51"/>
      <c r="K6" s="51"/>
      <c r="L6" s="51"/>
      <c r="M6" s="51"/>
      <c r="N6" s="51"/>
      <c r="O6" s="51"/>
      <c r="P6" s="51"/>
      <c r="Q6" s="51"/>
      <c r="R6" s="51"/>
      <c r="S6" s="51"/>
      <c r="T6" s="51"/>
      <c r="U6" s="51"/>
      <c r="V6" s="51"/>
      <c r="W6" s="51"/>
      <c r="X6" s="51"/>
      <c r="Y6" s="51"/>
      <c r="Z6" s="51"/>
      <c r="AA6" s="51"/>
      <c r="AB6" s="51"/>
    </row>
    <row r="7" customFormat="false" ht="15" hidden="false" customHeight="true" outlineLevel="0" collapsed="false">
      <c r="B7" s="52" t="s">
        <v>120</v>
      </c>
      <c r="C7" s="53" t="n">
        <v>0.35</v>
      </c>
    </row>
    <row r="8" customFormat="false" ht="15" hidden="false" customHeight="true" outlineLevel="0" collapsed="false">
      <c r="B8" s="52" t="s">
        <v>121</v>
      </c>
      <c r="C8" s="53" t="n">
        <v>0.05</v>
      </c>
    </row>
    <row r="9" customFormat="false" ht="15" hidden="false" customHeight="true" outlineLevel="0" collapsed="false">
      <c r="B9" s="52" t="s">
        <v>122</v>
      </c>
      <c r="C9" s="54" t="n">
        <v>0.05</v>
      </c>
      <c r="D9" s="54" t="n">
        <v>0.1</v>
      </c>
      <c r="E9" s="54" t="n">
        <v>1</v>
      </c>
    </row>
    <row r="10" customFormat="false" ht="15" hidden="false" customHeight="true" outlineLevel="0" collapsed="false">
      <c r="B10" s="52" t="s">
        <v>123</v>
      </c>
      <c r="C10" s="53" t="n">
        <v>0</v>
      </c>
    </row>
    <row r="11" customFormat="false" ht="15" hidden="false" customHeight="true" outlineLevel="0" collapsed="false">
      <c r="B11" s="55" t="s">
        <v>124</v>
      </c>
    </row>
    <row r="13" customFormat="false" ht="15" hidden="false" customHeight="true" outlineLevel="0" collapsed="false">
      <c r="B13" s="56" t="s">
        <v>12</v>
      </c>
      <c r="C13" s="56" t="s">
        <v>125</v>
      </c>
      <c r="D13" s="56" t="s">
        <v>126</v>
      </c>
      <c r="E13" s="56" t="s">
        <v>15</v>
      </c>
      <c r="F13" s="56"/>
      <c r="G13" s="56"/>
      <c r="H13" s="56"/>
      <c r="I13" s="56"/>
      <c r="J13" s="56"/>
      <c r="K13" s="56"/>
      <c r="L13" s="56"/>
      <c r="M13" s="56"/>
      <c r="N13" s="56"/>
      <c r="O13" s="56" t="s">
        <v>16</v>
      </c>
      <c r="P13" s="56"/>
      <c r="Q13" s="56"/>
      <c r="R13" s="56"/>
      <c r="S13" s="56"/>
      <c r="T13" s="56"/>
      <c r="U13" s="56"/>
      <c r="V13" s="56"/>
      <c r="W13" s="56"/>
      <c r="X13" s="56"/>
      <c r="Y13" s="56" t="s">
        <v>17</v>
      </c>
      <c r="Z13" s="56"/>
      <c r="AA13" s="56"/>
      <c r="AB13" s="56"/>
      <c r="AC13" s="56"/>
      <c r="AD13" s="56"/>
      <c r="AE13" s="56"/>
      <c r="AF13" s="56"/>
      <c r="AG13" s="56"/>
      <c r="AH13" s="56"/>
      <c r="AI13" s="56"/>
      <c r="AJ13" s="56" t="s">
        <v>18</v>
      </c>
      <c r="AK13" s="56"/>
      <c r="AL13" s="56"/>
      <c r="AM13" s="56"/>
      <c r="AN13" s="56"/>
      <c r="AO13" s="56"/>
      <c r="AP13" s="56"/>
      <c r="AQ13" s="56"/>
      <c r="AR13" s="56"/>
      <c r="AS13" s="56"/>
      <c r="AT13" s="56" t="s">
        <v>14</v>
      </c>
      <c r="AU13" s="56"/>
      <c r="AV13" s="56"/>
      <c r="AW13" s="56"/>
      <c r="AX13" s="56"/>
      <c r="AY13" s="56"/>
      <c r="AZ13" s="56"/>
      <c r="BA13" s="56"/>
      <c r="BB13" s="56"/>
      <c r="BC13" s="56"/>
      <c r="BD13" s="56"/>
      <c r="BE13" s="56" t="s">
        <v>13</v>
      </c>
      <c r="BF13" s="56"/>
      <c r="BG13" s="56"/>
      <c r="BH13" s="56"/>
      <c r="BI13" s="56"/>
      <c r="BJ13" s="56"/>
      <c r="BK13" s="56"/>
      <c r="BL13" s="56"/>
      <c r="BM13" s="56"/>
      <c r="BN13" s="56"/>
      <c r="BO13" s="56"/>
    </row>
    <row r="14" customFormat="false" ht="31.5" hidden="false" customHeight="true" outlineLevel="0" collapsed="false">
      <c r="B14" s="56"/>
      <c r="C14" s="56"/>
      <c r="D14" s="56"/>
      <c r="E14" s="57" t="s">
        <v>127</v>
      </c>
      <c r="F14" s="57" t="s">
        <v>128</v>
      </c>
      <c r="G14" s="57" t="s">
        <v>129</v>
      </c>
      <c r="H14" s="57" t="s">
        <v>130</v>
      </c>
      <c r="I14" s="57" t="s">
        <v>131</v>
      </c>
      <c r="J14" s="57" t="s">
        <v>132</v>
      </c>
      <c r="K14" s="57" t="s">
        <v>133</v>
      </c>
      <c r="L14" s="57" t="s">
        <v>134</v>
      </c>
      <c r="M14" s="57" t="s">
        <v>135</v>
      </c>
      <c r="N14" s="57" t="s">
        <v>136</v>
      </c>
      <c r="O14" s="57" t="s">
        <v>127</v>
      </c>
      <c r="P14" s="57" t="s">
        <v>128</v>
      </c>
      <c r="Q14" s="57" t="s">
        <v>129</v>
      </c>
      <c r="R14" s="57" t="s">
        <v>130</v>
      </c>
      <c r="S14" s="57" t="s">
        <v>131</v>
      </c>
      <c r="T14" s="57" t="s">
        <v>132</v>
      </c>
      <c r="U14" s="57" t="s">
        <v>133</v>
      </c>
      <c r="V14" s="57" t="s">
        <v>134</v>
      </c>
      <c r="W14" s="57" t="s">
        <v>135</v>
      </c>
      <c r="X14" s="57" t="s">
        <v>136</v>
      </c>
      <c r="Y14" s="57" t="s">
        <v>127</v>
      </c>
      <c r="Z14" s="57" t="s">
        <v>128</v>
      </c>
      <c r="AA14" s="57" t="s">
        <v>129</v>
      </c>
      <c r="AB14" s="57" t="s">
        <v>130</v>
      </c>
      <c r="AC14" s="57" t="s">
        <v>131</v>
      </c>
      <c r="AD14" s="57" t="s">
        <v>132</v>
      </c>
      <c r="AE14" s="57" t="s">
        <v>137</v>
      </c>
      <c r="AF14" s="57" t="s">
        <v>133</v>
      </c>
      <c r="AG14" s="57" t="s">
        <v>134</v>
      </c>
      <c r="AH14" s="57" t="s">
        <v>135</v>
      </c>
      <c r="AI14" s="57" t="s">
        <v>136</v>
      </c>
      <c r="AJ14" s="57" t="s">
        <v>127</v>
      </c>
      <c r="AK14" s="57" t="s">
        <v>128</v>
      </c>
      <c r="AL14" s="57" t="s">
        <v>129</v>
      </c>
      <c r="AM14" s="57" t="s">
        <v>130</v>
      </c>
      <c r="AN14" s="57" t="s">
        <v>131</v>
      </c>
      <c r="AO14" s="57" t="s">
        <v>132</v>
      </c>
      <c r="AP14" s="57" t="s">
        <v>133</v>
      </c>
      <c r="AQ14" s="57" t="s">
        <v>134</v>
      </c>
      <c r="AR14" s="57" t="s">
        <v>135</v>
      </c>
      <c r="AS14" s="57" t="s">
        <v>136</v>
      </c>
      <c r="AT14" s="57" t="s">
        <v>127</v>
      </c>
      <c r="AU14" s="57" t="s">
        <v>128</v>
      </c>
      <c r="AV14" s="57" t="s">
        <v>129</v>
      </c>
      <c r="AW14" s="57" t="s">
        <v>130</v>
      </c>
      <c r="AX14" s="57" t="s">
        <v>131</v>
      </c>
      <c r="AY14" s="57" t="s">
        <v>132</v>
      </c>
      <c r="AZ14" s="57" t="s">
        <v>138</v>
      </c>
      <c r="BA14" s="57" t="s">
        <v>133</v>
      </c>
      <c r="BB14" s="57" t="s">
        <v>134</v>
      </c>
      <c r="BC14" s="57" t="s">
        <v>135</v>
      </c>
      <c r="BD14" s="57" t="s">
        <v>136</v>
      </c>
      <c r="BE14" s="57" t="s">
        <v>127</v>
      </c>
      <c r="BF14" s="57" t="s">
        <v>128</v>
      </c>
      <c r="BG14" s="57" t="s">
        <v>129</v>
      </c>
      <c r="BH14" s="57" t="s">
        <v>130</v>
      </c>
      <c r="BI14" s="57" t="s">
        <v>131</v>
      </c>
      <c r="BJ14" s="57" t="s">
        <v>132</v>
      </c>
      <c r="BK14" s="57" t="s">
        <v>139</v>
      </c>
      <c r="BL14" s="57" t="s">
        <v>133</v>
      </c>
      <c r="BM14" s="57" t="s">
        <v>134</v>
      </c>
      <c r="BN14" s="57" t="s">
        <v>135</v>
      </c>
      <c r="BO14" s="57" t="s">
        <v>136</v>
      </c>
    </row>
    <row r="15" customFormat="false" ht="15" hidden="false" customHeight="true" outlineLevel="0" collapsed="false">
      <c r="B15" s="1" t="s">
        <v>9</v>
      </c>
      <c r="C15" s="1" t="s">
        <v>140</v>
      </c>
      <c r="D15" s="58" t="n">
        <v>6.776</v>
      </c>
      <c r="E15" s="59" t="n">
        <f aca="false">COUNTIFS(Offers!$B$7:$B$3000,$B15,Offers!$C$7:$C$3000,"Austria",Offers!$AI$7:$AI$3000,"yes")</f>
        <v>9</v>
      </c>
      <c r="F15" s="60" t="n">
        <f aca="false">IF(E15=0,"—",SUMIFS(Review!$I$7:$I$600,Review!$B$7:$B$600,$B15,Review!$C$7:$C$600,"Austria"))</f>
        <v>7.83</v>
      </c>
      <c r="G15" s="60" t="n">
        <f aca="false">IF(E15=0,"—",SUMIFS(Review!$J$7:$J$600,Review!$B$7:$B$600,$B15,Review!$C$7:$C$600,"Austria"))</f>
        <v>14.07</v>
      </c>
      <c r="H15" s="60" t="n">
        <f aca="false">IF(E15=0,"—",SUMIFS(Review!$K$7:$K$600,Review!$B$7:$B$600,$B15,Review!$C$7:$C$600,"Austria"))</f>
        <v>23</v>
      </c>
      <c r="I15" s="61" t="str">
        <f aca="false">IF(E15=0,"—",IF(F15&lt;G15*(1-$C$7),"median (cheapest is an outlier)",IF(F15*(1-$C$6)&lt;G15*(1-$C$5),"undercut cheapest","median")))</f>
        <v>median (cheapest is an outlier)</v>
      </c>
      <c r="J15" s="62" t="n">
        <f aca="false">IF(E15=0,"—",IF(AND(ISNUMBER($D15),$D15*(1+$C$10)&gt;FLOOR(IF(F15&lt;G15*(1-$C$7),G15*(1-$C$5-IF(E15&lt;3,$C$8,0)),MIN(G15*(1-$C$5-IF(E15&lt;3,$C$8,0)),F15*(1-$C$6-IF(E15&lt;3,$C$8,0)))),IF(IF(F15&lt;G15*(1-$C$7),G15*(1-$C$5-IF(E15&lt;3,$C$8,0)),MIN(G15*(1-$C$5-IF(E15&lt;3,$C$8,0)),F15*(1-$C$6-IF(E15&lt;3,$C$8,0))))&lt;10,$C$9,IF(IF(F15&lt;G15*(1-$C$7),G15*(1-$C$5-IF(E15&lt;3,$C$8,0)),MIN(G15*(1-$C$5-IF(E15&lt;3,$C$8,0)),F15*(1-$C$6-IF(E15&lt;3,$C$8,0))))&lt;100,$D$9,$E$9)))),ROUND($D15*(1+$C$10),2),FLOOR(IF(F15&lt;G15*(1-$C$7),G15*(1-$C$5-IF(E15&lt;3,$C$8,0)),MIN(G15*(1-$C$5-IF(E15&lt;3,$C$8,0)),F15*(1-$C$6-IF(E15&lt;3,$C$8,0)))),IF(IF(F15&lt;G15*(1-$C$7),G15*(1-$C$5-IF(E15&lt;3,$C$8,0)),MIN(G15*(1-$C$5-IF(E15&lt;3,$C$8,0)),F15*(1-$C$6-IF(E15&lt;3,$C$8,0))))&lt;10,$C$9,IF(IF(F15&lt;G15*(1-$C$7),G15*(1-$C$5-IF(E15&lt;3,$C$8,0)),MIN(G15*(1-$C$5-IF(E15&lt;3,$C$8,0)),F15*(1-$C$6-IF(E15&lt;3,$C$8,0))))&lt;100,$D$9,$E$9)))))</f>
        <v>10.5</v>
      </c>
      <c r="K15" s="60" t="n">
        <f aca="false">IF(ISNUMBER($D15),$D15,"n/a")</f>
        <v>6.776</v>
      </c>
      <c r="L15" s="63" t="n">
        <f aca="false">IF(OR(E15=0,NOT(ISNUMBER($D15))),"—",J15/$D15-1)</f>
        <v>0.549586776859504</v>
      </c>
      <c r="M15" s="64" t="n">
        <f aca="false">IF(E15=0,"—",J15/F15-1)</f>
        <v>0.340996168582375</v>
      </c>
      <c r="N15" s="64" t="n">
        <f aca="false">IF(E15=0,"—",J15/G15-1)</f>
        <v>-0.253731343283582</v>
      </c>
      <c r="O15" s="59" t="n">
        <f aca="false">COUNTIFS(Offers!$B$7:$B$3000,$B15,Offers!$C$7:$C$3000,"Germany",Offers!$AI$7:$AI$3000,"yes")</f>
        <v>8</v>
      </c>
      <c r="P15" s="60" t="n">
        <f aca="false">IF(O15=0,"—",SUMIFS(Review!$I$7:$I$600,Review!$B$7:$B$600,$B15,Review!$C$7:$C$600,"Germany"))</f>
        <v>7.26</v>
      </c>
      <c r="Q15" s="60" t="n">
        <f aca="false">IF(O15=0,"—",SUMIFS(Review!$J$7:$J$600,Review!$B$7:$B$600,$B15,Review!$C$7:$C$600,"Germany"))</f>
        <v>13.11</v>
      </c>
      <c r="R15" s="60" t="n">
        <f aca="false">IF(O15=0,"—",SUMIFS(Review!$K$7:$K$600,Review!$B$7:$B$600,$B15,Review!$C$7:$C$600,"Germany"))</f>
        <v>22.43</v>
      </c>
      <c r="S15" s="61" t="str">
        <f aca="false">IF(O15=0,"—",IF(P15&lt;Q15*(1-$C$7),"median (cheapest is an outlier)",IF(P15*(1-$C$6)&lt;Q15*(1-$C$5),"undercut cheapest","median")))</f>
        <v>median (cheapest is an outlier)</v>
      </c>
      <c r="T15" s="62" t="n">
        <f aca="false">IF(O15=0,"—",IF(AND(ISNUMBER($D15),$D15*(1+$C$10)&gt;FLOOR(IF(P15&lt;Q15*(1-$C$7),Q15*(1-$C$5-IF(O15&lt;3,$C$8,0)),MIN(Q15*(1-$C$5-IF(O15&lt;3,$C$8,0)),P15*(1-$C$6-IF(O15&lt;3,$C$8,0)))),IF(IF(P15&lt;Q15*(1-$C$7),Q15*(1-$C$5-IF(O15&lt;3,$C$8,0)),MIN(Q15*(1-$C$5-IF(O15&lt;3,$C$8,0)),P15*(1-$C$6-IF(O15&lt;3,$C$8,0))))&lt;10,$C$9,IF(IF(P15&lt;Q15*(1-$C$7),Q15*(1-$C$5-IF(O15&lt;3,$C$8,0)),MIN(Q15*(1-$C$5-IF(O15&lt;3,$C$8,0)),P15*(1-$C$6-IF(O15&lt;3,$C$8,0))))&lt;100,$D$9,$E$9)))),ROUND($D15*(1+$C$10),2),FLOOR(IF(P15&lt;Q15*(1-$C$7),Q15*(1-$C$5-IF(O15&lt;3,$C$8,0)),MIN(Q15*(1-$C$5-IF(O15&lt;3,$C$8,0)),P15*(1-$C$6-IF(O15&lt;3,$C$8,0)))),IF(IF(P15&lt;Q15*(1-$C$7),Q15*(1-$C$5-IF(O15&lt;3,$C$8,0)),MIN(Q15*(1-$C$5-IF(O15&lt;3,$C$8,0)),P15*(1-$C$6-IF(O15&lt;3,$C$8,0))))&lt;10,$C$9,IF(IF(P15&lt;Q15*(1-$C$7),Q15*(1-$C$5-IF(O15&lt;3,$C$8,0)),MIN(Q15*(1-$C$5-IF(O15&lt;3,$C$8,0)),P15*(1-$C$6-IF(O15&lt;3,$C$8,0))))&lt;100,$D$9,$E$9)))))</f>
        <v>9.8</v>
      </c>
      <c r="U15" s="60" t="n">
        <f aca="false">IF(ISNUMBER($D15),$D15,"n/a")</f>
        <v>6.776</v>
      </c>
      <c r="V15" s="63" t="n">
        <f aca="false">IF(OR(O15=0,NOT(ISNUMBER($D15))),"—",T15/$D15-1)</f>
        <v>0.446280991735537</v>
      </c>
      <c r="W15" s="64" t="n">
        <f aca="false">IF(O15=0,"—",T15/P15-1)</f>
        <v>0.349862258953168</v>
      </c>
      <c r="X15" s="64" t="n">
        <f aca="false">IF(O15=0,"—",T15/Q15-1)</f>
        <v>-0.252479023646072</v>
      </c>
      <c r="Y15" s="59" t="n">
        <f aca="false">COUNTIFS(Offers!$B$7:$B$3000,$B15,Offers!$C$7:$C$3000,"Czech",Offers!$AI$7:$AI$3000,"yes")</f>
        <v>6</v>
      </c>
      <c r="Z15" s="60" t="n">
        <f aca="false">IF(Y15=0,"—",SUMIFS(Review!$I$7:$I$600,Review!$B$7:$B$600,$B15,Review!$C$7:$C$600,"Czech"))</f>
        <v>7.804741</v>
      </c>
      <c r="AA15" s="60" t="n">
        <f aca="false">IF(Y15=0,"—",SUMIFS(Review!$J$7:$J$600,Review!$B$7:$B$600,$B15,Review!$C$7:$C$600,"Czech"))</f>
        <v>12.1480785</v>
      </c>
      <c r="AB15" s="60" t="n">
        <f aca="false">IF(Y15=0,"—",SUMIFS(Review!$K$7:$K$600,Review!$B$7:$B$600,$B15,Review!$C$7:$C$600,"Czech"))</f>
        <v>16.986838</v>
      </c>
      <c r="AC15" s="61" t="str">
        <f aca="false">IF(Y15=0,"—",IF(Z15&lt;AA15*(1-$C$7),"median (cheapest is an outlier)",IF(Z15*(1-$C$6)&lt;AA15*(1-$C$5),"undercut cheapest","median")))</f>
        <v>median (cheapest is an outlier)</v>
      </c>
      <c r="AD15" s="62" t="n">
        <f aca="false">IF(Y15=0,"—",IF(AND(ISNUMBER($D15),$D15*(1+$C$10)&gt;FLOOR(IF(Z15&lt;AA15*(1-$C$7),AA15*(1-$C$5-IF(Y15&lt;3,$C$8,0)),MIN(AA15*(1-$C$5-IF(Y15&lt;3,$C$8,0)),Z15*(1-$C$6-IF(Y15&lt;3,$C$8,0)))),IF(IF(Z15&lt;AA15*(1-$C$7),AA15*(1-$C$5-IF(Y15&lt;3,$C$8,0)),MIN(AA15*(1-$C$5-IF(Y15&lt;3,$C$8,0)),Z15*(1-$C$6-IF(Y15&lt;3,$C$8,0))))&lt;10,$C$9,IF(IF(Z15&lt;AA15*(1-$C$7),AA15*(1-$C$5-IF(Y15&lt;3,$C$8,0)),MIN(AA15*(1-$C$5-IF(Y15&lt;3,$C$8,0)),Z15*(1-$C$6-IF(Y15&lt;3,$C$8,0))))&lt;100,$D$9,$E$9)))),ROUND($D15*(1+$C$10),2),FLOOR(IF(Z15&lt;AA15*(1-$C$7),AA15*(1-$C$5-IF(Y15&lt;3,$C$8,0)),MIN(AA15*(1-$C$5-IF(Y15&lt;3,$C$8,0)),Z15*(1-$C$6-IF(Y15&lt;3,$C$8,0)))),IF(IF(Z15&lt;AA15*(1-$C$7),AA15*(1-$C$5-IF(Y15&lt;3,$C$8,0)),MIN(AA15*(1-$C$5-IF(Y15&lt;3,$C$8,0)),Z15*(1-$C$6-IF(Y15&lt;3,$C$8,0))))&lt;10,$C$9,IF(IF(Z15&lt;AA15*(1-$C$7),AA15*(1-$C$5-IF(Y15&lt;3,$C$8,0)),MIN(AA15*(1-$C$5-IF(Y15&lt;3,$C$8,0)),Z15*(1-$C$6-IF(Y15&lt;3,$C$8,0))))&lt;100,$D$9,$E$9)))))</f>
        <v>9.1</v>
      </c>
      <c r="AE15" s="65" t="n">
        <f aca="false">IF(Y15=0,"—",FLOOR(AD15*Sources!$G$10,1))</f>
        <v>222</v>
      </c>
      <c r="AF15" s="60" t="n">
        <f aca="false">IF(ISNUMBER($D15),$D15,"n/a")</f>
        <v>6.776</v>
      </c>
      <c r="AG15" s="63" t="n">
        <f aca="false">IF(OR(Y15=0,NOT(ISNUMBER($D15))),"—",AD15/$D15-1)</f>
        <v>0.34297520661157</v>
      </c>
      <c r="AH15" s="64" t="n">
        <f aca="false">IF(Y15=0,"—",AD15/Z15-1)</f>
        <v>0.165957973493291</v>
      </c>
      <c r="AI15" s="64" t="n">
        <f aca="false">IF(Y15=0,"—",AD15/AA15-1)</f>
        <v>-0.250910339441748</v>
      </c>
      <c r="AJ15" s="59" t="n">
        <f aca="false">COUNTIFS(Offers!$B$7:$B$3000,$B15,Offers!$C$7:$C$3000,"Slovakia",Offers!$AI$7:$AI$3000,"yes")</f>
        <v>2</v>
      </c>
      <c r="AK15" s="60" t="n">
        <f aca="false">IF(AJ15=0,"—",SUMIFS(Review!$I$7:$I$600,Review!$B$7:$B$600,$B15,Review!$C$7:$C$600,"Slovakia"))</f>
        <v>16.455285</v>
      </c>
      <c r="AL15" s="60" t="n">
        <f aca="false">IF(AJ15=0,"—",SUMIFS(Review!$J$7:$J$600,Review!$B$7:$B$600,$B15,Review!$C$7:$C$600,"Slovakia"))</f>
        <v>18.4676425</v>
      </c>
      <c r="AM15" s="60" t="n">
        <f aca="false">IF(AJ15=0,"—",SUMIFS(Review!$K$7:$K$600,Review!$B$7:$B$600,$B15,Review!$C$7:$C$600,"Slovakia"))</f>
        <v>20.48</v>
      </c>
      <c r="AN15" s="61" t="str">
        <f aca="false">IF(AJ15=0,"—",IF(AK15&lt;AL15*(1-$C$7),"median (cheapest is an outlier)",IF(AK15*(1-$C$6)&lt;AL15*(1-$C$5),"undercut cheapest","median")))</f>
        <v>median</v>
      </c>
      <c r="AO15" s="62" t="n">
        <f aca="false">IF(AJ15=0,"—",IF(AND(ISNUMBER($D15),$D15*(1+$C$10)&gt;FLOOR(IF(AK15&lt;AL15*(1-$C$7),AL15*(1-$C$5-IF(AJ15&lt;3,$C$8,0)),MIN(AL15*(1-$C$5-IF(AJ15&lt;3,$C$8,0)),AK15*(1-$C$6-IF(AJ15&lt;3,$C$8,0)))),IF(IF(AK15&lt;AL15*(1-$C$7),AL15*(1-$C$5-IF(AJ15&lt;3,$C$8,0)),MIN(AL15*(1-$C$5-IF(AJ15&lt;3,$C$8,0)),AK15*(1-$C$6-IF(AJ15&lt;3,$C$8,0))))&lt;10,$C$9,IF(IF(AK15&lt;AL15*(1-$C$7),AL15*(1-$C$5-IF(AJ15&lt;3,$C$8,0)),MIN(AL15*(1-$C$5-IF(AJ15&lt;3,$C$8,0)),AK15*(1-$C$6-IF(AJ15&lt;3,$C$8,0))))&lt;100,$D$9,$E$9)))),ROUND($D15*(1+$C$10),2),FLOOR(IF(AK15&lt;AL15*(1-$C$7),AL15*(1-$C$5-IF(AJ15&lt;3,$C$8,0)),MIN(AL15*(1-$C$5-IF(AJ15&lt;3,$C$8,0)),AK15*(1-$C$6-IF(AJ15&lt;3,$C$8,0)))),IF(IF(AK15&lt;AL15*(1-$C$7),AL15*(1-$C$5-IF(AJ15&lt;3,$C$8,0)),MIN(AL15*(1-$C$5-IF(AJ15&lt;3,$C$8,0)),AK15*(1-$C$6-IF(AJ15&lt;3,$C$8,0))))&lt;10,$C$9,IF(IF(AK15&lt;AL15*(1-$C$7),AL15*(1-$C$5-IF(AJ15&lt;3,$C$8,0)),MIN(AL15*(1-$C$5-IF(AJ15&lt;3,$C$8,0)),AK15*(1-$C$6-IF(AJ15&lt;3,$C$8,0))))&lt;100,$D$9,$E$9)))))</f>
        <v>12.9</v>
      </c>
      <c r="AP15" s="60" t="n">
        <f aca="false">IF(ISNUMBER($D15),$D15,"n/a")</f>
        <v>6.776</v>
      </c>
      <c r="AQ15" s="63" t="n">
        <f aca="false">IF(OR(AJ15=0,NOT(ISNUMBER($D15))),"—",AO15/$D15-1)</f>
        <v>0.903778040141677</v>
      </c>
      <c r="AR15" s="64" t="n">
        <f aca="false">IF(AJ15=0,"—",AO15/AK15-1)</f>
        <v>-0.216057333555754</v>
      </c>
      <c r="AS15" s="64" t="n">
        <f aca="false">IF(AJ15=0,"—",AO15/AL15-1)</f>
        <v>-0.301480955135448</v>
      </c>
      <c r="AT15" s="59" t="n">
        <f aca="false">COUNTIFS(Offers!$B$7:$B$3000,$B15,Offers!$C$7:$C$3000,"Romania",Offers!$AI$7:$AI$3000,"yes")</f>
        <v>11</v>
      </c>
      <c r="AU15" s="60" t="n">
        <f aca="false">IF(AT15=0,"—",SUMIFS(Review!$I$7:$I$600,Review!$B$7:$B$600,$B15,Review!$C$7:$C$600,"Romania"))</f>
        <v>8</v>
      </c>
      <c r="AV15" s="60" t="n">
        <f aca="false">IF(AT15=0,"—",SUMIFS(Review!$J$7:$J$600,Review!$B$7:$B$600,$B15,Review!$C$7:$C$600,"Romania"))</f>
        <v>10.029101</v>
      </c>
      <c r="AW15" s="60" t="n">
        <f aca="false">IF(AT15=0,"—",SUMIFS(Review!$K$7:$K$600,Review!$B$7:$B$600,$B15,Review!$C$7:$C$600,"Romania"))</f>
        <v>17.413081</v>
      </c>
      <c r="AX15" s="61" t="str">
        <f aca="false">IF(AT15=0,"—",IF(AU15&lt;AV15*(1-$C$7),"median (cheapest is an outlier)",IF(AU15*(1-$C$6)&lt;AV15*(1-$C$5),"undercut cheapest","median")))</f>
        <v>median</v>
      </c>
      <c r="AY15" s="62" t="n">
        <f aca="false">IF(AT15=0,"—",IF(AND(ISNUMBER($D15),$D15*(1+$C$10)&gt;FLOOR(IF(AU15&lt;AV15*(1-$C$7),AV15*(1-$C$5-IF(AT15&lt;3,$C$8,0)),MIN(AV15*(1-$C$5-IF(AT15&lt;3,$C$8,0)),AU15*(1-$C$6-IF(AT15&lt;3,$C$8,0)))),IF(IF(AU15&lt;AV15*(1-$C$7),AV15*(1-$C$5-IF(AT15&lt;3,$C$8,0)),MIN(AV15*(1-$C$5-IF(AT15&lt;3,$C$8,0)),AU15*(1-$C$6-IF(AT15&lt;3,$C$8,0))))&lt;10,$C$9,IF(IF(AU15&lt;AV15*(1-$C$7),AV15*(1-$C$5-IF(AT15&lt;3,$C$8,0)),MIN(AV15*(1-$C$5-IF(AT15&lt;3,$C$8,0)),AU15*(1-$C$6-IF(AT15&lt;3,$C$8,0))))&lt;100,$D$9,$E$9)))),ROUND($D15*(1+$C$10),2),FLOOR(IF(AU15&lt;AV15*(1-$C$7),AV15*(1-$C$5-IF(AT15&lt;3,$C$8,0)),MIN(AV15*(1-$C$5-IF(AT15&lt;3,$C$8,0)),AU15*(1-$C$6-IF(AT15&lt;3,$C$8,0)))),IF(IF(AU15&lt;AV15*(1-$C$7),AV15*(1-$C$5-IF(AT15&lt;3,$C$8,0)),MIN(AV15*(1-$C$5-IF(AT15&lt;3,$C$8,0)),AU15*(1-$C$6-IF(AT15&lt;3,$C$8,0))))&lt;10,$C$9,IF(IF(AU15&lt;AV15*(1-$C$7),AV15*(1-$C$5-IF(AT15&lt;3,$C$8,0)),MIN(AV15*(1-$C$5-IF(AT15&lt;3,$C$8,0)),AU15*(1-$C$6-IF(AT15&lt;3,$C$8,0))))&lt;100,$D$9,$E$9)))))</f>
        <v>7.5</v>
      </c>
      <c r="AZ15" s="62" t="n">
        <f aca="false">IF(AT15=0,"—",FLOOR(AY15*Sources!$G$9,0.1))</f>
        <v>39.5</v>
      </c>
      <c r="BA15" s="60" t="n">
        <f aca="false">IF(ISNUMBER($D15),$D15,"n/a")</f>
        <v>6.776</v>
      </c>
      <c r="BB15" s="63" t="n">
        <f aca="false">IF(OR(AT15=0,NOT(ISNUMBER($D15))),"—",AY15/$D15-1)</f>
        <v>0.106847697756789</v>
      </c>
      <c r="BC15" s="64" t="n">
        <f aca="false">IF(AT15=0,"—",AY15/AU15-1)</f>
        <v>-0.0625</v>
      </c>
      <c r="BD15" s="64" t="n">
        <f aca="false">IF(AT15=0,"—",AY15/AV15-1)</f>
        <v>-0.252176241918393</v>
      </c>
      <c r="BE15" s="59" t="n">
        <f aca="false">COUNTIFS(Offers!$B$7:$B$3000,$B15,Offers!$C$7:$C$3000,"Hungary",Offers!$AI$7:$AI$3000,"yes")</f>
        <v>6</v>
      </c>
      <c r="BF15" s="60" t="n">
        <f aca="false">IF(BE15=0,"—",SUMIFS(Review!$I$7:$I$600,Review!$B$7:$B$600,$B15,Review!$C$7:$C$600,"Hungary"))</f>
        <v>6.883177</v>
      </c>
      <c r="BG15" s="60" t="n">
        <f aca="false">IF(BE15=0,"—",SUMIFS(Review!$J$7:$J$600,Review!$B$7:$B$600,$B15,Review!$C$7:$C$600,"Hungary"))</f>
        <v>10.912021</v>
      </c>
      <c r="BH15" s="60" t="n">
        <f aca="false">IF(BE15=0,"—",SUMIFS(Review!$K$7:$K$600,Review!$B$7:$B$600,$B15,Review!$C$7:$C$600,"Hungary"))</f>
        <v>19.764552</v>
      </c>
      <c r="BI15" s="61" t="str">
        <f aca="false">IF(BE15=0,"—",IF(BF15&lt;BG15*(1-$C$7),"median (cheapest is an outlier)",IF(BF15*(1-$C$6)&lt;BG15*(1-$C$5),"undercut cheapest","median")))</f>
        <v>median (cheapest is an outlier)</v>
      </c>
      <c r="BJ15" s="62" t="n">
        <f aca="false">IF(BE15=0,"—",IF(AND(ISNUMBER($D15),$D15*(1+$C$10)&gt;FLOOR(IF(BF15&lt;BG15*(1-$C$7),BG15*(1-$C$5-IF(BE15&lt;3,$C$8,0)),MIN(BG15*(1-$C$5-IF(BE15&lt;3,$C$8,0)),BF15*(1-$C$6-IF(BE15&lt;3,$C$8,0)))),IF(IF(BF15&lt;BG15*(1-$C$7),BG15*(1-$C$5-IF(BE15&lt;3,$C$8,0)),MIN(BG15*(1-$C$5-IF(BE15&lt;3,$C$8,0)),BF15*(1-$C$6-IF(BE15&lt;3,$C$8,0))))&lt;10,$C$9,IF(IF(BF15&lt;BG15*(1-$C$7),BG15*(1-$C$5-IF(BE15&lt;3,$C$8,0)),MIN(BG15*(1-$C$5-IF(BE15&lt;3,$C$8,0)),BF15*(1-$C$6-IF(BE15&lt;3,$C$8,0))))&lt;100,$D$9,$E$9)))),ROUND($D15*(1+$C$10),2),FLOOR(IF(BF15&lt;BG15*(1-$C$7),BG15*(1-$C$5-IF(BE15&lt;3,$C$8,0)),MIN(BG15*(1-$C$5-IF(BE15&lt;3,$C$8,0)),BF15*(1-$C$6-IF(BE15&lt;3,$C$8,0)))),IF(IF(BF15&lt;BG15*(1-$C$7),BG15*(1-$C$5-IF(BE15&lt;3,$C$8,0)),MIN(BG15*(1-$C$5-IF(BE15&lt;3,$C$8,0)),BF15*(1-$C$6-IF(BE15&lt;3,$C$8,0))))&lt;10,$C$9,IF(IF(BF15&lt;BG15*(1-$C$7),BG15*(1-$C$5-IF(BE15&lt;3,$C$8,0)),MIN(BG15*(1-$C$5-IF(BE15&lt;3,$C$8,0)),BF15*(1-$C$6-IF(BE15&lt;3,$C$8,0))))&lt;100,$D$9,$E$9)))))</f>
        <v>8.15</v>
      </c>
      <c r="BK15" s="65" t="n">
        <f aca="false">IF(BE15=0,"—",FLOOR(BJ15*Sources!$G$8,10))</f>
        <v>2980</v>
      </c>
      <c r="BL15" s="60" t="n">
        <f aca="false">IF(ISNUMBER($D15),$D15,"n/a")</f>
        <v>6.776</v>
      </c>
      <c r="BM15" s="63" t="n">
        <f aca="false">IF(OR(BE15=0,NOT(ISNUMBER($D15))),"—",BJ15/$D15-1)</f>
        <v>0.202774498229044</v>
      </c>
      <c r="BN15" s="64" t="n">
        <f aca="false">IF(BE15=0,"—",BJ15/BF15-1)</f>
        <v>0.18404626235821</v>
      </c>
      <c r="BO15" s="64" t="n">
        <f aca="false">IF(BE15=0,"—",BJ15/BG15-1)</f>
        <v>-0.253117273143078</v>
      </c>
    </row>
    <row r="16" customFormat="false" ht="15" hidden="false" customHeight="true" outlineLevel="0" collapsed="false">
      <c r="B16" s="66" t="s">
        <v>22</v>
      </c>
      <c r="C16" s="66" t="s">
        <v>141</v>
      </c>
      <c r="D16" s="58" t="n">
        <v>5.324</v>
      </c>
      <c r="E16" s="67" t="n">
        <f aca="false">COUNTIFS(Offers!$B$7:$B$3000,$B16,Offers!$C$7:$C$3000,"Austria",Offers!$AI$7:$AI$3000,"yes")</f>
        <v>9</v>
      </c>
      <c r="F16" s="68" t="n">
        <f aca="false">IF(E16=0,"—",SUMIFS(Review!$I$7:$I$600,Review!$B$7:$B$600,$B16,Review!$C$7:$C$600,"Austria"))</f>
        <v>7.29</v>
      </c>
      <c r="G16" s="68" t="n">
        <f aca="false">IF(E16=0,"—",SUMIFS(Review!$J$7:$J$600,Review!$B$7:$B$600,$B16,Review!$C$7:$C$600,"Austria"))</f>
        <v>10.9</v>
      </c>
      <c r="H16" s="68" t="n">
        <f aca="false">IF(E16=0,"—",SUMIFS(Review!$K$7:$K$600,Review!$B$7:$B$600,$B16,Review!$C$7:$C$600,"Austria"))</f>
        <v>21</v>
      </c>
      <c r="I16" s="69" t="str">
        <f aca="false">IF(E16=0,"—",IF(F16&lt;G16*(1-$C$7),"median (cheapest is an outlier)",IF(F16*(1-$C$6)&lt;G16*(1-$C$5),"undercut cheapest","median")))</f>
        <v>undercut cheapest</v>
      </c>
      <c r="J16" s="70" t="n">
        <f aca="false">IF(E16=0,"—",IF(AND(ISNUMBER($D16),$D16*(1+$C$10)&gt;FLOOR(IF(F16&lt;G16*(1-$C$7),G16*(1-$C$5-IF(E16&lt;3,$C$8,0)),MIN(G16*(1-$C$5-IF(E16&lt;3,$C$8,0)),F16*(1-$C$6-IF(E16&lt;3,$C$8,0)))),IF(IF(F16&lt;G16*(1-$C$7),G16*(1-$C$5-IF(E16&lt;3,$C$8,0)),MIN(G16*(1-$C$5-IF(E16&lt;3,$C$8,0)),F16*(1-$C$6-IF(E16&lt;3,$C$8,0))))&lt;10,$C$9,IF(IF(F16&lt;G16*(1-$C$7),G16*(1-$C$5-IF(E16&lt;3,$C$8,0)),MIN(G16*(1-$C$5-IF(E16&lt;3,$C$8,0)),F16*(1-$C$6-IF(E16&lt;3,$C$8,0))))&lt;100,$D$9,$E$9)))),ROUND($D16*(1+$C$10),2),FLOOR(IF(F16&lt;G16*(1-$C$7),G16*(1-$C$5-IF(E16&lt;3,$C$8,0)),MIN(G16*(1-$C$5-IF(E16&lt;3,$C$8,0)),F16*(1-$C$6-IF(E16&lt;3,$C$8,0)))),IF(IF(F16&lt;G16*(1-$C$7),G16*(1-$C$5-IF(E16&lt;3,$C$8,0)),MIN(G16*(1-$C$5-IF(E16&lt;3,$C$8,0)),F16*(1-$C$6-IF(E16&lt;3,$C$8,0))))&lt;10,$C$9,IF(IF(F16&lt;G16*(1-$C$7),G16*(1-$C$5-IF(E16&lt;3,$C$8,0)),MIN(G16*(1-$C$5-IF(E16&lt;3,$C$8,0)),F16*(1-$C$6-IF(E16&lt;3,$C$8,0))))&lt;100,$D$9,$E$9)))))</f>
        <v>6.9</v>
      </c>
      <c r="K16" s="68" t="n">
        <f aca="false">IF(ISNUMBER($D16),$D16,"n/a")</f>
        <v>5.324</v>
      </c>
      <c r="L16" s="71" t="n">
        <f aca="false">IF(OR(E16=0,NOT(ISNUMBER($D16))),"—",J16/$D16-1)</f>
        <v>0.296018031555222</v>
      </c>
      <c r="M16" s="72" t="n">
        <f aca="false">IF(E16=0,"—",J16/F16-1)</f>
        <v>-0.0534979423868313</v>
      </c>
      <c r="N16" s="72" t="n">
        <f aca="false">IF(E16=0,"—",J16/G16-1)</f>
        <v>-0.36697247706422</v>
      </c>
      <c r="O16" s="67" t="n">
        <f aca="false">COUNTIFS(Offers!$B$7:$B$3000,$B16,Offers!$C$7:$C$3000,"Germany",Offers!$AI$7:$AI$3000,"yes")</f>
        <v>8</v>
      </c>
      <c r="P16" s="68" t="n">
        <f aca="false">IF(O16=0,"—",SUMIFS(Review!$I$7:$I$600,Review!$B$7:$B$600,$B16,Review!$C$7:$C$600,"Germany"))</f>
        <v>5.82</v>
      </c>
      <c r="Q16" s="68" t="n">
        <f aca="false">IF(O16=0,"—",SUMIFS(Review!$J$7:$J$600,Review!$B$7:$B$600,$B16,Review!$C$7:$C$600,"Germany"))</f>
        <v>9.35</v>
      </c>
      <c r="R16" s="68" t="n">
        <f aca="false">IF(O16=0,"—",SUMIFS(Review!$K$7:$K$600,Review!$B$7:$B$600,$B16,Review!$C$7:$C$600,"Germany"))</f>
        <v>18.75</v>
      </c>
      <c r="S16" s="69" t="str">
        <f aca="false">IF(O16=0,"—",IF(P16&lt;Q16*(1-$C$7),"median (cheapest is an outlier)",IF(P16*(1-$C$6)&lt;Q16*(1-$C$5),"undercut cheapest","median")))</f>
        <v>median (cheapest is an outlier)</v>
      </c>
      <c r="T16" s="70" t="n">
        <f aca="false">IF(O16=0,"—",IF(AND(ISNUMBER($D16),$D16*(1+$C$10)&gt;FLOOR(IF(P16&lt;Q16*(1-$C$7),Q16*(1-$C$5-IF(O16&lt;3,$C$8,0)),MIN(Q16*(1-$C$5-IF(O16&lt;3,$C$8,0)),P16*(1-$C$6-IF(O16&lt;3,$C$8,0)))),IF(IF(P16&lt;Q16*(1-$C$7),Q16*(1-$C$5-IF(O16&lt;3,$C$8,0)),MIN(Q16*(1-$C$5-IF(O16&lt;3,$C$8,0)),P16*(1-$C$6-IF(O16&lt;3,$C$8,0))))&lt;10,$C$9,IF(IF(P16&lt;Q16*(1-$C$7),Q16*(1-$C$5-IF(O16&lt;3,$C$8,0)),MIN(Q16*(1-$C$5-IF(O16&lt;3,$C$8,0)),P16*(1-$C$6-IF(O16&lt;3,$C$8,0))))&lt;100,$D$9,$E$9)))),ROUND($D16*(1+$C$10),2),FLOOR(IF(P16&lt;Q16*(1-$C$7),Q16*(1-$C$5-IF(O16&lt;3,$C$8,0)),MIN(Q16*(1-$C$5-IF(O16&lt;3,$C$8,0)),P16*(1-$C$6-IF(O16&lt;3,$C$8,0)))),IF(IF(P16&lt;Q16*(1-$C$7),Q16*(1-$C$5-IF(O16&lt;3,$C$8,0)),MIN(Q16*(1-$C$5-IF(O16&lt;3,$C$8,0)),P16*(1-$C$6-IF(O16&lt;3,$C$8,0))))&lt;10,$C$9,IF(IF(P16&lt;Q16*(1-$C$7),Q16*(1-$C$5-IF(O16&lt;3,$C$8,0)),MIN(Q16*(1-$C$5-IF(O16&lt;3,$C$8,0)),P16*(1-$C$6-IF(O16&lt;3,$C$8,0))))&lt;100,$D$9,$E$9)))))</f>
        <v>7</v>
      </c>
      <c r="U16" s="68" t="n">
        <f aca="false">IF(ISNUMBER($D16),$D16,"n/a")</f>
        <v>5.324</v>
      </c>
      <c r="V16" s="71" t="n">
        <f aca="false">IF(OR(O16=0,NOT(ISNUMBER($D16))),"—",T16/$D16-1)</f>
        <v>0.314800901577761</v>
      </c>
      <c r="W16" s="72" t="n">
        <f aca="false">IF(O16=0,"—",T16/P16-1)</f>
        <v>0.202749140893471</v>
      </c>
      <c r="X16" s="72" t="n">
        <f aca="false">IF(O16=0,"—",T16/Q16-1)</f>
        <v>-0.251336898395722</v>
      </c>
      <c r="Y16" s="67" t="n">
        <f aca="false">COUNTIFS(Offers!$B$7:$B$3000,$B16,Offers!$C$7:$C$3000,"Czech",Offers!$AI$7:$AI$3000,"yes")</f>
        <v>6</v>
      </c>
      <c r="Z16" s="68" t="n">
        <f aca="false">IF(Y16=0,"—",SUMIFS(Review!$I$7:$I$600,Review!$B$7:$B$600,$B16,Review!$C$7:$C$600,"Czech"))</f>
        <v>8.557292</v>
      </c>
      <c r="AA16" s="68" t="n">
        <f aca="false">IF(Y16=0,"—",SUMIFS(Review!$J$7:$J$600,Review!$B$7:$B$600,$B16,Review!$C$7:$C$600,"Czech"))</f>
        <v>10.5092955</v>
      </c>
      <c r="AB16" s="68" t="n">
        <f aca="false">IF(Y16=0,"—",SUMIFS(Review!$K$7:$K$600,Review!$B$7:$B$600,$B16,Review!$C$7:$C$600,"Czech"))</f>
        <v>15.700787</v>
      </c>
      <c r="AC16" s="69" t="str">
        <f aca="false">IF(Y16=0,"—",IF(Z16&lt;AA16*(1-$C$7),"median (cheapest is an outlier)",IF(Z16*(1-$C$6)&lt;AA16*(1-$C$5),"undercut cheapest","median")))</f>
        <v>median</v>
      </c>
      <c r="AD16" s="70" t="n">
        <f aca="false">IF(Y16=0,"—",IF(AND(ISNUMBER($D16),$D16*(1+$C$10)&gt;FLOOR(IF(Z16&lt;AA16*(1-$C$7),AA16*(1-$C$5-IF(Y16&lt;3,$C$8,0)),MIN(AA16*(1-$C$5-IF(Y16&lt;3,$C$8,0)),Z16*(1-$C$6-IF(Y16&lt;3,$C$8,0)))),IF(IF(Z16&lt;AA16*(1-$C$7),AA16*(1-$C$5-IF(Y16&lt;3,$C$8,0)),MIN(AA16*(1-$C$5-IF(Y16&lt;3,$C$8,0)),Z16*(1-$C$6-IF(Y16&lt;3,$C$8,0))))&lt;10,$C$9,IF(IF(Z16&lt;AA16*(1-$C$7),AA16*(1-$C$5-IF(Y16&lt;3,$C$8,0)),MIN(AA16*(1-$C$5-IF(Y16&lt;3,$C$8,0)),Z16*(1-$C$6-IF(Y16&lt;3,$C$8,0))))&lt;100,$D$9,$E$9)))),ROUND($D16*(1+$C$10),2),FLOOR(IF(Z16&lt;AA16*(1-$C$7),AA16*(1-$C$5-IF(Y16&lt;3,$C$8,0)),MIN(AA16*(1-$C$5-IF(Y16&lt;3,$C$8,0)),Z16*(1-$C$6-IF(Y16&lt;3,$C$8,0)))),IF(IF(Z16&lt;AA16*(1-$C$7),AA16*(1-$C$5-IF(Y16&lt;3,$C$8,0)),MIN(AA16*(1-$C$5-IF(Y16&lt;3,$C$8,0)),Z16*(1-$C$6-IF(Y16&lt;3,$C$8,0))))&lt;10,$C$9,IF(IF(Z16&lt;AA16*(1-$C$7),AA16*(1-$C$5-IF(Y16&lt;3,$C$8,0)),MIN(AA16*(1-$C$5-IF(Y16&lt;3,$C$8,0)),Z16*(1-$C$6-IF(Y16&lt;3,$C$8,0))))&lt;100,$D$9,$E$9)))))</f>
        <v>7.85</v>
      </c>
      <c r="AE16" s="73" t="n">
        <f aca="false">IF(Y16=0,"—",FLOOR(AD16*Sources!$G$10,1))</f>
        <v>191</v>
      </c>
      <c r="AF16" s="68" t="n">
        <f aca="false">IF(ISNUMBER($D16),$D16,"n/a")</f>
        <v>5.324</v>
      </c>
      <c r="AG16" s="71" t="n">
        <f aca="false">IF(OR(Y16=0,NOT(ISNUMBER($D16))),"—",AD16/$D16-1)</f>
        <v>0.474455296769347</v>
      </c>
      <c r="AH16" s="72" t="n">
        <f aca="false">IF(Y16=0,"—",AD16/Z16-1)</f>
        <v>-0.0826537180220097</v>
      </c>
      <c r="AI16" s="72" t="n">
        <f aca="false">IF(Y16=0,"—",AD16/AA16-1)</f>
        <v>-0.253042223429725</v>
      </c>
      <c r="AJ16" s="67" t="n">
        <f aca="false">COUNTIFS(Offers!$B$7:$B$3000,$B16,Offers!$C$7:$C$3000,"Slovakia",Offers!$AI$7:$AI$3000,"yes")</f>
        <v>2</v>
      </c>
      <c r="AK16" s="68" t="n">
        <f aca="false">IF(AJ16=0,"—",SUMIFS(Review!$I$7:$I$600,Review!$B$7:$B$600,$B16,Review!$C$7:$C$600,"Slovakia"))</f>
        <v>15.227642</v>
      </c>
      <c r="AL16" s="68" t="n">
        <f aca="false">IF(AJ16=0,"—",SUMIFS(Review!$J$7:$J$600,Review!$B$7:$B$600,$B16,Review!$C$7:$C$600,"Slovakia"))</f>
        <v>15.688821</v>
      </c>
      <c r="AM16" s="68" t="n">
        <f aca="false">IF(AJ16=0,"—",SUMIFS(Review!$K$7:$K$600,Review!$B$7:$B$600,$B16,Review!$C$7:$C$600,"Slovakia"))</f>
        <v>16.15</v>
      </c>
      <c r="AN16" s="69" t="str">
        <f aca="false">IF(AJ16=0,"—",IF(AK16&lt;AL16*(1-$C$7),"median (cheapest is an outlier)",IF(AK16*(1-$C$6)&lt;AL16*(1-$C$5),"undercut cheapest","median")))</f>
        <v>median</v>
      </c>
      <c r="AO16" s="70" t="n">
        <f aca="false">IF(AJ16=0,"—",IF(AND(ISNUMBER($D16),$D16*(1+$C$10)&gt;FLOOR(IF(AK16&lt;AL16*(1-$C$7),AL16*(1-$C$5-IF(AJ16&lt;3,$C$8,0)),MIN(AL16*(1-$C$5-IF(AJ16&lt;3,$C$8,0)),AK16*(1-$C$6-IF(AJ16&lt;3,$C$8,0)))),IF(IF(AK16&lt;AL16*(1-$C$7),AL16*(1-$C$5-IF(AJ16&lt;3,$C$8,0)),MIN(AL16*(1-$C$5-IF(AJ16&lt;3,$C$8,0)),AK16*(1-$C$6-IF(AJ16&lt;3,$C$8,0))))&lt;10,$C$9,IF(IF(AK16&lt;AL16*(1-$C$7),AL16*(1-$C$5-IF(AJ16&lt;3,$C$8,0)),MIN(AL16*(1-$C$5-IF(AJ16&lt;3,$C$8,0)),AK16*(1-$C$6-IF(AJ16&lt;3,$C$8,0))))&lt;100,$D$9,$E$9)))),ROUND($D16*(1+$C$10),2),FLOOR(IF(AK16&lt;AL16*(1-$C$7),AL16*(1-$C$5-IF(AJ16&lt;3,$C$8,0)),MIN(AL16*(1-$C$5-IF(AJ16&lt;3,$C$8,0)),AK16*(1-$C$6-IF(AJ16&lt;3,$C$8,0)))),IF(IF(AK16&lt;AL16*(1-$C$7),AL16*(1-$C$5-IF(AJ16&lt;3,$C$8,0)),MIN(AL16*(1-$C$5-IF(AJ16&lt;3,$C$8,0)),AK16*(1-$C$6-IF(AJ16&lt;3,$C$8,0))))&lt;10,$C$9,IF(IF(AK16&lt;AL16*(1-$C$7),AL16*(1-$C$5-IF(AJ16&lt;3,$C$8,0)),MIN(AL16*(1-$C$5-IF(AJ16&lt;3,$C$8,0)),AK16*(1-$C$6-IF(AJ16&lt;3,$C$8,0))))&lt;100,$D$9,$E$9)))))</f>
        <v>10.9</v>
      </c>
      <c r="AP16" s="68" t="n">
        <f aca="false">IF(ISNUMBER($D16),$D16,"n/a")</f>
        <v>5.324</v>
      </c>
      <c r="AQ16" s="71" t="n">
        <f aca="false">IF(OR(AJ16=0,NOT(ISNUMBER($D16))),"—",AO16/$D16-1)</f>
        <v>1.0473328324568</v>
      </c>
      <c r="AR16" s="72" t="n">
        <f aca="false">IF(AJ16=0,"—",AO16/AK16-1)</f>
        <v>-0.28419646324756</v>
      </c>
      <c r="AS16" s="72" t="n">
        <f aca="false">IF(AJ16=0,"—",AO16/AL16-1)</f>
        <v>-0.305237786829233</v>
      </c>
      <c r="AT16" s="67" t="n">
        <f aca="false">COUNTIFS(Offers!$B$7:$B$3000,$B16,Offers!$C$7:$C$3000,"Romania",Offers!$AI$7:$AI$3000,"yes")</f>
        <v>9</v>
      </c>
      <c r="AU16" s="68" t="n">
        <f aca="false">IF(AT16=0,"—",SUMIFS(Review!$I$7:$I$600,Review!$B$7:$B$600,$B16,Review!$C$7:$C$600,"Romania"))</f>
        <v>5</v>
      </c>
      <c r="AV16" s="68" t="n">
        <f aca="false">IF(AT16=0,"—",SUMIFS(Review!$J$7:$J$600,Review!$B$7:$B$600,$B16,Review!$C$7:$C$600,"Romania"))</f>
        <v>10.87228</v>
      </c>
      <c r="AW16" s="68" t="n">
        <f aca="false">IF(AT16=0,"—",SUMIFS(Review!$K$7:$K$600,Review!$B$7:$B$600,$B16,Review!$C$7:$C$600,"Romania"))</f>
        <v>16.912857</v>
      </c>
      <c r="AX16" s="69" t="str">
        <f aca="false">IF(AT16=0,"—",IF(AU16&lt;AV16*(1-$C$7),"median (cheapest is an outlier)",IF(AU16*(1-$C$6)&lt;AV16*(1-$C$5),"undercut cheapest","median")))</f>
        <v>median (cheapest is an outlier)</v>
      </c>
      <c r="AY16" s="70" t="n">
        <f aca="false">IF(AT16=0,"—",IF(AND(ISNUMBER($D16),$D16*(1+$C$10)&gt;FLOOR(IF(AU16&lt;AV16*(1-$C$7),AV16*(1-$C$5-IF(AT16&lt;3,$C$8,0)),MIN(AV16*(1-$C$5-IF(AT16&lt;3,$C$8,0)),AU16*(1-$C$6-IF(AT16&lt;3,$C$8,0)))),IF(IF(AU16&lt;AV16*(1-$C$7),AV16*(1-$C$5-IF(AT16&lt;3,$C$8,0)),MIN(AV16*(1-$C$5-IF(AT16&lt;3,$C$8,0)),AU16*(1-$C$6-IF(AT16&lt;3,$C$8,0))))&lt;10,$C$9,IF(IF(AU16&lt;AV16*(1-$C$7),AV16*(1-$C$5-IF(AT16&lt;3,$C$8,0)),MIN(AV16*(1-$C$5-IF(AT16&lt;3,$C$8,0)),AU16*(1-$C$6-IF(AT16&lt;3,$C$8,0))))&lt;100,$D$9,$E$9)))),ROUND($D16*(1+$C$10),2),FLOOR(IF(AU16&lt;AV16*(1-$C$7),AV16*(1-$C$5-IF(AT16&lt;3,$C$8,0)),MIN(AV16*(1-$C$5-IF(AT16&lt;3,$C$8,0)),AU16*(1-$C$6-IF(AT16&lt;3,$C$8,0)))),IF(IF(AU16&lt;AV16*(1-$C$7),AV16*(1-$C$5-IF(AT16&lt;3,$C$8,0)),MIN(AV16*(1-$C$5-IF(AT16&lt;3,$C$8,0)),AU16*(1-$C$6-IF(AT16&lt;3,$C$8,0))))&lt;10,$C$9,IF(IF(AU16&lt;AV16*(1-$C$7),AV16*(1-$C$5-IF(AT16&lt;3,$C$8,0)),MIN(AV16*(1-$C$5-IF(AT16&lt;3,$C$8,0)),AU16*(1-$C$6-IF(AT16&lt;3,$C$8,0))))&lt;100,$D$9,$E$9)))))</f>
        <v>8.15</v>
      </c>
      <c r="AZ16" s="70" t="n">
        <f aca="false">IF(AT16=0,"—",FLOOR(AY16*Sources!$G$9,0.1))</f>
        <v>43</v>
      </c>
      <c r="BA16" s="68" t="n">
        <f aca="false">IF(ISNUMBER($D16),$D16,"n/a")</f>
        <v>5.324</v>
      </c>
      <c r="BB16" s="71" t="n">
        <f aca="false">IF(OR(AT16=0,NOT(ISNUMBER($D16))),"—",AY16/$D16-1)</f>
        <v>0.530803906836965</v>
      </c>
      <c r="BC16" s="72" t="n">
        <f aca="false">IF(AT16=0,"—",AY16/AU16-1)</f>
        <v>0.63</v>
      </c>
      <c r="BD16" s="72" t="n">
        <f aca="false">IF(AT16=0,"—",AY16/AV16-1)</f>
        <v>-0.250387223287112</v>
      </c>
      <c r="BE16" s="67" t="n">
        <f aca="false">COUNTIFS(Offers!$B$7:$B$3000,$B16,Offers!$C$7:$C$3000,"Hungary",Offers!$AI$7:$AI$3000,"yes")</f>
        <v>6</v>
      </c>
      <c r="BF16" s="68" t="n">
        <f aca="false">IF(BE16=0,"—",SUMIFS(Review!$I$7:$I$600,Review!$B$7:$B$600,$B16,Review!$C$7:$C$600,"Hungary"))</f>
        <v>6.391522</v>
      </c>
      <c r="BG16" s="68" t="n">
        <f aca="false">IF(BE16=0,"—",SUMIFS(Review!$J$7:$J$600,Review!$B$7:$B$600,$B16,Review!$C$7:$C$600,"Hungary"))</f>
        <v>9.607768</v>
      </c>
      <c r="BH16" s="68" t="n">
        <f aca="false">IF(BE16=0,"—",SUMIFS(Review!$K$7:$K$600,Review!$B$7:$B$600,$B16,Review!$C$7:$C$600,"Hungary"))</f>
        <v>15.678348</v>
      </c>
      <c r="BI16" s="69" t="str">
        <f aca="false">IF(BE16=0,"—",IF(BF16&lt;BG16*(1-$C$7),"median (cheapest is an outlier)",IF(BF16*(1-$C$6)&lt;BG16*(1-$C$5),"undercut cheapest","median")))</f>
        <v>undercut cheapest</v>
      </c>
      <c r="BJ16" s="70" t="n">
        <f aca="false">IF(BE16=0,"—",IF(AND(ISNUMBER($D16),$D16*(1+$C$10)&gt;FLOOR(IF(BF16&lt;BG16*(1-$C$7),BG16*(1-$C$5-IF(BE16&lt;3,$C$8,0)),MIN(BG16*(1-$C$5-IF(BE16&lt;3,$C$8,0)),BF16*(1-$C$6-IF(BE16&lt;3,$C$8,0)))),IF(IF(BF16&lt;BG16*(1-$C$7),BG16*(1-$C$5-IF(BE16&lt;3,$C$8,0)),MIN(BG16*(1-$C$5-IF(BE16&lt;3,$C$8,0)),BF16*(1-$C$6-IF(BE16&lt;3,$C$8,0))))&lt;10,$C$9,IF(IF(BF16&lt;BG16*(1-$C$7),BG16*(1-$C$5-IF(BE16&lt;3,$C$8,0)),MIN(BG16*(1-$C$5-IF(BE16&lt;3,$C$8,0)),BF16*(1-$C$6-IF(BE16&lt;3,$C$8,0))))&lt;100,$D$9,$E$9)))),ROUND($D16*(1+$C$10),2),FLOOR(IF(BF16&lt;BG16*(1-$C$7),BG16*(1-$C$5-IF(BE16&lt;3,$C$8,0)),MIN(BG16*(1-$C$5-IF(BE16&lt;3,$C$8,0)),BF16*(1-$C$6-IF(BE16&lt;3,$C$8,0)))),IF(IF(BF16&lt;BG16*(1-$C$7),BG16*(1-$C$5-IF(BE16&lt;3,$C$8,0)),MIN(BG16*(1-$C$5-IF(BE16&lt;3,$C$8,0)),BF16*(1-$C$6-IF(BE16&lt;3,$C$8,0))))&lt;10,$C$9,IF(IF(BF16&lt;BG16*(1-$C$7),BG16*(1-$C$5-IF(BE16&lt;3,$C$8,0)),MIN(BG16*(1-$C$5-IF(BE16&lt;3,$C$8,0)),BF16*(1-$C$6-IF(BE16&lt;3,$C$8,0))))&lt;100,$D$9,$E$9)))))</f>
        <v>6.05</v>
      </c>
      <c r="BK16" s="73" t="n">
        <f aca="false">IF(BE16=0,"—",FLOOR(BJ16*Sources!$G$8,10))</f>
        <v>2210</v>
      </c>
      <c r="BL16" s="68" t="n">
        <f aca="false">IF(ISNUMBER($D16),$D16,"n/a")</f>
        <v>5.324</v>
      </c>
      <c r="BM16" s="71" t="n">
        <f aca="false">IF(OR(BE16=0,NOT(ISNUMBER($D16))),"—",BJ16/$D16-1)</f>
        <v>0.136363636363636</v>
      </c>
      <c r="BN16" s="72" t="n">
        <f aca="false">IF(BE16=0,"—",BJ16/BF16-1)</f>
        <v>-0.0534335953157948</v>
      </c>
      <c r="BO16" s="72" t="n">
        <f aca="false">IF(BE16=0,"—",BJ16/BG16-1)</f>
        <v>-0.370301197947328</v>
      </c>
    </row>
    <row r="17" customFormat="false" ht="15" hidden="false" customHeight="true" outlineLevel="0" collapsed="false">
      <c r="B17" s="1" t="s">
        <v>23</v>
      </c>
      <c r="C17" s="1" t="s">
        <v>142</v>
      </c>
      <c r="D17" s="58" t="n">
        <v>1.375</v>
      </c>
      <c r="E17" s="59" t="n">
        <f aca="false">COUNTIFS(Offers!$B$7:$B$3000,$B17,Offers!$C$7:$C$3000,"Austria",Offers!$AI$7:$AI$3000,"yes")</f>
        <v>10</v>
      </c>
      <c r="F17" s="60" t="n">
        <f aca="false">IF(E17=0,"—",SUMIFS(Review!$I$7:$I$600,Review!$B$7:$B$600,$B17,Review!$C$7:$C$600,"Austria"))</f>
        <v>3.33</v>
      </c>
      <c r="G17" s="60" t="n">
        <f aca="false">IF(E17=0,"—",SUMIFS(Review!$J$7:$J$600,Review!$B$7:$B$600,$B17,Review!$C$7:$C$600,"Austria"))</f>
        <v>5.305</v>
      </c>
      <c r="H17" s="60" t="n">
        <f aca="false">IF(E17=0,"—",SUMIFS(Review!$K$7:$K$600,Review!$B$7:$B$600,$B17,Review!$C$7:$C$600,"Austria"))</f>
        <v>18.6</v>
      </c>
      <c r="I17" s="61" t="str">
        <f aca="false">IF(E17=0,"—",IF(F17&lt;G17*(1-$C$7),"median (cheapest is an outlier)",IF(F17*(1-$C$6)&lt;G17*(1-$C$5),"undercut cheapest","median")))</f>
        <v>median (cheapest is an outlier)</v>
      </c>
      <c r="J17" s="62" t="n">
        <f aca="false">IF(E17=0,"—",IF(AND(ISNUMBER($D17),$D17*(1+$C$10)&gt;FLOOR(IF(F17&lt;G17*(1-$C$7),G17*(1-$C$5-IF(E17&lt;3,$C$8,0)),MIN(G17*(1-$C$5-IF(E17&lt;3,$C$8,0)),F17*(1-$C$6-IF(E17&lt;3,$C$8,0)))),IF(IF(F17&lt;G17*(1-$C$7),G17*(1-$C$5-IF(E17&lt;3,$C$8,0)),MIN(G17*(1-$C$5-IF(E17&lt;3,$C$8,0)),F17*(1-$C$6-IF(E17&lt;3,$C$8,0))))&lt;10,$C$9,IF(IF(F17&lt;G17*(1-$C$7),G17*(1-$C$5-IF(E17&lt;3,$C$8,0)),MIN(G17*(1-$C$5-IF(E17&lt;3,$C$8,0)),F17*(1-$C$6-IF(E17&lt;3,$C$8,0))))&lt;100,$D$9,$E$9)))),ROUND($D17*(1+$C$10),2),FLOOR(IF(F17&lt;G17*(1-$C$7),G17*(1-$C$5-IF(E17&lt;3,$C$8,0)),MIN(G17*(1-$C$5-IF(E17&lt;3,$C$8,0)),F17*(1-$C$6-IF(E17&lt;3,$C$8,0)))),IF(IF(F17&lt;G17*(1-$C$7),G17*(1-$C$5-IF(E17&lt;3,$C$8,0)),MIN(G17*(1-$C$5-IF(E17&lt;3,$C$8,0)),F17*(1-$C$6-IF(E17&lt;3,$C$8,0))))&lt;10,$C$9,IF(IF(F17&lt;G17*(1-$C$7),G17*(1-$C$5-IF(E17&lt;3,$C$8,0)),MIN(G17*(1-$C$5-IF(E17&lt;3,$C$8,0)),F17*(1-$C$6-IF(E17&lt;3,$C$8,0))))&lt;100,$D$9,$E$9)))))</f>
        <v>3.95</v>
      </c>
      <c r="K17" s="60" t="n">
        <f aca="false">IF(ISNUMBER($D17),$D17,"n/a")</f>
        <v>1.375</v>
      </c>
      <c r="L17" s="63" t="n">
        <f aca="false">IF(OR(E17=0,NOT(ISNUMBER($D17))),"—",J17/$D17-1)</f>
        <v>1.87272727272727</v>
      </c>
      <c r="M17" s="64" t="n">
        <f aca="false">IF(E17=0,"—",J17/F17-1)</f>
        <v>0.186186186186186</v>
      </c>
      <c r="N17" s="64" t="n">
        <f aca="false">IF(E17=0,"—",J17/G17-1)</f>
        <v>-0.255419415645617</v>
      </c>
      <c r="O17" s="59" t="n">
        <f aca="false">COUNTIFS(Offers!$B$7:$B$3000,$B17,Offers!$C$7:$C$3000,"Germany",Offers!$AI$7:$AI$3000,"yes")</f>
        <v>8</v>
      </c>
      <c r="P17" s="60" t="n">
        <f aca="false">IF(O17=0,"—",SUMIFS(Review!$I$7:$I$600,Review!$B$7:$B$600,$B17,Review!$C$7:$C$600,"Germany"))</f>
        <v>3.17</v>
      </c>
      <c r="Q17" s="60" t="n">
        <f aca="false">IF(O17=0,"—",SUMIFS(Review!$J$7:$J$600,Review!$B$7:$B$600,$B17,Review!$C$7:$C$600,"Germany"))</f>
        <v>6.93</v>
      </c>
      <c r="R17" s="60" t="n">
        <f aca="false">IF(O17=0,"—",SUMIFS(Review!$K$7:$K$600,Review!$B$7:$B$600,$B17,Review!$C$7:$C$600,"Germany"))</f>
        <v>18.6</v>
      </c>
      <c r="S17" s="61" t="str">
        <f aca="false">IF(O17=0,"—",IF(P17&lt;Q17*(1-$C$7),"median (cheapest is an outlier)",IF(P17*(1-$C$6)&lt;Q17*(1-$C$5),"undercut cheapest","median")))</f>
        <v>median (cheapest is an outlier)</v>
      </c>
      <c r="T17" s="62" t="n">
        <f aca="false">IF(O17=0,"—",IF(AND(ISNUMBER($D17),$D17*(1+$C$10)&gt;FLOOR(IF(P17&lt;Q17*(1-$C$7),Q17*(1-$C$5-IF(O17&lt;3,$C$8,0)),MIN(Q17*(1-$C$5-IF(O17&lt;3,$C$8,0)),P17*(1-$C$6-IF(O17&lt;3,$C$8,0)))),IF(IF(P17&lt;Q17*(1-$C$7),Q17*(1-$C$5-IF(O17&lt;3,$C$8,0)),MIN(Q17*(1-$C$5-IF(O17&lt;3,$C$8,0)),P17*(1-$C$6-IF(O17&lt;3,$C$8,0))))&lt;10,$C$9,IF(IF(P17&lt;Q17*(1-$C$7),Q17*(1-$C$5-IF(O17&lt;3,$C$8,0)),MIN(Q17*(1-$C$5-IF(O17&lt;3,$C$8,0)),P17*(1-$C$6-IF(O17&lt;3,$C$8,0))))&lt;100,$D$9,$E$9)))),ROUND($D17*(1+$C$10),2),FLOOR(IF(P17&lt;Q17*(1-$C$7),Q17*(1-$C$5-IF(O17&lt;3,$C$8,0)),MIN(Q17*(1-$C$5-IF(O17&lt;3,$C$8,0)),P17*(1-$C$6-IF(O17&lt;3,$C$8,0)))),IF(IF(P17&lt;Q17*(1-$C$7),Q17*(1-$C$5-IF(O17&lt;3,$C$8,0)),MIN(Q17*(1-$C$5-IF(O17&lt;3,$C$8,0)),P17*(1-$C$6-IF(O17&lt;3,$C$8,0))))&lt;10,$C$9,IF(IF(P17&lt;Q17*(1-$C$7),Q17*(1-$C$5-IF(O17&lt;3,$C$8,0)),MIN(Q17*(1-$C$5-IF(O17&lt;3,$C$8,0)),P17*(1-$C$6-IF(O17&lt;3,$C$8,0))))&lt;100,$D$9,$E$9)))))</f>
        <v>5.15</v>
      </c>
      <c r="U17" s="60" t="n">
        <f aca="false">IF(ISNUMBER($D17),$D17,"n/a")</f>
        <v>1.375</v>
      </c>
      <c r="V17" s="63" t="n">
        <f aca="false">IF(OR(O17=0,NOT(ISNUMBER($D17))),"—",T17/$D17-1)</f>
        <v>2.74545454545455</v>
      </c>
      <c r="W17" s="64" t="n">
        <f aca="false">IF(O17=0,"—",T17/P17-1)</f>
        <v>0.624605678233439</v>
      </c>
      <c r="X17" s="64" t="n">
        <f aca="false">IF(O17=0,"—",T17/Q17-1)</f>
        <v>-0.256854256854257</v>
      </c>
      <c r="Y17" s="59" t="n">
        <f aca="false">COUNTIFS(Offers!$B$7:$B$3000,$B17,Offers!$C$7:$C$3000,"Czech",Offers!$AI$7:$AI$3000,"yes")</f>
        <v>8</v>
      </c>
      <c r="Z17" s="60" t="n">
        <f aca="false">IF(Y17=0,"—",SUMIFS(Review!$I$7:$I$600,Review!$B$7:$B$600,$B17,Review!$C$7:$C$600,"Czech"))</f>
        <v>3.234574</v>
      </c>
      <c r="AA17" s="60" t="n">
        <f aca="false">IF(Y17=0,"—",SUMIFS(Review!$J$7:$J$600,Review!$B$7:$B$600,$B17,Review!$C$7:$C$600,"Czech"))</f>
        <v>4.15868</v>
      </c>
      <c r="AB17" s="60" t="n">
        <f aca="false">IF(Y17=0,"—",SUMIFS(Review!$K$7:$K$600,Review!$B$7:$B$600,$B17,Review!$C$7:$C$600,"Czech"))</f>
        <v>6.182541</v>
      </c>
      <c r="AC17" s="61" t="str">
        <f aca="false">IF(Y17=0,"—",IF(Z17&lt;AA17*(1-$C$7),"median (cheapest is an outlier)",IF(Z17*(1-$C$6)&lt;AA17*(1-$C$5),"undercut cheapest","median")))</f>
        <v>undercut cheapest</v>
      </c>
      <c r="AD17" s="62" t="n">
        <f aca="false">IF(Y17=0,"—",IF(AND(ISNUMBER($D17),$D17*(1+$C$10)&gt;FLOOR(IF(Z17&lt;AA17*(1-$C$7),AA17*(1-$C$5-IF(Y17&lt;3,$C$8,0)),MIN(AA17*(1-$C$5-IF(Y17&lt;3,$C$8,0)),Z17*(1-$C$6-IF(Y17&lt;3,$C$8,0)))),IF(IF(Z17&lt;AA17*(1-$C$7),AA17*(1-$C$5-IF(Y17&lt;3,$C$8,0)),MIN(AA17*(1-$C$5-IF(Y17&lt;3,$C$8,0)),Z17*(1-$C$6-IF(Y17&lt;3,$C$8,0))))&lt;10,$C$9,IF(IF(Z17&lt;AA17*(1-$C$7),AA17*(1-$C$5-IF(Y17&lt;3,$C$8,0)),MIN(AA17*(1-$C$5-IF(Y17&lt;3,$C$8,0)),Z17*(1-$C$6-IF(Y17&lt;3,$C$8,0))))&lt;100,$D$9,$E$9)))),ROUND($D17*(1+$C$10),2),FLOOR(IF(Z17&lt;AA17*(1-$C$7),AA17*(1-$C$5-IF(Y17&lt;3,$C$8,0)),MIN(AA17*(1-$C$5-IF(Y17&lt;3,$C$8,0)),Z17*(1-$C$6-IF(Y17&lt;3,$C$8,0)))),IF(IF(Z17&lt;AA17*(1-$C$7),AA17*(1-$C$5-IF(Y17&lt;3,$C$8,0)),MIN(AA17*(1-$C$5-IF(Y17&lt;3,$C$8,0)),Z17*(1-$C$6-IF(Y17&lt;3,$C$8,0))))&lt;10,$C$9,IF(IF(Z17&lt;AA17*(1-$C$7),AA17*(1-$C$5-IF(Y17&lt;3,$C$8,0)),MIN(AA17*(1-$C$5-IF(Y17&lt;3,$C$8,0)),Z17*(1-$C$6-IF(Y17&lt;3,$C$8,0))))&lt;100,$D$9,$E$9)))))</f>
        <v>3.05</v>
      </c>
      <c r="AE17" s="65" t="n">
        <f aca="false">IF(Y17=0,"—",FLOOR(AD17*Sources!$G$10,1))</f>
        <v>74</v>
      </c>
      <c r="AF17" s="60" t="n">
        <f aca="false">IF(ISNUMBER($D17),$D17,"n/a")</f>
        <v>1.375</v>
      </c>
      <c r="AG17" s="63" t="n">
        <f aca="false">IF(OR(Y17=0,NOT(ISNUMBER($D17))),"—",AD17/$D17-1)</f>
        <v>1.21818181818182</v>
      </c>
      <c r="AH17" s="64" t="n">
        <f aca="false">IF(Y17=0,"—",AD17/Z17-1)</f>
        <v>-0.0570628466066937</v>
      </c>
      <c r="AI17" s="64" t="n">
        <f aca="false">IF(Y17=0,"—",AD17/AA17-1)</f>
        <v>-0.266594207777468</v>
      </c>
      <c r="AJ17" s="59" t="n">
        <f aca="false">COUNTIFS(Offers!$B$7:$B$3000,$B17,Offers!$C$7:$C$3000,"Slovakia",Offers!$AI$7:$AI$3000,"yes")</f>
        <v>2</v>
      </c>
      <c r="AK17" s="60" t="n">
        <f aca="false">IF(AJ17=0,"—",SUMIFS(Review!$I$7:$I$600,Review!$B$7:$B$600,$B17,Review!$C$7:$C$600,"Slovakia"))</f>
        <v>6.373984</v>
      </c>
      <c r="AL17" s="60" t="n">
        <f aca="false">IF(AJ17=0,"—",SUMIFS(Review!$J$7:$J$600,Review!$B$7:$B$600,$B17,Review!$C$7:$C$600,"Slovakia"))</f>
        <v>11.991992</v>
      </c>
      <c r="AM17" s="60" t="n">
        <f aca="false">IF(AJ17=0,"—",SUMIFS(Review!$K$7:$K$600,Review!$B$7:$B$600,$B17,Review!$C$7:$C$600,"Slovakia"))</f>
        <v>17.61</v>
      </c>
      <c r="AN17" s="61" t="str">
        <f aca="false">IF(AJ17=0,"—",IF(AK17&lt;AL17*(1-$C$7),"median (cheapest is an outlier)",IF(AK17*(1-$C$6)&lt;AL17*(1-$C$5),"undercut cheapest","median")))</f>
        <v>median (cheapest is an outlier)</v>
      </c>
      <c r="AO17" s="62" t="n">
        <f aca="false">IF(AJ17=0,"—",IF(AND(ISNUMBER($D17),$D17*(1+$C$10)&gt;FLOOR(IF(AK17&lt;AL17*(1-$C$7),AL17*(1-$C$5-IF(AJ17&lt;3,$C$8,0)),MIN(AL17*(1-$C$5-IF(AJ17&lt;3,$C$8,0)),AK17*(1-$C$6-IF(AJ17&lt;3,$C$8,0)))),IF(IF(AK17&lt;AL17*(1-$C$7),AL17*(1-$C$5-IF(AJ17&lt;3,$C$8,0)),MIN(AL17*(1-$C$5-IF(AJ17&lt;3,$C$8,0)),AK17*(1-$C$6-IF(AJ17&lt;3,$C$8,0))))&lt;10,$C$9,IF(IF(AK17&lt;AL17*(1-$C$7),AL17*(1-$C$5-IF(AJ17&lt;3,$C$8,0)),MIN(AL17*(1-$C$5-IF(AJ17&lt;3,$C$8,0)),AK17*(1-$C$6-IF(AJ17&lt;3,$C$8,0))))&lt;100,$D$9,$E$9)))),ROUND($D17*(1+$C$10),2),FLOOR(IF(AK17&lt;AL17*(1-$C$7),AL17*(1-$C$5-IF(AJ17&lt;3,$C$8,0)),MIN(AL17*(1-$C$5-IF(AJ17&lt;3,$C$8,0)),AK17*(1-$C$6-IF(AJ17&lt;3,$C$8,0)))),IF(IF(AK17&lt;AL17*(1-$C$7),AL17*(1-$C$5-IF(AJ17&lt;3,$C$8,0)),MIN(AL17*(1-$C$5-IF(AJ17&lt;3,$C$8,0)),AK17*(1-$C$6-IF(AJ17&lt;3,$C$8,0))))&lt;10,$C$9,IF(IF(AK17&lt;AL17*(1-$C$7),AL17*(1-$C$5-IF(AJ17&lt;3,$C$8,0)),MIN(AL17*(1-$C$5-IF(AJ17&lt;3,$C$8,0)),AK17*(1-$C$6-IF(AJ17&lt;3,$C$8,0))))&lt;100,$D$9,$E$9)))))</f>
        <v>8.35</v>
      </c>
      <c r="AP17" s="60" t="n">
        <f aca="false">IF(ISNUMBER($D17),$D17,"n/a")</f>
        <v>1.375</v>
      </c>
      <c r="AQ17" s="63" t="n">
        <f aca="false">IF(OR(AJ17=0,NOT(ISNUMBER($D17))),"—",AO17/$D17-1)</f>
        <v>5.07272727272727</v>
      </c>
      <c r="AR17" s="64" t="n">
        <f aca="false">IF(AJ17=0,"—",AO17/AK17-1)</f>
        <v>0.310012701632135</v>
      </c>
      <c r="AS17" s="64" t="n">
        <f aca="false">IF(AJ17=0,"—",AO17/AL17-1)</f>
        <v>-0.303702003803872</v>
      </c>
      <c r="AT17" s="59" t="n">
        <f aca="false">COUNTIFS(Offers!$B$7:$B$3000,$B17,Offers!$C$7:$C$3000,"Romania",Offers!$AI$7:$AI$3000,"yes")</f>
        <v>3</v>
      </c>
      <c r="AU17" s="60" t="n">
        <f aca="false">IF(AT17=0,"—",SUMIFS(Review!$I$7:$I$600,Review!$B$7:$B$600,$B17,Review!$C$7:$C$600,"Romania"))</f>
        <v>6.004576</v>
      </c>
      <c r="AV17" s="60" t="n">
        <f aca="false">IF(AT17=0,"—",SUMIFS(Review!$J$7:$J$600,Review!$B$7:$B$600,$B17,Review!$C$7:$C$600,"Romania"))</f>
        <v>6.404376</v>
      </c>
      <c r="AW17" s="60" t="n">
        <f aca="false">IF(AT17=0,"—",SUMIFS(Review!$K$7:$K$600,Review!$B$7:$B$600,$B17,Review!$C$7:$C$600,"Romania"))</f>
        <v>6.751122</v>
      </c>
      <c r="AX17" s="61" t="str">
        <f aca="false">IF(AT17=0,"—",IF(AU17&lt;AV17*(1-$C$7),"median (cheapest is an outlier)",IF(AU17*(1-$C$6)&lt;AV17*(1-$C$5),"undercut cheapest","median")))</f>
        <v>median</v>
      </c>
      <c r="AY17" s="62" t="n">
        <f aca="false">IF(AT17=0,"—",IF(AND(ISNUMBER($D17),$D17*(1+$C$10)&gt;FLOOR(IF(AU17&lt;AV17*(1-$C$7),AV17*(1-$C$5-IF(AT17&lt;3,$C$8,0)),MIN(AV17*(1-$C$5-IF(AT17&lt;3,$C$8,0)),AU17*(1-$C$6-IF(AT17&lt;3,$C$8,0)))),IF(IF(AU17&lt;AV17*(1-$C$7),AV17*(1-$C$5-IF(AT17&lt;3,$C$8,0)),MIN(AV17*(1-$C$5-IF(AT17&lt;3,$C$8,0)),AU17*(1-$C$6-IF(AT17&lt;3,$C$8,0))))&lt;10,$C$9,IF(IF(AU17&lt;AV17*(1-$C$7),AV17*(1-$C$5-IF(AT17&lt;3,$C$8,0)),MIN(AV17*(1-$C$5-IF(AT17&lt;3,$C$8,0)),AU17*(1-$C$6-IF(AT17&lt;3,$C$8,0))))&lt;100,$D$9,$E$9)))),ROUND($D17*(1+$C$10),2),FLOOR(IF(AU17&lt;AV17*(1-$C$7),AV17*(1-$C$5-IF(AT17&lt;3,$C$8,0)),MIN(AV17*(1-$C$5-IF(AT17&lt;3,$C$8,0)),AU17*(1-$C$6-IF(AT17&lt;3,$C$8,0)))),IF(IF(AU17&lt;AV17*(1-$C$7),AV17*(1-$C$5-IF(AT17&lt;3,$C$8,0)),MIN(AV17*(1-$C$5-IF(AT17&lt;3,$C$8,0)),AU17*(1-$C$6-IF(AT17&lt;3,$C$8,0))))&lt;10,$C$9,IF(IF(AU17&lt;AV17*(1-$C$7),AV17*(1-$C$5-IF(AT17&lt;3,$C$8,0)),MIN(AV17*(1-$C$5-IF(AT17&lt;3,$C$8,0)),AU17*(1-$C$6-IF(AT17&lt;3,$C$8,0))))&lt;100,$D$9,$E$9)))))</f>
        <v>4.8</v>
      </c>
      <c r="AZ17" s="62" t="n">
        <f aca="false">IF(AT17=0,"—",FLOOR(AY17*Sources!$G$9,0.1))</f>
        <v>25.3</v>
      </c>
      <c r="BA17" s="60" t="n">
        <f aca="false">IF(ISNUMBER($D17),$D17,"n/a")</f>
        <v>1.375</v>
      </c>
      <c r="BB17" s="63" t="n">
        <f aca="false">IF(OR(AT17=0,NOT(ISNUMBER($D17))),"—",AY17/$D17-1)</f>
        <v>2.49090909090909</v>
      </c>
      <c r="BC17" s="64" t="n">
        <f aca="false">IF(AT17=0,"—",AY17/AU17-1)</f>
        <v>-0.200609668359598</v>
      </c>
      <c r="BD17" s="64" t="n">
        <f aca="false">IF(AT17=0,"—",AY17/AV17-1)</f>
        <v>-0.250512462104036</v>
      </c>
      <c r="BE17" s="59" t="n">
        <f aca="false">COUNTIFS(Offers!$B$7:$B$3000,$B17,Offers!$C$7:$C$3000,"Hungary",Offers!$AI$7:$AI$3000,"yes")</f>
        <v>5</v>
      </c>
      <c r="BF17" s="60" t="n">
        <f aca="false">IF(BE17=0,"—",SUMIFS(Review!$I$7:$I$600,Review!$B$7:$B$600,$B17,Review!$C$7:$C$600,"Hungary"))</f>
        <v>2.294392</v>
      </c>
      <c r="BG17" s="60" t="n">
        <f aca="false">IF(BE17=0,"—",SUMIFS(Review!$J$7:$J$600,Review!$B$7:$B$600,$B17,Review!$C$7:$C$600,"Hungary"))</f>
        <v>4.247357</v>
      </c>
      <c r="BH17" s="60" t="n">
        <f aca="false">IF(BE17=0,"—",SUMIFS(Review!$K$7:$K$600,Review!$B$7:$B$600,$B17,Review!$C$7:$C$600,"Hungary"))</f>
        <v>5.525662</v>
      </c>
      <c r="BI17" s="61" t="str">
        <f aca="false">IF(BE17=0,"—",IF(BF17&lt;BG17*(1-$C$7),"median (cheapest is an outlier)",IF(BF17*(1-$C$6)&lt;BG17*(1-$C$5),"undercut cheapest","median")))</f>
        <v>median (cheapest is an outlier)</v>
      </c>
      <c r="BJ17" s="62" t="n">
        <f aca="false">IF(BE17=0,"—",IF(AND(ISNUMBER($D17),$D17*(1+$C$10)&gt;FLOOR(IF(BF17&lt;BG17*(1-$C$7),BG17*(1-$C$5-IF(BE17&lt;3,$C$8,0)),MIN(BG17*(1-$C$5-IF(BE17&lt;3,$C$8,0)),BF17*(1-$C$6-IF(BE17&lt;3,$C$8,0)))),IF(IF(BF17&lt;BG17*(1-$C$7),BG17*(1-$C$5-IF(BE17&lt;3,$C$8,0)),MIN(BG17*(1-$C$5-IF(BE17&lt;3,$C$8,0)),BF17*(1-$C$6-IF(BE17&lt;3,$C$8,0))))&lt;10,$C$9,IF(IF(BF17&lt;BG17*(1-$C$7),BG17*(1-$C$5-IF(BE17&lt;3,$C$8,0)),MIN(BG17*(1-$C$5-IF(BE17&lt;3,$C$8,0)),BF17*(1-$C$6-IF(BE17&lt;3,$C$8,0))))&lt;100,$D$9,$E$9)))),ROUND($D17*(1+$C$10),2),FLOOR(IF(BF17&lt;BG17*(1-$C$7),BG17*(1-$C$5-IF(BE17&lt;3,$C$8,0)),MIN(BG17*(1-$C$5-IF(BE17&lt;3,$C$8,0)),BF17*(1-$C$6-IF(BE17&lt;3,$C$8,0)))),IF(IF(BF17&lt;BG17*(1-$C$7),BG17*(1-$C$5-IF(BE17&lt;3,$C$8,0)),MIN(BG17*(1-$C$5-IF(BE17&lt;3,$C$8,0)),BF17*(1-$C$6-IF(BE17&lt;3,$C$8,0))))&lt;10,$C$9,IF(IF(BF17&lt;BG17*(1-$C$7),BG17*(1-$C$5-IF(BE17&lt;3,$C$8,0)),MIN(BG17*(1-$C$5-IF(BE17&lt;3,$C$8,0)),BF17*(1-$C$6-IF(BE17&lt;3,$C$8,0))))&lt;100,$D$9,$E$9)))))</f>
        <v>3.15</v>
      </c>
      <c r="BK17" s="65" t="n">
        <f aca="false">IF(BE17=0,"—",FLOOR(BJ17*Sources!$G$8,10))</f>
        <v>1150</v>
      </c>
      <c r="BL17" s="60" t="n">
        <f aca="false">IF(ISNUMBER($D17),$D17,"n/a")</f>
        <v>1.375</v>
      </c>
      <c r="BM17" s="63" t="n">
        <f aca="false">IF(OR(BE17=0,NOT(ISNUMBER($D17))),"—",BJ17/$D17-1)</f>
        <v>1.29090909090909</v>
      </c>
      <c r="BN17" s="64" t="n">
        <f aca="false">IF(BE17=0,"—",BJ17/BF17-1)</f>
        <v>0.372912736794759</v>
      </c>
      <c r="BO17" s="64" t="n">
        <f aca="false">IF(BE17=0,"—",BJ17/BG17-1)</f>
        <v>-0.258362318025068</v>
      </c>
    </row>
    <row r="18" customFormat="false" ht="15" hidden="false" customHeight="true" outlineLevel="0" collapsed="false">
      <c r="B18" s="66" t="s">
        <v>24</v>
      </c>
      <c r="C18" s="66" t="s">
        <v>143</v>
      </c>
      <c r="D18" s="58" t="n">
        <v>2.2</v>
      </c>
      <c r="E18" s="67" t="n">
        <f aca="false">COUNTIFS(Offers!$B$7:$B$3000,$B18,Offers!$C$7:$C$3000,"Austria",Offers!$AI$7:$AI$3000,"yes")</f>
        <v>8</v>
      </c>
      <c r="F18" s="68" t="n">
        <f aca="false">IF(E18=0,"—",SUMIFS(Review!$I$7:$I$600,Review!$B$7:$B$600,$B18,Review!$C$7:$C$600,"Austria"))</f>
        <v>2.46</v>
      </c>
      <c r="G18" s="68" t="n">
        <f aca="false">IF(E18=0,"—",SUMIFS(Review!$J$7:$J$600,Review!$B$7:$B$600,$B18,Review!$C$7:$C$600,"Austria"))</f>
        <v>6.525</v>
      </c>
      <c r="H18" s="68" t="n">
        <f aca="false">IF(E18=0,"—",SUMIFS(Review!$K$7:$K$600,Review!$B$7:$B$600,$B18,Review!$C$7:$C$600,"Austria"))</f>
        <v>16.66</v>
      </c>
      <c r="I18" s="69" t="str">
        <f aca="false">IF(E18=0,"—",IF(F18&lt;G18*(1-$C$7),"median (cheapest is an outlier)",IF(F18*(1-$C$6)&lt;G18*(1-$C$5),"undercut cheapest","median")))</f>
        <v>median (cheapest is an outlier)</v>
      </c>
      <c r="J18" s="70" t="n">
        <f aca="false">IF(E18=0,"—",IF(AND(ISNUMBER($D18),$D18*(1+$C$10)&gt;FLOOR(IF(F18&lt;G18*(1-$C$7),G18*(1-$C$5-IF(E18&lt;3,$C$8,0)),MIN(G18*(1-$C$5-IF(E18&lt;3,$C$8,0)),F18*(1-$C$6-IF(E18&lt;3,$C$8,0)))),IF(IF(F18&lt;G18*(1-$C$7),G18*(1-$C$5-IF(E18&lt;3,$C$8,0)),MIN(G18*(1-$C$5-IF(E18&lt;3,$C$8,0)),F18*(1-$C$6-IF(E18&lt;3,$C$8,0))))&lt;10,$C$9,IF(IF(F18&lt;G18*(1-$C$7),G18*(1-$C$5-IF(E18&lt;3,$C$8,0)),MIN(G18*(1-$C$5-IF(E18&lt;3,$C$8,0)),F18*(1-$C$6-IF(E18&lt;3,$C$8,0))))&lt;100,$D$9,$E$9)))),ROUND($D18*(1+$C$10),2),FLOOR(IF(F18&lt;G18*(1-$C$7),G18*(1-$C$5-IF(E18&lt;3,$C$8,0)),MIN(G18*(1-$C$5-IF(E18&lt;3,$C$8,0)),F18*(1-$C$6-IF(E18&lt;3,$C$8,0)))),IF(IF(F18&lt;G18*(1-$C$7),G18*(1-$C$5-IF(E18&lt;3,$C$8,0)),MIN(G18*(1-$C$5-IF(E18&lt;3,$C$8,0)),F18*(1-$C$6-IF(E18&lt;3,$C$8,0))))&lt;10,$C$9,IF(IF(F18&lt;G18*(1-$C$7),G18*(1-$C$5-IF(E18&lt;3,$C$8,0)),MIN(G18*(1-$C$5-IF(E18&lt;3,$C$8,0)),F18*(1-$C$6-IF(E18&lt;3,$C$8,0))))&lt;100,$D$9,$E$9)))))</f>
        <v>4.85</v>
      </c>
      <c r="K18" s="68" t="n">
        <f aca="false">IF(ISNUMBER($D18),$D18,"n/a")</f>
        <v>2.2</v>
      </c>
      <c r="L18" s="71" t="n">
        <f aca="false">IF(OR(E18=0,NOT(ISNUMBER($D18))),"—",J18/$D18-1)</f>
        <v>1.20454545454545</v>
      </c>
      <c r="M18" s="72" t="n">
        <f aca="false">IF(E18=0,"—",J18/F18-1)</f>
        <v>0.971544715447155</v>
      </c>
      <c r="N18" s="72" t="n">
        <f aca="false">IF(E18=0,"—",J18/G18-1)</f>
        <v>-0.256704980842912</v>
      </c>
      <c r="O18" s="67" t="n">
        <f aca="false">COUNTIFS(Offers!$B$7:$B$3000,$B18,Offers!$C$7:$C$3000,"Germany",Offers!$AI$7:$AI$3000,"yes")</f>
        <v>9</v>
      </c>
      <c r="P18" s="68" t="n">
        <f aca="false">IF(O18=0,"—",SUMIFS(Review!$I$7:$I$600,Review!$B$7:$B$600,$B18,Review!$C$7:$C$600,"Germany"))</f>
        <v>2.33</v>
      </c>
      <c r="Q18" s="68" t="n">
        <f aca="false">IF(O18=0,"—",SUMIFS(Review!$J$7:$J$600,Review!$B$7:$B$600,$B18,Review!$C$7:$C$600,"Germany"))</f>
        <v>7.5</v>
      </c>
      <c r="R18" s="68" t="n">
        <f aca="false">IF(O18=0,"—",SUMIFS(Review!$K$7:$K$600,Review!$B$7:$B$600,$B18,Review!$C$7:$C$600,"Germany"))</f>
        <v>16.66</v>
      </c>
      <c r="S18" s="69" t="str">
        <f aca="false">IF(O18=0,"—",IF(P18&lt;Q18*(1-$C$7),"median (cheapest is an outlier)",IF(P18*(1-$C$6)&lt;Q18*(1-$C$5),"undercut cheapest","median")))</f>
        <v>median (cheapest is an outlier)</v>
      </c>
      <c r="T18" s="70" t="n">
        <f aca="false">IF(O18=0,"—",IF(AND(ISNUMBER($D18),$D18*(1+$C$10)&gt;FLOOR(IF(P18&lt;Q18*(1-$C$7),Q18*(1-$C$5-IF(O18&lt;3,$C$8,0)),MIN(Q18*(1-$C$5-IF(O18&lt;3,$C$8,0)),P18*(1-$C$6-IF(O18&lt;3,$C$8,0)))),IF(IF(P18&lt;Q18*(1-$C$7),Q18*(1-$C$5-IF(O18&lt;3,$C$8,0)),MIN(Q18*(1-$C$5-IF(O18&lt;3,$C$8,0)),P18*(1-$C$6-IF(O18&lt;3,$C$8,0))))&lt;10,$C$9,IF(IF(P18&lt;Q18*(1-$C$7),Q18*(1-$C$5-IF(O18&lt;3,$C$8,0)),MIN(Q18*(1-$C$5-IF(O18&lt;3,$C$8,0)),P18*(1-$C$6-IF(O18&lt;3,$C$8,0))))&lt;100,$D$9,$E$9)))),ROUND($D18*(1+$C$10),2),FLOOR(IF(P18&lt;Q18*(1-$C$7),Q18*(1-$C$5-IF(O18&lt;3,$C$8,0)),MIN(Q18*(1-$C$5-IF(O18&lt;3,$C$8,0)),P18*(1-$C$6-IF(O18&lt;3,$C$8,0)))),IF(IF(P18&lt;Q18*(1-$C$7),Q18*(1-$C$5-IF(O18&lt;3,$C$8,0)),MIN(Q18*(1-$C$5-IF(O18&lt;3,$C$8,0)),P18*(1-$C$6-IF(O18&lt;3,$C$8,0))))&lt;10,$C$9,IF(IF(P18&lt;Q18*(1-$C$7),Q18*(1-$C$5-IF(O18&lt;3,$C$8,0)),MIN(Q18*(1-$C$5-IF(O18&lt;3,$C$8,0)),P18*(1-$C$6-IF(O18&lt;3,$C$8,0))))&lt;100,$D$9,$E$9)))))</f>
        <v>5.6</v>
      </c>
      <c r="U18" s="68" t="n">
        <f aca="false">IF(ISNUMBER($D18),$D18,"n/a")</f>
        <v>2.2</v>
      </c>
      <c r="V18" s="71" t="n">
        <f aca="false">IF(OR(O18=0,NOT(ISNUMBER($D18))),"—",T18/$D18-1)</f>
        <v>1.54545454545455</v>
      </c>
      <c r="W18" s="72" t="n">
        <f aca="false">IF(O18=0,"—",T18/P18-1)</f>
        <v>1.40343347639485</v>
      </c>
      <c r="X18" s="72" t="n">
        <f aca="false">IF(O18=0,"—",T18/Q18-1)</f>
        <v>-0.253333333333333</v>
      </c>
      <c r="Y18" s="67" t="n">
        <f aca="false">COUNTIFS(Offers!$B$7:$B$3000,$B18,Offers!$C$7:$C$3000,"Czech",Offers!$AI$7:$AI$3000,"yes")</f>
        <v>8</v>
      </c>
      <c r="Z18" s="68" t="n">
        <f aca="false">IF(Y18=0,"—",SUMIFS(Review!$I$7:$I$600,Review!$B$7:$B$600,$B18,Review!$C$7:$C$600,"Czech"))</f>
        <v>3.439294</v>
      </c>
      <c r="AA18" s="68" t="n">
        <f aca="false">IF(Y18=0,"—",SUMIFS(Review!$J$7:$J$600,Review!$B$7:$B$600,$B18,Review!$C$7:$C$600,"Czech"))</f>
        <v>5.040613</v>
      </c>
      <c r="AB18" s="68" t="n">
        <f aca="false">IF(Y18=0,"—",SUMIFS(Review!$K$7:$K$600,Review!$B$7:$B$600,$B18,Review!$C$7:$C$600,"Czech"))</f>
        <v>11.843455</v>
      </c>
      <c r="AC18" s="69" t="str">
        <f aca="false">IF(Y18=0,"—",IF(Z18&lt;AA18*(1-$C$7),"median (cheapest is an outlier)",IF(Z18*(1-$C$6)&lt;AA18*(1-$C$5),"undercut cheapest","median")))</f>
        <v>undercut cheapest</v>
      </c>
      <c r="AD18" s="70" t="n">
        <f aca="false">IF(Y18=0,"—",IF(AND(ISNUMBER($D18),$D18*(1+$C$10)&gt;FLOOR(IF(Z18&lt;AA18*(1-$C$7),AA18*(1-$C$5-IF(Y18&lt;3,$C$8,0)),MIN(AA18*(1-$C$5-IF(Y18&lt;3,$C$8,0)),Z18*(1-$C$6-IF(Y18&lt;3,$C$8,0)))),IF(IF(Z18&lt;AA18*(1-$C$7),AA18*(1-$C$5-IF(Y18&lt;3,$C$8,0)),MIN(AA18*(1-$C$5-IF(Y18&lt;3,$C$8,0)),Z18*(1-$C$6-IF(Y18&lt;3,$C$8,0))))&lt;10,$C$9,IF(IF(Z18&lt;AA18*(1-$C$7),AA18*(1-$C$5-IF(Y18&lt;3,$C$8,0)),MIN(AA18*(1-$C$5-IF(Y18&lt;3,$C$8,0)),Z18*(1-$C$6-IF(Y18&lt;3,$C$8,0))))&lt;100,$D$9,$E$9)))),ROUND($D18*(1+$C$10),2),FLOOR(IF(Z18&lt;AA18*(1-$C$7),AA18*(1-$C$5-IF(Y18&lt;3,$C$8,0)),MIN(AA18*(1-$C$5-IF(Y18&lt;3,$C$8,0)),Z18*(1-$C$6-IF(Y18&lt;3,$C$8,0)))),IF(IF(Z18&lt;AA18*(1-$C$7),AA18*(1-$C$5-IF(Y18&lt;3,$C$8,0)),MIN(AA18*(1-$C$5-IF(Y18&lt;3,$C$8,0)),Z18*(1-$C$6-IF(Y18&lt;3,$C$8,0))))&lt;10,$C$9,IF(IF(Z18&lt;AA18*(1-$C$7),AA18*(1-$C$5-IF(Y18&lt;3,$C$8,0)),MIN(AA18*(1-$C$5-IF(Y18&lt;3,$C$8,0)),Z18*(1-$C$6-IF(Y18&lt;3,$C$8,0))))&lt;100,$D$9,$E$9)))))</f>
        <v>3.25</v>
      </c>
      <c r="AE18" s="73" t="n">
        <f aca="false">IF(Y18=0,"—",FLOOR(AD18*Sources!$G$10,1))</f>
        <v>79</v>
      </c>
      <c r="AF18" s="68" t="n">
        <f aca="false">IF(ISNUMBER($D18),$D18,"n/a")</f>
        <v>2.2</v>
      </c>
      <c r="AG18" s="71" t="n">
        <f aca="false">IF(OR(Y18=0,NOT(ISNUMBER($D18))),"—",AD18/$D18-1)</f>
        <v>0.477272727272727</v>
      </c>
      <c r="AH18" s="72" t="n">
        <f aca="false">IF(Y18=0,"—",AD18/Z18-1)</f>
        <v>-0.0550386212984408</v>
      </c>
      <c r="AI18" s="72" t="n">
        <f aca="false">IF(Y18=0,"—",AD18/AA18-1)</f>
        <v>-0.355237150719565</v>
      </c>
      <c r="AJ18" s="67" t="n">
        <f aca="false">COUNTIFS(Offers!$B$7:$B$3000,$B18,Offers!$C$7:$C$3000,"Slovakia",Offers!$AI$7:$AI$3000,"yes")</f>
        <v>2</v>
      </c>
      <c r="AK18" s="68" t="n">
        <f aca="false">IF(AJ18=0,"—",SUMIFS(Review!$I$7:$I$600,Review!$B$7:$B$600,$B18,Review!$C$7:$C$600,"Slovakia"))</f>
        <v>8.46</v>
      </c>
      <c r="AL18" s="68" t="n">
        <f aca="false">IF(AJ18=0,"—",SUMIFS(Review!$J$7:$J$600,Review!$B$7:$B$600,$B18,Review!$C$7:$C$600,"Slovakia"))</f>
        <v>9.945447</v>
      </c>
      <c r="AM18" s="68" t="n">
        <f aca="false">IF(AJ18=0,"—",SUMIFS(Review!$K$7:$K$600,Review!$B$7:$B$600,$B18,Review!$C$7:$C$600,"Slovakia"))</f>
        <v>11.430894</v>
      </c>
      <c r="AN18" s="69" t="str">
        <f aca="false">IF(AJ18=0,"—",IF(AK18&lt;AL18*(1-$C$7),"median (cheapest is an outlier)",IF(AK18*(1-$C$6)&lt;AL18*(1-$C$5),"undercut cheapest","median")))</f>
        <v>median</v>
      </c>
      <c r="AO18" s="70" t="n">
        <f aca="false">IF(AJ18=0,"—",IF(AND(ISNUMBER($D18),$D18*(1+$C$10)&gt;FLOOR(IF(AK18&lt;AL18*(1-$C$7),AL18*(1-$C$5-IF(AJ18&lt;3,$C$8,0)),MIN(AL18*(1-$C$5-IF(AJ18&lt;3,$C$8,0)),AK18*(1-$C$6-IF(AJ18&lt;3,$C$8,0)))),IF(IF(AK18&lt;AL18*(1-$C$7),AL18*(1-$C$5-IF(AJ18&lt;3,$C$8,0)),MIN(AL18*(1-$C$5-IF(AJ18&lt;3,$C$8,0)),AK18*(1-$C$6-IF(AJ18&lt;3,$C$8,0))))&lt;10,$C$9,IF(IF(AK18&lt;AL18*(1-$C$7),AL18*(1-$C$5-IF(AJ18&lt;3,$C$8,0)),MIN(AL18*(1-$C$5-IF(AJ18&lt;3,$C$8,0)),AK18*(1-$C$6-IF(AJ18&lt;3,$C$8,0))))&lt;100,$D$9,$E$9)))),ROUND($D18*(1+$C$10),2),FLOOR(IF(AK18&lt;AL18*(1-$C$7),AL18*(1-$C$5-IF(AJ18&lt;3,$C$8,0)),MIN(AL18*(1-$C$5-IF(AJ18&lt;3,$C$8,0)),AK18*(1-$C$6-IF(AJ18&lt;3,$C$8,0)))),IF(IF(AK18&lt;AL18*(1-$C$7),AL18*(1-$C$5-IF(AJ18&lt;3,$C$8,0)),MIN(AL18*(1-$C$5-IF(AJ18&lt;3,$C$8,0)),AK18*(1-$C$6-IF(AJ18&lt;3,$C$8,0))))&lt;10,$C$9,IF(IF(AK18&lt;AL18*(1-$C$7),AL18*(1-$C$5-IF(AJ18&lt;3,$C$8,0)),MIN(AL18*(1-$C$5-IF(AJ18&lt;3,$C$8,0)),AK18*(1-$C$6-IF(AJ18&lt;3,$C$8,0))))&lt;100,$D$9,$E$9)))))</f>
        <v>6.95</v>
      </c>
      <c r="AP18" s="68" t="n">
        <f aca="false">IF(ISNUMBER($D18),$D18,"n/a")</f>
        <v>2.2</v>
      </c>
      <c r="AQ18" s="71" t="n">
        <f aca="false">IF(OR(AJ18=0,NOT(ISNUMBER($D18))),"—",AO18/$D18-1)</f>
        <v>2.15909090909091</v>
      </c>
      <c r="AR18" s="72" t="n">
        <f aca="false">IF(AJ18=0,"—",AO18/AK18-1)</f>
        <v>-0.178486997635934</v>
      </c>
      <c r="AS18" s="72" t="n">
        <f aca="false">IF(AJ18=0,"—",AO18/AL18-1)</f>
        <v>-0.301187769639716</v>
      </c>
      <c r="AT18" s="67" t="n">
        <f aca="false">COUNTIFS(Offers!$B$7:$B$3000,$B18,Offers!$C$7:$C$3000,"Romania",Offers!$AI$7:$AI$3000,"yes")</f>
        <v>3</v>
      </c>
      <c r="AU18" s="68" t="n">
        <f aca="false">IF(AT18=0,"—",SUMIFS(Review!$I$7:$I$600,Review!$B$7:$B$600,$B18,Review!$C$7:$C$600,"Romania"))</f>
        <v>4.367481</v>
      </c>
      <c r="AV18" s="68" t="n">
        <f aca="false">IF(AT18=0,"—",SUMIFS(Review!$J$7:$J$600,Review!$B$7:$B$600,$B18,Review!$C$7:$C$600,"Romania"))</f>
        <v>4.50959</v>
      </c>
      <c r="AW18" s="68" t="n">
        <f aca="false">IF(AT18=0,"—",SUMIFS(Review!$K$7:$K$600,Review!$B$7:$B$600,$B18,Review!$C$7:$C$600,"Romania"))</f>
        <v>5.231503</v>
      </c>
      <c r="AX18" s="69" t="str">
        <f aca="false">IF(AT18=0,"—",IF(AU18&lt;AV18*(1-$C$7),"median (cheapest is an outlier)",IF(AU18*(1-$C$6)&lt;AV18*(1-$C$5),"undercut cheapest","median")))</f>
        <v>median</v>
      </c>
      <c r="AY18" s="70" t="n">
        <f aca="false">IF(AT18=0,"—",IF(AND(ISNUMBER($D18),$D18*(1+$C$10)&gt;FLOOR(IF(AU18&lt;AV18*(1-$C$7),AV18*(1-$C$5-IF(AT18&lt;3,$C$8,0)),MIN(AV18*(1-$C$5-IF(AT18&lt;3,$C$8,0)),AU18*(1-$C$6-IF(AT18&lt;3,$C$8,0)))),IF(IF(AU18&lt;AV18*(1-$C$7),AV18*(1-$C$5-IF(AT18&lt;3,$C$8,0)),MIN(AV18*(1-$C$5-IF(AT18&lt;3,$C$8,0)),AU18*(1-$C$6-IF(AT18&lt;3,$C$8,0))))&lt;10,$C$9,IF(IF(AU18&lt;AV18*(1-$C$7),AV18*(1-$C$5-IF(AT18&lt;3,$C$8,0)),MIN(AV18*(1-$C$5-IF(AT18&lt;3,$C$8,0)),AU18*(1-$C$6-IF(AT18&lt;3,$C$8,0))))&lt;100,$D$9,$E$9)))),ROUND($D18*(1+$C$10),2),FLOOR(IF(AU18&lt;AV18*(1-$C$7),AV18*(1-$C$5-IF(AT18&lt;3,$C$8,0)),MIN(AV18*(1-$C$5-IF(AT18&lt;3,$C$8,0)),AU18*(1-$C$6-IF(AT18&lt;3,$C$8,0)))),IF(IF(AU18&lt;AV18*(1-$C$7),AV18*(1-$C$5-IF(AT18&lt;3,$C$8,0)),MIN(AV18*(1-$C$5-IF(AT18&lt;3,$C$8,0)),AU18*(1-$C$6-IF(AT18&lt;3,$C$8,0))))&lt;10,$C$9,IF(IF(AU18&lt;AV18*(1-$C$7),AV18*(1-$C$5-IF(AT18&lt;3,$C$8,0)),MIN(AV18*(1-$C$5-IF(AT18&lt;3,$C$8,0)),AU18*(1-$C$6-IF(AT18&lt;3,$C$8,0))))&lt;100,$D$9,$E$9)))))</f>
        <v>3.35</v>
      </c>
      <c r="AZ18" s="70" t="n">
        <f aca="false">IF(AT18=0,"—",FLOOR(AY18*Sources!$G$9,0.1))</f>
        <v>17.6</v>
      </c>
      <c r="BA18" s="68" t="n">
        <f aca="false">IF(ISNUMBER($D18),$D18,"n/a")</f>
        <v>2.2</v>
      </c>
      <c r="BB18" s="71" t="n">
        <f aca="false">IF(OR(AT18=0,NOT(ISNUMBER($D18))),"—",AY18/$D18-1)</f>
        <v>0.522727272727273</v>
      </c>
      <c r="BC18" s="72" t="n">
        <f aca="false">IF(AT18=0,"—",AY18/AU18-1)</f>
        <v>-0.232967470264896</v>
      </c>
      <c r="BD18" s="72" t="n">
        <f aca="false">IF(AT18=0,"—",AY18/AV18-1)</f>
        <v>-0.257138675578046</v>
      </c>
      <c r="BE18" s="67" t="n">
        <f aca="false">COUNTIFS(Offers!$B$7:$B$3000,$B18,Offers!$C$7:$C$3000,"Hungary",Offers!$AI$7:$AI$3000,"yes")</f>
        <v>0</v>
      </c>
      <c r="BF18" s="68" t="str">
        <f aca="false">IF(BE18=0,"—",SUMIFS(Review!$I$7:$I$600,Review!$B$7:$B$600,$B18,Review!$C$7:$C$600,"Hungary"))</f>
        <v>—</v>
      </c>
      <c r="BG18" s="68" t="str">
        <f aca="false">IF(BE18=0,"—",SUMIFS(Review!$J$7:$J$600,Review!$B$7:$B$600,$B18,Review!$C$7:$C$600,"Hungary"))</f>
        <v>—</v>
      </c>
      <c r="BH18" s="68" t="str">
        <f aca="false">IF(BE18=0,"—",SUMIFS(Review!$K$7:$K$600,Review!$B$7:$B$600,$B18,Review!$C$7:$C$600,"Hungary"))</f>
        <v>—</v>
      </c>
      <c r="BI18" s="69" t="str">
        <f aca="false">IF(BE18=0,"—",IF(BF18&lt;BG18*(1-$C$7),"median (cheapest is an outlier)",IF(BF18*(1-$C$6)&lt;BG18*(1-$C$5),"undercut cheapest","median")))</f>
        <v>—</v>
      </c>
      <c r="BJ18" s="70" t="str">
        <f aca="false">IF(BE18=0,"—",IF(AND(ISNUMBER($D18),$D18*(1+$C$10)&gt;FLOOR(IF(BF18&lt;BG18*(1-$C$7),BG18*(1-$C$5-IF(BE18&lt;3,$C$8,0)),MIN(BG18*(1-$C$5-IF(BE18&lt;3,$C$8,0)),BF18*(1-$C$6-IF(BE18&lt;3,$C$8,0)))),IF(IF(BF18&lt;BG18*(1-$C$7),BG18*(1-$C$5-IF(BE18&lt;3,$C$8,0)),MIN(BG18*(1-$C$5-IF(BE18&lt;3,$C$8,0)),BF18*(1-$C$6-IF(BE18&lt;3,$C$8,0))))&lt;10,$C$9,IF(IF(BF18&lt;BG18*(1-$C$7),BG18*(1-$C$5-IF(BE18&lt;3,$C$8,0)),MIN(BG18*(1-$C$5-IF(BE18&lt;3,$C$8,0)),BF18*(1-$C$6-IF(BE18&lt;3,$C$8,0))))&lt;100,$D$9,$E$9)))),ROUND($D18*(1+$C$10),2),FLOOR(IF(BF18&lt;BG18*(1-$C$7),BG18*(1-$C$5-IF(BE18&lt;3,$C$8,0)),MIN(BG18*(1-$C$5-IF(BE18&lt;3,$C$8,0)),BF18*(1-$C$6-IF(BE18&lt;3,$C$8,0)))),IF(IF(BF18&lt;BG18*(1-$C$7),BG18*(1-$C$5-IF(BE18&lt;3,$C$8,0)),MIN(BG18*(1-$C$5-IF(BE18&lt;3,$C$8,0)),BF18*(1-$C$6-IF(BE18&lt;3,$C$8,0))))&lt;10,$C$9,IF(IF(BF18&lt;BG18*(1-$C$7),BG18*(1-$C$5-IF(BE18&lt;3,$C$8,0)),MIN(BG18*(1-$C$5-IF(BE18&lt;3,$C$8,0)),BF18*(1-$C$6-IF(BE18&lt;3,$C$8,0))))&lt;100,$D$9,$E$9)))))</f>
        <v>—</v>
      </c>
      <c r="BK18" s="73" t="str">
        <f aca="false">IF(BE18=0,"—",FLOOR(BJ18*Sources!$G$8,10))</f>
        <v>—</v>
      </c>
      <c r="BL18" s="68" t="n">
        <f aca="false">IF(ISNUMBER($D18),$D18,"n/a")</f>
        <v>2.2</v>
      </c>
      <c r="BM18" s="71" t="str">
        <f aca="false">IF(OR(BE18=0,NOT(ISNUMBER($D18))),"—",BJ18/$D18-1)</f>
        <v>—</v>
      </c>
      <c r="BN18" s="72" t="str">
        <f aca="false">IF(BE18=0,"—",BJ18/BF18-1)</f>
        <v>—</v>
      </c>
      <c r="BO18" s="72" t="str">
        <f aca="false">IF(BE18=0,"—",BJ18/BG18-1)</f>
        <v>—</v>
      </c>
    </row>
    <row r="19" customFormat="false" ht="15" hidden="false" customHeight="true" outlineLevel="0" collapsed="false">
      <c r="B19" s="1" t="s">
        <v>25</v>
      </c>
      <c r="C19" s="1" t="s">
        <v>144</v>
      </c>
      <c r="D19" s="58" t="n">
        <v>0.55</v>
      </c>
      <c r="E19" s="59" t="n">
        <f aca="false">COUNTIFS(Offers!$B$7:$B$3000,$B19,Offers!$C$7:$C$3000,"Austria",Offers!$AI$7:$AI$3000,"yes")</f>
        <v>7</v>
      </c>
      <c r="F19" s="60" t="n">
        <f aca="false">IF(E19=0,"—",SUMIFS(Review!$I$7:$I$600,Review!$B$7:$B$600,$B19,Review!$C$7:$C$600,"Austria"))</f>
        <v>1.42</v>
      </c>
      <c r="G19" s="60" t="n">
        <f aca="false">IF(E19=0,"—",SUMIFS(Review!$J$7:$J$600,Review!$B$7:$B$600,$B19,Review!$C$7:$C$600,"Austria"))</f>
        <v>2.32</v>
      </c>
      <c r="H19" s="60" t="n">
        <f aca="false">IF(E19=0,"—",SUMIFS(Review!$K$7:$K$600,Review!$B$7:$B$600,$B19,Review!$C$7:$C$600,"Austria"))</f>
        <v>4.33</v>
      </c>
      <c r="I19" s="61" t="str">
        <f aca="false">IF(E19=0,"—",IF(F19&lt;G19*(1-$C$7),"median (cheapest is an outlier)",IF(F19*(1-$C$6)&lt;G19*(1-$C$5),"undercut cheapest","median")))</f>
        <v>median (cheapest is an outlier)</v>
      </c>
      <c r="J19" s="62" t="n">
        <f aca="false">IF(E19=0,"—",IF(AND(ISNUMBER($D19),$D19*(1+$C$10)&gt;FLOOR(IF(F19&lt;G19*(1-$C$7),G19*(1-$C$5-IF(E19&lt;3,$C$8,0)),MIN(G19*(1-$C$5-IF(E19&lt;3,$C$8,0)),F19*(1-$C$6-IF(E19&lt;3,$C$8,0)))),IF(IF(F19&lt;G19*(1-$C$7),G19*(1-$C$5-IF(E19&lt;3,$C$8,0)),MIN(G19*(1-$C$5-IF(E19&lt;3,$C$8,0)),F19*(1-$C$6-IF(E19&lt;3,$C$8,0))))&lt;10,$C$9,IF(IF(F19&lt;G19*(1-$C$7),G19*(1-$C$5-IF(E19&lt;3,$C$8,0)),MIN(G19*(1-$C$5-IF(E19&lt;3,$C$8,0)),F19*(1-$C$6-IF(E19&lt;3,$C$8,0))))&lt;100,$D$9,$E$9)))),ROUND($D19*(1+$C$10),2),FLOOR(IF(F19&lt;G19*(1-$C$7),G19*(1-$C$5-IF(E19&lt;3,$C$8,0)),MIN(G19*(1-$C$5-IF(E19&lt;3,$C$8,0)),F19*(1-$C$6-IF(E19&lt;3,$C$8,0)))),IF(IF(F19&lt;G19*(1-$C$7),G19*(1-$C$5-IF(E19&lt;3,$C$8,0)),MIN(G19*(1-$C$5-IF(E19&lt;3,$C$8,0)),F19*(1-$C$6-IF(E19&lt;3,$C$8,0))))&lt;10,$C$9,IF(IF(F19&lt;G19*(1-$C$7),G19*(1-$C$5-IF(E19&lt;3,$C$8,0)),MIN(G19*(1-$C$5-IF(E19&lt;3,$C$8,0)),F19*(1-$C$6-IF(E19&lt;3,$C$8,0))))&lt;100,$D$9,$E$9)))))</f>
        <v>1.7</v>
      </c>
      <c r="K19" s="60" t="n">
        <f aca="false">IF(ISNUMBER($D19),$D19,"n/a")</f>
        <v>0.55</v>
      </c>
      <c r="L19" s="63" t="n">
        <f aca="false">IF(OR(E19=0,NOT(ISNUMBER($D19))),"—",J19/$D19-1)</f>
        <v>2.09090909090909</v>
      </c>
      <c r="M19" s="64" t="n">
        <f aca="false">IF(E19=0,"—",J19/F19-1)</f>
        <v>0.197183098591549</v>
      </c>
      <c r="N19" s="64" t="n">
        <f aca="false">IF(E19=0,"—",J19/G19-1)</f>
        <v>-0.267241379310345</v>
      </c>
      <c r="O19" s="59" t="n">
        <f aca="false">COUNTIFS(Offers!$B$7:$B$3000,$B19,Offers!$C$7:$C$3000,"Germany",Offers!$AI$7:$AI$3000,"yes")</f>
        <v>8</v>
      </c>
      <c r="P19" s="60" t="n">
        <f aca="false">IF(O19=0,"—",SUMIFS(Review!$I$7:$I$600,Review!$B$7:$B$600,$B19,Review!$C$7:$C$600,"Germany"))</f>
        <v>0.94</v>
      </c>
      <c r="Q19" s="60" t="n">
        <f aca="false">IF(O19=0,"—",SUMIFS(Review!$J$7:$J$600,Review!$B$7:$B$600,$B19,Review!$C$7:$C$600,"Germany"))</f>
        <v>2.055</v>
      </c>
      <c r="R19" s="60" t="n">
        <f aca="false">IF(O19=0,"—",SUMIFS(Review!$K$7:$K$600,Review!$B$7:$B$600,$B19,Review!$C$7:$C$600,"Germany"))</f>
        <v>4</v>
      </c>
      <c r="S19" s="61" t="str">
        <f aca="false">IF(O19=0,"—",IF(P19&lt;Q19*(1-$C$7),"median (cheapest is an outlier)",IF(P19*(1-$C$6)&lt;Q19*(1-$C$5),"undercut cheapest","median")))</f>
        <v>median (cheapest is an outlier)</v>
      </c>
      <c r="T19" s="62" t="n">
        <f aca="false">IF(O19=0,"—",IF(AND(ISNUMBER($D19),$D19*(1+$C$10)&gt;FLOOR(IF(P19&lt;Q19*(1-$C$7),Q19*(1-$C$5-IF(O19&lt;3,$C$8,0)),MIN(Q19*(1-$C$5-IF(O19&lt;3,$C$8,0)),P19*(1-$C$6-IF(O19&lt;3,$C$8,0)))),IF(IF(P19&lt;Q19*(1-$C$7),Q19*(1-$C$5-IF(O19&lt;3,$C$8,0)),MIN(Q19*(1-$C$5-IF(O19&lt;3,$C$8,0)),P19*(1-$C$6-IF(O19&lt;3,$C$8,0))))&lt;10,$C$9,IF(IF(P19&lt;Q19*(1-$C$7),Q19*(1-$C$5-IF(O19&lt;3,$C$8,0)),MIN(Q19*(1-$C$5-IF(O19&lt;3,$C$8,0)),P19*(1-$C$6-IF(O19&lt;3,$C$8,0))))&lt;100,$D$9,$E$9)))),ROUND($D19*(1+$C$10),2),FLOOR(IF(P19&lt;Q19*(1-$C$7),Q19*(1-$C$5-IF(O19&lt;3,$C$8,0)),MIN(Q19*(1-$C$5-IF(O19&lt;3,$C$8,0)),P19*(1-$C$6-IF(O19&lt;3,$C$8,0)))),IF(IF(P19&lt;Q19*(1-$C$7),Q19*(1-$C$5-IF(O19&lt;3,$C$8,0)),MIN(Q19*(1-$C$5-IF(O19&lt;3,$C$8,0)),P19*(1-$C$6-IF(O19&lt;3,$C$8,0))))&lt;10,$C$9,IF(IF(P19&lt;Q19*(1-$C$7),Q19*(1-$C$5-IF(O19&lt;3,$C$8,0)),MIN(Q19*(1-$C$5-IF(O19&lt;3,$C$8,0)),P19*(1-$C$6-IF(O19&lt;3,$C$8,0))))&lt;100,$D$9,$E$9)))))</f>
        <v>1.5</v>
      </c>
      <c r="U19" s="60" t="n">
        <f aca="false">IF(ISNUMBER($D19),$D19,"n/a")</f>
        <v>0.55</v>
      </c>
      <c r="V19" s="63" t="n">
        <f aca="false">IF(OR(O19=0,NOT(ISNUMBER($D19))),"—",T19/$D19-1)</f>
        <v>1.72727272727273</v>
      </c>
      <c r="W19" s="64" t="n">
        <f aca="false">IF(O19=0,"—",T19/P19-1)</f>
        <v>0.595744680851064</v>
      </c>
      <c r="X19" s="64" t="n">
        <f aca="false">IF(O19=0,"—",T19/Q19-1)</f>
        <v>-0.27007299270073</v>
      </c>
      <c r="Y19" s="59" t="n">
        <f aca="false">COUNTIFS(Offers!$B$7:$B$3000,$B19,Offers!$C$7:$C$3000,"Czech",Offers!$AI$7:$AI$3000,"yes")</f>
        <v>5</v>
      </c>
      <c r="Z19" s="60" t="n">
        <f aca="false">IF(Y19=0,"—",SUMIFS(Review!$I$7:$I$600,Review!$B$7:$B$600,$B19,Review!$C$7:$C$600,"Czech"))</f>
        <v>1.392095</v>
      </c>
      <c r="AA19" s="60" t="n">
        <f aca="false">IF(Y19=0,"—",SUMIFS(Review!$J$7:$J$600,Review!$B$7:$B$600,$B19,Review!$C$7:$C$600,"Czech"))</f>
        <v>4.708558</v>
      </c>
      <c r="AB19" s="60" t="n">
        <f aca="false">IF(Y19=0,"—",SUMIFS(Review!$K$7:$K$600,Review!$B$7:$B$600,$B19,Review!$C$7:$C$600,"Czech"))</f>
        <v>14.41228</v>
      </c>
      <c r="AC19" s="61" t="str">
        <f aca="false">IF(Y19=0,"—",IF(Z19&lt;AA19*(1-$C$7),"median (cheapest is an outlier)",IF(Z19*(1-$C$6)&lt;AA19*(1-$C$5),"undercut cheapest","median")))</f>
        <v>median (cheapest is an outlier)</v>
      </c>
      <c r="AD19" s="62" t="n">
        <f aca="false">IF(Y19=0,"—",IF(AND(ISNUMBER($D19),$D19*(1+$C$10)&gt;FLOOR(IF(Z19&lt;AA19*(1-$C$7),AA19*(1-$C$5-IF(Y19&lt;3,$C$8,0)),MIN(AA19*(1-$C$5-IF(Y19&lt;3,$C$8,0)),Z19*(1-$C$6-IF(Y19&lt;3,$C$8,0)))),IF(IF(Z19&lt;AA19*(1-$C$7),AA19*(1-$C$5-IF(Y19&lt;3,$C$8,0)),MIN(AA19*(1-$C$5-IF(Y19&lt;3,$C$8,0)),Z19*(1-$C$6-IF(Y19&lt;3,$C$8,0))))&lt;10,$C$9,IF(IF(Z19&lt;AA19*(1-$C$7),AA19*(1-$C$5-IF(Y19&lt;3,$C$8,0)),MIN(AA19*(1-$C$5-IF(Y19&lt;3,$C$8,0)),Z19*(1-$C$6-IF(Y19&lt;3,$C$8,0))))&lt;100,$D$9,$E$9)))),ROUND($D19*(1+$C$10),2),FLOOR(IF(Z19&lt;AA19*(1-$C$7),AA19*(1-$C$5-IF(Y19&lt;3,$C$8,0)),MIN(AA19*(1-$C$5-IF(Y19&lt;3,$C$8,0)),Z19*(1-$C$6-IF(Y19&lt;3,$C$8,0)))),IF(IF(Z19&lt;AA19*(1-$C$7),AA19*(1-$C$5-IF(Y19&lt;3,$C$8,0)),MIN(AA19*(1-$C$5-IF(Y19&lt;3,$C$8,0)),Z19*(1-$C$6-IF(Y19&lt;3,$C$8,0))))&lt;10,$C$9,IF(IF(Z19&lt;AA19*(1-$C$7),AA19*(1-$C$5-IF(Y19&lt;3,$C$8,0)),MIN(AA19*(1-$C$5-IF(Y19&lt;3,$C$8,0)),Z19*(1-$C$6-IF(Y19&lt;3,$C$8,0))))&lt;100,$D$9,$E$9)))))</f>
        <v>3.5</v>
      </c>
      <c r="AE19" s="65" t="n">
        <f aca="false">IF(Y19=0,"—",FLOOR(AD19*Sources!$G$10,1))</f>
        <v>85</v>
      </c>
      <c r="AF19" s="60" t="n">
        <f aca="false">IF(ISNUMBER($D19),$D19,"n/a")</f>
        <v>0.55</v>
      </c>
      <c r="AG19" s="63" t="n">
        <f aca="false">IF(OR(Y19=0,NOT(ISNUMBER($D19))),"—",AD19/$D19-1)</f>
        <v>5.36363636363636</v>
      </c>
      <c r="AH19" s="64" t="n">
        <f aca="false">IF(Y19=0,"—",AD19/Z19-1)</f>
        <v>1.514196229424</v>
      </c>
      <c r="AI19" s="64" t="n">
        <f aca="false">IF(Y19=0,"—",AD19/AA19-1)</f>
        <v>-0.256672637355216</v>
      </c>
      <c r="AJ19" s="59" t="n">
        <f aca="false">COUNTIFS(Offers!$B$7:$B$3000,$B19,Offers!$C$7:$C$3000,"Slovakia",Offers!$AI$7:$AI$3000,"yes")</f>
        <v>0</v>
      </c>
      <c r="AK19" s="60" t="str">
        <f aca="false">IF(AJ19=0,"—",SUMIFS(Review!$I$7:$I$600,Review!$B$7:$B$600,$B19,Review!$C$7:$C$600,"Slovakia"))</f>
        <v>—</v>
      </c>
      <c r="AL19" s="60" t="str">
        <f aca="false">IF(AJ19=0,"—",SUMIFS(Review!$J$7:$J$600,Review!$B$7:$B$600,$B19,Review!$C$7:$C$600,"Slovakia"))</f>
        <v>—</v>
      </c>
      <c r="AM19" s="60" t="str">
        <f aca="false">IF(AJ19=0,"—",SUMIFS(Review!$K$7:$K$600,Review!$B$7:$B$600,$B19,Review!$C$7:$C$600,"Slovakia"))</f>
        <v>—</v>
      </c>
      <c r="AN19" s="61" t="str">
        <f aca="false">IF(AJ19=0,"—",IF(AK19&lt;AL19*(1-$C$7),"median (cheapest is an outlier)",IF(AK19*(1-$C$6)&lt;AL19*(1-$C$5),"undercut cheapest","median")))</f>
        <v>—</v>
      </c>
      <c r="AO19" s="62" t="str">
        <f aca="false">IF(AJ19=0,"—",IF(AND(ISNUMBER($D19),$D19*(1+$C$10)&gt;FLOOR(IF(AK19&lt;AL19*(1-$C$7),AL19*(1-$C$5-IF(AJ19&lt;3,$C$8,0)),MIN(AL19*(1-$C$5-IF(AJ19&lt;3,$C$8,0)),AK19*(1-$C$6-IF(AJ19&lt;3,$C$8,0)))),IF(IF(AK19&lt;AL19*(1-$C$7),AL19*(1-$C$5-IF(AJ19&lt;3,$C$8,0)),MIN(AL19*(1-$C$5-IF(AJ19&lt;3,$C$8,0)),AK19*(1-$C$6-IF(AJ19&lt;3,$C$8,0))))&lt;10,$C$9,IF(IF(AK19&lt;AL19*(1-$C$7),AL19*(1-$C$5-IF(AJ19&lt;3,$C$8,0)),MIN(AL19*(1-$C$5-IF(AJ19&lt;3,$C$8,0)),AK19*(1-$C$6-IF(AJ19&lt;3,$C$8,0))))&lt;100,$D$9,$E$9)))),ROUND($D19*(1+$C$10),2),FLOOR(IF(AK19&lt;AL19*(1-$C$7),AL19*(1-$C$5-IF(AJ19&lt;3,$C$8,0)),MIN(AL19*(1-$C$5-IF(AJ19&lt;3,$C$8,0)),AK19*(1-$C$6-IF(AJ19&lt;3,$C$8,0)))),IF(IF(AK19&lt;AL19*(1-$C$7),AL19*(1-$C$5-IF(AJ19&lt;3,$C$8,0)),MIN(AL19*(1-$C$5-IF(AJ19&lt;3,$C$8,0)),AK19*(1-$C$6-IF(AJ19&lt;3,$C$8,0))))&lt;10,$C$9,IF(IF(AK19&lt;AL19*(1-$C$7),AL19*(1-$C$5-IF(AJ19&lt;3,$C$8,0)),MIN(AL19*(1-$C$5-IF(AJ19&lt;3,$C$8,0)),AK19*(1-$C$6-IF(AJ19&lt;3,$C$8,0))))&lt;100,$D$9,$E$9)))))</f>
        <v>—</v>
      </c>
      <c r="AP19" s="60" t="n">
        <f aca="false">IF(ISNUMBER($D19),$D19,"n/a")</f>
        <v>0.55</v>
      </c>
      <c r="AQ19" s="63" t="str">
        <f aca="false">IF(OR(AJ19=0,NOT(ISNUMBER($D19))),"—",AO19/$D19-1)</f>
        <v>—</v>
      </c>
      <c r="AR19" s="64" t="str">
        <f aca="false">IF(AJ19=0,"—",AO19/AK19-1)</f>
        <v>—</v>
      </c>
      <c r="AS19" s="64" t="str">
        <f aca="false">IF(AJ19=0,"—",AO19/AL19-1)</f>
        <v>—</v>
      </c>
      <c r="AT19" s="59" t="n">
        <f aca="false">COUNTIFS(Offers!$B$7:$B$3000,$B19,Offers!$C$7:$C$3000,"Romania",Offers!$AI$7:$AI$3000,"yes")</f>
        <v>0</v>
      </c>
      <c r="AU19" s="60" t="str">
        <f aca="false">IF(AT19=0,"—",SUMIFS(Review!$I$7:$I$600,Review!$B$7:$B$600,$B19,Review!$C$7:$C$600,"Romania"))</f>
        <v>—</v>
      </c>
      <c r="AV19" s="60" t="str">
        <f aca="false">IF(AT19=0,"—",SUMIFS(Review!$J$7:$J$600,Review!$B$7:$B$600,$B19,Review!$C$7:$C$600,"Romania"))</f>
        <v>—</v>
      </c>
      <c r="AW19" s="60" t="str">
        <f aca="false">IF(AT19=0,"—",SUMIFS(Review!$K$7:$K$600,Review!$B$7:$B$600,$B19,Review!$C$7:$C$600,"Romania"))</f>
        <v>—</v>
      </c>
      <c r="AX19" s="61" t="str">
        <f aca="false">IF(AT19=0,"—",IF(AU19&lt;AV19*(1-$C$7),"median (cheapest is an outlier)",IF(AU19*(1-$C$6)&lt;AV19*(1-$C$5),"undercut cheapest","median")))</f>
        <v>—</v>
      </c>
      <c r="AY19" s="62" t="str">
        <f aca="false">IF(AT19=0,"—",IF(AND(ISNUMBER($D19),$D19*(1+$C$10)&gt;FLOOR(IF(AU19&lt;AV19*(1-$C$7),AV19*(1-$C$5-IF(AT19&lt;3,$C$8,0)),MIN(AV19*(1-$C$5-IF(AT19&lt;3,$C$8,0)),AU19*(1-$C$6-IF(AT19&lt;3,$C$8,0)))),IF(IF(AU19&lt;AV19*(1-$C$7),AV19*(1-$C$5-IF(AT19&lt;3,$C$8,0)),MIN(AV19*(1-$C$5-IF(AT19&lt;3,$C$8,0)),AU19*(1-$C$6-IF(AT19&lt;3,$C$8,0))))&lt;10,$C$9,IF(IF(AU19&lt;AV19*(1-$C$7),AV19*(1-$C$5-IF(AT19&lt;3,$C$8,0)),MIN(AV19*(1-$C$5-IF(AT19&lt;3,$C$8,0)),AU19*(1-$C$6-IF(AT19&lt;3,$C$8,0))))&lt;100,$D$9,$E$9)))),ROUND($D19*(1+$C$10),2),FLOOR(IF(AU19&lt;AV19*(1-$C$7),AV19*(1-$C$5-IF(AT19&lt;3,$C$8,0)),MIN(AV19*(1-$C$5-IF(AT19&lt;3,$C$8,0)),AU19*(1-$C$6-IF(AT19&lt;3,$C$8,0)))),IF(IF(AU19&lt;AV19*(1-$C$7),AV19*(1-$C$5-IF(AT19&lt;3,$C$8,0)),MIN(AV19*(1-$C$5-IF(AT19&lt;3,$C$8,0)),AU19*(1-$C$6-IF(AT19&lt;3,$C$8,0))))&lt;10,$C$9,IF(IF(AU19&lt;AV19*(1-$C$7),AV19*(1-$C$5-IF(AT19&lt;3,$C$8,0)),MIN(AV19*(1-$C$5-IF(AT19&lt;3,$C$8,0)),AU19*(1-$C$6-IF(AT19&lt;3,$C$8,0))))&lt;100,$D$9,$E$9)))))</f>
        <v>—</v>
      </c>
      <c r="AZ19" s="62" t="str">
        <f aca="false">IF(AT19=0,"—",FLOOR(AY19*Sources!$G$9,0.1))</f>
        <v>—</v>
      </c>
      <c r="BA19" s="60" t="n">
        <f aca="false">IF(ISNUMBER($D19),$D19,"n/a")</f>
        <v>0.55</v>
      </c>
      <c r="BB19" s="63" t="str">
        <f aca="false">IF(OR(AT19=0,NOT(ISNUMBER($D19))),"—",AY19/$D19-1)</f>
        <v>—</v>
      </c>
      <c r="BC19" s="64" t="str">
        <f aca="false">IF(AT19=0,"—",AY19/AU19-1)</f>
        <v>—</v>
      </c>
      <c r="BD19" s="64" t="str">
        <f aca="false">IF(AT19=0,"—",AY19/AV19-1)</f>
        <v>—</v>
      </c>
      <c r="BE19" s="59" t="n">
        <f aca="false">COUNTIFS(Offers!$B$7:$B$3000,$B19,Offers!$C$7:$C$3000,"Hungary",Offers!$AI$7:$AI$3000,"yes")</f>
        <v>0</v>
      </c>
      <c r="BF19" s="60" t="str">
        <f aca="false">IF(BE19=0,"—",SUMIFS(Review!$I$7:$I$600,Review!$B$7:$B$600,$B19,Review!$C$7:$C$600,"Hungary"))</f>
        <v>—</v>
      </c>
      <c r="BG19" s="60" t="str">
        <f aca="false">IF(BE19=0,"—",SUMIFS(Review!$J$7:$J$600,Review!$B$7:$B$600,$B19,Review!$C$7:$C$600,"Hungary"))</f>
        <v>—</v>
      </c>
      <c r="BH19" s="60" t="str">
        <f aca="false">IF(BE19=0,"—",SUMIFS(Review!$K$7:$K$600,Review!$B$7:$B$600,$B19,Review!$C$7:$C$600,"Hungary"))</f>
        <v>—</v>
      </c>
      <c r="BI19" s="61" t="str">
        <f aca="false">IF(BE19=0,"—",IF(BF19&lt;BG19*(1-$C$7),"median (cheapest is an outlier)",IF(BF19*(1-$C$6)&lt;BG19*(1-$C$5),"undercut cheapest","median")))</f>
        <v>—</v>
      </c>
      <c r="BJ19" s="62" t="str">
        <f aca="false">IF(BE19=0,"—",IF(AND(ISNUMBER($D19),$D19*(1+$C$10)&gt;FLOOR(IF(BF19&lt;BG19*(1-$C$7),BG19*(1-$C$5-IF(BE19&lt;3,$C$8,0)),MIN(BG19*(1-$C$5-IF(BE19&lt;3,$C$8,0)),BF19*(1-$C$6-IF(BE19&lt;3,$C$8,0)))),IF(IF(BF19&lt;BG19*(1-$C$7),BG19*(1-$C$5-IF(BE19&lt;3,$C$8,0)),MIN(BG19*(1-$C$5-IF(BE19&lt;3,$C$8,0)),BF19*(1-$C$6-IF(BE19&lt;3,$C$8,0))))&lt;10,$C$9,IF(IF(BF19&lt;BG19*(1-$C$7),BG19*(1-$C$5-IF(BE19&lt;3,$C$8,0)),MIN(BG19*(1-$C$5-IF(BE19&lt;3,$C$8,0)),BF19*(1-$C$6-IF(BE19&lt;3,$C$8,0))))&lt;100,$D$9,$E$9)))),ROUND($D19*(1+$C$10),2),FLOOR(IF(BF19&lt;BG19*(1-$C$7),BG19*(1-$C$5-IF(BE19&lt;3,$C$8,0)),MIN(BG19*(1-$C$5-IF(BE19&lt;3,$C$8,0)),BF19*(1-$C$6-IF(BE19&lt;3,$C$8,0)))),IF(IF(BF19&lt;BG19*(1-$C$7),BG19*(1-$C$5-IF(BE19&lt;3,$C$8,0)),MIN(BG19*(1-$C$5-IF(BE19&lt;3,$C$8,0)),BF19*(1-$C$6-IF(BE19&lt;3,$C$8,0))))&lt;10,$C$9,IF(IF(BF19&lt;BG19*(1-$C$7),BG19*(1-$C$5-IF(BE19&lt;3,$C$8,0)),MIN(BG19*(1-$C$5-IF(BE19&lt;3,$C$8,0)),BF19*(1-$C$6-IF(BE19&lt;3,$C$8,0))))&lt;100,$D$9,$E$9)))))</f>
        <v>—</v>
      </c>
      <c r="BK19" s="65" t="str">
        <f aca="false">IF(BE19=0,"—",FLOOR(BJ19*Sources!$G$8,10))</f>
        <v>—</v>
      </c>
      <c r="BL19" s="60" t="n">
        <f aca="false">IF(ISNUMBER($D19),$D19,"n/a")</f>
        <v>0.55</v>
      </c>
      <c r="BM19" s="63" t="str">
        <f aca="false">IF(OR(BE19=0,NOT(ISNUMBER($D19))),"—",BJ19/$D19-1)</f>
        <v>—</v>
      </c>
      <c r="BN19" s="64" t="str">
        <f aca="false">IF(BE19=0,"—",BJ19/BF19-1)</f>
        <v>—</v>
      </c>
      <c r="BO19" s="64" t="str">
        <f aca="false">IF(BE19=0,"—",BJ19/BG19-1)</f>
        <v>—</v>
      </c>
    </row>
    <row r="20" customFormat="false" ht="15" hidden="false" customHeight="true" outlineLevel="0" collapsed="false">
      <c r="B20" s="66" t="s">
        <v>26</v>
      </c>
      <c r="C20" s="66" t="s">
        <v>145</v>
      </c>
      <c r="D20" s="58" t="n">
        <v>0.66</v>
      </c>
      <c r="E20" s="67" t="n">
        <f aca="false">COUNTIFS(Offers!$B$7:$B$3000,$B20,Offers!$C$7:$C$3000,"Austria",Offers!$AI$7:$AI$3000,"yes")</f>
        <v>6</v>
      </c>
      <c r="F20" s="68" t="n">
        <f aca="false">IF(E20=0,"—",SUMIFS(Review!$I$7:$I$600,Review!$B$7:$B$600,$B20,Review!$C$7:$C$600,"Austria"))</f>
        <v>1.95</v>
      </c>
      <c r="G20" s="68" t="n">
        <f aca="false">IF(E20=0,"—",SUMIFS(Review!$J$7:$J$600,Review!$B$7:$B$600,$B20,Review!$C$7:$C$600,"Austria"))</f>
        <v>2.96</v>
      </c>
      <c r="H20" s="68" t="n">
        <f aca="false">IF(E20=0,"—",SUMIFS(Review!$K$7:$K$600,Review!$B$7:$B$600,$B20,Review!$C$7:$C$600,"Austria"))</f>
        <v>7.59</v>
      </c>
      <c r="I20" s="69" t="str">
        <f aca="false">IF(E20=0,"—",IF(F20&lt;G20*(1-$C$7),"median (cheapest is an outlier)",IF(F20*(1-$C$6)&lt;G20*(1-$C$5),"undercut cheapest","median")))</f>
        <v>undercut cheapest</v>
      </c>
      <c r="J20" s="70" t="n">
        <f aca="false">IF(E20=0,"—",IF(AND(ISNUMBER($D20),$D20*(1+$C$10)&gt;FLOOR(IF(F20&lt;G20*(1-$C$7),G20*(1-$C$5-IF(E20&lt;3,$C$8,0)),MIN(G20*(1-$C$5-IF(E20&lt;3,$C$8,0)),F20*(1-$C$6-IF(E20&lt;3,$C$8,0)))),IF(IF(F20&lt;G20*(1-$C$7),G20*(1-$C$5-IF(E20&lt;3,$C$8,0)),MIN(G20*(1-$C$5-IF(E20&lt;3,$C$8,0)),F20*(1-$C$6-IF(E20&lt;3,$C$8,0))))&lt;10,$C$9,IF(IF(F20&lt;G20*(1-$C$7),G20*(1-$C$5-IF(E20&lt;3,$C$8,0)),MIN(G20*(1-$C$5-IF(E20&lt;3,$C$8,0)),F20*(1-$C$6-IF(E20&lt;3,$C$8,0))))&lt;100,$D$9,$E$9)))),ROUND($D20*(1+$C$10),2),FLOOR(IF(F20&lt;G20*(1-$C$7),G20*(1-$C$5-IF(E20&lt;3,$C$8,0)),MIN(G20*(1-$C$5-IF(E20&lt;3,$C$8,0)),F20*(1-$C$6-IF(E20&lt;3,$C$8,0)))),IF(IF(F20&lt;G20*(1-$C$7),G20*(1-$C$5-IF(E20&lt;3,$C$8,0)),MIN(G20*(1-$C$5-IF(E20&lt;3,$C$8,0)),F20*(1-$C$6-IF(E20&lt;3,$C$8,0))))&lt;10,$C$9,IF(IF(F20&lt;G20*(1-$C$7),G20*(1-$C$5-IF(E20&lt;3,$C$8,0)),MIN(G20*(1-$C$5-IF(E20&lt;3,$C$8,0)),F20*(1-$C$6-IF(E20&lt;3,$C$8,0))))&lt;100,$D$9,$E$9)))))</f>
        <v>1.85</v>
      </c>
      <c r="K20" s="68" t="n">
        <f aca="false">IF(ISNUMBER($D20),$D20,"n/a")</f>
        <v>0.66</v>
      </c>
      <c r="L20" s="71" t="n">
        <f aca="false">IF(OR(E20=0,NOT(ISNUMBER($D20))),"—",J20/$D20-1)</f>
        <v>1.8030303030303</v>
      </c>
      <c r="M20" s="72" t="n">
        <f aca="false">IF(E20=0,"—",J20/F20-1)</f>
        <v>-0.0512820512820512</v>
      </c>
      <c r="N20" s="72" t="n">
        <f aca="false">IF(E20=0,"—",J20/G20-1)</f>
        <v>-0.375</v>
      </c>
      <c r="O20" s="67" t="n">
        <f aca="false">COUNTIFS(Offers!$B$7:$B$3000,$B20,Offers!$C$7:$C$3000,"Germany",Offers!$AI$7:$AI$3000,"yes")</f>
        <v>8</v>
      </c>
      <c r="P20" s="68" t="n">
        <f aca="false">IF(O20=0,"—",SUMIFS(Review!$I$7:$I$600,Review!$B$7:$B$600,$B20,Review!$C$7:$C$600,"Germany"))</f>
        <v>1.52</v>
      </c>
      <c r="Q20" s="68" t="n">
        <f aca="false">IF(O20=0,"—",SUMIFS(Review!$J$7:$J$600,Review!$B$7:$B$600,$B20,Review!$C$7:$C$600,"Germany"))</f>
        <v>1.97</v>
      </c>
      <c r="R20" s="68" t="n">
        <f aca="false">IF(O20=0,"—",SUMIFS(Review!$K$7:$K$600,Review!$B$7:$B$600,$B20,Review!$C$7:$C$600,"Germany"))</f>
        <v>5.33</v>
      </c>
      <c r="S20" s="69" t="str">
        <f aca="false">IF(O20=0,"—",IF(P20&lt;Q20*(1-$C$7),"median (cheapest is an outlier)",IF(P20*(1-$C$6)&lt;Q20*(1-$C$5),"undercut cheapest","median")))</f>
        <v>undercut cheapest</v>
      </c>
      <c r="T20" s="70" t="n">
        <f aca="false">IF(O20=0,"—",IF(AND(ISNUMBER($D20),$D20*(1+$C$10)&gt;FLOOR(IF(P20&lt;Q20*(1-$C$7),Q20*(1-$C$5-IF(O20&lt;3,$C$8,0)),MIN(Q20*(1-$C$5-IF(O20&lt;3,$C$8,0)),P20*(1-$C$6-IF(O20&lt;3,$C$8,0)))),IF(IF(P20&lt;Q20*(1-$C$7),Q20*(1-$C$5-IF(O20&lt;3,$C$8,0)),MIN(Q20*(1-$C$5-IF(O20&lt;3,$C$8,0)),P20*(1-$C$6-IF(O20&lt;3,$C$8,0))))&lt;10,$C$9,IF(IF(P20&lt;Q20*(1-$C$7),Q20*(1-$C$5-IF(O20&lt;3,$C$8,0)),MIN(Q20*(1-$C$5-IF(O20&lt;3,$C$8,0)),P20*(1-$C$6-IF(O20&lt;3,$C$8,0))))&lt;100,$D$9,$E$9)))),ROUND($D20*(1+$C$10),2),FLOOR(IF(P20&lt;Q20*(1-$C$7),Q20*(1-$C$5-IF(O20&lt;3,$C$8,0)),MIN(Q20*(1-$C$5-IF(O20&lt;3,$C$8,0)),P20*(1-$C$6-IF(O20&lt;3,$C$8,0)))),IF(IF(P20&lt;Q20*(1-$C$7),Q20*(1-$C$5-IF(O20&lt;3,$C$8,0)),MIN(Q20*(1-$C$5-IF(O20&lt;3,$C$8,0)),P20*(1-$C$6-IF(O20&lt;3,$C$8,0))))&lt;10,$C$9,IF(IF(P20&lt;Q20*(1-$C$7),Q20*(1-$C$5-IF(O20&lt;3,$C$8,0)),MIN(Q20*(1-$C$5-IF(O20&lt;3,$C$8,0)),P20*(1-$C$6-IF(O20&lt;3,$C$8,0))))&lt;100,$D$9,$E$9)))))</f>
        <v>1.4</v>
      </c>
      <c r="U20" s="68" t="n">
        <f aca="false">IF(ISNUMBER($D20),$D20,"n/a")</f>
        <v>0.66</v>
      </c>
      <c r="V20" s="71" t="n">
        <f aca="false">IF(OR(O20=0,NOT(ISNUMBER($D20))),"—",T20/$D20-1)</f>
        <v>1.12121212121212</v>
      </c>
      <c r="W20" s="72" t="n">
        <f aca="false">IF(O20=0,"—",T20/P20-1)</f>
        <v>-0.0789473684210525</v>
      </c>
      <c r="X20" s="72" t="n">
        <f aca="false">IF(O20=0,"—",T20/Q20-1)</f>
        <v>-0.289340101522843</v>
      </c>
      <c r="Y20" s="67" t="n">
        <f aca="false">COUNTIFS(Offers!$B$7:$B$3000,$B20,Offers!$C$7:$C$3000,"Czech",Offers!$AI$7:$AI$3000,"yes")</f>
        <v>5</v>
      </c>
      <c r="Z20" s="68" t="n">
        <f aca="false">IF(Y20=0,"—",SUMIFS(Review!$I$7:$I$600,Review!$B$7:$B$600,$B20,Review!$C$7:$C$600,"Czech"))</f>
        <v>1.624248</v>
      </c>
      <c r="AA20" s="68" t="n">
        <f aca="false">IF(Y20=0,"—",SUMIFS(Review!$J$7:$J$600,Review!$B$7:$B$600,$B20,Review!$C$7:$C$600,"Czech"))</f>
        <v>3.80779</v>
      </c>
      <c r="AB20" s="68" t="n">
        <f aca="false">IF(Y20=0,"—",SUMIFS(Review!$K$7:$K$600,Review!$B$7:$B$600,$B20,Review!$C$7:$C$600,"Czech"))</f>
        <v>15.091951</v>
      </c>
      <c r="AC20" s="69" t="str">
        <f aca="false">IF(Y20=0,"—",IF(Z20&lt;AA20*(1-$C$7),"median (cheapest is an outlier)",IF(Z20*(1-$C$6)&lt;AA20*(1-$C$5),"undercut cheapest","median")))</f>
        <v>median (cheapest is an outlier)</v>
      </c>
      <c r="AD20" s="70" t="n">
        <f aca="false">IF(Y20=0,"—",IF(AND(ISNUMBER($D20),$D20*(1+$C$10)&gt;FLOOR(IF(Z20&lt;AA20*(1-$C$7),AA20*(1-$C$5-IF(Y20&lt;3,$C$8,0)),MIN(AA20*(1-$C$5-IF(Y20&lt;3,$C$8,0)),Z20*(1-$C$6-IF(Y20&lt;3,$C$8,0)))),IF(IF(Z20&lt;AA20*(1-$C$7),AA20*(1-$C$5-IF(Y20&lt;3,$C$8,0)),MIN(AA20*(1-$C$5-IF(Y20&lt;3,$C$8,0)),Z20*(1-$C$6-IF(Y20&lt;3,$C$8,0))))&lt;10,$C$9,IF(IF(Z20&lt;AA20*(1-$C$7),AA20*(1-$C$5-IF(Y20&lt;3,$C$8,0)),MIN(AA20*(1-$C$5-IF(Y20&lt;3,$C$8,0)),Z20*(1-$C$6-IF(Y20&lt;3,$C$8,0))))&lt;100,$D$9,$E$9)))),ROUND($D20*(1+$C$10),2),FLOOR(IF(Z20&lt;AA20*(1-$C$7),AA20*(1-$C$5-IF(Y20&lt;3,$C$8,0)),MIN(AA20*(1-$C$5-IF(Y20&lt;3,$C$8,0)),Z20*(1-$C$6-IF(Y20&lt;3,$C$8,0)))),IF(IF(Z20&lt;AA20*(1-$C$7),AA20*(1-$C$5-IF(Y20&lt;3,$C$8,0)),MIN(AA20*(1-$C$5-IF(Y20&lt;3,$C$8,0)),Z20*(1-$C$6-IF(Y20&lt;3,$C$8,0))))&lt;10,$C$9,IF(IF(Z20&lt;AA20*(1-$C$7),AA20*(1-$C$5-IF(Y20&lt;3,$C$8,0)),MIN(AA20*(1-$C$5-IF(Y20&lt;3,$C$8,0)),Z20*(1-$C$6-IF(Y20&lt;3,$C$8,0))))&lt;100,$D$9,$E$9)))))</f>
        <v>2.85</v>
      </c>
      <c r="AE20" s="73" t="n">
        <f aca="false">IF(Y20=0,"—",FLOOR(AD20*Sources!$G$10,1))</f>
        <v>69</v>
      </c>
      <c r="AF20" s="68" t="n">
        <f aca="false">IF(ISNUMBER($D20),$D20,"n/a")</f>
        <v>0.66</v>
      </c>
      <c r="AG20" s="71" t="n">
        <f aca="false">IF(OR(Y20=0,NOT(ISNUMBER($D20))),"—",AD20/$D20-1)</f>
        <v>3.31818181818182</v>
      </c>
      <c r="AH20" s="72" t="n">
        <f aca="false">IF(Y20=0,"—",AD20/Z20-1)</f>
        <v>0.754658155651108</v>
      </c>
      <c r="AI20" s="72" t="n">
        <f aca="false">IF(Y20=0,"—",AD20/AA20-1)</f>
        <v>-0.251534354573125</v>
      </c>
      <c r="AJ20" s="67" t="n">
        <f aca="false">COUNTIFS(Offers!$B$7:$B$3000,$B20,Offers!$C$7:$C$3000,"Slovakia",Offers!$AI$7:$AI$3000,"yes")</f>
        <v>1</v>
      </c>
      <c r="AK20" s="68" t="n">
        <f aca="false">IF(AJ20=0,"—",SUMIFS(Review!$I$7:$I$600,Review!$B$7:$B$600,$B20,Review!$C$7:$C$600,"Slovakia"))</f>
        <v>1.28</v>
      </c>
      <c r="AL20" s="68" t="n">
        <f aca="false">IF(AJ20=0,"—",SUMIFS(Review!$J$7:$J$600,Review!$B$7:$B$600,$B20,Review!$C$7:$C$600,"Slovakia"))</f>
        <v>1.28</v>
      </c>
      <c r="AM20" s="68" t="n">
        <f aca="false">IF(AJ20=0,"—",SUMIFS(Review!$K$7:$K$600,Review!$B$7:$B$600,$B20,Review!$C$7:$C$600,"Slovakia"))</f>
        <v>1.28</v>
      </c>
      <c r="AN20" s="69" t="str">
        <f aca="false">IF(AJ20=0,"—",IF(AK20&lt;AL20*(1-$C$7),"median (cheapest is an outlier)",IF(AK20*(1-$C$6)&lt;AL20*(1-$C$5),"undercut cheapest","median")))</f>
        <v>median</v>
      </c>
      <c r="AO20" s="70" t="n">
        <f aca="false">IF(AJ20=0,"—",IF(AND(ISNUMBER($D20),$D20*(1+$C$10)&gt;FLOOR(IF(AK20&lt;AL20*(1-$C$7),AL20*(1-$C$5-IF(AJ20&lt;3,$C$8,0)),MIN(AL20*(1-$C$5-IF(AJ20&lt;3,$C$8,0)),AK20*(1-$C$6-IF(AJ20&lt;3,$C$8,0)))),IF(IF(AK20&lt;AL20*(1-$C$7),AL20*(1-$C$5-IF(AJ20&lt;3,$C$8,0)),MIN(AL20*(1-$C$5-IF(AJ20&lt;3,$C$8,0)),AK20*(1-$C$6-IF(AJ20&lt;3,$C$8,0))))&lt;10,$C$9,IF(IF(AK20&lt;AL20*(1-$C$7),AL20*(1-$C$5-IF(AJ20&lt;3,$C$8,0)),MIN(AL20*(1-$C$5-IF(AJ20&lt;3,$C$8,0)),AK20*(1-$C$6-IF(AJ20&lt;3,$C$8,0))))&lt;100,$D$9,$E$9)))),ROUND($D20*(1+$C$10),2),FLOOR(IF(AK20&lt;AL20*(1-$C$7),AL20*(1-$C$5-IF(AJ20&lt;3,$C$8,0)),MIN(AL20*(1-$C$5-IF(AJ20&lt;3,$C$8,0)),AK20*(1-$C$6-IF(AJ20&lt;3,$C$8,0)))),IF(IF(AK20&lt;AL20*(1-$C$7),AL20*(1-$C$5-IF(AJ20&lt;3,$C$8,0)),MIN(AL20*(1-$C$5-IF(AJ20&lt;3,$C$8,0)),AK20*(1-$C$6-IF(AJ20&lt;3,$C$8,0))))&lt;10,$C$9,IF(IF(AK20&lt;AL20*(1-$C$7),AL20*(1-$C$5-IF(AJ20&lt;3,$C$8,0)),MIN(AL20*(1-$C$5-IF(AJ20&lt;3,$C$8,0)),AK20*(1-$C$6-IF(AJ20&lt;3,$C$8,0))))&lt;100,$D$9,$E$9)))))</f>
        <v>0.85</v>
      </c>
      <c r="AP20" s="68" t="n">
        <f aca="false">IF(ISNUMBER($D20),$D20,"n/a")</f>
        <v>0.66</v>
      </c>
      <c r="AQ20" s="71" t="n">
        <f aca="false">IF(OR(AJ20=0,NOT(ISNUMBER($D20))),"—",AO20/$D20-1)</f>
        <v>0.287878787878788</v>
      </c>
      <c r="AR20" s="72" t="n">
        <f aca="false">IF(AJ20=0,"—",AO20/AK20-1)</f>
        <v>-0.3359375</v>
      </c>
      <c r="AS20" s="72" t="n">
        <f aca="false">IF(AJ20=0,"—",AO20/AL20-1)</f>
        <v>-0.3359375</v>
      </c>
      <c r="AT20" s="67" t="n">
        <f aca="false">COUNTIFS(Offers!$B$7:$B$3000,$B20,Offers!$C$7:$C$3000,"Romania",Offers!$AI$7:$AI$3000,"yes")</f>
        <v>0</v>
      </c>
      <c r="AU20" s="68" t="str">
        <f aca="false">IF(AT20=0,"—",SUMIFS(Review!$I$7:$I$600,Review!$B$7:$B$600,$B20,Review!$C$7:$C$600,"Romania"))</f>
        <v>—</v>
      </c>
      <c r="AV20" s="68" t="str">
        <f aca="false">IF(AT20=0,"—",SUMIFS(Review!$J$7:$J$600,Review!$B$7:$B$600,$B20,Review!$C$7:$C$600,"Romania"))</f>
        <v>—</v>
      </c>
      <c r="AW20" s="68" t="str">
        <f aca="false">IF(AT20=0,"—",SUMIFS(Review!$K$7:$K$600,Review!$B$7:$B$600,$B20,Review!$C$7:$C$600,"Romania"))</f>
        <v>—</v>
      </c>
      <c r="AX20" s="69" t="str">
        <f aca="false">IF(AT20=0,"—",IF(AU20&lt;AV20*(1-$C$7),"median (cheapest is an outlier)",IF(AU20*(1-$C$6)&lt;AV20*(1-$C$5),"undercut cheapest","median")))</f>
        <v>—</v>
      </c>
      <c r="AY20" s="70" t="str">
        <f aca="false">IF(AT20=0,"—",IF(AND(ISNUMBER($D20),$D20*(1+$C$10)&gt;FLOOR(IF(AU20&lt;AV20*(1-$C$7),AV20*(1-$C$5-IF(AT20&lt;3,$C$8,0)),MIN(AV20*(1-$C$5-IF(AT20&lt;3,$C$8,0)),AU20*(1-$C$6-IF(AT20&lt;3,$C$8,0)))),IF(IF(AU20&lt;AV20*(1-$C$7),AV20*(1-$C$5-IF(AT20&lt;3,$C$8,0)),MIN(AV20*(1-$C$5-IF(AT20&lt;3,$C$8,0)),AU20*(1-$C$6-IF(AT20&lt;3,$C$8,0))))&lt;10,$C$9,IF(IF(AU20&lt;AV20*(1-$C$7),AV20*(1-$C$5-IF(AT20&lt;3,$C$8,0)),MIN(AV20*(1-$C$5-IF(AT20&lt;3,$C$8,0)),AU20*(1-$C$6-IF(AT20&lt;3,$C$8,0))))&lt;100,$D$9,$E$9)))),ROUND($D20*(1+$C$10),2),FLOOR(IF(AU20&lt;AV20*(1-$C$7),AV20*(1-$C$5-IF(AT20&lt;3,$C$8,0)),MIN(AV20*(1-$C$5-IF(AT20&lt;3,$C$8,0)),AU20*(1-$C$6-IF(AT20&lt;3,$C$8,0)))),IF(IF(AU20&lt;AV20*(1-$C$7),AV20*(1-$C$5-IF(AT20&lt;3,$C$8,0)),MIN(AV20*(1-$C$5-IF(AT20&lt;3,$C$8,0)),AU20*(1-$C$6-IF(AT20&lt;3,$C$8,0))))&lt;10,$C$9,IF(IF(AU20&lt;AV20*(1-$C$7),AV20*(1-$C$5-IF(AT20&lt;3,$C$8,0)),MIN(AV20*(1-$C$5-IF(AT20&lt;3,$C$8,0)),AU20*(1-$C$6-IF(AT20&lt;3,$C$8,0))))&lt;100,$D$9,$E$9)))))</f>
        <v>—</v>
      </c>
      <c r="AZ20" s="70" t="str">
        <f aca="false">IF(AT20=0,"—",FLOOR(AY20*Sources!$G$9,0.1))</f>
        <v>—</v>
      </c>
      <c r="BA20" s="68" t="n">
        <f aca="false">IF(ISNUMBER($D20),$D20,"n/a")</f>
        <v>0.66</v>
      </c>
      <c r="BB20" s="71" t="str">
        <f aca="false">IF(OR(AT20=0,NOT(ISNUMBER($D20))),"—",AY20/$D20-1)</f>
        <v>—</v>
      </c>
      <c r="BC20" s="72" t="str">
        <f aca="false">IF(AT20=0,"—",AY20/AU20-1)</f>
        <v>—</v>
      </c>
      <c r="BD20" s="72" t="str">
        <f aca="false">IF(AT20=0,"—",AY20/AV20-1)</f>
        <v>—</v>
      </c>
      <c r="BE20" s="67" t="n">
        <f aca="false">COUNTIFS(Offers!$B$7:$B$3000,$B20,Offers!$C$7:$C$3000,"Hungary",Offers!$AI$7:$AI$3000,"yes")</f>
        <v>0</v>
      </c>
      <c r="BF20" s="68" t="str">
        <f aca="false">IF(BE20=0,"—",SUMIFS(Review!$I$7:$I$600,Review!$B$7:$B$600,$B20,Review!$C$7:$C$600,"Hungary"))</f>
        <v>—</v>
      </c>
      <c r="BG20" s="68" t="str">
        <f aca="false">IF(BE20=0,"—",SUMIFS(Review!$J$7:$J$600,Review!$B$7:$B$600,$B20,Review!$C$7:$C$600,"Hungary"))</f>
        <v>—</v>
      </c>
      <c r="BH20" s="68" t="str">
        <f aca="false">IF(BE20=0,"—",SUMIFS(Review!$K$7:$K$600,Review!$B$7:$B$600,$B20,Review!$C$7:$C$600,"Hungary"))</f>
        <v>—</v>
      </c>
      <c r="BI20" s="69" t="str">
        <f aca="false">IF(BE20=0,"—",IF(BF20&lt;BG20*(1-$C$7),"median (cheapest is an outlier)",IF(BF20*(1-$C$6)&lt;BG20*(1-$C$5),"undercut cheapest","median")))</f>
        <v>—</v>
      </c>
      <c r="BJ20" s="70" t="str">
        <f aca="false">IF(BE20=0,"—",IF(AND(ISNUMBER($D20),$D20*(1+$C$10)&gt;FLOOR(IF(BF20&lt;BG20*(1-$C$7),BG20*(1-$C$5-IF(BE20&lt;3,$C$8,0)),MIN(BG20*(1-$C$5-IF(BE20&lt;3,$C$8,0)),BF20*(1-$C$6-IF(BE20&lt;3,$C$8,0)))),IF(IF(BF20&lt;BG20*(1-$C$7),BG20*(1-$C$5-IF(BE20&lt;3,$C$8,0)),MIN(BG20*(1-$C$5-IF(BE20&lt;3,$C$8,0)),BF20*(1-$C$6-IF(BE20&lt;3,$C$8,0))))&lt;10,$C$9,IF(IF(BF20&lt;BG20*(1-$C$7),BG20*(1-$C$5-IF(BE20&lt;3,$C$8,0)),MIN(BG20*(1-$C$5-IF(BE20&lt;3,$C$8,0)),BF20*(1-$C$6-IF(BE20&lt;3,$C$8,0))))&lt;100,$D$9,$E$9)))),ROUND($D20*(1+$C$10),2),FLOOR(IF(BF20&lt;BG20*(1-$C$7),BG20*(1-$C$5-IF(BE20&lt;3,$C$8,0)),MIN(BG20*(1-$C$5-IF(BE20&lt;3,$C$8,0)),BF20*(1-$C$6-IF(BE20&lt;3,$C$8,0)))),IF(IF(BF20&lt;BG20*(1-$C$7),BG20*(1-$C$5-IF(BE20&lt;3,$C$8,0)),MIN(BG20*(1-$C$5-IF(BE20&lt;3,$C$8,0)),BF20*(1-$C$6-IF(BE20&lt;3,$C$8,0))))&lt;10,$C$9,IF(IF(BF20&lt;BG20*(1-$C$7),BG20*(1-$C$5-IF(BE20&lt;3,$C$8,0)),MIN(BG20*(1-$C$5-IF(BE20&lt;3,$C$8,0)),BF20*(1-$C$6-IF(BE20&lt;3,$C$8,0))))&lt;100,$D$9,$E$9)))))</f>
        <v>—</v>
      </c>
      <c r="BK20" s="73" t="str">
        <f aca="false">IF(BE20=0,"—",FLOOR(BJ20*Sources!$G$8,10))</f>
        <v>—</v>
      </c>
      <c r="BL20" s="68" t="n">
        <f aca="false">IF(ISNUMBER($D20),$D20,"n/a")</f>
        <v>0.66</v>
      </c>
      <c r="BM20" s="71" t="str">
        <f aca="false">IF(OR(BE20=0,NOT(ISNUMBER($D20))),"—",BJ20/$D20-1)</f>
        <v>—</v>
      </c>
      <c r="BN20" s="72" t="str">
        <f aca="false">IF(BE20=0,"—",BJ20/BF20-1)</f>
        <v>—</v>
      </c>
      <c r="BO20" s="72" t="str">
        <f aca="false">IF(BE20=0,"—",BJ20/BG20-1)</f>
        <v>—</v>
      </c>
    </row>
    <row r="21" customFormat="false" ht="15" hidden="false" customHeight="true" outlineLevel="0" collapsed="false">
      <c r="B21" s="1" t="s">
        <v>27</v>
      </c>
      <c r="C21" s="1" t="s">
        <v>146</v>
      </c>
      <c r="D21" s="58"/>
      <c r="E21" s="59" t="n">
        <f aca="false">COUNTIFS(Offers!$B$7:$B$3000,$B21,Offers!$C$7:$C$3000,"Austria",Offers!$AI$7:$AI$3000,"yes")</f>
        <v>0</v>
      </c>
      <c r="F21" s="60" t="str">
        <f aca="false">IF(E21=0,"—",SUMIFS(Review!$I$7:$I$600,Review!$B$7:$B$600,$B21,Review!$C$7:$C$600,"Austria"))</f>
        <v>—</v>
      </c>
      <c r="G21" s="60" t="str">
        <f aca="false">IF(E21=0,"—",SUMIFS(Review!$J$7:$J$600,Review!$B$7:$B$600,$B21,Review!$C$7:$C$600,"Austria"))</f>
        <v>—</v>
      </c>
      <c r="H21" s="60" t="str">
        <f aca="false">IF(E21=0,"—",SUMIFS(Review!$K$7:$K$600,Review!$B$7:$B$600,$B21,Review!$C$7:$C$600,"Austria"))</f>
        <v>—</v>
      </c>
      <c r="I21" s="61" t="str">
        <f aca="false">IF(E21=0,"—",IF(F21&lt;G21*(1-$C$7),"median (cheapest is an outlier)",IF(F21*(1-$C$6)&lt;G21*(1-$C$5),"undercut cheapest","median")))</f>
        <v>—</v>
      </c>
      <c r="J21" s="62" t="str">
        <f aca="false">IF(E21=0,"—",IF(AND(ISNUMBER($D21),$D21*(1+$C$10)&gt;FLOOR(IF(F21&lt;G21*(1-$C$7),G21*(1-$C$5-IF(E21&lt;3,$C$8,0)),MIN(G21*(1-$C$5-IF(E21&lt;3,$C$8,0)),F21*(1-$C$6-IF(E21&lt;3,$C$8,0)))),IF(IF(F21&lt;G21*(1-$C$7),G21*(1-$C$5-IF(E21&lt;3,$C$8,0)),MIN(G21*(1-$C$5-IF(E21&lt;3,$C$8,0)),F21*(1-$C$6-IF(E21&lt;3,$C$8,0))))&lt;10,$C$9,IF(IF(F21&lt;G21*(1-$C$7),G21*(1-$C$5-IF(E21&lt;3,$C$8,0)),MIN(G21*(1-$C$5-IF(E21&lt;3,$C$8,0)),F21*(1-$C$6-IF(E21&lt;3,$C$8,0))))&lt;100,$D$9,$E$9)))),ROUND($D21*(1+$C$10),2),FLOOR(IF(F21&lt;G21*(1-$C$7),G21*(1-$C$5-IF(E21&lt;3,$C$8,0)),MIN(G21*(1-$C$5-IF(E21&lt;3,$C$8,0)),F21*(1-$C$6-IF(E21&lt;3,$C$8,0)))),IF(IF(F21&lt;G21*(1-$C$7),G21*(1-$C$5-IF(E21&lt;3,$C$8,0)),MIN(G21*(1-$C$5-IF(E21&lt;3,$C$8,0)),F21*(1-$C$6-IF(E21&lt;3,$C$8,0))))&lt;10,$C$9,IF(IF(F21&lt;G21*(1-$C$7),G21*(1-$C$5-IF(E21&lt;3,$C$8,0)),MIN(G21*(1-$C$5-IF(E21&lt;3,$C$8,0)),F21*(1-$C$6-IF(E21&lt;3,$C$8,0))))&lt;100,$D$9,$E$9)))))</f>
        <v>—</v>
      </c>
      <c r="K21" s="60" t="str">
        <f aca="false">IF(ISNUMBER($D21),$D21,"n/a")</f>
        <v>n/a</v>
      </c>
      <c r="L21" s="63" t="str">
        <f aca="false">IF(OR(E21=0,NOT(ISNUMBER($D21))),"—",J21/$D21-1)</f>
        <v>—</v>
      </c>
      <c r="M21" s="64" t="str">
        <f aca="false">IF(E21=0,"—",J21/F21-1)</f>
        <v>—</v>
      </c>
      <c r="N21" s="64" t="str">
        <f aca="false">IF(E21=0,"—",J21/G21-1)</f>
        <v>—</v>
      </c>
      <c r="O21" s="59" t="n">
        <f aca="false">COUNTIFS(Offers!$B$7:$B$3000,$B21,Offers!$C$7:$C$3000,"Germany",Offers!$AI$7:$AI$3000,"yes")</f>
        <v>0</v>
      </c>
      <c r="P21" s="60" t="str">
        <f aca="false">IF(O21=0,"—",SUMIFS(Review!$I$7:$I$600,Review!$B$7:$B$600,$B21,Review!$C$7:$C$600,"Germany"))</f>
        <v>—</v>
      </c>
      <c r="Q21" s="60" t="str">
        <f aca="false">IF(O21=0,"—",SUMIFS(Review!$J$7:$J$600,Review!$B$7:$B$600,$B21,Review!$C$7:$C$600,"Germany"))</f>
        <v>—</v>
      </c>
      <c r="R21" s="60" t="str">
        <f aca="false">IF(O21=0,"—",SUMIFS(Review!$K$7:$K$600,Review!$B$7:$B$600,$B21,Review!$C$7:$C$600,"Germany"))</f>
        <v>—</v>
      </c>
      <c r="S21" s="61" t="str">
        <f aca="false">IF(O21=0,"—",IF(P21&lt;Q21*(1-$C$7),"median (cheapest is an outlier)",IF(P21*(1-$C$6)&lt;Q21*(1-$C$5),"undercut cheapest","median")))</f>
        <v>—</v>
      </c>
      <c r="T21" s="62" t="str">
        <f aca="false">IF(O21=0,"—",IF(AND(ISNUMBER($D21),$D21*(1+$C$10)&gt;FLOOR(IF(P21&lt;Q21*(1-$C$7),Q21*(1-$C$5-IF(O21&lt;3,$C$8,0)),MIN(Q21*(1-$C$5-IF(O21&lt;3,$C$8,0)),P21*(1-$C$6-IF(O21&lt;3,$C$8,0)))),IF(IF(P21&lt;Q21*(1-$C$7),Q21*(1-$C$5-IF(O21&lt;3,$C$8,0)),MIN(Q21*(1-$C$5-IF(O21&lt;3,$C$8,0)),P21*(1-$C$6-IF(O21&lt;3,$C$8,0))))&lt;10,$C$9,IF(IF(P21&lt;Q21*(1-$C$7),Q21*(1-$C$5-IF(O21&lt;3,$C$8,0)),MIN(Q21*(1-$C$5-IF(O21&lt;3,$C$8,0)),P21*(1-$C$6-IF(O21&lt;3,$C$8,0))))&lt;100,$D$9,$E$9)))),ROUND($D21*(1+$C$10),2),FLOOR(IF(P21&lt;Q21*(1-$C$7),Q21*(1-$C$5-IF(O21&lt;3,$C$8,0)),MIN(Q21*(1-$C$5-IF(O21&lt;3,$C$8,0)),P21*(1-$C$6-IF(O21&lt;3,$C$8,0)))),IF(IF(P21&lt;Q21*(1-$C$7),Q21*(1-$C$5-IF(O21&lt;3,$C$8,0)),MIN(Q21*(1-$C$5-IF(O21&lt;3,$C$8,0)),P21*(1-$C$6-IF(O21&lt;3,$C$8,0))))&lt;10,$C$9,IF(IF(P21&lt;Q21*(1-$C$7),Q21*(1-$C$5-IF(O21&lt;3,$C$8,0)),MIN(Q21*(1-$C$5-IF(O21&lt;3,$C$8,0)),P21*(1-$C$6-IF(O21&lt;3,$C$8,0))))&lt;100,$D$9,$E$9)))))</f>
        <v>—</v>
      </c>
      <c r="U21" s="60" t="str">
        <f aca="false">IF(ISNUMBER($D21),$D21,"n/a")</f>
        <v>n/a</v>
      </c>
      <c r="V21" s="63" t="str">
        <f aca="false">IF(OR(O21=0,NOT(ISNUMBER($D21))),"—",T21/$D21-1)</f>
        <v>—</v>
      </c>
      <c r="W21" s="64" t="str">
        <f aca="false">IF(O21=0,"—",T21/P21-1)</f>
        <v>—</v>
      </c>
      <c r="X21" s="64" t="str">
        <f aca="false">IF(O21=0,"—",T21/Q21-1)</f>
        <v>—</v>
      </c>
      <c r="Y21" s="59" t="n">
        <f aca="false">COUNTIFS(Offers!$B$7:$B$3000,$B21,Offers!$C$7:$C$3000,"Czech",Offers!$AI$7:$AI$3000,"yes")</f>
        <v>0</v>
      </c>
      <c r="Z21" s="60" t="str">
        <f aca="false">IF(Y21=0,"—",SUMIFS(Review!$I$7:$I$600,Review!$B$7:$B$600,$B21,Review!$C$7:$C$600,"Czech"))</f>
        <v>—</v>
      </c>
      <c r="AA21" s="60" t="str">
        <f aca="false">IF(Y21=0,"—",SUMIFS(Review!$J$7:$J$600,Review!$B$7:$B$600,$B21,Review!$C$7:$C$600,"Czech"))</f>
        <v>—</v>
      </c>
      <c r="AB21" s="60" t="str">
        <f aca="false">IF(Y21=0,"—",SUMIFS(Review!$K$7:$K$600,Review!$B$7:$B$600,$B21,Review!$C$7:$C$600,"Czech"))</f>
        <v>—</v>
      </c>
      <c r="AC21" s="61" t="str">
        <f aca="false">IF(Y21=0,"—",IF(Z21&lt;AA21*(1-$C$7),"median (cheapest is an outlier)",IF(Z21*(1-$C$6)&lt;AA21*(1-$C$5),"undercut cheapest","median")))</f>
        <v>—</v>
      </c>
      <c r="AD21" s="62" t="str">
        <f aca="false">IF(Y21=0,"—",IF(AND(ISNUMBER($D21),$D21*(1+$C$10)&gt;FLOOR(IF(Z21&lt;AA21*(1-$C$7),AA21*(1-$C$5-IF(Y21&lt;3,$C$8,0)),MIN(AA21*(1-$C$5-IF(Y21&lt;3,$C$8,0)),Z21*(1-$C$6-IF(Y21&lt;3,$C$8,0)))),IF(IF(Z21&lt;AA21*(1-$C$7),AA21*(1-$C$5-IF(Y21&lt;3,$C$8,0)),MIN(AA21*(1-$C$5-IF(Y21&lt;3,$C$8,0)),Z21*(1-$C$6-IF(Y21&lt;3,$C$8,0))))&lt;10,$C$9,IF(IF(Z21&lt;AA21*(1-$C$7),AA21*(1-$C$5-IF(Y21&lt;3,$C$8,0)),MIN(AA21*(1-$C$5-IF(Y21&lt;3,$C$8,0)),Z21*(1-$C$6-IF(Y21&lt;3,$C$8,0))))&lt;100,$D$9,$E$9)))),ROUND($D21*(1+$C$10),2),FLOOR(IF(Z21&lt;AA21*(1-$C$7),AA21*(1-$C$5-IF(Y21&lt;3,$C$8,0)),MIN(AA21*(1-$C$5-IF(Y21&lt;3,$C$8,0)),Z21*(1-$C$6-IF(Y21&lt;3,$C$8,0)))),IF(IF(Z21&lt;AA21*(1-$C$7),AA21*(1-$C$5-IF(Y21&lt;3,$C$8,0)),MIN(AA21*(1-$C$5-IF(Y21&lt;3,$C$8,0)),Z21*(1-$C$6-IF(Y21&lt;3,$C$8,0))))&lt;10,$C$9,IF(IF(Z21&lt;AA21*(1-$C$7),AA21*(1-$C$5-IF(Y21&lt;3,$C$8,0)),MIN(AA21*(1-$C$5-IF(Y21&lt;3,$C$8,0)),Z21*(1-$C$6-IF(Y21&lt;3,$C$8,0))))&lt;100,$D$9,$E$9)))))</f>
        <v>—</v>
      </c>
      <c r="AE21" s="65" t="str">
        <f aca="false">IF(Y21=0,"—",FLOOR(AD21*Sources!$G$10,1))</f>
        <v>—</v>
      </c>
      <c r="AF21" s="60" t="str">
        <f aca="false">IF(ISNUMBER($D21),$D21,"n/a")</f>
        <v>n/a</v>
      </c>
      <c r="AG21" s="63" t="str">
        <f aca="false">IF(OR(Y21=0,NOT(ISNUMBER($D21))),"—",AD21/$D21-1)</f>
        <v>—</v>
      </c>
      <c r="AH21" s="64" t="str">
        <f aca="false">IF(Y21=0,"—",AD21/Z21-1)</f>
        <v>—</v>
      </c>
      <c r="AI21" s="64" t="str">
        <f aca="false">IF(Y21=0,"—",AD21/AA21-1)</f>
        <v>—</v>
      </c>
      <c r="AJ21" s="59" t="n">
        <f aca="false">COUNTIFS(Offers!$B$7:$B$3000,$B21,Offers!$C$7:$C$3000,"Slovakia",Offers!$AI$7:$AI$3000,"yes")</f>
        <v>0</v>
      </c>
      <c r="AK21" s="60" t="str">
        <f aca="false">IF(AJ21=0,"—",SUMIFS(Review!$I$7:$I$600,Review!$B$7:$B$600,$B21,Review!$C$7:$C$600,"Slovakia"))</f>
        <v>—</v>
      </c>
      <c r="AL21" s="60" t="str">
        <f aca="false">IF(AJ21=0,"—",SUMIFS(Review!$J$7:$J$600,Review!$B$7:$B$600,$B21,Review!$C$7:$C$600,"Slovakia"))</f>
        <v>—</v>
      </c>
      <c r="AM21" s="60" t="str">
        <f aca="false">IF(AJ21=0,"—",SUMIFS(Review!$K$7:$K$600,Review!$B$7:$B$600,$B21,Review!$C$7:$C$600,"Slovakia"))</f>
        <v>—</v>
      </c>
      <c r="AN21" s="61" t="str">
        <f aca="false">IF(AJ21=0,"—",IF(AK21&lt;AL21*(1-$C$7),"median (cheapest is an outlier)",IF(AK21*(1-$C$6)&lt;AL21*(1-$C$5),"undercut cheapest","median")))</f>
        <v>—</v>
      </c>
      <c r="AO21" s="62" t="str">
        <f aca="false">IF(AJ21=0,"—",IF(AND(ISNUMBER($D21),$D21*(1+$C$10)&gt;FLOOR(IF(AK21&lt;AL21*(1-$C$7),AL21*(1-$C$5-IF(AJ21&lt;3,$C$8,0)),MIN(AL21*(1-$C$5-IF(AJ21&lt;3,$C$8,0)),AK21*(1-$C$6-IF(AJ21&lt;3,$C$8,0)))),IF(IF(AK21&lt;AL21*(1-$C$7),AL21*(1-$C$5-IF(AJ21&lt;3,$C$8,0)),MIN(AL21*(1-$C$5-IF(AJ21&lt;3,$C$8,0)),AK21*(1-$C$6-IF(AJ21&lt;3,$C$8,0))))&lt;10,$C$9,IF(IF(AK21&lt;AL21*(1-$C$7),AL21*(1-$C$5-IF(AJ21&lt;3,$C$8,0)),MIN(AL21*(1-$C$5-IF(AJ21&lt;3,$C$8,0)),AK21*(1-$C$6-IF(AJ21&lt;3,$C$8,0))))&lt;100,$D$9,$E$9)))),ROUND($D21*(1+$C$10),2),FLOOR(IF(AK21&lt;AL21*(1-$C$7),AL21*(1-$C$5-IF(AJ21&lt;3,$C$8,0)),MIN(AL21*(1-$C$5-IF(AJ21&lt;3,$C$8,0)),AK21*(1-$C$6-IF(AJ21&lt;3,$C$8,0)))),IF(IF(AK21&lt;AL21*(1-$C$7),AL21*(1-$C$5-IF(AJ21&lt;3,$C$8,0)),MIN(AL21*(1-$C$5-IF(AJ21&lt;3,$C$8,0)),AK21*(1-$C$6-IF(AJ21&lt;3,$C$8,0))))&lt;10,$C$9,IF(IF(AK21&lt;AL21*(1-$C$7),AL21*(1-$C$5-IF(AJ21&lt;3,$C$8,0)),MIN(AL21*(1-$C$5-IF(AJ21&lt;3,$C$8,0)),AK21*(1-$C$6-IF(AJ21&lt;3,$C$8,0))))&lt;100,$D$9,$E$9)))))</f>
        <v>—</v>
      </c>
      <c r="AP21" s="60" t="str">
        <f aca="false">IF(ISNUMBER($D21),$D21,"n/a")</f>
        <v>n/a</v>
      </c>
      <c r="AQ21" s="63" t="str">
        <f aca="false">IF(OR(AJ21=0,NOT(ISNUMBER($D21))),"—",AO21/$D21-1)</f>
        <v>—</v>
      </c>
      <c r="AR21" s="64" t="str">
        <f aca="false">IF(AJ21=0,"—",AO21/AK21-1)</f>
        <v>—</v>
      </c>
      <c r="AS21" s="64" t="str">
        <f aca="false">IF(AJ21=0,"—",AO21/AL21-1)</f>
        <v>—</v>
      </c>
      <c r="AT21" s="59" t="n">
        <f aca="false">COUNTIFS(Offers!$B$7:$B$3000,$B21,Offers!$C$7:$C$3000,"Romania",Offers!$AI$7:$AI$3000,"yes")</f>
        <v>0</v>
      </c>
      <c r="AU21" s="60" t="str">
        <f aca="false">IF(AT21=0,"—",SUMIFS(Review!$I$7:$I$600,Review!$B$7:$B$600,$B21,Review!$C$7:$C$600,"Romania"))</f>
        <v>—</v>
      </c>
      <c r="AV21" s="60" t="str">
        <f aca="false">IF(AT21=0,"—",SUMIFS(Review!$J$7:$J$600,Review!$B$7:$B$600,$B21,Review!$C$7:$C$600,"Romania"))</f>
        <v>—</v>
      </c>
      <c r="AW21" s="60" t="str">
        <f aca="false">IF(AT21=0,"—",SUMIFS(Review!$K$7:$K$600,Review!$B$7:$B$600,$B21,Review!$C$7:$C$600,"Romania"))</f>
        <v>—</v>
      </c>
      <c r="AX21" s="61" t="str">
        <f aca="false">IF(AT21=0,"—",IF(AU21&lt;AV21*(1-$C$7),"median (cheapest is an outlier)",IF(AU21*(1-$C$6)&lt;AV21*(1-$C$5),"undercut cheapest","median")))</f>
        <v>—</v>
      </c>
      <c r="AY21" s="62" t="str">
        <f aca="false">IF(AT21=0,"—",IF(AND(ISNUMBER($D21),$D21*(1+$C$10)&gt;FLOOR(IF(AU21&lt;AV21*(1-$C$7),AV21*(1-$C$5-IF(AT21&lt;3,$C$8,0)),MIN(AV21*(1-$C$5-IF(AT21&lt;3,$C$8,0)),AU21*(1-$C$6-IF(AT21&lt;3,$C$8,0)))),IF(IF(AU21&lt;AV21*(1-$C$7),AV21*(1-$C$5-IF(AT21&lt;3,$C$8,0)),MIN(AV21*(1-$C$5-IF(AT21&lt;3,$C$8,0)),AU21*(1-$C$6-IF(AT21&lt;3,$C$8,0))))&lt;10,$C$9,IF(IF(AU21&lt;AV21*(1-$C$7),AV21*(1-$C$5-IF(AT21&lt;3,$C$8,0)),MIN(AV21*(1-$C$5-IF(AT21&lt;3,$C$8,0)),AU21*(1-$C$6-IF(AT21&lt;3,$C$8,0))))&lt;100,$D$9,$E$9)))),ROUND($D21*(1+$C$10),2),FLOOR(IF(AU21&lt;AV21*(1-$C$7),AV21*(1-$C$5-IF(AT21&lt;3,$C$8,0)),MIN(AV21*(1-$C$5-IF(AT21&lt;3,$C$8,0)),AU21*(1-$C$6-IF(AT21&lt;3,$C$8,0)))),IF(IF(AU21&lt;AV21*(1-$C$7),AV21*(1-$C$5-IF(AT21&lt;3,$C$8,0)),MIN(AV21*(1-$C$5-IF(AT21&lt;3,$C$8,0)),AU21*(1-$C$6-IF(AT21&lt;3,$C$8,0))))&lt;10,$C$9,IF(IF(AU21&lt;AV21*(1-$C$7),AV21*(1-$C$5-IF(AT21&lt;3,$C$8,0)),MIN(AV21*(1-$C$5-IF(AT21&lt;3,$C$8,0)),AU21*(1-$C$6-IF(AT21&lt;3,$C$8,0))))&lt;100,$D$9,$E$9)))))</f>
        <v>—</v>
      </c>
      <c r="AZ21" s="62" t="str">
        <f aca="false">IF(AT21=0,"—",FLOOR(AY21*Sources!$G$9,0.1))</f>
        <v>—</v>
      </c>
      <c r="BA21" s="60" t="str">
        <f aca="false">IF(ISNUMBER($D21),$D21,"n/a")</f>
        <v>n/a</v>
      </c>
      <c r="BB21" s="63" t="str">
        <f aca="false">IF(OR(AT21=0,NOT(ISNUMBER($D21))),"—",AY21/$D21-1)</f>
        <v>—</v>
      </c>
      <c r="BC21" s="64" t="str">
        <f aca="false">IF(AT21=0,"—",AY21/AU21-1)</f>
        <v>—</v>
      </c>
      <c r="BD21" s="64" t="str">
        <f aca="false">IF(AT21=0,"—",AY21/AV21-1)</f>
        <v>—</v>
      </c>
      <c r="BE21" s="59" t="n">
        <f aca="false">COUNTIFS(Offers!$B$7:$B$3000,$B21,Offers!$C$7:$C$3000,"Hungary",Offers!$AI$7:$AI$3000,"yes")</f>
        <v>0</v>
      </c>
      <c r="BF21" s="60" t="str">
        <f aca="false">IF(BE21=0,"—",SUMIFS(Review!$I$7:$I$600,Review!$B$7:$B$600,$B21,Review!$C$7:$C$600,"Hungary"))</f>
        <v>—</v>
      </c>
      <c r="BG21" s="60" t="str">
        <f aca="false">IF(BE21=0,"—",SUMIFS(Review!$J$7:$J$600,Review!$B$7:$B$600,$B21,Review!$C$7:$C$600,"Hungary"))</f>
        <v>—</v>
      </c>
      <c r="BH21" s="60" t="str">
        <f aca="false">IF(BE21=0,"—",SUMIFS(Review!$K$7:$K$600,Review!$B$7:$B$600,$B21,Review!$C$7:$C$600,"Hungary"))</f>
        <v>—</v>
      </c>
      <c r="BI21" s="61" t="str">
        <f aca="false">IF(BE21=0,"—",IF(BF21&lt;BG21*(1-$C$7),"median (cheapest is an outlier)",IF(BF21*(1-$C$6)&lt;BG21*(1-$C$5),"undercut cheapest","median")))</f>
        <v>—</v>
      </c>
      <c r="BJ21" s="62" t="str">
        <f aca="false">IF(BE21=0,"—",IF(AND(ISNUMBER($D21),$D21*(1+$C$10)&gt;FLOOR(IF(BF21&lt;BG21*(1-$C$7),BG21*(1-$C$5-IF(BE21&lt;3,$C$8,0)),MIN(BG21*(1-$C$5-IF(BE21&lt;3,$C$8,0)),BF21*(1-$C$6-IF(BE21&lt;3,$C$8,0)))),IF(IF(BF21&lt;BG21*(1-$C$7),BG21*(1-$C$5-IF(BE21&lt;3,$C$8,0)),MIN(BG21*(1-$C$5-IF(BE21&lt;3,$C$8,0)),BF21*(1-$C$6-IF(BE21&lt;3,$C$8,0))))&lt;10,$C$9,IF(IF(BF21&lt;BG21*(1-$C$7),BG21*(1-$C$5-IF(BE21&lt;3,$C$8,0)),MIN(BG21*(1-$C$5-IF(BE21&lt;3,$C$8,0)),BF21*(1-$C$6-IF(BE21&lt;3,$C$8,0))))&lt;100,$D$9,$E$9)))),ROUND($D21*(1+$C$10),2),FLOOR(IF(BF21&lt;BG21*(1-$C$7),BG21*(1-$C$5-IF(BE21&lt;3,$C$8,0)),MIN(BG21*(1-$C$5-IF(BE21&lt;3,$C$8,0)),BF21*(1-$C$6-IF(BE21&lt;3,$C$8,0)))),IF(IF(BF21&lt;BG21*(1-$C$7),BG21*(1-$C$5-IF(BE21&lt;3,$C$8,0)),MIN(BG21*(1-$C$5-IF(BE21&lt;3,$C$8,0)),BF21*(1-$C$6-IF(BE21&lt;3,$C$8,0))))&lt;10,$C$9,IF(IF(BF21&lt;BG21*(1-$C$7),BG21*(1-$C$5-IF(BE21&lt;3,$C$8,0)),MIN(BG21*(1-$C$5-IF(BE21&lt;3,$C$8,0)),BF21*(1-$C$6-IF(BE21&lt;3,$C$8,0))))&lt;100,$D$9,$E$9)))))</f>
        <v>—</v>
      </c>
      <c r="BK21" s="65" t="str">
        <f aca="false">IF(BE21=0,"—",FLOOR(BJ21*Sources!$G$8,10))</f>
        <v>—</v>
      </c>
      <c r="BL21" s="60" t="str">
        <f aca="false">IF(ISNUMBER($D21),$D21,"n/a")</f>
        <v>n/a</v>
      </c>
      <c r="BM21" s="63" t="str">
        <f aca="false">IF(OR(BE21=0,NOT(ISNUMBER($D21))),"—",BJ21/$D21-1)</f>
        <v>—</v>
      </c>
      <c r="BN21" s="64" t="str">
        <f aca="false">IF(BE21=0,"—",BJ21/BF21-1)</f>
        <v>—</v>
      </c>
      <c r="BO21" s="64" t="str">
        <f aca="false">IF(BE21=0,"—",BJ21/BG21-1)</f>
        <v>—</v>
      </c>
    </row>
    <row r="22" customFormat="false" ht="15" hidden="false" customHeight="true" outlineLevel="0" collapsed="false">
      <c r="B22" s="66" t="s">
        <v>28</v>
      </c>
      <c r="C22" s="66" t="s">
        <v>147</v>
      </c>
      <c r="D22" s="58" t="n">
        <v>8.25</v>
      </c>
      <c r="E22" s="67" t="n">
        <f aca="false">COUNTIFS(Offers!$B$7:$B$3000,$B22,Offers!$C$7:$C$3000,"Austria",Offers!$AI$7:$AI$3000,"yes")</f>
        <v>7</v>
      </c>
      <c r="F22" s="68" t="n">
        <f aca="false">IF(E22=0,"—",SUMIFS(Review!$I$7:$I$600,Review!$B$7:$B$600,$B22,Review!$C$7:$C$600,"Austria"))</f>
        <v>19.76</v>
      </c>
      <c r="G22" s="68" t="n">
        <f aca="false">IF(E22=0,"—",SUMIFS(Review!$J$7:$J$600,Review!$B$7:$B$600,$B22,Review!$C$7:$C$600,"Austria"))</f>
        <v>30.5</v>
      </c>
      <c r="H22" s="68" t="n">
        <f aca="false">IF(E22=0,"—",SUMIFS(Review!$K$7:$K$600,Review!$B$7:$B$600,$B22,Review!$C$7:$C$600,"Austria"))</f>
        <v>93.66</v>
      </c>
      <c r="I22" s="69" t="str">
        <f aca="false">IF(E22=0,"—",IF(F22&lt;G22*(1-$C$7),"median (cheapest is an outlier)",IF(F22*(1-$C$6)&lt;G22*(1-$C$5),"undercut cheapest","median")))</f>
        <v>median (cheapest is an outlier)</v>
      </c>
      <c r="J22" s="70" t="n">
        <f aca="false">IF(E22=0,"—",IF(AND(ISNUMBER($D22),$D22*(1+$C$10)&gt;FLOOR(IF(F22&lt;G22*(1-$C$7),G22*(1-$C$5-IF(E22&lt;3,$C$8,0)),MIN(G22*(1-$C$5-IF(E22&lt;3,$C$8,0)),F22*(1-$C$6-IF(E22&lt;3,$C$8,0)))),IF(IF(F22&lt;G22*(1-$C$7),G22*(1-$C$5-IF(E22&lt;3,$C$8,0)),MIN(G22*(1-$C$5-IF(E22&lt;3,$C$8,0)),F22*(1-$C$6-IF(E22&lt;3,$C$8,0))))&lt;10,$C$9,IF(IF(F22&lt;G22*(1-$C$7),G22*(1-$C$5-IF(E22&lt;3,$C$8,0)),MIN(G22*(1-$C$5-IF(E22&lt;3,$C$8,0)),F22*(1-$C$6-IF(E22&lt;3,$C$8,0))))&lt;100,$D$9,$E$9)))),ROUND($D22*(1+$C$10),2),FLOOR(IF(F22&lt;G22*(1-$C$7),G22*(1-$C$5-IF(E22&lt;3,$C$8,0)),MIN(G22*(1-$C$5-IF(E22&lt;3,$C$8,0)),F22*(1-$C$6-IF(E22&lt;3,$C$8,0)))),IF(IF(F22&lt;G22*(1-$C$7),G22*(1-$C$5-IF(E22&lt;3,$C$8,0)),MIN(G22*(1-$C$5-IF(E22&lt;3,$C$8,0)),F22*(1-$C$6-IF(E22&lt;3,$C$8,0))))&lt;10,$C$9,IF(IF(F22&lt;G22*(1-$C$7),G22*(1-$C$5-IF(E22&lt;3,$C$8,0)),MIN(G22*(1-$C$5-IF(E22&lt;3,$C$8,0)),F22*(1-$C$6-IF(E22&lt;3,$C$8,0))))&lt;100,$D$9,$E$9)))))</f>
        <v>22.8</v>
      </c>
      <c r="K22" s="68" t="n">
        <f aca="false">IF(ISNUMBER($D22),$D22,"n/a")</f>
        <v>8.25</v>
      </c>
      <c r="L22" s="71" t="n">
        <f aca="false">IF(OR(E22=0,NOT(ISNUMBER($D22))),"—",J22/$D22-1)</f>
        <v>1.76363636363636</v>
      </c>
      <c r="M22" s="72" t="n">
        <f aca="false">IF(E22=0,"—",J22/F22-1)</f>
        <v>0.153846153846154</v>
      </c>
      <c r="N22" s="72" t="n">
        <f aca="false">IF(E22=0,"—",J22/G22-1)</f>
        <v>-0.252459016393443</v>
      </c>
      <c r="O22" s="67" t="n">
        <f aca="false">COUNTIFS(Offers!$B$7:$B$3000,$B22,Offers!$C$7:$C$3000,"Germany",Offers!$AI$7:$AI$3000,"yes")</f>
        <v>7</v>
      </c>
      <c r="P22" s="68" t="n">
        <f aca="false">IF(O22=0,"—",SUMIFS(Review!$I$7:$I$600,Review!$B$7:$B$600,$B22,Review!$C$7:$C$600,"Germany"))</f>
        <v>18.09</v>
      </c>
      <c r="Q22" s="68" t="n">
        <f aca="false">IF(O22=0,"—",SUMIFS(Review!$J$7:$J$600,Review!$B$7:$B$600,$B22,Review!$C$7:$C$600,"Germany"))</f>
        <v>27.49</v>
      </c>
      <c r="R22" s="68" t="n">
        <f aca="false">IF(O22=0,"—",SUMIFS(Review!$K$7:$K$600,Review!$B$7:$B$600,$B22,Review!$C$7:$C$600,"Germany"))</f>
        <v>93.66</v>
      </c>
      <c r="S22" s="69" t="str">
        <f aca="false">IF(O22=0,"—",IF(P22&lt;Q22*(1-$C$7),"median (cheapest is an outlier)",IF(P22*(1-$C$6)&lt;Q22*(1-$C$5),"undercut cheapest","median")))</f>
        <v>undercut cheapest</v>
      </c>
      <c r="T22" s="70" t="n">
        <f aca="false">IF(O22=0,"—",IF(AND(ISNUMBER($D22),$D22*(1+$C$10)&gt;FLOOR(IF(P22&lt;Q22*(1-$C$7),Q22*(1-$C$5-IF(O22&lt;3,$C$8,0)),MIN(Q22*(1-$C$5-IF(O22&lt;3,$C$8,0)),P22*(1-$C$6-IF(O22&lt;3,$C$8,0)))),IF(IF(P22&lt;Q22*(1-$C$7),Q22*(1-$C$5-IF(O22&lt;3,$C$8,0)),MIN(Q22*(1-$C$5-IF(O22&lt;3,$C$8,0)),P22*(1-$C$6-IF(O22&lt;3,$C$8,0))))&lt;10,$C$9,IF(IF(P22&lt;Q22*(1-$C$7),Q22*(1-$C$5-IF(O22&lt;3,$C$8,0)),MIN(Q22*(1-$C$5-IF(O22&lt;3,$C$8,0)),P22*(1-$C$6-IF(O22&lt;3,$C$8,0))))&lt;100,$D$9,$E$9)))),ROUND($D22*(1+$C$10),2),FLOOR(IF(P22&lt;Q22*(1-$C$7),Q22*(1-$C$5-IF(O22&lt;3,$C$8,0)),MIN(Q22*(1-$C$5-IF(O22&lt;3,$C$8,0)),P22*(1-$C$6-IF(O22&lt;3,$C$8,0)))),IF(IF(P22&lt;Q22*(1-$C$7),Q22*(1-$C$5-IF(O22&lt;3,$C$8,0)),MIN(Q22*(1-$C$5-IF(O22&lt;3,$C$8,0)),P22*(1-$C$6-IF(O22&lt;3,$C$8,0))))&lt;10,$C$9,IF(IF(P22&lt;Q22*(1-$C$7),Q22*(1-$C$5-IF(O22&lt;3,$C$8,0)),MIN(Q22*(1-$C$5-IF(O22&lt;3,$C$8,0)),P22*(1-$C$6-IF(O22&lt;3,$C$8,0))))&lt;100,$D$9,$E$9)))))</f>
        <v>17.1</v>
      </c>
      <c r="U22" s="68" t="n">
        <f aca="false">IF(ISNUMBER($D22),$D22,"n/a")</f>
        <v>8.25</v>
      </c>
      <c r="V22" s="71" t="n">
        <f aca="false">IF(OR(O22=0,NOT(ISNUMBER($D22))),"—",T22/$D22-1)</f>
        <v>1.07272727272727</v>
      </c>
      <c r="W22" s="72" t="n">
        <f aca="false">IF(O22=0,"—",T22/P22-1)</f>
        <v>-0.0547263681592038</v>
      </c>
      <c r="X22" s="72" t="n">
        <f aca="false">IF(O22=0,"—",T22/Q22-1)</f>
        <v>-0.377955620225537</v>
      </c>
      <c r="Y22" s="67" t="n">
        <f aca="false">COUNTIFS(Offers!$B$7:$B$3000,$B22,Offers!$C$7:$C$3000,"Czech",Offers!$AI$7:$AI$3000,"yes")</f>
        <v>3</v>
      </c>
      <c r="Z22" s="68" t="n">
        <f aca="false">IF(Y22=0,"—",SUMIFS(Review!$I$7:$I$600,Review!$B$7:$B$600,$B22,Review!$C$7:$C$600,"Czech"))</f>
        <v>26.04037</v>
      </c>
      <c r="AA22" s="68" t="n">
        <f aca="false">IF(Y22=0,"—",SUMIFS(Review!$J$7:$J$600,Review!$B$7:$B$600,$B22,Review!$C$7:$C$600,"Czech"))</f>
        <v>40.84817</v>
      </c>
      <c r="AB22" s="68" t="n">
        <f aca="false">IF(Y22=0,"—",SUMIFS(Review!$K$7:$K$600,Review!$B$7:$B$600,$B22,Review!$C$7:$C$600,"Czech"))</f>
        <v>48.929692</v>
      </c>
      <c r="AC22" s="69" t="str">
        <f aca="false">IF(Y22=0,"—",IF(Z22&lt;AA22*(1-$C$7),"median (cheapest is an outlier)",IF(Z22*(1-$C$6)&lt;AA22*(1-$C$5),"undercut cheapest","median")))</f>
        <v>median (cheapest is an outlier)</v>
      </c>
      <c r="AD22" s="70" t="n">
        <f aca="false">IF(Y22=0,"—",IF(AND(ISNUMBER($D22),$D22*(1+$C$10)&gt;FLOOR(IF(Z22&lt;AA22*(1-$C$7),AA22*(1-$C$5-IF(Y22&lt;3,$C$8,0)),MIN(AA22*(1-$C$5-IF(Y22&lt;3,$C$8,0)),Z22*(1-$C$6-IF(Y22&lt;3,$C$8,0)))),IF(IF(Z22&lt;AA22*(1-$C$7),AA22*(1-$C$5-IF(Y22&lt;3,$C$8,0)),MIN(AA22*(1-$C$5-IF(Y22&lt;3,$C$8,0)),Z22*(1-$C$6-IF(Y22&lt;3,$C$8,0))))&lt;10,$C$9,IF(IF(Z22&lt;AA22*(1-$C$7),AA22*(1-$C$5-IF(Y22&lt;3,$C$8,0)),MIN(AA22*(1-$C$5-IF(Y22&lt;3,$C$8,0)),Z22*(1-$C$6-IF(Y22&lt;3,$C$8,0))))&lt;100,$D$9,$E$9)))),ROUND($D22*(1+$C$10),2),FLOOR(IF(Z22&lt;AA22*(1-$C$7),AA22*(1-$C$5-IF(Y22&lt;3,$C$8,0)),MIN(AA22*(1-$C$5-IF(Y22&lt;3,$C$8,0)),Z22*(1-$C$6-IF(Y22&lt;3,$C$8,0)))),IF(IF(Z22&lt;AA22*(1-$C$7),AA22*(1-$C$5-IF(Y22&lt;3,$C$8,0)),MIN(AA22*(1-$C$5-IF(Y22&lt;3,$C$8,0)),Z22*(1-$C$6-IF(Y22&lt;3,$C$8,0))))&lt;10,$C$9,IF(IF(Z22&lt;AA22*(1-$C$7),AA22*(1-$C$5-IF(Y22&lt;3,$C$8,0)),MIN(AA22*(1-$C$5-IF(Y22&lt;3,$C$8,0)),Z22*(1-$C$6-IF(Y22&lt;3,$C$8,0))))&lt;100,$D$9,$E$9)))))</f>
        <v>30.6</v>
      </c>
      <c r="AE22" s="73" t="n">
        <f aca="false">IF(Y22=0,"—",FLOOR(AD22*Sources!$G$10,1))</f>
        <v>747</v>
      </c>
      <c r="AF22" s="68" t="n">
        <f aca="false">IF(ISNUMBER($D22),$D22,"n/a")</f>
        <v>8.25</v>
      </c>
      <c r="AG22" s="71" t="n">
        <f aca="false">IF(OR(Y22=0,NOT(ISNUMBER($D22))),"—",AD22/$D22-1)</f>
        <v>2.70909090909091</v>
      </c>
      <c r="AH22" s="72" t="n">
        <f aca="false">IF(Y22=0,"—",AD22/Z22-1)</f>
        <v>0.175098510505035</v>
      </c>
      <c r="AI22" s="72" t="n">
        <f aca="false">IF(Y22=0,"—",AD22/AA22-1)</f>
        <v>-0.250884433745747</v>
      </c>
      <c r="AJ22" s="67" t="n">
        <f aca="false">COUNTIFS(Offers!$B$7:$B$3000,$B22,Offers!$C$7:$C$3000,"Slovakia",Offers!$AI$7:$AI$3000,"yes")</f>
        <v>0</v>
      </c>
      <c r="AK22" s="68" t="str">
        <f aca="false">IF(AJ22=0,"—",SUMIFS(Review!$I$7:$I$600,Review!$B$7:$B$600,$B22,Review!$C$7:$C$600,"Slovakia"))</f>
        <v>—</v>
      </c>
      <c r="AL22" s="68" t="str">
        <f aca="false">IF(AJ22=0,"—",SUMIFS(Review!$J$7:$J$600,Review!$B$7:$B$600,$B22,Review!$C$7:$C$600,"Slovakia"))</f>
        <v>—</v>
      </c>
      <c r="AM22" s="68" t="str">
        <f aca="false">IF(AJ22=0,"—",SUMIFS(Review!$K$7:$K$600,Review!$B$7:$B$600,$B22,Review!$C$7:$C$600,"Slovakia"))</f>
        <v>—</v>
      </c>
      <c r="AN22" s="69" t="str">
        <f aca="false">IF(AJ22=0,"—",IF(AK22&lt;AL22*(1-$C$7),"median (cheapest is an outlier)",IF(AK22*(1-$C$6)&lt;AL22*(1-$C$5),"undercut cheapest","median")))</f>
        <v>—</v>
      </c>
      <c r="AO22" s="70" t="str">
        <f aca="false">IF(AJ22=0,"—",IF(AND(ISNUMBER($D22),$D22*(1+$C$10)&gt;FLOOR(IF(AK22&lt;AL22*(1-$C$7),AL22*(1-$C$5-IF(AJ22&lt;3,$C$8,0)),MIN(AL22*(1-$C$5-IF(AJ22&lt;3,$C$8,0)),AK22*(1-$C$6-IF(AJ22&lt;3,$C$8,0)))),IF(IF(AK22&lt;AL22*(1-$C$7),AL22*(1-$C$5-IF(AJ22&lt;3,$C$8,0)),MIN(AL22*(1-$C$5-IF(AJ22&lt;3,$C$8,0)),AK22*(1-$C$6-IF(AJ22&lt;3,$C$8,0))))&lt;10,$C$9,IF(IF(AK22&lt;AL22*(1-$C$7),AL22*(1-$C$5-IF(AJ22&lt;3,$C$8,0)),MIN(AL22*(1-$C$5-IF(AJ22&lt;3,$C$8,0)),AK22*(1-$C$6-IF(AJ22&lt;3,$C$8,0))))&lt;100,$D$9,$E$9)))),ROUND($D22*(1+$C$10),2),FLOOR(IF(AK22&lt;AL22*(1-$C$7),AL22*(1-$C$5-IF(AJ22&lt;3,$C$8,0)),MIN(AL22*(1-$C$5-IF(AJ22&lt;3,$C$8,0)),AK22*(1-$C$6-IF(AJ22&lt;3,$C$8,0)))),IF(IF(AK22&lt;AL22*(1-$C$7),AL22*(1-$C$5-IF(AJ22&lt;3,$C$8,0)),MIN(AL22*(1-$C$5-IF(AJ22&lt;3,$C$8,0)),AK22*(1-$C$6-IF(AJ22&lt;3,$C$8,0))))&lt;10,$C$9,IF(IF(AK22&lt;AL22*(1-$C$7),AL22*(1-$C$5-IF(AJ22&lt;3,$C$8,0)),MIN(AL22*(1-$C$5-IF(AJ22&lt;3,$C$8,0)),AK22*(1-$C$6-IF(AJ22&lt;3,$C$8,0))))&lt;100,$D$9,$E$9)))))</f>
        <v>—</v>
      </c>
      <c r="AP22" s="68" t="n">
        <f aca="false">IF(ISNUMBER($D22),$D22,"n/a")</f>
        <v>8.25</v>
      </c>
      <c r="AQ22" s="71" t="str">
        <f aca="false">IF(OR(AJ22=0,NOT(ISNUMBER($D22))),"—",AO22/$D22-1)</f>
        <v>—</v>
      </c>
      <c r="AR22" s="72" t="str">
        <f aca="false">IF(AJ22=0,"—",AO22/AK22-1)</f>
        <v>—</v>
      </c>
      <c r="AS22" s="72" t="str">
        <f aca="false">IF(AJ22=0,"—",AO22/AL22-1)</f>
        <v>—</v>
      </c>
      <c r="AT22" s="67" t="n">
        <f aca="false">COUNTIFS(Offers!$B$7:$B$3000,$B22,Offers!$C$7:$C$3000,"Romania",Offers!$AI$7:$AI$3000,"yes")</f>
        <v>1</v>
      </c>
      <c r="AU22" s="68" t="n">
        <f aca="false">IF(AT22=0,"—",SUMIFS(Review!$I$7:$I$600,Review!$B$7:$B$600,$B22,Review!$C$7:$C$600,"Romania"))</f>
        <v>16.641903</v>
      </c>
      <c r="AV22" s="68" t="n">
        <f aca="false">IF(AT22=0,"—",SUMIFS(Review!$J$7:$J$600,Review!$B$7:$B$600,$B22,Review!$C$7:$C$600,"Romania"))</f>
        <v>16.641903</v>
      </c>
      <c r="AW22" s="68" t="n">
        <f aca="false">IF(AT22=0,"—",SUMIFS(Review!$K$7:$K$600,Review!$B$7:$B$600,$B22,Review!$C$7:$C$600,"Romania"))</f>
        <v>16.641903</v>
      </c>
      <c r="AX22" s="69" t="str">
        <f aca="false">IF(AT22=0,"—",IF(AU22&lt;AV22*(1-$C$7),"median (cheapest is an outlier)",IF(AU22*(1-$C$6)&lt;AV22*(1-$C$5),"undercut cheapest","median")))</f>
        <v>median</v>
      </c>
      <c r="AY22" s="70" t="n">
        <f aca="false">IF(AT22=0,"—",IF(AND(ISNUMBER($D22),$D22*(1+$C$10)&gt;FLOOR(IF(AU22&lt;AV22*(1-$C$7),AV22*(1-$C$5-IF(AT22&lt;3,$C$8,0)),MIN(AV22*(1-$C$5-IF(AT22&lt;3,$C$8,0)),AU22*(1-$C$6-IF(AT22&lt;3,$C$8,0)))),IF(IF(AU22&lt;AV22*(1-$C$7),AV22*(1-$C$5-IF(AT22&lt;3,$C$8,0)),MIN(AV22*(1-$C$5-IF(AT22&lt;3,$C$8,0)),AU22*(1-$C$6-IF(AT22&lt;3,$C$8,0))))&lt;10,$C$9,IF(IF(AU22&lt;AV22*(1-$C$7),AV22*(1-$C$5-IF(AT22&lt;3,$C$8,0)),MIN(AV22*(1-$C$5-IF(AT22&lt;3,$C$8,0)),AU22*(1-$C$6-IF(AT22&lt;3,$C$8,0))))&lt;100,$D$9,$E$9)))),ROUND($D22*(1+$C$10),2),FLOOR(IF(AU22&lt;AV22*(1-$C$7),AV22*(1-$C$5-IF(AT22&lt;3,$C$8,0)),MIN(AV22*(1-$C$5-IF(AT22&lt;3,$C$8,0)),AU22*(1-$C$6-IF(AT22&lt;3,$C$8,0)))),IF(IF(AU22&lt;AV22*(1-$C$7),AV22*(1-$C$5-IF(AT22&lt;3,$C$8,0)),MIN(AV22*(1-$C$5-IF(AT22&lt;3,$C$8,0)),AU22*(1-$C$6-IF(AT22&lt;3,$C$8,0))))&lt;10,$C$9,IF(IF(AU22&lt;AV22*(1-$C$7),AV22*(1-$C$5-IF(AT22&lt;3,$C$8,0)),MIN(AV22*(1-$C$5-IF(AT22&lt;3,$C$8,0)),AU22*(1-$C$6-IF(AT22&lt;3,$C$8,0))))&lt;100,$D$9,$E$9)))))</f>
        <v>11.6</v>
      </c>
      <c r="AZ22" s="70" t="n">
        <f aca="false">IF(AT22=0,"—",FLOOR(AY22*Sources!$G$9,0.1))</f>
        <v>61.2</v>
      </c>
      <c r="BA22" s="68" t="n">
        <f aca="false">IF(ISNUMBER($D22),$D22,"n/a")</f>
        <v>8.25</v>
      </c>
      <c r="BB22" s="71" t="n">
        <f aca="false">IF(OR(AT22=0,NOT(ISNUMBER($D22))),"—",AY22/$D22-1)</f>
        <v>0.406060606060606</v>
      </c>
      <c r="BC22" s="72" t="n">
        <f aca="false">IF(AT22=0,"—",AY22/AU22-1)</f>
        <v>-0.302964330461486</v>
      </c>
      <c r="BD22" s="72" t="n">
        <f aca="false">IF(AT22=0,"—",AY22/AV22-1)</f>
        <v>-0.302964330461486</v>
      </c>
      <c r="BE22" s="67" t="n">
        <f aca="false">COUNTIFS(Offers!$B$7:$B$3000,$B22,Offers!$C$7:$C$3000,"Hungary",Offers!$AI$7:$AI$3000,"yes")</f>
        <v>0</v>
      </c>
      <c r="BF22" s="68" t="str">
        <f aca="false">IF(BE22=0,"—",SUMIFS(Review!$I$7:$I$600,Review!$B$7:$B$600,$B22,Review!$C$7:$C$600,"Hungary"))</f>
        <v>—</v>
      </c>
      <c r="BG22" s="68" t="str">
        <f aca="false">IF(BE22=0,"—",SUMIFS(Review!$J$7:$J$600,Review!$B$7:$B$600,$B22,Review!$C$7:$C$600,"Hungary"))</f>
        <v>—</v>
      </c>
      <c r="BH22" s="68" t="str">
        <f aca="false">IF(BE22=0,"—",SUMIFS(Review!$K$7:$K$600,Review!$B$7:$B$600,$B22,Review!$C$7:$C$600,"Hungary"))</f>
        <v>—</v>
      </c>
      <c r="BI22" s="69" t="str">
        <f aca="false">IF(BE22=0,"—",IF(BF22&lt;BG22*(1-$C$7),"median (cheapest is an outlier)",IF(BF22*(1-$C$6)&lt;BG22*(1-$C$5),"undercut cheapest","median")))</f>
        <v>—</v>
      </c>
      <c r="BJ22" s="70" t="str">
        <f aca="false">IF(BE22=0,"—",IF(AND(ISNUMBER($D22),$D22*(1+$C$10)&gt;FLOOR(IF(BF22&lt;BG22*(1-$C$7),BG22*(1-$C$5-IF(BE22&lt;3,$C$8,0)),MIN(BG22*(1-$C$5-IF(BE22&lt;3,$C$8,0)),BF22*(1-$C$6-IF(BE22&lt;3,$C$8,0)))),IF(IF(BF22&lt;BG22*(1-$C$7),BG22*(1-$C$5-IF(BE22&lt;3,$C$8,0)),MIN(BG22*(1-$C$5-IF(BE22&lt;3,$C$8,0)),BF22*(1-$C$6-IF(BE22&lt;3,$C$8,0))))&lt;10,$C$9,IF(IF(BF22&lt;BG22*(1-$C$7),BG22*(1-$C$5-IF(BE22&lt;3,$C$8,0)),MIN(BG22*(1-$C$5-IF(BE22&lt;3,$C$8,0)),BF22*(1-$C$6-IF(BE22&lt;3,$C$8,0))))&lt;100,$D$9,$E$9)))),ROUND($D22*(1+$C$10),2),FLOOR(IF(BF22&lt;BG22*(1-$C$7),BG22*(1-$C$5-IF(BE22&lt;3,$C$8,0)),MIN(BG22*(1-$C$5-IF(BE22&lt;3,$C$8,0)),BF22*(1-$C$6-IF(BE22&lt;3,$C$8,0)))),IF(IF(BF22&lt;BG22*(1-$C$7),BG22*(1-$C$5-IF(BE22&lt;3,$C$8,0)),MIN(BG22*(1-$C$5-IF(BE22&lt;3,$C$8,0)),BF22*(1-$C$6-IF(BE22&lt;3,$C$8,0))))&lt;10,$C$9,IF(IF(BF22&lt;BG22*(1-$C$7),BG22*(1-$C$5-IF(BE22&lt;3,$C$8,0)),MIN(BG22*(1-$C$5-IF(BE22&lt;3,$C$8,0)),BF22*(1-$C$6-IF(BE22&lt;3,$C$8,0))))&lt;100,$D$9,$E$9)))))</f>
        <v>—</v>
      </c>
      <c r="BK22" s="73" t="str">
        <f aca="false">IF(BE22=0,"—",FLOOR(BJ22*Sources!$G$8,10))</f>
        <v>—</v>
      </c>
      <c r="BL22" s="68" t="n">
        <f aca="false">IF(ISNUMBER($D22),$D22,"n/a")</f>
        <v>8.25</v>
      </c>
      <c r="BM22" s="71" t="str">
        <f aca="false">IF(OR(BE22=0,NOT(ISNUMBER($D22))),"—",BJ22/$D22-1)</f>
        <v>—</v>
      </c>
      <c r="BN22" s="72" t="str">
        <f aca="false">IF(BE22=0,"—",BJ22/BF22-1)</f>
        <v>—</v>
      </c>
      <c r="BO22" s="72" t="str">
        <f aca="false">IF(BE22=0,"—",BJ22/BG22-1)</f>
        <v>—</v>
      </c>
    </row>
    <row r="23" customFormat="false" ht="15" hidden="false" customHeight="true" outlineLevel="0" collapsed="false">
      <c r="B23" s="1" t="s">
        <v>29</v>
      </c>
      <c r="C23" s="1" t="s">
        <v>148</v>
      </c>
      <c r="D23" s="58" t="n">
        <v>11.1</v>
      </c>
      <c r="E23" s="59" t="n">
        <f aca="false">COUNTIFS(Offers!$B$7:$B$3000,$B23,Offers!$C$7:$C$3000,"Austria",Offers!$AI$7:$AI$3000,"yes")</f>
        <v>9</v>
      </c>
      <c r="F23" s="60" t="n">
        <f aca="false">IF(E23=0,"—",SUMIFS(Review!$I$7:$I$600,Review!$B$7:$B$600,$B23,Review!$C$7:$C$600,"Austria"))</f>
        <v>18</v>
      </c>
      <c r="G23" s="60" t="n">
        <f aca="false">IF(E23=0,"—",SUMIFS(Review!$J$7:$J$600,Review!$B$7:$B$600,$B23,Review!$C$7:$C$600,"Austria"))</f>
        <v>24.57</v>
      </c>
      <c r="H23" s="60" t="n">
        <f aca="false">IF(E23=0,"—",SUMIFS(Review!$K$7:$K$600,Review!$B$7:$B$600,$B23,Review!$C$7:$C$600,"Austria"))</f>
        <v>34.99</v>
      </c>
      <c r="I23" s="61" t="str">
        <f aca="false">IF(E23=0,"—",IF(F23&lt;G23*(1-$C$7),"median (cheapest is an outlier)",IF(F23*(1-$C$6)&lt;G23*(1-$C$5),"undercut cheapest","median")))</f>
        <v>undercut cheapest</v>
      </c>
      <c r="J23" s="62" t="n">
        <f aca="false">IF(E23=0,"—",IF(AND(ISNUMBER($D23),$D23*(1+$C$10)&gt;FLOOR(IF(F23&lt;G23*(1-$C$7),G23*(1-$C$5-IF(E23&lt;3,$C$8,0)),MIN(G23*(1-$C$5-IF(E23&lt;3,$C$8,0)),F23*(1-$C$6-IF(E23&lt;3,$C$8,0)))),IF(IF(F23&lt;G23*(1-$C$7),G23*(1-$C$5-IF(E23&lt;3,$C$8,0)),MIN(G23*(1-$C$5-IF(E23&lt;3,$C$8,0)),F23*(1-$C$6-IF(E23&lt;3,$C$8,0))))&lt;10,$C$9,IF(IF(F23&lt;G23*(1-$C$7),G23*(1-$C$5-IF(E23&lt;3,$C$8,0)),MIN(G23*(1-$C$5-IF(E23&lt;3,$C$8,0)),F23*(1-$C$6-IF(E23&lt;3,$C$8,0))))&lt;100,$D$9,$E$9)))),ROUND($D23*(1+$C$10),2),FLOOR(IF(F23&lt;G23*(1-$C$7),G23*(1-$C$5-IF(E23&lt;3,$C$8,0)),MIN(G23*(1-$C$5-IF(E23&lt;3,$C$8,0)),F23*(1-$C$6-IF(E23&lt;3,$C$8,0)))),IF(IF(F23&lt;G23*(1-$C$7),G23*(1-$C$5-IF(E23&lt;3,$C$8,0)),MIN(G23*(1-$C$5-IF(E23&lt;3,$C$8,0)),F23*(1-$C$6-IF(E23&lt;3,$C$8,0))))&lt;10,$C$9,IF(IF(F23&lt;G23*(1-$C$7),G23*(1-$C$5-IF(E23&lt;3,$C$8,0)),MIN(G23*(1-$C$5-IF(E23&lt;3,$C$8,0)),F23*(1-$C$6-IF(E23&lt;3,$C$8,0))))&lt;100,$D$9,$E$9)))))</f>
        <v>17.1</v>
      </c>
      <c r="K23" s="60" t="n">
        <f aca="false">IF(ISNUMBER($D23),$D23,"n/a")</f>
        <v>11.1</v>
      </c>
      <c r="L23" s="63" t="n">
        <f aca="false">IF(OR(E23=0,NOT(ISNUMBER($D23))),"—",J23/$D23-1)</f>
        <v>0.540540540540541</v>
      </c>
      <c r="M23" s="64" t="n">
        <f aca="false">IF(E23=0,"—",J23/F23-1)</f>
        <v>-0.0499999999999999</v>
      </c>
      <c r="N23" s="64" t="n">
        <f aca="false">IF(E23=0,"—",J23/G23-1)</f>
        <v>-0.304029304029304</v>
      </c>
      <c r="O23" s="59" t="n">
        <f aca="false">COUNTIFS(Offers!$B$7:$B$3000,$B23,Offers!$C$7:$C$3000,"Germany",Offers!$AI$7:$AI$3000,"yes")</f>
        <v>10</v>
      </c>
      <c r="P23" s="60" t="n">
        <f aca="false">IF(O23=0,"—",SUMIFS(Review!$I$7:$I$600,Review!$B$7:$B$600,$B23,Review!$C$7:$C$600,"Germany"))</f>
        <v>17.29</v>
      </c>
      <c r="Q23" s="60" t="n">
        <f aca="false">IF(O23=0,"—",SUMIFS(Review!$J$7:$J$600,Review!$B$7:$B$600,$B23,Review!$C$7:$C$600,"Germany"))</f>
        <v>22.79</v>
      </c>
      <c r="R23" s="60" t="n">
        <f aca="false">IF(O23=0,"—",SUMIFS(Review!$K$7:$K$600,Review!$B$7:$B$600,$B23,Review!$C$7:$C$600,"Germany"))</f>
        <v>34.99</v>
      </c>
      <c r="S23" s="61" t="str">
        <f aca="false">IF(O23=0,"—",IF(P23&lt;Q23*(1-$C$7),"median (cheapest is an outlier)",IF(P23*(1-$C$6)&lt;Q23*(1-$C$5),"undercut cheapest","median")))</f>
        <v>undercut cheapest</v>
      </c>
      <c r="T23" s="62" t="n">
        <f aca="false">IF(O23=0,"—",IF(AND(ISNUMBER($D23),$D23*(1+$C$10)&gt;FLOOR(IF(P23&lt;Q23*(1-$C$7),Q23*(1-$C$5-IF(O23&lt;3,$C$8,0)),MIN(Q23*(1-$C$5-IF(O23&lt;3,$C$8,0)),P23*(1-$C$6-IF(O23&lt;3,$C$8,0)))),IF(IF(P23&lt;Q23*(1-$C$7),Q23*(1-$C$5-IF(O23&lt;3,$C$8,0)),MIN(Q23*(1-$C$5-IF(O23&lt;3,$C$8,0)),P23*(1-$C$6-IF(O23&lt;3,$C$8,0))))&lt;10,$C$9,IF(IF(P23&lt;Q23*(1-$C$7),Q23*(1-$C$5-IF(O23&lt;3,$C$8,0)),MIN(Q23*(1-$C$5-IF(O23&lt;3,$C$8,0)),P23*(1-$C$6-IF(O23&lt;3,$C$8,0))))&lt;100,$D$9,$E$9)))),ROUND($D23*(1+$C$10),2),FLOOR(IF(P23&lt;Q23*(1-$C$7),Q23*(1-$C$5-IF(O23&lt;3,$C$8,0)),MIN(Q23*(1-$C$5-IF(O23&lt;3,$C$8,0)),P23*(1-$C$6-IF(O23&lt;3,$C$8,0)))),IF(IF(P23&lt;Q23*(1-$C$7),Q23*(1-$C$5-IF(O23&lt;3,$C$8,0)),MIN(Q23*(1-$C$5-IF(O23&lt;3,$C$8,0)),P23*(1-$C$6-IF(O23&lt;3,$C$8,0))))&lt;10,$C$9,IF(IF(P23&lt;Q23*(1-$C$7),Q23*(1-$C$5-IF(O23&lt;3,$C$8,0)),MIN(Q23*(1-$C$5-IF(O23&lt;3,$C$8,0)),P23*(1-$C$6-IF(O23&lt;3,$C$8,0))))&lt;100,$D$9,$E$9)))))</f>
        <v>16.4</v>
      </c>
      <c r="U23" s="60" t="n">
        <f aca="false">IF(ISNUMBER($D23),$D23,"n/a")</f>
        <v>11.1</v>
      </c>
      <c r="V23" s="63" t="n">
        <f aca="false">IF(OR(O23=0,NOT(ISNUMBER($D23))),"—",T23/$D23-1)</f>
        <v>0.477477477477478</v>
      </c>
      <c r="W23" s="64" t="n">
        <f aca="false">IF(O23=0,"—",T23/P23-1)</f>
        <v>-0.051474840948525</v>
      </c>
      <c r="X23" s="64" t="n">
        <f aca="false">IF(O23=0,"—",T23/Q23-1)</f>
        <v>-0.280386134269416</v>
      </c>
      <c r="Y23" s="59" t="n">
        <f aca="false">COUNTIFS(Offers!$B$7:$B$3000,$B23,Offers!$C$7:$C$3000,"Czech",Offers!$AI$7:$AI$3000,"yes")</f>
        <v>5</v>
      </c>
      <c r="Z23" s="60" t="n">
        <f aca="false">IF(Y23=0,"—",SUMIFS(Review!$I$7:$I$600,Review!$B$7:$B$600,$B23,Review!$C$7:$C$600,"Czech"))</f>
        <v>25.899933</v>
      </c>
      <c r="AA23" s="60" t="n">
        <f aca="false">IF(Y23=0,"—",SUMIFS(Review!$J$7:$J$600,Review!$B$7:$B$600,$B23,Review!$C$7:$C$600,"Czech"))</f>
        <v>44.628937</v>
      </c>
      <c r="AB23" s="60" t="n">
        <f aca="false">IF(Y23=0,"—",SUMIFS(Review!$K$7:$K$600,Review!$B$7:$B$600,$B23,Review!$C$7:$C$600,"Czech"))</f>
        <v>51.806007</v>
      </c>
      <c r="AC23" s="61" t="str">
        <f aca="false">IF(Y23=0,"—",IF(Z23&lt;AA23*(1-$C$7),"median (cheapest is an outlier)",IF(Z23*(1-$C$6)&lt;AA23*(1-$C$5),"undercut cheapest","median")))</f>
        <v>median (cheapest is an outlier)</v>
      </c>
      <c r="AD23" s="62" t="n">
        <f aca="false">IF(Y23=0,"—",IF(AND(ISNUMBER($D23),$D23*(1+$C$10)&gt;FLOOR(IF(Z23&lt;AA23*(1-$C$7),AA23*(1-$C$5-IF(Y23&lt;3,$C$8,0)),MIN(AA23*(1-$C$5-IF(Y23&lt;3,$C$8,0)),Z23*(1-$C$6-IF(Y23&lt;3,$C$8,0)))),IF(IF(Z23&lt;AA23*(1-$C$7),AA23*(1-$C$5-IF(Y23&lt;3,$C$8,0)),MIN(AA23*(1-$C$5-IF(Y23&lt;3,$C$8,0)),Z23*(1-$C$6-IF(Y23&lt;3,$C$8,0))))&lt;10,$C$9,IF(IF(Z23&lt;AA23*(1-$C$7),AA23*(1-$C$5-IF(Y23&lt;3,$C$8,0)),MIN(AA23*(1-$C$5-IF(Y23&lt;3,$C$8,0)),Z23*(1-$C$6-IF(Y23&lt;3,$C$8,0))))&lt;100,$D$9,$E$9)))),ROUND($D23*(1+$C$10),2),FLOOR(IF(Z23&lt;AA23*(1-$C$7),AA23*(1-$C$5-IF(Y23&lt;3,$C$8,0)),MIN(AA23*(1-$C$5-IF(Y23&lt;3,$C$8,0)),Z23*(1-$C$6-IF(Y23&lt;3,$C$8,0)))),IF(IF(Z23&lt;AA23*(1-$C$7),AA23*(1-$C$5-IF(Y23&lt;3,$C$8,0)),MIN(AA23*(1-$C$5-IF(Y23&lt;3,$C$8,0)),Z23*(1-$C$6-IF(Y23&lt;3,$C$8,0))))&lt;10,$C$9,IF(IF(Z23&lt;AA23*(1-$C$7),AA23*(1-$C$5-IF(Y23&lt;3,$C$8,0)),MIN(AA23*(1-$C$5-IF(Y23&lt;3,$C$8,0)),Z23*(1-$C$6-IF(Y23&lt;3,$C$8,0))))&lt;100,$D$9,$E$9)))))</f>
        <v>33.4</v>
      </c>
      <c r="AE23" s="65" t="n">
        <f aca="false">IF(Y23=0,"—",FLOOR(AD23*Sources!$G$10,1))</f>
        <v>815</v>
      </c>
      <c r="AF23" s="60" t="n">
        <f aca="false">IF(ISNUMBER($D23),$D23,"n/a")</f>
        <v>11.1</v>
      </c>
      <c r="AG23" s="63" t="n">
        <f aca="false">IF(OR(Y23=0,NOT(ISNUMBER($D23))),"—",AD23/$D23-1)</f>
        <v>2.00900900900901</v>
      </c>
      <c r="AH23" s="64" t="n">
        <f aca="false">IF(Y23=0,"—",AD23/Z23-1)</f>
        <v>0.289578625550885</v>
      </c>
      <c r="AI23" s="64" t="n">
        <f aca="false">IF(Y23=0,"—",AD23/AA23-1)</f>
        <v>-0.251606642569147</v>
      </c>
      <c r="AJ23" s="59" t="n">
        <f aca="false">COUNTIFS(Offers!$B$7:$B$3000,$B23,Offers!$C$7:$C$3000,"Slovakia",Offers!$AI$7:$AI$3000,"yes")</f>
        <v>2</v>
      </c>
      <c r="AK23" s="60" t="n">
        <f aca="false">IF(AJ23=0,"—",SUMIFS(Review!$I$7:$I$600,Review!$B$7:$B$600,$B23,Review!$C$7:$C$600,"Slovakia"))</f>
        <v>20.35</v>
      </c>
      <c r="AL23" s="60" t="n">
        <f aca="false">IF(AJ23=0,"—",SUMIFS(Review!$J$7:$J$600,Review!$B$7:$B$600,$B23,Review!$C$7:$C$600,"Slovakia"))</f>
        <v>36.154675</v>
      </c>
      <c r="AM23" s="60" t="n">
        <f aca="false">IF(AJ23=0,"—",SUMIFS(Review!$K$7:$K$600,Review!$B$7:$B$600,$B23,Review!$C$7:$C$600,"Slovakia"))</f>
        <v>51.95935</v>
      </c>
      <c r="AN23" s="61" t="str">
        <f aca="false">IF(AJ23=0,"—",IF(AK23&lt;AL23*(1-$C$7),"median (cheapest is an outlier)",IF(AK23*(1-$C$6)&lt;AL23*(1-$C$5),"undercut cheapest","median")))</f>
        <v>median (cheapest is an outlier)</v>
      </c>
      <c r="AO23" s="62" t="n">
        <f aca="false">IF(AJ23=0,"—",IF(AND(ISNUMBER($D23),$D23*(1+$C$10)&gt;FLOOR(IF(AK23&lt;AL23*(1-$C$7),AL23*(1-$C$5-IF(AJ23&lt;3,$C$8,0)),MIN(AL23*(1-$C$5-IF(AJ23&lt;3,$C$8,0)),AK23*(1-$C$6-IF(AJ23&lt;3,$C$8,0)))),IF(IF(AK23&lt;AL23*(1-$C$7),AL23*(1-$C$5-IF(AJ23&lt;3,$C$8,0)),MIN(AL23*(1-$C$5-IF(AJ23&lt;3,$C$8,0)),AK23*(1-$C$6-IF(AJ23&lt;3,$C$8,0))))&lt;10,$C$9,IF(IF(AK23&lt;AL23*(1-$C$7),AL23*(1-$C$5-IF(AJ23&lt;3,$C$8,0)),MIN(AL23*(1-$C$5-IF(AJ23&lt;3,$C$8,0)),AK23*(1-$C$6-IF(AJ23&lt;3,$C$8,0))))&lt;100,$D$9,$E$9)))),ROUND($D23*(1+$C$10),2),FLOOR(IF(AK23&lt;AL23*(1-$C$7),AL23*(1-$C$5-IF(AJ23&lt;3,$C$8,0)),MIN(AL23*(1-$C$5-IF(AJ23&lt;3,$C$8,0)),AK23*(1-$C$6-IF(AJ23&lt;3,$C$8,0)))),IF(IF(AK23&lt;AL23*(1-$C$7),AL23*(1-$C$5-IF(AJ23&lt;3,$C$8,0)),MIN(AL23*(1-$C$5-IF(AJ23&lt;3,$C$8,0)),AK23*(1-$C$6-IF(AJ23&lt;3,$C$8,0))))&lt;10,$C$9,IF(IF(AK23&lt;AL23*(1-$C$7),AL23*(1-$C$5-IF(AJ23&lt;3,$C$8,0)),MIN(AL23*(1-$C$5-IF(AJ23&lt;3,$C$8,0)),AK23*(1-$C$6-IF(AJ23&lt;3,$C$8,0))))&lt;100,$D$9,$E$9)))))</f>
        <v>25.3</v>
      </c>
      <c r="AP23" s="60" t="n">
        <f aca="false">IF(ISNUMBER($D23),$D23,"n/a")</f>
        <v>11.1</v>
      </c>
      <c r="AQ23" s="63" t="n">
        <f aca="false">IF(OR(AJ23=0,NOT(ISNUMBER($D23))),"—",AO23/$D23-1)</f>
        <v>1.27927927927928</v>
      </c>
      <c r="AR23" s="64" t="n">
        <f aca="false">IF(AJ23=0,"—",AO23/AK23-1)</f>
        <v>0.243243243243243</v>
      </c>
      <c r="AS23" s="64" t="n">
        <f aca="false">IF(AJ23=0,"—",AO23/AL23-1)</f>
        <v>-0.300228808584229</v>
      </c>
      <c r="AT23" s="59" t="n">
        <f aca="false">COUNTIFS(Offers!$B$7:$B$3000,$B23,Offers!$C$7:$C$3000,"Romania",Offers!$AI$7:$AI$3000,"yes")</f>
        <v>0</v>
      </c>
      <c r="AU23" s="60" t="str">
        <f aca="false">IF(AT23=0,"—",SUMIFS(Review!$I$7:$I$600,Review!$B$7:$B$600,$B23,Review!$C$7:$C$600,"Romania"))</f>
        <v>—</v>
      </c>
      <c r="AV23" s="60" t="str">
        <f aca="false">IF(AT23=0,"—",SUMIFS(Review!$J$7:$J$600,Review!$B$7:$B$600,$B23,Review!$C$7:$C$600,"Romania"))</f>
        <v>—</v>
      </c>
      <c r="AW23" s="60" t="str">
        <f aca="false">IF(AT23=0,"—",SUMIFS(Review!$K$7:$K$600,Review!$B$7:$B$600,$B23,Review!$C$7:$C$600,"Romania"))</f>
        <v>—</v>
      </c>
      <c r="AX23" s="61" t="str">
        <f aca="false">IF(AT23=0,"—",IF(AU23&lt;AV23*(1-$C$7),"median (cheapest is an outlier)",IF(AU23*(1-$C$6)&lt;AV23*(1-$C$5),"undercut cheapest","median")))</f>
        <v>—</v>
      </c>
      <c r="AY23" s="62" t="str">
        <f aca="false">IF(AT23=0,"—",IF(AND(ISNUMBER($D23),$D23*(1+$C$10)&gt;FLOOR(IF(AU23&lt;AV23*(1-$C$7),AV23*(1-$C$5-IF(AT23&lt;3,$C$8,0)),MIN(AV23*(1-$C$5-IF(AT23&lt;3,$C$8,0)),AU23*(1-$C$6-IF(AT23&lt;3,$C$8,0)))),IF(IF(AU23&lt;AV23*(1-$C$7),AV23*(1-$C$5-IF(AT23&lt;3,$C$8,0)),MIN(AV23*(1-$C$5-IF(AT23&lt;3,$C$8,0)),AU23*(1-$C$6-IF(AT23&lt;3,$C$8,0))))&lt;10,$C$9,IF(IF(AU23&lt;AV23*(1-$C$7),AV23*(1-$C$5-IF(AT23&lt;3,$C$8,0)),MIN(AV23*(1-$C$5-IF(AT23&lt;3,$C$8,0)),AU23*(1-$C$6-IF(AT23&lt;3,$C$8,0))))&lt;100,$D$9,$E$9)))),ROUND($D23*(1+$C$10),2),FLOOR(IF(AU23&lt;AV23*(1-$C$7),AV23*(1-$C$5-IF(AT23&lt;3,$C$8,0)),MIN(AV23*(1-$C$5-IF(AT23&lt;3,$C$8,0)),AU23*(1-$C$6-IF(AT23&lt;3,$C$8,0)))),IF(IF(AU23&lt;AV23*(1-$C$7),AV23*(1-$C$5-IF(AT23&lt;3,$C$8,0)),MIN(AV23*(1-$C$5-IF(AT23&lt;3,$C$8,0)),AU23*(1-$C$6-IF(AT23&lt;3,$C$8,0))))&lt;10,$C$9,IF(IF(AU23&lt;AV23*(1-$C$7),AV23*(1-$C$5-IF(AT23&lt;3,$C$8,0)),MIN(AV23*(1-$C$5-IF(AT23&lt;3,$C$8,0)),AU23*(1-$C$6-IF(AT23&lt;3,$C$8,0))))&lt;100,$D$9,$E$9)))))</f>
        <v>—</v>
      </c>
      <c r="AZ23" s="62" t="str">
        <f aca="false">IF(AT23=0,"—",FLOOR(AY23*Sources!$G$9,0.1))</f>
        <v>—</v>
      </c>
      <c r="BA23" s="60" t="n">
        <f aca="false">IF(ISNUMBER($D23),$D23,"n/a")</f>
        <v>11.1</v>
      </c>
      <c r="BB23" s="63" t="str">
        <f aca="false">IF(OR(AT23=0,NOT(ISNUMBER($D23))),"—",AY23/$D23-1)</f>
        <v>—</v>
      </c>
      <c r="BC23" s="64" t="str">
        <f aca="false">IF(AT23=0,"—",AY23/AU23-1)</f>
        <v>—</v>
      </c>
      <c r="BD23" s="64" t="str">
        <f aca="false">IF(AT23=0,"—",AY23/AV23-1)</f>
        <v>—</v>
      </c>
      <c r="BE23" s="59" t="n">
        <f aca="false">COUNTIFS(Offers!$B$7:$B$3000,$B23,Offers!$C$7:$C$3000,"Hungary",Offers!$AI$7:$AI$3000,"yes")</f>
        <v>0</v>
      </c>
      <c r="BF23" s="60" t="str">
        <f aca="false">IF(BE23=0,"—",SUMIFS(Review!$I$7:$I$600,Review!$B$7:$B$600,$B23,Review!$C$7:$C$600,"Hungary"))</f>
        <v>—</v>
      </c>
      <c r="BG23" s="60" t="str">
        <f aca="false">IF(BE23=0,"—",SUMIFS(Review!$J$7:$J$600,Review!$B$7:$B$600,$B23,Review!$C$7:$C$600,"Hungary"))</f>
        <v>—</v>
      </c>
      <c r="BH23" s="60" t="str">
        <f aca="false">IF(BE23=0,"—",SUMIFS(Review!$K$7:$K$600,Review!$B$7:$B$600,$B23,Review!$C$7:$C$600,"Hungary"))</f>
        <v>—</v>
      </c>
      <c r="BI23" s="61" t="str">
        <f aca="false">IF(BE23=0,"—",IF(BF23&lt;BG23*(1-$C$7),"median (cheapest is an outlier)",IF(BF23*(1-$C$6)&lt;BG23*(1-$C$5),"undercut cheapest","median")))</f>
        <v>—</v>
      </c>
      <c r="BJ23" s="62" t="str">
        <f aca="false">IF(BE23=0,"—",IF(AND(ISNUMBER($D23),$D23*(1+$C$10)&gt;FLOOR(IF(BF23&lt;BG23*(1-$C$7),BG23*(1-$C$5-IF(BE23&lt;3,$C$8,0)),MIN(BG23*(1-$C$5-IF(BE23&lt;3,$C$8,0)),BF23*(1-$C$6-IF(BE23&lt;3,$C$8,0)))),IF(IF(BF23&lt;BG23*(1-$C$7),BG23*(1-$C$5-IF(BE23&lt;3,$C$8,0)),MIN(BG23*(1-$C$5-IF(BE23&lt;3,$C$8,0)),BF23*(1-$C$6-IF(BE23&lt;3,$C$8,0))))&lt;10,$C$9,IF(IF(BF23&lt;BG23*(1-$C$7),BG23*(1-$C$5-IF(BE23&lt;3,$C$8,0)),MIN(BG23*(1-$C$5-IF(BE23&lt;3,$C$8,0)),BF23*(1-$C$6-IF(BE23&lt;3,$C$8,0))))&lt;100,$D$9,$E$9)))),ROUND($D23*(1+$C$10),2),FLOOR(IF(BF23&lt;BG23*(1-$C$7),BG23*(1-$C$5-IF(BE23&lt;3,$C$8,0)),MIN(BG23*(1-$C$5-IF(BE23&lt;3,$C$8,0)),BF23*(1-$C$6-IF(BE23&lt;3,$C$8,0)))),IF(IF(BF23&lt;BG23*(1-$C$7),BG23*(1-$C$5-IF(BE23&lt;3,$C$8,0)),MIN(BG23*(1-$C$5-IF(BE23&lt;3,$C$8,0)),BF23*(1-$C$6-IF(BE23&lt;3,$C$8,0))))&lt;10,$C$9,IF(IF(BF23&lt;BG23*(1-$C$7),BG23*(1-$C$5-IF(BE23&lt;3,$C$8,0)),MIN(BG23*(1-$C$5-IF(BE23&lt;3,$C$8,0)),BF23*(1-$C$6-IF(BE23&lt;3,$C$8,0))))&lt;100,$D$9,$E$9)))))</f>
        <v>—</v>
      </c>
      <c r="BK23" s="65" t="str">
        <f aca="false">IF(BE23=0,"—",FLOOR(BJ23*Sources!$G$8,10))</f>
        <v>—</v>
      </c>
      <c r="BL23" s="60" t="n">
        <f aca="false">IF(ISNUMBER($D23),$D23,"n/a")</f>
        <v>11.1</v>
      </c>
      <c r="BM23" s="63" t="str">
        <f aca="false">IF(OR(BE23=0,NOT(ISNUMBER($D23))),"—",BJ23/$D23-1)</f>
        <v>—</v>
      </c>
      <c r="BN23" s="64" t="str">
        <f aca="false">IF(BE23=0,"—",BJ23/BF23-1)</f>
        <v>—</v>
      </c>
      <c r="BO23" s="64" t="str">
        <f aca="false">IF(BE23=0,"—",BJ23/BG23-1)</f>
        <v>—</v>
      </c>
    </row>
    <row r="24" customFormat="false" ht="15" hidden="false" customHeight="true" outlineLevel="0" collapsed="false">
      <c r="B24" s="66" t="s">
        <v>31</v>
      </c>
      <c r="C24" s="66" t="s">
        <v>149</v>
      </c>
      <c r="D24" s="58" t="n">
        <v>14.1</v>
      </c>
      <c r="E24" s="67" t="n">
        <f aca="false">COUNTIFS(Offers!$B$7:$B$3000,$B24,Offers!$C$7:$C$3000,"Austria",Offers!$AI$7:$AI$3000,"yes")</f>
        <v>7</v>
      </c>
      <c r="F24" s="68" t="n">
        <f aca="false">IF(E24=0,"—",SUMIFS(Review!$I$7:$I$600,Review!$B$7:$B$600,$B24,Review!$C$7:$C$600,"Austria"))</f>
        <v>27.9</v>
      </c>
      <c r="G24" s="68" t="n">
        <f aca="false">IF(E24=0,"—",SUMIFS(Review!$J$7:$J$600,Review!$B$7:$B$600,$B24,Review!$C$7:$C$600,"Austria"))</f>
        <v>33.5</v>
      </c>
      <c r="H24" s="68" t="n">
        <f aca="false">IF(E24=0,"—",SUMIFS(Review!$K$7:$K$600,Review!$B$7:$B$600,$B24,Review!$C$7:$C$600,"Austria"))</f>
        <v>49.39</v>
      </c>
      <c r="I24" s="69" t="str">
        <f aca="false">IF(E24=0,"—",IF(F24&lt;G24*(1-$C$7),"median (cheapest is an outlier)",IF(F24*(1-$C$6)&lt;G24*(1-$C$5),"undercut cheapest","median")))</f>
        <v>median</v>
      </c>
      <c r="J24" s="70" t="n">
        <f aca="false">IF(E24=0,"—",IF(AND(ISNUMBER($D24),$D24*(1+$C$10)&gt;FLOOR(IF(F24&lt;G24*(1-$C$7),G24*(1-$C$5-IF(E24&lt;3,$C$8,0)),MIN(G24*(1-$C$5-IF(E24&lt;3,$C$8,0)),F24*(1-$C$6-IF(E24&lt;3,$C$8,0)))),IF(IF(F24&lt;G24*(1-$C$7),G24*(1-$C$5-IF(E24&lt;3,$C$8,0)),MIN(G24*(1-$C$5-IF(E24&lt;3,$C$8,0)),F24*(1-$C$6-IF(E24&lt;3,$C$8,0))))&lt;10,$C$9,IF(IF(F24&lt;G24*(1-$C$7),G24*(1-$C$5-IF(E24&lt;3,$C$8,0)),MIN(G24*(1-$C$5-IF(E24&lt;3,$C$8,0)),F24*(1-$C$6-IF(E24&lt;3,$C$8,0))))&lt;100,$D$9,$E$9)))),ROUND($D24*(1+$C$10),2),FLOOR(IF(F24&lt;G24*(1-$C$7),G24*(1-$C$5-IF(E24&lt;3,$C$8,0)),MIN(G24*(1-$C$5-IF(E24&lt;3,$C$8,0)),F24*(1-$C$6-IF(E24&lt;3,$C$8,0)))),IF(IF(F24&lt;G24*(1-$C$7),G24*(1-$C$5-IF(E24&lt;3,$C$8,0)),MIN(G24*(1-$C$5-IF(E24&lt;3,$C$8,0)),F24*(1-$C$6-IF(E24&lt;3,$C$8,0))))&lt;10,$C$9,IF(IF(F24&lt;G24*(1-$C$7),G24*(1-$C$5-IF(E24&lt;3,$C$8,0)),MIN(G24*(1-$C$5-IF(E24&lt;3,$C$8,0)),F24*(1-$C$6-IF(E24&lt;3,$C$8,0))))&lt;100,$D$9,$E$9)))))</f>
        <v>25.1</v>
      </c>
      <c r="K24" s="68" t="n">
        <f aca="false">IF(ISNUMBER($D24),$D24,"n/a")</f>
        <v>14.1</v>
      </c>
      <c r="L24" s="71" t="n">
        <f aca="false">IF(OR(E24=0,NOT(ISNUMBER($D24))),"—",J24/$D24-1)</f>
        <v>0.780141843971631</v>
      </c>
      <c r="M24" s="72" t="n">
        <f aca="false">IF(E24=0,"—",J24/F24-1)</f>
        <v>-0.100358422939068</v>
      </c>
      <c r="N24" s="72" t="n">
        <f aca="false">IF(E24=0,"—",J24/G24-1)</f>
        <v>-0.250746268656716</v>
      </c>
      <c r="O24" s="67" t="n">
        <f aca="false">COUNTIFS(Offers!$B$7:$B$3000,$B24,Offers!$C$7:$C$3000,"Germany",Offers!$AI$7:$AI$3000,"yes")</f>
        <v>10</v>
      </c>
      <c r="P24" s="68" t="n">
        <f aca="false">IF(O24=0,"—",SUMIFS(Review!$I$7:$I$600,Review!$B$7:$B$600,$B24,Review!$C$7:$C$600,"Germany"))</f>
        <v>28.49</v>
      </c>
      <c r="Q24" s="68" t="n">
        <f aca="false">IF(O24=0,"—",SUMIFS(Review!$J$7:$J$600,Review!$B$7:$B$600,$B24,Review!$C$7:$C$600,"Germany"))</f>
        <v>34.275</v>
      </c>
      <c r="R24" s="68" t="n">
        <f aca="false">IF(O24=0,"—",SUMIFS(Review!$K$7:$K$600,Review!$B$7:$B$600,$B24,Review!$C$7:$C$600,"Germany"))</f>
        <v>57.99</v>
      </c>
      <c r="S24" s="69" t="str">
        <f aca="false">IF(O24=0,"—",IF(P24&lt;Q24*(1-$C$7),"median (cheapest is an outlier)",IF(P24*(1-$C$6)&lt;Q24*(1-$C$5),"undercut cheapest","median")))</f>
        <v>median</v>
      </c>
      <c r="T24" s="70" t="n">
        <f aca="false">IF(O24=0,"—",IF(AND(ISNUMBER($D24),$D24*(1+$C$10)&gt;FLOOR(IF(P24&lt;Q24*(1-$C$7),Q24*(1-$C$5-IF(O24&lt;3,$C$8,0)),MIN(Q24*(1-$C$5-IF(O24&lt;3,$C$8,0)),P24*(1-$C$6-IF(O24&lt;3,$C$8,0)))),IF(IF(P24&lt;Q24*(1-$C$7),Q24*(1-$C$5-IF(O24&lt;3,$C$8,0)),MIN(Q24*(1-$C$5-IF(O24&lt;3,$C$8,0)),P24*(1-$C$6-IF(O24&lt;3,$C$8,0))))&lt;10,$C$9,IF(IF(P24&lt;Q24*(1-$C$7),Q24*(1-$C$5-IF(O24&lt;3,$C$8,0)),MIN(Q24*(1-$C$5-IF(O24&lt;3,$C$8,0)),P24*(1-$C$6-IF(O24&lt;3,$C$8,0))))&lt;100,$D$9,$E$9)))),ROUND($D24*(1+$C$10),2),FLOOR(IF(P24&lt;Q24*(1-$C$7),Q24*(1-$C$5-IF(O24&lt;3,$C$8,0)),MIN(Q24*(1-$C$5-IF(O24&lt;3,$C$8,0)),P24*(1-$C$6-IF(O24&lt;3,$C$8,0)))),IF(IF(P24&lt;Q24*(1-$C$7),Q24*(1-$C$5-IF(O24&lt;3,$C$8,0)),MIN(Q24*(1-$C$5-IF(O24&lt;3,$C$8,0)),P24*(1-$C$6-IF(O24&lt;3,$C$8,0))))&lt;10,$C$9,IF(IF(P24&lt;Q24*(1-$C$7),Q24*(1-$C$5-IF(O24&lt;3,$C$8,0)),MIN(Q24*(1-$C$5-IF(O24&lt;3,$C$8,0)),P24*(1-$C$6-IF(O24&lt;3,$C$8,0))))&lt;100,$D$9,$E$9)))))</f>
        <v>25.7</v>
      </c>
      <c r="U24" s="68" t="n">
        <f aca="false">IF(ISNUMBER($D24),$D24,"n/a")</f>
        <v>14.1</v>
      </c>
      <c r="V24" s="71" t="n">
        <f aca="false">IF(OR(O24=0,NOT(ISNUMBER($D24))),"—",T24/$D24-1)</f>
        <v>0.822695035460993</v>
      </c>
      <c r="W24" s="72" t="n">
        <f aca="false">IF(O24=0,"—",T24/P24-1)</f>
        <v>-0.0979290979290978</v>
      </c>
      <c r="X24" s="72" t="n">
        <f aca="false">IF(O24=0,"—",T24/Q24-1)</f>
        <v>-0.25018234865062</v>
      </c>
      <c r="Y24" s="67" t="n">
        <f aca="false">COUNTIFS(Offers!$B$7:$B$3000,$B24,Offers!$C$7:$C$3000,"Czech",Offers!$AI$7:$AI$3000,"yes")</f>
        <v>6</v>
      </c>
      <c r="Z24" s="68" t="n">
        <f aca="false">IF(Y24=0,"—",SUMIFS(Review!$I$7:$I$600,Review!$B$7:$B$600,$B24,Review!$C$7:$C$600,"Czech"))</f>
        <v>23.501844</v>
      </c>
      <c r="AA24" s="68" t="n">
        <f aca="false">IF(Y24=0,"—",SUMIFS(Review!$J$7:$J$600,Review!$B$7:$B$600,$B24,Review!$C$7:$C$600,"Czech"))</f>
        <v>40.5975925</v>
      </c>
      <c r="AB24" s="68" t="n">
        <f aca="false">IF(Y24=0,"—",SUMIFS(Review!$K$7:$K$600,Review!$B$7:$B$600,$B24,Review!$C$7:$C$600,"Czech"))</f>
        <v>75.289426</v>
      </c>
      <c r="AC24" s="69" t="str">
        <f aca="false">IF(Y24=0,"—",IF(Z24&lt;AA24*(1-$C$7),"median (cheapest is an outlier)",IF(Z24*(1-$C$6)&lt;AA24*(1-$C$5),"undercut cheapest","median")))</f>
        <v>median (cheapest is an outlier)</v>
      </c>
      <c r="AD24" s="70" t="n">
        <f aca="false">IF(Y24=0,"—",IF(AND(ISNUMBER($D24),$D24*(1+$C$10)&gt;FLOOR(IF(Z24&lt;AA24*(1-$C$7),AA24*(1-$C$5-IF(Y24&lt;3,$C$8,0)),MIN(AA24*(1-$C$5-IF(Y24&lt;3,$C$8,0)),Z24*(1-$C$6-IF(Y24&lt;3,$C$8,0)))),IF(IF(Z24&lt;AA24*(1-$C$7),AA24*(1-$C$5-IF(Y24&lt;3,$C$8,0)),MIN(AA24*(1-$C$5-IF(Y24&lt;3,$C$8,0)),Z24*(1-$C$6-IF(Y24&lt;3,$C$8,0))))&lt;10,$C$9,IF(IF(Z24&lt;AA24*(1-$C$7),AA24*(1-$C$5-IF(Y24&lt;3,$C$8,0)),MIN(AA24*(1-$C$5-IF(Y24&lt;3,$C$8,0)),Z24*(1-$C$6-IF(Y24&lt;3,$C$8,0))))&lt;100,$D$9,$E$9)))),ROUND($D24*(1+$C$10),2),FLOOR(IF(Z24&lt;AA24*(1-$C$7),AA24*(1-$C$5-IF(Y24&lt;3,$C$8,0)),MIN(AA24*(1-$C$5-IF(Y24&lt;3,$C$8,0)),Z24*(1-$C$6-IF(Y24&lt;3,$C$8,0)))),IF(IF(Z24&lt;AA24*(1-$C$7),AA24*(1-$C$5-IF(Y24&lt;3,$C$8,0)),MIN(AA24*(1-$C$5-IF(Y24&lt;3,$C$8,0)),Z24*(1-$C$6-IF(Y24&lt;3,$C$8,0))))&lt;10,$C$9,IF(IF(Z24&lt;AA24*(1-$C$7),AA24*(1-$C$5-IF(Y24&lt;3,$C$8,0)),MIN(AA24*(1-$C$5-IF(Y24&lt;3,$C$8,0)),Z24*(1-$C$6-IF(Y24&lt;3,$C$8,0))))&lt;100,$D$9,$E$9)))))</f>
        <v>30.4</v>
      </c>
      <c r="AE24" s="73" t="n">
        <f aca="false">IF(Y24=0,"—",FLOOR(AD24*Sources!$G$10,1))</f>
        <v>742</v>
      </c>
      <c r="AF24" s="68" t="n">
        <f aca="false">IF(ISNUMBER($D24),$D24,"n/a")</f>
        <v>14.1</v>
      </c>
      <c r="AG24" s="71" t="n">
        <f aca="false">IF(OR(Y24=0,NOT(ISNUMBER($D24))),"—",AD24/$D24-1)</f>
        <v>1.15602836879433</v>
      </c>
      <c r="AH24" s="72" t="n">
        <f aca="false">IF(Y24=0,"—",AD24/Z24-1)</f>
        <v>0.293515521590561</v>
      </c>
      <c r="AI24" s="72" t="n">
        <f aca="false">IF(Y24=0,"—",AD24/AA24-1)</f>
        <v>-0.251187123965541</v>
      </c>
      <c r="AJ24" s="67" t="n">
        <f aca="false">COUNTIFS(Offers!$B$7:$B$3000,$B24,Offers!$C$7:$C$3000,"Slovakia",Offers!$AI$7:$AI$3000,"yes")</f>
        <v>1</v>
      </c>
      <c r="AK24" s="68" t="n">
        <f aca="false">IF(AJ24=0,"—",SUMIFS(Review!$I$7:$I$600,Review!$B$7:$B$600,$B24,Review!$C$7:$C$600,"Slovakia"))</f>
        <v>32.85</v>
      </c>
      <c r="AL24" s="68" t="n">
        <f aca="false">IF(AJ24=0,"—",SUMIFS(Review!$J$7:$J$600,Review!$B$7:$B$600,$B24,Review!$C$7:$C$600,"Slovakia"))</f>
        <v>32.85</v>
      </c>
      <c r="AM24" s="68" t="n">
        <f aca="false">IF(AJ24=0,"—",SUMIFS(Review!$K$7:$K$600,Review!$B$7:$B$600,$B24,Review!$C$7:$C$600,"Slovakia"))</f>
        <v>32.85</v>
      </c>
      <c r="AN24" s="69" t="str">
        <f aca="false">IF(AJ24=0,"—",IF(AK24&lt;AL24*(1-$C$7),"median (cheapest is an outlier)",IF(AK24*(1-$C$6)&lt;AL24*(1-$C$5),"undercut cheapest","median")))</f>
        <v>median</v>
      </c>
      <c r="AO24" s="70" t="n">
        <f aca="false">IF(AJ24=0,"—",IF(AND(ISNUMBER($D24),$D24*(1+$C$10)&gt;FLOOR(IF(AK24&lt;AL24*(1-$C$7),AL24*(1-$C$5-IF(AJ24&lt;3,$C$8,0)),MIN(AL24*(1-$C$5-IF(AJ24&lt;3,$C$8,0)),AK24*(1-$C$6-IF(AJ24&lt;3,$C$8,0)))),IF(IF(AK24&lt;AL24*(1-$C$7),AL24*(1-$C$5-IF(AJ24&lt;3,$C$8,0)),MIN(AL24*(1-$C$5-IF(AJ24&lt;3,$C$8,0)),AK24*(1-$C$6-IF(AJ24&lt;3,$C$8,0))))&lt;10,$C$9,IF(IF(AK24&lt;AL24*(1-$C$7),AL24*(1-$C$5-IF(AJ24&lt;3,$C$8,0)),MIN(AL24*(1-$C$5-IF(AJ24&lt;3,$C$8,0)),AK24*(1-$C$6-IF(AJ24&lt;3,$C$8,0))))&lt;100,$D$9,$E$9)))),ROUND($D24*(1+$C$10),2),FLOOR(IF(AK24&lt;AL24*(1-$C$7),AL24*(1-$C$5-IF(AJ24&lt;3,$C$8,0)),MIN(AL24*(1-$C$5-IF(AJ24&lt;3,$C$8,0)),AK24*(1-$C$6-IF(AJ24&lt;3,$C$8,0)))),IF(IF(AK24&lt;AL24*(1-$C$7),AL24*(1-$C$5-IF(AJ24&lt;3,$C$8,0)),MIN(AL24*(1-$C$5-IF(AJ24&lt;3,$C$8,0)),AK24*(1-$C$6-IF(AJ24&lt;3,$C$8,0))))&lt;10,$C$9,IF(IF(AK24&lt;AL24*(1-$C$7),AL24*(1-$C$5-IF(AJ24&lt;3,$C$8,0)),MIN(AL24*(1-$C$5-IF(AJ24&lt;3,$C$8,0)),AK24*(1-$C$6-IF(AJ24&lt;3,$C$8,0))))&lt;100,$D$9,$E$9)))))</f>
        <v>22.9</v>
      </c>
      <c r="AP24" s="68" t="n">
        <f aca="false">IF(ISNUMBER($D24),$D24,"n/a")</f>
        <v>14.1</v>
      </c>
      <c r="AQ24" s="71" t="n">
        <f aca="false">IF(OR(AJ24=0,NOT(ISNUMBER($D24))),"—",AO24/$D24-1)</f>
        <v>0.624113475177305</v>
      </c>
      <c r="AR24" s="72" t="n">
        <f aca="false">IF(AJ24=0,"—",AO24/AK24-1)</f>
        <v>-0.302891933028919</v>
      </c>
      <c r="AS24" s="72" t="n">
        <f aca="false">IF(AJ24=0,"—",AO24/AL24-1)</f>
        <v>-0.302891933028919</v>
      </c>
      <c r="AT24" s="67" t="n">
        <f aca="false">COUNTIFS(Offers!$B$7:$B$3000,$B24,Offers!$C$7:$C$3000,"Romania",Offers!$AI$7:$AI$3000,"yes")</f>
        <v>0</v>
      </c>
      <c r="AU24" s="68" t="str">
        <f aca="false">IF(AT24=0,"—",SUMIFS(Review!$I$7:$I$600,Review!$B$7:$B$600,$B24,Review!$C$7:$C$600,"Romania"))</f>
        <v>—</v>
      </c>
      <c r="AV24" s="68" t="str">
        <f aca="false">IF(AT24=0,"—",SUMIFS(Review!$J$7:$J$600,Review!$B$7:$B$600,$B24,Review!$C$7:$C$600,"Romania"))</f>
        <v>—</v>
      </c>
      <c r="AW24" s="68" t="str">
        <f aca="false">IF(AT24=0,"—",SUMIFS(Review!$K$7:$K$600,Review!$B$7:$B$600,$B24,Review!$C$7:$C$600,"Romania"))</f>
        <v>—</v>
      </c>
      <c r="AX24" s="69" t="str">
        <f aca="false">IF(AT24=0,"—",IF(AU24&lt;AV24*(1-$C$7),"median (cheapest is an outlier)",IF(AU24*(1-$C$6)&lt;AV24*(1-$C$5),"undercut cheapest","median")))</f>
        <v>—</v>
      </c>
      <c r="AY24" s="70" t="str">
        <f aca="false">IF(AT24=0,"—",IF(AND(ISNUMBER($D24),$D24*(1+$C$10)&gt;FLOOR(IF(AU24&lt;AV24*(1-$C$7),AV24*(1-$C$5-IF(AT24&lt;3,$C$8,0)),MIN(AV24*(1-$C$5-IF(AT24&lt;3,$C$8,0)),AU24*(1-$C$6-IF(AT24&lt;3,$C$8,0)))),IF(IF(AU24&lt;AV24*(1-$C$7),AV24*(1-$C$5-IF(AT24&lt;3,$C$8,0)),MIN(AV24*(1-$C$5-IF(AT24&lt;3,$C$8,0)),AU24*(1-$C$6-IF(AT24&lt;3,$C$8,0))))&lt;10,$C$9,IF(IF(AU24&lt;AV24*(1-$C$7),AV24*(1-$C$5-IF(AT24&lt;3,$C$8,0)),MIN(AV24*(1-$C$5-IF(AT24&lt;3,$C$8,0)),AU24*(1-$C$6-IF(AT24&lt;3,$C$8,0))))&lt;100,$D$9,$E$9)))),ROUND($D24*(1+$C$10),2),FLOOR(IF(AU24&lt;AV24*(1-$C$7),AV24*(1-$C$5-IF(AT24&lt;3,$C$8,0)),MIN(AV24*(1-$C$5-IF(AT24&lt;3,$C$8,0)),AU24*(1-$C$6-IF(AT24&lt;3,$C$8,0)))),IF(IF(AU24&lt;AV24*(1-$C$7),AV24*(1-$C$5-IF(AT24&lt;3,$C$8,0)),MIN(AV24*(1-$C$5-IF(AT24&lt;3,$C$8,0)),AU24*(1-$C$6-IF(AT24&lt;3,$C$8,0))))&lt;10,$C$9,IF(IF(AU24&lt;AV24*(1-$C$7),AV24*(1-$C$5-IF(AT24&lt;3,$C$8,0)),MIN(AV24*(1-$C$5-IF(AT24&lt;3,$C$8,0)),AU24*(1-$C$6-IF(AT24&lt;3,$C$8,0))))&lt;100,$D$9,$E$9)))))</f>
        <v>—</v>
      </c>
      <c r="AZ24" s="70" t="str">
        <f aca="false">IF(AT24=0,"—",FLOOR(AY24*Sources!$G$9,0.1))</f>
        <v>—</v>
      </c>
      <c r="BA24" s="68" t="n">
        <f aca="false">IF(ISNUMBER($D24),$D24,"n/a")</f>
        <v>14.1</v>
      </c>
      <c r="BB24" s="71" t="str">
        <f aca="false">IF(OR(AT24=0,NOT(ISNUMBER($D24))),"—",AY24/$D24-1)</f>
        <v>—</v>
      </c>
      <c r="BC24" s="72" t="str">
        <f aca="false">IF(AT24=0,"—",AY24/AU24-1)</f>
        <v>—</v>
      </c>
      <c r="BD24" s="72" t="str">
        <f aca="false">IF(AT24=0,"—",AY24/AV24-1)</f>
        <v>—</v>
      </c>
      <c r="BE24" s="67" t="n">
        <f aca="false">COUNTIFS(Offers!$B$7:$B$3000,$B24,Offers!$C$7:$C$3000,"Hungary",Offers!$AI$7:$AI$3000,"yes")</f>
        <v>0</v>
      </c>
      <c r="BF24" s="68" t="str">
        <f aca="false">IF(BE24=0,"—",SUMIFS(Review!$I$7:$I$600,Review!$B$7:$B$600,$B24,Review!$C$7:$C$600,"Hungary"))</f>
        <v>—</v>
      </c>
      <c r="BG24" s="68" t="str">
        <f aca="false">IF(BE24=0,"—",SUMIFS(Review!$J$7:$J$600,Review!$B$7:$B$600,$B24,Review!$C$7:$C$600,"Hungary"))</f>
        <v>—</v>
      </c>
      <c r="BH24" s="68" t="str">
        <f aca="false">IF(BE24=0,"—",SUMIFS(Review!$K$7:$K$600,Review!$B$7:$B$600,$B24,Review!$C$7:$C$600,"Hungary"))</f>
        <v>—</v>
      </c>
      <c r="BI24" s="69" t="str">
        <f aca="false">IF(BE24=0,"—",IF(BF24&lt;BG24*(1-$C$7),"median (cheapest is an outlier)",IF(BF24*(1-$C$6)&lt;BG24*(1-$C$5),"undercut cheapest","median")))</f>
        <v>—</v>
      </c>
      <c r="BJ24" s="70" t="str">
        <f aca="false">IF(BE24=0,"—",IF(AND(ISNUMBER($D24),$D24*(1+$C$10)&gt;FLOOR(IF(BF24&lt;BG24*(1-$C$7),BG24*(1-$C$5-IF(BE24&lt;3,$C$8,0)),MIN(BG24*(1-$C$5-IF(BE24&lt;3,$C$8,0)),BF24*(1-$C$6-IF(BE24&lt;3,$C$8,0)))),IF(IF(BF24&lt;BG24*(1-$C$7),BG24*(1-$C$5-IF(BE24&lt;3,$C$8,0)),MIN(BG24*(1-$C$5-IF(BE24&lt;3,$C$8,0)),BF24*(1-$C$6-IF(BE24&lt;3,$C$8,0))))&lt;10,$C$9,IF(IF(BF24&lt;BG24*(1-$C$7),BG24*(1-$C$5-IF(BE24&lt;3,$C$8,0)),MIN(BG24*(1-$C$5-IF(BE24&lt;3,$C$8,0)),BF24*(1-$C$6-IF(BE24&lt;3,$C$8,0))))&lt;100,$D$9,$E$9)))),ROUND($D24*(1+$C$10),2),FLOOR(IF(BF24&lt;BG24*(1-$C$7),BG24*(1-$C$5-IF(BE24&lt;3,$C$8,0)),MIN(BG24*(1-$C$5-IF(BE24&lt;3,$C$8,0)),BF24*(1-$C$6-IF(BE24&lt;3,$C$8,0)))),IF(IF(BF24&lt;BG24*(1-$C$7),BG24*(1-$C$5-IF(BE24&lt;3,$C$8,0)),MIN(BG24*(1-$C$5-IF(BE24&lt;3,$C$8,0)),BF24*(1-$C$6-IF(BE24&lt;3,$C$8,0))))&lt;10,$C$9,IF(IF(BF24&lt;BG24*(1-$C$7),BG24*(1-$C$5-IF(BE24&lt;3,$C$8,0)),MIN(BG24*(1-$C$5-IF(BE24&lt;3,$C$8,0)),BF24*(1-$C$6-IF(BE24&lt;3,$C$8,0))))&lt;100,$D$9,$E$9)))))</f>
        <v>—</v>
      </c>
      <c r="BK24" s="73" t="str">
        <f aca="false">IF(BE24=0,"—",FLOOR(BJ24*Sources!$G$8,10))</f>
        <v>—</v>
      </c>
      <c r="BL24" s="68" t="n">
        <f aca="false">IF(ISNUMBER($D24),$D24,"n/a")</f>
        <v>14.1</v>
      </c>
      <c r="BM24" s="71" t="str">
        <f aca="false">IF(OR(BE24=0,NOT(ISNUMBER($D24))),"—",BJ24/$D24-1)</f>
        <v>—</v>
      </c>
      <c r="BN24" s="72" t="str">
        <f aca="false">IF(BE24=0,"—",BJ24/BF24-1)</f>
        <v>—</v>
      </c>
      <c r="BO24" s="72" t="str">
        <f aca="false">IF(BE24=0,"—",BJ24/BG24-1)</f>
        <v>—</v>
      </c>
    </row>
    <row r="25" customFormat="false" ht="15" hidden="false" customHeight="true" outlineLevel="0" collapsed="false">
      <c r="B25" s="1" t="s">
        <v>33</v>
      </c>
      <c r="C25" s="1" t="s">
        <v>150</v>
      </c>
      <c r="D25" s="58" t="n">
        <v>1.75</v>
      </c>
      <c r="E25" s="59" t="n">
        <f aca="false">COUNTIFS(Offers!$B$7:$B$3000,$B25,Offers!$C$7:$C$3000,"Austria",Offers!$AI$7:$AI$3000,"yes")</f>
        <v>4</v>
      </c>
      <c r="F25" s="60" t="n">
        <f aca="false">IF(E25=0,"—",SUMIFS(Review!$I$7:$I$600,Review!$B$7:$B$600,$B25,Review!$C$7:$C$600,"Austria"))</f>
        <v>7.41</v>
      </c>
      <c r="G25" s="60" t="n">
        <f aca="false">IF(E25=0,"—",SUMIFS(Review!$J$7:$J$600,Review!$B$7:$B$600,$B25,Review!$C$7:$C$600,"Austria"))</f>
        <v>8.12</v>
      </c>
      <c r="H25" s="60" t="n">
        <f aca="false">IF(E25=0,"—",SUMIFS(Review!$K$7:$K$600,Review!$B$7:$B$600,$B25,Review!$C$7:$C$600,"Austria"))</f>
        <v>15.76</v>
      </c>
      <c r="I25" s="61" t="str">
        <f aca="false">IF(E25=0,"—",IF(F25&lt;G25*(1-$C$7),"median (cheapest is an outlier)",IF(F25*(1-$C$6)&lt;G25*(1-$C$5),"undercut cheapest","median")))</f>
        <v>median</v>
      </c>
      <c r="J25" s="62" t="n">
        <f aca="false">IF(E25=0,"—",IF(AND(ISNUMBER($D25),$D25*(1+$C$10)&gt;FLOOR(IF(F25&lt;G25*(1-$C$7),G25*(1-$C$5-IF(E25&lt;3,$C$8,0)),MIN(G25*(1-$C$5-IF(E25&lt;3,$C$8,0)),F25*(1-$C$6-IF(E25&lt;3,$C$8,0)))),IF(IF(F25&lt;G25*(1-$C$7),G25*(1-$C$5-IF(E25&lt;3,$C$8,0)),MIN(G25*(1-$C$5-IF(E25&lt;3,$C$8,0)),F25*(1-$C$6-IF(E25&lt;3,$C$8,0))))&lt;10,$C$9,IF(IF(F25&lt;G25*(1-$C$7),G25*(1-$C$5-IF(E25&lt;3,$C$8,0)),MIN(G25*(1-$C$5-IF(E25&lt;3,$C$8,0)),F25*(1-$C$6-IF(E25&lt;3,$C$8,0))))&lt;100,$D$9,$E$9)))),ROUND($D25*(1+$C$10),2),FLOOR(IF(F25&lt;G25*(1-$C$7),G25*(1-$C$5-IF(E25&lt;3,$C$8,0)),MIN(G25*(1-$C$5-IF(E25&lt;3,$C$8,0)),F25*(1-$C$6-IF(E25&lt;3,$C$8,0)))),IF(IF(F25&lt;G25*(1-$C$7),G25*(1-$C$5-IF(E25&lt;3,$C$8,0)),MIN(G25*(1-$C$5-IF(E25&lt;3,$C$8,0)),F25*(1-$C$6-IF(E25&lt;3,$C$8,0))))&lt;10,$C$9,IF(IF(F25&lt;G25*(1-$C$7),G25*(1-$C$5-IF(E25&lt;3,$C$8,0)),MIN(G25*(1-$C$5-IF(E25&lt;3,$C$8,0)),F25*(1-$C$6-IF(E25&lt;3,$C$8,0))))&lt;100,$D$9,$E$9)))))</f>
        <v>6.05</v>
      </c>
      <c r="K25" s="60" t="n">
        <f aca="false">IF(ISNUMBER($D25),$D25,"n/a")</f>
        <v>1.75</v>
      </c>
      <c r="L25" s="63" t="n">
        <f aca="false">IF(OR(E25=0,NOT(ISNUMBER($D25))),"—",J25/$D25-1)</f>
        <v>2.45714285714286</v>
      </c>
      <c r="M25" s="64" t="n">
        <f aca="false">IF(E25=0,"—",J25/F25-1)</f>
        <v>-0.183535762483131</v>
      </c>
      <c r="N25" s="64" t="n">
        <f aca="false">IF(E25=0,"—",J25/G25-1)</f>
        <v>-0.254926108374384</v>
      </c>
      <c r="O25" s="59" t="n">
        <f aca="false">COUNTIFS(Offers!$B$7:$B$3000,$B25,Offers!$C$7:$C$3000,"Germany",Offers!$AI$7:$AI$3000,"yes")</f>
        <v>5</v>
      </c>
      <c r="P25" s="60" t="n">
        <f aca="false">IF(O25=0,"—",SUMIFS(Review!$I$7:$I$600,Review!$B$7:$B$600,$B25,Review!$C$7:$C$600,"Germany"))</f>
        <v>4.89</v>
      </c>
      <c r="Q25" s="60" t="n">
        <f aca="false">IF(O25=0,"—",SUMIFS(Review!$J$7:$J$600,Review!$B$7:$B$600,$B25,Review!$C$7:$C$600,"Germany"))</f>
        <v>7.96</v>
      </c>
      <c r="R25" s="60" t="n">
        <f aca="false">IF(O25=0,"—",SUMIFS(Review!$K$7:$K$600,Review!$B$7:$B$600,$B25,Review!$C$7:$C$600,"Germany"))</f>
        <v>15.76</v>
      </c>
      <c r="S25" s="61" t="str">
        <f aca="false">IF(O25=0,"—",IF(P25&lt;Q25*(1-$C$7),"median (cheapest is an outlier)",IF(P25*(1-$C$6)&lt;Q25*(1-$C$5),"undercut cheapest","median")))</f>
        <v>median (cheapest is an outlier)</v>
      </c>
      <c r="T25" s="62" t="n">
        <f aca="false">IF(O25=0,"—",IF(AND(ISNUMBER($D25),$D25*(1+$C$10)&gt;FLOOR(IF(P25&lt;Q25*(1-$C$7),Q25*(1-$C$5-IF(O25&lt;3,$C$8,0)),MIN(Q25*(1-$C$5-IF(O25&lt;3,$C$8,0)),P25*(1-$C$6-IF(O25&lt;3,$C$8,0)))),IF(IF(P25&lt;Q25*(1-$C$7),Q25*(1-$C$5-IF(O25&lt;3,$C$8,0)),MIN(Q25*(1-$C$5-IF(O25&lt;3,$C$8,0)),P25*(1-$C$6-IF(O25&lt;3,$C$8,0))))&lt;10,$C$9,IF(IF(P25&lt;Q25*(1-$C$7),Q25*(1-$C$5-IF(O25&lt;3,$C$8,0)),MIN(Q25*(1-$C$5-IF(O25&lt;3,$C$8,0)),P25*(1-$C$6-IF(O25&lt;3,$C$8,0))))&lt;100,$D$9,$E$9)))),ROUND($D25*(1+$C$10),2),FLOOR(IF(P25&lt;Q25*(1-$C$7),Q25*(1-$C$5-IF(O25&lt;3,$C$8,0)),MIN(Q25*(1-$C$5-IF(O25&lt;3,$C$8,0)),P25*(1-$C$6-IF(O25&lt;3,$C$8,0)))),IF(IF(P25&lt;Q25*(1-$C$7),Q25*(1-$C$5-IF(O25&lt;3,$C$8,0)),MIN(Q25*(1-$C$5-IF(O25&lt;3,$C$8,0)),P25*(1-$C$6-IF(O25&lt;3,$C$8,0))))&lt;10,$C$9,IF(IF(P25&lt;Q25*(1-$C$7),Q25*(1-$C$5-IF(O25&lt;3,$C$8,0)),MIN(Q25*(1-$C$5-IF(O25&lt;3,$C$8,0)),P25*(1-$C$6-IF(O25&lt;3,$C$8,0))))&lt;100,$D$9,$E$9)))))</f>
        <v>5.95</v>
      </c>
      <c r="U25" s="60" t="n">
        <f aca="false">IF(ISNUMBER($D25),$D25,"n/a")</f>
        <v>1.75</v>
      </c>
      <c r="V25" s="63" t="n">
        <f aca="false">IF(OR(O25=0,NOT(ISNUMBER($D25))),"—",T25/$D25-1)</f>
        <v>2.4</v>
      </c>
      <c r="W25" s="64" t="n">
        <f aca="false">IF(O25=0,"—",T25/P25-1)</f>
        <v>0.216768916155419</v>
      </c>
      <c r="X25" s="64" t="n">
        <f aca="false">IF(O25=0,"—",T25/Q25-1)</f>
        <v>-0.25251256281407</v>
      </c>
      <c r="Y25" s="59" t="n">
        <f aca="false">COUNTIFS(Offers!$B$7:$B$3000,$B25,Offers!$C$7:$C$3000,"Czech",Offers!$AI$7:$AI$3000,"yes")</f>
        <v>4</v>
      </c>
      <c r="Z25" s="60" t="n">
        <f aca="false">IF(Y25=0,"—",SUMIFS(Review!$I$7:$I$600,Review!$B$7:$B$600,$B25,Review!$C$7:$C$600,"Czech"))</f>
        <v>3.891316</v>
      </c>
      <c r="AA25" s="60" t="n">
        <f aca="false">IF(Y25=0,"—",SUMIFS(Review!$J$7:$J$600,Review!$B$7:$B$600,$B25,Review!$C$7:$C$600,"Czech"))</f>
        <v>6.35123</v>
      </c>
      <c r="AB25" s="60" t="n">
        <f aca="false">IF(Y25=0,"—",SUMIFS(Review!$K$7:$K$600,Review!$B$7:$B$600,$B25,Review!$C$7:$C$600,"Czech"))</f>
        <v>8.393516</v>
      </c>
      <c r="AC25" s="61" t="str">
        <f aca="false">IF(Y25=0,"—",IF(Z25&lt;AA25*(1-$C$7),"median (cheapest is an outlier)",IF(Z25*(1-$C$6)&lt;AA25*(1-$C$5),"undercut cheapest","median")))</f>
        <v>median (cheapest is an outlier)</v>
      </c>
      <c r="AD25" s="62" t="n">
        <f aca="false">IF(Y25=0,"—",IF(AND(ISNUMBER($D25),$D25*(1+$C$10)&gt;FLOOR(IF(Z25&lt;AA25*(1-$C$7),AA25*(1-$C$5-IF(Y25&lt;3,$C$8,0)),MIN(AA25*(1-$C$5-IF(Y25&lt;3,$C$8,0)),Z25*(1-$C$6-IF(Y25&lt;3,$C$8,0)))),IF(IF(Z25&lt;AA25*(1-$C$7),AA25*(1-$C$5-IF(Y25&lt;3,$C$8,0)),MIN(AA25*(1-$C$5-IF(Y25&lt;3,$C$8,0)),Z25*(1-$C$6-IF(Y25&lt;3,$C$8,0))))&lt;10,$C$9,IF(IF(Z25&lt;AA25*(1-$C$7),AA25*(1-$C$5-IF(Y25&lt;3,$C$8,0)),MIN(AA25*(1-$C$5-IF(Y25&lt;3,$C$8,0)),Z25*(1-$C$6-IF(Y25&lt;3,$C$8,0))))&lt;100,$D$9,$E$9)))),ROUND($D25*(1+$C$10),2),FLOOR(IF(Z25&lt;AA25*(1-$C$7),AA25*(1-$C$5-IF(Y25&lt;3,$C$8,0)),MIN(AA25*(1-$C$5-IF(Y25&lt;3,$C$8,0)),Z25*(1-$C$6-IF(Y25&lt;3,$C$8,0)))),IF(IF(Z25&lt;AA25*(1-$C$7),AA25*(1-$C$5-IF(Y25&lt;3,$C$8,0)),MIN(AA25*(1-$C$5-IF(Y25&lt;3,$C$8,0)),Z25*(1-$C$6-IF(Y25&lt;3,$C$8,0))))&lt;10,$C$9,IF(IF(Z25&lt;AA25*(1-$C$7),AA25*(1-$C$5-IF(Y25&lt;3,$C$8,0)),MIN(AA25*(1-$C$5-IF(Y25&lt;3,$C$8,0)),Z25*(1-$C$6-IF(Y25&lt;3,$C$8,0))))&lt;100,$D$9,$E$9)))))</f>
        <v>4.75</v>
      </c>
      <c r="AE25" s="65" t="n">
        <f aca="false">IF(Y25=0,"—",FLOOR(AD25*Sources!$G$10,1))</f>
        <v>116</v>
      </c>
      <c r="AF25" s="60" t="n">
        <f aca="false">IF(ISNUMBER($D25),$D25,"n/a")</f>
        <v>1.75</v>
      </c>
      <c r="AG25" s="63" t="n">
        <f aca="false">IF(OR(Y25=0,NOT(ISNUMBER($D25))),"—",AD25/$D25-1)</f>
        <v>1.71428571428571</v>
      </c>
      <c r="AH25" s="64" t="n">
        <f aca="false">IF(Y25=0,"—",AD25/Z25-1)</f>
        <v>0.220666735880612</v>
      </c>
      <c r="AI25" s="64" t="n">
        <f aca="false">IF(Y25=0,"—",AD25/AA25-1)</f>
        <v>-0.252113370166094</v>
      </c>
      <c r="AJ25" s="59" t="n">
        <f aca="false">COUNTIFS(Offers!$B$7:$B$3000,$B25,Offers!$C$7:$C$3000,"Slovakia",Offers!$AI$7:$AI$3000,"yes")</f>
        <v>2</v>
      </c>
      <c r="AK25" s="60" t="n">
        <f aca="false">IF(AJ25=0,"—",SUMIFS(Review!$I$7:$I$600,Review!$B$7:$B$600,$B25,Review!$C$7:$C$600,"Slovakia"))</f>
        <v>6.18</v>
      </c>
      <c r="AL25" s="60" t="n">
        <f aca="false">IF(AJ25=0,"—",SUMIFS(Review!$J$7:$J$600,Review!$B$7:$B$600,$B25,Review!$C$7:$C$600,"Slovakia"))</f>
        <v>6.59</v>
      </c>
      <c r="AM25" s="60" t="n">
        <f aca="false">IF(AJ25=0,"—",SUMIFS(Review!$K$7:$K$600,Review!$B$7:$B$600,$B25,Review!$C$7:$C$600,"Slovakia"))</f>
        <v>7</v>
      </c>
      <c r="AN25" s="61" t="str">
        <f aca="false">IF(AJ25=0,"—",IF(AK25&lt;AL25*(1-$C$7),"median (cheapest is an outlier)",IF(AK25*(1-$C$6)&lt;AL25*(1-$C$5),"undercut cheapest","median")))</f>
        <v>median</v>
      </c>
      <c r="AO25" s="62" t="n">
        <f aca="false">IF(AJ25=0,"—",IF(AND(ISNUMBER($D25),$D25*(1+$C$10)&gt;FLOOR(IF(AK25&lt;AL25*(1-$C$7),AL25*(1-$C$5-IF(AJ25&lt;3,$C$8,0)),MIN(AL25*(1-$C$5-IF(AJ25&lt;3,$C$8,0)),AK25*(1-$C$6-IF(AJ25&lt;3,$C$8,0)))),IF(IF(AK25&lt;AL25*(1-$C$7),AL25*(1-$C$5-IF(AJ25&lt;3,$C$8,0)),MIN(AL25*(1-$C$5-IF(AJ25&lt;3,$C$8,0)),AK25*(1-$C$6-IF(AJ25&lt;3,$C$8,0))))&lt;10,$C$9,IF(IF(AK25&lt;AL25*(1-$C$7),AL25*(1-$C$5-IF(AJ25&lt;3,$C$8,0)),MIN(AL25*(1-$C$5-IF(AJ25&lt;3,$C$8,0)),AK25*(1-$C$6-IF(AJ25&lt;3,$C$8,0))))&lt;100,$D$9,$E$9)))),ROUND($D25*(1+$C$10),2),FLOOR(IF(AK25&lt;AL25*(1-$C$7),AL25*(1-$C$5-IF(AJ25&lt;3,$C$8,0)),MIN(AL25*(1-$C$5-IF(AJ25&lt;3,$C$8,0)),AK25*(1-$C$6-IF(AJ25&lt;3,$C$8,0)))),IF(IF(AK25&lt;AL25*(1-$C$7),AL25*(1-$C$5-IF(AJ25&lt;3,$C$8,0)),MIN(AL25*(1-$C$5-IF(AJ25&lt;3,$C$8,0)),AK25*(1-$C$6-IF(AJ25&lt;3,$C$8,0))))&lt;10,$C$9,IF(IF(AK25&lt;AL25*(1-$C$7),AL25*(1-$C$5-IF(AJ25&lt;3,$C$8,0)),MIN(AL25*(1-$C$5-IF(AJ25&lt;3,$C$8,0)),AK25*(1-$C$6-IF(AJ25&lt;3,$C$8,0))))&lt;100,$D$9,$E$9)))))</f>
        <v>4.6</v>
      </c>
      <c r="AP25" s="60" t="n">
        <f aca="false">IF(ISNUMBER($D25),$D25,"n/a")</f>
        <v>1.75</v>
      </c>
      <c r="AQ25" s="63" t="n">
        <f aca="false">IF(OR(AJ25=0,NOT(ISNUMBER($D25))),"—",AO25/$D25-1)</f>
        <v>1.62857142857143</v>
      </c>
      <c r="AR25" s="64" t="n">
        <f aca="false">IF(AJ25=0,"—",AO25/AK25-1)</f>
        <v>-0.255663430420712</v>
      </c>
      <c r="AS25" s="64" t="n">
        <f aca="false">IF(AJ25=0,"—",AO25/AL25-1)</f>
        <v>-0.301972685887709</v>
      </c>
      <c r="AT25" s="59" t="n">
        <f aca="false">COUNTIFS(Offers!$B$7:$B$3000,$B25,Offers!$C$7:$C$3000,"Romania",Offers!$AI$7:$AI$3000,"yes")</f>
        <v>0</v>
      </c>
      <c r="AU25" s="60" t="str">
        <f aca="false">IF(AT25=0,"—",SUMIFS(Review!$I$7:$I$600,Review!$B$7:$B$600,$B25,Review!$C$7:$C$600,"Romania"))</f>
        <v>—</v>
      </c>
      <c r="AV25" s="60" t="str">
        <f aca="false">IF(AT25=0,"—",SUMIFS(Review!$J$7:$J$600,Review!$B$7:$B$600,$B25,Review!$C$7:$C$600,"Romania"))</f>
        <v>—</v>
      </c>
      <c r="AW25" s="60" t="str">
        <f aca="false">IF(AT25=0,"—",SUMIFS(Review!$K$7:$K$600,Review!$B$7:$B$600,$B25,Review!$C$7:$C$600,"Romania"))</f>
        <v>—</v>
      </c>
      <c r="AX25" s="61" t="str">
        <f aca="false">IF(AT25=0,"—",IF(AU25&lt;AV25*(1-$C$7),"median (cheapest is an outlier)",IF(AU25*(1-$C$6)&lt;AV25*(1-$C$5),"undercut cheapest","median")))</f>
        <v>—</v>
      </c>
      <c r="AY25" s="62" t="str">
        <f aca="false">IF(AT25=0,"—",IF(AND(ISNUMBER($D25),$D25*(1+$C$10)&gt;FLOOR(IF(AU25&lt;AV25*(1-$C$7),AV25*(1-$C$5-IF(AT25&lt;3,$C$8,0)),MIN(AV25*(1-$C$5-IF(AT25&lt;3,$C$8,0)),AU25*(1-$C$6-IF(AT25&lt;3,$C$8,0)))),IF(IF(AU25&lt;AV25*(1-$C$7),AV25*(1-$C$5-IF(AT25&lt;3,$C$8,0)),MIN(AV25*(1-$C$5-IF(AT25&lt;3,$C$8,0)),AU25*(1-$C$6-IF(AT25&lt;3,$C$8,0))))&lt;10,$C$9,IF(IF(AU25&lt;AV25*(1-$C$7),AV25*(1-$C$5-IF(AT25&lt;3,$C$8,0)),MIN(AV25*(1-$C$5-IF(AT25&lt;3,$C$8,0)),AU25*(1-$C$6-IF(AT25&lt;3,$C$8,0))))&lt;100,$D$9,$E$9)))),ROUND($D25*(1+$C$10),2),FLOOR(IF(AU25&lt;AV25*(1-$C$7),AV25*(1-$C$5-IF(AT25&lt;3,$C$8,0)),MIN(AV25*(1-$C$5-IF(AT25&lt;3,$C$8,0)),AU25*(1-$C$6-IF(AT25&lt;3,$C$8,0)))),IF(IF(AU25&lt;AV25*(1-$C$7),AV25*(1-$C$5-IF(AT25&lt;3,$C$8,0)),MIN(AV25*(1-$C$5-IF(AT25&lt;3,$C$8,0)),AU25*(1-$C$6-IF(AT25&lt;3,$C$8,0))))&lt;10,$C$9,IF(IF(AU25&lt;AV25*(1-$C$7),AV25*(1-$C$5-IF(AT25&lt;3,$C$8,0)),MIN(AV25*(1-$C$5-IF(AT25&lt;3,$C$8,0)),AU25*(1-$C$6-IF(AT25&lt;3,$C$8,0))))&lt;100,$D$9,$E$9)))))</f>
        <v>—</v>
      </c>
      <c r="AZ25" s="62" t="str">
        <f aca="false">IF(AT25=0,"—",FLOOR(AY25*Sources!$G$9,0.1))</f>
        <v>—</v>
      </c>
      <c r="BA25" s="60" t="n">
        <f aca="false">IF(ISNUMBER($D25),$D25,"n/a")</f>
        <v>1.75</v>
      </c>
      <c r="BB25" s="63" t="str">
        <f aca="false">IF(OR(AT25=0,NOT(ISNUMBER($D25))),"—",AY25/$D25-1)</f>
        <v>—</v>
      </c>
      <c r="BC25" s="64" t="str">
        <f aca="false">IF(AT25=0,"—",AY25/AU25-1)</f>
        <v>—</v>
      </c>
      <c r="BD25" s="64" t="str">
        <f aca="false">IF(AT25=0,"—",AY25/AV25-1)</f>
        <v>—</v>
      </c>
      <c r="BE25" s="59" t="n">
        <f aca="false">COUNTIFS(Offers!$B$7:$B$3000,$B25,Offers!$C$7:$C$3000,"Hungary",Offers!$AI$7:$AI$3000,"yes")</f>
        <v>0</v>
      </c>
      <c r="BF25" s="60" t="str">
        <f aca="false">IF(BE25=0,"—",SUMIFS(Review!$I$7:$I$600,Review!$B$7:$B$600,$B25,Review!$C$7:$C$600,"Hungary"))</f>
        <v>—</v>
      </c>
      <c r="BG25" s="60" t="str">
        <f aca="false">IF(BE25=0,"—",SUMIFS(Review!$J$7:$J$600,Review!$B$7:$B$600,$B25,Review!$C$7:$C$600,"Hungary"))</f>
        <v>—</v>
      </c>
      <c r="BH25" s="60" t="str">
        <f aca="false">IF(BE25=0,"—",SUMIFS(Review!$K$7:$K$600,Review!$B$7:$B$600,$B25,Review!$C$7:$C$600,"Hungary"))</f>
        <v>—</v>
      </c>
      <c r="BI25" s="61" t="str">
        <f aca="false">IF(BE25=0,"—",IF(BF25&lt;BG25*(1-$C$7),"median (cheapest is an outlier)",IF(BF25*(1-$C$6)&lt;BG25*(1-$C$5),"undercut cheapest","median")))</f>
        <v>—</v>
      </c>
      <c r="BJ25" s="62" t="str">
        <f aca="false">IF(BE25=0,"—",IF(AND(ISNUMBER($D25),$D25*(1+$C$10)&gt;FLOOR(IF(BF25&lt;BG25*(1-$C$7),BG25*(1-$C$5-IF(BE25&lt;3,$C$8,0)),MIN(BG25*(1-$C$5-IF(BE25&lt;3,$C$8,0)),BF25*(1-$C$6-IF(BE25&lt;3,$C$8,0)))),IF(IF(BF25&lt;BG25*(1-$C$7),BG25*(1-$C$5-IF(BE25&lt;3,$C$8,0)),MIN(BG25*(1-$C$5-IF(BE25&lt;3,$C$8,0)),BF25*(1-$C$6-IF(BE25&lt;3,$C$8,0))))&lt;10,$C$9,IF(IF(BF25&lt;BG25*(1-$C$7),BG25*(1-$C$5-IF(BE25&lt;3,$C$8,0)),MIN(BG25*(1-$C$5-IF(BE25&lt;3,$C$8,0)),BF25*(1-$C$6-IF(BE25&lt;3,$C$8,0))))&lt;100,$D$9,$E$9)))),ROUND($D25*(1+$C$10),2),FLOOR(IF(BF25&lt;BG25*(1-$C$7),BG25*(1-$C$5-IF(BE25&lt;3,$C$8,0)),MIN(BG25*(1-$C$5-IF(BE25&lt;3,$C$8,0)),BF25*(1-$C$6-IF(BE25&lt;3,$C$8,0)))),IF(IF(BF25&lt;BG25*(1-$C$7),BG25*(1-$C$5-IF(BE25&lt;3,$C$8,0)),MIN(BG25*(1-$C$5-IF(BE25&lt;3,$C$8,0)),BF25*(1-$C$6-IF(BE25&lt;3,$C$8,0))))&lt;10,$C$9,IF(IF(BF25&lt;BG25*(1-$C$7),BG25*(1-$C$5-IF(BE25&lt;3,$C$8,0)),MIN(BG25*(1-$C$5-IF(BE25&lt;3,$C$8,0)),BF25*(1-$C$6-IF(BE25&lt;3,$C$8,0))))&lt;100,$D$9,$E$9)))))</f>
        <v>—</v>
      </c>
      <c r="BK25" s="65" t="str">
        <f aca="false">IF(BE25=0,"—",FLOOR(BJ25*Sources!$G$8,10))</f>
        <v>—</v>
      </c>
      <c r="BL25" s="60" t="n">
        <f aca="false">IF(ISNUMBER($D25),$D25,"n/a")</f>
        <v>1.75</v>
      </c>
      <c r="BM25" s="63" t="str">
        <f aca="false">IF(OR(BE25=0,NOT(ISNUMBER($D25))),"—",BJ25/$D25-1)</f>
        <v>—</v>
      </c>
      <c r="BN25" s="64" t="str">
        <f aca="false">IF(BE25=0,"—",BJ25/BF25-1)</f>
        <v>—</v>
      </c>
      <c r="BO25" s="64" t="str">
        <f aca="false">IF(BE25=0,"—",BJ25/BG25-1)</f>
        <v>—</v>
      </c>
    </row>
    <row r="26" customFormat="false" ht="15" hidden="false" customHeight="true" outlineLevel="0" collapsed="false">
      <c r="B26" s="66" t="s">
        <v>34</v>
      </c>
      <c r="C26" s="66" t="s">
        <v>151</v>
      </c>
      <c r="D26" s="58" t="n">
        <v>6.05</v>
      </c>
      <c r="E26" s="67" t="n">
        <f aca="false">COUNTIFS(Offers!$B$7:$B$3000,$B26,Offers!$C$7:$C$3000,"Austria",Offers!$AI$7:$AI$3000,"yes")</f>
        <v>8</v>
      </c>
      <c r="F26" s="68" t="n">
        <f aca="false">IF(E26=0,"—",SUMIFS(Review!$I$7:$I$600,Review!$B$7:$B$600,$B26,Review!$C$7:$C$600,"Austria"))</f>
        <v>11</v>
      </c>
      <c r="G26" s="68" t="n">
        <f aca="false">IF(E26=0,"—",SUMIFS(Review!$J$7:$J$600,Review!$B$7:$B$600,$B26,Review!$C$7:$C$600,"Austria"))</f>
        <v>21.28</v>
      </c>
      <c r="H26" s="68" t="n">
        <f aca="false">IF(E26=0,"—",SUMIFS(Review!$K$7:$K$600,Review!$B$7:$B$600,$B26,Review!$C$7:$C$600,"Austria"))</f>
        <v>28.9</v>
      </c>
      <c r="I26" s="69" t="str">
        <f aca="false">IF(E26=0,"—",IF(F26&lt;G26*(1-$C$7),"median (cheapest is an outlier)",IF(F26*(1-$C$6)&lt;G26*(1-$C$5),"undercut cheapest","median")))</f>
        <v>median (cheapest is an outlier)</v>
      </c>
      <c r="J26" s="70" t="n">
        <f aca="false">IF(E26=0,"—",IF(AND(ISNUMBER($D26),$D26*(1+$C$10)&gt;FLOOR(IF(F26&lt;G26*(1-$C$7),G26*(1-$C$5-IF(E26&lt;3,$C$8,0)),MIN(G26*(1-$C$5-IF(E26&lt;3,$C$8,0)),F26*(1-$C$6-IF(E26&lt;3,$C$8,0)))),IF(IF(F26&lt;G26*(1-$C$7),G26*(1-$C$5-IF(E26&lt;3,$C$8,0)),MIN(G26*(1-$C$5-IF(E26&lt;3,$C$8,0)),F26*(1-$C$6-IF(E26&lt;3,$C$8,0))))&lt;10,$C$9,IF(IF(F26&lt;G26*(1-$C$7),G26*(1-$C$5-IF(E26&lt;3,$C$8,0)),MIN(G26*(1-$C$5-IF(E26&lt;3,$C$8,0)),F26*(1-$C$6-IF(E26&lt;3,$C$8,0))))&lt;100,$D$9,$E$9)))),ROUND($D26*(1+$C$10),2),FLOOR(IF(F26&lt;G26*(1-$C$7),G26*(1-$C$5-IF(E26&lt;3,$C$8,0)),MIN(G26*(1-$C$5-IF(E26&lt;3,$C$8,0)),F26*(1-$C$6-IF(E26&lt;3,$C$8,0)))),IF(IF(F26&lt;G26*(1-$C$7),G26*(1-$C$5-IF(E26&lt;3,$C$8,0)),MIN(G26*(1-$C$5-IF(E26&lt;3,$C$8,0)),F26*(1-$C$6-IF(E26&lt;3,$C$8,0))))&lt;10,$C$9,IF(IF(F26&lt;G26*(1-$C$7),G26*(1-$C$5-IF(E26&lt;3,$C$8,0)),MIN(G26*(1-$C$5-IF(E26&lt;3,$C$8,0)),F26*(1-$C$6-IF(E26&lt;3,$C$8,0))))&lt;100,$D$9,$E$9)))))</f>
        <v>15.9</v>
      </c>
      <c r="K26" s="68" t="n">
        <f aca="false">IF(ISNUMBER($D26),$D26,"n/a")</f>
        <v>6.05</v>
      </c>
      <c r="L26" s="71" t="n">
        <f aca="false">IF(OR(E26=0,NOT(ISNUMBER($D26))),"—",J26/$D26-1)</f>
        <v>1.62809917355372</v>
      </c>
      <c r="M26" s="72" t="n">
        <f aca="false">IF(E26=0,"—",J26/F26-1)</f>
        <v>0.445454545454546</v>
      </c>
      <c r="N26" s="72" t="n">
        <f aca="false">IF(E26=0,"—",J26/G26-1)</f>
        <v>-0.252819548872181</v>
      </c>
      <c r="O26" s="67" t="n">
        <f aca="false">COUNTIFS(Offers!$B$7:$B$3000,$B26,Offers!$C$7:$C$3000,"Germany",Offers!$AI$7:$AI$3000,"yes")</f>
        <v>7</v>
      </c>
      <c r="P26" s="68" t="n">
        <f aca="false">IF(O26=0,"—",SUMIFS(Review!$I$7:$I$600,Review!$B$7:$B$600,$B26,Review!$C$7:$C$600,"Germany"))</f>
        <v>9.25</v>
      </c>
      <c r="Q26" s="68" t="n">
        <f aca="false">IF(O26=0,"—",SUMIFS(Review!$J$7:$J$600,Review!$B$7:$B$600,$B26,Review!$C$7:$C$600,"Germany"))</f>
        <v>21.18</v>
      </c>
      <c r="R26" s="68" t="n">
        <f aca="false">IF(O26=0,"—",SUMIFS(Review!$K$7:$K$600,Review!$B$7:$B$600,$B26,Review!$C$7:$C$600,"Germany"))</f>
        <v>26.81</v>
      </c>
      <c r="S26" s="69" t="str">
        <f aca="false">IF(O26=0,"—",IF(P26&lt;Q26*(1-$C$7),"median (cheapest is an outlier)",IF(P26*(1-$C$6)&lt;Q26*(1-$C$5),"undercut cheapest","median")))</f>
        <v>median (cheapest is an outlier)</v>
      </c>
      <c r="T26" s="70" t="n">
        <f aca="false">IF(O26=0,"—",IF(AND(ISNUMBER($D26),$D26*(1+$C$10)&gt;FLOOR(IF(P26&lt;Q26*(1-$C$7),Q26*(1-$C$5-IF(O26&lt;3,$C$8,0)),MIN(Q26*(1-$C$5-IF(O26&lt;3,$C$8,0)),P26*(1-$C$6-IF(O26&lt;3,$C$8,0)))),IF(IF(P26&lt;Q26*(1-$C$7),Q26*(1-$C$5-IF(O26&lt;3,$C$8,0)),MIN(Q26*(1-$C$5-IF(O26&lt;3,$C$8,0)),P26*(1-$C$6-IF(O26&lt;3,$C$8,0))))&lt;10,$C$9,IF(IF(P26&lt;Q26*(1-$C$7),Q26*(1-$C$5-IF(O26&lt;3,$C$8,0)),MIN(Q26*(1-$C$5-IF(O26&lt;3,$C$8,0)),P26*(1-$C$6-IF(O26&lt;3,$C$8,0))))&lt;100,$D$9,$E$9)))),ROUND($D26*(1+$C$10),2),FLOOR(IF(P26&lt;Q26*(1-$C$7),Q26*(1-$C$5-IF(O26&lt;3,$C$8,0)),MIN(Q26*(1-$C$5-IF(O26&lt;3,$C$8,0)),P26*(1-$C$6-IF(O26&lt;3,$C$8,0)))),IF(IF(P26&lt;Q26*(1-$C$7),Q26*(1-$C$5-IF(O26&lt;3,$C$8,0)),MIN(Q26*(1-$C$5-IF(O26&lt;3,$C$8,0)),P26*(1-$C$6-IF(O26&lt;3,$C$8,0))))&lt;10,$C$9,IF(IF(P26&lt;Q26*(1-$C$7),Q26*(1-$C$5-IF(O26&lt;3,$C$8,0)),MIN(Q26*(1-$C$5-IF(O26&lt;3,$C$8,0)),P26*(1-$C$6-IF(O26&lt;3,$C$8,0))))&lt;100,$D$9,$E$9)))))</f>
        <v>15.8</v>
      </c>
      <c r="U26" s="68" t="n">
        <f aca="false">IF(ISNUMBER($D26),$D26,"n/a")</f>
        <v>6.05</v>
      </c>
      <c r="V26" s="71" t="n">
        <f aca="false">IF(OR(O26=0,NOT(ISNUMBER($D26))),"—",T26/$D26-1)</f>
        <v>1.61157024793388</v>
      </c>
      <c r="W26" s="72" t="n">
        <f aca="false">IF(O26=0,"—",T26/P26-1)</f>
        <v>0.708108108108108</v>
      </c>
      <c r="X26" s="72" t="n">
        <f aca="false">IF(O26=0,"—",T26/Q26-1)</f>
        <v>-0.254013220018886</v>
      </c>
      <c r="Y26" s="67" t="n">
        <f aca="false">COUNTIFS(Offers!$B$7:$B$3000,$B26,Offers!$C$7:$C$3000,"Czech",Offers!$AI$7:$AI$3000,"yes")</f>
        <v>4</v>
      </c>
      <c r="Z26" s="68" t="n">
        <f aca="false">IF(Y26=0,"—",SUMIFS(Review!$I$7:$I$600,Review!$B$7:$B$600,$B26,Review!$C$7:$C$600,"Czech"))</f>
        <v>10.462415</v>
      </c>
      <c r="AA26" s="68" t="n">
        <f aca="false">IF(Y26=0,"—",SUMIFS(Review!$J$7:$J$600,Review!$B$7:$B$600,$B26,Review!$C$7:$C$600,"Czech"))</f>
        <v>17.2218565</v>
      </c>
      <c r="AB26" s="68" t="n">
        <f aca="false">IF(Y26=0,"—",SUMIFS(Review!$K$7:$K$600,Review!$B$7:$B$600,$B26,Review!$C$7:$C$600,"Czech"))</f>
        <v>18.957062</v>
      </c>
      <c r="AC26" s="69" t="str">
        <f aca="false">IF(Y26=0,"—",IF(Z26&lt;AA26*(1-$C$7),"median (cheapest is an outlier)",IF(Z26*(1-$C$6)&lt;AA26*(1-$C$5),"undercut cheapest","median")))</f>
        <v>median (cheapest is an outlier)</v>
      </c>
      <c r="AD26" s="70" t="n">
        <f aca="false">IF(Y26=0,"—",IF(AND(ISNUMBER($D26),$D26*(1+$C$10)&gt;FLOOR(IF(Z26&lt;AA26*(1-$C$7),AA26*(1-$C$5-IF(Y26&lt;3,$C$8,0)),MIN(AA26*(1-$C$5-IF(Y26&lt;3,$C$8,0)),Z26*(1-$C$6-IF(Y26&lt;3,$C$8,0)))),IF(IF(Z26&lt;AA26*(1-$C$7),AA26*(1-$C$5-IF(Y26&lt;3,$C$8,0)),MIN(AA26*(1-$C$5-IF(Y26&lt;3,$C$8,0)),Z26*(1-$C$6-IF(Y26&lt;3,$C$8,0))))&lt;10,$C$9,IF(IF(Z26&lt;AA26*(1-$C$7),AA26*(1-$C$5-IF(Y26&lt;3,$C$8,0)),MIN(AA26*(1-$C$5-IF(Y26&lt;3,$C$8,0)),Z26*(1-$C$6-IF(Y26&lt;3,$C$8,0))))&lt;100,$D$9,$E$9)))),ROUND($D26*(1+$C$10),2),FLOOR(IF(Z26&lt;AA26*(1-$C$7),AA26*(1-$C$5-IF(Y26&lt;3,$C$8,0)),MIN(AA26*(1-$C$5-IF(Y26&lt;3,$C$8,0)),Z26*(1-$C$6-IF(Y26&lt;3,$C$8,0)))),IF(IF(Z26&lt;AA26*(1-$C$7),AA26*(1-$C$5-IF(Y26&lt;3,$C$8,0)),MIN(AA26*(1-$C$5-IF(Y26&lt;3,$C$8,0)),Z26*(1-$C$6-IF(Y26&lt;3,$C$8,0))))&lt;10,$C$9,IF(IF(Z26&lt;AA26*(1-$C$7),AA26*(1-$C$5-IF(Y26&lt;3,$C$8,0)),MIN(AA26*(1-$C$5-IF(Y26&lt;3,$C$8,0)),Z26*(1-$C$6-IF(Y26&lt;3,$C$8,0))))&lt;100,$D$9,$E$9)))))</f>
        <v>12.9</v>
      </c>
      <c r="AE26" s="73" t="n">
        <f aca="false">IF(Y26=0,"—",FLOOR(AD26*Sources!$G$10,1))</f>
        <v>315</v>
      </c>
      <c r="AF26" s="68" t="n">
        <f aca="false">IF(ISNUMBER($D26),$D26,"n/a")</f>
        <v>6.05</v>
      </c>
      <c r="AG26" s="71" t="n">
        <f aca="false">IF(OR(Y26=0,NOT(ISNUMBER($D26))),"—",AD26/$D26-1)</f>
        <v>1.13223140495868</v>
      </c>
      <c r="AH26" s="72" t="n">
        <f aca="false">IF(Y26=0,"—",AD26/Z26-1)</f>
        <v>0.232984927476113</v>
      </c>
      <c r="AI26" s="72" t="n">
        <f aca="false">IF(Y26=0,"—",AD26/AA26-1)</f>
        <v>-0.250951835535269</v>
      </c>
      <c r="AJ26" s="67" t="n">
        <f aca="false">COUNTIFS(Offers!$B$7:$B$3000,$B26,Offers!$C$7:$C$3000,"Slovakia",Offers!$AI$7:$AI$3000,"yes")</f>
        <v>2</v>
      </c>
      <c r="AK26" s="68" t="n">
        <f aca="false">IF(AJ26=0,"—",SUMIFS(Review!$I$7:$I$600,Review!$B$7:$B$600,$B26,Review!$C$7:$C$600,"Slovakia"))</f>
        <v>12.65</v>
      </c>
      <c r="AL26" s="68" t="n">
        <f aca="false">IF(AJ26=0,"—",SUMIFS(Review!$J$7:$J$600,Review!$B$7:$B$600,$B26,Review!$C$7:$C$600,"Slovakia"))</f>
        <v>15.6583335</v>
      </c>
      <c r="AM26" s="68" t="n">
        <f aca="false">IF(AJ26=0,"—",SUMIFS(Review!$K$7:$K$600,Review!$B$7:$B$600,$B26,Review!$C$7:$C$600,"Slovakia"))</f>
        <v>18.666667</v>
      </c>
      <c r="AN26" s="69" t="str">
        <f aca="false">IF(AJ26=0,"—",IF(AK26&lt;AL26*(1-$C$7),"median (cheapest is an outlier)",IF(AK26*(1-$C$6)&lt;AL26*(1-$C$5),"undercut cheapest","median")))</f>
        <v>median</v>
      </c>
      <c r="AO26" s="70" t="n">
        <f aca="false">IF(AJ26=0,"—",IF(AND(ISNUMBER($D26),$D26*(1+$C$10)&gt;FLOOR(IF(AK26&lt;AL26*(1-$C$7),AL26*(1-$C$5-IF(AJ26&lt;3,$C$8,0)),MIN(AL26*(1-$C$5-IF(AJ26&lt;3,$C$8,0)),AK26*(1-$C$6-IF(AJ26&lt;3,$C$8,0)))),IF(IF(AK26&lt;AL26*(1-$C$7),AL26*(1-$C$5-IF(AJ26&lt;3,$C$8,0)),MIN(AL26*(1-$C$5-IF(AJ26&lt;3,$C$8,0)),AK26*(1-$C$6-IF(AJ26&lt;3,$C$8,0))))&lt;10,$C$9,IF(IF(AK26&lt;AL26*(1-$C$7),AL26*(1-$C$5-IF(AJ26&lt;3,$C$8,0)),MIN(AL26*(1-$C$5-IF(AJ26&lt;3,$C$8,0)),AK26*(1-$C$6-IF(AJ26&lt;3,$C$8,0))))&lt;100,$D$9,$E$9)))),ROUND($D26*(1+$C$10),2),FLOOR(IF(AK26&lt;AL26*(1-$C$7),AL26*(1-$C$5-IF(AJ26&lt;3,$C$8,0)),MIN(AL26*(1-$C$5-IF(AJ26&lt;3,$C$8,0)),AK26*(1-$C$6-IF(AJ26&lt;3,$C$8,0)))),IF(IF(AK26&lt;AL26*(1-$C$7),AL26*(1-$C$5-IF(AJ26&lt;3,$C$8,0)),MIN(AL26*(1-$C$5-IF(AJ26&lt;3,$C$8,0)),AK26*(1-$C$6-IF(AJ26&lt;3,$C$8,0))))&lt;10,$C$9,IF(IF(AK26&lt;AL26*(1-$C$7),AL26*(1-$C$5-IF(AJ26&lt;3,$C$8,0)),MIN(AL26*(1-$C$5-IF(AJ26&lt;3,$C$8,0)),AK26*(1-$C$6-IF(AJ26&lt;3,$C$8,0))))&lt;100,$D$9,$E$9)))))</f>
        <v>10.9</v>
      </c>
      <c r="AP26" s="68" t="n">
        <f aca="false">IF(ISNUMBER($D26),$D26,"n/a")</f>
        <v>6.05</v>
      </c>
      <c r="AQ26" s="71" t="n">
        <f aca="false">IF(OR(AJ26=0,NOT(ISNUMBER($D26))),"—",AO26/$D26-1)</f>
        <v>0.801652892561984</v>
      </c>
      <c r="AR26" s="72" t="n">
        <f aca="false">IF(AJ26=0,"—",AO26/AK26-1)</f>
        <v>-0.138339920948617</v>
      </c>
      <c r="AS26" s="72" t="n">
        <f aca="false">IF(AJ26=0,"—",AO26/AL26-1)</f>
        <v>-0.303885052646247</v>
      </c>
      <c r="AT26" s="67" t="n">
        <f aca="false">COUNTIFS(Offers!$B$7:$B$3000,$B26,Offers!$C$7:$C$3000,"Romania",Offers!$AI$7:$AI$3000,"yes")</f>
        <v>1</v>
      </c>
      <c r="AU26" s="68" t="n">
        <f aca="false">IF(AT26=0,"—",SUMIFS(Review!$I$7:$I$600,Review!$B$7:$B$600,$B26,Review!$C$7:$C$600,"Romania"))</f>
        <v>11.482401</v>
      </c>
      <c r="AV26" s="68" t="n">
        <f aca="false">IF(AT26=0,"—",SUMIFS(Review!$J$7:$J$600,Review!$B$7:$B$600,$B26,Review!$C$7:$C$600,"Romania"))</f>
        <v>11.482401</v>
      </c>
      <c r="AW26" s="68" t="n">
        <f aca="false">IF(AT26=0,"—",SUMIFS(Review!$K$7:$K$600,Review!$B$7:$B$600,$B26,Review!$C$7:$C$600,"Romania"))</f>
        <v>11.482401</v>
      </c>
      <c r="AX26" s="69" t="str">
        <f aca="false">IF(AT26=0,"—",IF(AU26&lt;AV26*(1-$C$7),"median (cheapest is an outlier)",IF(AU26*(1-$C$6)&lt;AV26*(1-$C$5),"undercut cheapest","median")))</f>
        <v>median</v>
      </c>
      <c r="AY26" s="70" t="n">
        <f aca="false">IF(AT26=0,"—",IF(AND(ISNUMBER($D26),$D26*(1+$C$10)&gt;FLOOR(IF(AU26&lt;AV26*(1-$C$7),AV26*(1-$C$5-IF(AT26&lt;3,$C$8,0)),MIN(AV26*(1-$C$5-IF(AT26&lt;3,$C$8,0)),AU26*(1-$C$6-IF(AT26&lt;3,$C$8,0)))),IF(IF(AU26&lt;AV26*(1-$C$7),AV26*(1-$C$5-IF(AT26&lt;3,$C$8,0)),MIN(AV26*(1-$C$5-IF(AT26&lt;3,$C$8,0)),AU26*(1-$C$6-IF(AT26&lt;3,$C$8,0))))&lt;10,$C$9,IF(IF(AU26&lt;AV26*(1-$C$7),AV26*(1-$C$5-IF(AT26&lt;3,$C$8,0)),MIN(AV26*(1-$C$5-IF(AT26&lt;3,$C$8,0)),AU26*(1-$C$6-IF(AT26&lt;3,$C$8,0))))&lt;100,$D$9,$E$9)))),ROUND($D26*(1+$C$10),2),FLOOR(IF(AU26&lt;AV26*(1-$C$7),AV26*(1-$C$5-IF(AT26&lt;3,$C$8,0)),MIN(AV26*(1-$C$5-IF(AT26&lt;3,$C$8,0)),AU26*(1-$C$6-IF(AT26&lt;3,$C$8,0)))),IF(IF(AU26&lt;AV26*(1-$C$7),AV26*(1-$C$5-IF(AT26&lt;3,$C$8,0)),MIN(AV26*(1-$C$5-IF(AT26&lt;3,$C$8,0)),AU26*(1-$C$6-IF(AT26&lt;3,$C$8,0))))&lt;10,$C$9,IF(IF(AU26&lt;AV26*(1-$C$7),AV26*(1-$C$5-IF(AT26&lt;3,$C$8,0)),MIN(AV26*(1-$C$5-IF(AT26&lt;3,$C$8,0)),AU26*(1-$C$6-IF(AT26&lt;3,$C$8,0))))&lt;100,$D$9,$E$9)))))</f>
        <v>8</v>
      </c>
      <c r="AZ26" s="70" t="n">
        <f aca="false">IF(AT26=0,"—",FLOOR(AY26*Sources!$G$9,0.1))</f>
        <v>42.2</v>
      </c>
      <c r="BA26" s="68" t="n">
        <f aca="false">IF(ISNUMBER($D26),$D26,"n/a")</f>
        <v>6.05</v>
      </c>
      <c r="BB26" s="71" t="n">
        <f aca="false">IF(OR(AT26=0,NOT(ISNUMBER($D26))),"—",AY26/$D26-1)</f>
        <v>0.322314049586777</v>
      </c>
      <c r="BC26" s="72" t="n">
        <f aca="false">IF(AT26=0,"—",AY26/AU26-1)</f>
        <v>-0.303281604605169</v>
      </c>
      <c r="BD26" s="72" t="n">
        <f aca="false">IF(AT26=0,"—",AY26/AV26-1)</f>
        <v>-0.303281604605169</v>
      </c>
      <c r="BE26" s="67" t="n">
        <f aca="false">COUNTIFS(Offers!$B$7:$B$3000,$B26,Offers!$C$7:$C$3000,"Hungary",Offers!$AI$7:$AI$3000,"yes")</f>
        <v>3</v>
      </c>
      <c r="BF26" s="68" t="n">
        <f aca="false">IF(BE26=0,"—",SUMIFS(Review!$I$7:$I$600,Review!$B$7:$B$600,$B26,Review!$C$7:$C$600,"Hungary"))</f>
        <v>9.723853</v>
      </c>
      <c r="BG26" s="68" t="n">
        <f aca="false">IF(BE26=0,"—",SUMIFS(Review!$J$7:$J$600,Review!$B$7:$B$600,$B26,Review!$C$7:$C$600,"Hungary"))</f>
        <v>10.898364</v>
      </c>
      <c r="BH26" s="68" t="n">
        <f aca="false">IF(BE26=0,"—",SUMIFS(Review!$K$7:$K$600,Review!$B$7:$B$600,$B26,Review!$C$7:$C$600,"Hungary"))</f>
        <v>16.107181</v>
      </c>
      <c r="BI26" s="69" t="str">
        <f aca="false">IF(BE26=0,"—",IF(BF26&lt;BG26*(1-$C$7),"median (cheapest is an outlier)",IF(BF26*(1-$C$6)&lt;BG26*(1-$C$5),"undercut cheapest","median")))</f>
        <v>median</v>
      </c>
      <c r="BJ26" s="70" t="n">
        <f aca="false">IF(BE26=0,"—",IF(AND(ISNUMBER($D26),$D26*(1+$C$10)&gt;FLOOR(IF(BF26&lt;BG26*(1-$C$7),BG26*(1-$C$5-IF(BE26&lt;3,$C$8,0)),MIN(BG26*(1-$C$5-IF(BE26&lt;3,$C$8,0)),BF26*(1-$C$6-IF(BE26&lt;3,$C$8,0)))),IF(IF(BF26&lt;BG26*(1-$C$7),BG26*(1-$C$5-IF(BE26&lt;3,$C$8,0)),MIN(BG26*(1-$C$5-IF(BE26&lt;3,$C$8,0)),BF26*(1-$C$6-IF(BE26&lt;3,$C$8,0))))&lt;10,$C$9,IF(IF(BF26&lt;BG26*(1-$C$7),BG26*(1-$C$5-IF(BE26&lt;3,$C$8,0)),MIN(BG26*(1-$C$5-IF(BE26&lt;3,$C$8,0)),BF26*(1-$C$6-IF(BE26&lt;3,$C$8,0))))&lt;100,$D$9,$E$9)))),ROUND($D26*(1+$C$10),2),FLOOR(IF(BF26&lt;BG26*(1-$C$7),BG26*(1-$C$5-IF(BE26&lt;3,$C$8,0)),MIN(BG26*(1-$C$5-IF(BE26&lt;3,$C$8,0)),BF26*(1-$C$6-IF(BE26&lt;3,$C$8,0)))),IF(IF(BF26&lt;BG26*(1-$C$7),BG26*(1-$C$5-IF(BE26&lt;3,$C$8,0)),MIN(BG26*(1-$C$5-IF(BE26&lt;3,$C$8,0)),BF26*(1-$C$6-IF(BE26&lt;3,$C$8,0))))&lt;10,$C$9,IF(IF(BF26&lt;BG26*(1-$C$7),BG26*(1-$C$5-IF(BE26&lt;3,$C$8,0)),MIN(BG26*(1-$C$5-IF(BE26&lt;3,$C$8,0)),BF26*(1-$C$6-IF(BE26&lt;3,$C$8,0))))&lt;100,$D$9,$E$9)))))</f>
        <v>8.15</v>
      </c>
      <c r="BK26" s="73" t="n">
        <f aca="false">IF(BE26=0,"—",FLOOR(BJ26*Sources!$G$8,10))</f>
        <v>2980</v>
      </c>
      <c r="BL26" s="68" t="n">
        <f aca="false">IF(ISNUMBER($D26),$D26,"n/a")</f>
        <v>6.05</v>
      </c>
      <c r="BM26" s="71" t="n">
        <f aca="false">IF(OR(BE26=0,NOT(ISNUMBER($D26))),"—",BJ26/$D26-1)</f>
        <v>0.347107438016529</v>
      </c>
      <c r="BN26" s="72" t="n">
        <f aca="false">IF(BE26=0,"—",BJ26/BF26-1)</f>
        <v>-0.161854873783057</v>
      </c>
      <c r="BO26" s="72" t="n">
        <f aca="false">IF(BE26=0,"—",BJ26/BG26-1)</f>
        <v>-0.252181336574921</v>
      </c>
    </row>
    <row r="27" customFormat="false" ht="15" hidden="false" customHeight="true" outlineLevel="0" collapsed="false">
      <c r="B27" s="1" t="s">
        <v>35</v>
      </c>
      <c r="C27" s="1" t="s">
        <v>152</v>
      </c>
      <c r="D27" s="58" t="n">
        <v>3.245</v>
      </c>
      <c r="E27" s="59" t="n">
        <f aca="false">COUNTIFS(Offers!$B$7:$B$3000,$B27,Offers!$C$7:$C$3000,"Austria",Offers!$AI$7:$AI$3000,"yes")</f>
        <v>6</v>
      </c>
      <c r="F27" s="60" t="n">
        <f aca="false">IF(E27=0,"—",SUMIFS(Review!$I$7:$I$600,Review!$B$7:$B$600,$B27,Review!$C$7:$C$600,"Austria"))</f>
        <v>7.95</v>
      </c>
      <c r="G27" s="60" t="n">
        <f aca="false">IF(E27=0,"—",SUMIFS(Review!$J$7:$J$600,Review!$B$7:$B$600,$B27,Review!$C$7:$C$600,"Austria"))</f>
        <v>10.49</v>
      </c>
      <c r="H27" s="60" t="n">
        <f aca="false">IF(E27=0,"—",SUMIFS(Review!$K$7:$K$600,Review!$B$7:$B$600,$B27,Review!$C$7:$C$600,"Austria"))</f>
        <v>22.83</v>
      </c>
      <c r="I27" s="61" t="str">
        <f aca="false">IF(E27=0,"—",IF(F27&lt;G27*(1-$C$7),"median (cheapest is an outlier)",IF(F27*(1-$C$6)&lt;G27*(1-$C$5),"undercut cheapest","median")))</f>
        <v>undercut cheapest</v>
      </c>
      <c r="J27" s="62" t="n">
        <f aca="false">IF(E27=0,"—",IF(AND(ISNUMBER($D27),$D27*(1+$C$10)&gt;FLOOR(IF(F27&lt;G27*(1-$C$7),G27*(1-$C$5-IF(E27&lt;3,$C$8,0)),MIN(G27*(1-$C$5-IF(E27&lt;3,$C$8,0)),F27*(1-$C$6-IF(E27&lt;3,$C$8,0)))),IF(IF(F27&lt;G27*(1-$C$7),G27*(1-$C$5-IF(E27&lt;3,$C$8,0)),MIN(G27*(1-$C$5-IF(E27&lt;3,$C$8,0)),F27*(1-$C$6-IF(E27&lt;3,$C$8,0))))&lt;10,$C$9,IF(IF(F27&lt;G27*(1-$C$7),G27*(1-$C$5-IF(E27&lt;3,$C$8,0)),MIN(G27*(1-$C$5-IF(E27&lt;3,$C$8,0)),F27*(1-$C$6-IF(E27&lt;3,$C$8,0))))&lt;100,$D$9,$E$9)))),ROUND($D27*(1+$C$10),2),FLOOR(IF(F27&lt;G27*(1-$C$7),G27*(1-$C$5-IF(E27&lt;3,$C$8,0)),MIN(G27*(1-$C$5-IF(E27&lt;3,$C$8,0)),F27*(1-$C$6-IF(E27&lt;3,$C$8,0)))),IF(IF(F27&lt;G27*(1-$C$7),G27*(1-$C$5-IF(E27&lt;3,$C$8,0)),MIN(G27*(1-$C$5-IF(E27&lt;3,$C$8,0)),F27*(1-$C$6-IF(E27&lt;3,$C$8,0))))&lt;10,$C$9,IF(IF(F27&lt;G27*(1-$C$7),G27*(1-$C$5-IF(E27&lt;3,$C$8,0)),MIN(G27*(1-$C$5-IF(E27&lt;3,$C$8,0)),F27*(1-$C$6-IF(E27&lt;3,$C$8,0))))&lt;100,$D$9,$E$9)))))</f>
        <v>7.55</v>
      </c>
      <c r="K27" s="60" t="n">
        <f aca="false">IF(ISNUMBER($D27),$D27,"n/a")</f>
        <v>3.245</v>
      </c>
      <c r="L27" s="63" t="n">
        <f aca="false">IF(OR(E27=0,NOT(ISNUMBER($D27))),"—",J27/$D27-1)</f>
        <v>1.326656394453</v>
      </c>
      <c r="M27" s="64" t="n">
        <f aca="false">IF(E27=0,"—",J27/F27-1)</f>
        <v>-0.0503144654088049</v>
      </c>
      <c r="N27" s="64" t="n">
        <f aca="false">IF(E27=0,"—",J27/G27-1)</f>
        <v>-0.280266920877026</v>
      </c>
      <c r="O27" s="59" t="n">
        <f aca="false">COUNTIFS(Offers!$B$7:$B$3000,$B27,Offers!$C$7:$C$3000,"Germany",Offers!$AI$7:$AI$3000,"yes")</f>
        <v>7</v>
      </c>
      <c r="P27" s="60" t="n">
        <f aca="false">IF(O27=0,"—",SUMIFS(Review!$I$7:$I$600,Review!$B$7:$B$600,$B27,Review!$C$7:$C$600,"Germany"))</f>
        <v>7.24</v>
      </c>
      <c r="Q27" s="60" t="n">
        <f aca="false">IF(O27=0,"—",SUMIFS(Review!$J$7:$J$600,Review!$B$7:$B$600,$B27,Review!$C$7:$C$600,"Germany"))</f>
        <v>8.69</v>
      </c>
      <c r="R27" s="60" t="n">
        <f aca="false">IF(O27=0,"—",SUMIFS(Review!$K$7:$K$600,Review!$B$7:$B$600,$B27,Review!$C$7:$C$600,"Germany"))</f>
        <v>22.85</v>
      </c>
      <c r="S27" s="61" t="str">
        <f aca="false">IF(O27=0,"—",IF(P27&lt;Q27*(1-$C$7),"median (cheapest is an outlier)",IF(P27*(1-$C$6)&lt;Q27*(1-$C$5),"undercut cheapest","median")))</f>
        <v>median</v>
      </c>
      <c r="T27" s="62" t="n">
        <f aca="false">IF(O27=0,"—",IF(AND(ISNUMBER($D27),$D27*(1+$C$10)&gt;FLOOR(IF(P27&lt;Q27*(1-$C$7),Q27*(1-$C$5-IF(O27&lt;3,$C$8,0)),MIN(Q27*(1-$C$5-IF(O27&lt;3,$C$8,0)),P27*(1-$C$6-IF(O27&lt;3,$C$8,0)))),IF(IF(P27&lt;Q27*(1-$C$7),Q27*(1-$C$5-IF(O27&lt;3,$C$8,0)),MIN(Q27*(1-$C$5-IF(O27&lt;3,$C$8,0)),P27*(1-$C$6-IF(O27&lt;3,$C$8,0))))&lt;10,$C$9,IF(IF(P27&lt;Q27*(1-$C$7),Q27*(1-$C$5-IF(O27&lt;3,$C$8,0)),MIN(Q27*(1-$C$5-IF(O27&lt;3,$C$8,0)),P27*(1-$C$6-IF(O27&lt;3,$C$8,0))))&lt;100,$D$9,$E$9)))),ROUND($D27*(1+$C$10),2),FLOOR(IF(P27&lt;Q27*(1-$C$7),Q27*(1-$C$5-IF(O27&lt;3,$C$8,0)),MIN(Q27*(1-$C$5-IF(O27&lt;3,$C$8,0)),P27*(1-$C$6-IF(O27&lt;3,$C$8,0)))),IF(IF(P27&lt;Q27*(1-$C$7),Q27*(1-$C$5-IF(O27&lt;3,$C$8,0)),MIN(Q27*(1-$C$5-IF(O27&lt;3,$C$8,0)),P27*(1-$C$6-IF(O27&lt;3,$C$8,0))))&lt;10,$C$9,IF(IF(P27&lt;Q27*(1-$C$7),Q27*(1-$C$5-IF(O27&lt;3,$C$8,0)),MIN(Q27*(1-$C$5-IF(O27&lt;3,$C$8,0)),P27*(1-$C$6-IF(O27&lt;3,$C$8,0))))&lt;100,$D$9,$E$9)))))</f>
        <v>6.5</v>
      </c>
      <c r="U27" s="60" t="n">
        <f aca="false">IF(ISNUMBER($D27),$D27,"n/a")</f>
        <v>3.245</v>
      </c>
      <c r="V27" s="63" t="n">
        <f aca="false">IF(OR(O27=0,NOT(ISNUMBER($D27))),"—",T27/$D27-1)</f>
        <v>1.00308166409861</v>
      </c>
      <c r="W27" s="64" t="n">
        <f aca="false">IF(O27=0,"—",T27/P27-1)</f>
        <v>-0.102209944751381</v>
      </c>
      <c r="X27" s="64" t="n">
        <f aca="false">IF(O27=0,"—",T27/Q27-1)</f>
        <v>-0.252013808975834</v>
      </c>
      <c r="Y27" s="59" t="n">
        <f aca="false">COUNTIFS(Offers!$B$7:$B$3000,$B27,Offers!$C$7:$C$3000,"Czech",Offers!$AI$7:$AI$3000,"yes")</f>
        <v>6</v>
      </c>
      <c r="Z27" s="60" t="n">
        <f aca="false">IF(Y27=0,"—",SUMIFS(Review!$I$7:$I$600,Review!$B$7:$B$600,$B27,Review!$C$7:$C$600,"Czech"))</f>
        <v>6.302097</v>
      </c>
      <c r="AA27" s="60" t="n">
        <f aca="false">IF(Y27=0,"—",SUMIFS(Review!$J$7:$J$600,Review!$B$7:$B$600,$B27,Review!$C$7:$C$600,"Czech"))</f>
        <v>7.984895</v>
      </c>
      <c r="AB27" s="60" t="n">
        <f aca="false">IF(Y27=0,"—",SUMIFS(Review!$K$7:$K$600,Review!$B$7:$B$600,$B27,Review!$C$7:$C$600,"Czech"))</f>
        <v>21.249925</v>
      </c>
      <c r="AC27" s="61" t="str">
        <f aca="false">IF(Y27=0,"—",IF(Z27&lt;AA27*(1-$C$7),"median (cheapest is an outlier)",IF(Z27*(1-$C$6)&lt;AA27*(1-$C$5),"undercut cheapest","median")))</f>
        <v>undercut cheapest</v>
      </c>
      <c r="AD27" s="62" t="n">
        <f aca="false">IF(Y27=0,"—",IF(AND(ISNUMBER($D27),$D27*(1+$C$10)&gt;FLOOR(IF(Z27&lt;AA27*(1-$C$7),AA27*(1-$C$5-IF(Y27&lt;3,$C$8,0)),MIN(AA27*(1-$C$5-IF(Y27&lt;3,$C$8,0)),Z27*(1-$C$6-IF(Y27&lt;3,$C$8,0)))),IF(IF(Z27&lt;AA27*(1-$C$7),AA27*(1-$C$5-IF(Y27&lt;3,$C$8,0)),MIN(AA27*(1-$C$5-IF(Y27&lt;3,$C$8,0)),Z27*(1-$C$6-IF(Y27&lt;3,$C$8,0))))&lt;10,$C$9,IF(IF(Z27&lt;AA27*(1-$C$7),AA27*(1-$C$5-IF(Y27&lt;3,$C$8,0)),MIN(AA27*(1-$C$5-IF(Y27&lt;3,$C$8,0)),Z27*(1-$C$6-IF(Y27&lt;3,$C$8,0))))&lt;100,$D$9,$E$9)))),ROUND($D27*(1+$C$10),2),FLOOR(IF(Z27&lt;AA27*(1-$C$7),AA27*(1-$C$5-IF(Y27&lt;3,$C$8,0)),MIN(AA27*(1-$C$5-IF(Y27&lt;3,$C$8,0)),Z27*(1-$C$6-IF(Y27&lt;3,$C$8,0)))),IF(IF(Z27&lt;AA27*(1-$C$7),AA27*(1-$C$5-IF(Y27&lt;3,$C$8,0)),MIN(AA27*(1-$C$5-IF(Y27&lt;3,$C$8,0)),Z27*(1-$C$6-IF(Y27&lt;3,$C$8,0))))&lt;10,$C$9,IF(IF(Z27&lt;AA27*(1-$C$7),AA27*(1-$C$5-IF(Y27&lt;3,$C$8,0)),MIN(AA27*(1-$C$5-IF(Y27&lt;3,$C$8,0)),Z27*(1-$C$6-IF(Y27&lt;3,$C$8,0))))&lt;100,$D$9,$E$9)))))</f>
        <v>5.95</v>
      </c>
      <c r="AE27" s="65" t="n">
        <f aca="false">IF(Y27=0,"—",FLOOR(AD27*Sources!$G$10,1))</f>
        <v>145</v>
      </c>
      <c r="AF27" s="60" t="n">
        <f aca="false">IF(ISNUMBER($D27),$D27,"n/a")</f>
        <v>3.245</v>
      </c>
      <c r="AG27" s="63" t="n">
        <f aca="false">IF(OR(Y27=0,NOT(ISNUMBER($D27))),"—",AD27/$D27-1)</f>
        <v>0.833590138674885</v>
      </c>
      <c r="AH27" s="64" t="n">
        <f aca="false">IF(Y27=0,"—",AD27/Z27-1)</f>
        <v>-0.0558698160310766</v>
      </c>
      <c r="AI27" s="64" t="n">
        <f aca="false">IF(Y27=0,"—",AD27/AA27-1)</f>
        <v>-0.254843050534791</v>
      </c>
      <c r="AJ27" s="59" t="n">
        <f aca="false">COUNTIFS(Offers!$B$7:$B$3000,$B27,Offers!$C$7:$C$3000,"Slovakia",Offers!$AI$7:$AI$3000,"yes")</f>
        <v>2</v>
      </c>
      <c r="AK27" s="60" t="n">
        <f aca="false">IF(AJ27=0,"—",SUMIFS(Review!$I$7:$I$600,Review!$B$7:$B$600,$B27,Review!$C$7:$C$600,"Slovakia"))</f>
        <v>11.065041</v>
      </c>
      <c r="AL27" s="60" t="n">
        <f aca="false">IF(AJ27=0,"—",SUMIFS(Review!$J$7:$J$600,Review!$B$7:$B$600,$B27,Review!$C$7:$C$600,"Slovakia"))</f>
        <v>11.3825205</v>
      </c>
      <c r="AM27" s="60" t="n">
        <f aca="false">IF(AJ27=0,"—",SUMIFS(Review!$K$7:$K$600,Review!$B$7:$B$600,$B27,Review!$C$7:$C$600,"Slovakia"))</f>
        <v>11.7</v>
      </c>
      <c r="AN27" s="61" t="str">
        <f aca="false">IF(AJ27=0,"—",IF(AK27&lt;AL27*(1-$C$7),"median (cheapest is an outlier)",IF(AK27*(1-$C$6)&lt;AL27*(1-$C$5),"undercut cheapest","median")))</f>
        <v>median</v>
      </c>
      <c r="AO27" s="62" t="n">
        <f aca="false">IF(AJ27=0,"—",IF(AND(ISNUMBER($D27),$D27*(1+$C$10)&gt;FLOOR(IF(AK27&lt;AL27*(1-$C$7),AL27*(1-$C$5-IF(AJ27&lt;3,$C$8,0)),MIN(AL27*(1-$C$5-IF(AJ27&lt;3,$C$8,0)),AK27*(1-$C$6-IF(AJ27&lt;3,$C$8,0)))),IF(IF(AK27&lt;AL27*(1-$C$7),AL27*(1-$C$5-IF(AJ27&lt;3,$C$8,0)),MIN(AL27*(1-$C$5-IF(AJ27&lt;3,$C$8,0)),AK27*(1-$C$6-IF(AJ27&lt;3,$C$8,0))))&lt;10,$C$9,IF(IF(AK27&lt;AL27*(1-$C$7),AL27*(1-$C$5-IF(AJ27&lt;3,$C$8,0)),MIN(AL27*(1-$C$5-IF(AJ27&lt;3,$C$8,0)),AK27*(1-$C$6-IF(AJ27&lt;3,$C$8,0))))&lt;100,$D$9,$E$9)))),ROUND($D27*(1+$C$10),2),FLOOR(IF(AK27&lt;AL27*(1-$C$7),AL27*(1-$C$5-IF(AJ27&lt;3,$C$8,0)),MIN(AL27*(1-$C$5-IF(AJ27&lt;3,$C$8,0)),AK27*(1-$C$6-IF(AJ27&lt;3,$C$8,0)))),IF(IF(AK27&lt;AL27*(1-$C$7),AL27*(1-$C$5-IF(AJ27&lt;3,$C$8,0)),MIN(AL27*(1-$C$5-IF(AJ27&lt;3,$C$8,0)),AK27*(1-$C$6-IF(AJ27&lt;3,$C$8,0))))&lt;10,$C$9,IF(IF(AK27&lt;AL27*(1-$C$7),AL27*(1-$C$5-IF(AJ27&lt;3,$C$8,0)),MIN(AL27*(1-$C$5-IF(AJ27&lt;3,$C$8,0)),AK27*(1-$C$6-IF(AJ27&lt;3,$C$8,0))))&lt;100,$D$9,$E$9)))))</f>
        <v>7.95</v>
      </c>
      <c r="AP27" s="60" t="n">
        <f aca="false">IF(ISNUMBER($D27),$D27,"n/a")</f>
        <v>3.245</v>
      </c>
      <c r="AQ27" s="63" t="n">
        <f aca="false">IF(OR(AJ27=0,NOT(ISNUMBER($D27))),"—",AO27/$D27-1)</f>
        <v>1.44992295839753</v>
      </c>
      <c r="AR27" s="64" t="n">
        <f aca="false">IF(AJ27=0,"—",AO27/AK27-1)</f>
        <v>-0.281520963184863</v>
      </c>
      <c r="AS27" s="64" t="n">
        <f aca="false">IF(AJ27=0,"—",AO27/AL27-1)</f>
        <v>-0.301560669273559</v>
      </c>
      <c r="AT27" s="59" t="n">
        <f aca="false">COUNTIFS(Offers!$B$7:$B$3000,$B27,Offers!$C$7:$C$3000,"Romania",Offers!$AI$7:$AI$3000,"yes")</f>
        <v>8</v>
      </c>
      <c r="AU27" s="60" t="n">
        <f aca="false">IF(AT27=0,"—",SUMIFS(Review!$I$7:$I$600,Review!$B$7:$B$600,$B27,Review!$C$7:$C$600,"Romania"))</f>
        <v>6.002681</v>
      </c>
      <c r="AV27" s="60" t="n">
        <f aca="false">IF(AT27=0,"—",SUMIFS(Review!$J$7:$J$600,Review!$B$7:$B$600,$B27,Review!$C$7:$C$600,"Romania"))</f>
        <v>7.989364</v>
      </c>
      <c r="AW27" s="60" t="n">
        <f aca="false">IF(AT27=0,"—",SUMIFS(Review!$K$7:$K$600,Review!$B$7:$B$600,$B27,Review!$C$7:$C$600,"Romania"))</f>
        <v>11.793146</v>
      </c>
      <c r="AX27" s="61" t="str">
        <f aca="false">IF(AT27=0,"—",IF(AU27&lt;AV27*(1-$C$7),"median (cheapest is an outlier)",IF(AU27*(1-$C$6)&lt;AV27*(1-$C$5),"undercut cheapest","median")))</f>
        <v>undercut cheapest</v>
      </c>
      <c r="AY27" s="62" t="n">
        <f aca="false">IF(AT27=0,"—",IF(AND(ISNUMBER($D27),$D27*(1+$C$10)&gt;FLOOR(IF(AU27&lt;AV27*(1-$C$7),AV27*(1-$C$5-IF(AT27&lt;3,$C$8,0)),MIN(AV27*(1-$C$5-IF(AT27&lt;3,$C$8,0)),AU27*(1-$C$6-IF(AT27&lt;3,$C$8,0)))),IF(IF(AU27&lt;AV27*(1-$C$7),AV27*(1-$C$5-IF(AT27&lt;3,$C$8,0)),MIN(AV27*(1-$C$5-IF(AT27&lt;3,$C$8,0)),AU27*(1-$C$6-IF(AT27&lt;3,$C$8,0))))&lt;10,$C$9,IF(IF(AU27&lt;AV27*(1-$C$7),AV27*(1-$C$5-IF(AT27&lt;3,$C$8,0)),MIN(AV27*(1-$C$5-IF(AT27&lt;3,$C$8,0)),AU27*(1-$C$6-IF(AT27&lt;3,$C$8,0))))&lt;100,$D$9,$E$9)))),ROUND($D27*(1+$C$10),2),FLOOR(IF(AU27&lt;AV27*(1-$C$7),AV27*(1-$C$5-IF(AT27&lt;3,$C$8,0)),MIN(AV27*(1-$C$5-IF(AT27&lt;3,$C$8,0)),AU27*(1-$C$6-IF(AT27&lt;3,$C$8,0)))),IF(IF(AU27&lt;AV27*(1-$C$7),AV27*(1-$C$5-IF(AT27&lt;3,$C$8,0)),MIN(AV27*(1-$C$5-IF(AT27&lt;3,$C$8,0)),AU27*(1-$C$6-IF(AT27&lt;3,$C$8,0))))&lt;10,$C$9,IF(IF(AU27&lt;AV27*(1-$C$7),AV27*(1-$C$5-IF(AT27&lt;3,$C$8,0)),MIN(AV27*(1-$C$5-IF(AT27&lt;3,$C$8,0)),AU27*(1-$C$6-IF(AT27&lt;3,$C$8,0))))&lt;100,$D$9,$E$9)))))</f>
        <v>5.7</v>
      </c>
      <c r="AZ27" s="62" t="n">
        <f aca="false">IF(AT27=0,"—",FLOOR(AY27*Sources!$G$9,0.1))</f>
        <v>30</v>
      </c>
      <c r="BA27" s="60" t="n">
        <f aca="false">IF(ISNUMBER($D27),$D27,"n/a")</f>
        <v>3.245</v>
      </c>
      <c r="BB27" s="63" t="n">
        <f aca="false">IF(OR(AT27=0,NOT(ISNUMBER($D27))),"—",AY27/$D27-1)</f>
        <v>0.756548536209553</v>
      </c>
      <c r="BC27" s="64" t="n">
        <f aca="false">IF(AT27=0,"—",AY27/AU27-1)</f>
        <v>-0.0504243020743564</v>
      </c>
      <c r="BD27" s="64" t="n">
        <f aca="false">IF(AT27=0,"—",AY27/AV27-1)</f>
        <v>-0.286551470179604</v>
      </c>
      <c r="BE27" s="59" t="n">
        <f aca="false">COUNTIFS(Offers!$B$7:$B$3000,$B27,Offers!$C$7:$C$3000,"Hungary",Offers!$AI$7:$AI$3000,"yes")</f>
        <v>8</v>
      </c>
      <c r="BF27" s="60" t="n">
        <f aca="false">IF(BE27=0,"—",SUMIFS(Review!$I$7:$I$600,Review!$B$7:$B$600,$B27,Review!$C$7:$C$600,"Hungary"))</f>
        <v>4.157221</v>
      </c>
      <c r="BG27" s="60" t="n">
        <f aca="false">IF(BE27=0,"—",SUMIFS(Review!$J$7:$J$600,Review!$B$7:$B$600,$B27,Review!$C$7:$C$600,"Hungary"))</f>
        <v>7.322936</v>
      </c>
      <c r="BH27" s="60" t="n">
        <f aca="false">IF(BE27=0,"—",SUMIFS(Review!$K$7:$K$600,Review!$B$7:$B$600,$B27,Review!$C$7:$C$600,"Hungary"))</f>
        <v>19.521455</v>
      </c>
      <c r="BI27" s="61" t="str">
        <f aca="false">IF(BE27=0,"—",IF(BF27&lt;BG27*(1-$C$7),"median (cheapest is an outlier)",IF(BF27*(1-$C$6)&lt;BG27*(1-$C$5),"undercut cheapest","median")))</f>
        <v>median (cheapest is an outlier)</v>
      </c>
      <c r="BJ27" s="62" t="n">
        <f aca="false">IF(BE27=0,"—",IF(AND(ISNUMBER($D27),$D27*(1+$C$10)&gt;FLOOR(IF(BF27&lt;BG27*(1-$C$7),BG27*(1-$C$5-IF(BE27&lt;3,$C$8,0)),MIN(BG27*(1-$C$5-IF(BE27&lt;3,$C$8,0)),BF27*(1-$C$6-IF(BE27&lt;3,$C$8,0)))),IF(IF(BF27&lt;BG27*(1-$C$7),BG27*(1-$C$5-IF(BE27&lt;3,$C$8,0)),MIN(BG27*(1-$C$5-IF(BE27&lt;3,$C$8,0)),BF27*(1-$C$6-IF(BE27&lt;3,$C$8,0))))&lt;10,$C$9,IF(IF(BF27&lt;BG27*(1-$C$7),BG27*(1-$C$5-IF(BE27&lt;3,$C$8,0)),MIN(BG27*(1-$C$5-IF(BE27&lt;3,$C$8,0)),BF27*(1-$C$6-IF(BE27&lt;3,$C$8,0))))&lt;100,$D$9,$E$9)))),ROUND($D27*(1+$C$10),2),FLOOR(IF(BF27&lt;BG27*(1-$C$7),BG27*(1-$C$5-IF(BE27&lt;3,$C$8,0)),MIN(BG27*(1-$C$5-IF(BE27&lt;3,$C$8,0)),BF27*(1-$C$6-IF(BE27&lt;3,$C$8,0)))),IF(IF(BF27&lt;BG27*(1-$C$7),BG27*(1-$C$5-IF(BE27&lt;3,$C$8,0)),MIN(BG27*(1-$C$5-IF(BE27&lt;3,$C$8,0)),BF27*(1-$C$6-IF(BE27&lt;3,$C$8,0))))&lt;10,$C$9,IF(IF(BF27&lt;BG27*(1-$C$7),BG27*(1-$C$5-IF(BE27&lt;3,$C$8,0)),MIN(BG27*(1-$C$5-IF(BE27&lt;3,$C$8,0)),BF27*(1-$C$6-IF(BE27&lt;3,$C$8,0))))&lt;100,$D$9,$E$9)))))</f>
        <v>5.45</v>
      </c>
      <c r="BK27" s="65" t="n">
        <f aca="false">IF(BE27=0,"—",FLOOR(BJ27*Sources!$G$8,10))</f>
        <v>1990</v>
      </c>
      <c r="BL27" s="60" t="n">
        <f aca="false">IF(ISNUMBER($D27),$D27,"n/a")</f>
        <v>3.245</v>
      </c>
      <c r="BM27" s="63" t="n">
        <f aca="false">IF(OR(BE27=0,NOT(ISNUMBER($D27))),"—",BJ27/$D27-1)</f>
        <v>0.679506933744222</v>
      </c>
      <c r="BN27" s="64" t="n">
        <f aca="false">IF(BE27=0,"—",BJ27/BF27-1)</f>
        <v>0.310971920905817</v>
      </c>
      <c r="BO27" s="64" t="n">
        <f aca="false">IF(BE27=0,"—",BJ27/BG27-1)</f>
        <v>-0.255762989052478</v>
      </c>
    </row>
    <row r="28" customFormat="false" ht="15" hidden="false" customHeight="true" outlineLevel="0" collapsed="false">
      <c r="B28" s="66" t="s">
        <v>37</v>
      </c>
      <c r="C28" s="66" t="s">
        <v>153</v>
      </c>
      <c r="D28" s="58" t="n">
        <v>4.675</v>
      </c>
      <c r="E28" s="67" t="n">
        <f aca="false">COUNTIFS(Offers!$B$7:$B$3000,$B28,Offers!$C$7:$C$3000,"Austria",Offers!$AI$7:$AI$3000,"yes")</f>
        <v>9</v>
      </c>
      <c r="F28" s="68" t="n">
        <f aca="false">IF(E28=0,"—",SUMIFS(Review!$I$7:$I$600,Review!$B$7:$B$600,$B28,Review!$C$7:$C$600,"Austria"))</f>
        <v>8.8</v>
      </c>
      <c r="G28" s="68" t="n">
        <f aca="false">IF(E28=0,"—",SUMIFS(Review!$J$7:$J$600,Review!$B$7:$B$600,$B28,Review!$C$7:$C$600,"Austria"))</f>
        <v>12.8</v>
      </c>
      <c r="H28" s="68" t="n">
        <f aca="false">IF(E28=0,"—",SUMIFS(Review!$K$7:$K$600,Review!$B$7:$B$600,$B28,Review!$C$7:$C$600,"Austria"))</f>
        <v>34.9</v>
      </c>
      <c r="I28" s="69" t="str">
        <f aca="false">IF(E28=0,"—",IF(F28&lt;G28*(1-$C$7),"median (cheapest is an outlier)",IF(F28*(1-$C$6)&lt;G28*(1-$C$5),"undercut cheapest","median")))</f>
        <v>undercut cheapest</v>
      </c>
      <c r="J28" s="70" t="n">
        <f aca="false">IF(E28=0,"—",IF(AND(ISNUMBER($D28),$D28*(1+$C$10)&gt;FLOOR(IF(F28&lt;G28*(1-$C$7),G28*(1-$C$5-IF(E28&lt;3,$C$8,0)),MIN(G28*(1-$C$5-IF(E28&lt;3,$C$8,0)),F28*(1-$C$6-IF(E28&lt;3,$C$8,0)))),IF(IF(F28&lt;G28*(1-$C$7),G28*(1-$C$5-IF(E28&lt;3,$C$8,0)),MIN(G28*(1-$C$5-IF(E28&lt;3,$C$8,0)),F28*(1-$C$6-IF(E28&lt;3,$C$8,0))))&lt;10,$C$9,IF(IF(F28&lt;G28*(1-$C$7),G28*(1-$C$5-IF(E28&lt;3,$C$8,0)),MIN(G28*(1-$C$5-IF(E28&lt;3,$C$8,0)),F28*(1-$C$6-IF(E28&lt;3,$C$8,0))))&lt;100,$D$9,$E$9)))),ROUND($D28*(1+$C$10),2),FLOOR(IF(F28&lt;G28*(1-$C$7),G28*(1-$C$5-IF(E28&lt;3,$C$8,0)),MIN(G28*(1-$C$5-IF(E28&lt;3,$C$8,0)),F28*(1-$C$6-IF(E28&lt;3,$C$8,0)))),IF(IF(F28&lt;G28*(1-$C$7),G28*(1-$C$5-IF(E28&lt;3,$C$8,0)),MIN(G28*(1-$C$5-IF(E28&lt;3,$C$8,0)),F28*(1-$C$6-IF(E28&lt;3,$C$8,0))))&lt;10,$C$9,IF(IF(F28&lt;G28*(1-$C$7),G28*(1-$C$5-IF(E28&lt;3,$C$8,0)),MIN(G28*(1-$C$5-IF(E28&lt;3,$C$8,0)),F28*(1-$C$6-IF(E28&lt;3,$C$8,0))))&lt;100,$D$9,$E$9)))))</f>
        <v>8.35</v>
      </c>
      <c r="K28" s="68" t="n">
        <f aca="false">IF(ISNUMBER($D28),$D28,"n/a")</f>
        <v>4.675</v>
      </c>
      <c r="L28" s="71" t="n">
        <f aca="false">IF(OR(E28=0,NOT(ISNUMBER($D28))),"—",J28/$D28-1)</f>
        <v>0.786096256684492</v>
      </c>
      <c r="M28" s="72" t="n">
        <f aca="false">IF(E28=0,"—",J28/F28-1)</f>
        <v>-0.0511363636363638</v>
      </c>
      <c r="N28" s="72" t="n">
        <f aca="false">IF(E28=0,"—",J28/G28-1)</f>
        <v>-0.34765625</v>
      </c>
      <c r="O28" s="67" t="n">
        <f aca="false">COUNTIFS(Offers!$B$7:$B$3000,$B28,Offers!$C$7:$C$3000,"Germany",Offers!$AI$7:$AI$3000,"yes")</f>
        <v>8</v>
      </c>
      <c r="P28" s="68" t="n">
        <f aca="false">IF(O28=0,"—",SUMIFS(Review!$I$7:$I$600,Review!$B$7:$B$600,$B28,Review!$C$7:$C$600,"Germany"))</f>
        <v>9.37</v>
      </c>
      <c r="Q28" s="68" t="n">
        <f aca="false">IF(O28=0,"—",SUMIFS(Review!$J$7:$J$600,Review!$B$7:$B$600,$B28,Review!$C$7:$C$600,"Germany"))</f>
        <v>11.395</v>
      </c>
      <c r="R28" s="68" t="n">
        <f aca="false">IF(O28=0,"—",SUMIFS(Review!$K$7:$K$600,Review!$B$7:$B$600,$B28,Review!$C$7:$C$600,"Germany"))</f>
        <v>26.81</v>
      </c>
      <c r="S28" s="69" t="str">
        <f aca="false">IF(O28=0,"—",IF(P28&lt;Q28*(1-$C$7),"median (cheapest is an outlier)",IF(P28*(1-$C$6)&lt;Q28*(1-$C$5),"undercut cheapest","median")))</f>
        <v>median</v>
      </c>
      <c r="T28" s="70" t="n">
        <f aca="false">IF(O28=0,"—",IF(AND(ISNUMBER($D28),$D28*(1+$C$10)&gt;FLOOR(IF(P28&lt;Q28*(1-$C$7),Q28*(1-$C$5-IF(O28&lt;3,$C$8,0)),MIN(Q28*(1-$C$5-IF(O28&lt;3,$C$8,0)),P28*(1-$C$6-IF(O28&lt;3,$C$8,0)))),IF(IF(P28&lt;Q28*(1-$C$7),Q28*(1-$C$5-IF(O28&lt;3,$C$8,0)),MIN(Q28*(1-$C$5-IF(O28&lt;3,$C$8,0)),P28*(1-$C$6-IF(O28&lt;3,$C$8,0))))&lt;10,$C$9,IF(IF(P28&lt;Q28*(1-$C$7),Q28*(1-$C$5-IF(O28&lt;3,$C$8,0)),MIN(Q28*(1-$C$5-IF(O28&lt;3,$C$8,0)),P28*(1-$C$6-IF(O28&lt;3,$C$8,0))))&lt;100,$D$9,$E$9)))),ROUND($D28*(1+$C$10),2),FLOOR(IF(P28&lt;Q28*(1-$C$7),Q28*(1-$C$5-IF(O28&lt;3,$C$8,0)),MIN(Q28*(1-$C$5-IF(O28&lt;3,$C$8,0)),P28*(1-$C$6-IF(O28&lt;3,$C$8,0)))),IF(IF(P28&lt;Q28*(1-$C$7),Q28*(1-$C$5-IF(O28&lt;3,$C$8,0)),MIN(Q28*(1-$C$5-IF(O28&lt;3,$C$8,0)),P28*(1-$C$6-IF(O28&lt;3,$C$8,0))))&lt;10,$C$9,IF(IF(P28&lt;Q28*(1-$C$7),Q28*(1-$C$5-IF(O28&lt;3,$C$8,0)),MIN(Q28*(1-$C$5-IF(O28&lt;3,$C$8,0)),P28*(1-$C$6-IF(O28&lt;3,$C$8,0))))&lt;100,$D$9,$E$9)))))</f>
        <v>8.5</v>
      </c>
      <c r="U28" s="68" t="n">
        <f aca="false">IF(ISNUMBER($D28),$D28,"n/a")</f>
        <v>4.675</v>
      </c>
      <c r="V28" s="71" t="n">
        <f aca="false">IF(OR(O28=0,NOT(ISNUMBER($D28))),"—",T28/$D28-1)</f>
        <v>0.818181818181818</v>
      </c>
      <c r="W28" s="72" t="n">
        <f aca="false">IF(O28=0,"—",T28/P28-1)</f>
        <v>-0.0928495197438634</v>
      </c>
      <c r="X28" s="72" t="n">
        <f aca="false">IF(O28=0,"—",T28/Q28-1)</f>
        <v>-0.254058797718297</v>
      </c>
      <c r="Y28" s="67" t="n">
        <f aca="false">COUNTIFS(Offers!$B$7:$B$3000,$B28,Offers!$C$7:$C$3000,"Czech",Offers!$AI$7:$AI$3000,"yes")</f>
        <v>4</v>
      </c>
      <c r="Z28" s="68" t="n">
        <f aca="false">IF(Y28=0,"—",SUMIFS(Review!$I$7:$I$600,Review!$B$7:$B$600,$B28,Review!$C$7:$C$600,"Czech"))</f>
        <v>8.96755</v>
      </c>
      <c r="AA28" s="68" t="n">
        <f aca="false">IF(Y28=0,"—",SUMIFS(Review!$J$7:$J$600,Review!$B$7:$B$600,$B28,Review!$C$7:$C$600,"Czech"))</f>
        <v>10.5576095</v>
      </c>
      <c r="AB28" s="68" t="n">
        <f aca="false">IF(Y28=0,"—",SUMIFS(Review!$K$7:$K$600,Review!$B$7:$B$600,$B28,Review!$C$7:$C$600,"Czech"))</f>
        <v>16.009096</v>
      </c>
      <c r="AC28" s="69" t="str">
        <f aca="false">IF(Y28=0,"—",IF(Z28&lt;AA28*(1-$C$7),"median (cheapest is an outlier)",IF(Z28*(1-$C$6)&lt;AA28*(1-$C$5),"undercut cheapest","median")))</f>
        <v>median</v>
      </c>
      <c r="AD28" s="70" t="n">
        <f aca="false">IF(Y28=0,"—",IF(AND(ISNUMBER($D28),$D28*(1+$C$10)&gt;FLOOR(IF(Z28&lt;AA28*(1-$C$7),AA28*(1-$C$5-IF(Y28&lt;3,$C$8,0)),MIN(AA28*(1-$C$5-IF(Y28&lt;3,$C$8,0)),Z28*(1-$C$6-IF(Y28&lt;3,$C$8,0)))),IF(IF(Z28&lt;AA28*(1-$C$7),AA28*(1-$C$5-IF(Y28&lt;3,$C$8,0)),MIN(AA28*(1-$C$5-IF(Y28&lt;3,$C$8,0)),Z28*(1-$C$6-IF(Y28&lt;3,$C$8,0))))&lt;10,$C$9,IF(IF(Z28&lt;AA28*(1-$C$7),AA28*(1-$C$5-IF(Y28&lt;3,$C$8,0)),MIN(AA28*(1-$C$5-IF(Y28&lt;3,$C$8,0)),Z28*(1-$C$6-IF(Y28&lt;3,$C$8,0))))&lt;100,$D$9,$E$9)))),ROUND($D28*(1+$C$10),2),FLOOR(IF(Z28&lt;AA28*(1-$C$7),AA28*(1-$C$5-IF(Y28&lt;3,$C$8,0)),MIN(AA28*(1-$C$5-IF(Y28&lt;3,$C$8,0)),Z28*(1-$C$6-IF(Y28&lt;3,$C$8,0)))),IF(IF(Z28&lt;AA28*(1-$C$7),AA28*(1-$C$5-IF(Y28&lt;3,$C$8,0)),MIN(AA28*(1-$C$5-IF(Y28&lt;3,$C$8,0)),Z28*(1-$C$6-IF(Y28&lt;3,$C$8,0))))&lt;10,$C$9,IF(IF(Z28&lt;AA28*(1-$C$7),AA28*(1-$C$5-IF(Y28&lt;3,$C$8,0)),MIN(AA28*(1-$C$5-IF(Y28&lt;3,$C$8,0)),Z28*(1-$C$6-IF(Y28&lt;3,$C$8,0))))&lt;100,$D$9,$E$9)))))</f>
        <v>7.9</v>
      </c>
      <c r="AE28" s="73" t="n">
        <f aca="false">IF(Y28=0,"—",FLOOR(AD28*Sources!$G$10,1))</f>
        <v>192</v>
      </c>
      <c r="AF28" s="68" t="n">
        <f aca="false">IF(ISNUMBER($D28),$D28,"n/a")</f>
        <v>4.675</v>
      </c>
      <c r="AG28" s="71" t="n">
        <f aca="false">IF(OR(Y28=0,NOT(ISNUMBER($D28))),"—",AD28/$D28-1)</f>
        <v>0.689839572192514</v>
      </c>
      <c r="AH28" s="72" t="n">
        <f aca="false">IF(Y28=0,"—",AD28/Z28-1)</f>
        <v>-0.119045893248435</v>
      </c>
      <c r="AI28" s="72" t="n">
        <f aca="false">IF(Y28=0,"—",AD28/AA28-1)</f>
        <v>-0.251724549956124</v>
      </c>
      <c r="AJ28" s="67" t="n">
        <f aca="false">COUNTIFS(Offers!$B$7:$B$3000,$B28,Offers!$C$7:$C$3000,"Slovakia",Offers!$AI$7:$AI$3000,"yes")</f>
        <v>1</v>
      </c>
      <c r="AK28" s="68" t="n">
        <f aca="false">IF(AJ28=0,"—",SUMIFS(Review!$I$7:$I$600,Review!$B$7:$B$600,$B28,Review!$C$7:$C$600,"Slovakia"))</f>
        <v>15.21</v>
      </c>
      <c r="AL28" s="68" t="n">
        <f aca="false">IF(AJ28=0,"—",SUMIFS(Review!$J$7:$J$600,Review!$B$7:$B$600,$B28,Review!$C$7:$C$600,"Slovakia"))</f>
        <v>15.21</v>
      </c>
      <c r="AM28" s="68" t="n">
        <f aca="false">IF(AJ28=0,"—",SUMIFS(Review!$K$7:$K$600,Review!$B$7:$B$600,$B28,Review!$C$7:$C$600,"Slovakia"))</f>
        <v>15.21</v>
      </c>
      <c r="AN28" s="69" t="str">
        <f aca="false">IF(AJ28=0,"—",IF(AK28&lt;AL28*(1-$C$7),"median (cheapest is an outlier)",IF(AK28*(1-$C$6)&lt;AL28*(1-$C$5),"undercut cheapest","median")))</f>
        <v>median</v>
      </c>
      <c r="AO28" s="70" t="n">
        <f aca="false">IF(AJ28=0,"—",IF(AND(ISNUMBER($D28),$D28*(1+$C$10)&gt;FLOOR(IF(AK28&lt;AL28*(1-$C$7),AL28*(1-$C$5-IF(AJ28&lt;3,$C$8,0)),MIN(AL28*(1-$C$5-IF(AJ28&lt;3,$C$8,0)),AK28*(1-$C$6-IF(AJ28&lt;3,$C$8,0)))),IF(IF(AK28&lt;AL28*(1-$C$7),AL28*(1-$C$5-IF(AJ28&lt;3,$C$8,0)),MIN(AL28*(1-$C$5-IF(AJ28&lt;3,$C$8,0)),AK28*(1-$C$6-IF(AJ28&lt;3,$C$8,0))))&lt;10,$C$9,IF(IF(AK28&lt;AL28*(1-$C$7),AL28*(1-$C$5-IF(AJ28&lt;3,$C$8,0)),MIN(AL28*(1-$C$5-IF(AJ28&lt;3,$C$8,0)),AK28*(1-$C$6-IF(AJ28&lt;3,$C$8,0))))&lt;100,$D$9,$E$9)))),ROUND($D28*(1+$C$10),2),FLOOR(IF(AK28&lt;AL28*(1-$C$7),AL28*(1-$C$5-IF(AJ28&lt;3,$C$8,0)),MIN(AL28*(1-$C$5-IF(AJ28&lt;3,$C$8,0)),AK28*(1-$C$6-IF(AJ28&lt;3,$C$8,0)))),IF(IF(AK28&lt;AL28*(1-$C$7),AL28*(1-$C$5-IF(AJ28&lt;3,$C$8,0)),MIN(AL28*(1-$C$5-IF(AJ28&lt;3,$C$8,0)),AK28*(1-$C$6-IF(AJ28&lt;3,$C$8,0))))&lt;10,$C$9,IF(IF(AK28&lt;AL28*(1-$C$7),AL28*(1-$C$5-IF(AJ28&lt;3,$C$8,0)),MIN(AL28*(1-$C$5-IF(AJ28&lt;3,$C$8,0)),AK28*(1-$C$6-IF(AJ28&lt;3,$C$8,0))))&lt;100,$D$9,$E$9)))))</f>
        <v>10.6</v>
      </c>
      <c r="AP28" s="68" t="n">
        <f aca="false">IF(ISNUMBER($D28),$D28,"n/a")</f>
        <v>4.675</v>
      </c>
      <c r="AQ28" s="71" t="n">
        <f aca="false">IF(OR(AJ28=0,NOT(ISNUMBER($D28))),"—",AO28/$D28-1)</f>
        <v>1.26737967914439</v>
      </c>
      <c r="AR28" s="72" t="n">
        <f aca="false">IF(AJ28=0,"—",AO28/AK28-1)</f>
        <v>-0.303090072320842</v>
      </c>
      <c r="AS28" s="72" t="n">
        <f aca="false">IF(AJ28=0,"—",AO28/AL28-1)</f>
        <v>-0.303090072320842</v>
      </c>
      <c r="AT28" s="67" t="n">
        <f aca="false">COUNTIFS(Offers!$B$7:$B$3000,$B28,Offers!$C$7:$C$3000,"Romania",Offers!$AI$7:$AI$3000,"yes")</f>
        <v>0</v>
      </c>
      <c r="AU28" s="68" t="str">
        <f aca="false">IF(AT28=0,"—",SUMIFS(Review!$I$7:$I$600,Review!$B$7:$B$600,$B28,Review!$C$7:$C$600,"Romania"))</f>
        <v>—</v>
      </c>
      <c r="AV28" s="68" t="str">
        <f aca="false">IF(AT28=0,"—",SUMIFS(Review!$J$7:$J$600,Review!$B$7:$B$600,$B28,Review!$C$7:$C$600,"Romania"))</f>
        <v>—</v>
      </c>
      <c r="AW28" s="68" t="str">
        <f aca="false">IF(AT28=0,"—",SUMIFS(Review!$K$7:$K$600,Review!$B$7:$B$600,$B28,Review!$C$7:$C$600,"Romania"))</f>
        <v>—</v>
      </c>
      <c r="AX28" s="69" t="str">
        <f aca="false">IF(AT28=0,"—",IF(AU28&lt;AV28*(1-$C$7),"median (cheapest is an outlier)",IF(AU28*(1-$C$6)&lt;AV28*(1-$C$5),"undercut cheapest","median")))</f>
        <v>—</v>
      </c>
      <c r="AY28" s="70" t="str">
        <f aca="false">IF(AT28=0,"—",IF(AND(ISNUMBER($D28),$D28*(1+$C$10)&gt;FLOOR(IF(AU28&lt;AV28*(1-$C$7),AV28*(1-$C$5-IF(AT28&lt;3,$C$8,0)),MIN(AV28*(1-$C$5-IF(AT28&lt;3,$C$8,0)),AU28*(1-$C$6-IF(AT28&lt;3,$C$8,0)))),IF(IF(AU28&lt;AV28*(1-$C$7),AV28*(1-$C$5-IF(AT28&lt;3,$C$8,0)),MIN(AV28*(1-$C$5-IF(AT28&lt;3,$C$8,0)),AU28*(1-$C$6-IF(AT28&lt;3,$C$8,0))))&lt;10,$C$9,IF(IF(AU28&lt;AV28*(1-$C$7),AV28*(1-$C$5-IF(AT28&lt;3,$C$8,0)),MIN(AV28*(1-$C$5-IF(AT28&lt;3,$C$8,0)),AU28*(1-$C$6-IF(AT28&lt;3,$C$8,0))))&lt;100,$D$9,$E$9)))),ROUND($D28*(1+$C$10),2),FLOOR(IF(AU28&lt;AV28*(1-$C$7),AV28*(1-$C$5-IF(AT28&lt;3,$C$8,0)),MIN(AV28*(1-$C$5-IF(AT28&lt;3,$C$8,0)),AU28*(1-$C$6-IF(AT28&lt;3,$C$8,0)))),IF(IF(AU28&lt;AV28*(1-$C$7),AV28*(1-$C$5-IF(AT28&lt;3,$C$8,0)),MIN(AV28*(1-$C$5-IF(AT28&lt;3,$C$8,0)),AU28*(1-$C$6-IF(AT28&lt;3,$C$8,0))))&lt;10,$C$9,IF(IF(AU28&lt;AV28*(1-$C$7),AV28*(1-$C$5-IF(AT28&lt;3,$C$8,0)),MIN(AV28*(1-$C$5-IF(AT28&lt;3,$C$8,0)),AU28*(1-$C$6-IF(AT28&lt;3,$C$8,0))))&lt;100,$D$9,$E$9)))))</f>
        <v>—</v>
      </c>
      <c r="AZ28" s="70" t="str">
        <f aca="false">IF(AT28=0,"—",FLOOR(AY28*Sources!$G$9,0.1))</f>
        <v>—</v>
      </c>
      <c r="BA28" s="68" t="n">
        <f aca="false">IF(ISNUMBER($D28),$D28,"n/a")</f>
        <v>4.675</v>
      </c>
      <c r="BB28" s="71" t="str">
        <f aca="false">IF(OR(AT28=0,NOT(ISNUMBER($D28))),"—",AY28/$D28-1)</f>
        <v>—</v>
      </c>
      <c r="BC28" s="72" t="str">
        <f aca="false">IF(AT28=0,"—",AY28/AU28-1)</f>
        <v>—</v>
      </c>
      <c r="BD28" s="72" t="str">
        <f aca="false">IF(AT28=0,"—",AY28/AV28-1)</f>
        <v>—</v>
      </c>
      <c r="BE28" s="67" t="n">
        <f aca="false">COUNTIFS(Offers!$B$7:$B$3000,$B28,Offers!$C$7:$C$3000,"Hungary",Offers!$AI$7:$AI$3000,"yes")</f>
        <v>5</v>
      </c>
      <c r="BF28" s="68" t="n">
        <f aca="false">IF(BE28=0,"—",SUMIFS(Review!$I$7:$I$600,Review!$B$7:$B$600,$B28,Review!$C$7:$C$600,"Hungary"))</f>
        <v>6.77392</v>
      </c>
      <c r="BG28" s="68" t="n">
        <f aca="false">IF(BE28=0,"—",SUMIFS(Review!$J$7:$J$600,Review!$B$7:$B$600,$B28,Review!$C$7:$C$600,"Hungary"))</f>
        <v>10.925678</v>
      </c>
      <c r="BH28" s="68" t="n">
        <f aca="false">IF(BE28=0,"—",SUMIFS(Review!$K$7:$K$600,Review!$B$7:$B$600,$B28,Review!$C$7:$C$600,"Hungary"))</f>
        <v>13.943897</v>
      </c>
      <c r="BI28" s="69" t="str">
        <f aca="false">IF(BE28=0,"—",IF(BF28&lt;BG28*(1-$C$7),"median (cheapest is an outlier)",IF(BF28*(1-$C$6)&lt;BG28*(1-$C$5),"undercut cheapest","median")))</f>
        <v>median (cheapest is an outlier)</v>
      </c>
      <c r="BJ28" s="70" t="n">
        <f aca="false">IF(BE28=0,"—",IF(AND(ISNUMBER($D28),$D28*(1+$C$10)&gt;FLOOR(IF(BF28&lt;BG28*(1-$C$7),BG28*(1-$C$5-IF(BE28&lt;3,$C$8,0)),MIN(BG28*(1-$C$5-IF(BE28&lt;3,$C$8,0)),BF28*(1-$C$6-IF(BE28&lt;3,$C$8,0)))),IF(IF(BF28&lt;BG28*(1-$C$7),BG28*(1-$C$5-IF(BE28&lt;3,$C$8,0)),MIN(BG28*(1-$C$5-IF(BE28&lt;3,$C$8,0)),BF28*(1-$C$6-IF(BE28&lt;3,$C$8,0))))&lt;10,$C$9,IF(IF(BF28&lt;BG28*(1-$C$7),BG28*(1-$C$5-IF(BE28&lt;3,$C$8,0)),MIN(BG28*(1-$C$5-IF(BE28&lt;3,$C$8,0)),BF28*(1-$C$6-IF(BE28&lt;3,$C$8,0))))&lt;100,$D$9,$E$9)))),ROUND($D28*(1+$C$10),2),FLOOR(IF(BF28&lt;BG28*(1-$C$7),BG28*(1-$C$5-IF(BE28&lt;3,$C$8,0)),MIN(BG28*(1-$C$5-IF(BE28&lt;3,$C$8,0)),BF28*(1-$C$6-IF(BE28&lt;3,$C$8,0)))),IF(IF(BF28&lt;BG28*(1-$C$7),BG28*(1-$C$5-IF(BE28&lt;3,$C$8,0)),MIN(BG28*(1-$C$5-IF(BE28&lt;3,$C$8,0)),BF28*(1-$C$6-IF(BE28&lt;3,$C$8,0))))&lt;10,$C$9,IF(IF(BF28&lt;BG28*(1-$C$7),BG28*(1-$C$5-IF(BE28&lt;3,$C$8,0)),MIN(BG28*(1-$C$5-IF(BE28&lt;3,$C$8,0)),BF28*(1-$C$6-IF(BE28&lt;3,$C$8,0))))&lt;100,$D$9,$E$9)))))</f>
        <v>8.15</v>
      </c>
      <c r="BK28" s="73" t="n">
        <f aca="false">IF(BE28=0,"—",FLOOR(BJ28*Sources!$G$8,10))</f>
        <v>2980</v>
      </c>
      <c r="BL28" s="68" t="n">
        <f aca="false">IF(ISNUMBER($D28),$D28,"n/a")</f>
        <v>4.675</v>
      </c>
      <c r="BM28" s="71" t="n">
        <f aca="false">IF(OR(BE28=0,NOT(ISNUMBER($D28))),"—",BJ28/$D28-1)</f>
        <v>0.743315508021391</v>
      </c>
      <c r="BN28" s="72" t="n">
        <f aca="false">IF(BE28=0,"—",BJ28/BF28-1)</f>
        <v>0.203143822188629</v>
      </c>
      <c r="BO28" s="72" t="n">
        <f aca="false">IF(BE28=0,"—",BJ28/BG28-1)</f>
        <v>-0.254050869886519</v>
      </c>
    </row>
    <row r="29" customFormat="false" ht="15" hidden="false" customHeight="true" outlineLevel="0" collapsed="false">
      <c r="B29" s="1" t="s">
        <v>39</v>
      </c>
      <c r="C29" s="1" t="s">
        <v>154</v>
      </c>
      <c r="D29" s="58" t="n">
        <v>95</v>
      </c>
      <c r="E29" s="59" t="n">
        <f aca="false">COUNTIFS(Offers!$B$7:$B$3000,$B29,Offers!$C$7:$C$3000,"Austria",Offers!$AI$7:$AI$3000,"yes")</f>
        <v>10</v>
      </c>
      <c r="F29" s="60" t="n">
        <f aca="false">IF(E29=0,"—",SUMIFS(Review!$I$7:$I$600,Review!$B$7:$B$600,$B29,Review!$C$7:$C$600,"Austria"))</f>
        <v>169.9</v>
      </c>
      <c r="G29" s="60" t="n">
        <f aca="false">IF(E29=0,"—",SUMIFS(Review!$J$7:$J$600,Review!$B$7:$B$600,$B29,Review!$C$7:$C$600,"Austria"))</f>
        <v>260.435</v>
      </c>
      <c r="H29" s="60" t="n">
        <f aca="false">IF(E29=0,"—",SUMIFS(Review!$K$7:$K$600,Review!$B$7:$B$600,$B29,Review!$C$7:$C$600,"Austria"))</f>
        <v>299</v>
      </c>
      <c r="I29" s="61" t="str">
        <f aca="false">IF(E29=0,"—",IF(F29&lt;G29*(1-$C$7),"median (cheapest is an outlier)",IF(F29*(1-$C$6)&lt;G29*(1-$C$5),"undercut cheapest","median")))</f>
        <v>undercut cheapest</v>
      </c>
      <c r="J29" s="62" t="n">
        <f aca="false">IF(E29=0,"—",IF(AND(ISNUMBER($D29),$D29*(1+$C$10)&gt;FLOOR(IF(F29&lt;G29*(1-$C$7),G29*(1-$C$5-IF(E29&lt;3,$C$8,0)),MIN(G29*(1-$C$5-IF(E29&lt;3,$C$8,0)),F29*(1-$C$6-IF(E29&lt;3,$C$8,0)))),IF(IF(F29&lt;G29*(1-$C$7),G29*(1-$C$5-IF(E29&lt;3,$C$8,0)),MIN(G29*(1-$C$5-IF(E29&lt;3,$C$8,0)),F29*(1-$C$6-IF(E29&lt;3,$C$8,0))))&lt;10,$C$9,IF(IF(F29&lt;G29*(1-$C$7),G29*(1-$C$5-IF(E29&lt;3,$C$8,0)),MIN(G29*(1-$C$5-IF(E29&lt;3,$C$8,0)),F29*(1-$C$6-IF(E29&lt;3,$C$8,0))))&lt;100,$D$9,$E$9)))),ROUND($D29*(1+$C$10),2),FLOOR(IF(F29&lt;G29*(1-$C$7),G29*(1-$C$5-IF(E29&lt;3,$C$8,0)),MIN(G29*(1-$C$5-IF(E29&lt;3,$C$8,0)),F29*(1-$C$6-IF(E29&lt;3,$C$8,0)))),IF(IF(F29&lt;G29*(1-$C$7),G29*(1-$C$5-IF(E29&lt;3,$C$8,0)),MIN(G29*(1-$C$5-IF(E29&lt;3,$C$8,0)),F29*(1-$C$6-IF(E29&lt;3,$C$8,0))))&lt;10,$C$9,IF(IF(F29&lt;G29*(1-$C$7),G29*(1-$C$5-IF(E29&lt;3,$C$8,0)),MIN(G29*(1-$C$5-IF(E29&lt;3,$C$8,0)),F29*(1-$C$6-IF(E29&lt;3,$C$8,0))))&lt;100,$D$9,$E$9)))))</f>
        <v>161</v>
      </c>
      <c r="K29" s="60" t="n">
        <f aca="false">IF(ISNUMBER($D29),$D29,"n/a")</f>
        <v>95</v>
      </c>
      <c r="L29" s="63" t="n">
        <f aca="false">IF(OR(E29=0,NOT(ISNUMBER($D29))),"—",J29/$D29-1)</f>
        <v>0.694736842105263</v>
      </c>
      <c r="M29" s="64" t="n">
        <f aca="false">IF(E29=0,"—",J29/F29-1)</f>
        <v>-0.0523837551500883</v>
      </c>
      <c r="N29" s="64" t="n">
        <f aca="false">IF(E29=0,"—",J29/G29-1)</f>
        <v>-0.381803521032119</v>
      </c>
      <c r="O29" s="59" t="n">
        <f aca="false">COUNTIFS(Offers!$B$7:$B$3000,$B29,Offers!$C$7:$C$3000,"Germany",Offers!$AI$7:$AI$3000,"yes")</f>
        <v>10</v>
      </c>
      <c r="P29" s="60" t="n">
        <f aca="false">IF(O29=0,"—",SUMIFS(Review!$I$7:$I$600,Review!$B$7:$B$600,$B29,Review!$C$7:$C$600,"Germany"))</f>
        <v>169.9</v>
      </c>
      <c r="Q29" s="60" t="n">
        <f aca="false">IF(O29=0,"—",SUMIFS(Review!$J$7:$J$600,Review!$B$7:$B$600,$B29,Review!$C$7:$C$600,"Germany"))</f>
        <v>252.97</v>
      </c>
      <c r="R29" s="60" t="n">
        <f aca="false">IF(O29=0,"—",SUMIFS(Review!$K$7:$K$600,Review!$B$7:$B$600,$B29,Review!$C$7:$C$600,"Germany"))</f>
        <v>284</v>
      </c>
      <c r="S29" s="61" t="str">
        <f aca="false">IF(O29=0,"—",IF(P29&lt;Q29*(1-$C$7),"median (cheapest is an outlier)",IF(P29*(1-$C$6)&lt;Q29*(1-$C$5),"undercut cheapest","median")))</f>
        <v>undercut cheapest</v>
      </c>
      <c r="T29" s="62" t="n">
        <f aca="false">IF(O29=0,"—",IF(AND(ISNUMBER($D29),$D29*(1+$C$10)&gt;FLOOR(IF(P29&lt;Q29*(1-$C$7),Q29*(1-$C$5-IF(O29&lt;3,$C$8,0)),MIN(Q29*(1-$C$5-IF(O29&lt;3,$C$8,0)),P29*(1-$C$6-IF(O29&lt;3,$C$8,0)))),IF(IF(P29&lt;Q29*(1-$C$7),Q29*(1-$C$5-IF(O29&lt;3,$C$8,0)),MIN(Q29*(1-$C$5-IF(O29&lt;3,$C$8,0)),P29*(1-$C$6-IF(O29&lt;3,$C$8,0))))&lt;10,$C$9,IF(IF(P29&lt;Q29*(1-$C$7),Q29*(1-$C$5-IF(O29&lt;3,$C$8,0)),MIN(Q29*(1-$C$5-IF(O29&lt;3,$C$8,0)),P29*(1-$C$6-IF(O29&lt;3,$C$8,0))))&lt;100,$D$9,$E$9)))),ROUND($D29*(1+$C$10),2),FLOOR(IF(P29&lt;Q29*(1-$C$7),Q29*(1-$C$5-IF(O29&lt;3,$C$8,0)),MIN(Q29*(1-$C$5-IF(O29&lt;3,$C$8,0)),P29*(1-$C$6-IF(O29&lt;3,$C$8,0)))),IF(IF(P29&lt;Q29*(1-$C$7),Q29*(1-$C$5-IF(O29&lt;3,$C$8,0)),MIN(Q29*(1-$C$5-IF(O29&lt;3,$C$8,0)),P29*(1-$C$6-IF(O29&lt;3,$C$8,0))))&lt;10,$C$9,IF(IF(P29&lt;Q29*(1-$C$7),Q29*(1-$C$5-IF(O29&lt;3,$C$8,0)),MIN(Q29*(1-$C$5-IF(O29&lt;3,$C$8,0)),P29*(1-$C$6-IF(O29&lt;3,$C$8,0))))&lt;100,$D$9,$E$9)))))</f>
        <v>161</v>
      </c>
      <c r="U29" s="60" t="n">
        <f aca="false">IF(ISNUMBER($D29),$D29,"n/a")</f>
        <v>95</v>
      </c>
      <c r="V29" s="63" t="n">
        <f aca="false">IF(OR(O29=0,NOT(ISNUMBER($D29))),"—",T29/$D29-1)</f>
        <v>0.694736842105263</v>
      </c>
      <c r="W29" s="64" t="n">
        <f aca="false">IF(O29=0,"—",T29/P29-1)</f>
        <v>-0.0523837551500883</v>
      </c>
      <c r="X29" s="64" t="n">
        <f aca="false">IF(O29=0,"—",T29/Q29-1)</f>
        <v>-0.363560896548998</v>
      </c>
      <c r="Y29" s="59" t="n">
        <f aca="false">COUNTIFS(Offers!$B$7:$B$3000,$B29,Offers!$C$7:$C$3000,"Czech",Offers!$AI$7:$AI$3000,"yes")</f>
        <v>8</v>
      </c>
      <c r="Z29" s="60" t="n">
        <f aca="false">IF(Y29=0,"—",SUMIFS(Review!$I$7:$I$600,Review!$B$7:$B$600,$B29,Review!$C$7:$C$600,"Czech"))</f>
        <v>167.408055</v>
      </c>
      <c r="AA29" s="60" t="n">
        <f aca="false">IF(Y29=0,"—",SUMIFS(Review!$J$7:$J$600,Review!$B$7:$B$600,$B29,Review!$C$7:$C$600,"Czech"))</f>
        <v>225.515135</v>
      </c>
      <c r="AB29" s="60" t="n">
        <f aca="false">IF(Y29=0,"—",SUMIFS(Review!$K$7:$K$600,Review!$B$7:$B$600,$B29,Review!$C$7:$C$600,"Czech"))</f>
        <v>263.96583</v>
      </c>
      <c r="AC29" s="61" t="str">
        <f aca="false">IF(Y29=0,"—",IF(Z29&lt;AA29*(1-$C$7),"median (cheapest is an outlier)",IF(Z29*(1-$C$6)&lt;AA29*(1-$C$5),"undercut cheapest","median")))</f>
        <v>undercut cheapest</v>
      </c>
      <c r="AD29" s="62" t="n">
        <f aca="false">IF(Y29=0,"—",IF(AND(ISNUMBER($D29),$D29*(1+$C$10)&gt;FLOOR(IF(Z29&lt;AA29*(1-$C$7),AA29*(1-$C$5-IF(Y29&lt;3,$C$8,0)),MIN(AA29*(1-$C$5-IF(Y29&lt;3,$C$8,0)),Z29*(1-$C$6-IF(Y29&lt;3,$C$8,0)))),IF(IF(Z29&lt;AA29*(1-$C$7),AA29*(1-$C$5-IF(Y29&lt;3,$C$8,0)),MIN(AA29*(1-$C$5-IF(Y29&lt;3,$C$8,0)),Z29*(1-$C$6-IF(Y29&lt;3,$C$8,0))))&lt;10,$C$9,IF(IF(Z29&lt;AA29*(1-$C$7),AA29*(1-$C$5-IF(Y29&lt;3,$C$8,0)),MIN(AA29*(1-$C$5-IF(Y29&lt;3,$C$8,0)),Z29*(1-$C$6-IF(Y29&lt;3,$C$8,0))))&lt;100,$D$9,$E$9)))),ROUND($D29*(1+$C$10),2),FLOOR(IF(Z29&lt;AA29*(1-$C$7),AA29*(1-$C$5-IF(Y29&lt;3,$C$8,0)),MIN(AA29*(1-$C$5-IF(Y29&lt;3,$C$8,0)),Z29*(1-$C$6-IF(Y29&lt;3,$C$8,0)))),IF(IF(Z29&lt;AA29*(1-$C$7),AA29*(1-$C$5-IF(Y29&lt;3,$C$8,0)),MIN(AA29*(1-$C$5-IF(Y29&lt;3,$C$8,0)),Z29*(1-$C$6-IF(Y29&lt;3,$C$8,0))))&lt;10,$C$9,IF(IF(Z29&lt;AA29*(1-$C$7),AA29*(1-$C$5-IF(Y29&lt;3,$C$8,0)),MIN(AA29*(1-$C$5-IF(Y29&lt;3,$C$8,0)),Z29*(1-$C$6-IF(Y29&lt;3,$C$8,0))))&lt;100,$D$9,$E$9)))))</f>
        <v>159</v>
      </c>
      <c r="AE29" s="65" t="n">
        <f aca="false">IF(Y29=0,"—",FLOOR(AD29*Sources!$G$10,1))</f>
        <v>3883</v>
      </c>
      <c r="AF29" s="60" t="n">
        <f aca="false">IF(ISNUMBER($D29),$D29,"n/a")</f>
        <v>95</v>
      </c>
      <c r="AG29" s="63" t="n">
        <f aca="false">IF(OR(Y29=0,NOT(ISNUMBER($D29))),"—",AD29/$D29-1)</f>
        <v>0.673684210526316</v>
      </c>
      <c r="AH29" s="64" t="n">
        <f aca="false">IF(Y29=0,"—",AD29/Z29-1)</f>
        <v>-0.0502249130126982</v>
      </c>
      <c r="AI29" s="64" t="n">
        <f aca="false">IF(Y29=0,"—",AD29/AA29-1)</f>
        <v>-0.294947543099491</v>
      </c>
      <c r="AJ29" s="59" t="n">
        <f aca="false">COUNTIFS(Offers!$B$7:$B$3000,$B29,Offers!$C$7:$C$3000,"Slovakia",Offers!$AI$7:$AI$3000,"yes")</f>
        <v>2</v>
      </c>
      <c r="AK29" s="60" t="n">
        <f aca="false">IF(AJ29=0,"—",SUMIFS(Review!$I$7:$I$600,Review!$B$7:$B$600,$B29,Review!$C$7:$C$600,"Slovakia"))</f>
        <v>186</v>
      </c>
      <c r="AL29" s="60" t="n">
        <f aca="false">IF(AJ29=0,"—",SUMIFS(Review!$J$7:$J$600,Review!$B$7:$B$600,$B29,Review!$C$7:$C$600,"Slovakia"))</f>
        <v>207.12</v>
      </c>
      <c r="AM29" s="60" t="n">
        <f aca="false">IF(AJ29=0,"—",SUMIFS(Review!$K$7:$K$600,Review!$B$7:$B$600,$B29,Review!$C$7:$C$600,"Slovakia"))</f>
        <v>228.24</v>
      </c>
      <c r="AN29" s="61" t="str">
        <f aca="false">IF(AJ29=0,"—",IF(AK29&lt;AL29*(1-$C$7),"median (cheapest is an outlier)",IF(AK29*(1-$C$6)&lt;AL29*(1-$C$5),"undercut cheapest","median")))</f>
        <v>median</v>
      </c>
      <c r="AO29" s="62" t="n">
        <f aca="false">IF(AJ29=0,"—",IF(AND(ISNUMBER($D29),$D29*(1+$C$10)&gt;FLOOR(IF(AK29&lt;AL29*(1-$C$7),AL29*(1-$C$5-IF(AJ29&lt;3,$C$8,0)),MIN(AL29*(1-$C$5-IF(AJ29&lt;3,$C$8,0)),AK29*(1-$C$6-IF(AJ29&lt;3,$C$8,0)))),IF(IF(AK29&lt;AL29*(1-$C$7),AL29*(1-$C$5-IF(AJ29&lt;3,$C$8,0)),MIN(AL29*(1-$C$5-IF(AJ29&lt;3,$C$8,0)),AK29*(1-$C$6-IF(AJ29&lt;3,$C$8,0))))&lt;10,$C$9,IF(IF(AK29&lt;AL29*(1-$C$7),AL29*(1-$C$5-IF(AJ29&lt;3,$C$8,0)),MIN(AL29*(1-$C$5-IF(AJ29&lt;3,$C$8,0)),AK29*(1-$C$6-IF(AJ29&lt;3,$C$8,0))))&lt;100,$D$9,$E$9)))),ROUND($D29*(1+$C$10),2),FLOOR(IF(AK29&lt;AL29*(1-$C$7),AL29*(1-$C$5-IF(AJ29&lt;3,$C$8,0)),MIN(AL29*(1-$C$5-IF(AJ29&lt;3,$C$8,0)),AK29*(1-$C$6-IF(AJ29&lt;3,$C$8,0)))),IF(IF(AK29&lt;AL29*(1-$C$7),AL29*(1-$C$5-IF(AJ29&lt;3,$C$8,0)),MIN(AL29*(1-$C$5-IF(AJ29&lt;3,$C$8,0)),AK29*(1-$C$6-IF(AJ29&lt;3,$C$8,0))))&lt;10,$C$9,IF(IF(AK29&lt;AL29*(1-$C$7),AL29*(1-$C$5-IF(AJ29&lt;3,$C$8,0)),MIN(AL29*(1-$C$5-IF(AJ29&lt;3,$C$8,0)),AK29*(1-$C$6-IF(AJ29&lt;3,$C$8,0))))&lt;100,$D$9,$E$9)))))</f>
        <v>144</v>
      </c>
      <c r="AP29" s="60" t="n">
        <f aca="false">IF(ISNUMBER($D29),$D29,"n/a")</f>
        <v>95</v>
      </c>
      <c r="AQ29" s="63" t="n">
        <f aca="false">IF(OR(AJ29=0,NOT(ISNUMBER($D29))),"—",AO29/$D29-1)</f>
        <v>0.515789473684211</v>
      </c>
      <c r="AR29" s="64" t="n">
        <f aca="false">IF(AJ29=0,"—",AO29/AK29-1)</f>
        <v>-0.225806451612903</v>
      </c>
      <c r="AS29" s="64" t="n">
        <f aca="false">IF(AJ29=0,"—",AO29/AL29-1)</f>
        <v>-0.304750869061414</v>
      </c>
      <c r="AT29" s="59" t="n">
        <f aca="false">COUNTIFS(Offers!$B$7:$B$3000,$B29,Offers!$C$7:$C$3000,"Romania",Offers!$AI$7:$AI$3000,"yes")</f>
        <v>0</v>
      </c>
      <c r="AU29" s="60" t="str">
        <f aca="false">IF(AT29=0,"—",SUMIFS(Review!$I$7:$I$600,Review!$B$7:$B$600,$B29,Review!$C$7:$C$600,"Romania"))</f>
        <v>—</v>
      </c>
      <c r="AV29" s="60" t="str">
        <f aca="false">IF(AT29=0,"—",SUMIFS(Review!$J$7:$J$600,Review!$B$7:$B$600,$B29,Review!$C$7:$C$600,"Romania"))</f>
        <v>—</v>
      </c>
      <c r="AW29" s="60" t="str">
        <f aca="false">IF(AT29=0,"—",SUMIFS(Review!$K$7:$K$600,Review!$B$7:$B$600,$B29,Review!$C$7:$C$600,"Romania"))</f>
        <v>—</v>
      </c>
      <c r="AX29" s="61" t="str">
        <f aca="false">IF(AT29=0,"—",IF(AU29&lt;AV29*(1-$C$7),"median (cheapest is an outlier)",IF(AU29*(1-$C$6)&lt;AV29*(1-$C$5),"undercut cheapest","median")))</f>
        <v>—</v>
      </c>
      <c r="AY29" s="62" t="str">
        <f aca="false">IF(AT29=0,"—",IF(AND(ISNUMBER($D29),$D29*(1+$C$10)&gt;FLOOR(IF(AU29&lt;AV29*(1-$C$7),AV29*(1-$C$5-IF(AT29&lt;3,$C$8,0)),MIN(AV29*(1-$C$5-IF(AT29&lt;3,$C$8,0)),AU29*(1-$C$6-IF(AT29&lt;3,$C$8,0)))),IF(IF(AU29&lt;AV29*(1-$C$7),AV29*(1-$C$5-IF(AT29&lt;3,$C$8,0)),MIN(AV29*(1-$C$5-IF(AT29&lt;3,$C$8,0)),AU29*(1-$C$6-IF(AT29&lt;3,$C$8,0))))&lt;10,$C$9,IF(IF(AU29&lt;AV29*(1-$C$7),AV29*(1-$C$5-IF(AT29&lt;3,$C$8,0)),MIN(AV29*(1-$C$5-IF(AT29&lt;3,$C$8,0)),AU29*(1-$C$6-IF(AT29&lt;3,$C$8,0))))&lt;100,$D$9,$E$9)))),ROUND($D29*(1+$C$10),2),FLOOR(IF(AU29&lt;AV29*(1-$C$7),AV29*(1-$C$5-IF(AT29&lt;3,$C$8,0)),MIN(AV29*(1-$C$5-IF(AT29&lt;3,$C$8,0)),AU29*(1-$C$6-IF(AT29&lt;3,$C$8,0)))),IF(IF(AU29&lt;AV29*(1-$C$7),AV29*(1-$C$5-IF(AT29&lt;3,$C$8,0)),MIN(AV29*(1-$C$5-IF(AT29&lt;3,$C$8,0)),AU29*(1-$C$6-IF(AT29&lt;3,$C$8,0))))&lt;10,$C$9,IF(IF(AU29&lt;AV29*(1-$C$7),AV29*(1-$C$5-IF(AT29&lt;3,$C$8,0)),MIN(AV29*(1-$C$5-IF(AT29&lt;3,$C$8,0)),AU29*(1-$C$6-IF(AT29&lt;3,$C$8,0))))&lt;100,$D$9,$E$9)))))</f>
        <v>—</v>
      </c>
      <c r="AZ29" s="62" t="str">
        <f aca="false">IF(AT29=0,"—",FLOOR(AY29*Sources!$G$9,0.1))</f>
        <v>—</v>
      </c>
      <c r="BA29" s="60" t="n">
        <f aca="false">IF(ISNUMBER($D29),$D29,"n/a")</f>
        <v>95</v>
      </c>
      <c r="BB29" s="63" t="str">
        <f aca="false">IF(OR(AT29=0,NOT(ISNUMBER($D29))),"—",AY29/$D29-1)</f>
        <v>—</v>
      </c>
      <c r="BC29" s="64" t="str">
        <f aca="false">IF(AT29=0,"—",AY29/AU29-1)</f>
        <v>—</v>
      </c>
      <c r="BD29" s="64" t="str">
        <f aca="false">IF(AT29=0,"—",AY29/AV29-1)</f>
        <v>—</v>
      </c>
      <c r="BE29" s="59" t="n">
        <f aca="false">COUNTIFS(Offers!$B$7:$B$3000,$B29,Offers!$C$7:$C$3000,"Hungary",Offers!$AI$7:$AI$3000,"yes")</f>
        <v>0</v>
      </c>
      <c r="BF29" s="60" t="str">
        <f aca="false">IF(BE29=0,"—",SUMIFS(Review!$I$7:$I$600,Review!$B$7:$B$600,$B29,Review!$C$7:$C$600,"Hungary"))</f>
        <v>—</v>
      </c>
      <c r="BG29" s="60" t="str">
        <f aca="false">IF(BE29=0,"—",SUMIFS(Review!$J$7:$J$600,Review!$B$7:$B$600,$B29,Review!$C$7:$C$600,"Hungary"))</f>
        <v>—</v>
      </c>
      <c r="BH29" s="60" t="str">
        <f aca="false">IF(BE29=0,"—",SUMIFS(Review!$K$7:$K$600,Review!$B$7:$B$600,$B29,Review!$C$7:$C$600,"Hungary"))</f>
        <v>—</v>
      </c>
      <c r="BI29" s="61" t="str">
        <f aca="false">IF(BE29=0,"—",IF(BF29&lt;BG29*(1-$C$7),"median (cheapest is an outlier)",IF(BF29*(1-$C$6)&lt;BG29*(1-$C$5),"undercut cheapest","median")))</f>
        <v>—</v>
      </c>
      <c r="BJ29" s="62" t="str">
        <f aca="false">IF(BE29=0,"—",IF(AND(ISNUMBER($D29),$D29*(1+$C$10)&gt;FLOOR(IF(BF29&lt;BG29*(1-$C$7),BG29*(1-$C$5-IF(BE29&lt;3,$C$8,0)),MIN(BG29*(1-$C$5-IF(BE29&lt;3,$C$8,0)),BF29*(1-$C$6-IF(BE29&lt;3,$C$8,0)))),IF(IF(BF29&lt;BG29*(1-$C$7),BG29*(1-$C$5-IF(BE29&lt;3,$C$8,0)),MIN(BG29*(1-$C$5-IF(BE29&lt;3,$C$8,0)),BF29*(1-$C$6-IF(BE29&lt;3,$C$8,0))))&lt;10,$C$9,IF(IF(BF29&lt;BG29*(1-$C$7),BG29*(1-$C$5-IF(BE29&lt;3,$C$8,0)),MIN(BG29*(1-$C$5-IF(BE29&lt;3,$C$8,0)),BF29*(1-$C$6-IF(BE29&lt;3,$C$8,0))))&lt;100,$D$9,$E$9)))),ROUND($D29*(1+$C$10),2),FLOOR(IF(BF29&lt;BG29*(1-$C$7),BG29*(1-$C$5-IF(BE29&lt;3,$C$8,0)),MIN(BG29*(1-$C$5-IF(BE29&lt;3,$C$8,0)),BF29*(1-$C$6-IF(BE29&lt;3,$C$8,0)))),IF(IF(BF29&lt;BG29*(1-$C$7),BG29*(1-$C$5-IF(BE29&lt;3,$C$8,0)),MIN(BG29*(1-$C$5-IF(BE29&lt;3,$C$8,0)),BF29*(1-$C$6-IF(BE29&lt;3,$C$8,0))))&lt;10,$C$9,IF(IF(BF29&lt;BG29*(1-$C$7),BG29*(1-$C$5-IF(BE29&lt;3,$C$8,0)),MIN(BG29*(1-$C$5-IF(BE29&lt;3,$C$8,0)),BF29*(1-$C$6-IF(BE29&lt;3,$C$8,0))))&lt;100,$D$9,$E$9)))))</f>
        <v>—</v>
      </c>
      <c r="BK29" s="65" t="str">
        <f aca="false">IF(BE29=0,"—",FLOOR(BJ29*Sources!$G$8,10))</f>
        <v>—</v>
      </c>
      <c r="BL29" s="60" t="n">
        <f aca="false">IF(ISNUMBER($D29),$D29,"n/a")</f>
        <v>95</v>
      </c>
      <c r="BM29" s="63" t="str">
        <f aca="false">IF(OR(BE29=0,NOT(ISNUMBER($D29))),"—",BJ29/$D29-1)</f>
        <v>—</v>
      </c>
      <c r="BN29" s="64" t="str">
        <f aca="false">IF(BE29=0,"—",BJ29/BF29-1)</f>
        <v>—</v>
      </c>
      <c r="BO29" s="64" t="str">
        <f aca="false">IF(BE29=0,"—",BJ29/BG29-1)</f>
        <v>—</v>
      </c>
    </row>
    <row r="30" customFormat="false" ht="15" hidden="false" customHeight="true" outlineLevel="0" collapsed="false">
      <c r="B30" s="66" t="s">
        <v>40</v>
      </c>
      <c r="C30" s="66" t="s">
        <v>155</v>
      </c>
      <c r="D30" s="58" t="n">
        <v>2.585</v>
      </c>
      <c r="E30" s="67" t="n">
        <f aca="false">COUNTIFS(Offers!$B$7:$B$3000,$B30,Offers!$C$7:$C$3000,"Austria",Offers!$AI$7:$AI$3000,"yes")</f>
        <v>2</v>
      </c>
      <c r="F30" s="68" t="n">
        <f aca="false">IF(E30=0,"—",SUMIFS(Review!$I$7:$I$600,Review!$B$7:$B$600,$B30,Review!$C$7:$C$600,"Austria"))</f>
        <v>7.48</v>
      </c>
      <c r="G30" s="68" t="n">
        <f aca="false">IF(E30=0,"—",SUMIFS(Review!$J$7:$J$600,Review!$B$7:$B$600,$B30,Review!$C$7:$C$600,"Austria"))</f>
        <v>11.365</v>
      </c>
      <c r="H30" s="68" t="n">
        <f aca="false">IF(E30=0,"—",SUMIFS(Review!$K$7:$K$600,Review!$B$7:$B$600,$B30,Review!$C$7:$C$600,"Austria"))</f>
        <v>15.25</v>
      </c>
      <c r="I30" s="69" t="str">
        <f aca="false">IF(E30=0,"—",IF(F30&lt;G30*(1-$C$7),"median (cheapest is an outlier)",IF(F30*(1-$C$6)&lt;G30*(1-$C$5),"undercut cheapest","median")))</f>
        <v>undercut cheapest</v>
      </c>
      <c r="J30" s="70" t="n">
        <f aca="false">IF(E30=0,"—",IF(AND(ISNUMBER($D30),$D30*(1+$C$10)&gt;FLOOR(IF(F30&lt;G30*(1-$C$7),G30*(1-$C$5-IF(E30&lt;3,$C$8,0)),MIN(G30*(1-$C$5-IF(E30&lt;3,$C$8,0)),F30*(1-$C$6-IF(E30&lt;3,$C$8,0)))),IF(IF(F30&lt;G30*(1-$C$7),G30*(1-$C$5-IF(E30&lt;3,$C$8,0)),MIN(G30*(1-$C$5-IF(E30&lt;3,$C$8,0)),F30*(1-$C$6-IF(E30&lt;3,$C$8,0))))&lt;10,$C$9,IF(IF(F30&lt;G30*(1-$C$7),G30*(1-$C$5-IF(E30&lt;3,$C$8,0)),MIN(G30*(1-$C$5-IF(E30&lt;3,$C$8,0)),F30*(1-$C$6-IF(E30&lt;3,$C$8,0))))&lt;100,$D$9,$E$9)))),ROUND($D30*(1+$C$10),2),FLOOR(IF(F30&lt;G30*(1-$C$7),G30*(1-$C$5-IF(E30&lt;3,$C$8,0)),MIN(G30*(1-$C$5-IF(E30&lt;3,$C$8,0)),F30*(1-$C$6-IF(E30&lt;3,$C$8,0)))),IF(IF(F30&lt;G30*(1-$C$7),G30*(1-$C$5-IF(E30&lt;3,$C$8,0)),MIN(G30*(1-$C$5-IF(E30&lt;3,$C$8,0)),F30*(1-$C$6-IF(E30&lt;3,$C$8,0))))&lt;10,$C$9,IF(IF(F30&lt;G30*(1-$C$7),G30*(1-$C$5-IF(E30&lt;3,$C$8,0)),MIN(G30*(1-$C$5-IF(E30&lt;3,$C$8,0)),F30*(1-$C$6-IF(E30&lt;3,$C$8,0))))&lt;100,$D$9,$E$9)))))</f>
        <v>6.7</v>
      </c>
      <c r="K30" s="68" t="n">
        <f aca="false">IF(ISNUMBER($D30),$D30,"n/a")</f>
        <v>2.585</v>
      </c>
      <c r="L30" s="71" t="n">
        <f aca="false">IF(OR(E30=0,NOT(ISNUMBER($D30))),"—",J30/$D30-1)</f>
        <v>1.59187620889749</v>
      </c>
      <c r="M30" s="72" t="n">
        <f aca="false">IF(E30=0,"—",J30/F30-1)</f>
        <v>-0.10427807486631</v>
      </c>
      <c r="N30" s="72" t="n">
        <f aca="false">IF(E30=0,"—",J30/G30-1)</f>
        <v>-0.410470743510779</v>
      </c>
      <c r="O30" s="67" t="n">
        <f aca="false">COUNTIFS(Offers!$B$7:$B$3000,$B30,Offers!$C$7:$C$3000,"Germany",Offers!$AI$7:$AI$3000,"yes")</f>
        <v>3</v>
      </c>
      <c r="P30" s="68" t="n">
        <f aca="false">IF(O30=0,"—",SUMIFS(Review!$I$7:$I$600,Review!$B$7:$B$600,$B30,Review!$C$7:$C$600,"Germany"))</f>
        <v>5.09</v>
      </c>
      <c r="Q30" s="68" t="n">
        <f aca="false">IF(O30=0,"—",SUMIFS(Review!$J$7:$J$600,Review!$B$7:$B$600,$B30,Review!$C$7:$C$600,"Germany"))</f>
        <v>7.47</v>
      </c>
      <c r="R30" s="68" t="n">
        <f aca="false">IF(O30=0,"—",SUMIFS(Review!$K$7:$K$600,Review!$B$7:$B$600,$B30,Review!$C$7:$C$600,"Germany"))</f>
        <v>15.25</v>
      </c>
      <c r="S30" s="69" t="str">
        <f aca="false">IF(O30=0,"—",IF(P30&lt;Q30*(1-$C$7),"median (cheapest is an outlier)",IF(P30*(1-$C$6)&lt;Q30*(1-$C$5),"undercut cheapest","median")))</f>
        <v>undercut cheapest</v>
      </c>
      <c r="T30" s="70" t="n">
        <f aca="false">IF(O30=0,"—",IF(AND(ISNUMBER($D30),$D30*(1+$C$10)&gt;FLOOR(IF(P30&lt;Q30*(1-$C$7),Q30*(1-$C$5-IF(O30&lt;3,$C$8,0)),MIN(Q30*(1-$C$5-IF(O30&lt;3,$C$8,0)),P30*(1-$C$6-IF(O30&lt;3,$C$8,0)))),IF(IF(P30&lt;Q30*(1-$C$7),Q30*(1-$C$5-IF(O30&lt;3,$C$8,0)),MIN(Q30*(1-$C$5-IF(O30&lt;3,$C$8,0)),P30*(1-$C$6-IF(O30&lt;3,$C$8,0))))&lt;10,$C$9,IF(IF(P30&lt;Q30*(1-$C$7),Q30*(1-$C$5-IF(O30&lt;3,$C$8,0)),MIN(Q30*(1-$C$5-IF(O30&lt;3,$C$8,0)),P30*(1-$C$6-IF(O30&lt;3,$C$8,0))))&lt;100,$D$9,$E$9)))),ROUND($D30*(1+$C$10),2),FLOOR(IF(P30&lt;Q30*(1-$C$7),Q30*(1-$C$5-IF(O30&lt;3,$C$8,0)),MIN(Q30*(1-$C$5-IF(O30&lt;3,$C$8,0)),P30*(1-$C$6-IF(O30&lt;3,$C$8,0)))),IF(IF(P30&lt;Q30*(1-$C$7),Q30*(1-$C$5-IF(O30&lt;3,$C$8,0)),MIN(Q30*(1-$C$5-IF(O30&lt;3,$C$8,0)),P30*(1-$C$6-IF(O30&lt;3,$C$8,0))))&lt;10,$C$9,IF(IF(P30&lt;Q30*(1-$C$7),Q30*(1-$C$5-IF(O30&lt;3,$C$8,0)),MIN(Q30*(1-$C$5-IF(O30&lt;3,$C$8,0)),P30*(1-$C$6-IF(O30&lt;3,$C$8,0))))&lt;100,$D$9,$E$9)))))</f>
        <v>4.8</v>
      </c>
      <c r="U30" s="68" t="n">
        <f aca="false">IF(ISNUMBER($D30),$D30,"n/a")</f>
        <v>2.585</v>
      </c>
      <c r="V30" s="71" t="n">
        <f aca="false">IF(OR(O30=0,NOT(ISNUMBER($D30))),"—",T30/$D30-1)</f>
        <v>0.856866537717602</v>
      </c>
      <c r="W30" s="72" t="n">
        <f aca="false">IF(O30=0,"—",T30/P30-1)</f>
        <v>-0.0569744597249507</v>
      </c>
      <c r="X30" s="72" t="n">
        <f aca="false">IF(O30=0,"—",T30/Q30-1)</f>
        <v>-0.357429718875502</v>
      </c>
      <c r="Y30" s="67" t="n">
        <f aca="false">COUNTIFS(Offers!$B$7:$B$3000,$B30,Offers!$C$7:$C$3000,"Czech",Offers!$AI$7:$AI$3000,"yes")</f>
        <v>4</v>
      </c>
      <c r="Z30" s="68" t="n">
        <f aca="false">IF(Y30=0,"—",SUMIFS(Review!$I$7:$I$600,Review!$B$7:$B$600,$B30,Review!$C$7:$C$600,"Czech"))</f>
        <v>7.473095</v>
      </c>
      <c r="AA30" s="68" t="n">
        <f aca="false">IF(Y30=0,"—",SUMIFS(Review!$J$7:$J$600,Review!$B$7:$B$600,$B30,Review!$C$7:$C$600,"Czech"))</f>
        <v>8.195142</v>
      </c>
      <c r="AB30" s="68" t="n">
        <f aca="false">IF(Y30=0,"—",SUMIFS(Review!$K$7:$K$600,Review!$B$7:$B$600,$B30,Review!$C$7:$C$600,"Czech"))</f>
        <v>12.283194</v>
      </c>
      <c r="AC30" s="69" t="str">
        <f aca="false">IF(Y30=0,"—",IF(Z30&lt;AA30*(1-$C$7),"median (cheapest is an outlier)",IF(Z30*(1-$C$6)&lt;AA30*(1-$C$5),"undercut cheapest","median")))</f>
        <v>median</v>
      </c>
      <c r="AD30" s="70" t="n">
        <f aca="false">IF(Y30=0,"—",IF(AND(ISNUMBER($D30),$D30*(1+$C$10)&gt;FLOOR(IF(Z30&lt;AA30*(1-$C$7),AA30*(1-$C$5-IF(Y30&lt;3,$C$8,0)),MIN(AA30*(1-$C$5-IF(Y30&lt;3,$C$8,0)),Z30*(1-$C$6-IF(Y30&lt;3,$C$8,0)))),IF(IF(Z30&lt;AA30*(1-$C$7),AA30*(1-$C$5-IF(Y30&lt;3,$C$8,0)),MIN(AA30*(1-$C$5-IF(Y30&lt;3,$C$8,0)),Z30*(1-$C$6-IF(Y30&lt;3,$C$8,0))))&lt;10,$C$9,IF(IF(Z30&lt;AA30*(1-$C$7),AA30*(1-$C$5-IF(Y30&lt;3,$C$8,0)),MIN(AA30*(1-$C$5-IF(Y30&lt;3,$C$8,0)),Z30*(1-$C$6-IF(Y30&lt;3,$C$8,0))))&lt;100,$D$9,$E$9)))),ROUND($D30*(1+$C$10),2),FLOOR(IF(Z30&lt;AA30*(1-$C$7),AA30*(1-$C$5-IF(Y30&lt;3,$C$8,0)),MIN(AA30*(1-$C$5-IF(Y30&lt;3,$C$8,0)),Z30*(1-$C$6-IF(Y30&lt;3,$C$8,0)))),IF(IF(Z30&lt;AA30*(1-$C$7),AA30*(1-$C$5-IF(Y30&lt;3,$C$8,0)),MIN(AA30*(1-$C$5-IF(Y30&lt;3,$C$8,0)),Z30*(1-$C$6-IF(Y30&lt;3,$C$8,0))))&lt;10,$C$9,IF(IF(Z30&lt;AA30*(1-$C$7),AA30*(1-$C$5-IF(Y30&lt;3,$C$8,0)),MIN(AA30*(1-$C$5-IF(Y30&lt;3,$C$8,0)),Z30*(1-$C$6-IF(Y30&lt;3,$C$8,0))))&lt;100,$D$9,$E$9)))))</f>
        <v>6.1</v>
      </c>
      <c r="AE30" s="73" t="n">
        <f aca="false">IF(Y30=0,"—",FLOOR(AD30*Sources!$G$10,1))</f>
        <v>148</v>
      </c>
      <c r="AF30" s="68" t="n">
        <f aca="false">IF(ISNUMBER($D30),$D30,"n/a")</f>
        <v>2.585</v>
      </c>
      <c r="AG30" s="71" t="n">
        <f aca="false">IF(OR(Y30=0,NOT(ISNUMBER($D30))),"—",AD30/$D30-1)</f>
        <v>1.35976789168279</v>
      </c>
      <c r="AH30" s="72" t="n">
        <f aca="false">IF(Y30=0,"—",AD30/Z30-1)</f>
        <v>-0.183738464451475</v>
      </c>
      <c r="AI30" s="72" t="n">
        <f aca="false">IF(Y30=0,"—",AD30/AA30-1)</f>
        <v>-0.255656582887765</v>
      </c>
      <c r="AJ30" s="67" t="n">
        <f aca="false">COUNTIFS(Offers!$B$7:$B$3000,$B30,Offers!$C$7:$C$3000,"Slovakia",Offers!$AI$7:$AI$3000,"yes")</f>
        <v>0</v>
      </c>
      <c r="AK30" s="68" t="str">
        <f aca="false">IF(AJ30=0,"—",SUMIFS(Review!$I$7:$I$600,Review!$B$7:$B$600,$B30,Review!$C$7:$C$600,"Slovakia"))</f>
        <v>—</v>
      </c>
      <c r="AL30" s="68" t="str">
        <f aca="false">IF(AJ30=0,"—",SUMIFS(Review!$J$7:$J$600,Review!$B$7:$B$600,$B30,Review!$C$7:$C$600,"Slovakia"))</f>
        <v>—</v>
      </c>
      <c r="AM30" s="68" t="str">
        <f aca="false">IF(AJ30=0,"—",SUMIFS(Review!$K$7:$K$600,Review!$B$7:$B$600,$B30,Review!$C$7:$C$600,"Slovakia"))</f>
        <v>—</v>
      </c>
      <c r="AN30" s="69" t="str">
        <f aca="false">IF(AJ30=0,"—",IF(AK30&lt;AL30*(1-$C$7),"median (cheapest is an outlier)",IF(AK30*(1-$C$6)&lt;AL30*(1-$C$5),"undercut cheapest","median")))</f>
        <v>—</v>
      </c>
      <c r="AO30" s="70" t="str">
        <f aca="false">IF(AJ30=0,"—",IF(AND(ISNUMBER($D30),$D30*(1+$C$10)&gt;FLOOR(IF(AK30&lt;AL30*(1-$C$7),AL30*(1-$C$5-IF(AJ30&lt;3,$C$8,0)),MIN(AL30*(1-$C$5-IF(AJ30&lt;3,$C$8,0)),AK30*(1-$C$6-IF(AJ30&lt;3,$C$8,0)))),IF(IF(AK30&lt;AL30*(1-$C$7),AL30*(1-$C$5-IF(AJ30&lt;3,$C$8,0)),MIN(AL30*(1-$C$5-IF(AJ30&lt;3,$C$8,0)),AK30*(1-$C$6-IF(AJ30&lt;3,$C$8,0))))&lt;10,$C$9,IF(IF(AK30&lt;AL30*(1-$C$7),AL30*(1-$C$5-IF(AJ30&lt;3,$C$8,0)),MIN(AL30*(1-$C$5-IF(AJ30&lt;3,$C$8,0)),AK30*(1-$C$6-IF(AJ30&lt;3,$C$8,0))))&lt;100,$D$9,$E$9)))),ROUND($D30*(1+$C$10),2),FLOOR(IF(AK30&lt;AL30*(1-$C$7),AL30*(1-$C$5-IF(AJ30&lt;3,$C$8,0)),MIN(AL30*(1-$C$5-IF(AJ30&lt;3,$C$8,0)),AK30*(1-$C$6-IF(AJ30&lt;3,$C$8,0)))),IF(IF(AK30&lt;AL30*(1-$C$7),AL30*(1-$C$5-IF(AJ30&lt;3,$C$8,0)),MIN(AL30*(1-$C$5-IF(AJ30&lt;3,$C$8,0)),AK30*(1-$C$6-IF(AJ30&lt;3,$C$8,0))))&lt;10,$C$9,IF(IF(AK30&lt;AL30*(1-$C$7),AL30*(1-$C$5-IF(AJ30&lt;3,$C$8,0)),MIN(AL30*(1-$C$5-IF(AJ30&lt;3,$C$8,0)),AK30*(1-$C$6-IF(AJ30&lt;3,$C$8,0))))&lt;100,$D$9,$E$9)))))</f>
        <v>—</v>
      </c>
      <c r="AP30" s="68" t="n">
        <f aca="false">IF(ISNUMBER($D30),$D30,"n/a")</f>
        <v>2.585</v>
      </c>
      <c r="AQ30" s="71" t="str">
        <f aca="false">IF(OR(AJ30=0,NOT(ISNUMBER($D30))),"—",AO30/$D30-1)</f>
        <v>—</v>
      </c>
      <c r="AR30" s="72" t="str">
        <f aca="false">IF(AJ30=0,"—",AO30/AK30-1)</f>
        <v>—</v>
      </c>
      <c r="AS30" s="72" t="str">
        <f aca="false">IF(AJ30=0,"—",AO30/AL30-1)</f>
        <v>—</v>
      </c>
      <c r="AT30" s="67" t="n">
        <f aca="false">COUNTIFS(Offers!$B$7:$B$3000,$B30,Offers!$C$7:$C$3000,"Romania",Offers!$AI$7:$AI$3000,"yes")</f>
        <v>0</v>
      </c>
      <c r="AU30" s="68" t="str">
        <f aca="false">IF(AT30=0,"—",SUMIFS(Review!$I$7:$I$600,Review!$B$7:$B$600,$B30,Review!$C$7:$C$600,"Romania"))</f>
        <v>—</v>
      </c>
      <c r="AV30" s="68" t="str">
        <f aca="false">IF(AT30=0,"—",SUMIFS(Review!$J$7:$J$600,Review!$B$7:$B$600,$B30,Review!$C$7:$C$600,"Romania"))</f>
        <v>—</v>
      </c>
      <c r="AW30" s="68" t="str">
        <f aca="false">IF(AT30=0,"—",SUMIFS(Review!$K$7:$K$600,Review!$B$7:$B$600,$B30,Review!$C$7:$C$600,"Romania"))</f>
        <v>—</v>
      </c>
      <c r="AX30" s="69" t="str">
        <f aca="false">IF(AT30=0,"—",IF(AU30&lt;AV30*(1-$C$7),"median (cheapest is an outlier)",IF(AU30*(1-$C$6)&lt;AV30*(1-$C$5),"undercut cheapest","median")))</f>
        <v>—</v>
      </c>
      <c r="AY30" s="70" t="str">
        <f aca="false">IF(AT30=0,"—",IF(AND(ISNUMBER($D30),$D30*(1+$C$10)&gt;FLOOR(IF(AU30&lt;AV30*(1-$C$7),AV30*(1-$C$5-IF(AT30&lt;3,$C$8,0)),MIN(AV30*(1-$C$5-IF(AT30&lt;3,$C$8,0)),AU30*(1-$C$6-IF(AT30&lt;3,$C$8,0)))),IF(IF(AU30&lt;AV30*(1-$C$7),AV30*(1-$C$5-IF(AT30&lt;3,$C$8,0)),MIN(AV30*(1-$C$5-IF(AT30&lt;3,$C$8,0)),AU30*(1-$C$6-IF(AT30&lt;3,$C$8,0))))&lt;10,$C$9,IF(IF(AU30&lt;AV30*(1-$C$7),AV30*(1-$C$5-IF(AT30&lt;3,$C$8,0)),MIN(AV30*(1-$C$5-IF(AT30&lt;3,$C$8,0)),AU30*(1-$C$6-IF(AT30&lt;3,$C$8,0))))&lt;100,$D$9,$E$9)))),ROUND($D30*(1+$C$10),2),FLOOR(IF(AU30&lt;AV30*(1-$C$7),AV30*(1-$C$5-IF(AT30&lt;3,$C$8,0)),MIN(AV30*(1-$C$5-IF(AT30&lt;3,$C$8,0)),AU30*(1-$C$6-IF(AT30&lt;3,$C$8,0)))),IF(IF(AU30&lt;AV30*(1-$C$7),AV30*(1-$C$5-IF(AT30&lt;3,$C$8,0)),MIN(AV30*(1-$C$5-IF(AT30&lt;3,$C$8,0)),AU30*(1-$C$6-IF(AT30&lt;3,$C$8,0))))&lt;10,$C$9,IF(IF(AU30&lt;AV30*(1-$C$7),AV30*(1-$C$5-IF(AT30&lt;3,$C$8,0)),MIN(AV30*(1-$C$5-IF(AT30&lt;3,$C$8,0)),AU30*(1-$C$6-IF(AT30&lt;3,$C$8,0))))&lt;100,$D$9,$E$9)))))</f>
        <v>—</v>
      </c>
      <c r="AZ30" s="70" t="str">
        <f aca="false">IF(AT30=0,"—",FLOOR(AY30*Sources!$G$9,0.1))</f>
        <v>—</v>
      </c>
      <c r="BA30" s="68" t="n">
        <f aca="false">IF(ISNUMBER($D30),$D30,"n/a")</f>
        <v>2.585</v>
      </c>
      <c r="BB30" s="71" t="str">
        <f aca="false">IF(OR(AT30=0,NOT(ISNUMBER($D30))),"—",AY30/$D30-1)</f>
        <v>—</v>
      </c>
      <c r="BC30" s="72" t="str">
        <f aca="false">IF(AT30=0,"—",AY30/AU30-1)</f>
        <v>—</v>
      </c>
      <c r="BD30" s="72" t="str">
        <f aca="false">IF(AT30=0,"—",AY30/AV30-1)</f>
        <v>—</v>
      </c>
      <c r="BE30" s="67" t="n">
        <f aca="false">COUNTIFS(Offers!$B$7:$B$3000,$B30,Offers!$C$7:$C$3000,"Hungary",Offers!$AI$7:$AI$3000,"yes")</f>
        <v>0</v>
      </c>
      <c r="BF30" s="68" t="str">
        <f aca="false">IF(BE30=0,"—",SUMIFS(Review!$I$7:$I$600,Review!$B$7:$B$600,$B30,Review!$C$7:$C$600,"Hungary"))</f>
        <v>—</v>
      </c>
      <c r="BG30" s="68" t="str">
        <f aca="false">IF(BE30=0,"—",SUMIFS(Review!$J$7:$J$600,Review!$B$7:$B$600,$B30,Review!$C$7:$C$600,"Hungary"))</f>
        <v>—</v>
      </c>
      <c r="BH30" s="68" t="str">
        <f aca="false">IF(BE30=0,"—",SUMIFS(Review!$K$7:$K$600,Review!$B$7:$B$600,$B30,Review!$C$7:$C$600,"Hungary"))</f>
        <v>—</v>
      </c>
      <c r="BI30" s="69" t="str">
        <f aca="false">IF(BE30=0,"—",IF(BF30&lt;BG30*(1-$C$7),"median (cheapest is an outlier)",IF(BF30*(1-$C$6)&lt;BG30*(1-$C$5),"undercut cheapest","median")))</f>
        <v>—</v>
      </c>
      <c r="BJ30" s="70" t="str">
        <f aca="false">IF(BE30=0,"—",IF(AND(ISNUMBER($D30),$D30*(1+$C$10)&gt;FLOOR(IF(BF30&lt;BG30*(1-$C$7),BG30*(1-$C$5-IF(BE30&lt;3,$C$8,0)),MIN(BG30*(1-$C$5-IF(BE30&lt;3,$C$8,0)),BF30*(1-$C$6-IF(BE30&lt;3,$C$8,0)))),IF(IF(BF30&lt;BG30*(1-$C$7),BG30*(1-$C$5-IF(BE30&lt;3,$C$8,0)),MIN(BG30*(1-$C$5-IF(BE30&lt;3,$C$8,0)),BF30*(1-$C$6-IF(BE30&lt;3,$C$8,0))))&lt;10,$C$9,IF(IF(BF30&lt;BG30*(1-$C$7),BG30*(1-$C$5-IF(BE30&lt;3,$C$8,0)),MIN(BG30*(1-$C$5-IF(BE30&lt;3,$C$8,0)),BF30*(1-$C$6-IF(BE30&lt;3,$C$8,0))))&lt;100,$D$9,$E$9)))),ROUND($D30*(1+$C$10),2),FLOOR(IF(BF30&lt;BG30*(1-$C$7),BG30*(1-$C$5-IF(BE30&lt;3,$C$8,0)),MIN(BG30*(1-$C$5-IF(BE30&lt;3,$C$8,0)),BF30*(1-$C$6-IF(BE30&lt;3,$C$8,0)))),IF(IF(BF30&lt;BG30*(1-$C$7),BG30*(1-$C$5-IF(BE30&lt;3,$C$8,0)),MIN(BG30*(1-$C$5-IF(BE30&lt;3,$C$8,0)),BF30*(1-$C$6-IF(BE30&lt;3,$C$8,0))))&lt;10,$C$9,IF(IF(BF30&lt;BG30*(1-$C$7),BG30*(1-$C$5-IF(BE30&lt;3,$C$8,0)),MIN(BG30*(1-$C$5-IF(BE30&lt;3,$C$8,0)),BF30*(1-$C$6-IF(BE30&lt;3,$C$8,0))))&lt;100,$D$9,$E$9)))))</f>
        <v>—</v>
      </c>
      <c r="BK30" s="73" t="str">
        <f aca="false">IF(BE30=0,"—",FLOOR(BJ30*Sources!$G$8,10))</f>
        <v>—</v>
      </c>
      <c r="BL30" s="68" t="n">
        <f aca="false">IF(ISNUMBER($D30),$D30,"n/a")</f>
        <v>2.585</v>
      </c>
      <c r="BM30" s="71" t="str">
        <f aca="false">IF(OR(BE30=0,NOT(ISNUMBER($D30))),"—",BJ30/$D30-1)</f>
        <v>—</v>
      </c>
      <c r="BN30" s="72" t="str">
        <f aca="false">IF(BE30=0,"—",BJ30/BF30-1)</f>
        <v>—</v>
      </c>
      <c r="BO30" s="72" t="str">
        <f aca="false">IF(BE30=0,"—",BJ30/BG30-1)</f>
        <v>—</v>
      </c>
    </row>
    <row r="31" customFormat="false" ht="15" hidden="false" customHeight="true" outlineLevel="0" collapsed="false">
      <c r="B31" s="1" t="s">
        <v>41</v>
      </c>
      <c r="C31" s="1" t="s">
        <v>156</v>
      </c>
      <c r="D31" s="58" t="n">
        <v>27.5</v>
      </c>
      <c r="E31" s="59" t="n">
        <f aca="false">COUNTIFS(Offers!$B$7:$B$3000,$B31,Offers!$C$7:$C$3000,"Austria",Offers!$AI$7:$AI$3000,"yes")</f>
        <v>3</v>
      </c>
      <c r="F31" s="60" t="n">
        <f aca="false">IF(E31=0,"—",SUMIFS(Review!$I$7:$I$600,Review!$B$7:$B$600,$B31,Review!$C$7:$C$600,"Austria"))</f>
        <v>24.99</v>
      </c>
      <c r="G31" s="60" t="n">
        <f aca="false">IF(E31=0,"—",SUMIFS(Review!$J$7:$J$600,Review!$B$7:$B$600,$B31,Review!$C$7:$C$600,"Austria"))</f>
        <v>26.19</v>
      </c>
      <c r="H31" s="60" t="n">
        <f aca="false">IF(E31=0,"—",SUMIFS(Review!$K$7:$K$600,Review!$B$7:$B$600,$B31,Review!$C$7:$C$600,"Austria"))</f>
        <v>36.09</v>
      </c>
      <c r="I31" s="61" t="str">
        <f aca="false">IF(E31=0,"—",IF(F31&lt;G31*(1-$C$7),"median (cheapest is an outlier)",IF(F31*(1-$C$6)&lt;G31*(1-$C$5),"undercut cheapest","median")))</f>
        <v>median</v>
      </c>
      <c r="J31" s="62" t="n">
        <f aca="false">IF(E31=0,"—",IF(AND(ISNUMBER($D31),$D31*(1+$C$10)&gt;FLOOR(IF(F31&lt;G31*(1-$C$7),G31*(1-$C$5-IF(E31&lt;3,$C$8,0)),MIN(G31*(1-$C$5-IF(E31&lt;3,$C$8,0)),F31*(1-$C$6-IF(E31&lt;3,$C$8,0)))),IF(IF(F31&lt;G31*(1-$C$7),G31*(1-$C$5-IF(E31&lt;3,$C$8,0)),MIN(G31*(1-$C$5-IF(E31&lt;3,$C$8,0)),F31*(1-$C$6-IF(E31&lt;3,$C$8,0))))&lt;10,$C$9,IF(IF(F31&lt;G31*(1-$C$7),G31*(1-$C$5-IF(E31&lt;3,$C$8,0)),MIN(G31*(1-$C$5-IF(E31&lt;3,$C$8,0)),F31*(1-$C$6-IF(E31&lt;3,$C$8,0))))&lt;100,$D$9,$E$9)))),ROUND($D31*(1+$C$10),2),FLOOR(IF(F31&lt;G31*(1-$C$7),G31*(1-$C$5-IF(E31&lt;3,$C$8,0)),MIN(G31*(1-$C$5-IF(E31&lt;3,$C$8,0)),F31*(1-$C$6-IF(E31&lt;3,$C$8,0)))),IF(IF(F31&lt;G31*(1-$C$7),G31*(1-$C$5-IF(E31&lt;3,$C$8,0)),MIN(G31*(1-$C$5-IF(E31&lt;3,$C$8,0)),F31*(1-$C$6-IF(E31&lt;3,$C$8,0))))&lt;10,$C$9,IF(IF(F31&lt;G31*(1-$C$7),G31*(1-$C$5-IF(E31&lt;3,$C$8,0)),MIN(G31*(1-$C$5-IF(E31&lt;3,$C$8,0)),F31*(1-$C$6-IF(E31&lt;3,$C$8,0))))&lt;100,$D$9,$E$9)))))</f>
        <v>27.5</v>
      </c>
      <c r="K31" s="60" t="n">
        <f aca="false">IF(ISNUMBER($D31),$D31,"n/a")</f>
        <v>27.5</v>
      </c>
      <c r="L31" s="63" t="n">
        <f aca="false">IF(OR(E31=0,NOT(ISNUMBER($D31))),"—",J31/$D31-1)</f>
        <v>0</v>
      </c>
      <c r="M31" s="64" t="n">
        <f aca="false">IF(E31=0,"—",J31/F31-1)</f>
        <v>0.100440176070428</v>
      </c>
      <c r="N31" s="64" t="n">
        <f aca="false">IF(E31=0,"—",J31/G31-1)</f>
        <v>0.0500190912562046</v>
      </c>
      <c r="O31" s="59" t="n">
        <f aca="false">COUNTIFS(Offers!$B$7:$B$3000,$B31,Offers!$C$7:$C$3000,"Germany",Offers!$AI$7:$AI$3000,"yes")</f>
        <v>2</v>
      </c>
      <c r="P31" s="60" t="n">
        <f aca="false">IF(O31=0,"—",SUMIFS(Review!$I$7:$I$600,Review!$B$7:$B$600,$B31,Review!$C$7:$C$600,"Germany"))</f>
        <v>23.39</v>
      </c>
      <c r="Q31" s="60" t="n">
        <f aca="false">IF(O31=0,"—",SUMIFS(Review!$J$7:$J$600,Review!$B$7:$B$600,$B31,Review!$C$7:$C$600,"Germany"))</f>
        <v>29.74</v>
      </c>
      <c r="R31" s="60" t="n">
        <f aca="false">IF(O31=0,"—",SUMIFS(Review!$K$7:$K$600,Review!$B$7:$B$600,$B31,Review!$C$7:$C$600,"Germany"))</f>
        <v>36.09</v>
      </c>
      <c r="S31" s="61" t="str">
        <f aca="false">IF(O31=0,"—",IF(P31&lt;Q31*(1-$C$7),"median (cheapest is an outlier)",IF(P31*(1-$C$6)&lt;Q31*(1-$C$5),"undercut cheapest","median")))</f>
        <v>undercut cheapest</v>
      </c>
      <c r="T31" s="62" t="n">
        <f aca="false">IF(O31=0,"—",IF(AND(ISNUMBER($D31),$D31*(1+$C$10)&gt;FLOOR(IF(P31&lt;Q31*(1-$C$7),Q31*(1-$C$5-IF(O31&lt;3,$C$8,0)),MIN(Q31*(1-$C$5-IF(O31&lt;3,$C$8,0)),P31*(1-$C$6-IF(O31&lt;3,$C$8,0)))),IF(IF(P31&lt;Q31*(1-$C$7),Q31*(1-$C$5-IF(O31&lt;3,$C$8,0)),MIN(Q31*(1-$C$5-IF(O31&lt;3,$C$8,0)),P31*(1-$C$6-IF(O31&lt;3,$C$8,0))))&lt;10,$C$9,IF(IF(P31&lt;Q31*(1-$C$7),Q31*(1-$C$5-IF(O31&lt;3,$C$8,0)),MIN(Q31*(1-$C$5-IF(O31&lt;3,$C$8,0)),P31*(1-$C$6-IF(O31&lt;3,$C$8,0))))&lt;100,$D$9,$E$9)))),ROUND($D31*(1+$C$10),2),FLOOR(IF(P31&lt;Q31*(1-$C$7),Q31*(1-$C$5-IF(O31&lt;3,$C$8,0)),MIN(Q31*(1-$C$5-IF(O31&lt;3,$C$8,0)),P31*(1-$C$6-IF(O31&lt;3,$C$8,0)))),IF(IF(P31&lt;Q31*(1-$C$7),Q31*(1-$C$5-IF(O31&lt;3,$C$8,0)),MIN(Q31*(1-$C$5-IF(O31&lt;3,$C$8,0)),P31*(1-$C$6-IF(O31&lt;3,$C$8,0))))&lt;10,$C$9,IF(IF(P31&lt;Q31*(1-$C$7),Q31*(1-$C$5-IF(O31&lt;3,$C$8,0)),MIN(Q31*(1-$C$5-IF(O31&lt;3,$C$8,0)),P31*(1-$C$6-IF(O31&lt;3,$C$8,0))))&lt;100,$D$9,$E$9)))))</f>
        <v>27.5</v>
      </c>
      <c r="U31" s="60" t="n">
        <f aca="false">IF(ISNUMBER($D31),$D31,"n/a")</f>
        <v>27.5</v>
      </c>
      <c r="V31" s="63" t="n">
        <f aca="false">IF(OR(O31=0,NOT(ISNUMBER($D31))),"—",T31/$D31-1)</f>
        <v>0</v>
      </c>
      <c r="W31" s="64" t="n">
        <f aca="false">IF(O31=0,"—",T31/P31-1)</f>
        <v>0.175716117999145</v>
      </c>
      <c r="X31" s="64" t="n">
        <f aca="false">IF(O31=0,"—",T31/Q31-1)</f>
        <v>-0.0753194351042368</v>
      </c>
      <c r="Y31" s="59" t="n">
        <f aca="false">COUNTIFS(Offers!$B$7:$B$3000,$B31,Offers!$C$7:$C$3000,"Czech",Offers!$AI$7:$AI$3000,"yes")</f>
        <v>1</v>
      </c>
      <c r="Z31" s="60" t="n">
        <f aca="false">IF(Y31=0,"—",SUMIFS(Review!$I$7:$I$600,Review!$B$7:$B$600,$B31,Review!$C$7:$C$600,"Czech"))</f>
        <v>99.00991</v>
      </c>
      <c r="AA31" s="60" t="n">
        <f aca="false">IF(Y31=0,"—",SUMIFS(Review!$J$7:$J$600,Review!$B$7:$B$600,$B31,Review!$C$7:$C$600,"Czech"))</f>
        <v>99.00991</v>
      </c>
      <c r="AB31" s="60" t="n">
        <f aca="false">IF(Y31=0,"—",SUMIFS(Review!$K$7:$K$600,Review!$B$7:$B$600,$B31,Review!$C$7:$C$600,"Czech"))</f>
        <v>99.00991</v>
      </c>
      <c r="AC31" s="61" t="str">
        <f aca="false">IF(Y31=0,"—",IF(Z31&lt;AA31*(1-$C$7),"median (cheapest is an outlier)",IF(Z31*(1-$C$6)&lt;AA31*(1-$C$5),"undercut cheapest","median")))</f>
        <v>median</v>
      </c>
      <c r="AD31" s="62" t="n">
        <f aca="false">IF(Y31=0,"—",IF(AND(ISNUMBER($D31),$D31*(1+$C$10)&gt;FLOOR(IF(Z31&lt;AA31*(1-$C$7),AA31*(1-$C$5-IF(Y31&lt;3,$C$8,0)),MIN(AA31*(1-$C$5-IF(Y31&lt;3,$C$8,0)),Z31*(1-$C$6-IF(Y31&lt;3,$C$8,0)))),IF(IF(Z31&lt;AA31*(1-$C$7),AA31*(1-$C$5-IF(Y31&lt;3,$C$8,0)),MIN(AA31*(1-$C$5-IF(Y31&lt;3,$C$8,0)),Z31*(1-$C$6-IF(Y31&lt;3,$C$8,0))))&lt;10,$C$9,IF(IF(Z31&lt;AA31*(1-$C$7),AA31*(1-$C$5-IF(Y31&lt;3,$C$8,0)),MIN(AA31*(1-$C$5-IF(Y31&lt;3,$C$8,0)),Z31*(1-$C$6-IF(Y31&lt;3,$C$8,0))))&lt;100,$D$9,$E$9)))),ROUND($D31*(1+$C$10),2),FLOOR(IF(Z31&lt;AA31*(1-$C$7),AA31*(1-$C$5-IF(Y31&lt;3,$C$8,0)),MIN(AA31*(1-$C$5-IF(Y31&lt;3,$C$8,0)),Z31*(1-$C$6-IF(Y31&lt;3,$C$8,0)))),IF(IF(Z31&lt;AA31*(1-$C$7),AA31*(1-$C$5-IF(Y31&lt;3,$C$8,0)),MIN(AA31*(1-$C$5-IF(Y31&lt;3,$C$8,0)),Z31*(1-$C$6-IF(Y31&lt;3,$C$8,0))))&lt;10,$C$9,IF(IF(Z31&lt;AA31*(1-$C$7),AA31*(1-$C$5-IF(Y31&lt;3,$C$8,0)),MIN(AA31*(1-$C$5-IF(Y31&lt;3,$C$8,0)),Z31*(1-$C$6-IF(Y31&lt;3,$C$8,0))))&lt;100,$D$9,$E$9)))))</f>
        <v>69.3</v>
      </c>
      <c r="AE31" s="65" t="n">
        <f aca="false">IF(Y31=0,"—",FLOOR(AD31*Sources!$G$10,1))</f>
        <v>1692</v>
      </c>
      <c r="AF31" s="60" t="n">
        <f aca="false">IF(ISNUMBER($D31),$D31,"n/a")</f>
        <v>27.5</v>
      </c>
      <c r="AG31" s="63" t="n">
        <f aca="false">IF(OR(Y31=0,NOT(ISNUMBER($D31))),"—",AD31/$D31-1)</f>
        <v>1.52</v>
      </c>
      <c r="AH31" s="64" t="n">
        <f aca="false">IF(Y31=0,"—",AD31/Z31-1)</f>
        <v>-0.300070063693624</v>
      </c>
      <c r="AI31" s="64" t="n">
        <f aca="false">IF(Y31=0,"—",AD31/AA31-1)</f>
        <v>-0.300070063693624</v>
      </c>
      <c r="AJ31" s="59" t="n">
        <f aca="false">COUNTIFS(Offers!$B$7:$B$3000,$B31,Offers!$C$7:$C$3000,"Slovakia",Offers!$AI$7:$AI$3000,"yes")</f>
        <v>0</v>
      </c>
      <c r="AK31" s="60" t="str">
        <f aca="false">IF(AJ31=0,"—",SUMIFS(Review!$I$7:$I$600,Review!$B$7:$B$600,$B31,Review!$C$7:$C$600,"Slovakia"))</f>
        <v>—</v>
      </c>
      <c r="AL31" s="60" t="str">
        <f aca="false">IF(AJ31=0,"—",SUMIFS(Review!$J$7:$J$600,Review!$B$7:$B$600,$B31,Review!$C$7:$C$600,"Slovakia"))</f>
        <v>—</v>
      </c>
      <c r="AM31" s="60" t="str">
        <f aca="false">IF(AJ31=0,"—",SUMIFS(Review!$K$7:$K$600,Review!$B$7:$B$600,$B31,Review!$C$7:$C$600,"Slovakia"))</f>
        <v>—</v>
      </c>
      <c r="AN31" s="61" t="str">
        <f aca="false">IF(AJ31=0,"—",IF(AK31&lt;AL31*(1-$C$7),"median (cheapest is an outlier)",IF(AK31*(1-$C$6)&lt;AL31*(1-$C$5),"undercut cheapest","median")))</f>
        <v>—</v>
      </c>
      <c r="AO31" s="62" t="str">
        <f aca="false">IF(AJ31=0,"—",IF(AND(ISNUMBER($D31),$D31*(1+$C$10)&gt;FLOOR(IF(AK31&lt;AL31*(1-$C$7),AL31*(1-$C$5-IF(AJ31&lt;3,$C$8,0)),MIN(AL31*(1-$C$5-IF(AJ31&lt;3,$C$8,0)),AK31*(1-$C$6-IF(AJ31&lt;3,$C$8,0)))),IF(IF(AK31&lt;AL31*(1-$C$7),AL31*(1-$C$5-IF(AJ31&lt;3,$C$8,0)),MIN(AL31*(1-$C$5-IF(AJ31&lt;3,$C$8,0)),AK31*(1-$C$6-IF(AJ31&lt;3,$C$8,0))))&lt;10,$C$9,IF(IF(AK31&lt;AL31*(1-$C$7),AL31*(1-$C$5-IF(AJ31&lt;3,$C$8,0)),MIN(AL31*(1-$C$5-IF(AJ31&lt;3,$C$8,0)),AK31*(1-$C$6-IF(AJ31&lt;3,$C$8,0))))&lt;100,$D$9,$E$9)))),ROUND($D31*(1+$C$10),2),FLOOR(IF(AK31&lt;AL31*(1-$C$7),AL31*(1-$C$5-IF(AJ31&lt;3,$C$8,0)),MIN(AL31*(1-$C$5-IF(AJ31&lt;3,$C$8,0)),AK31*(1-$C$6-IF(AJ31&lt;3,$C$8,0)))),IF(IF(AK31&lt;AL31*(1-$C$7),AL31*(1-$C$5-IF(AJ31&lt;3,$C$8,0)),MIN(AL31*(1-$C$5-IF(AJ31&lt;3,$C$8,0)),AK31*(1-$C$6-IF(AJ31&lt;3,$C$8,0))))&lt;10,$C$9,IF(IF(AK31&lt;AL31*(1-$C$7),AL31*(1-$C$5-IF(AJ31&lt;3,$C$8,0)),MIN(AL31*(1-$C$5-IF(AJ31&lt;3,$C$8,0)),AK31*(1-$C$6-IF(AJ31&lt;3,$C$8,0))))&lt;100,$D$9,$E$9)))))</f>
        <v>—</v>
      </c>
      <c r="AP31" s="60" t="n">
        <f aca="false">IF(ISNUMBER($D31),$D31,"n/a")</f>
        <v>27.5</v>
      </c>
      <c r="AQ31" s="63" t="str">
        <f aca="false">IF(OR(AJ31=0,NOT(ISNUMBER($D31))),"—",AO31/$D31-1)</f>
        <v>—</v>
      </c>
      <c r="AR31" s="64" t="str">
        <f aca="false">IF(AJ31=0,"—",AO31/AK31-1)</f>
        <v>—</v>
      </c>
      <c r="AS31" s="64" t="str">
        <f aca="false">IF(AJ31=0,"—",AO31/AL31-1)</f>
        <v>—</v>
      </c>
      <c r="AT31" s="59" t="n">
        <f aca="false">COUNTIFS(Offers!$B$7:$B$3000,$B31,Offers!$C$7:$C$3000,"Romania",Offers!$AI$7:$AI$3000,"yes")</f>
        <v>0</v>
      </c>
      <c r="AU31" s="60" t="str">
        <f aca="false">IF(AT31=0,"—",SUMIFS(Review!$I$7:$I$600,Review!$B$7:$B$600,$B31,Review!$C$7:$C$600,"Romania"))</f>
        <v>—</v>
      </c>
      <c r="AV31" s="60" t="str">
        <f aca="false">IF(AT31=0,"—",SUMIFS(Review!$J$7:$J$600,Review!$B$7:$B$600,$B31,Review!$C$7:$C$600,"Romania"))</f>
        <v>—</v>
      </c>
      <c r="AW31" s="60" t="str">
        <f aca="false">IF(AT31=0,"—",SUMIFS(Review!$K$7:$K$600,Review!$B$7:$B$600,$B31,Review!$C$7:$C$600,"Romania"))</f>
        <v>—</v>
      </c>
      <c r="AX31" s="61" t="str">
        <f aca="false">IF(AT31=0,"—",IF(AU31&lt;AV31*(1-$C$7),"median (cheapest is an outlier)",IF(AU31*(1-$C$6)&lt;AV31*(1-$C$5),"undercut cheapest","median")))</f>
        <v>—</v>
      </c>
      <c r="AY31" s="62" t="str">
        <f aca="false">IF(AT31=0,"—",IF(AND(ISNUMBER($D31),$D31*(1+$C$10)&gt;FLOOR(IF(AU31&lt;AV31*(1-$C$7),AV31*(1-$C$5-IF(AT31&lt;3,$C$8,0)),MIN(AV31*(1-$C$5-IF(AT31&lt;3,$C$8,0)),AU31*(1-$C$6-IF(AT31&lt;3,$C$8,0)))),IF(IF(AU31&lt;AV31*(1-$C$7),AV31*(1-$C$5-IF(AT31&lt;3,$C$8,0)),MIN(AV31*(1-$C$5-IF(AT31&lt;3,$C$8,0)),AU31*(1-$C$6-IF(AT31&lt;3,$C$8,0))))&lt;10,$C$9,IF(IF(AU31&lt;AV31*(1-$C$7),AV31*(1-$C$5-IF(AT31&lt;3,$C$8,0)),MIN(AV31*(1-$C$5-IF(AT31&lt;3,$C$8,0)),AU31*(1-$C$6-IF(AT31&lt;3,$C$8,0))))&lt;100,$D$9,$E$9)))),ROUND($D31*(1+$C$10),2),FLOOR(IF(AU31&lt;AV31*(1-$C$7),AV31*(1-$C$5-IF(AT31&lt;3,$C$8,0)),MIN(AV31*(1-$C$5-IF(AT31&lt;3,$C$8,0)),AU31*(1-$C$6-IF(AT31&lt;3,$C$8,0)))),IF(IF(AU31&lt;AV31*(1-$C$7),AV31*(1-$C$5-IF(AT31&lt;3,$C$8,0)),MIN(AV31*(1-$C$5-IF(AT31&lt;3,$C$8,0)),AU31*(1-$C$6-IF(AT31&lt;3,$C$8,0))))&lt;10,$C$9,IF(IF(AU31&lt;AV31*(1-$C$7),AV31*(1-$C$5-IF(AT31&lt;3,$C$8,0)),MIN(AV31*(1-$C$5-IF(AT31&lt;3,$C$8,0)),AU31*(1-$C$6-IF(AT31&lt;3,$C$8,0))))&lt;100,$D$9,$E$9)))))</f>
        <v>—</v>
      </c>
      <c r="AZ31" s="62" t="str">
        <f aca="false">IF(AT31=0,"—",FLOOR(AY31*Sources!$G$9,0.1))</f>
        <v>—</v>
      </c>
      <c r="BA31" s="60" t="n">
        <f aca="false">IF(ISNUMBER($D31),$D31,"n/a")</f>
        <v>27.5</v>
      </c>
      <c r="BB31" s="63" t="str">
        <f aca="false">IF(OR(AT31=0,NOT(ISNUMBER($D31))),"—",AY31/$D31-1)</f>
        <v>—</v>
      </c>
      <c r="BC31" s="64" t="str">
        <f aca="false">IF(AT31=0,"—",AY31/AU31-1)</f>
        <v>—</v>
      </c>
      <c r="BD31" s="64" t="str">
        <f aca="false">IF(AT31=0,"—",AY31/AV31-1)</f>
        <v>—</v>
      </c>
      <c r="BE31" s="59" t="n">
        <f aca="false">COUNTIFS(Offers!$B$7:$B$3000,$B31,Offers!$C$7:$C$3000,"Hungary",Offers!$AI$7:$AI$3000,"yes")</f>
        <v>0</v>
      </c>
      <c r="BF31" s="60" t="str">
        <f aca="false">IF(BE31=0,"—",SUMIFS(Review!$I$7:$I$600,Review!$B$7:$B$600,$B31,Review!$C$7:$C$600,"Hungary"))</f>
        <v>—</v>
      </c>
      <c r="BG31" s="60" t="str">
        <f aca="false">IF(BE31=0,"—",SUMIFS(Review!$J$7:$J$600,Review!$B$7:$B$600,$B31,Review!$C$7:$C$600,"Hungary"))</f>
        <v>—</v>
      </c>
      <c r="BH31" s="60" t="str">
        <f aca="false">IF(BE31=0,"—",SUMIFS(Review!$K$7:$K$600,Review!$B$7:$B$600,$B31,Review!$C$7:$C$600,"Hungary"))</f>
        <v>—</v>
      </c>
      <c r="BI31" s="61" t="str">
        <f aca="false">IF(BE31=0,"—",IF(BF31&lt;BG31*(1-$C$7),"median (cheapest is an outlier)",IF(BF31*(1-$C$6)&lt;BG31*(1-$C$5),"undercut cheapest","median")))</f>
        <v>—</v>
      </c>
      <c r="BJ31" s="62" t="str">
        <f aca="false">IF(BE31=0,"—",IF(AND(ISNUMBER($D31),$D31*(1+$C$10)&gt;FLOOR(IF(BF31&lt;BG31*(1-$C$7),BG31*(1-$C$5-IF(BE31&lt;3,$C$8,0)),MIN(BG31*(1-$C$5-IF(BE31&lt;3,$C$8,0)),BF31*(1-$C$6-IF(BE31&lt;3,$C$8,0)))),IF(IF(BF31&lt;BG31*(1-$C$7),BG31*(1-$C$5-IF(BE31&lt;3,$C$8,0)),MIN(BG31*(1-$C$5-IF(BE31&lt;3,$C$8,0)),BF31*(1-$C$6-IF(BE31&lt;3,$C$8,0))))&lt;10,$C$9,IF(IF(BF31&lt;BG31*(1-$C$7),BG31*(1-$C$5-IF(BE31&lt;3,$C$8,0)),MIN(BG31*(1-$C$5-IF(BE31&lt;3,$C$8,0)),BF31*(1-$C$6-IF(BE31&lt;3,$C$8,0))))&lt;100,$D$9,$E$9)))),ROUND($D31*(1+$C$10),2),FLOOR(IF(BF31&lt;BG31*(1-$C$7),BG31*(1-$C$5-IF(BE31&lt;3,$C$8,0)),MIN(BG31*(1-$C$5-IF(BE31&lt;3,$C$8,0)),BF31*(1-$C$6-IF(BE31&lt;3,$C$8,0)))),IF(IF(BF31&lt;BG31*(1-$C$7),BG31*(1-$C$5-IF(BE31&lt;3,$C$8,0)),MIN(BG31*(1-$C$5-IF(BE31&lt;3,$C$8,0)),BF31*(1-$C$6-IF(BE31&lt;3,$C$8,0))))&lt;10,$C$9,IF(IF(BF31&lt;BG31*(1-$C$7),BG31*(1-$C$5-IF(BE31&lt;3,$C$8,0)),MIN(BG31*(1-$C$5-IF(BE31&lt;3,$C$8,0)),BF31*(1-$C$6-IF(BE31&lt;3,$C$8,0))))&lt;100,$D$9,$E$9)))))</f>
        <v>—</v>
      </c>
      <c r="BK31" s="65" t="str">
        <f aca="false">IF(BE31=0,"—",FLOOR(BJ31*Sources!$G$8,10))</f>
        <v>—</v>
      </c>
      <c r="BL31" s="60" t="n">
        <f aca="false">IF(ISNUMBER($D31),$D31,"n/a")</f>
        <v>27.5</v>
      </c>
      <c r="BM31" s="63" t="str">
        <f aca="false">IF(OR(BE31=0,NOT(ISNUMBER($D31))),"—",BJ31/$D31-1)</f>
        <v>—</v>
      </c>
      <c r="BN31" s="64" t="str">
        <f aca="false">IF(BE31=0,"—",BJ31/BF31-1)</f>
        <v>—</v>
      </c>
      <c r="BO31" s="64" t="str">
        <f aca="false">IF(BE31=0,"—",BJ31/BG31-1)</f>
        <v>—</v>
      </c>
    </row>
    <row r="32" customFormat="false" ht="15" hidden="false" customHeight="true" outlineLevel="0" collapsed="false">
      <c r="B32" s="66" t="s">
        <v>43</v>
      </c>
      <c r="C32" s="66" t="s">
        <v>157</v>
      </c>
      <c r="D32" s="58" t="n">
        <v>3.08</v>
      </c>
      <c r="E32" s="67" t="n">
        <f aca="false">COUNTIFS(Offers!$B$7:$B$3000,$B32,Offers!$C$7:$C$3000,"Austria",Offers!$AI$7:$AI$3000,"yes")</f>
        <v>7</v>
      </c>
      <c r="F32" s="68" t="n">
        <f aca="false">IF(E32=0,"—",SUMIFS(Review!$I$7:$I$600,Review!$B$7:$B$600,$B32,Review!$C$7:$C$600,"Austria"))</f>
        <v>7.17</v>
      </c>
      <c r="G32" s="68" t="n">
        <f aca="false">IF(E32=0,"—",SUMIFS(Review!$J$7:$J$600,Review!$B$7:$B$600,$B32,Review!$C$7:$C$600,"Austria"))</f>
        <v>12.23</v>
      </c>
      <c r="H32" s="68" t="n">
        <f aca="false">IF(E32=0,"—",SUMIFS(Review!$K$7:$K$600,Review!$B$7:$B$600,$B32,Review!$C$7:$C$600,"Austria"))</f>
        <v>19.99</v>
      </c>
      <c r="I32" s="69" t="str">
        <f aca="false">IF(E32=0,"—",IF(F32&lt;G32*(1-$C$7),"median (cheapest is an outlier)",IF(F32*(1-$C$6)&lt;G32*(1-$C$5),"undercut cheapest","median")))</f>
        <v>median (cheapest is an outlier)</v>
      </c>
      <c r="J32" s="70" t="n">
        <f aca="false">IF(E32=0,"—",IF(AND(ISNUMBER($D32),$D32*(1+$C$10)&gt;FLOOR(IF(F32&lt;G32*(1-$C$7),G32*(1-$C$5-IF(E32&lt;3,$C$8,0)),MIN(G32*(1-$C$5-IF(E32&lt;3,$C$8,0)),F32*(1-$C$6-IF(E32&lt;3,$C$8,0)))),IF(IF(F32&lt;G32*(1-$C$7),G32*(1-$C$5-IF(E32&lt;3,$C$8,0)),MIN(G32*(1-$C$5-IF(E32&lt;3,$C$8,0)),F32*(1-$C$6-IF(E32&lt;3,$C$8,0))))&lt;10,$C$9,IF(IF(F32&lt;G32*(1-$C$7),G32*(1-$C$5-IF(E32&lt;3,$C$8,0)),MIN(G32*(1-$C$5-IF(E32&lt;3,$C$8,0)),F32*(1-$C$6-IF(E32&lt;3,$C$8,0))))&lt;100,$D$9,$E$9)))),ROUND($D32*(1+$C$10),2),FLOOR(IF(F32&lt;G32*(1-$C$7),G32*(1-$C$5-IF(E32&lt;3,$C$8,0)),MIN(G32*(1-$C$5-IF(E32&lt;3,$C$8,0)),F32*(1-$C$6-IF(E32&lt;3,$C$8,0)))),IF(IF(F32&lt;G32*(1-$C$7),G32*(1-$C$5-IF(E32&lt;3,$C$8,0)),MIN(G32*(1-$C$5-IF(E32&lt;3,$C$8,0)),F32*(1-$C$6-IF(E32&lt;3,$C$8,0))))&lt;10,$C$9,IF(IF(F32&lt;G32*(1-$C$7),G32*(1-$C$5-IF(E32&lt;3,$C$8,0)),MIN(G32*(1-$C$5-IF(E32&lt;3,$C$8,0)),F32*(1-$C$6-IF(E32&lt;3,$C$8,0))))&lt;100,$D$9,$E$9)))))</f>
        <v>9.15</v>
      </c>
      <c r="K32" s="68" t="n">
        <f aca="false">IF(ISNUMBER($D32),$D32,"n/a")</f>
        <v>3.08</v>
      </c>
      <c r="L32" s="71" t="n">
        <f aca="false">IF(OR(E32=0,NOT(ISNUMBER($D32))),"—",J32/$D32-1)</f>
        <v>1.97077922077922</v>
      </c>
      <c r="M32" s="72" t="n">
        <f aca="false">IF(E32=0,"—",J32/F32-1)</f>
        <v>0.276150627615063</v>
      </c>
      <c r="N32" s="72" t="n">
        <f aca="false">IF(E32=0,"—",J32/G32-1)</f>
        <v>-0.251839738348324</v>
      </c>
      <c r="O32" s="67" t="n">
        <f aca="false">COUNTIFS(Offers!$B$7:$B$3000,$B32,Offers!$C$7:$C$3000,"Germany",Offers!$AI$7:$AI$3000,"yes")</f>
        <v>4</v>
      </c>
      <c r="P32" s="68" t="n">
        <f aca="false">IF(O32=0,"—",SUMIFS(Review!$I$7:$I$600,Review!$B$7:$B$600,$B32,Review!$C$7:$C$600,"Germany"))</f>
        <v>4.67</v>
      </c>
      <c r="Q32" s="68" t="n">
        <f aca="false">IF(O32=0,"—",SUMIFS(Review!$J$7:$J$600,Review!$B$7:$B$600,$B32,Review!$C$7:$C$600,"Germany"))</f>
        <v>8.505</v>
      </c>
      <c r="R32" s="68" t="n">
        <f aca="false">IF(O32=0,"—",SUMIFS(Review!$K$7:$K$600,Review!$B$7:$B$600,$B32,Review!$C$7:$C$600,"Germany"))</f>
        <v>15.69</v>
      </c>
      <c r="S32" s="69" t="str">
        <f aca="false">IF(O32=0,"—",IF(P32&lt;Q32*(1-$C$7),"median (cheapest is an outlier)",IF(P32*(1-$C$6)&lt;Q32*(1-$C$5),"undercut cheapest","median")))</f>
        <v>median (cheapest is an outlier)</v>
      </c>
      <c r="T32" s="70" t="n">
        <f aca="false">IF(O32=0,"—",IF(AND(ISNUMBER($D32),$D32*(1+$C$10)&gt;FLOOR(IF(P32&lt;Q32*(1-$C$7),Q32*(1-$C$5-IF(O32&lt;3,$C$8,0)),MIN(Q32*(1-$C$5-IF(O32&lt;3,$C$8,0)),P32*(1-$C$6-IF(O32&lt;3,$C$8,0)))),IF(IF(P32&lt;Q32*(1-$C$7),Q32*(1-$C$5-IF(O32&lt;3,$C$8,0)),MIN(Q32*(1-$C$5-IF(O32&lt;3,$C$8,0)),P32*(1-$C$6-IF(O32&lt;3,$C$8,0))))&lt;10,$C$9,IF(IF(P32&lt;Q32*(1-$C$7),Q32*(1-$C$5-IF(O32&lt;3,$C$8,0)),MIN(Q32*(1-$C$5-IF(O32&lt;3,$C$8,0)),P32*(1-$C$6-IF(O32&lt;3,$C$8,0))))&lt;100,$D$9,$E$9)))),ROUND($D32*(1+$C$10),2),FLOOR(IF(P32&lt;Q32*(1-$C$7),Q32*(1-$C$5-IF(O32&lt;3,$C$8,0)),MIN(Q32*(1-$C$5-IF(O32&lt;3,$C$8,0)),P32*(1-$C$6-IF(O32&lt;3,$C$8,0)))),IF(IF(P32&lt;Q32*(1-$C$7),Q32*(1-$C$5-IF(O32&lt;3,$C$8,0)),MIN(Q32*(1-$C$5-IF(O32&lt;3,$C$8,0)),P32*(1-$C$6-IF(O32&lt;3,$C$8,0))))&lt;10,$C$9,IF(IF(P32&lt;Q32*(1-$C$7),Q32*(1-$C$5-IF(O32&lt;3,$C$8,0)),MIN(Q32*(1-$C$5-IF(O32&lt;3,$C$8,0)),P32*(1-$C$6-IF(O32&lt;3,$C$8,0))))&lt;100,$D$9,$E$9)))))</f>
        <v>6.35</v>
      </c>
      <c r="U32" s="68" t="n">
        <f aca="false">IF(ISNUMBER($D32),$D32,"n/a")</f>
        <v>3.08</v>
      </c>
      <c r="V32" s="71" t="n">
        <f aca="false">IF(OR(O32=0,NOT(ISNUMBER($D32))),"—",T32/$D32-1)</f>
        <v>1.06168831168831</v>
      </c>
      <c r="W32" s="72" t="n">
        <f aca="false">IF(O32=0,"—",T32/P32-1)</f>
        <v>0.359743040685225</v>
      </c>
      <c r="X32" s="72" t="n">
        <f aca="false">IF(O32=0,"—",T32/Q32-1)</f>
        <v>-0.253380364491476</v>
      </c>
      <c r="Y32" s="67" t="n">
        <f aca="false">COUNTIFS(Offers!$B$7:$B$3000,$B32,Offers!$C$7:$C$3000,"Czech",Offers!$AI$7:$AI$3000,"yes")</f>
        <v>6</v>
      </c>
      <c r="Z32" s="68" t="n">
        <f aca="false">IF(Y32=0,"—",SUMIFS(Review!$I$7:$I$600,Review!$B$7:$B$600,$B32,Review!$C$7:$C$600,"Czech"))</f>
        <v>5.773101</v>
      </c>
      <c r="AA32" s="68" t="n">
        <f aca="false">IF(Y32=0,"—",SUMIFS(Review!$J$7:$J$600,Review!$B$7:$B$600,$B32,Review!$C$7:$C$600,"Czech"))</f>
        <v>7.596746</v>
      </c>
      <c r="AB32" s="68" t="n">
        <f aca="false">IF(Y32=0,"—",SUMIFS(Review!$K$7:$K$600,Review!$B$7:$B$600,$B32,Review!$C$7:$C$600,"Czech"))</f>
        <v>14.990409</v>
      </c>
      <c r="AC32" s="69" t="str">
        <f aca="false">IF(Y32=0,"—",IF(Z32&lt;AA32*(1-$C$7),"median (cheapest is an outlier)",IF(Z32*(1-$C$6)&lt;AA32*(1-$C$5),"undercut cheapest","median")))</f>
        <v>undercut cheapest</v>
      </c>
      <c r="AD32" s="70" t="n">
        <f aca="false">IF(Y32=0,"—",IF(AND(ISNUMBER($D32),$D32*(1+$C$10)&gt;FLOOR(IF(Z32&lt;AA32*(1-$C$7),AA32*(1-$C$5-IF(Y32&lt;3,$C$8,0)),MIN(AA32*(1-$C$5-IF(Y32&lt;3,$C$8,0)),Z32*(1-$C$6-IF(Y32&lt;3,$C$8,0)))),IF(IF(Z32&lt;AA32*(1-$C$7),AA32*(1-$C$5-IF(Y32&lt;3,$C$8,0)),MIN(AA32*(1-$C$5-IF(Y32&lt;3,$C$8,0)),Z32*(1-$C$6-IF(Y32&lt;3,$C$8,0))))&lt;10,$C$9,IF(IF(Z32&lt;AA32*(1-$C$7),AA32*(1-$C$5-IF(Y32&lt;3,$C$8,0)),MIN(AA32*(1-$C$5-IF(Y32&lt;3,$C$8,0)),Z32*(1-$C$6-IF(Y32&lt;3,$C$8,0))))&lt;100,$D$9,$E$9)))),ROUND($D32*(1+$C$10),2),FLOOR(IF(Z32&lt;AA32*(1-$C$7),AA32*(1-$C$5-IF(Y32&lt;3,$C$8,0)),MIN(AA32*(1-$C$5-IF(Y32&lt;3,$C$8,0)),Z32*(1-$C$6-IF(Y32&lt;3,$C$8,0)))),IF(IF(Z32&lt;AA32*(1-$C$7),AA32*(1-$C$5-IF(Y32&lt;3,$C$8,0)),MIN(AA32*(1-$C$5-IF(Y32&lt;3,$C$8,0)),Z32*(1-$C$6-IF(Y32&lt;3,$C$8,0))))&lt;10,$C$9,IF(IF(Z32&lt;AA32*(1-$C$7),AA32*(1-$C$5-IF(Y32&lt;3,$C$8,0)),MIN(AA32*(1-$C$5-IF(Y32&lt;3,$C$8,0)),Z32*(1-$C$6-IF(Y32&lt;3,$C$8,0))))&lt;100,$D$9,$E$9)))))</f>
        <v>5.45</v>
      </c>
      <c r="AE32" s="73" t="n">
        <f aca="false">IF(Y32=0,"—",FLOOR(AD32*Sources!$G$10,1))</f>
        <v>133</v>
      </c>
      <c r="AF32" s="68" t="n">
        <f aca="false">IF(ISNUMBER($D32),$D32,"n/a")</f>
        <v>3.08</v>
      </c>
      <c r="AG32" s="71" t="n">
        <f aca="false">IF(OR(Y32=0,NOT(ISNUMBER($D32))),"—",AD32/$D32-1)</f>
        <v>0.769480519480519</v>
      </c>
      <c r="AH32" s="72" t="n">
        <f aca="false">IF(Y32=0,"—",AD32/Z32-1)</f>
        <v>-0.0559666286801495</v>
      </c>
      <c r="AI32" s="72" t="n">
        <f aca="false">IF(Y32=0,"—",AD32/AA32-1)</f>
        <v>-0.282587571046867</v>
      </c>
      <c r="AJ32" s="67" t="n">
        <f aca="false">COUNTIFS(Offers!$B$7:$B$3000,$B32,Offers!$C$7:$C$3000,"Slovakia",Offers!$AI$7:$AI$3000,"yes")</f>
        <v>0</v>
      </c>
      <c r="AK32" s="68" t="str">
        <f aca="false">IF(AJ32=0,"—",SUMIFS(Review!$I$7:$I$600,Review!$B$7:$B$600,$B32,Review!$C$7:$C$600,"Slovakia"))</f>
        <v>—</v>
      </c>
      <c r="AL32" s="68" t="str">
        <f aca="false">IF(AJ32=0,"—",SUMIFS(Review!$J$7:$J$600,Review!$B$7:$B$600,$B32,Review!$C$7:$C$600,"Slovakia"))</f>
        <v>—</v>
      </c>
      <c r="AM32" s="68" t="str">
        <f aca="false">IF(AJ32=0,"—",SUMIFS(Review!$K$7:$K$600,Review!$B$7:$B$600,$B32,Review!$C$7:$C$600,"Slovakia"))</f>
        <v>—</v>
      </c>
      <c r="AN32" s="69" t="str">
        <f aca="false">IF(AJ32=0,"—",IF(AK32&lt;AL32*(1-$C$7),"median (cheapest is an outlier)",IF(AK32*(1-$C$6)&lt;AL32*(1-$C$5),"undercut cheapest","median")))</f>
        <v>—</v>
      </c>
      <c r="AO32" s="70" t="str">
        <f aca="false">IF(AJ32=0,"—",IF(AND(ISNUMBER($D32),$D32*(1+$C$10)&gt;FLOOR(IF(AK32&lt;AL32*(1-$C$7),AL32*(1-$C$5-IF(AJ32&lt;3,$C$8,0)),MIN(AL32*(1-$C$5-IF(AJ32&lt;3,$C$8,0)),AK32*(1-$C$6-IF(AJ32&lt;3,$C$8,0)))),IF(IF(AK32&lt;AL32*(1-$C$7),AL32*(1-$C$5-IF(AJ32&lt;3,$C$8,0)),MIN(AL32*(1-$C$5-IF(AJ32&lt;3,$C$8,0)),AK32*(1-$C$6-IF(AJ32&lt;3,$C$8,0))))&lt;10,$C$9,IF(IF(AK32&lt;AL32*(1-$C$7),AL32*(1-$C$5-IF(AJ32&lt;3,$C$8,0)),MIN(AL32*(1-$C$5-IF(AJ32&lt;3,$C$8,0)),AK32*(1-$C$6-IF(AJ32&lt;3,$C$8,0))))&lt;100,$D$9,$E$9)))),ROUND($D32*(1+$C$10),2),FLOOR(IF(AK32&lt;AL32*(1-$C$7),AL32*(1-$C$5-IF(AJ32&lt;3,$C$8,0)),MIN(AL32*(1-$C$5-IF(AJ32&lt;3,$C$8,0)),AK32*(1-$C$6-IF(AJ32&lt;3,$C$8,0)))),IF(IF(AK32&lt;AL32*(1-$C$7),AL32*(1-$C$5-IF(AJ32&lt;3,$C$8,0)),MIN(AL32*(1-$C$5-IF(AJ32&lt;3,$C$8,0)),AK32*(1-$C$6-IF(AJ32&lt;3,$C$8,0))))&lt;10,$C$9,IF(IF(AK32&lt;AL32*(1-$C$7),AL32*(1-$C$5-IF(AJ32&lt;3,$C$8,0)),MIN(AL32*(1-$C$5-IF(AJ32&lt;3,$C$8,0)),AK32*(1-$C$6-IF(AJ32&lt;3,$C$8,0))))&lt;100,$D$9,$E$9)))))</f>
        <v>—</v>
      </c>
      <c r="AP32" s="68" t="n">
        <f aca="false">IF(ISNUMBER($D32),$D32,"n/a")</f>
        <v>3.08</v>
      </c>
      <c r="AQ32" s="71" t="str">
        <f aca="false">IF(OR(AJ32=0,NOT(ISNUMBER($D32))),"—",AO32/$D32-1)</f>
        <v>—</v>
      </c>
      <c r="AR32" s="72" t="str">
        <f aca="false">IF(AJ32=0,"—",AO32/AK32-1)</f>
        <v>—</v>
      </c>
      <c r="AS32" s="72" t="str">
        <f aca="false">IF(AJ32=0,"—",AO32/AL32-1)</f>
        <v>—</v>
      </c>
      <c r="AT32" s="67" t="n">
        <f aca="false">COUNTIFS(Offers!$B$7:$B$3000,$B32,Offers!$C$7:$C$3000,"Romania",Offers!$AI$7:$AI$3000,"yes")</f>
        <v>0</v>
      </c>
      <c r="AU32" s="68" t="str">
        <f aca="false">IF(AT32=0,"—",SUMIFS(Review!$I$7:$I$600,Review!$B$7:$B$600,$B32,Review!$C$7:$C$600,"Romania"))</f>
        <v>—</v>
      </c>
      <c r="AV32" s="68" t="str">
        <f aca="false">IF(AT32=0,"—",SUMIFS(Review!$J$7:$J$600,Review!$B$7:$B$600,$B32,Review!$C$7:$C$600,"Romania"))</f>
        <v>—</v>
      </c>
      <c r="AW32" s="68" t="str">
        <f aca="false">IF(AT32=0,"—",SUMIFS(Review!$K$7:$K$600,Review!$B$7:$B$600,$B32,Review!$C$7:$C$600,"Romania"))</f>
        <v>—</v>
      </c>
      <c r="AX32" s="69" t="str">
        <f aca="false">IF(AT32=0,"—",IF(AU32&lt;AV32*(1-$C$7),"median (cheapest is an outlier)",IF(AU32*(1-$C$6)&lt;AV32*(1-$C$5),"undercut cheapest","median")))</f>
        <v>—</v>
      </c>
      <c r="AY32" s="70" t="str">
        <f aca="false">IF(AT32=0,"—",IF(AND(ISNUMBER($D32),$D32*(1+$C$10)&gt;FLOOR(IF(AU32&lt;AV32*(1-$C$7),AV32*(1-$C$5-IF(AT32&lt;3,$C$8,0)),MIN(AV32*(1-$C$5-IF(AT32&lt;3,$C$8,0)),AU32*(1-$C$6-IF(AT32&lt;3,$C$8,0)))),IF(IF(AU32&lt;AV32*(1-$C$7),AV32*(1-$C$5-IF(AT32&lt;3,$C$8,0)),MIN(AV32*(1-$C$5-IF(AT32&lt;3,$C$8,0)),AU32*(1-$C$6-IF(AT32&lt;3,$C$8,0))))&lt;10,$C$9,IF(IF(AU32&lt;AV32*(1-$C$7),AV32*(1-$C$5-IF(AT32&lt;3,$C$8,0)),MIN(AV32*(1-$C$5-IF(AT32&lt;3,$C$8,0)),AU32*(1-$C$6-IF(AT32&lt;3,$C$8,0))))&lt;100,$D$9,$E$9)))),ROUND($D32*(1+$C$10),2),FLOOR(IF(AU32&lt;AV32*(1-$C$7),AV32*(1-$C$5-IF(AT32&lt;3,$C$8,0)),MIN(AV32*(1-$C$5-IF(AT32&lt;3,$C$8,0)),AU32*(1-$C$6-IF(AT32&lt;3,$C$8,0)))),IF(IF(AU32&lt;AV32*(1-$C$7),AV32*(1-$C$5-IF(AT32&lt;3,$C$8,0)),MIN(AV32*(1-$C$5-IF(AT32&lt;3,$C$8,0)),AU32*(1-$C$6-IF(AT32&lt;3,$C$8,0))))&lt;10,$C$9,IF(IF(AU32&lt;AV32*(1-$C$7),AV32*(1-$C$5-IF(AT32&lt;3,$C$8,0)),MIN(AV32*(1-$C$5-IF(AT32&lt;3,$C$8,0)),AU32*(1-$C$6-IF(AT32&lt;3,$C$8,0))))&lt;100,$D$9,$E$9)))))</f>
        <v>—</v>
      </c>
      <c r="AZ32" s="70" t="str">
        <f aca="false">IF(AT32=0,"—",FLOOR(AY32*Sources!$G$9,0.1))</f>
        <v>—</v>
      </c>
      <c r="BA32" s="68" t="n">
        <f aca="false">IF(ISNUMBER($D32),$D32,"n/a")</f>
        <v>3.08</v>
      </c>
      <c r="BB32" s="71" t="str">
        <f aca="false">IF(OR(AT32=0,NOT(ISNUMBER($D32))),"—",AY32/$D32-1)</f>
        <v>—</v>
      </c>
      <c r="BC32" s="72" t="str">
        <f aca="false">IF(AT32=0,"—",AY32/AU32-1)</f>
        <v>—</v>
      </c>
      <c r="BD32" s="72" t="str">
        <f aca="false">IF(AT32=0,"—",AY32/AV32-1)</f>
        <v>—</v>
      </c>
      <c r="BE32" s="67" t="n">
        <f aca="false">COUNTIFS(Offers!$B$7:$B$3000,$B32,Offers!$C$7:$C$3000,"Hungary",Offers!$AI$7:$AI$3000,"yes")</f>
        <v>0</v>
      </c>
      <c r="BF32" s="68" t="str">
        <f aca="false">IF(BE32=0,"—",SUMIFS(Review!$I$7:$I$600,Review!$B$7:$B$600,$B32,Review!$C$7:$C$600,"Hungary"))</f>
        <v>—</v>
      </c>
      <c r="BG32" s="68" t="str">
        <f aca="false">IF(BE32=0,"—",SUMIFS(Review!$J$7:$J$600,Review!$B$7:$B$600,$B32,Review!$C$7:$C$600,"Hungary"))</f>
        <v>—</v>
      </c>
      <c r="BH32" s="68" t="str">
        <f aca="false">IF(BE32=0,"—",SUMIFS(Review!$K$7:$K$600,Review!$B$7:$B$600,$B32,Review!$C$7:$C$600,"Hungary"))</f>
        <v>—</v>
      </c>
      <c r="BI32" s="69" t="str">
        <f aca="false">IF(BE32=0,"—",IF(BF32&lt;BG32*(1-$C$7),"median (cheapest is an outlier)",IF(BF32*(1-$C$6)&lt;BG32*(1-$C$5),"undercut cheapest","median")))</f>
        <v>—</v>
      </c>
      <c r="BJ32" s="70" t="str">
        <f aca="false">IF(BE32=0,"—",IF(AND(ISNUMBER($D32),$D32*(1+$C$10)&gt;FLOOR(IF(BF32&lt;BG32*(1-$C$7),BG32*(1-$C$5-IF(BE32&lt;3,$C$8,0)),MIN(BG32*(1-$C$5-IF(BE32&lt;3,$C$8,0)),BF32*(1-$C$6-IF(BE32&lt;3,$C$8,0)))),IF(IF(BF32&lt;BG32*(1-$C$7),BG32*(1-$C$5-IF(BE32&lt;3,$C$8,0)),MIN(BG32*(1-$C$5-IF(BE32&lt;3,$C$8,0)),BF32*(1-$C$6-IF(BE32&lt;3,$C$8,0))))&lt;10,$C$9,IF(IF(BF32&lt;BG32*(1-$C$7),BG32*(1-$C$5-IF(BE32&lt;3,$C$8,0)),MIN(BG32*(1-$C$5-IF(BE32&lt;3,$C$8,0)),BF32*(1-$C$6-IF(BE32&lt;3,$C$8,0))))&lt;100,$D$9,$E$9)))),ROUND($D32*(1+$C$10),2),FLOOR(IF(BF32&lt;BG32*(1-$C$7),BG32*(1-$C$5-IF(BE32&lt;3,$C$8,0)),MIN(BG32*(1-$C$5-IF(BE32&lt;3,$C$8,0)),BF32*(1-$C$6-IF(BE32&lt;3,$C$8,0)))),IF(IF(BF32&lt;BG32*(1-$C$7),BG32*(1-$C$5-IF(BE32&lt;3,$C$8,0)),MIN(BG32*(1-$C$5-IF(BE32&lt;3,$C$8,0)),BF32*(1-$C$6-IF(BE32&lt;3,$C$8,0))))&lt;10,$C$9,IF(IF(BF32&lt;BG32*(1-$C$7),BG32*(1-$C$5-IF(BE32&lt;3,$C$8,0)),MIN(BG32*(1-$C$5-IF(BE32&lt;3,$C$8,0)),BF32*(1-$C$6-IF(BE32&lt;3,$C$8,0))))&lt;100,$D$9,$E$9)))))</f>
        <v>—</v>
      </c>
      <c r="BK32" s="73" t="str">
        <f aca="false">IF(BE32=0,"—",FLOOR(BJ32*Sources!$G$8,10))</f>
        <v>—</v>
      </c>
      <c r="BL32" s="68" t="n">
        <f aca="false">IF(ISNUMBER($D32),$D32,"n/a")</f>
        <v>3.08</v>
      </c>
      <c r="BM32" s="71" t="str">
        <f aca="false">IF(OR(BE32=0,NOT(ISNUMBER($D32))),"—",BJ32/$D32-1)</f>
        <v>—</v>
      </c>
      <c r="BN32" s="72" t="str">
        <f aca="false">IF(BE32=0,"—",BJ32/BF32-1)</f>
        <v>—</v>
      </c>
      <c r="BO32" s="72" t="str">
        <f aca="false">IF(BE32=0,"—",BJ32/BG32-1)</f>
        <v>—</v>
      </c>
    </row>
    <row r="33" customFormat="false" ht="15" hidden="false" customHeight="true" outlineLevel="0" collapsed="false">
      <c r="B33" s="1" t="s">
        <v>45</v>
      </c>
      <c r="C33" s="1" t="s">
        <v>158</v>
      </c>
      <c r="D33" s="58" t="n">
        <v>2.849</v>
      </c>
      <c r="E33" s="59" t="n">
        <f aca="false">COUNTIFS(Offers!$B$7:$B$3000,$B33,Offers!$C$7:$C$3000,"Austria",Offers!$AI$7:$AI$3000,"yes")</f>
        <v>10</v>
      </c>
      <c r="F33" s="60" t="n">
        <f aca="false">IF(E33=0,"—",SUMIFS(Review!$I$7:$I$600,Review!$B$7:$B$600,$B33,Review!$C$7:$C$600,"Austria"))</f>
        <v>4.02</v>
      </c>
      <c r="G33" s="60" t="n">
        <f aca="false">IF(E33=0,"—",SUMIFS(Review!$J$7:$J$600,Review!$B$7:$B$600,$B33,Review!$C$7:$C$600,"Austria"))</f>
        <v>7.295</v>
      </c>
      <c r="H33" s="60" t="n">
        <f aca="false">IF(E33=0,"—",SUMIFS(Review!$K$7:$K$600,Review!$B$7:$B$600,$B33,Review!$C$7:$C$600,"Austria"))</f>
        <v>15.7</v>
      </c>
      <c r="I33" s="61" t="str">
        <f aca="false">IF(E33=0,"—",IF(F33&lt;G33*(1-$C$7),"median (cheapest is an outlier)",IF(F33*(1-$C$6)&lt;G33*(1-$C$5),"undercut cheapest","median")))</f>
        <v>median (cheapest is an outlier)</v>
      </c>
      <c r="J33" s="62" t="n">
        <f aca="false">IF(E33=0,"—",IF(AND(ISNUMBER($D33),$D33*(1+$C$10)&gt;FLOOR(IF(F33&lt;G33*(1-$C$7),G33*(1-$C$5-IF(E33&lt;3,$C$8,0)),MIN(G33*(1-$C$5-IF(E33&lt;3,$C$8,0)),F33*(1-$C$6-IF(E33&lt;3,$C$8,0)))),IF(IF(F33&lt;G33*(1-$C$7),G33*(1-$C$5-IF(E33&lt;3,$C$8,0)),MIN(G33*(1-$C$5-IF(E33&lt;3,$C$8,0)),F33*(1-$C$6-IF(E33&lt;3,$C$8,0))))&lt;10,$C$9,IF(IF(F33&lt;G33*(1-$C$7),G33*(1-$C$5-IF(E33&lt;3,$C$8,0)),MIN(G33*(1-$C$5-IF(E33&lt;3,$C$8,0)),F33*(1-$C$6-IF(E33&lt;3,$C$8,0))))&lt;100,$D$9,$E$9)))),ROUND($D33*(1+$C$10),2),FLOOR(IF(F33&lt;G33*(1-$C$7),G33*(1-$C$5-IF(E33&lt;3,$C$8,0)),MIN(G33*(1-$C$5-IF(E33&lt;3,$C$8,0)),F33*(1-$C$6-IF(E33&lt;3,$C$8,0)))),IF(IF(F33&lt;G33*(1-$C$7),G33*(1-$C$5-IF(E33&lt;3,$C$8,0)),MIN(G33*(1-$C$5-IF(E33&lt;3,$C$8,0)),F33*(1-$C$6-IF(E33&lt;3,$C$8,0))))&lt;10,$C$9,IF(IF(F33&lt;G33*(1-$C$7),G33*(1-$C$5-IF(E33&lt;3,$C$8,0)),MIN(G33*(1-$C$5-IF(E33&lt;3,$C$8,0)),F33*(1-$C$6-IF(E33&lt;3,$C$8,0))))&lt;100,$D$9,$E$9)))))</f>
        <v>5.45</v>
      </c>
      <c r="K33" s="60" t="n">
        <f aca="false">IF(ISNUMBER($D33),$D33,"n/a")</f>
        <v>2.849</v>
      </c>
      <c r="L33" s="63" t="n">
        <f aca="false">IF(OR(E33=0,NOT(ISNUMBER($D33))),"—",J33/$D33-1)</f>
        <v>0.912951912951913</v>
      </c>
      <c r="M33" s="64" t="n">
        <f aca="false">IF(E33=0,"—",J33/F33-1)</f>
        <v>0.355721393034826</v>
      </c>
      <c r="N33" s="64" t="n">
        <f aca="false">IF(E33=0,"—",J33/G33-1)</f>
        <v>-0.252912954078136</v>
      </c>
      <c r="O33" s="59" t="n">
        <f aca="false">COUNTIFS(Offers!$B$7:$B$3000,$B33,Offers!$C$7:$C$3000,"Germany",Offers!$AI$7:$AI$3000,"yes")</f>
        <v>4</v>
      </c>
      <c r="P33" s="60" t="n">
        <f aca="false">IF(O33=0,"—",SUMIFS(Review!$I$7:$I$600,Review!$B$7:$B$600,$B33,Review!$C$7:$C$600,"Germany"))</f>
        <v>5.33</v>
      </c>
      <c r="Q33" s="60" t="n">
        <f aca="false">IF(O33=0,"—",SUMIFS(Review!$J$7:$J$600,Review!$B$7:$B$600,$B33,Review!$C$7:$C$600,"Germany"))</f>
        <v>5.52</v>
      </c>
      <c r="R33" s="60" t="n">
        <f aca="false">IF(O33=0,"—",SUMIFS(Review!$K$7:$K$600,Review!$B$7:$B$600,$B33,Review!$C$7:$C$600,"Germany"))</f>
        <v>6.99</v>
      </c>
      <c r="S33" s="61" t="str">
        <f aca="false">IF(O33=0,"—",IF(P33&lt;Q33*(1-$C$7),"median (cheapest is an outlier)",IF(P33*(1-$C$6)&lt;Q33*(1-$C$5),"undercut cheapest","median")))</f>
        <v>median</v>
      </c>
      <c r="T33" s="62" t="n">
        <f aca="false">IF(O33=0,"—",IF(AND(ISNUMBER($D33),$D33*(1+$C$10)&gt;FLOOR(IF(P33&lt;Q33*(1-$C$7),Q33*(1-$C$5-IF(O33&lt;3,$C$8,0)),MIN(Q33*(1-$C$5-IF(O33&lt;3,$C$8,0)),P33*(1-$C$6-IF(O33&lt;3,$C$8,0)))),IF(IF(P33&lt;Q33*(1-$C$7),Q33*(1-$C$5-IF(O33&lt;3,$C$8,0)),MIN(Q33*(1-$C$5-IF(O33&lt;3,$C$8,0)),P33*(1-$C$6-IF(O33&lt;3,$C$8,0))))&lt;10,$C$9,IF(IF(P33&lt;Q33*(1-$C$7),Q33*(1-$C$5-IF(O33&lt;3,$C$8,0)),MIN(Q33*(1-$C$5-IF(O33&lt;3,$C$8,0)),P33*(1-$C$6-IF(O33&lt;3,$C$8,0))))&lt;100,$D$9,$E$9)))),ROUND($D33*(1+$C$10),2),FLOOR(IF(P33&lt;Q33*(1-$C$7),Q33*(1-$C$5-IF(O33&lt;3,$C$8,0)),MIN(Q33*(1-$C$5-IF(O33&lt;3,$C$8,0)),P33*(1-$C$6-IF(O33&lt;3,$C$8,0)))),IF(IF(P33&lt;Q33*(1-$C$7),Q33*(1-$C$5-IF(O33&lt;3,$C$8,0)),MIN(Q33*(1-$C$5-IF(O33&lt;3,$C$8,0)),P33*(1-$C$6-IF(O33&lt;3,$C$8,0))))&lt;10,$C$9,IF(IF(P33&lt;Q33*(1-$C$7),Q33*(1-$C$5-IF(O33&lt;3,$C$8,0)),MIN(Q33*(1-$C$5-IF(O33&lt;3,$C$8,0)),P33*(1-$C$6-IF(O33&lt;3,$C$8,0))))&lt;100,$D$9,$E$9)))))</f>
        <v>4.1</v>
      </c>
      <c r="U33" s="60" t="n">
        <f aca="false">IF(ISNUMBER($D33),$D33,"n/a")</f>
        <v>2.849</v>
      </c>
      <c r="V33" s="63" t="n">
        <f aca="false">IF(OR(O33=0,NOT(ISNUMBER($D33))),"—",T33/$D33-1)</f>
        <v>0.439101439101439</v>
      </c>
      <c r="W33" s="64" t="n">
        <f aca="false">IF(O33=0,"—",T33/P33-1)</f>
        <v>-0.230769230769231</v>
      </c>
      <c r="X33" s="64" t="n">
        <f aca="false">IF(O33=0,"—",T33/Q33-1)</f>
        <v>-0.257246376811594</v>
      </c>
      <c r="Y33" s="59" t="n">
        <f aca="false">COUNTIFS(Offers!$B$7:$B$3000,$B33,Offers!$C$7:$C$3000,"Czech",Offers!$AI$7:$AI$3000,"yes")</f>
        <v>7</v>
      </c>
      <c r="Z33" s="60" t="n">
        <f aca="false">IF(Y33=0,"—",SUMIFS(Review!$I$7:$I$600,Review!$B$7:$B$600,$B33,Review!$C$7:$C$600,"Czech"))</f>
        <v>4.340062</v>
      </c>
      <c r="AA33" s="60" t="n">
        <f aca="false">IF(Y33=0,"—",SUMIFS(Review!$J$7:$J$600,Review!$B$7:$B$600,$B33,Review!$C$7:$C$600,"Czech"))</f>
        <v>5.479942</v>
      </c>
      <c r="AB33" s="60" t="n">
        <f aca="false">IF(Y33=0,"—",SUMIFS(Review!$K$7:$K$600,Review!$B$7:$B$600,$B33,Review!$C$7:$C$600,"Czech"))</f>
        <v>9.575978</v>
      </c>
      <c r="AC33" s="61" t="str">
        <f aca="false">IF(Y33=0,"—",IF(Z33&lt;AA33*(1-$C$7),"median (cheapest is an outlier)",IF(Z33*(1-$C$6)&lt;AA33*(1-$C$5),"undercut cheapest","median")))</f>
        <v>median</v>
      </c>
      <c r="AD33" s="62" t="n">
        <f aca="false">IF(Y33=0,"—",IF(AND(ISNUMBER($D33),$D33*(1+$C$10)&gt;FLOOR(IF(Z33&lt;AA33*(1-$C$7),AA33*(1-$C$5-IF(Y33&lt;3,$C$8,0)),MIN(AA33*(1-$C$5-IF(Y33&lt;3,$C$8,0)),Z33*(1-$C$6-IF(Y33&lt;3,$C$8,0)))),IF(IF(Z33&lt;AA33*(1-$C$7),AA33*(1-$C$5-IF(Y33&lt;3,$C$8,0)),MIN(AA33*(1-$C$5-IF(Y33&lt;3,$C$8,0)),Z33*(1-$C$6-IF(Y33&lt;3,$C$8,0))))&lt;10,$C$9,IF(IF(Z33&lt;AA33*(1-$C$7),AA33*(1-$C$5-IF(Y33&lt;3,$C$8,0)),MIN(AA33*(1-$C$5-IF(Y33&lt;3,$C$8,0)),Z33*(1-$C$6-IF(Y33&lt;3,$C$8,0))))&lt;100,$D$9,$E$9)))),ROUND($D33*(1+$C$10),2),FLOOR(IF(Z33&lt;AA33*(1-$C$7),AA33*(1-$C$5-IF(Y33&lt;3,$C$8,0)),MIN(AA33*(1-$C$5-IF(Y33&lt;3,$C$8,0)),Z33*(1-$C$6-IF(Y33&lt;3,$C$8,0)))),IF(IF(Z33&lt;AA33*(1-$C$7),AA33*(1-$C$5-IF(Y33&lt;3,$C$8,0)),MIN(AA33*(1-$C$5-IF(Y33&lt;3,$C$8,0)),Z33*(1-$C$6-IF(Y33&lt;3,$C$8,0))))&lt;10,$C$9,IF(IF(Z33&lt;AA33*(1-$C$7),AA33*(1-$C$5-IF(Y33&lt;3,$C$8,0)),MIN(AA33*(1-$C$5-IF(Y33&lt;3,$C$8,0)),Z33*(1-$C$6-IF(Y33&lt;3,$C$8,0))))&lt;100,$D$9,$E$9)))))</f>
        <v>4.1</v>
      </c>
      <c r="AE33" s="65" t="n">
        <f aca="false">IF(Y33=0,"—",FLOOR(AD33*Sources!$G$10,1))</f>
        <v>100</v>
      </c>
      <c r="AF33" s="60" t="n">
        <f aca="false">IF(ISNUMBER($D33),$D33,"n/a")</f>
        <v>2.849</v>
      </c>
      <c r="AG33" s="63" t="n">
        <f aca="false">IF(OR(Y33=0,NOT(ISNUMBER($D33))),"—",AD33/$D33-1)</f>
        <v>0.439101439101439</v>
      </c>
      <c r="AH33" s="64" t="n">
        <f aca="false">IF(Y33=0,"—",AD33/Z33-1)</f>
        <v>-0.0553130346985824</v>
      </c>
      <c r="AI33" s="64" t="n">
        <f aca="false">IF(Y33=0,"—",AD33/AA33-1)</f>
        <v>-0.251816898791994</v>
      </c>
      <c r="AJ33" s="59" t="n">
        <f aca="false">COUNTIFS(Offers!$B$7:$B$3000,$B33,Offers!$C$7:$C$3000,"Slovakia",Offers!$AI$7:$AI$3000,"yes")</f>
        <v>0</v>
      </c>
      <c r="AK33" s="60" t="str">
        <f aca="false">IF(AJ33=0,"—",SUMIFS(Review!$I$7:$I$600,Review!$B$7:$B$600,$B33,Review!$C$7:$C$600,"Slovakia"))</f>
        <v>—</v>
      </c>
      <c r="AL33" s="60" t="str">
        <f aca="false">IF(AJ33=0,"—",SUMIFS(Review!$J$7:$J$600,Review!$B$7:$B$600,$B33,Review!$C$7:$C$600,"Slovakia"))</f>
        <v>—</v>
      </c>
      <c r="AM33" s="60" t="str">
        <f aca="false">IF(AJ33=0,"—",SUMIFS(Review!$K$7:$K$600,Review!$B$7:$B$600,$B33,Review!$C$7:$C$600,"Slovakia"))</f>
        <v>—</v>
      </c>
      <c r="AN33" s="61" t="str">
        <f aca="false">IF(AJ33=0,"—",IF(AK33&lt;AL33*(1-$C$7),"median (cheapest is an outlier)",IF(AK33*(1-$C$6)&lt;AL33*(1-$C$5),"undercut cheapest","median")))</f>
        <v>—</v>
      </c>
      <c r="AO33" s="62" t="str">
        <f aca="false">IF(AJ33=0,"—",IF(AND(ISNUMBER($D33),$D33*(1+$C$10)&gt;FLOOR(IF(AK33&lt;AL33*(1-$C$7),AL33*(1-$C$5-IF(AJ33&lt;3,$C$8,0)),MIN(AL33*(1-$C$5-IF(AJ33&lt;3,$C$8,0)),AK33*(1-$C$6-IF(AJ33&lt;3,$C$8,0)))),IF(IF(AK33&lt;AL33*(1-$C$7),AL33*(1-$C$5-IF(AJ33&lt;3,$C$8,0)),MIN(AL33*(1-$C$5-IF(AJ33&lt;3,$C$8,0)),AK33*(1-$C$6-IF(AJ33&lt;3,$C$8,0))))&lt;10,$C$9,IF(IF(AK33&lt;AL33*(1-$C$7),AL33*(1-$C$5-IF(AJ33&lt;3,$C$8,0)),MIN(AL33*(1-$C$5-IF(AJ33&lt;3,$C$8,0)),AK33*(1-$C$6-IF(AJ33&lt;3,$C$8,0))))&lt;100,$D$9,$E$9)))),ROUND($D33*(1+$C$10),2),FLOOR(IF(AK33&lt;AL33*(1-$C$7),AL33*(1-$C$5-IF(AJ33&lt;3,$C$8,0)),MIN(AL33*(1-$C$5-IF(AJ33&lt;3,$C$8,0)),AK33*(1-$C$6-IF(AJ33&lt;3,$C$8,0)))),IF(IF(AK33&lt;AL33*(1-$C$7),AL33*(1-$C$5-IF(AJ33&lt;3,$C$8,0)),MIN(AL33*(1-$C$5-IF(AJ33&lt;3,$C$8,0)),AK33*(1-$C$6-IF(AJ33&lt;3,$C$8,0))))&lt;10,$C$9,IF(IF(AK33&lt;AL33*(1-$C$7),AL33*(1-$C$5-IF(AJ33&lt;3,$C$8,0)),MIN(AL33*(1-$C$5-IF(AJ33&lt;3,$C$8,0)),AK33*(1-$C$6-IF(AJ33&lt;3,$C$8,0))))&lt;100,$D$9,$E$9)))))</f>
        <v>—</v>
      </c>
      <c r="AP33" s="60" t="n">
        <f aca="false">IF(ISNUMBER($D33),$D33,"n/a")</f>
        <v>2.849</v>
      </c>
      <c r="AQ33" s="63" t="str">
        <f aca="false">IF(OR(AJ33=0,NOT(ISNUMBER($D33))),"—",AO33/$D33-1)</f>
        <v>—</v>
      </c>
      <c r="AR33" s="64" t="str">
        <f aca="false">IF(AJ33=0,"—",AO33/AK33-1)</f>
        <v>—</v>
      </c>
      <c r="AS33" s="64" t="str">
        <f aca="false">IF(AJ33=0,"—",AO33/AL33-1)</f>
        <v>—</v>
      </c>
      <c r="AT33" s="59" t="n">
        <f aca="false">COUNTIFS(Offers!$B$7:$B$3000,$B33,Offers!$C$7:$C$3000,"Romania",Offers!$AI$7:$AI$3000,"yes")</f>
        <v>0</v>
      </c>
      <c r="AU33" s="60" t="str">
        <f aca="false">IF(AT33=0,"—",SUMIFS(Review!$I$7:$I$600,Review!$B$7:$B$600,$B33,Review!$C$7:$C$600,"Romania"))</f>
        <v>—</v>
      </c>
      <c r="AV33" s="60" t="str">
        <f aca="false">IF(AT33=0,"—",SUMIFS(Review!$J$7:$J$600,Review!$B$7:$B$600,$B33,Review!$C$7:$C$600,"Romania"))</f>
        <v>—</v>
      </c>
      <c r="AW33" s="60" t="str">
        <f aca="false">IF(AT33=0,"—",SUMIFS(Review!$K$7:$K$600,Review!$B$7:$B$600,$B33,Review!$C$7:$C$600,"Romania"))</f>
        <v>—</v>
      </c>
      <c r="AX33" s="61" t="str">
        <f aca="false">IF(AT33=0,"—",IF(AU33&lt;AV33*(1-$C$7),"median (cheapest is an outlier)",IF(AU33*(1-$C$6)&lt;AV33*(1-$C$5),"undercut cheapest","median")))</f>
        <v>—</v>
      </c>
      <c r="AY33" s="62" t="str">
        <f aca="false">IF(AT33=0,"—",IF(AND(ISNUMBER($D33),$D33*(1+$C$10)&gt;FLOOR(IF(AU33&lt;AV33*(1-$C$7),AV33*(1-$C$5-IF(AT33&lt;3,$C$8,0)),MIN(AV33*(1-$C$5-IF(AT33&lt;3,$C$8,0)),AU33*(1-$C$6-IF(AT33&lt;3,$C$8,0)))),IF(IF(AU33&lt;AV33*(1-$C$7),AV33*(1-$C$5-IF(AT33&lt;3,$C$8,0)),MIN(AV33*(1-$C$5-IF(AT33&lt;3,$C$8,0)),AU33*(1-$C$6-IF(AT33&lt;3,$C$8,0))))&lt;10,$C$9,IF(IF(AU33&lt;AV33*(1-$C$7),AV33*(1-$C$5-IF(AT33&lt;3,$C$8,0)),MIN(AV33*(1-$C$5-IF(AT33&lt;3,$C$8,0)),AU33*(1-$C$6-IF(AT33&lt;3,$C$8,0))))&lt;100,$D$9,$E$9)))),ROUND($D33*(1+$C$10),2),FLOOR(IF(AU33&lt;AV33*(1-$C$7),AV33*(1-$C$5-IF(AT33&lt;3,$C$8,0)),MIN(AV33*(1-$C$5-IF(AT33&lt;3,$C$8,0)),AU33*(1-$C$6-IF(AT33&lt;3,$C$8,0)))),IF(IF(AU33&lt;AV33*(1-$C$7),AV33*(1-$C$5-IF(AT33&lt;3,$C$8,0)),MIN(AV33*(1-$C$5-IF(AT33&lt;3,$C$8,0)),AU33*(1-$C$6-IF(AT33&lt;3,$C$8,0))))&lt;10,$C$9,IF(IF(AU33&lt;AV33*(1-$C$7),AV33*(1-$C$5-IF(AT33&lt;3,$C$8,0)),MIN(AV33*(1-$C$5-IF(AT33&lt;3,$C$8,0)),AU33*(1-$C$6-IF(AT33&lt;3,$C$8,0))))&lt;100,$D$9,$E$9)))))</f>
        <v>—</v>
      </c>
      <c r="AZ33" s="62" t="str">
        <f aca="false">IF(AT33=0,"—",FLOOR(AY33*Sources!$G$9,0.1))</f>
        <v>—</v>
      </c>
      <c r="BA33" s="60" t="n">
        <f aca="false">IF(ISNUMBER($D33),$D33,"n/a")</f>
        <v>2.849</v>
      </c>
      <c r="BB33" s="63" t="str">
        <f aca="false">IF(OR(AT33=0,NOT(ISNUMBER($D33))),"—",AY33/$D33-1)</f>
        <v>—</v>
      </c>
      <c r="BC33" s="64" t="str">
        <f aca="false">IF(AT33=0,"—",AY33/AU33-1)</f>
        <v>—</v>
      </c>
      <c r="BD33" s="64" t="str">
        <f aca="false">IF(AT33=0,"—",AY33/AV33-1)</f>
        <v>—</v>
      </c>
      <c r="BE33" s="59" t="n">
        <f aca="false">COUNTIFS(Offers!$B$7:$B$3000,$B33,Offers!$C$7:$C$3000,"Hungary",Offers!$AI$7:$AI$3000,"yes")</f>
        <v>0</v>
      </c>
      <c r="BF33" s="60" t="str">
        <f aca="false">IF(BE33=0,"—",SUMIFS(Review!$I$7:$I$600,Review!$B$7:$B$600,$B33,Review!$C$7:$C$600,"Hungary"))</f>
        <v>—</v>
      </c>
      <c r="BG33" s="60" t="str">
        <f aca="false">IF(BE33=0,"—",SUMIFS(Review!$J$7:$J$600,Review!$B$7:$B$600,$B33,Review!$C$7:$C$600,"Hungary"))</f>
        <v>—</v>
      </c>
      <c r="BH33" s="60" t="str">
        <f aca="false">IF(BE33=0,"—",SUMIFS(Review!$K$7:$K$600,Review!$B$7:$B$600,$B33,Review!$C$7:$C$600,"Hungary"))</f>
        <v>—</v>
      </c>
      <c r="BI33" s="61" t="str">
        <f aca="false">IF(BE33=0,"—",IF(BF33&lt;BG33*(1-$C$7),"median (cheapest is an outlier)",IF(BF33*(1-$C$6)&lt;BG33*(1-$C$5),"undercut cheapest","median")))</f>
        <v>—</v>
      </c>
      <c r="BJ33" s="62" t="str">
        <f aca="false">IF(BE33=0,"—",IF(AND(ISNUMBER($D33),$D33*(1+$C$10)&gt;FLOOR(IF(BF33&lt;BG33*(1-$C$7),BG33*(1-$C$5-IF(BE33&lt;3,$C$8,0)),MIN(BG33*(1-$C$5-IF(BE33&lt;3,$C$8,0)),BF33*(1-$C$6-IF(BE33&lt;3,$C$8,0)))),IF(IF(BF33&lt;BG33*(1-$C$7),BG33*(1-$C$5-IF(BE33&lt;3,$C$8,0)),MIN(BG33*(1-$C$5-IF(BE33&lt;3,$C$8,0)),BF33*(1-$C$6-IF(BE33&lt;3,$C$8,0))))&lt;10,$C$9,IF(IF(BF33&lt;BG33*(1-$C$7),BG33*(1-$C$5-IF(BE33&lt;3,$C$8,0)),MIN(BG33*(1-$C$5-IF(BE33&lt;3,$C$8,0)),BF33*(1-$C$6-IF(BE33&lt;3,$C$8,0))))&lt;100,$D$9,$E$9)))),ROUND($D33*(1+$C$10),2),FLOOR(IF(BF33&lt;BG33*(1-$C$7),BG33*(1-$C$5-IF(BE33&lt;3,$C$8,0)),MIN(BG33*(1-$C$5-IF(BE33&lt;3,$C$8,0)),BF33*(1-$C$6-IF(BE33&lt;3,$C$8,0)))),IF(IF(BF33&lt;BG33*(1-$C$7),BG33*(1-$C$5-IF(BE33&lt;3,$C$8,0)),MIN(BG33*(1-$C$5-IF(BE33&lt;3,$C$8,0)),BF33*(1-$C$6-IF(BE33&lt;3,$C$8,0))))&lt;10,$C$9,IF(IF(BF33&lt;BG33*(1-$C$7),BG33*(1-$C$5-IF(BE33&lt;3,$C$8,0)),MIN(BG33*(1-$C$5-IF(BE33&lt;3,$C$8,0)),BF33*(1-$C$6-IF(BE33&lt;3,$C$8,0))))&lt;100,$D$9,$E$9)))))</f>
        <v>—</v>
      </c>
      <c r="BK33" s="65" t="str">
        <f aca="false">IF(BE33=0,"—",FLOOR(BJ33*Sources!$G$8,10))</f>
        <v>—</v>
      </c>
      <c r="BL33" s="60" t="n">
        <f aca="false">IF(ISNUMBER($D33),$D33,"n/a")</f>
        <v>2.849</v>
      </c>
      <c r="BM33" s="63" t="str">
        <f aca="false">IF(OR(BE33=0,NOT(ISNUMBER($D33))),"—",BJ33/$D33-1)</f>
        <v>—</v>
      </c>
      <c r="BN33" s="64" t="str">
        <f aca="false">IF(BE33=0,"—",BJ33/BF33-1)</f>
        <v>—</v>
      </c>
      <c r="BO33" s="64" t="str">
        <f aca="false">IF(BE33=0,"—",BJ33/BG33-1)</f>
        <v>—</v>
      </c>
    </row>
    <row r="34" customFormat="false" ht="15" hidden="false" customHeight="true" outlineLevel="0" collapsed="false">
      <c r="B34" s="66" t="s">
        <v>46</v>
      </c>
      <c r="C34" s="66" t="s">
        <v>159</v>
      </c>
      <c r="D34" s="58" t="n">
        <v>2.42</v>
      </c>
      <c r="E34" s="67" t="n">
        <f aca="false">COUNTIFS(Offers!$B$7:$B$3000,$B34,Offers!$C$7:$C$3000,"Austria",Offers!$AI$7:$AI$3000,"yes")</f>
        <v>11</v>
      </c>
      <c r="F34" s="68" t="n">
        <f aca="false">IF(E34=0,"—",SUMIFS(Review!$I$7:$I$600,Review!$B$7:$B$600,$B34,Review!$C$7:$C$600,"Austria"))</f>
        <v>4.25</v>
      </c>
      <c r="G34" s="68" t="n">
        <f aca="false">IF(E34=0,"—",SUMIFS(Review!$J$7:$J$600,Review!$B$7:$B$600,$B34,Review!$C$7:$C$600,"Austria"))</f>
        <v>6.99</v>
      </c>
      <c r="H34" s="68" t="n">
        <f aca="false">IF(E34=0,"—",SUMIFS(Review!$K$7:$K$600,Review!$B$7:$B$600,$B34,Review!$C$7:$C$600,"Austria"))</f>
        <v>37.9</v>
      </c>
      <c r="I34" s="69" t="str">
        <f aca="false">IF(E34=0,"—",IF(F34&lt;G34*(1-$C$7),"median (cheapest is an outlier)",IF(F34*(1-$C$6)&lt;G34*(1-$C$5),"undercut cheapest","median")))</f>
        <v>median (cheapest is an outlier)</v>
      </c>
      <c r="J34" s="70" t="n">
        <f aca="false">IF(E34=0,"—",IF(AND(ISNUMBER($D34),$D34*(1+$C$10)&gt;FLOOR(IF(F34&lt;G34*(1-$C$7),G34*(1-$C$5-IF(E34&lt;3,$C$8,0)),MIN(G34*(1-$C$5-IF(E34&lt;3,$C$8,0)),F34*(1-$C$6-IF(E34&lt;3,$C$8,0)))),IF(IF(F34&lt;G34*(1-$C$7),G34*(1-$C$5-IF(E34&lt;3,$C$8,0)),MIN(G34*(1-$C$5-IF(E34&lt;3,$C$8,0)),F34*(1-$C$6-IF(E34&lt;3,$C$8,0))))&lt;10,$C$9,IF(IF(F34&lt;G34*(1-$C$7),G34*(1-$C$5-IF(E34&lt;3,$C$8,0)),MIN(G34*(1-$C$5-IF(E34&lt;3,$C$8,0)),F34*(1-$C$6-IF(E34&lt;3,$C$8,0))))&lt;100,$D$9,$E$9)))),ROUND($D34*(1+$C$10),2),FLOOR(IF(F34&lt;G34*(1-$C$7),G34*(1-$C$5-IF(E34&lt;3,$C$8,0)),MIN(G34*(1-$C$5-IF(E34&lt;3,$C$8,0)),F34*(1-$C$6-IF(E34&lt;3,$C$8,0)))),IF(IF(F34&lt;G34*(1-$C$7),G34*(1-$C$5-IF(E34&lt;3,$C$8,0)),MIN(G34*(1-$C$5-IF(E34&lt;3,$C$8,0)),F34*(1-$C$6-IF(E34&lt;3,$C$8,0))))&lt;10,$C$9,IF(IF(F34&lt;G34*(1-$C$7),G34*(1-$C$5-IF(E34&lt;3,$C$8,0)),MIN(G34*(1-$C$5-IF(E34&lt;3,$C$8,0)),F34*(1-$C$6-IF(E34&lt;3,$C$8,0))))&lt;100,$D$9,$E$9)))))</f>
        <v>5.2</v>
      </c>
      <c r="K34" s="68" t="n">
        <f aca="false">IF(ISNUMBER($D34),$D34,"n/a")</f>
        <v>2.42</v>
      </c>
      <c r="L34" s="71" t="n">
        <f aca="false">IF(OR(E34=0,NOT(ISNUMBER($D34))),"—",J34/$D34-1)</f>
        <v>1.14876033057851</v>
      </c>
      <c r="M34" s="72" t="n">
        <f aca="false">IF(E34=0,"—",J34/F34-1)</f>
        <v>0.223529411764706</v>
      </c>
      <c r="N34" s="72" t="n">
        <f aca="false">IF(E34=0,"—",J34/G34-1)</f>
        <v>-0.256080114449213</v>
      </c>
      <c r="O34" s="67" t="n">
        <f aca="false">COUNTIFS(Offers!$B$7:$B$3000,$B34,Offers!$C$7:$C$3000,"Germany",Offers!$AI$7:$AI$3000,"yes")</f>
        <v>4</v>
      </c>
      <c r="P34" s="68" t="n">
        <f aca="false">IF(O34=0,"—",SUMIFS(Review!$I$7:$I$600,Review!$B$7:$B$600,$B34,Review!$C$7:$C$600,"Germany"))</f>
        <v>5.36</v>
      </c>
      <c r="Q34" s="68" t="n">
        <f aca="false">IF(O34=0,"—",SUMIFS(Review!$J$7:$J$600,Review!$B$7:$B$600,$B34,Review!$C$7:$C$600,"Germany"))</f>
        <v>9.94</v>
      </c>
      <c r="R34" s="68" t="n">
        <f aca="false">IF(O34=0,"—",SUMIFS(Review!$K$7:$K$600,Review!$B$7:$B$600,$B34,Review!$C$7:$C$600,"Germany"))</f>
        <v>13.19</v>
      </c>
      <c r="S34" s="69" t="str">
        <f aca="false">IF(O34=0,"—",IF(P34&lt;Q34*(1-$C$7),"median (cheapest is an outlier)",IF(P34*(1-$C$6)&lt;Q34*(1-$C$5),"undercut cheapest","median")))</f>
        <v>median (cheapest is an outlier)</v>
      </c>
      <c r="T34" s="70" t="n">
        <f aca="false">IF(O34=0,"—",IF(AND(ISNUMBER($D34),$D34*(1+$C$10)&gt;FLOOR(IF(P34&lt;Q34*(1-$C$7),Q34*(1-$C$5-IF(O34&lt;3,$C$8,0)),MIN(Q34*(1-$C$5-IF(O34&lt;3,$C$8,0)),P34*(1-$C$6-IF(O34&lt;3,$C$8,0)))),IF(IF(P34&lt;Q34*(1-$C$7),Q34*(1-$C$5-IF(O34&lt;3,$C$8,0)),MIN(Q34*(1-$C$5-IF(O34&lt;3,$C$8,0)),P34*(1-$C$6-IF(O34&lt;3,$C$8,0))))&lt;10,$C$9,IF(IF(P34&lt;Q34*(1-$C$7),Q34*(1-$C$5-IF(O34&lt;3,$C$8,0)),MIN(Q34*(1-$C$5-IF(O34&lt;3,$C$8,0)),P34*(1-$C$6-IF(O34&lt;3,$C$8,0))))&lt;100,$D$9,$E$9)))),ROUND($D34*(1+$C$10),2),FLOOR(IF(P34&lt;Q34*(1-$C$7),Q34*(1-$C$5-IF(O34&lt;3,$C$8,0)),MIN(Q34*(1-$C$5-IF(O34&lt;3,$C$8,0)),P34*(1-$C$6-IF(O34&lt;3,$C$8,0)))),IF(IF(P34&lt;Q34*(1-$C$7),Q34*(1-$C$5-IF(O34&lt;3,$C$8,0)),MIN(Q34*(1-$C$5-IF(O34&lt;3,$C$8,0)),P34*(1-$C$6-IF(O34&lt;3,$C$8,0))))&lt;10,$C$9,IF(IF(P34&lt;Q34*(1-$C$7),Q34*(1-$C$5-IF(O34&lt;3,$C$8,0)),MIN(Q34*(1-$C$5-IF(O34&lt;3,$C$8,0)),P34*(1-$C$6-IF(O34&lt;3,$C$8,0))))&lt;100,$D$9,$E$9)))))</f>
        <v>7.45</v>
      </c>
      <c r="U34" s="68" t="n">
        <f aca="false">IF(ISNUMBER($D34),$D34,"n/a")</f>
        <v>2.42</v>
      </c>
      <c r="V34" s="71" t="n">
        <f aca="false">IF(OR(O34=0,NOT(ISNUMBER($D34))),"—",T34/$D34-1)</f>
        <v>2.07851239669422</v>
      </c>
      <c r="W34" s="72" t="n">
        <f aca="false">IF(O34=0,"—",T34/P34-1)</f>
        <v>0.389925373134328</v>
      </c>
      <c r="X34" s="72" t="n">
        <f aca="false">IF(O34=0,"—",T34/Q34-1)</f>
        <v>-0.250503018108652</v>
      </c>
      <c r="Y34" s="67" t="n">
        <f aca="false">COUNTIFS(Offers!$B$7:$B$3000,$B34,Offers!$C$7:$C$3000,"Czech",Offers!$AI$7:$AI$3000,"yes")</f>
        <v>8</v>
      </c>
      <c r="Z34" s="68" t="n">
        <f aca="false">IF(Y34=0,"—",SUMIFS(Review!$I$7:$I$600,Review!$B$7:$B$600,$B34,Review!$C$7:$C$600,"Czech"))</f>
        <v>4.15131</v>
      </c>
      <c r="AA34" s="68" t="n">
        <f aca="false">IF(Y34=0,"—",SUMIFS(Review!$J$7:$J$600,Review!$B$7:$B$600,$B34,Review!$C$7:$C$600,"Czech"))</f>
        <v>6.0333</v>
      </c>
      <c r="AB34" s="68" t="n">
        <f aca="false">IF(Y34=0,"—",SUMIFS(Review!$K$7:$K$600,Review!$B$7:$B$600,$B34,Review!$C$7:$C$600,"Czech"))</f>
        <v>11.301766</v>
      </c>
      <c r="AC34" s="69" t="str">
        <f aca="false">IF(Y34=0,"—",IF(Z34&lt;AA34*(1-$C$7),"median (cheapest is an outlier)",IF(Z34*(1-$C$6)&lt;AA34*(1-$C$5),"undercut cheapest","median")))</f>
        <v>undercut cheapest</v>
      </c>
      <c r="AD34" s="70" t="n">
        <f aca="false">IF(Y34=0,"—",IF(AND(ISNUMBER($D34),$D34*(1+$C$10)&gt;FLOOR(IF(Z34&lt;AA34*(1-$C$7),AA34*(1-$C$5-IF(Y34&lt;3,$C$8,0)),MIN(AA34*(1-$C$5-IF(Y34&lt;3,$C$8,0)),Z34*(1-$C$6-IF(Y34&lt;3,$C$8,0)))),IF(IF(Z34&lt;AA34*(1-$C$7),AA34*(1-$C$5-IF(Y34&lt;3,$C$8,0)),MIN(AA34*(1-$C$5-IF(Y34&lt;3,$C$8,0)),Z34*(1-$C$6-IF(Y34&lt;3,$C$8,0))))&lt;10,$C$9,IF(IF(Z34&lt;AA34*(1-$C$7),AA34*(1-$C$5-IF(Y34&lt;3,$C$8,0)),MIN(AA34*(1-$C$5-IF(Y34&lt;3,$C$8,0)),Z34*(1-$C$6-IF(Y34&lt;3,$C$8,0))))&lt;100,$D$9,$E$9)))),ROUND($D34*(1+$C$10),2),FLOOR(IF(Z34&lt;AA34*(1-$C$7),AA34*(1-$C$5-IF(Y34&lt;3,$C$8,0)),MIN(AA34*(1-$C$5-IF(Y34&lt;3,$C$8,0)),Z34*(1-$C$6-IF(Y34&lt;3,$C$8,0)))),IF(IF(Z34&lt;AA34*(1-$C$7),AA34*(1-$C$5-IF(Y34&lt;3,$C$8,0)),MIN(AA34*(1-$C$5-IF(Y34&lt;3,$C$8,0)),Z34*(1-$C$6-IF(Y34&lt;3,$C$8,0))))&lt;10,$C$9,IF(IF(Z34&lt;AA34*(1-$C$7),AA34*(1-$C$5-IF(Y34&lt;3,$C$8,0)),MIN(AA34*(1-$C$5-IF(Y34&lt;3,$C$8,0)),Z34*(1-$C$6-IF(Y34&lt;3,$C$8,0))))&lt;100,$D$9,$E$9)))))</f>
        <v>3.9</v>
      </c>
      <c r="AE34" s="73" t="n">
        <f aca="false">IF(Y34=0,"—",FLOOR(AD34*Sources!$G$10,1))</f>
        <v>95</v>
      </c>
      <c r="AF34" s="68" t="n">
        <f aca="false">IF(ISNUMBER($D34),$D34,"n/a")</f>
        <v>2.42</v>
      </c>
      <c r="AG34" s="71" t="n">
        <f aca="false">IF(OR(Y34=0,NOT(ISNUMBER($D34))),"—",AD34/$D34-1)</f>
        <v>0.611570247933885</v>
      </c>
      <c r="AH34" s="72" t="n">
        <f aca="false">IF(Y34=0,"—",AD34/Z34-1)</f>
        <v>-0.0605375170729238</v>
      </c>
      <c r="AI34" s="72" t="n">
        <f aca="false">IF(Y34=0,"—",AD34/AA34-1)</f>
        <v>-0.353587588881707</v>
      </c>
      <c r="AJ34" s="67" t="n">
        <f aca="false">COUNTIFS(Offers!$B$7:$B$3000,$B34,Offers!$C$7:$C$3000,"Slovakia",Offers!$AI$7:$AI$3000,"yes")</f>
        <v>0</v>
      </c>
      <c r="AK34" s="68" t="str">
        <f aca="false">IF(AJ34=0,"—",SUMIFS(Review!$I$7:$I$600,Review!$B$7:$B$600,$B34,Review!$C$7:$C$600,"Slovakia"))</f>
        <v>—</v>
      </c>
      <c r="AL34" s="68" t="str">
        <f aca="false">IF(AJ34=0,"—",SUMIFS(Review!$J$7:$J$600,Review!$B$7:$B$600,$B34,Review!$C$7:$C$600,"Slovakia"))</f>
        <v>—</v>
      </c>
      <c r="AM34" s="68" t="str">
        <f aca="false">IF(AJ34=0,"—",SUMIFS(Review!$K$7:$K$600,Review!$B$7:$B$600,$B34,Review!$C$7:$C$600,"Slovakia"))</f>
        <v>—</v>
      </c>
      <c r="AN34" s="69" t="str">
        <f aca="false">IF(AJ34=0,"—",IF(AK34&lt;AL34*(1-$C$7),"median (cheapest is an outlier)",IF(AK34*(1-$C$6)&lt;AL34*(1-$C$5),"undercut cheapest","median")))</f>
        <v>—</v>
      </c>
      <c r="AO34" s="70" t="str">
        <f aca="false">IF(AJ34=0,"—",IF(AND(ISNUMBER($D34),$D34*(1+$C$10)&gt;FLOOR(IF(AK34&lt;AL34*(1-$C$7),AL34*(1-$C$5-IF(AJ34&lt;3,$C$8,0)),MIN(AL34*(1-$C$5-IF(AJ34&lt;3,$C$8,0)),AK34*(1-$C$6-IF(AJ34&lt;3,$C$8,0)))),IF(IF(AK34&lt;AL34*(1-$C$7),AL34*(1-$C$5-IF(AJ34&lt;3,$C$8,0)),MIN(AL34*(1-$C$5-IF(AJ34&lt;3,$C$8,0)),AK34*(1-$C$6-IF(AJ34&lt;3,$C$8,0))))&lt;10,$C$9,IF(IF(AK34&lt;AL34*(1-$C$7),AL34*(1-$C$5-IF(AJ34&lt;3,$C$8,0)),MIN(AL34*(1-$C$5-IF(AJ34&lt;3,$C$8,0)),AK34*(1-$C$6-IF(AJ34&lt;3,$C$8,0))))&lt;100,$D$9,$E$9)))),ROUND($D34*(1+$C$10),2),FLOOR(IF(AK34&lt;AL34*(1-$C$7),AL34*(1-$C$5-IF(AJ34&lt;3,$C$8,0)),MIN(AL34*(1-$C$5-IF(AJ34&lt;3,$C$8,0)),AK34*(1-$C$6-IF(AJ34&lt;3,$C$8,0)))),IF(IF(AK34&lt;AL34*(1-$C$7),AL34*(1-$C$5-IF(AJ34&lt;3,$C$8,0)),MIN(AL34*(1-$C$5-IF(AJ34&lt;3,$C$8,0)),AK34*(1-$C$6-IF(AJ34&lt;3,$C$8,0))))&lt;10,$C$9,IF(IF(AK34&lt;AL34*(1-$C$7),AL34*(1-$C$5-IF(AJ34&lt;3,$C$8,0)),MIN(AL34*(1-$C$5-IF(AJ34&lt;3,$C$8,0)),AK34*(1-$C$6-IF(AJ34&lt;3,$C$8,0))))&lt;100,$D$9,$E$9)))))</f>
        <v>—</v>
      </c>
      <c r="AP34" s="68" t="n">
        <f aca="false">IF(ISNUMBER($D34),$D34,"n/a")</f>
        <v>2.42</v>
      </c>
      <c r="AQ34" s="71" t="str">
        <f aca="false">IF(OR(AJ34=0,NOT(ISNUMBER($D34))),"—",AO34/$D34-1)</f>
        <v>—</v>
      </c>
      <c r="AR34" s="72" t="str">
        <f aca="false">IF(AJ34=0,"—",AO34/AK34-1)</f>
        <v>—</v>
      </c>
      <c r="AS34" s="72" t="str">
        <f aca="false">IF(AJ34=0,"—",AO34/AL34-1)</f>
        <v>—</v>
      </c>
      <c r="AT34" s="67" t="n">
        <f aca="false">COUNTIFS(Offers!$B$7:$B$3000,$B34,Offers!$C$7:$C$3000,"Romania",Offers!$AI$7:$AI$3000,"yes")</f>
        <v>0</v>
      </c>
      <c r="AU34" s="68" t="str">
        <f aca="false">IF(AT34=0,"—",SUMIFS(Review!$I$7:$I$600,Review!$B$7:$B$600,$B34,Review!$C$7:$C$600,"Romania"))</f>
        <v>—</v>
      </c>
      <c r="AV34" s="68" t="str">
        <f aca="false">IF(AT34=0,"—",SUMIFS(Review!$J$7:$J$600,Review!$B$7:$B$600,$B34,Review!$C$7:$C$600,"Romania"))</f>
        <v>—</v>
      </c>
      <c r="AW34" s="68" t="str">
        <f aca="false">IF(AT34=0,"—",SUMIFS(Review!$K$7:$K$600,Review!$B$7:$B$600,$B34,Review!$C$7:$C$600,"Romania"))</f>
        <v>—</v>
      </c>
      <c r="AX34" s="69" t="str">
        <f aca="false">IF(AT34=0,"—",IF(AU34&lt;AV34*(1-$C$7),"median (cheapest is an outlier)",IF(AU34*(1-$C$6)&lt;AV34*(1-$C$5),"undercut cheapest","median")))</f>
        <v>—</v>
      </c>
      <c r="AY34" s="70" t="str">
        <f aca="false">IF(AT34=0,"—",IF(AND(ISNUMBER($D34),$D34*(1+$C$10)&gt;FLOOR(IF(AU34&lt;AV34*(1-$C$7),AV34*(1-$C$5-IF(AT34&lt;3,$C$8,0)),MIN(AV34*(1-$C$5-IF(AT34&lt;3,$C$8,0)),AU34*(1-$C$6-IF(AT34&lt;3,$C$8,0)))),IF(IF(AU34&lt;AV34*(1-$C$7),AV34*(1-$C$5-IF(AT34&lt;3,$C$8,0)),MIN(AV34*(1-$C$5-IF(AT34&lt;3,$C$8,0)),AU34*(1-$C$6-IF(AT34&lt;3,$C$8,0))))&lt;10,$C$9,IF(IF(AU34&lt;AV34*(1-$C$7),AV34*(1-$C$5-IF(AT34&lt;3,$C$8,0)),MIN(AV34*(1-$C$5-IF(AT34&lt;3,$C$8,0)),AU34*(1-$C$6-IF(AT34&lt;3,$C$8,0))))&lt;100,$D$9,$E$9)))),ROUND($D34*(1+$C$10),2),FLOOR(IF(AU34&lt;AV34*(1-$C$7),AV34*(1-$C$5-IF(AT34&lt;3,$C$8,0)),MIN(AV34*(1-$C$5-IF(AT34&lt;3,$C$8,0)),AU34*(1-$C$6-IF(AT34&lt;3,$C$8,0)))),IF(IF(AU34&lt;AV34*(1-$C$7),AV34*(1-$C$5-IF(AT34&lt;3,$C$8,0)),MIN(AV34*(1-$C$5-IF(AT34&lt;3,$C$8,0)),AU34*(1-$C$6-IF(AT34&lt;3,$C$8,0))))&lt;10,$C$9,IF(IF(AU34&lt;AV34*(1-$C$7),AV34*(1-$C$5-IF(AT34&lt;3,$C$8,0)),MIN(AV34*(1-$C$5-IF(AT34&lt;3,$C$8,0)),AU34*(1-$C$6-IF(AT34&lt;3,$C$8,0))))&lt;100,$D$9,$E$9)))))</f>
        <v>—</v>
      </c>
      <c r="AZ34" s="70" t="str">
        <f aca="false">IF(AT34=0,"—",FLOOR(AY34*Sources!$G$9,0.1))</f>
        <v>—</v>
      </c>
      <c r="BA34" s="68" t="n">
        <f aca="false">IF(ISNUMBER($D34),$D34,"n/a")</f>
        <v>2.42</v>
      </c>
      <c r="BB34" s="71" t="str">
        <f aca="false">IF(OR(AT34=0,NOT(ISNUMBER($D34))),"—",AY34/$D34-1)</f>
        <v>—</v>
      </c>
      <c r="BC34" s="72" t="str">
        <f aca="false">IF(AT34=0,"—",AY34/AU34-1)</f>
        <v>—</v>
      </c>
      <c r="BD34" s="72" t="str">
        <f aca="false">IF(AT34=0,"—",AY34/AV34-1)</f>
        <v>—</v>
      </c>
      <c r="BE34" s="67" t="n">
        <f aca="false">COUNTIFS(Offers!$B$7:$B$3000,$B34,Offers!$C$7:$C$3000,"Hungary",Offers!$AI$7:$AI$3000,"yes")</f>
        <v>0</v>
      </c>
      <c r="BF34" s="68" t="str">
        <f aca="false">IF(BE34=0,"—",SUMIFS(Review!$I$7:$I$600,Review!$B$7:$B$600,$B34,Review!$C$7:$C$600,"Hungary"))</f>
        <v>—</v>
      </c>
      <c r="BG34" s="68" t="str">
        <f aca="false">IF(BE34=0,"—",SUMIFS(Review!$J$7:$J$600,Review!$B$7:$B$600,$B34,Review!$C$7:$C$600,"Hungary"))</f>
        <v>—</v>
      </c>
      <c r="BH34" s="68" t="str">
        <f aca="false">IF(BE34=0,"—",SUMIFS(Review!$K$7:$K$600,Review!$B$7:$B$600,$B34,Review!$C$7:$C$600,"Hungary"))</f>
        <v>—</v>
      </c>
      <c r="BI34" s="69" t="str">
        <f aca="false">IF(BE34=0,"—",IF(BF34&lt;BG34*(1-$C$7),"median (cheapest is an outlier)",IF(BF34*(1-$C$6)&lt;BG34*(1-$C$5),"undercut cheapest","median")))</f>
        <v>—</v>
      </c>
      <c r="BJ34" s="70" t="str">
        <f aca="false">IF(BE34=0,"—",IF(AND(ISNUMBER($D34),$D34*(1+$C$10)&gt;FLOOR(IF(BF34&lt;BG34*(1-$C$7),BG34*(1-$C$5-IF(BE34&lt;3,$C$8,0)),MIN(BG34*(1-$C$5-IF(BE34&lt;3,$C$8,0)),BF34*(1-$C$6-IF(BE34&lt;3,$C$8,0)))),IF(IF(BF34&lt;BG34*(1-$C$7),BG34*(1-$C$5-IF(BE34&lt;3,$C$8,0)),MIN(BG34*(1-$C$5-IF(BE34&lt;3,$C$8,0)),BF34*(1-$C$6-IF(BE34&lt;3,$C$8,0))))&lt;10,$C$9,IF(IF(BF34&lt;BG34*(1-$C$7),BG34*(1-$C$5-IF(BE34&lt;3,$C$8,0)),MIN(BG34*(1-$C$5-IF(BE34&lt;3,$C$8,0)),BF34*(1-$C$6-IF(BE34&lt;3,$C$8,0))))&lt;100,$D$9,$E$9)))),ROUND($D34*(1+$C$10),2),FLOOR(IF(BF34&lt;BG34*(1-$C$7),BG34*(1-$C$5-IF(BE34&lt;3,$C$8,0)),MIN(BG34*(1-$C$5-IF(BE34&lt;3,$C$8,0)),BF34*(1-$C$6-IF(BE34&lt;3,$C$8,0)))),IF(IF(BF34&lt;BG34*(1-$C$7),BG34*(1-$C$5-IF(BE34&lt;3,$C$8,0)),MIN(BG34*(1-$C$5-IF(BE34&lt;3,$C$8,0)),BF34*(1-$C$6-IF(BE34&lt;3,$C$8,0))))&lt;10,$C$9,IF(IF(BF34&lt;BG34*(1-$C$7),BG34*(1-$C$5-IF(BE34&lt;3,$C$8,0)),MIN(BG34*(1-$C$5-IF(BE34&lt;3,$C$8,0)),BF34*(1-$C$6-IF(BE34&lt;3,$C$8,0))))&lt;100,$D$9,$E$9)))))</f>
        <v>—</v>
      </c>
      <c r="BK34" s="73" t="str">
        <f aca="false">IF(BE34=0,"—",FLOOR(BJ34*Sources!$G$8,10))</f>
        <v>—</v>
      </c>
      <c r="BL34" s="68" t="n">
        <f aca="false">IF(ISNUMBER($D34),$D34,"n/a")</f>
        <v>2.42</v>
      </c>
      <c r="BM34" s="71" t="str">
        <f aca="false">IF(OR(BE34=0,NOT(ISNUMBER($D34))),"—",BJ34/$D34-1)</f>
        <v>—</v>
      </c>
      <c r="BN34" s="72" t="str">
        <f aca="false">IF(BE34=0,"—",BJ34/BF34-1)</f>
        <v>—</v>
      </c>
      <c r="BO34" s="72" t="str">
        <f aca="false">IF(BE34=0,"—",BJ34/BG34-1)</f>
        <v>—</v>
      </c>
    </row>
    <row r="35" customFormat="false" ht="15" hidden="false" customHeight="true" outlineLevel="0" collapsed="false">
      <c r="B35" s="1" t="s">
        <v>47</v>
      </c>
      <c r="C35" s="1" t="s">
        <v>160</v>
      </c>
      <c r="D35" s="58" t="n">
        <v>4.356</v>
      </c>
      <c r="E35" s="59" t="n">
        <f aca="false">COUNTIFS(Offers!$B$7:$B$3000,$B35,Offers!$C$7:$C$3000,"Austria",Offers!$AI$7:$AI$3000,"yes")</f>
        <v>9</v>
      </c>
      <c r="F35" s="60" t="n">
        <f aca="false">IF(E35=0,"—",SUMIFS(Review!$I$7:$I$600,Review!$B$7:$B$600,$B35,Review!$C$7:$C$600,"Austria"))</f>
        <v>6.54</v>
      </c>
      <c r="G35" s="60" t="n">
        <f aca="false">IF(E35=0,"—",SUMIFS(Review!$J$7:$J$600,Review!$B$7:$B$600,$B35,Review!$C$7:$C$600,"Austria"))</f>
        <v>10.39</v>
      </c>
      <c r="H35" s="60" t="n">
        <f aca="false">IF(E35=0,"—",SUMIFS(Review!$K$7:$K$600,Review!$B$7:$B$600,$B35,Review!$C$7:$C$600,"Austria"))</f>
        <v>22</v>
      </c>
      <c r="I35" s="61" t="str">
        <f aca="false">IF(E35=0,"—",IF(F35&lt;G35*(1-$C$7),"median (cheapest is an outlier)",IF(F35*(1-$C$6)&lt;G35*(1-$C$5),"undercut cheapest","median")))</f>
        <v>median (cheapest is an outlier)</v>
      </c>
      <c r="J35" s="62" t="n">
        <f aca="false">IF(E35=0,"—",IF(AND(ISNUMBER($D35),$D35*(1+$C$10)&gt;FLOOR(IF(F35&lt;G35*(1-$C$7),G35*(1-$C$5-IF(E35&lt;3,$C$8,0)),MIN(G35*(1-$C$5-IF(E35&lt;3,$C$8,0)),F35*(1-$C$6-IF(E35&lt;3,$C$8,0)))),IF(IF(F35&lt;G35*(1-$C$7),G35*(1-$C$5-IF(E35&lt;3,$C$8,0)),MIN(G35*(1-$C$5-IF(E35&lt;3,$C$8,0)),F35*(1-$C$6-IF(E35&lt;3,$C$8,0))))&lt;10,$C$9,IF(IF(F35&lt;G35*(1-$C$7),G35*(1-$C$5-IF(E35&lt;3,$C$8,0)),MIN(G35*(1-$C$5-IF(E35&lt;3,$C$8,0)),F35*(1-$C$6-IF(E35&lt;3,$C$8,0))))&lt;100,$D$9,$E$9)))),ROUND($D35*(1+$C$10),2),FLOOR(IF(F35&lt;G35*(1-$C$7),G35*(1-$C$5-IF(E35&lt;3,$C$8,0)),MIN(G35*(1-$C$5-IF(E35&lt;3,$C$8,0)),F35*(1-$C$6-IF(E35&lt;3,$C$8,0)))),IF(IF(F35&lt;G35*(1-$C$7),G35*(1-$C$5-IF(E35&lt;3,$C$8,0)),MIN(G35*(1-$C$5-IF(E35&lt;3,$C$8,0)),F35*(1-$C$6-IF(E35&lt;3,$C$8,0))))&lt;10,$C$9,IF(IF(F35&lt;G35*(1-$C$7),G35*(1-$C$5-IF(E35&lt;3,$C$8,0)),MIN(G35*(1-$C$5-IF(E35&lt;3,$C$8,0)),F35*(1-$C$6-IF(E35&lt;3,$C$8,0))))&lt;100,$D$9,$E$9)))))</f>
        <v>7.75</v>
      </c>
      <c r="K35" s="60" t="n">
        <f aca="false">IF(ISNUMBER($D35),$D35,"n/a")</f>
        <v>4.356</v>
      </c>
      <c r="L35" s="63" t="n">
        <f aca="false">IF(OR(E35=0,NOT(ISNUMBER($D35))),"—",J35/$D35-1)</f>
        <v>0.779155188246097</v>
      </c>
      <c r="M35" s="64" t="n">
        <f aca="false">IF(E35=0,"—",J35/F35-1)</f>
        <v>0.185015290519878</v>
      </c>
      <c r="N35" s="64" t="n">
        <f aca="false">IF(E35=0,"—",J35/G35-1)</f>
        <v>-0.254090471607315</v>
      </c>
      <c r="O35" s="59" t="n">
        <f aca="false">COUNTIFS(Offers!$B$7:$B$3000,$B35,Offers!$C$7:$C$3000,"Germany",Offers!$AI$7:$AI$3000,"yes")</f>
        <v>6</v>
      </c>
      <c r="P35" s="60" t="n">
        <f aca="false">IF(O35=0,"—",SUMIFS(Review!$I$7:$I$600,Review!$B$7:$B$600,$B35,Review!$C$7:$C$600,"Germany"))</f>
        <v>6.54</v>
      </c>
      <c r="Q35" s="60" t="n">
        <f aca="false">IF(O35=0,"—",SUMIFS(Review!$J$7:$J$600,Review!$B$7:$B$600,$B35,Review!$C$7:$C$600,"Germany"))</f>
        <v>9.245</v>
      </c>
      <c r="R35" s="60" t="n">
        <f aca="false">IF(O35=0,"—",SUMIFS(Review!$K$7:$K$600,Review!$B$7:$B$600,$B35,Review!$C$7:$C$600,"Germany"))</f>
        <v>12.26</v>
      </c>
      <c r="S35" s="61" t="str">
        <f aca="false">IF(O35=0,"—",IF(P35&lt;Q35*(1-$C$7),"median (cheapest is an outlier)",IF(P35*(1-$C$6)&lt;Q35*(1-$C$5),"undercut cheapest","median")))</f>
        <v>undercut cheapest</v>
      </c>
      <c r="T35" s="62" t="n">
        <f aca="false">IF(O35=0,"—",IF(AND(ISNUMBER($D35),$D35*(1+$C$10)&gt;FLOOR(IF(P35&lt;Q35*(1-$C$7),Q35*(1-$C$5-IF(O35&lt;3,$C$8,0)),MIN(Q35*(1-$C$5-IF(O35&lt;3,$C$8,0)),P35*(1-$C$6-IF(O35&lt;3,$C$8,0)))),IF(IF(P35&lt;Q35*(1-$C$7),Q35*(1-$C$5-IF(O35&lt;3,$C$8,0)),MIN(Q35*(1-$C$5-IF(O35&lt;3,$C$8,0)),P35*(1-$C$6-IF(O35&lt;3,$C$8,0))))&lt;10,$C$9,IF(IF(P35&lt;Q35*(1-$C$7),Q35*(1-$C$5-IF(O35&lt;3,$C$8,0)),MIN(Q35*(1-$C$5-IF(O35&lt;3,$C$8,0)),P35*(1-$C$6-IF(O35&lt;3,$C$8,0))))&lt;100,$D$9,$E$9)))),ROUND($D35*(1+$C$10),2),FLOOR(IF(P35&lt;Q35*(1-$C$7),Q35*(1-$C$5-IF(O35&lt;3,$C$8,0)),MIN(Q35*(1-$C$5-IF(O35&lt;3,$C$8,0)),P35*(1-$C$6-IF(O35&lt;3,$C$8,0)))),IF(IF(P35&lt;Q35*(1-$C$7),Q35*(1-$C$5-IF(O35&lt;3,$C$8,0)),MIN(Q35*(1-$C$5-IF(O35&lt;3,$C$8,0)),P35*(1-$C$6-IF(O35&lt;3,$C$8,0))))&lt;10,$C$9,IF(IF(P35&lt;Q35*(1-$C$7),Q35*(1-$C$5-IF(O35&lt;3,$C$8,0)),MIN(Q35*(1-$C$5-IF(O35&lt;3,$C$8,0)),P35*(1-$C$6-IF(O35&lt;3,$C$8,0))))&lt;100,$D$9,$E$9)))))</f>
        <v>6.2</v>
      </c>
      <c r="U35" s="60" t="n">
        <f aca="false">IF(ISNUMBER($D35),$D35,"n/a")</f>
        <v>4.356</v>
      </c>
      <c r="V35" s="63" t="n">
        <f aca="false">IF(OR(O35=0,NOT(ISNUMBER($D35))),"—",T35/$D35-1)</f>
        <v>0.423324150596878</v>
      </c>
      <c r="W35" s="64" t="n">
        <f aca="false">IF(O35=0,"—",T35/P35-1)</f>
        <v>-0.0519877675840978</v>
      </c>
      <c r="X35" s="64" t="n">
        <f aca="false">IF(O35=0,"—",T35/Q35-1)</f>
        <v>-0.329367225527312</v>
      </c>
      <c r="Y35" s="59" t="n">
        <f aca="false">COUNTIFS(Offers!$B$7:$B$3000,$B35,Offers!$C$7:$C$3000,"Czech",Offers!$AI$7:$AI$3000,"yes")</f>
        <v>6</v>
      </c>
      <c r="Z35" s="60" t="n">
        <f aca="false">IF(Y35=0,"—",SUMIFS(Review!$I$7:$I$600,Review!$B$7:$B$600,$B35,Review!$C$7:$C$600,"Czech"))</f>
        <v>9.914584</v>
      </c>
      <c r="AA35" s="60" t="n">
        <f aca="false">IF(Y35=0,"—",SUMIFS(Review!$J$7:$J$600,Review!$B$7:$B$600,$B35,Review!$C$7:$C$600,"Czech"))</f>
        <v>10.8268165</v>
      </c>
      <c r="AB35" s="60" t="n">
        <f aca="false">IF(Y35=0,"—",SUMIFS(Review!$K$7:$K$600,Review!$B$7:$B$600,$B35,Review!$C$7:$C$600,"Czech"))</f>
        <v>12.858456</v>
      </c>
      <c r="AC35" s="61" t="str">
        <f aca="false">IF(Y35=0,"—",IF(Z35&lt;AA35*(1-$C$7),"median (cheapest is an outlier)",IF(Z35*(1-$C$6)&lt;AA35*(1-$C$5),"undercut cheapest","median")))</f>
        <v>median</v>
      </c>
      <c r="AD35" s="62" t="n">
        <f aca="false">IF(Y35=0,"—",IF(AND(ISNUMBER($D35),$D35*(1+$C$10)&gt;FLOOR(IF(Z35&lt;AA35*(1-$C$7),AA35*(1-$C$5-IF(Y35&lt;3,$C$8,0)),MIN(AA35*(1-$C$5-IF(Y35&lt;3,$C$8,0)),Z35*(1-$C$6-IF(Y35&lt;3,$C$8,0)))),IF(IF(Z35&lt;AA35*(1-$C$7),AA35*(1-$C$5-IF(Y35&lt;3,$C$8,0)),MIN(AA35*(1-$C$5-IF(Y35&lt;3,$C$8,0)),Z35*(1-$C$6-IF(Y35&lt;3,$C$8,0))))&lt;10,$C$9,IF(IF(Z35&lt;AA35*(1-$C$7),AA35*(1-$C$5-IF(Y35&lt;3,$C$8,0)),MIN(AA35*(1-$C$5-IF(Y35&lt;3,$C$8,0)),Z35*(1-$C$6-IF(Y35&lt;3,$C$8,0))))&lt;100,$D$9,$E$9)))),ROUND($D35*(1+$C$10),2),FLOOR(IF(Z35&lt;AA35*(1-$C$7),AA35*(1-$C$5-IF(Y35&lt;3,$C$8,0)),MIN(AA35*(1-$C$5-IF(Y35&lt;3,$C$8,0)),Z35*(1-$C$6-IF(Y35&lt;3,$C$8,0)))),IF(IF(Z35&lt;AA35*(1-$C$7),AA35*(1-$C$5-IF(Y35&lt;3,$C$8,0)),MIN(AA35*(1-$C$5-IF(Y35&lt;3,$C$8,0)),Z35*(1-$C$6-IF(Y35&lt;3,$C$8,0))))&lt;10,$C$9,IF(IF(Z35&lt;AA35*(1-$C$7),AA35*(1-$C$5-IF(Y35&lt;3,$C$8,0)),MIN(AA35*(1-$C$5-IF(Y35&lt;3,$C$8,0)),Z35*(1-$C$6-IF(Y35&lt;3,$C$8,0))))&lt;100,$D$9,$E$9)))))</f>
        <v>8.1</v>
      </c>
      <c r="AE35" s="65" t="n">
        <f aca="false">IF(Y35=0,"—",FLOOR(AD35*Sources!$G$10,1))</f>
        <v>197</v>
      </c>
      <c r="AF35" s="60" t="n">
        <f aca="false">IF(ISNUMBER($D35),$D35,"n/a")</f>
        <v>4.356</v>
      </c>
      <c r="AG35" s="63" t="n">
        <f aca="false">IF(OR(Y35=0,NOT(ISNUMBER($D35))),"—",AD35/$D35-1)</f>
        <v>0.859504132231405</v>
      </c>
      <c r="AH35" s="64" t="n">
        <f aca="false">IF(Y35=0,"—",AD35/Z35-1)</f>
        <v>-0.183021698136805</v>
      </c>
      <c r="AI35" s="64" t="n">
        <f aca="false">IF(Y35=0,"—",AD35/AA35-1)</f>
        <v>-0.251857644396208</v>
      </c>
      <c r="AJ35" s="59" t="n">
        <f aca="false">COUNTIFS(Offers!$B$7:$B$3000,$B35,Offers!$C$7:$C$3000,"Slovakia",Offers!$AI$7:$AI$3000,"yes")</f>
        <v>0</v>
      </c>
      <c r="AK35" s="60" t="str">
        <f aca="false">IF(AJ35=0,"—",SUMIFS(Review!$I$7:$I$600,Review!$B$7:$B$600,$B35,Review!$C$7:$C$600,"Slovakia"))</f>
        <v>—</v>
      </c>
      <c r="AL35" s="60" t="str">
        <f aca="false">IF(AJ35=0,"—",SUMIFS(Review!$J$7:$J$600,Review!$B$7:$B$600,$B35,Review!$C$7:$C$600,"Slovakia"))</f>
        <v>—</v>
      </c>
      <c r="AM35" s="60" t="str">
        <f aca="false">IF(AJ35=0,"—",SUMIFS(Review!$K$7:$K$600,Review!$B$7:$B$600,$B35,Review!$C$7:$C$600,"Slovakia"))</f>
        <v>—</v>
      </c>
      <c r="AN35" s="61" t="str">
        <f aca="false">IF(AJ35=0,"—",IF(AK35&lt;AL35*(1-$C$7),"median (cheapest is an outlier)",IF(AK35*(1-$C$6)&lt;AL35*(1-$C$5),"undercut cheapest","median")))</f>
        <v>—</v>
      </c>
      <c r="AO35" s="62" t="str">
        <f aca="false">IF(AJ35=0,"—",IF(AND(ISNUMBER($D35),$D35*(1+$C$10)&gt;FLOOR(IF(AK35&lt;AL35*(1-$C$7),AL35*(1-$C$5-IF(AJ35&lt;3,$C$8,0)),MIN(AL35*(1-$C$5-IF(AJ35&lt;3,$C$8,0)),AK35*(1-$C$6-IF(AJ35&lt;3,$C$8,0)))),IF(IF(AK35&lt;AL35*(1-$C$7),AL35*(1-$C$5-IF(AJ35&lt;3,$C$8,0)),MIN(AL35*(1-$C$5-IF(AJ35&lt;3,$C$8,0)),AK35*(1-$C$6-IF(AJ35&lt;3,$C$8,0))))&lt;10,$C$9,IF(IF(AK35&lt;AL35*(1-$C$7),AL35*(1-$C$5-IF(AJ35&lt;3,$C$8,0)),MIN(AL35*(1-$C$5-IF(AJ35&lt;3,$C$8,0)),AK35*(1-$C$6-IF(AJ35&lt;3,$C$8,0))))&lt;100,$D$9,$E$9)))),ROUND($D35*(1+$C$10),2),FLOOR(IF(AK35&lt;AL35*(1-$C$7),AL35*(1-$C$5-IF(AJ35&lt;3,$C$8,0)),MIN(AL35*(1-$C$5-IF(AJ35&lt;3,$C$8,0)),AK35*(1-$C$6-IF(AJ35&lt;3,$C$8,0)))),IF(IF(AK35&lt;AL35*(1-$C$7),AL35*(1-$C$5-IF(AJ35&lt;3,$C$8,0)),MIN(AL35*(1-$C$5-IF(AJ35&lt;3,$C$8,0)),AK35*(1-$C$6-IF(AJ35&lt;3,$C$8,0))))&lt;10,$C$9,IF(IF(AK35&lt;AL35*(1-$C$7),AL35*(1-$C$5-IF(AJ35&lt;3,$C$8,0)),MIN(AL35*(1-$C$5-IF(AJ35&lt;3,$C$8,0)),AK35*(1-$C$6-IF(AJ35&lt;3,$C$8,0))))&lt;100,$D$9,$E$9)))))</f>
        <v>—</v>
      </c>
      <c r="AP35" s="60" t="n">
        <f aca="false">IF(ISNUMBER($D35),$D35,"n/a")</f>
        <v>4.356</v>
      </c>
      <c r="AQ35" s="63" t="str">
        <f aca="false">IF(OR(AJ35=0,NOT(ISNUMBER($D35))),"—",AO35/$D35-1)</f>
        <v>—</v>
      </c>
      <c r="AR35" s="64" t="str">
        <f aca="false">IF(AJ35=0,"—",AO35/AK35-1)</f>
        <v>—</v>
      </c>
      <c r="AS35" s="64" t="str">
        <f aca="false">IF(AJ35=0,"—",AO35/AL35-1)</f>
        <v>—</v>
      </c>
      <c r="AT35" s="59" t="n">
        <f aca="false">COUNTIFS(Offers!$B$7:$B$3000,$B35,Offers!$C$7:$C$3000,"Romania",Offers!$AI$7:$AI$3000,"yes")</f>
        <v>0</v>
      </c>
      <c r="AU35" s="60" t="str">
        <f aca="false">IF(AT35=0,"—",SUMIFS(Review!$I$7:$I$600,Review!$B$7:$B$600,$B35,Review!$C$7:$C$600,"Romania"))</f>
        <v>—</v>
      </c>
      <c r="AV35" s="60" t="str">
        <f aca="false">IF(AT35=0,"—",SUMIFS(Review!$J$7:$J$600,Review!$B$7:$B$600,$B35,Review!$C$7:$C$600,"Romania"))</f>
        <v>—</v>
      </c>
      <c r="AW35" s="60" t="str">
        <f aca="false">IF(AT35=0,"—",SUMIFS(Review!$K$7:$K$600,Review!$B$7:$B$600,$B35,Review!$C$7:$C$600,"Romania"))</f>
        <v>—</v>
      </c>
      <c r="AX35" s="61" t="str">
        <f aca="false">IF(AT35=0,"—",IF(AU35&lt;AV35*(1-$C$7),"median (cheapest is an outlier)",IF(AU35*(1-$C$6)&lt;AV35*(1-$C$5),"undercut cheapest","median")))</f>
        <v>—</v>
      </c>
      <c r="AY35" s="62" t="str">
        <f aca="false">IF(AT35=0,"—",IF(AND(ISNUMBER($D35),$D35*(1+$C$10)&gt;FLOOR(IF(AU35&lt;AV35*(1-$C$7),AV35*(1-$C$5-IF(AT35&lt;3,$C$8,0)),MIN(AV35*(1-$C$5-IF(AT35&lt;3,$C$8,0)),AU35*(1-$C$6-IF(AT35&lt;3,$C$8,0)))),IF(IF(AU35&lt;AV35*(1-$C$7),AV35*(1-$C$5-IF(AT35&lt;3,$C$8,0)),MIN(AV35*(1-$C$5-IF(AT35&lt;3,$C$8,0)),AU35*(1-$C$6-IF(AT35&lt;3,$C$8,0))))&lt;10,$C$9,IF(IF(AU35&lt;AV35*(1-$C$7),AV35*(1-$C$5-IF(AT35&lt;3,$C$8,0)),MIN(AV35*(1-$C$5-IF(AT35&lt;3,$C$8,0)),AU35*(1-$C$6-IF(AT35&lt;3,$C$8,0))))&lt;100,$D$9,$E$9)))),ROUND($D35*(1+$C$10),2),FLOOR(IF(AU35&lt;AV35*(1-$C$7),AV35*(1-$C$5-IF(AT35&lt;3,$C$8,0)),MIN(AV35*(1-$C$5-IF(AT35&lt;3,$C$8,0)),AU35*(1-$C$6-IF(AT35&lt;3,$C$8,0)))),IF(IF(AU35&lt;AV35*(1-$C$7),AV35*(1-$C$5-IF(AT35&lt;3,$C$8,0)),MIN(AV35*(1-$C$5-IF(AT35&lt;3,$C$8,0)),AU35*(1-$C$6-IF(AT35&lt;3,$C$8,0))))&lt;10,$C$9,IF(IF(AU35&lt;AV35*(1-$C$7),AV35*(1-$C$5-IF(AT35&lt;3,$C$8,0)),MIN(AV35*(1-$C$5-IF(AT35&lt;3,$C$8,0)),AU35*(1-$C$6-IF(AT35&lt;3,$C$8,0))))&lt;100,$D$9,$E$9)))))</f>
        <v>—</v>
      </c>
      <c r="AZ35" s="62" t="str">
        <f aca="false">IF(AT35=0,"—",FLOOR(AY35*Sources!$G$9,0.1))</f>
        <v>—</v>
      </c>
      <c r="BA35" s="60" t="n">
        <f aca="false">IF(ISNUMBER($D35),$D35,"n/a")</f>
        <v>4.356</v>
      </c>
      <c r="BB35" s="63" t="str">
        <f aca="false">IF(OR(AT35=0,NOT(ISNUMBER($D35))),"—",AY35/$D35-1)</f>
        <v>—</v>
      </c>
      <c r="BC35" s="64" t="str">
        <f aca="false">IF(AT35=0,"—",AY35/AU35-1)</f>
        <v>—</v>
      </c>
      <c r="BD35" s="64" t="str">
        <f aca="false">IF(AT35=0,"—",AY35/AV35-1)</f>
        <v>—</v>
      </c>
      <c r="BE35" s="59" t="n">
        <f aca="false">COUNTIFS(Offers!$B$7:$B$3000,$B35,Offers!$C$7:$C$3000,"Hungary",Offers!$AI$7:$AI$3000,"yes")</f>
        <v>0</v>
      </c>
      <c r="BF35" s="60" t="str">
        <f aca="false">IF(BE35=0,"—",SUMIFS(Review!$I$7:$I$600,Review!$B$7:$B$600,$B35,Review!$C$7:$C$600,"Hungary"))</f>
        <v>—</v>
      </c>
      <c r="BG35" s="60" t="str">
        <f aca="false">IF(BE35=0,"—",SUMIFS(Review!$J$7:$J$600,Review!$B$7:$B$600,$B35,Review!$C$7:$C$600,"Hungary"))</f>
        <v>—</v>
      </c>
      <c r="BH35" s="60" t="str">
        <f aca="false">IF(BE35=0,"—",SUMIFS(Review!$K$7:$K$600,Review!$B$7:$B$600,$B35,Review!$C$7:$C$600,"Hungary"))</f>
        <v>—</v>
      </c>
      <c r="BI35" s="61" t="str">
        <f aca="false">IF(BE35=0,"—",IF(BF35&lt;BG35*(1-$C$7),"median (cheapest is an outlier)",IF(BF35*(1-$C$6)&lt;BG35*(1-$C$5),"undercut cheapest","median")))</f>
        <v>—</v>
      </c>
      <c r="BJ35" s="62" t="str">
        <f aca="false">IF(BE35=0,"—",IF(AND(ISNUMBER($D35),$D35*(1+$C$10)&gt;FLOOR(IF(BF35&lt;BG35*(1-$C$7),BG35*(1-$C$5-IF(BE35&lt;3,$C$8,0)),MIN(BG35*(1-$C$5-IF(BE35&lt;3,$C$8,0)),BF35*(1-$C$6-IF(BE35&lt;3,$C$8,0)))),IF(IF(BF35&lt;BG35*(1-$C$7),BG35*(1-$C$5-IF(BE35&lt;3,$C$8,0)),MIN(BG35*(1-$C$5-IF(BE35&lt;3,$C$8,0)),BF35*(1-$C$6-IF(BE35&lt;3,$C$8,0))))&lt;10,$C$9,IF(IF(BF35&lt;BG35*(1-$C$7),BG35*(1-$C$5-IF(BE35&lt;3,$C$8,0)),MIN(BG35*(1-$C$5-IF(BE35&lt;3,$C$8,0)),BF35*(1-$C$6-IF(BE35&lt;3,$C$8,0))))&lt;100,$D$9,$E$9)))),ROUND($D35*(1+$C$10),2),FLOOR(IF(BF35&lt;BG35*(1-$C$7),BG35*(1-$C$5-IF(BE35&lt;3,$C$8,0)),MIN(BG35*(1-$C$5-IF(BE35&lt;3,$C$8,0)),BF35*(1-$C$6-IF(BE35&lt;3,$C$8,0)))),IF(IF(BF35&lt;BG35*(1-$C$7),BG35*(1-$C$5-IF(BE35&lt;3,$C$8,0)),MIN(BG35*(1-$C$5-IF(BE35&lt;3,$C$8,0)),BF35*(1-$C$6-IF(BE35&lt;3,$C$8,0))))&lt;10,$C$9,IF(IF(BF35&lt;BG35*(1-$C$7),BG35*(1-$C$5-IF(BE35&lt;3,$C$8,0)),MIN(BG35*(1-$C$5-IF(BE35&lt;3,$C$8,0)),BF35*(1-$C$6-IF(BE35&lt;3,$C$8,0))))&lt;100,$D$9,$E$9)))))</f>
        <v>—</v>
      </c>
      <c r="BK35" s="65" t="str">
        <f aca="false">IF(BE35=0,"—",FLOOR(BJ35*Sources!$G$8,10))</f>
        <v>—</v>
      </c>
      <c r="BL35" s="60" t="n">
        <f aca="false">IF(ISNUMBER($D35),$D35,"n/a")</f>
        <v>4.356</v>
      </c>
      <c r="BM35" s="63" t="str">
        <f aca="false">IF(OR(BE35=0,NOT(ISNUMBER($D35))),"—",BJ35/$D35-1)</f>
        <v>—</v>
      </c>
      <c r="BN35" s="64" t="str">
        <f aca="false">IF(BE35=0,"—",BJ35/BF35-1)</f>
        <v>—</v>
      </c>
      <c r="BO35" s="64" t="str">
        <f aca="false">IF(BE35=0,"—",BJ35/BG35-1)</f>
        <v>—</v>
      </c>
    </row>
    <row r="36" customFormat="false" ht="15" hidden="false" customHeight="true" outlineLevel="0" collapsed="false">
      <c r="B36" s="66" t="s">
        <v>49</v>
      </c>
      <c r="C36" s="66" t="s">
        <v>161</v>
      </c>
      <c r="D36" s="58" t="n">
        <v>0.88</v>
      </c>
      <c r="E36" s="67" t="n">
        <f aca="false">COUNTIFS(Offers!$B$7:$B$3000,$B36,Offers!$C$7:$C$3000,"Austria",Offers!$AI$7:$AI$3000,"yes")</f>
        <v>10</v>
      </c>
      <c r="F36" s="68" t="n">
        <f aca="false">IF(E36=0,"—",SUMIFS(Review!$I$7:$I$600,Review!$B$7:$B$600,$B36,Review!$C$7:$C$600,"Austria"))</f>
        <v>2.8</v>
      </c>
      <c r="G36" s="68" t="n">
        <f aca="false">IF(E36=0,"—",SUMIFS(Review!$J$7:$J$600,Review!$B$7:$B$600,$B36,Review!$C$7:$C$600,"Austria"))</f>
        <v>3.44</v>
      </c>
      <c r="H36" s="68" t="n">
        <f aca="false">IF(E36=0,"—",SUMIFS(Review!$K$7:$K$600,Review!$B$7:$B$600,$B36,Review!$C$7:$C$600,"Austria"))</f>
        <v>13.2</v>
      </c>
      <c r="I36" s="69" t="str">
        <f aca="false">IF(E36=0,"—",IF(F36&lt;G36*(1-$C$7),"median (cheapest is an outlier)",IF(F36*(1-$C$6)&lt;G36*(1-$C$5),"undercut cheapest","median")))</f>
        <v>median</v>
      </c>
      <c r="J36" s="70" t="n">
        <f aca="false">IF(E36=0,"—",IF(AND(ISNUMBER($D36),$D36*(1+$C$10)&gt;FLOOR(IF(F36&lt;G36*(1-$C$7),G36*(1-$C$5-IF(E36&lt;3,$C$8,0)),MIN(G36*(1-$C$5-IF(E36&lt;3,$C$8,0)),F36*(1-$C$6-IF(E36&lt;3,$C$8,0)))),IF(IF(F36&lt;G36*(1-$C$7),G36*(1-$C$5-IF(E36&lt;3,$C$8,0)),MIN(G36*(1-$C$5-IF(E36&lt;3,$C$8,0)),F36*(1-$C$6-IF(E36&lt;3,$C$8,0))))&lt;10,$C$9,IF(IF(F36&lt;G36*(1-$C$7),G36*(1-$C$5-IF(E36&lt;3,$C$8,0)),MIN(G36*(1-$C$5-IF(E36&lt;3,$C$8,0)),F36*(1-$C$6-IF(E36&lt;3,$C$8,0))))&lt;100,$D$9,$E$9)))),ROUND($D36*(1+$C$10),2),FLOOR(IF(F36&lt;G36*(1-$C$7),G36*(1-$C$5-IF(E36&lt;3,$C$8,0)),MIN(G36*(1-$C$5-IF(E36&lt;3,$C$8,0)),F36*(1-$C$6-IF(E36&lt;3,$C$8,0)))),IF(IF(F36&lt;G36*(1-$C$7),G36*(1-$C$5-IF(E36&lt;3,$C$8,0)),MIN(G36*(1-$C$5-IF(E36&lt;3,$C$8,0)),F36*(1-$C$6-IF(E36&lt;3,$C$8,0))))&lt;10,$C$9,IF(IF(F36&lt;G36*(1-$C$7),G36*(1-$C$5-IF(E36&lt;3,$C$8,0)),MIN(G36*(1-$C$5-IF(E36&lt;3,$C$8,0)),F36*(1-$C$6-IF(E36&lt;3,$C$8,0))))&lt;100,$D$9,$E$9)))))</f>
        <v>2.55</v>
      </c>
      <c r="K36" s="68" t="n">
        <f aca="false">IF(ISNUMBER($D36),$D36,"n/a")</f>
        <v>0.88</v>
      </c>
      <c r="L36" s="71" t="n">
        <f aca="false">IF(OR(E36=0,NOT(ISNUMBER($D36))),"—",J36/$D36-1)</f>
        <v>1.89772727272727</v>
      </c>
      <c r="M36" s="72" t="n">
        <f aca="false">IF(E36=0,"—",J36/F36-1)</f>
        <v>-0.0892857142857141</v>
      </c>
      <c r="N36" s="72" t="n">
        <f aca="false">IF(E36=0,"—",J36/G36-1)</f>
        <v>-0.258720930232558</v>
      </c>
      <c r="O36" s="67" t="n">
        <f aca="false">COUNTIFS(Offers!$B$7:$B$3000,$B36,Offers!$C$7:$C$3000,"Germany",Offers!$AI$7:$AI$3000,"yes")</f>
        <v>2</v>
      </c>
      <c r="P36" s="68" t="n">
        <f aca="false">IF(O36=0,"—",SUMIFS(Review!$I$7:$I$600,Review!$B$7:$B$600,$B36,Review!$C$7:$C$600,"Germany"))</f>
        <v>2.09</v>
      </c>
      <c r="Q36" s="68" t="n">
        <f aca="false">IF(O36=0,"—",SUMIFS(Review!$J$7:$J$600,Review!$B$7:$B$600,$B36,Review!$C$7:$C$600,"Germany"))</f>
        <v>2.315</v>
      </c>
      <c r="R36" s="68" t="n">
        <f aca="false">IF(O36=0,"—",SUMIFS(Review!$K$7:$K$600,Review!$B$7:$B$600,$B36,Review!$C$7:$C$600,"Germany"))</f>
        <v>2.54</v>
      </c>
      <c r="S36" s="69" t="str">
        <f aca="false">IF(O36=0,"—",IF(P36&lt;Q36*(1-$C$7),"median (cheapest is an outlier)",IF(P36*(1-$C$6)&lt;Q36*(1-$C$5),"undercut cheapest","median")))</f>
        <v>median</v>
      </c>
      <c r="T36" s="70" t="n">
        <f aca="false">IF(O36=0,"—",IF(AND(ISNUMBER($D36),$D36*(1+$C$10)&gt;FLOOR(IF(P36&lt;Q36*(1-$C$7),Q36*(1-$C$5-IF(O36&lt;3,$C$8,0)),MIN(Q36*(1-$C$5-IF(O36&lt;3,$C$8,0)),P36*(1-$C$6-IF(O36&lt;3,$C$8,0)))),IF(IF(P36&lt;Q36*(1-$C$7),Q36*(1-$C$5-IF(O36&lt;3,$C$8,0)),MIN(Q36*(1-$C$5-IF(O36&lt;3,$C$8,0)),P36*(1-$C$6-IF(O36&lt;3,$C$8,0))))&lt;10,$C$9,IF(IF(P36&lt;Q36*(1-$C$7),Q36*(1-$C$5-IF(O36&lt;3,$C$8,0)),MIN(Q36*(1-$C$5-IF(O36&lt;3,$C$8,0)),P36*(1-$C$6-IF(O36&lt;3,$C$8,0))))&lt;100,$D$9,$E$9)))),ROUND($D36*(1+$C$10),2),FLOOR(IF(P36&lt;Q36*(1-$C$7),Q36*(1-$C$5-IF(O36&lt;3,$C$8,0)),MIN(Q36*(1-$C$5-IF(O36&lt;3,$C$8,0)),P36*(1-$C$6-IF(O36&lt;3,$C$8,0)))),IF(IF(P36&lt;Q36*(1-$C$7),Q36*(1-$C$5-IF(O36&lt;3,$C$8,0)),MIN(Q36*(1-$C$5-IF(O36&lt;3,$C$8,0)),P36*(1-$C$6-IF(O36&lt;3,$C$8,0))))&lt;10,$C$9,IF(IF(P36&lt;Q36*(1-$C$7),Q36*(1-$C$5-IF(O36&lt;3,$C$8,0)),MIN(Q36*(1-$C$5-IF(O36&lt;3,$C$8,0)),P36*(1-$C$6-IF(O36&lt;3,$C$8,0))))&lt;100,$D$9,$E$9)))))</f>
        <v>1.6</v>
      </c>
      <c r="U36" s="68" t="n">
        <f aca="false">IF(ISNUMBER($D36),$D36,"n/a")</f>
        <v>0.88</v>
      </c>
      <c r="V36" s="71" t="n">
        <f aca="false">IF(OR(O36=0,NOT(ISNUMBER($D36))),"—",T36/$D36-1)</f>
        <v>0.818181818181818</v>
      </c>
      <c r="W36" s="72" t="n">
        <f aca="false">IF(O36=0,"—",T36/P36-1)</f>
        <v>-0.23444976076555</v>
      </c>
      <c r="X36" s="72" t="n">
        <f aca="false">IF(O36=0,"—",T36/Q36-1)</f>
        <v>-0.308855291576674</v>
      </c>
      <c r="Y36" s="67" t="n">
        <f aca="false">COUNTIFS(Offers!$B$7:$B$3000,$B36,Offers!$C$7:$C$3000,"Czech",Offers!$AI$7:$AI$3000,"yes")</f>
        <v>8</v>
      </c>
      <c r="Z36" s="68" t="n">
        <f aca="false">IF(Y36=0,"—",SUMIFS(Review!$I$7:$I$600,Review!$B$7:$B$600,$B36,Review!$C$7:$C$600,"Czech"))</f>
        <v>1.801535</v>
      </c>
      <c r="AA36" s="68" t="n">
        <f aca="false">IF(Y36=0,"—",SUMIFS(Review!$J$7:$J$600,Review!$B$7:$B$600,$B36,Review!$C$7:$C$600,"Czech"))</f>
        <v>3.125868</v>
      </c>
      <c r="AB36" s="68" t="n">
        <f aca="false">IF(Y36=0,"—",SUMIFS(Review!$K$7:$K$600,Review!$B$7:$B$600,$B36,Review!$C$7:$C$600,"Czech"))</f>
        <v>4.399021</v>
      </c>
      <c r="AC36" s="69" t="str">
        <f aca="false">IF(Y36=0,"—",IF(Z36&lt;AA36*(1-$C$7),"median (cheapest is an outlier)",IF(Z36*(1-$C$6)&lt;AA36*(1-$C$5),"undercut cheapest","median")))</f>
        <v>median (cheapest is an outlier)</v>
      </c>
      <c r="AD36" s="70" t="n">
        <f aca="false">IF(Y36=0,"—",IF(AND(ISNUMBER($D36),$D36*(1+$C$10)&gt;FLOOR(IF(Z36&lt;AA36*(1-$C$7),AA36*(1-$C$5-IF(Y36&lt;3,$C$8,0)),MIN(AA36*(1-$C$5-IF(Y36&lt;3,$C$8,0)),Z36*(1-$C$6-IF(Y36&lt;3,$C$8,0)))),IF(IF(Z36&lt;AA36*(1-$C$7),AA36*(1-$C$5-IF(Y36&lt;3,$C$8,0)),MIN(AA36*(1-$C$5-IF(Y36&lt;3,$C$8,0)),Z36*(1-$C$6-IF(Y36&lt;3,$C$8,0))))&lt;10,$C$9,IF(IF(Z36&lt;AA36*(1-$C$7),AA36*(1-$C$5-IF(Y36&lt;3,$C$8,0)),MIN(AA36*(1-$C$5-IF(Y36&lt;3,$C$8,0)),Z36*(1-$C$6-IF(Y36&lt;3,$C$8,0))))&lt;100,$D$9,$E$9)))),ROUND($D36*(1+$C$10),2),FLOOR(IF(Z36&lt;AA36*(1-$C$7),AA36*(1-$C$5-IF(Y36&lt;3,$C$8,0)),MIN(AA36*(1-$C$5-IF(Y36&lt;3,$C$8,0)),Z36*(1-$C$6-IF(Y36&lt;3,$C$8,0)))),IF(IF(Z36&lt;AA36*(1-$C$7),AA36*(1-$C$5-IF(Y36&lt;3,$C$8,0)),MIN(AA36*(1-$C$5-IF(Y36&lt;3,$C$8,0)),Z36*(1-$C$6-IF(Y36&lt;3,$C$8,0))))&lt;10,$C$9,IF(IF(Z36&lt;AA36*(1-$C$7),AA36*(1-$C$5-IF(Y36&lt;3,$C$8,0)),MIN(AA36*(1-$C$5-IF(Y36&lt;3,$C$8,0)),Z36*(1-$C$6-IF(Y36&lt;3,$C$8,0))))&lt;100,$D$9,$E$9)))))</f>
        <v>2.3</v>
      </c>
      <c r="AE36" s="73" t="n">
        <f aca="false">IF(Y36=0,"—",FLOOR(AD36*Sources!$G$10,1))</f>
        <v>56</v>
      </c>
      <c r="AF36" s="68" t="n">
        <f aca="false">IF(ISNUMBER($D36),$D36,"n/a")</f>
        <v>0.88</v>
      </c>
      <c r="AG36" s="71" t="n">
        <f aca="false">IF(OR(Y36=0,NOT(ISNUMBER($D36))),"—",AD36/$D36-1)</f>
        <v>1.61363636363636</v>
      </c>
      <c r="AH36" s="72" t="n">
        <f aca="false">IF(Y36=0,"—",AD36/Z36-1)</f>
        <v>0.276689045730447</v>
      </c>
      <c r="AI36" s="72" t="n">
        <f aca="false">IF(Y36=0,"—",AD36/AA36-1)</f>
        <v>-0.264204374592913</v>
      </c>
      <c r="AJ36" s="67" t="n">
        <f aca="false">COUNTIFS(Offers!$B$7:$B$3000,$B36,Offers!$C$7:$C$3000,"Slovakia",Offers!$AI$7:$AI$3000,"yes")</f>
        <v>0</v>
      </c>
      <c r="AK36" s="68" t="str">
        <f aca="false">IF(AJ36=0,"—",SUMIFS(Review!$I$7:$I$600,Review!$B$7:$B$600,$B36,Review!$C$7:$C$600,"Slovakia"))</f>
        <v>—</v>
      </c>
      <c r="AL36" s="68" t="str">
        <f aca="false">IF(AJ36=0,"—",SUMIFS(Review!$J$7:$J$600,Review!$B$7:$B$600,$B36,Review!$C$7:$C$600,"Slovakia"))</f>
        <v>—</v>
      </c>
      <c r="AM36" s="68" t="str">
        <f aca="false">IF(AJ36=0,"—",SUMIFS(Review!$K$7:$K$600,Review!$B$7:$B$600,$B36,Review!$C$7:$C$600,"Slovakia"))</f>
        <v>—</v>
      </c>
      <c r="AN36" s="69" t="str">
        <f aca="false">IF(AJ36=0,"—",IF(AK36&lt;AL36*(1-$C$7),"median (cheapest is an outlier)",IF(AK36*(1-$C$6)&lt;AL36*(1-$C$5),"undercut cheapest","median")))</f>
        <v>—</v>
      </c>
      <c r="AO36" s="70" t="str">
        <f aca="false">IF(AJ36=0,"—",IF(AND(ISNUMBER($D36),$D36*(1+$C$10)&gt;FLOOR(IF(AK36&lt;AL36*(1-$C$7),AL36*(1-$C$5-IF(AJ36&lt;3,$C$8,0)),MIN(AL36*(1-$C$5-IF(AJ36&lt;3,$C$8,0)),AK36*(1-$C$6-IF(AJ36&lt;3,$C$8,0)))),IF(IF(AK36&lt;AL36*(1-$C$7),AL36*(1-$C$5-IF(AJ36&lt;3,$C$8,0)),MIN(AL36*(1-$C$5-IF(AJ36&lt;3,$C$8,0)),AK36*(1-$C$6-IF(AJ36&lt;3,$C$8,0))))&lt;10,$C$9,IF(IF(AK36&lt;AL36*(1-$C$7),AL36*(1-$C$5-IF(AJ36&lt;3,$C$8,0)),MIN(AL36*(1-$C$5-IF(AJ36&lt;3,$C$8,0)),AK36*(1-$C$6-IF(AJ36&lt;3,$C$8,0))))&lt;100,$D$9,$E$9)))),ROUND($D36*(1+$C$10),2),FLOOR(IF(AK36&lt;AL36*(1-$C$7),AL36*(1-$C$5-IF(AJ36&lt;3,$C$8,0)),MIN(AL36*(1-$C$5-IF(AJ36&lt;3,$C$8,0)),AK36*(1-$C$6-IF(AJ36&lt;3,$C$8,0)))),IF(IF(AK36&lt;AL36*(1-$C$7),AL36*(1-$C$5-IF(AJ36&lt;3,$C$8,0)),MIN(AL36*(1-$C$5-IF(AJ36&lt;3,$C$8,0)),AK36*(1-$C$6-IF(AJ36&lt;3,$C$8,0))))&lt;10,$C$9,IF(IF(AK36&lt;AL36*(1-$C$7),AL36*(1-$C$5-IF(AJ36&lt;3,$C$8,0)),MIN(AL36*(1-$C$5-IF(AJ36&lt;3,$C$8,0)),AK36*(1-$C$6-IF(AJ36&lt;3,$C$8,0))))&lt;100,$D$9,$E$9)))))</f>
        <v>—</v>
      </c>
      <c r="AP36" s="68" t="n">
        <f aca="false">IF(ISNUMBER($D36),$D36,"n/a")</f>
        <v>0.88</v>
      </c>
      <c r="AQ36" s="71" t="str">
        <f aca="false">IF(OR(AJ36=0,NOT(ISNUMBER($D36))),"—",AO36/$D36-1)</f>
        <v>—</v>
      </c>
      <c r="AR36" s="72" t="str">
        <f aca="false">IF(AJ36=0,"—",AO36/AK36-1)</f>
        <v>—</v>
      </c>
      <c r="AS36" s="72" t="str">
        <f aca="false">IF(AJ36=0,"—",AO36/AL36-1)</f>
        <v>—</v>
      </c>
      <c r="AT36" s="67" t="n">
        <f aca="false">COUNTIFS(Offers!$B$7:$B$3000,$B36,Offers!$C$7:$C$3000,"Romania",Offers!$AI$7:$AI$3000,"yes")</f>
        <v>0</v>
      </c>
      <c r="AU36" s="68" t="str">
        <f aca="false">IF(AT36=0,"—",SUMIFS(Review!$I$7:$I$600,Review!$B$7:$B$600,$B36,Review!$C$7:$C$600,"Romania"))</f>
        <v>—</v>
      </c>
      <c r="AV36" s="68" t="str">
        <f aca="false">IF(AT36=0,"—",SUMIFS(Review!$J$7:$J$600,Review!$B$7:$B$600,$B36,Review!$C$7:$C$600,"Romania"))</f>
        <v>—</v>
      </c>
      <c r="AW36" s="68" t="str">
        <f aca="false">IF(AT36=0,"—",SUMIFS(Review!$K$7:$K$600,Review!$B$7:$B$600,$B36,Review!$C$7:$C$600,"Romania"))</f>
        <v>—</v>
      </c>
      <c r="AX36" s="69" t="str">
        <f aca="false">IF(AT36=0,"—",IF(AU36&lt;AV36*(1-$C$7),"median (cheapest is an outlier)",IF(AU36*(1-$C$6)&lt;AV36*(1-$C$5),"undercut cheapest","median")))</f>
        <v>—</v>
      </c>
      <c r="AY36" s="70" t="str">
        <f aca="false">IF(AT36=0,"—",IF(AND(ISNUMBER($D36),$D36*(1+$C$10)&gt;FLOOR(IF(AU36&lt;AV36*(1-$C$7),AV36*(1-$C$5-IF(AT36&lt;3,$C$8,0)),MIN(AV36*(1-$C$5-IF(AT36&lt;3,$C$8,0)),AU36*(1-$C$6-IF(AT36&lt;3,$C$8,0)))),IF(IF(AU36&lt;AV36*(1-$C$7),AV36*(1-$C$5-IF(AT36&lt;3,$C$8,0)),MIN(AV36*(1-$C$5-IF(AT36&lt;3,$C$8,0)),AU36*(1-$C$6-IF(AT36&lt;3,$C$8,0))))&lt;10,$C$9,IF(IF(AU36&lt;AV36*(1-$C$7),AV36*(1-$C$5-IF(AT36&lt;3,$C$8,0)),MIN(AV36*(1-$C$5-IF(AT36&lt;3,$C$8,0)),AU36*(1-$C$6-IF(AT36&lt;3,$C$8,0))))&lt;100,$D$9,$E$9)))),ROUND($D36*(1+$C$10),2),FLOOR(IF(AU36&lt;AV36*(1-$C$7),AV36*(1-$C$5-IF(AT36&lt;3,$C$8,0)),MIN(AV36*(1-$C$5-IF(AT36&lt;3,$C$8,0)),AU36*(1-$C$6-IF(AT36&lt;3,$C$8,0)))),IF(IF(AU36&lt;AV36*(1-$C$7),AV36*(1-$C$5-IF(AT36&lt;3,$C$8,0)),MIN(AV36*(1-$C$5-IF(AT36&lt;3,$C$8,0)),AU36*(1-$C$6-IF(AT36&lt;3,$C$8,0))))&lt;10,$C$9,IF(IF(AU36&lt;AV36*(1-$C$7),AV36*(1-$C$5-IF(AT36&lt;3,$C$8,0)),MIN(AV36*(1-$C$5-IF(AT36&lt;3,$C$8,0)),AU36*(1-$C$6-IF(AT36&lt;3,$C$8,0))))&lt;100,$D$9,$E$9)))))</f>
        <v>—</v>
      </c>
      <c r="AZ36" s="70" t="str">
        <f aca="false">IF(AT36=0,"—",FLOOR(AY36*Sources!$G$9,0.1))</f>
        <v>—</v>
      </c>
      <c r="BA36" s="68" t="n">
        <f aca="false">IF(ISNUMBER($D36),$D36,"n/a")</f>
        <v>0.88</v>
      </c>
      <c r="BB36" s="71" t="str">
        <f aca="false">IF(OR(AT36=0,NOT(ISNUMBER($D36))),"—",AY36/$D36-1)</f>
        <v>—</v>
      </c>
      <c r="BC36" s="72" t="str">
        <f aca="false">IF(AT36=0,"—",AY36/AU36-1)</f>
        <v>—</v>
      </c>
      <c r="BD36" s="72" t="str">
        <f aca="false">IF(AT36=0,"—",AY36/AV36-1)</f>
        <v>—</v>
      </c>
      <c r="BE36" s="67" t="n">
        <f aca="false">COUNTIFS(Offers!$B$7:$B$3000,$B36,Offers!$C$7:$C$3000,"Hungary",Offers!$AI$7:$AI$3000,"yes")</f>
        <v>0</v>
      </c>
      <c r="BF36" s="68" t="str">
        <f aca="false">IF(BE36=0,"—",SUMIFS(Review!$I$7:$I$600,Review!$B$7:$B$600,$B36,Review!$C$7:$C$600,"Hungary"))</f>
        <v>—</v>
      </c>
      <c r="BG36" s="68" t="str">
        <f aca="false">IF(BE36=0,"—",SUMIFS(Review!$J$7:$J$600,Review!$B$7:$B$600,$B36,Review!$C$7:$C$600,"Hungary"))</f>
        <v>—</v>
      </c>
      <c r="BH36" s="68" t="str">
        <f aca="false">IF(BE36=0,"—",SUMIFS(Review!$K$7:$K$600,Review!$B$7:$B$600,$B36,Review!$C$7:$C$600,"Hungary"))</f>
        <v>—</v>
      </c>
      <c r="BI36" s="69" t="str">
        <f aca="false">IF(BE36=0,"—",IF(BF36&lt;BG36*(1-$C$7),"median (cheapest is an outlier)",IF(BF36*(1-$C$6)&lt;BG36*(1-$C$5),"undercut cheapest","median")))</f>
        <v>—</v>
      </c>
      <c r="BJ36" s="70" t="str">
        <f aca="false">IF(BE36=0,"—",IF(AND(ISNUMBER($D36),$D36*(1+$C$10)&gt;FLOOR(IF(BF36&lt;BG36*(1-$C$7),BG36*(1-$C$5-IF(BE36&lt;3,$C$8,0)),MIN(BG36*(1-$C$5-IF(BE36&lt;3,$C$8,0)),BF36*(1-$C$6-IF(BE36&lt;3,$C$8,0)))),IF(IF(BF36&lt;BG36*(1-$C$7),BG36*(1-$C$5-IF(BE36&lt;3,$C$8,0)),MIN(BG36*(1-$C$5-IF(BE36&lt;3,$C$8,0)),BF36*(1-$C$6-IF(BE36&lt;3,$C$8,0))))&lt;10,$C$9,IF(IF(BF36&lt;BG36*(1-$C$7),BG36*(1-$C$5-IF(BE36&lt;3,$C$8,0)),MIN(BG36*(1-$C$5-IF(BE36&lt;3,$C$8,0)),BF36*(1-$C$6-IF(BE36&lt;3,$C$8,0))))&lt;100,$D$9,$E$9)))),ROUND($D36*(1+$C$10),2),FLOOR(IF(BF36&lt;BG36*(1-$C$7),BG36*(1-$C$5-IF(BE36&lt;3,$C$8,0)),MIN(BG36*(1-$C$5-IF(BE36&lt;3,$C$8,0)),BF36*(1-$C$6-IF(BE36&lt;3,$C$8,0)))),IF(IF(BF36&lt;BG36*(1-$C$7),BG36*(1-$C$5-IF(BE36&lt;3,$C$8,0)),MIN(BG36*(1-$C$5-IF(BE36&lt;3,$C$8,0)),BF36*(1-$C$6-IF(BE36&lt;3,$C$8,0))))&lt;10,$C$9,IF(IF(BF36&lt;BG36*(1-$C$7),BG36*(1-$C$5-IF(BE36&lt;3,$C$8,0)),MIN(BG36*(1-$C$5-IF(BE36&lt;3,$C$8,0)),BF36*(1-$C$6-IF(BE36&lt;3,$C$8,0))))&lt;100,$D$9,$E$9)))))</f>
        <v>—</v>
      </c>
      <c r="BK36" s="73" t="str">
        <f aca="false">IF(BE36=0,"—",FLOOR(BJ36*Sources!$G$8,10))</f>
        <v>—</v>
      </c>
      <c r="BL36" s="68" t="n">
        <f aca="false">IF(ISNUMBER($D36),$D36,"n/a")</f>
        <v>0.88</v>
      </c>
      <c r="BM36" s="71" t="str">
        <f aca="false">IF(OR(BE36=0,NOT(ISNUMBER($D36))),"—",BJ36/$D36-1)</f>
        <v>—</v>
      </c>
      <c r="BN36" s="72" t="str">
        <f aca="false">IF(BE36=0,"—",BJ36/BF36-1)</f>
        <v>—</v>
      </c>
      <c r="BO36" s="72" t="str">
        <f aca="false">IF(BE36=0,"—",BJ36/BG36-1)</f>
        <v>—</v>
      </c>
    </row>
    <row r="37" customFormat="false" ht="15" hidden="false" customHeight="true" outlineLevel="0" collapsed="false">
      <c r="B37" s="1" t="s">
        <v>51</v>
      </c>
      <c r="C37" s="1" t="s">
        <v>162</v>
      </c>
      <c r="D37" s="58" t="n">
        <v>0.66</v>
      </c>
      <c r="E37" s="59" t="n">
        <f aca="false">COUNTIFS(Offers!$B$7:$B$3000,$B37,Offers!$C$7:$C$3000,"Austria",Offers!$AI$7:$AI$3000,"yes")</f>
        <v>9</v>
      </c>
      <c r="F37" s="60" t="n">
        <f aca="false">IF(E37=0,"—",SUMIFS(Review!$I$7:$I$600,Review!$B$7:$B$600,$B37,Review!$C$7:$C$600,"Austria"))</f>
        <v>2.1</v>
      </c>
      <c r="G37" s="60" t="n">
        <f aca="false">IF(E37=0,"—",SUMIFS(Review!$J$7:$J$600,Review!$B$7:$B$600,$B37,Review!$C$7:$C$600,"Austria"))</f>
        <v>3.5</v>
      </c>
      <c r="H37" s="60" t="n">
        <f aca="false">IF(E37=0,"—",SUMIFS(Review!$K$7:$K$600,Review!$B$7:$B$600,$B37,Review!$C$7:$C$600,"Austria"))</f>
        <v>17.5</v>
      </c>
      <c r="I37" s="61" t="str">
        <f aca="false">IF(E37=0,"—",IF(F37&lt;G37*(1-$C$7),"median (cheapest is an outlier)",IF(F37*(1-$C$6)&lt;G37*(1-$C$5),"undercut cheapest","median")))</f>
        <v>median (cheapest is an outlier)</v>
      </c>
      <c r="J37" s="62" t="n">
        <f aca="false">IF(E37=0,"—",IF(AND(ISNUMBER($D37),$D37*(1+$C$10)&gt;FLOOR(IF(F37&lt;G37*(1-$C$7),G37*(1-$C$5-IF(E37&lt;3,$C$8,0)),MIN(G37*(1-$C$5-IF(E37&lt;3,$C$8,0)),F37*(1-$C$6-IF(E37&lt;3,$C$8,0)))),IF(IF(F37&lt;G37*(1-$C$7),G37*(1-$C$5-IF(E37&lt;3,$C$8,0)),MIN(G37*(1-$C$5-IF(E37&lt;3,$C$8,0)),F37*(1-$C$6-IF(E37&lt;3,$C$8,0))))&lt;10,$C$9,IF(IF(F37&lt;G37*(1-$C$7),G37*(1-$C$5-IF(E37&lt;3,$C$8,0)),MIN(G37*(1-$C$5-IF(E37&lt;3,$C$8,0)),F37*(1-$C$6-IF(E37&lt;3,$C$8,0))))&lt;100,$D$9,$E$9)))),ROUND($D37*(1+$C$10),2),FLOOR(IF(F37&lt;G37*(1-$C$7),G37*(1-$C$5-IF(E37&lt;3,$C$8,0)),MIN(G37*(1-$C$5-IF(E37&lt;3,$C$8,0)),F37*(1-$C$6-IF(E37&lt;3,$C$8,0)))),IF(IF(F37&lt;G37*(1-$C$7),G37*(1-$C$5-IF(E37&lt;3,$C$8,0)),MIN(G37*(1-$C$5-IF(E37&lt;3,$C$8,0)),F37*(1-$C$6-IF(E37&lt;3,$C$8,0))))&lt;10,$C$9,IF(IF(F37&lt;G37*(1-$C$7),G37*(1-$C$5-IF(E37&lt;3,$C$8,0)),MIN(G37*(1-$C$5-IF(E37&lt;3,$C$8,0)),F37*(1-$C$6-IF(E37&lt;3,$C$8,0))))&lt;100,$D$9,$E$9)))))</f>
        <v>2.6</v>
      </c>
      <c r="K37" s="60" t="n">
        <f aca="false">IF(ISNUMBER($D37),$D37,"n/a")</f>
        <v>0.66</v>
      </c>
      <c r="L37" s="63" t="n">
        <f aca="false">IF(OR(E37=0,NOT(ISNUMBER($D37))),"—",J37/$D37-1)</f>
        <v>2.93939393939394</v>
      </c>
      <c r="M37" s="64" t="n">
        <f aca="false">IF(E37=0,"—",J37/F37-1)</f>
        <v>0.238095238095238</v>
      </c>
      <c r="N37" s="64" t="n">
        <f aca="false">IF(E37=0,"—",J37/G37-1)</f>
        <v>-0.257142857142857</v>
      </c>
      <c r="O37" s="59" t="n">
        <f aca="false">COUNTIFS(Offers!$B$7:$B$3000,$B37,Offers!$C$7:$C$3000,"Germany",Offers!$AI$7:$AI$3000,"yes")</f>
        <v>3</v>
      </c>
      <c r="P37" s="60" t="n">
        <f aca="false">IF(O37=0,"—",SUMIFS(Review!$I$7:$I$600,Review!$B$7:$B$600,$B37,Review!$C$7:$C$600,"Germany"))</f>
        <v>1.79</v>
      </c>
      <c r="Q37" s="60" t="n">
        <f aca="false">IF(O37=0,"—",SUMIFS(Review!$J$7:$J$600,Review!$B$7:$B$600,$B37,Review!$C$7:$C$600,"Germany"))</f>
        <v>2.79</v>
      </c>
      <c r="R37" s="60" t="n">
        <f aca="false">IF(O37=0,"—",SUMIFS(Review!$K$7:$K$600,Review!$B$7:$B$600,$B37,Review!$C$7:$C$600,"Germany"))</f>
        <v>4.13</v>
      </c>
      <c r="S37" s="61" t="str">
        <f aca="false">IF(O37=0,"—",IF(P37&lt;Q37*(1-$C$7),"median (cheapest is an outlier)",IF(P37*(1-$C$6)&lt;Q37*(1-$C$5),"undercut cheapest","median")))</f>
        <v>median (cheapest is an outlier)</v>
      </c>
      <c r="T37" s="62" t="n">
        <f aca="false">IF(O37=0,"—",IF(AND(ISNUMBER($D37),$D37*(1+$C$10)&gt;FLOOR(IF(P37&lt;Q37*(1-$C$7),Q37*(1-$C$5-IF(O37&lt;3,$C$8,0)),MIN(Q37*(1-$C$5-IF(O37&lt;3,$C$8,0)),P37*(1-$C$6-IF(O37&lt;3,$C$8,0)))),IF(IF(P37&lt;Q37*(1-$C$7),Q37*(1-$C$5-IF(O37&lt;3,$C$8,0)),MIN(Q37*(1-$C$5-IF(O37&lt;3,$C$8,0)),P37*(1-$C$6-IF(O37&lt;3,$C$8,0))))&lt;10,$C$9,IF(IF(P37&lt;Q37*(1-$C$7),Q37*(1-$C$5-IF(O37&lt;3,$C$8,0)),MIN(Q37*(1-$C$5-IF(O37&lt;3,$C$8,0)),P37*(1-$C$6-IF(O37&lt;3,$C$8,0))))&lt;100,$D$9,$E$9)))),ROUND($D37*(1+$C$10),2),FLOOR(IF(P37&lt;Q37*(1-$C$7),Q37*(1-$C$5-IF(O37&lt;3,$C$8,0)),MIN(Q37*(1-$C$5-IF(O37&lt;3,$C$8,0)),P37*(1-$C$6-IF(O37&lt;3,$C$8,0)))),IF(IF(P37&lt;Q37*(1-$C$7),Q37*(1-$C$5-IF(O37&lt;3,$C$8,0)),MIN(Q37*(1-$C$5-IF(O37&lt;3,$C$8,0)),P37*(1-$C$6-IF(O37&lt;3,$C$8,0))))&lt;10,$C$9,IF(IF(P37&lt;Q37*(1-$C$7),Q37*(1-$C$5-IF(O37&lt;3,$C$8,0)),MIN(Q37*(1-$C$5-IF(O37&lt;3,$C$8,0)),P37*(1-$C$6-IF(O37&lt;3,$C$8,0))))&lt;100,$D$9,$E$9)))))</f>
        <v>2.05</v>
      </c>
      <c r="U37" s="60" t="n">
        <f aca="false">IF(ISNUMBER($D37),$D37,"n/a")</f>
        <v>0.66</v>
      </c>
      <c r="V37" s="63" t="n">
        <f aca="false">IF(OR(O37=0,NOT(ISNUMBER($D37))),"—",T37/$D37-1)</f>
        <v>2.10606060606061</v>
      </c>
      <c r="W37" s="64" t="n">
        <f aca="false">IF(O37=0,"—",T37/P37-1)</f>
        <v>0.145251396648045</v>
      </c>
      <c r="X37" s="64" t="n">
        <f aca="false">IF(O37=0,"—",T37/Q37-1)</f>
        <v>-0.265232974910394</v>
      </c>
      <c r="Y37" s="59" t="n">
        <f aca="false">COUNTIFS(Offers!$B$7:$B$3000,$B37,Offers!$C$7:$C$3000,"Czech",Offers!$AI$7:$AI$3000,"yes")</f>
        <v>7</v>
      </c>
      <c r="Z37" s="60" t="n">
        <f aca="false">IF(Y37=0,"—",SUMIFS(Review!$I$7:$I$600,Review!$B$7:$B$600,$B37,Review!$C$7:$C$600,"Czech"))</f>
        <v>1.760591</v>
      </c>
      <c r="AA37" s="60" t="n">
        <f aca="false">IF(Y37=0,"—",SUMIFS(Review!$J$7:$J$600,Review!$B$7:$B$600,$B37,Review!$C$7:$C$600,"Czech"))</f>
        <v>2.825135</v>
      </c>
      <c r="AB37" s="60" t="n">
        <f aca="false">IF(Y37=0,"—",SUMIFS(Review!$K$7:$K$600,Review!$B$7:$B$600,$B37,Review!$C$7:$C$600,"Czech"))</f>
        <v>4.195939</v>
      </c>
      <c r="AC37" s="61" t="str">
        <f aca="false">IF(Y37=0,"—",IF(Z37&lt;AA37*(1-$C$7),"median (cheapest is an outlier)",IF(Z37*(1-$C$6)&lt;AA37*(1-$C$5),"undercut cheapest","median")))</f>
        <v>median (cheapest is an outlier)</v>
      </c>
      <c r="AD37" s="62" t="n">
        <f aca="false">IF(Y37=0,"—",IF(AND(ISNUMBER($D37),$D37*(1+$C$10)&gt;FLOOR(IF(Z37&lt;AA37*(1-$C$7),AA37*(1-$C$5-IF(Y37&lt;3,$C$8,0)),MIN(AA37*(1-$C$5-IF(Y37&lt;3,$C$8,0)),Z37*(1-$C$6-IF(Y37&lt;3,$C$8,0)))),IF(IF(Z37&lt;AA37*(1-$C$7),AA37*(1-$C$5-IF(Y37&lt;3,$C$8,0)),MIN(AA37*(1-$C$5-IF(Y37&lt;3,$C$8,0)),Z37*(1-$C$6-IF(Y37&lt;3,$C$8,0))))&lt;10,$C$9,IF(IF(Z37&lt;AA37*(1-$C$7),AA37*(1-$C$5-IF(Y37&lt;3,$C$8,0)),MIN(AA37*(1-$C$5-IF(Y37&lt;3,$C$8,0)),Z37*(1-$C$6-IF(Y37&lt;3,$C$8,0))))&lt;100,$D$9,$E$9)))),ROUND($D37*(1+$C$10),2),FLOOR(IF(Z37&lt;AA37*(1-$C$7),AA37*(1-$C$5-IF(Y37&lt;3,$C$8,0)),MIN(AA37*(1-$C$5-IF(Y37&lt;3,$C$8,0)),Z37*(1-$C$6-IF(Y37&lt;3,$C$8,0)))),IF(IF(Z37&lt;AA37*(1-$C$7),AA37*(1-$C$5-IF(Y37&lt;3,$C$8,0)),MIN(AA37*(1-$C$5-IF(Y37&lt;3,$C$8,0)),Z37*(1-$C$6-IF(Y37&lt;3,$C$8,0))))&lt;10,$C$9,IF(IF(Z37&lt;AA37*(1-$C$7),AA37*(1-$C$5-IF(Y37&lt;3,$C$8,0)),MIN(AA37*(1-$C$5-IF(Y37&lt;3,$C$8,0)),Z37*(1-$C$6-IF(Y37&lt;3,$C$8,0))))&lt;100,$D$9,$E$9)))))</f>
        <v>2.1</v>
      </c>
      <c r="AE37" s="65" t="n">
        <f aca="false">IF(Y37=0,"—",FLOOR(AD37*Sources!$G$10,1))</f>
        <v>51</v>
      </c>
      <c r="AF37" s="60" t="n">
        <f aca="false">IF(ISNUMBER($D37),$D37,"n/a")</f>
        <v>0.66</v>
      </c>
      <c r="AG37" s="63" t="n">
        <f aca="false">IF(OR(Y37=0,NOT(ISNUMBER($D37))),"—",AD37/$D37-1)</f>
        <v>2.18181818181818</v>
      </c>
      <c r="AH37" s="64" t="n">
        <f aca="false">IF(Y37=0,"—",AD37/Z37-1)</f>
        <v>0.19278128764716</v>
      </c>
      <c r="AI37" s="64" t="n">
        <f aca="false">IF(Y37=0,"—",AD37/AA37-1)</f>
        <v>-0.256672689977647</v>
      </c>
      <c r="AJ37" s="59" t="n">
        <f aca="false">COUNTIFS(Offers!$B$7:$B$3000,$B37,Offers!$C$7:$C$3000,"Slovakia",Offers!$AI$7:$AI$3000,"yes")</f>
        <v>0</v>
      </c>
      <c r="AK37" s="60" t="str">
        <f aca="false">IF(AJ37=0,"—",SUMIFS(Review!$I$7:$I$600,Review!$B$7:$B$600,$B37,Review!$C$7:$C$600,"Slovakia"))</f>
        <v>—</v>
      </c>
      <c r="AL37" s="60" t="str">
        <f aca="false">IF(AJ37=0,"—",SUMIFS(Review!$J$7:$J$600,Review!$B$7:$B$600,$B37,Review!$C$7:$C$600,"Slovakia"))</f>
        <v>—</v>
      </c>
      <c r="AM37" s="60" t="str">
        <f aca="false">IF(AJ37=0,"—",SUMIFS(Review!$K$7:$K$600,Review!$B$7:$B$600,$B37,Review!$C$7:$C$600,"Slovakia"))</f>
        <v>—</v>
      </c>
      <c r="AN37" s="61" t="str">
        <f aca="false">IF(AJ37=0,"—",IF(AK37&lt;AL37*(1-$C$7),"median (cheapest is an outlier)",IF(AK37*(1-$C$6)&lt;AL37*(1-$C$5),"undercut cheapest","median")))</f>
        <v>—</v>
      </c>
      <c r="AO37" s="62" t="str">
        <f aca="false">IF(AJ37=0,"—",IF(AND(ISNUMBER($D37),$D37*(1+$C$10)&gt;FLOOR(IF(AK37&lt;AL37*(1-$C$7),AL37*(1-$C$5-IF(AJ37&lt;3,$C$8,0)),MIN(AL37*(1-$C$5-IF(AJ37&lt;3,$C$8,0)),AK37*(1-$C$6-IF(AJ37&lt;3,$C$8,0)))),IF(IF(AK37&lt;AL37*(1-$C$7),AL37*(1-$C$5-IF(AJ37&lt;3,$C$8,0)),MIN(AL37*(1-$C$5-IF(AJ37&lt;3,$C$8,0)),AK37*(1-$C$6-IF(AJ37&lt;3,$C$8,0))))&lt;10,$C$9,IF(IF(AK37&lt;AL37*(1-$C$7),AL37*(1-$C$5-IF(AJ37&lt;3,$C$8,0)),MIN(AL37*(1-$C$5-IF(AJ37&lt;3,$C$8,0)),AK37*(1-$C$6-IF(AJ37&lt;3,$C$8,0))))&lt;100,$D$9,$E$9)))),ROUND($D37*(1+$C$10),2),FLOOR(IF(AK37&lt;AL37*(1-$C$7),AL37*(1-$C$5-IF(AJ37&lt;3,$C$8,0)),MIN(AL37*(1-$C$5-IF(AJ37&lt;3,$C$8,0)),AK37*(1-$C$6-IF(AJ37&lt;3,$C$8,0)))),IF(IF(AK37&lt;AL37*(1-$C$7),AL37*(1-$C$5-IF(AJ37&lt;3,$C$8,0)),MIN(AL37*(1-$C$5-IF(AJ37&lt;3,$C$8,0)),AK37*(1-$C$6-IF(AJ37&lt;3,$C$8,0))))&lt;10,$C$9,IF(IF(AK37&lt;AL37*(1-$C$7),AL37*(1-$C$5-IF(AJ37&lt;3,$C$8,0)),MIN(AL37*(1-$C$5-IF(AJ37&lt;3,$C$8,0)),AK37*(1-$C$6-IF(AJ37&lt;3,$C$8,0))))&lt;100,$D$9,$E$9)))))</f>
        <v>—</v>
      </c>
      <c r="AP37" s="60" t="n">
        <f aca="false">IF(ISNUMBER($D37),$D37,"n/a")</f>
        <v>0.66</v>
      </c>
      <c r="AQ37" s="63" t="str">
        <f aca="false">IF(OR(AJ37=0,NOT(ISNUMBER($D37))),"—",AO37/$D37-1)</f>
        <v>—</v>
      </c>
      <c r="AR37" s="64" t="str">
        <f aca="false">IF(AJ37=0,"—",AO37/AK37-1)</f>
        <v>—</v>
      </c>
      <c r="AS37" s="64" t="str">
        <f aca="false">IF(AJ37=0,"—",AO37/AL37-1)</f>
        <v>—</v>
      </c>
      <c r="AT37" s="59" t="n">
        <f aca="false">COUNTIFS(Offers!$B$7:$B$3000,$B37,Offers!$C$7:$C$3000,"Romania",Offers!$AI$7:$AI$3000,"yes")</f>
        <v>0</v>
      </c>
      <c r="AU37" s="60" t="str">
        <f aca="false">IF(AT37=0,"—",SUMIFS(Review!$I$7:$I$600,Review!$B$7:$B$600,$B37,Review!$C$7:$C$600,"Romania"))</f>
        <v>—</v>
      </c>
      <c r="AV37" s="60" t="str">
        <f aca="false">IF(AT37=0,"—",SUMIFS(Review!$J$7:$J$600,Review!$B$7:$B$600,$B37,Review!$C$7:$C$600,"Romania"))</f>
        <v>—</v>
      </c>
      <c r="AW37" s="60" t="str">
        <f aca="false">IF(AT37=0,"—",SUMIFS(Review!$K$7:$K$600,Review!$B$7:$B$600,$B37,Review!$C$7:$C$600,"Romania"))</f>
        <v>—</v>
      </c>
      <c r="AX37" s="61" t="str">
        <f aca="false">IF(AT37=0,"—",IF(AU37&lt;AV37*(1-$C$7),"median (cheapest is an outlier)",IF(AU37*(1-$C$6)&lt;AV37*(1-$C$5),"undercut cheapest","median")))</f>
        <v>—</v>
      </c>
      <c r="AY37" s="62" t="str">
        <f aca="false">IF(AT37=0,"—",IF(AND(ISNUMBER($D37),$D37*(1+$C$10)&gt;FLOOR(IF(AU37&lt;AV37*(1-$C$7),AV37*(1-$C$5-IF(AT37&lt;3,$C$8,0)),MIN(AV37*(1-$C$5-IF(AT37&lt;3,$C$8,0)),AU37*(1-$C$6-IF(AT37&lt;3,$C$8,0)))),IF(IF(AU37&lt;AV37*(1-$C$7),AV37*(1-$C$5-IF(AT37&lt;3,$C$8,0)),MIN(AV37*(1-$C$5-IF(AT37&lt;3,$C$8,0)),AU37*(1-$C$6-IF(AT37&lt;3,$C$8,0))))&lt;10,$C$9,IF(IF(AU37&lt;AV37*(1-$C$7),AV37*(1-$C$5-IF(AT37&lt;3,$C$8,0)),MIN(AV37*(1-$C$5-IF(AT37&lt;3,$C$8,0)),AU37*(1-$C$6-IF(AT37&lt;3,$C$8,0))))&lt;100,$D$9,$E$9)))),ROUND($D37*(1+$C$10),2),FLOOR(IF(AU37&lt;AV37*(1-$C$7),AV37*(1-$C$5-IF(AT37&lt;3,$C$8,0)),MIN(AV37*(1-$C$5-IF(AT37&lt;3,$C$8,0)),AU37*(1-$C$6-IF(AT37&lt;3,$C$8,0)))),IF(IF(AU37&lt;AV37*(1-$C$7),AV37*(1-$C$5-IF(AT37&lt;3,$C$8,0)),MIN(AV37*(1-$C$5-IF(AT37&lt;3,$C$8,0)),AU37*(1-$C$6-IF(AT37&lt;3,$C$8,0))))&lt;10,$C$9,IF(IF(AU37&lt;AV37*(1-$C$7),AV37*(1-$C$5-IF(AT37&lt;3,$C$8,0)),MIN(AV37*(1-$C$5-IF(AT37&lt;3,$C$8,0)),AU37*(1-$C$6-IF(AT37&lt;3,$C$8,0))))&lt;100,$D$9,$E$9)))))</f>
        <v>—</v>
      </c>
      <c r="AZ37" s="62" t="str">
        <f aca="false">IF(AT37=0,"—",FLOOR(AY37*Sources!$G$9,0.1))</f>
        <v>—</v>
      </c>
      <c r="BA37" s="60" t="n">
        <f aca="false">IF(ISNUMBER($D37),$D37,"n/a")</f>
        <v>0.66</v>
      </c>
      <c r="BB37" s="63" t="str">
        <f aca="false">IF(OR(AT37=0,NOT(ISNUMBER($D37))),"—",AY37/$D37-1)</f>
        <v>—</v>
      </c>
      <c r="BC37" s="64" t="str">
        <f aca="false">IF(AT37=0,"—",AY37/AU37-1)</f>
        <v>—</v>
      </c>
      <c r="BD37" s="64" t="str">
        <f aca="false">IF(AT37=0,"—",AY37/AV37-1)</f>
        <v>—</v>
      </c>
      <c r="BE37" s="59" t="n">
        <f aca="false">COUNTIFS(Offers!$B$7:$B$3000,$B37,Offers!$C$7:$C$3000,"Hungary",Offers!$AI$7:$AI$3000,"yes")</f>
        <v>0</v>
      </c>
      <c r="BF37" s="60" t="str">
        <f aca="false">IF(BE37=0,"—",SUMIFS(Review!$I$7:$I$600,Review!$B$7:$B$600,$B37,Review!$C$7:$C$600,"Hungary"))</f>
        <v>—</v>
      </c>
      <c r="BG37" s="60" t="str">
        <f aca="false">IF(BE37=0,"—",SUMIFS(Review!$J$7:$J$600,Review!$B$7:$B$600,$B37,Review!$C$7:$C$600,"Hungary"))</f>
        <v>—</v>
      </c>
      <c r="BH37" s="60" t="str">
        <f aca="false">IF(BE37=0,"—",SUMIFS(Review!$K$7:$K$600,Review!$B$7:$B$600,$B37,Review!$C$7:$C$600,"Hungary"))</f>
        <v>—</v>
      </c>
      <c r="BI37" s="61" t="str">
        <f aca="false">IF(BE37=0,"—",IF(BF37&lt;BG37*(1-$C$7),"median (cheapest is an outlier)",IF(BF37*(1-$C$6)&lt;BG37*(1-$C$5),"undercut cheapest","median")))</f>
        <v>—</v>
      </c>
      <c r="BJ37" s="62" t="str">
        <f aca="false">IF(BE37=0,"—",IF(AND(ISNUMBER($D37),$D37*(1+$C$10)&gt;FLOOR(IF(BF37&lt;BG37*(1-$C$7),BG37*(1-$C$5-IF(BE37&lt;3,$C$8,0)),MIN(BG37*(1-$C$5-IF(BE37&lt;3,$C$8,0)),BF37*(1-$C$6-IF(BE37&lt;3,$C$8,0)))),IF(IF(BF37&lt;BG37*(1-$C$7),BG37*(1-$C$5-IF(BE37&lt;3,$C$8,0)),MIN(BG37*(1-$C$5-IF(BE37&lt;3,$C$8,0)),BF37*(1-$C$6-IF(BE37&lt;3,$C$8,0))))&lt;10,$C$9,IF(IF(BF37&lt;BG37*(1-$C$7),BG37*(1-$C$5-IF(BE37&lt;3,$C$8,0)),MIN(BG37*(1-$C$5-IF(BE37&lt;3,$C$8,0)),BF37*(1-$C$6-IF(BE37&lt;3,$C$8,0))))&lt;100,$D$9,$E$9)))),ROUND($D37*(1+$C$10),2),FLOOR(IF(BF37&lt;BG37*(1-$C$7),BG37*(1-$C$5-IF(BE37&lt;3,$C$8,0)),MIN(BG37*(1-$C$5-IF(BE37&lt;3,$C$8,0)),BF37*(1-$C$6-IF(BE37&lt;3,$C$8,0)))),IF(IF(BF37&lt;BG37*(1-$C$7),BG37*(1-$C$5-IF(BE37&lt;3,$C$8,0)),MIN(BG37*(1-$C$5-IF(BE37&lt;3,$C$8,0)),BF37*(1-$C$6-IF(BE37&lt;3,$C$8,0))))&lt;10,$C$9,IF(IF(BF37&lt;BG37*(1-$C$7),BG37*(1-$C$5-IF(BE37&lt;3,$C$8,0)),MIN(BG37*(1-$C$5-IF(BE37&lt;3,$C$8,0)),BF37*(1-$C$6-IF(BE37&lt;3,$C$8,0))))&lt;100,$D$9,$E$9)))))</f>
        <v>—</v>
      </c>
      <c r="BK37" s="65" t="str">
        <f aca="false">IF(BE37=0,"—",FLOOR(BJ37*Sources!$G$8,10))</f>
        <v>—</v>
      </c>
      <c r="BL37" s="60" t="n">
        <f aca="false">IF(ISNUMBER($D37),$D37,"n/a")</f>
        <v>0.66</v>
      </c>
      <c r="BM37" s="63" t="str">
        <f aca="false">IF(OR(BE37=0,NOT(ISNUMBER($D37))),"—",BJ37/$D37-1)</f>
        <v>—</v>
      </c>
      <c r="BN37" s="64" t="str">
        <f aca="false">IF(BE37=0,"—",BJ37/BF37-1)</f>
        <v>—</v>
      </c>
      <c r="BO37" s="64" t="str">
        <f aca="false">IF(BE37=0,"—",BJ37/BG37-1)</f>
        <v>—</v>
      </c>
    </row>
    <row r="38" customFormat="false" ht="15" hidden="false" customHeight="true" outlineLevel="0" collapsed="false">
      <c r="B38" s="66" t="s">
        <v>52</v>
      </c>
      <c r="C38" s="66" t="s">
        <v>163</v>
      </c>
      <c r="D38" s="58" t="n">
        <v>0.495</v>
      </c>
      <c r="E38" s="67" t="n">
        <f aca="false">COUNTIFS(Offers!$B$7:$B$3000,$B38,Offers!$C$7:$C$3000,"Austria",Offers!$AI$7:$AI$3000,"yes")</f>
        <v>6</v>
      </c>
      <c r="F38" s="68" t="n">
        <f aca="false">IF(E38=0,"—",SUMIFS(Review!$I$7:$I$600,Review!$B$7:$B$600,$B38,Review!$C$7:$C$600,"Austria"))</f>
        <v>0.81</v>
      </c>
      <c r="G38" s="68" t="n">
        <f aca="false">IF(E38=0,"—",SUMIFS(Review!$J$7:$J$600,Review!$B$7:$B$600,$B38,Review!$C$7:$C$600,"Austria"))</f>
        <v>1.175</v>
      </c>
      <c r="H38" s="68" t="n">
        <f aca="false">IF(E38=0,"—",SUMIFS(Review!$K$7:$K$600,Review!$B$7:$B$600,$B38,Review!$C$7:$C$600,"Austria"))</f>
        <v>6.59</v>
      </c>
      <c r="I38" s="69" t="str">
        <f aca="false">IF(E38=0,"—",IF(F38&lt;G38*(1-$C$7),"median (cheapest is an outlier)",IF(F38*(1-$C$6)&lt;G38*(1-$C$5),"undercut cheapest","median")))</f>
        <v>undercut cheapest</v>
      </c>
      <c r="J38" s="70" t="n">
        <f aca="false">IF(E38=0,"—",IF(AND(ISNUMBER($D38),$D38*(1+$C$10)&gt;FLOOR(IF(F38&lt;G38*(1-$C$7),G38*(1-$C$5-IF(E38&lt;3,$C$8,0)),MIN(G38*(1-$C$5-IF(E38&lt;3,$C$8,0)),F38*(1-$C$6-IF(E38&lt;3,$C$8,0)))),IF(IF(F38&lt;G38*(1-$C$7),G38*(1-$C$5-IF(E38&lt;3,$C$8,0)),MIN(G38*(1-$C$5-IF(E38&lt;3,$C$8,0)),F38*(1-$C$6-IF(E38&lt;3,$C$8,0))))&lt;10,$C$9,IF(IF(F38&lt;G38*(1-$C$7),G38*(1-$C$5-IF(E38&lt;3,$C$8,0)),MIN(G38*(1-$C$5-IF(E38&lt;3,$C$8,0)),F38*(1-$C$6-IF(E38&lt;3,$C$8,0))))&lt;100,$D$9,$E$9)))),ROUND($D38*(1+$C$10),2),FLOOR(IF(F38&lt;G38*(1-$C$7),G38*(1-$C$5-IF(E38&lt;3,$C$8,0)),MIN(G38*(1-$C$5-IF(E38&lt;3,$C$8,0)),F38*(1-$C$6-IF(E38&lt;3,$C$8,0)))),IF(IF(F38&lt;G38*(1-$C$7),G38*(1-$C$5-IF(E38&lt;3,$C$8,0)),MIN(G38*(1-$C$5-IF(E38&lt;3,$C$8,0)),F38*(1-$C$6-IF(E38&lt;3,$C$8,0))))&lt;10,$C$9,IF(IF(F38&lt;G38*(1-$C$7),G38*(1-$C$5-IF(E38&lt;3,$C$8,0)),MIN(G38*(1-$C$5-IF(E38&lt;3,$C$8,0)),F38*(1-$C$6-IF(E38&lt;3,$C$8,0))))&lt;100,$D$9,$E$9)))))</f>
        <v>0.75</v>
      </c>
      <c r="K38" s="68" t="n">
        <f aca="false">IF(ISNUMBER($D38),$D38,"n/a")</f>
        <v>0.495</v>
      </c>
      <c r="L38" s="71" t="n">
        <f aca="false">IF(OR(E38=0,NOT(ISNUMBER($D38))),"—",J38/$D38-1)</f>
        <v>0.515151515151515</v>
      </c>
      <c r="M38" s="72" t="n">
        <f aca="false">IF(E38=0,"—",J38/F38-1)</f>
        <v>-0.0740740740740742</v>
      </c>
      <c r="N38" s="72" t="n">
        <f aca="false">IF(E38=0,"—",J38/G38-1)</f>
        <v>-0.361702127659575</v>
      </c>
      <c r="O38" s="67" t="n">
        <f aca="false">COUNTIFS(Offers!$B$7:$B$3000,$B38,Offers!$C$7:$C$3000,"Germany",Offers!$AI$7:$AI$3000,"yes")</f>
        <v>3</v>
      </c>
      <c r="P38" s="68" t="n">
        <f aca="false">IF(O38=0,"—",SUMIFS(Review!$I$7:$I$600,Review!$B$7:$B$600,$B38,Review!$C$7:$C$600,"Germany"))</f>
        <v>0.69</v>
      </c>
      <c r="Q38" s="68" t="n">
        <f aca="false">IF(O38=0,"—",SUMIFS(Review!$J$7:$J$600,Review!$B$7:$B$600,$B38,Review!$C$7:$C$600,"Germany"))</f>
        <v>1.08</v>
      </c>
      <c r="R38" s="68" t="n">
        <f aca="false">IF(O38=0,"—",SUMIFS(Review!$K$7:$K$600,Review!$B$7:$B$600,$B38,Review!$C$7:$C$600,"Germany"))</f>
        <v>2.79</v>
      </c>
      <c r="S38" s="69" t="str">
        <f aca="false">IF(O38=0,"—",IF(P38&lt;Q38*(1-$C$7),"median (cheapest is an outlier)",IF(P38*(1-$C$6)&lt;Q38*(1-$C$5),"undercut cheapest","median")))</f>
        <v>median (cheapest is an outlier)</v>
      </c>
      <c r="T38" s="70" t="n">
        <f aca="false">IF(O38=0,"—",IF(AND(ISNUMBER($D38),$D38*(1+$C$10)&gt;FLOOR(IF(P38&lt;Q38*(1-$C$7),Q38*(1-$C$5-IF(O38&lt;3,$C$8,0)),MIN(Q38*(1-$C$5-IF(O38&lt;3,$C$8,0)),P38*(1-$C$6-IF(O38&lt;3,$C$8,0)))),IF(IF(P38&lt;Q38*(1-$C$7),Q38*(1-$C$5-IF(O38&lt;3,$C$8,0)),MIN(Q38*(1-$C$5-IF(O38&lt;3,$C$8,0)),P38*(1-$C$6-IF(O38&lt;3,$C$8,0))))&lt;10,$C$9,IF(IF(P38&lt;Q38*(1-$C$7),Q38*(1-$C$5-IF(O38&lt;3,$C$8,0)),MIN(Q38*(1-$C$5-IF(O38&lt;3,$C$8,0)),P38*(1-$C$6-IF(O38&lt;3,$C$8,0))))&lt;100,$D$9,$E$9)))),ROUND($D38*(1+$C$10),2),FLOOR(IF(P38&lt;Q38*(1-$C$7),Q38*(1-$C$5-IF(O38&lt;3,$C$8,0)),MIN(Q38*(1-$C$5-IF(O38&lt;3,$C$8,0)),P38*(1-$C$6-IF(O38&lt;3,$C$8,0)))),IF(IF(P38&lt;Q38*(1-$C$7),Q38*(1-$C$5-IF(O38&lt;3,$C$8,0)),MIN(Q38*(1-$C$5-IF(O38&lt;3,$C$8,0)),P38*(1-$C$6-IF(O38&lt;3,$C$8,0))))&lt;10,$C$9,IF(IF(P38&lt;Q38*(1-$C$7),Q38*(1-$C$5-IF(O38&lt;3,$C$8,0)),MIN(Q38*(1-$C$5-IF(O38&lt;3,$C$8,0)),P38*(1-$C$6-IF(O38&lt;3,$C$8,0))))&lt;100,$D$9,$E$9)))))</f>
        <v>0.8</v>
      </c>
      <c r="U38" s="68" t="n">
        <f aca="false">IF(ISNUMBER($D38),$D38,"n/a")</f>
        <v>0.495</v>
      </c>
      <c r="V38" s="71" t="n">
        <f aca="false">IF(OR(O38=0,NOT(ISNUMBER($D38))),"—",T38/$D38-1)</f>
        <v>0.616161616161616</v>
      </c>
      <c r="W38" s="72" t="n">
        <f aca="false">IF(O38=0,"—",T38/P38-1)</f>
        <v>0.159420289855073</v>
      </c>
      <c r="X38" s="72" t="n">
        <f aca="false">IF(O38=0,"—",T38/Q38-1)</f>
        <v>-0.259259259259259</v>
      </c>
      <c r="Y38" s="67" t="n">
        <f aca="false">COUNTIFS(Offers!$B$7:$B$3000,$B38,Offers!$C$7:$C$3000,"Czech",Offers!$AI$7:$AI$3000,"yes")</f>
        <v>4</v>
      </c>
      <c r="Z38" s="68" t="n">
        <f aca="false">IF(Y38=0,"—",SUMIFS(Review!$I$7:$I$600,Review!$B$7:$B$600,$B38,Review!$C$7:$C$600,"Czech"))</f>
        <v>1.455149</v>
      </c>
      <c r="AA38" s="68" t="n">
        <f aca="false">IF(Y38=0,"—",SUMIFS(Review!$J$7:$J$600,Review!$B$7:$B$600,$B38,Review!$C$7:$C$600,"Czech"))</f>
        <v>1.7397095</v>
      </c>
      <c r="AB38" s="68" t="n">
        <f aca="false">IF(Y38=0,"—",SUMIFS(Review!$K$7:$K$600,Review!$B$7:$B$600,$B38,Review!$C$7:$C$600,"Czech"))</f>
        <v>3.350036</v>
      </c>
      <c r="AC38" s="69" t="str">
        <f aca="false">IF(Y38=0,"—",IF(Z38&lt;AA38*(1-$C$7),"median (cheapest is an outlier)",IF(Z38*(1-$C$6)&lt;AA38*(1-$C$5),"undercut cheapest","median")))</f>
        <v>median</v>
      </c>
      <c r="AD38" s="70" t="n">
        <f aca="false">IF(Y38=0,"—",IF(AND(ISNUMBER($D38),$D38*(1+$C$10)&gt;FLOOR(IF(Z38&lt;AA38*(1-$C$7),AA38*(1-$C$5-IF(Y38&lt;3,$C$8,0)),MIN(AA38*(1-$C$5-IF(Y38&lt;3,$C$8,0)),Z38*(1-$C$6-IF(Y38&lt;3,$C$8,0)))),IF(IF(Z38&lt;AA38*(1-$C$7),AA38*(1-$C$5-IF(Y38&lt;3,$C$8,0)),MIN(AA38*(1-$C$5-IF(Y38&lt;3,$C$8,0)),Z38*(1-$C$6-IF(Y38&lt;3,$C$8,0))))&lt;10,$C$9,IF(IF(Z38&lt;AA38*(1-$C$7),AA38*(1-$C$5-IF(Y38&lt;3,$C$8,0)),MIN(AA38*(1-$C$5-IF(Y38&lt;3,$C$8,0)),Z38*(1-$C$6-IF(Y38&lt;3,$C$8,0))))&lt;100,$D$9,$E$9)))),ROUND($D38*(1+$C$10),2),FLOOR(IF(Z38&lt;AA38*(1-$C$7),AA38*(1-$C$5-IF(Y38&lt;3,$C$8,0)),MIN(AA38*(1-$C$5-IF(Y38&lt;3,$C$8,0)),Z38*(1-$C$6-IF(Y38&lt;3,$C$8,0)))),IF(IF(Z38&lt;AA38*(1-$C$7),AA38*(1-$C$5-IF(Y38&lt;3,$C$8,0)),MIN(AA38*(1-$C$5-IF(Y38&lt;3,$C$8,0)),Z38*(1-$C$6-IF(Y38&lt;3,$C$8,0))))&lt;10,$C$9,IF(IF(Z38&lt;AA38*(1-$C$7),AA38*(1-$C$5-IF(Y38&lt;3,$C$8,0)),MIN(AA38*(1-$C$5-IF(Y38&lt;3,$C$8,0)),Z38*(1-$C$6-IF(Y38&lt;3,$C$8,0))))&lt;100,$D$9,$E$9)))))</f>
        <v>1.3</v>
      </c>
      <c r="AE38" s="73" t="n">
        <f aca="false">IF(Y38=0,"—",FLOOR(AD38*Sources!$G$10,1))</f>
        <v>31</v>
      </c>
      <c r="AF38" s="68" t="n">
        <f aca="false">IF(ISNUMBER($D38),$D38,"n/a")</f>
        <v>0.495</v>
      </c>
      <c r="AG38" s="71" t="n">
        <f aca="false">IF(OR(Y38=0,NOT(ISNUMBER($D38))),"—",AD38/$D38-1)</f>
        <v>1.62626262626263</v>
      </c>
      <c r="AH38" s="72" t="n">
        <f aca="false">IF(Y38=0,"—",AD38/Z38-1)</f>
        <v>-0.106620696574715</v>
      </c>
      <c r="AI38" s="72" t="n">
        <f aca="false">IF(Y38=0,"—",AD38/AA38-1)</f>
        <v>-0.252748806625474</v>
      </c>
      <c r="AJ38" s="67" t="n">
        <f aca="false">COUNTIFS(Offers!$B$7:$B$3000,$B38,Offers!$C$7:$C$3000,"Slovakia",Offers!$AI$7:$AI$3000,"yes")</f>
        <v>0</v>
      </c>
      <c r="AK38" s="68" t="str">
        <f aca="false">IF(AJ38=0,"—",SUMIFS(Review!$I$7:$I$600,Review!$B$7:$B$600,$B38,Review!$C$7:$C$600,"Slovakia"))</f>
        <v>—</v>
      </c>
      <c r="AL38" s="68" t="str">
        <f aca="false">IF(AJ38=0,"—",SUMIFS(Review!$J$7:$J$600,Review!$B$7:$B$600,$B38,Review!$C$7:$C$600,"Slovakia"))</f>
        <v>—</v>
      </c>
      <c r="AM38" s="68" t="str">
        <f aca="false">IF(AJ38=0,"—",SUMIFS(Review!$K$7:$K$600,Review!$B$7:$B$600,$B38,Review!$C$7:$C$600,"Slovakia"))</f>
        <v>—</v>
      </c>
      <c r="AN38" s="69" t="str">
        <f aca="false">IF(AJ38=0,"—",IF(AK38&lt;AL38*(1-$C$7),"median (cheapest is an outlier)",IF(AK38*(1-$C$6)&lt;AL38*(1-$C$5),"undercut cheapest","median")))</f>
        <v>—</v>
      </c>
      <c r="AO38" s="70" t="str">
        <f aca="false">IF(AJ38=0,"—",IF(AND(ISNUMBER($D38),$D38*(1+$C$10)&gt;FLOOR(IF(AK38&lt;AL38*(1-$C$7),AL38*(1-$C$5-IF(AJ38&lt;3,$C$8,0)),MIN(AL38*(1-$C$5-IF(AJ38&lt;3,$C$8,0)),AK38*(1-$C$6-IF(AJ38&lt;3,$C$8,0)))),IF(IF(AK38&lt;AL38*(1-$C$7),AL38*(1-$C$5-IF(AJ38&lt;3,$C$8,0)),MIN(AL38*(1-$C$5-IF(AJ38&lt;3,$C$8,0)),AK38*(1-$C$6-IF(AJ38&lt;3,$C$8,0))))&lt;10,$C$9,IF(IF(AK38&lt;AL38*(1-$C$7),AL38*(1-$C$5-IF(AJ38&lt;3,$C$8,0)),MIN(AL38*(1-$C$5-IF(AJ38&lt;3,$C$8,0)),AK38*(1-$C$6-IF(AJ38&lt;3,$C$8,0))))&lt;100,$D$9,$E$9)))),ROUND($D38*(1+$C$10),2),FLOOR(IF(AK38&lt;AL38*(1-$C$7),AL38*(1-$C$5-IF(AJ38&lt;3,$C$8,0)),MIN(AL38*(1-$C$5-IF(AJ38&lt;3,$C$8,0)),AK38*(1-$C$6-IF(AJ38&lt;3,$C$8,0)))),IF(IF(AK38&lt;AL38*(1-$C$7),AL38*(1-$C$5-IF(AJ38&lt;3,$C$8,0)),MIN(AL38*(1-$C$5-IF(AJ38&lt;3,$C$8,0)),AK38*(1-$C$6-IF(AJ38&lt;3,$C$8,0))))&lt;10,$C$9,IF(IF(AK38&lt;AL38*(1-$C$7),AL38*(1-$C$5-IF(AJ38&lt;3,$C$8,0)),MIN(AL38*(1-$C$5-IF(AJ38&lt;3,$C$8,0)),AK38*(1-$C$6-IF(AJ38&lt;3,$C$8,0))))&lt;100,$D$9,$E$9)))))</f>
        <v>—</v>
      </c>
      <c r="AP38" s="68" t="n">
        <f aca="false">IF(ISNUMBER($D38),$D38,"n/a")</f>
        <v>0.495</v>
      </c>
      <c r="AQ38" s="71" t="str">
        <f aca="false">IF(OR(AJ38=0,NOT(ISNUMBER($D38))),"—",AO38/$D38-1)</f>
        <v>—</v>
      </c>
      <c r="AR38" s="72" t="str">
        <f aca="false">IF(AJ38=0,"—",AO38/AK38-1)</f>
        <v>—</v>
      </c>
      <c r="AS38" s="72" t="str">
        <f aca="false">IF(AJ38=0,"—",AO38/AL38-1)</f>
        <v>—</v>
      </c>
      <c r="AT38" s="67" t="n">
        <f aca="false">COUNTIFS(Offers!$B$7:$B$3000,$B38,Offers!$C$7:$C$3000,"Romania",Offers!$AI$7:$AI$3000,"yes")</f>
        <v>0</v>
      </c>
      <c r="AU38" s="68" t="str">
        <f aca="false">IF(AT38=0,"—",SUMIFS(Review!$I$7:$I$600,Review!$B$7:$B$600,$B38,Review!$C$7:$C$600,"Romania"))</f>
        <v>—</v>
      </c>
      <c r="AV38" s="68" t="str">
        <f aca="false">IF(AT38=0,"—",SUMIFS(Review!$J$7:$J$600,Review!$B$7:$B$600,$B38,Review!$C$7:$C$600,"Romania"))</f>
        <v>—</v>
      </c>
      <c r="AW38" s="68" t="str">
        <f aca="false">IF(AT38=0,"—",SUMIFS(Review!$K$7:$K$600,Review!$B$7:$B$600,$B38,Review!$C$7:$C$600,"Romania"))</f>
        <v>—</v>
      </c>
      <c r="AX38" s="69" t="str">
        <f aca="false">IF(AT38=0,"—",IF(AU38&lt;AV38*(1-$C$7),"median (cheapest is an outlier)",IF(AU38*(1-$C$6)&lt;AV38*(1-$C$5),"undercut cheapest","median")))</f>
        <v>—</v>
      </c>
      <c r="AY38" s="70" t="str">
        <f aca="false">IF(AT38=0,"—",IF(AND(ISNUMBER($D38),$D38*(1+$C$10)&gt;FLOOR(IF(AU38&lt;AV38*(1-$C$7),AV38*(1-$C$5-IF(AT38&lt;3,$C$8,0)),MIN(AV38*(1-$C$5-IF(AT38&lt;3,$C$8,0)),AU38*(1-$C$6-IF(AT38&lt;3,$C$8,0)))),IF(IF(AU38&lt;AV38*(1-$C$7),AV38*(1-$C$5-IF(AT38&lt;3,$C$8,0)),MIN(AV38*(1-$C$5-IF(AT38&lt;3,$C$8,0)),AU38*(1-$C$6-IF(AT38&lt;3,$C$8,0))))&lt;10,$C$9,IF(IF(AU38&lt;AV38*(1-$C$7),AV38*(1-$C$5-IF(AT38&lt;3,$C$8,0)),MIN(AV38*(1-$C$5-IF(AT38&lt;3,$C$8,0)),AU38*(1-$C$6-IF(AT38&lt;3,$C$8,0))))&lt;100,$D$9,$E$9)))),ROUND($D38*(1+$C$10),2),FLOOR(IF(AU38&lt;AV38*(1-$C$7),AV38*(1-$C$5-IF(AT38&lt;3,$C$8,0)),MIN(AV38*(1-$C$5-IF(AT38&lt;3,$C$8,0)),AU38*(1-$C$6-IF(AT38&lt;3,$C$8,0)))),IF(IF(AU38&lt;AV38*(1-$C$7),AV38*(1-$C$5-IF(AT38&lt;3,$C$8,0)),MIN(AV38*(1-$C$5-IF(AT38&lt;3,$C$8,0)),AU38*(1-$C$6-IF(AT38&lt;3,$C$8,0))))&lt;10,$C$9,IF(IF(AU38&lt;AV38*(1-$C$7),AV38*(1-$C$5-IF(AT38&lt;3,$C$8,0)),MIN(AV38*(1-$C$5-IF(AT38&lt;3,$C$8,0)),AU38*(1-$C$6-IF(AT38&lt;3,$C$8,0))))&lt;100,$D$9,$E$9)))))</f>
        <v>—</v>
      </c>
      <c r="AZ38" s="70" t="str">
        <f aca="false">IF(AT38=0,"—",FLOOR(AY38*Sources!$G$9,0.1))</f>
        <v>—</v>
      </c>
      <c r="BA38" s="68" t="n">
        <f aca="false">IF(ISNUMBER($D38),$D38,"n/a")</f>
        <v>0.495</v>
      </c>
      <c r="BB38" s="71" t="str">
        <f aca="false">IF(OR(AT38=0,NOT(ISNUMBER($D38))),"—",AY38/$D38-1)</f>
        <v>—</v>
      </c>
      <c r="BC38" s="72" t="str">
        <f aca="false">IF(AT38=0,"—",AY38/AU38-1)</f>
        <v>—</v>
      </c>
      <c r="BD38" s="72" t="str">
        <f aca="false">IF(AT38=0,"—",AY38/AV38-1)</f>
        <v>—</v>
      </c>
      <c r="BE38" s="67" t="n">
        <f aca="false">COUNTIFS(Offers!$B$7:$B$3000,$B38,Offers!$C$7:$C$3000,"Hungary",Offers!$AI$7:$AI$3000,"yes")</f>
        <v>0</v>
      </c>
      <c r="BF38" s="68" t="str">
        <f aca="false">IF(BE38=0,"—",SUMIFS(Review!$I$7:$I$600,Review!$B$7:$B$600,$B38,Review!$C$7:$C$600,"Hungary"))</f>
        <v>—</v>
      </c>
      <c r="BG38" s="68" t="str">
        <f aca="false">IF(BE38=0,"—",SUMIFS(Review!$J$7:$J$600,Review!$B$7:$B$600,$B38,Review!$C$7:$C$600,"Hungary"))</f>
        <v>—</v>
      </c>
      <c r="BH38" s="68" t="str">
        <f aca="false">IF(BE38=0,"—",SUMIFS(Review!$K$7:$K$600,Review!$B$7:$B$600,$B38,Review!$C$7:$C$600,"Hungary"))</f>
        <v>—</v>
      </c>
      <c r="BI38" s="69" t="str">
        <f aca="false">IF(BE38=0,"—",IF(BF38&lt;BG38*(1-$C$7),"median (cheapest is an outlier)",IF(BF38*(1-$C$6)&lt;BG38*(1-$C$5),"undercut cheapest","median")))</f>
        <v>—</v>
      </c>
      <c r="BJ38" s="70" t="str">
        <f aca="false">IF(BE38=0,"—",IF(AND(ISNUMBER($D38),$D38*(1+$C$10)&gt;FLOOR(IF(BF38&lt;BG38*(1-$C$7),BG38*(1-$C$5-IF(BE38&lt;3,$C$8,0)),MIN(BG38*(1-$C$5-IF(BE38&lt;3,$C$8,0)),BF38*(1-$C$6-IF(BE38&lt;3,$C$8,0)))),IF(IF(BF38&lt;BG38*(1-$C$7),BG38*(1-$C$5-IF(BE38&lt;3,$C$8,0)),MIN(BG38*(1-$C$5-IF(BE38&lt;3,$C$8,0)),BF38*(1-$C$6-IF(BE38&lt;3,$C$8,0))))&lt;10,$C$9,IF(IF(BF38&lt;BG38*(1-$C$7),BG38*(1-$C$5-IF(BE38&lt;3,$C$8,0)),MIN(BG38*(1-$C$5-IF(BE38&lt;3,$C$8,0)),BF38*(1-$C$6-IF(BE38&lt;3,$C$8,0))))&lt;100,$D$9,$E$9)))),ROUND($D38*(1+$C$10),2),FLOOR(IF(BF38&lt;BG38*(1-$C$7),BG38*(1-$C$5-IF(BE38&lt;3,$C$8,0)),MIN(BG38*(1-$C$5-IF(BE38&lt;3,$C$8,0)),BF38*(1-$C$6-IF(BE38&lt;3,$C$8,0)))),IF(IF(BF38&lt;BG38*(1-$C$7),BG38*(1-$C$5-IF(BE38&lt;3,$C$8,0)),MIN(BG38*(1-$C$5-IF(BE38&lt;3,$C$8,0)),BF38*(1-$C$6-IF(BE38&lt;3,$C$8,0))))&lt;10,$C$9,IF(IF(BF38&lt;BG38*(1-$C$7),BG38*(1-$C$5-IF(BE38&lt;3,$C$8,0)),MIN(BG38*(1-$C$5-IF(BE38&lt;3,$C$8,0)),BF38*(1-$C$6-IF(BE38&lt;3,$C$8,0))))&lt;100,$D$9,$E$9)))))</f>
        <v>—</v>
      </c>
      <c r="BK38" s="73" t="str">
        <f aca="false">IF(BE38=0,"—",FLOOR(BJ38*Sources!$G$8,10))</f>
        <v>—</v>
      </c>
      <c r="BL38" s="68" t="n">
        <f aca="false">IF(ISNUMBER($D38),$D38,"n/a")</f>
        <v>0.495</v>
      </c>
      <c r="BM38" s="71" t="str">
        <f aca="false">IF(OR(BE38=0,NOT(ISNUMBER($D38))),"—",BJ38/$D38-1)</f>
        <v>—</v>
      </c>
      <c r="BN38" s="72" t="str">
        <f aca="false">IF(BE38=0,"—",BJ38/BF38-1)</f>
        <v>—</v>
      </c>
      <c r="BO38" s="72" t="str">
        <f aca="false">IF(BE38=0,"—",BJ38/BG38-1)</f>
        <v>—</v>
      </c>
    </row>
    <row r="39" customFormat="false" ht="15" hidden="false" customHeight="true" outlineLevel="0" collapsed="false">
      <c r="B39" s="1" t="s">
        <v>53</v>
      </c>
      <c r="C39" s="1" t="s">
        <v>164</v>
      </c>
      <c r="D39" s="58" t="n">
        <v>0.605</v>
      </c>
      <c r="E39" s="59" t="n">
        <f aca="false">COUNTIFS(Offers!$B$7:$B$3000,$B39,Offers!$C$7:$C$3000,"Austria",Offers!$AI$7:$AI$3000,"yes")</f>
        <v>7</v>
      </c>
      <c r="F39" s="60" t="n">
        <f aca="false">IF(E39=0,"—",SUMIFS(Review!$I$7:$I$600,Review!$B$7:$B$600,$B39,Review!$C$7:$C$600,"Austria"))</f>
        <v>1.06</v>
      </c>
      <c r="G39" s="60" t="n">
        <f aca="false">IF(E39=0,"—",SUMIFS(Review!$J$7:$J$600,Review!$B$7:$B$600,$B39,Review!$C$7:$C$600,"Austria"))</f>
        <v>1.73</v>
      </c>
      <c r="H39" s="60" t="n">
        <f aca="false">IF(E39=0,"—",SUMIFS(Review!$K$7:$K$600,Review!$B$7:$B$600,$B39,Review!$C$7:$C$600,"Austria"))</f>
        <v>5.83</v>
      </c>
      <c r="I39" s="61" t="str">
        <f aca="false">IF(E39=0,"—",IF(F39&lt;G39*(1-$C$7),"median (cheapest is an outlier)",IF(F39*(1-$C$6)&lt;G39*(1-$C$5),"undercut cheapest","median")))</f>
        <v>median (cheapest is an outlier)</v>
      </c>
      <c r="J39" s="62" t="n">
        <f aca="false">IF(E39=0,"—",IF(AND(ISNUMBER($D39),$D39*(1+$C$10)&gt;FLOOR(IF(F39&lt;G39*(1-$C$7),G39*(1-$C$5-IF(E39&lt;3,$C$8,0)),MIN(G39*(1-$C$5-IF(E39&lt;3,$C$8,0)),F39*(1-$C$6-IF(E39&lt;3,$C$8,0)))),IF(IF(F39&lt;G39*(1-$C$7),G39*(1-$C$5-IF(E39&lt;3,$C$8,0)),MIN(G39*(1-$C$5-IF(E39&lt;3,$C$8,0)),F39*(1-$C$6-IF(E39&lt;3,$C$8,0))))&lt;10,$C$9,IF(IF(F39&lt;G39*(1-$C$7),G39*(1-$C$5-IF(E39&lt;3,$C$8,0)),MIN(G39*(1-$C$5-IF(E39&lt;3,$C$8,0)),F39*(1-$C$6-IF(E39&lt;3,$C$8,0))))&lt;100,$D$9,$E$9)))),ROUND($D39*(1+$C$10),2),FLOOR(IF(F39&lt;G39*(1-$C$7),G39*(1-$C$5-IF(E39&lt;3,$C$8,0)),MIN(G39*(1-$C$5-IF(E39&lt;3,$C$8,0)),F39*(1-$C$6-IF(E39&lt;3,$C$8,0)))),IF(IF(F39&lt;G39*(1-$C$7),G39*(1-$C$5-IF(E39&lt;3,$C$8,0)),MIN(G39*(1-$C$5-IF(E39&lt;3,$C$8,0)),F39*(1-$C$6-IF(E39&lt;3,$C$8,0))))&lt;10,$C$9,IF(IF(F39&lt;G39*(1-$C$7),G39*(1-$C$5-IF(E39&lt;3,$C$8,0)),MIN(G39*(1-$C$5-IF(E39&lt;3,$C$8,0)),F39*(1-$C$6-IF(E39&lt;3,$C$8,0))))&lt;100,$D$9,$E$9)))))</f>
        <v>1.25</v>
      </c>
      <c r="K39" s="60" t="n">
        <f aca="false">IF(ISNUMBER($D39),$D39,"n/a")</f>
        <v>0.605</v>
      </c>
      <c r="L39" s="63" t="n">
        <f aca="false">IF(OR(E39=0,NOT(ISNUMBER($D39))),"—",J39/$D39-1)</f>
        <v>1.06611570247934</v>
      </c>
      <c r="M39" s="64" t="n">
        <f aca="false">IF(E39=0,"—",J39/F39-1)</f>
        <v>0.179245283018868</v>
      </c>
      <c r="N39" s="64" t="n">
        <f aca="false">IF(E39=0,"—",J39/G39-1)</f>
        <v>-0.277456647398844</v>
      </c>
      <c r="O39" s="59" t="n">
        <f aca="false">COUNTIFS(Offers!$B$7:$B$3000,$B39,Offers!$C$7:$C$3000,"Germany",Offers!$AI$7:$AI$3000,"yes")</f>
        <v>1</v>
      </c>
      <c r="P39" s="60" t="n">
        <f aca="false">IF(O39=0,"—",SUMIFS(Review!$I$7:$I$600,Review!$B$7:$B$600,$B39,Review!$C$7:$C$600,"Germany"))</f>
        <v>1.08</v>
      </c>
      <c r="Q39" s="60" t="n">
        <f aca="false">IF(O39=0,"—",SUMIFS(Review!$J$7:$J$600,Review!$B$7:$B$600,$B39,Review!$C$7:$C$600,"Germany"))</f>
        <v>1.08</v>
      </c>
      <c r="R39" s="60" t="n">
        <f aca="false">IF(O39=0,"—",SUMIFS(Review!$K$7:$K$600,Review!$B$7:$B$600,$B39,Review!$C$7:$C$600,"Germany"))</f>
        <v>1.08</v>
      </c>
      <c r="S39" s="61" t="str">
        <f aca="false">IF(O39=0,"—",IF(P39&lt;Q39*(1-$C$7),"median (cheapest is an outlier)",IF(P39*(1-$C$6)&lt;Q39*(1-$C$5),"undercut cheapest","median")))</f>
        <v>median</v>
      </c>
      <c r="T39" s="62" t="n">
        <f aca="false">IF(O39=0,"—",IF(AND(ISNUMBER($D39),$D39*(1+$C$10)&gt;FLOOR(IF(P39&lt;Q39*(1-$C$7),Q39*(1-$C$5-IF(O39&lt;3,$C$8,0)),MIN(Q39*(1-$C$5-IF(O39&lt;3,$C$8,0)),P39*(1-$C$6-IF(O39&lt;3,$C$8,0)))),IF(IF(P39&lt;Q39*(1-$C$7),Q39*(1-$C$5-IF(O39&lt;3,$C$8,0)),MIN(Q39*(1-$C$5-IF(O39&lt;3,$C$8,0)),P39*(1-$C$6-IF(O39&lt;3,$C$8,0))))&lt;10,$C$9,IF(IF(P39&lt;Q39*(1-$C$7),Q39*(1-$C$5-IF(O39&lt;3,$C$8,0)),MIN(Q39*(1-$C$5-IF(O39&lt;3,$C$8,0)),P39*(1-$C$6-IF(O39&lt;3,$C$8,0))))&lt;100,$D$9,$E$9)))),ROUND($D39*(1+$C$10),2),FLOOR(IF(P39&lt;Q39*(1-$C$7),Q39*(1-$C$5-IF(O39&lt;3,$C$8,0)),MIN(Q39*(1-$C$5-IF(O39&lt;3,$C$8,0)),P39*(1-$C$6-IF(O39&lt;3,$C$8,0)))),IF(IF(P39&lt;Q39*(1-$C$7),Q39*(1-$C$5-IF(O39&lt;3,$C$8,0)),MIN(Q39*(1-$C$5-IF(O39&lt;3,$C$8,0)),P39*(1-$C$6-IF(O39&lt;3,$C$8,0))))&lt;10,$C$9,IF(IF(P39&lt;Q39*(1-$C$7),Q39*(1-$C$5-IF(O39&lt;3,$C$8,0)),MIN(Q39*(1-$C$5-IF(O39&lt;3,$C$8,0)),P39*(1-$C$6-IF(O39&lt;3,$C$8,0))))&lt;100,$D$9,$E$9)))))</f>
        <v>0.75</v>
      </c>
      <c r="U39" s="60" t="n">
        <f aca="false">IF(ISNUMBER($D39),$D39,"n/a")</f>
        <v>0.605</v>
      </c>
      <c r="V39" s="63" t="n">
        <f aca="false">IF(OR(O39=0,NOT(ISNUMBER($D39))),"—",T39/$D39-1)</f>
        <v>0.239669421487603</v>
      </c>
      <c r="W39" s="64" t="n">
        <f aca="false">IF(O39=0,"—",T39/P39-1)</f>
        <v>-0.305555555555556</v>
      </c>
      <c r="X39" s="64" t="n">
        <f aca="false">IF(O39=0,"—",T39/Q39-1)</f>
        <v>-0.305555555555556</v>
      </c>
      <c r="Y39" s="59" t="n">
        <f aca="false">COUNTIFS(Offers!$B$7:$B$3000,$B39,Offers!$C$7:$C$3000,"Czech",Offers!$AI$7:$AI$3000,"yes")</f>
        <v>7</v>
      </c>
      <c r="Z39" s="60" t="n">
        <f aca="false">IF(Y39=0,"—",SUMIFS(Review!$I$7:$I$600,Review!$B$7:$B$600,$B39,Review!$C$7:$C$600,"Czech"))</f>
        <v>1.150526</v>
      </c>
      <c r="AA39" s="60" t="n">
        <f aca="false">IF(Y39=0,"—",SUMIFS(Review!$J$7:$J$600,Review!$B$7:$B$600,$B39,Review!$C$7:$C$600,"Czech"))</f>
        <v>1.555871</v>
      </c>
      <c r="AB39" s="60" t="n">
        <f aca="false">IF(Y39=0,"—",SUMIFS(Review!$K$7:$K$600,Review!$B$7:$B$600,$B39,Review!$C$7:$C$600,"Czech"))</f>
        <v>5.645356</v>
      </c>
      <c r="AC39" s="61" t="str">
        <f aca="false">IF(Y39=0,"—",IF(Z39&lt;AA39*(1-$C$7),"median (cheapest is an outlier)",IF(Z39*(1-$C$6)&lt;AA39*(1-$C$5),"undercut cheapest","median")))</f>
        <v>undercut cheapest</v>
      </c>
      <c r="AD39" s="62" t="n">
        <f aca="false">IF(Y39=0,"—",IF(AND(ISNUMBER($D39),$D39*(1+$C$10)&gt;FLOOR(IF(Z39&lt;AA39*(1-$C$7),AA39*(1-$C$5-IF(Y39&lt;3,$C$8,0)),MIN(AA39*(1-$C$5-IF(Y39&lt;3,$C$8,0)),Z39*(1-$C$6-IF(Y39&lt;3,$C$8,0)))),IF(IF(Z39&lt;AA39*(1-$C$7),AA39*(1-$C$5-IF(Y39&lt;3,$C$8,0)),MIN(AA39*(1-$C$5-IF(Y39&lt;3,$C$8,0)),Z39*(1-$C$6-IF(Y39&lt;3,$C$8,0))))&lt;10,$C$9,IF(IF(Z39&lt;AA39*(1-$C$7),AA39*(1-$C$5-IF(Y39&lt;3,$C$8,0)),MIN(AA39*(1-$C$5-IF(Y39&lt;3,$C$8,0)),Z39*(1-$C$6-IF(Y39&lt;3,$C$8,0))))&lt;100,$D$9,$E$9)))),ROUND($D39*(1+$C$10),2),FLOOR(IF(Z39&lt;AA39*(1-$C$7),AA39*(1-$C$5-IF(Y39&lt;3,$C$8,0)),MIN(AA39*(1-$C$5-IF(Y39&lt;3,$C$8,0)),Z39*(1-$C$6-IF(Y39&lt;3,$C$8,0)))),IF(IF(Z39&lt;AA39*(1-$C$7),AA39*(1-$C$5-IF(Y39&lt;3,$C$8,0)),MIN(AA39*(1-$C$5-IF(Y39&lt;3,$C$8,0)),Z39*(1-$C$6-IF(Y39&lt;3,$C$8,0))))&lt;10,$C$9,IF(IF(Z39&lt;AA39*(1-$C$7),AA39*(1-$C$5-IF(Y39&lt;3,$C$8,0)),MIN(AA39*(1-$C$5-IF(Y39&lt;3,$C$8,0)),Z39*(1-$C$6-IF(Y39&lt;3,$C$8,0))))&lt;100,$D$9,$E$9)))))</f>
        <v>1.05</v>
      </c>
      <c r="AE39" s="65" t="n">
        <f aca="false">IF(Y39=0,"—",FLOOR(AD39*Sources!$G$10,1))</f>
        <v>25</v>
      </c>
      <c r="AF39" s="60" t="n">
        <f aca="false">IF(ISNUMBER($D39),$D39,"n/a")</f>
        <v>0.605</v>
      </c>
      <c r="AG39" s="63" t="n">
        <f aca="false">IF(OR(Y39=0,NOT(ISNUMBER($D39))),"—",AD39/$D39-1)</f>
        <v>0.735537190082645</v>
      </c>
      <c r="AH39" s="64" t="n">
        <f aca="false">IF(Y39=0,"—",AD39/Z39-1)</f>
        <v>-0.0873739489589978</v>
      </c>
      <c r="AI39" s="64" t="n">
        <f aca="false">IF(Y39=0,"—",AD39/AA39-1)</f>
        <v>-0.32513685260539</v>
      </c>
      <c r="AJ39" s="59" t="n">
        <f aca="false">COUNTIFS(Offers!$B$7:$B$3000,$B39,Offers!$C$7:$C$3000,"Slovakia",Offers!$AI$7:$AI$3000,"yes")</f>
        <v>0</v>
      </c>
      <c r="AK39" s="60" t="str">
        <f aca="false">IF(AJ39=0,"—",SUMIFS(Review!$I$7:$I$600,Review!$B$7:$B$600,$B39,Review!$C$7:$C$600,"Slovakia"))</f>
        <v>—</v>
      </c>
      <c r="AL39" s="60" t="str">
        <f aca="false">IF(AJ39=0,"—",SUMIFS(Review!$J$7:$J$600,Review!$B$7:$B$600,$B39,Review!$C$7:$C$600,"Slovakia"))</f>
        <v>—</v>
      </c>
      <c r="AM39" s="60" t="str">
        <f aca="false">IF(AJ39=0,"—",SUMIFS(Review!$K$7:$K$600,Review!$B$7:$B$600,$B39,Review!$C$7:$C$600,"Slovakia"))</f>
        <v>—</v>
      </c>
      <c r="AN39" s="61" t="str">
        <f aca="false">IF(AJ39=0,"—",IF(AK39&lt;AL39*(1-$C$7),"median (cheapest is an outlier)",IF(AK39*(1-$C$6)&lt;AL39*(1-$C$5),"undercut cheapest","median")))</f>
        <v>—</v>
      </c>
      <c r="AO39" s="62" t="str">
        <f aca="false">IF(AJ39=0,"—",IF(AND(ISNUMBER($D39),$D39*(1+$C$10)&gt;FLOOR(IF(AK39&lt;AL39*(1-$C$7),AL39*(1-$C$5-IF(AJ39&lt;3,$C$8,0)),MIN(AL39*(1-$C$5-IF(AJ39&lt;3,$C$8,0)),AK39*(1-$C$6-IF(AJ39&lt;3,$C$8,0)))),IF(IF(AK39&lt;AL39*(1-$C$7),AL39*(1-$C$5-IF(AJ39&lt;3,$C$8,0)),MIN(AL39*(1-$C$5-IF(AJ39&lt;3,$C$8,0)),AK39*(1-$C$6-IF(AJ39&lt;3,$C$8,0))))&lt;10,$C$9,IF(IF(AK39&lt;AL39*(1-$C$7),AL39*(1-$C$5-IF(AJ39&lt;3,$C$8,0)),MIN(AL39*(1-$C$5-IF(AJ39&lt;3,$C$8,0)),AK39*(1-$C$6-IF(AJ39&lt;3,$C$8,0))))&lt;100,$D$9,$E$9)))),ROUND($D39*(1+$C$10),2),FLOOR(IF(AK39&lt;AL39*(1-$C$7),AL39*(1-$C$5-IF(AJ39&lt;3,$C$8,0)),MIN(AL39*(1-$C$5-IF(AJ39&lt;3,$C$8,0)),AK39*(1-$C$6-IF(AJ39&lt;3,$C$8,0)))),IF(IF(AK39&lt;AL39*(1-$C$7),AL39*(1-$C$5-IF(AJ39&lt;3,$C$8,0)),MIN(AL39*(1-$C$5-IF(AJ39&lt;3,$C$8,0)),AK39*(1-$C$6-IF(AJ39&lt;3,$C$8,0))))&lt;10,$C$9,IF(IF(AK39&lt;AL39*(1-$C$7),AL39*(1-$C$5-IF(AJ39&lt;3,$C$8,0)),MIN(AL39*(1-$C$5-IF(AJ39&lt;3,$C$8,0)),AK39*(1-$C$6-IF(AJ39&lt;3,$C$8,0))))&lt;100,$D$9,$E$9)))))</f>
        <v>—</v>
      </c>
      <c r="AP39" s="60" t="n">
        <f aca="false">IF(ISNUMBER($D39),$D39,"n/a")</f>
        <v>0.605</v>
      </c>
      <c r="AQ39" s="63" t="str">
        <f aca="false">IF(OR(AJ39=0,NOT(ISNUMBER($D39))),"—",AO39/$D39-1)</f>
        <v>—</v>
      </c>
      <c r="AR39" s="64" t="str">
        <f aca="false">IF(AJ39=0,"—",AO39/AK39-1)</f>
        <v>—</v>
      </c>
      <c r="AS39" s="64" t="str">
        <f aca="false">IF(AJ39=0,"—",AO39/AL39-1)</f>
        <v>—</v>
      </c>
      <c r="AT39" s="59" t="n">
        <f aca="false">COUNTIFS(Offers!$B$7:$B$3000,$B39,Offers!$C$7:$C$3000,"Romania",Offers!$AI$7:$AI$3000,"yes")</f>
        <v>0</v>
      </c>
      <c r="AU39" s="60" t="str">
        <f aca="false">IF(AT39=0,"—",SUMIFS(Review!$I$7:$I$600,Review!$B$7:$B$600,$B39,Review!$C$7:$C$600,"Romania"))</f>
        <v>—</v>
      </c>
      <c r="AV39" s="60" t="str">
        <f aca="false">IF(AT39=0,"—",SUMIFS(Review!$J$7:$J$600,Review!$B$7:$B$600,$B39,Review!$C$7:$C$600,"Romania"))</f>
        <v>—</v>
      </c>
      <c r="AW39" s="60" t="str">
        <f aca="false">IF(AT39=0,"—",SUMIFS(Review!$K$7:$K$600,Review!$B$7:$B$600,$B39,Review!$C$7:$C$600,"Romania"))</f>
        <v>—</v>
      </c>
      <c r="AX39" s="61" t="str">
        <f aca="false">IF(AT39=0,"—",IF(AU39&lt;AV39*(1-$C$7),"median (cheapest is an outlier)",IF(AU39*(1-$C$6)&lt;AV39*(1-$C$5),"undercut cheapest","median")))</f>
        <v>—</v>
      </c>
      <c r="AY39" s="62" t="str">
        <f aca="false">IF(AT39=0,"—",IF(AND(ISNUMBER($D39),$D39*(1+$C$10)&gt;FLOOR(IF(AU39&lt;AV39*(1-$C$7),AV39*(1-$C$5-IF(AT39&lt;3,$C$8,0)),MIN(AV39*(1-$C$5-IF(AT39&lt;3,$C$8,0)),AU39*(1-$C$6-IF(AT39&lt;3,$C$8,0)))),IF(IF(AU39&lt;AV39*(1-$C$7),AV39*(1-$C$5-IF(AT39&lt;3,$C$8,0)),MIN(AV39*(1-$C$5-IF(AT39&lt;3,$C$8,0)),AU39*(1-$C$6-IF(AT39&lt;3,$C$8,0))))&lt;10,$C$9,IF(IF(AU39&lt;AV39*(1-$C$7),AV39*(1-$C$5-IF(AT39&lt;3,$C$8,0)),MIN(AV39*(1-$C$5-IF(AT39&lt;3,$C$8,0)),AU39*(1-$C$6-IF(AT39&lt;3,$C$8,0))))&lt;100,$D$9,$E$9)))),ROUND($D39*(1+$C$10),2),FLOOR(IF(AU39&lt;AV39*(1-$C$7),AV39*(1-$C$5-IF(AT39&lt;3,$C$8,0)),MIN(AV39*(1-$C$5-IF(AT39&lt;3,$C$8,0)),AU39*(1-$C$6-IF(AT39&lt;3,$C$8,0)))),IF(IF(AU39&lt;AV39*(1-$C$7),AV39*(1-$C$5-IF(AT39&lt;3,$C$8,0)),MIN(AV39*(1-$C$5-IF(AT39&lt;3,$C$8,0)),AU39*(1-$C$6-IF(AT39&lt;3,$C$8,0))))&lt;10,$C$9,IF(IF(AU39&lt;AV39*(1-$C$7),AV39*(1-$C$5-IF(AT39&lt;3,$C$8,0)),MIN(AV39*(1-$C$5-IF(AT39&lt;3,$C$8,0)),AU39*(1-$C$6-IF(AT39&lt;3,$C$8,0))))&lt;100,$D$9,$E$9)))))</f>
        <v>—</v>
      </c>
      <c r="AZ39" s="62" t="str">
        <f aca="false">IF(AT39=0,"—",FLOOR(AY39*Sources!$G$9,0.1))</f>
        <v>—</v>
      </c>
      <c r="BA39" s="60" t="n">
        <f aca="false">IF(ISNUMBER($D39),$D39,"n/a")</f>
        <v>0.605</v>
      </c>
      <c r="BB39" s="63" t="str">
        <f aca="false">IF(OR(AT39=0,NOT(ISNUMBER($D39))),"—",AY39/$D39-1)</f>
        <v>—</v>
      </c>
      <c r="BC39" s="64" t="str">
        <f aca="false">IF(AT39=0,"—",AY39/AU39-1)</f>
        <v>—</v>
      </c>
      <c r="BD39" s="64" t="str">
        <f aca="false">IF(AT39=0,"—",AY39/AV39-1)</f>
        <v>—</v>
      </c>
      <c r="BE39" s="59" t="n">
        <f aca="false">COUNTIFS(Offers!$B$7:$B$3000,$B39,Offers!$C$7:$C$3000,"Hungary",Offers!$AI$7:$AI$3000,"yes")</f>
        <v>0</v>
      </c>
      <c r="BF39" s="60" t="str">
        <f aca="false">IF(BE39=0,"—",SUMIFS(Review!$I$7:$I$600,Review!$B$7:$B$600,$B39,Review!$C$7:$C$600,"Hungary"))</f>
        <v>—</v>
      </c>
      <c r="BG39" s="60" t="str">
        <f aca="false">IF(BE39=0,"—",SUMIFS(Review!$J$7:$J$600,Review!$B$7:$B$600,$B39,Review!$C$7:$C$600,"Hungary"))</f>
        <v>—</v>
      </c>
      <c r="BH39" s="60" t="str">
        <f aca="false">IF(BE39=0,"—",SUMIFS(Review!$K$7:$K$600,Review!$B$7:$B$600,$B39,Review!$C$7:$C$600,"Hungary"))</f>
        <v>—</v>
      </c>
      <c r="BI39" s="61" t="str">
        <f aca="false">IF(BE39=0,"—",IF(BF39&lt;BG39*(1-$C$7),"median (cheapest is an outlier)",IF(BF39*(1-$C$6)&lt;BG39*(1-$C$5),"undercut cheapest","median")))</f>
        <v>—</v>
      </c>
      <c r="BJ39" s="62" t="str">
        <f aca="false">IF(BE39=0,"—",IF(AND(ISNUMBER($D39),$D39*(1+$C$10)&gt;FLOOR(IF(BF39&lt;BG39*(1-$C$7),BG39*(1-$C$5-IF(BE39&lt;3,$C$8,0)),MIN(BG39*(1-$C$5-IF(BE39&lt;3,$C$8,0)),BF39*(1-$C$6-IF(BE39&lt;3,$C$8,0)))),IF(IF(BF39&lt;BG39*(1-$C$7),BG39*(1-$C$5-IF(BE39&lt;3,$C$8,0)),MIN(BG39*(1-$C$5-IF(BE39&lt;3,$C$8,0)),BF39*(1-$C$6-IF(BE39&lt;3,$C$8,0))))&lt;10,$C$9,IF(IF(BF39&lt;BG39*(1-$C$7),BG39*(1-$C$5-IF(BE39&lt;3,$C$8,0)),MIN(BG39*(1-$C$5-IF(BE39&lt;3,$C$8,0)),BF39*(1-$C$6-IF(BE39&lt;3,$C$8,0))))&lt;100,$D$9,$E$9)))),ROUND($D39*(1+$C$10),2),FLOOR(IF(BF39&lt;BG39*(1-$C$7),BG39*(1-$C$5-IF(BE39&lt;3,$C$8,0)),MIN(BG39*(1-$C$5-IF(BE39&lt;3,$C$8,0)),BF39*(1-$C$6-IF(BE39&lt;3,$C$8,0)))),IF(IF(BF39&lt;BG39*(1-$C$7),BG39*(1-$C$5-IF(BE39&lt;3,$C$8,0)),MIN(BG39*(1-$C$5-IF(BE39&lt;3,$C$8,0)),BF39*(1-$C$6-IF(BE39&lt;3,$C$8,0))))&lt;10,$C$9,IF(IF(BF39&lt;BG39*(1-$C$7),BG39*(1-$C$5-IF(BE39&lt;3,$C$8,0)),MIN(BG39*(1-$C$5-IF(BE39&lt;3,$C$8,0)),BF39*(1-$C$6-IF(BE39&lt;3,$C$8,0))))&lt;100,$D$9,$E$9)))))</f>
        <v>—</v>
      </c>
      <c r="BK39" s="65" t="str">
        <f aca="false">IF(BE39=0,"—",FLOOR(BJ39*Sources!$G$8,10))</f>
        <v>—</v>
      </c>
      <c r="BL39" s="60" t="n">
        <f aca="false">IF(ISNUMBER($D39),$D39,"n/a")</f>
        <v>0.605</v>
      </c>
      <c r="BM39" s="63" t="str">
        <f aca="false">IF(OR(BE39=0,NOT(ISNUMBER($D39))),"—",BJ39/$D39-1)</f>
        <v>—</v>
      </c>
      <c r="BN39" s="64" t="str">
        <f aca="false">IF(BE39=0,"—",BJ39/BF39-1)</f>
        <v>—</v>
      </c>
      <c r="BO39" s="64" t="str">
        <f aca="false">IF(BE39=0,"—",BJ39/BG39-1)</f>
        <v>—</v>
      </c>
    </row>
    <row r="40" customFormat="false" ht="15" hidden="false" customHeight="true" outlineLevel="0" collapsed="false">
      <c r="B40" s="66" t="s">
        <v>55</v>
      </c>
      <c r="C40" s="66" t="s">
        <v>165</v>
      </c>
      <c r="D40" s="58" t="n">
        <v>7.8</v>
      </c>
      <c r="E40" s="67" t="n">
        <f aca="false">COUNTIFS(Offers!$B$7:$B$3000,$B40,Offers!$C$7:$C$3000,"Austria",Offers!$AI$7:$AI$3000,"yes")</f>
        <v>1</v>
      </c>
      <c r="F40" s="68" t="n">
        <f aca="false">IF(E40=0,"—",SUMIFS(Review!$I$7:$I$600,Review!$B$7:$B$600,$B40,Review!$C$7:$C$600,"Austria"))</f>
        <v>20.96</v>
      </c>
      <c r="G40" s="68" t="n">
        <f aca="false">IF(E40=0,"—",SUMIFS(Review!$J$7:$J$600,Review!$B$7:$B$600,$B40,Review!$C$7:$C$600,"Austria"))</f>
        <v>20.96</v>
      </c>
      <c r="H40" s="68" t="n">
        <f aca="false">IF(E40=0,"—",SUMIFS(Review!$K$7:$K$600,Review!$B$7:$B$600,$B40,Review!$C$7:$C$600,"Austria"))</f>
        <v>20.96</v>
      </c>
      <c r="I40" s="69" t="str">
        <f aca="false">IF(E40=0,"—",IF(F40&lt;G40*(1-$C$7),"median (cheapest is an outlier)",IF(F40*(1-$C$6)&lt;G40*(1-$C$5),"undercut cheapest","median")))</f>
        <v>median</v>
      </c>
      <c r="J40" s="70" t="n">
        <f aca="false">IF(E40=0,"—",IF(AND(ISNUMBER($D40),$D40*(1+$C$10)&gt;FLOOR(IF(F40&lt;G40*(1-$C$7),G40*(1-$C$5-IF(E40&lt;3,$C$8,0)),MIN(G40*(1-$C$5-IF(E40&lt;3,$C$8,0)),F40*(1-$C$6-IF(E40&lt;3,$C$8,0)))),IF(IF(F40&lt;G40*(1-$C$7),G40*(1-$C$5-IF(E40&lt;3,$C$8,0)),MIN(G40*(1-$C$5-IF(E40&lt;3,$C$8,0)),F40*(1-$C$6-IF(E40&lt;3,$C$8,0))))&lt;10,$C$9,IF(IF(F40&lt;G40*(1-$C$7),G40*(1-$C$5-IF(E40&lt;3,$C$8,0)),MIN(G40*(1-$C$5-IF(E40&lt;3,$C$8,0)),F40*(1-$C$6-IF(E40&lt;3,$C$8,0))))&lt;100,$D$9,$E$9)))),ROUND($D40*(1+$C$10),2),FLOOR(IF(F40&lt;G40*(1-$C$7),G40*(1-$C$5-IF(E40&lt;3,$C$8,0)),MIN(G40*(1-$C$5-IF(E40&lt;3,$C$8,0)),F40*(1-$C$6-IF(E40&lt;3,$C$8,0)))),IF(IF(F40&lt;G40*(1-$C$7),G40*(1-$C$5-IF(E40&lt;3,$C$8,0)),MIN(G40*(1-$C$5-IF(E40&lt;3,$C$8,0)),F40*(1-$C$6-IF(E40&lt;3,$C$8,0))))&lt;10,$C$9,IF(IF(F40&lt;G40*(1-$C$7),G40*(1-$C$5-IF(E40&lt;3,$C$8,0)),MIN(G40*(1-$C$5-IF(E40&lt;3,$C$8,0)),F40*(1-$C$6-IF(E40&lt;3,$C$8,0))))&lt;100,$D$9,$E$9)))))</f>
        <v>14.6</v>
      </c>
      <c r="K40" s="68" t="n">
        <f aca="false">IF(ISNUMBER($D40),$D40,"n/a")</f>
        <v>7.8</v>
      </c>
      <c r="L40" s="71" t="n">
        <f aca="false">IF(OR(E40=0,NOT(ISNUMBER($D40))),"—",J40/$D40-1)</f>
        <v>0.871794871794872</v>
      </c>
      <c r="M40" s="72" t="n">
        <f aca="false">IF(E40=0,"—",J40/F40-1)</f>
        <v>-0.303435114503817</v>
      </c>
      <c r="N40" s="72" t="n">
        <f aca="false">IF(E40=0,"—",J40/G40-1)</f>
        <v>-0.303435114503817</v>
      </c>
      <c r="O40" s="67" t="n">
        <f aca="false">COUNTIFS(Offers!$B$7:$B$3000,$B40,Offers!$C$7:$C$3000,"Germany",Offers!$AI$7:$AI$3000,"yes")</f>
        <v>1</v>
      </c>
      <c r="P40" s="68" t="n">
        <f aca="false">IF(O40=0,"—",SUMIFS(Review!$I$7:$I$600,Review!$B$7:$B$600,$B40,Review!$C$7:$C$600,"Germany"))</f>
        <v>6.58</v>
      </c>
      <c r="Q40" s="68" t="n">
        <f aca="false">IF(O40=0,"—",SUMIFS(Review!$J$7:$J$600,Review!$B$7:$B$600,$B40,Review!$C$7:$C$600,"Germany"))</f>
        <v>6.58</v>
      </c>
      <c r="R40" s="68" t="n">
        <f aca="false">IF(O40=0,"—",SUMIFS(Review!$K$7:$K$600,Review!$B$7:$B$600,$B40,Review!$C$7:$C$600,"Germany"))</f>
        <v>6.58</v>
      </c>
      <c r="S40" s="69" t="str">
        <f aca="false">IF(O40=0,"—",IF(P40&lt;Q40*(1-$C$7),"median (cheapest is an outlier)",IF(P40*(1-$C$6)&lt;Q40*(1-$C$5),"undercut cheapest","median")))</f>
        <v>median</v>
      </c>
      <c r="T40" s="70" t="n">
        <f aca="false">IF(O40=0,"—",IF(AND(ISNUMBER($D40),$D40*(1+$C$10)&gt;FLOOR(IF(P40&lt;Q40*(1-$C$7),Q40*(1-$C$5-IF(O40&lt;3,$C$8,0)),MIN(Q40*(1-$C$5-IF(O40&lt;3,$C$8,0)),P40*(1-$C$6-IF(O40&lt;3,$C$8,0)))),IF(IF(P40&lt;Q40*(1-$C$7),Q40*(1-$C$5-IF(O40&lt;3,$C$8,0)),MIN(Q40*(1-$C$5-IF(O40&lt;3,$C$8,0)),P40*(1-$C$6-IF(O40&lt;3,$C$8,0))))&lt;10,$C$9,IF(IF(P40&lt;Q40*(1-$C$7),Q40*(1-$C$5-IF(O40&lt;3,$C$8,0)),MIN(Q40*(1-$C$5-IF(O40&lt;3,$C$8,0)),P40*(1-$C$6-IF(O40&lt;3,$C$8,0))))&lt;100,$D$9,$E$9)))),ROUND($D40*(1+$C$10),2),FLOOR(IF(P40&lt;Q40*(1-$C$7),Q40*(1-$C$5-IF(O40&lt;3,$C$8,0)),MIN(Q40*(1-$C$5-IF(O40&lt;3,$C$8,0)),P40*(1-$C$6-IF(O40&lt;3,$C$8,0)))),IF(IF(P40&lt;Q40*(1-$C$7),Q40*(1-$C$5-IF(O40&lt;3,$C$8,0)),MIN(Q40*(1-$C$5-IF(O40&lt;3,$C$8,0)),P40*(1-$C$6-IF(O40&lt;3,$C$8,0))))&lt;10,$C$9,IF(IF(P40&lt;Q40*(1-$C$7),Q40*(1-$C$5-IF(O40&lt;3,$C$8,0)),MIN(Q40*(1-$C$5-IF(O40&lt;3,$C$8,0)),P40*(1-$C$6-IF(O40&lt;3,$C$8,0))))&lt;100,$D$9,$E$9)))))</f>
        <v>7.8</v>
      </c>
      <c r="U40" s="68" t="n">
        <f aca="false">IF(ISNUMBER($D40),$D40,"n/a")</f>
        <v>7.8</v>
      </c>
      <c r="V40" s="71" t="n">
        <f aca="false">IF(OR(O40=0,NOT(ISNUMBER($D40))),"—",T40/$D40-1)</f>
        <v>0</v>
      </c>
      <c r="W40" s="72" t="n">
        <f aca="false">IF(O40=0,"—",T40/P40-1)</f>
        <v>0.185410334346505</v>
      </c>
      <c r="X40" s="72" t="n">
        <f aca="false">IF(O40=0,"—",T40/Q40-1)</f>
        <v>0.185410334346505</v>
      </c>
      <c r="Y40" s="67" t="n">
        <f aca="false">COUNTIFS(Offers!$B$7:$B$3000,$B40,Offers!$C$7:$C$3000,"Czech",Offers!$AI$7:$AI$3000,"yes")</f>
        <v>1</v>
      </c>
      <c r="Z40" s="68" t="n">
        <f aca="false">IF(Y40=0,"—",SUMIFS(Review!$I$7:$I$600,Review!$B$7:$B$600,$B40,Review!$C$7:$C$600,"Czech"))</f>
        <v>36.612515</v>
      </c>
      <c r="AA40" s="68" t="n">
        <f aca="false">IF(Y40=0,"—",SUMIFS(Review!$J$7:$J$600,Review!$B$7:$B$600,$B40,Review!$C$7:$C$600,"Czech"))</f>
        <v>36.612515</v>
      </c>
      <c r="AB40" s="68" t="n">
        <f aca="false">IF(Y40=0,"—",SUMIFS(Review!$K$7:$K$600,Review!$B$7:$B$600,$B40,Review!$C$7:$C$600,"Czech"))</f>
        <v>36.612515</v>
      </c>
      <c r="AC40" s="69" t="str">
        <f aca="false">IF(Y40=0,"—",IF(Z40&lt;AA40*(1-$C$7),"median (cheapest is an outlier)",IF(Z40*(1-$C$6)&lt;AA40*(1-$C$5),"undercut cheapest","median")))</f>
        <v>median</v>
      </c>
      <c r="AD40" s="70" t="n">
        <f aca="false">IF(Y40=0,"—",IF(AND(ISNUMBER($D40),$D40*(1+$C$10)&gt;FLOOR(IF(Z40&lt;AA40*(1-$C$7),AA40*(1-$C$5-IF(Y40&lt;3,$C$8,0)),MIN(AA40*(1-$C$5-IF(Y40&lt;3,$C$8,0)),Z40*(1-$C$6-IF(Y40&lt;3,$C$8,0)))),IF(IF(Z40&lt;AA40*(1-$C$7),AA40*(1-$C$5-IF(Y40&lt;3,$C$8,0)),MIN(AA40*(1-$C$5-IF(Y40&lt;3,$C$8,0)),Z40*(1-$C$6-IF(Y40&lt;3,$C$8,0))))&lt;10,$C$9,IF(IF(Z40&lt;AA40*(1-$C$7),AA40*(1-$C$5-IF(Y40&lt;3,$C$8,0)),MIN(AA40*(1-$C$5-IF(Y40&lt;3,$C$8,0)),Z40*(1-$C$6-IF(Y40&lt;3,$C$8,0))))&lt;100,$D$9,$E$9)))),ROUND($D40*(1+$C$10),2),FLOOR(IF(Z40&lt;AA40*(1-$C$7),AA40*(1-$C$5-IF(Y40&lt;3,$C$8,0)),MIN(AA40*(1-$C$5-IF(Y40&lt;3,$C$8,0)),Z40*(1-$C$6-IF(Y40&lt;3,$C$8,0)))),IF(IF(Z40&lt;AA40*(1-$C$7),AA40*(1-$C$5-IF(Y40&lt;3,$C$8,0)),MIN(AA40*(1-$C$5-IF(Y40&lt;3,$C$8,0)),Z40*(1-$C$6-IF(Y40&lt;3,$C$8,0))))&lt;10,$C$9,IF(IF(Z40&lt;AA40*(1-$C$7),AA40*(1-$C$5-IF(Y40&lt;3,$C$8,0)),MIN(AA40*(1-$C$5-IF(Y40&lt;3,$C$8,0)),Z40*(1-$C$6-IF(Y40&lt;3,$C$8,0))))&lt;100,$D$9,$E$9)))))</f>
        <v>25.6</v>
      </c>
      <c r="AE40" s="73" t="n">
        <f aca="false">IF(Y40=0,"—",FLOOR(AD40*Sources!$G$10,1))</f>
        <v>625</v>
      </c>
      <c r="AF40" s="68" t="n">
        <f aca="false">IF(ISNUMBER($D40),$D40,"n/a")</f>
        <v>7.8</v>
      </c>
      <c r="AG40" s="71" t="n">
        <f aca="false">IF(OR(Y40=0,NOT(ISNUMBER($D40))),"—",AD40/$D40-1)</f>
        <v>2.28205128205128</v>
      </c>
      <c r="AH40" s="72" t="n">
        <f aca="false">IF(Y40=0,"—",AD40/Z40-1)</f>
        <v>-0.300785537404355</v>
      </c>
      <c r="AI40" s="72" t="n">
        <f aca="false">IF(Y40=0,"—",AD40/AA40-1)</f>
        <v>-0.300785537404355</v>
      </c>
      <c r="AJ40" s="67" t="n">
        <f aca="false">COUNTIFS(Offers!$B$7:$B$3000,$B40,Offers!$C$7:$C$3000,"Slovakia",Offers!$AI$7:$AI$3000,"yes")</f>
        <v>0</v>
      </c>
      <c r="AK40" s="68" t="str">
        <f aca="false">IF(AJ40=0,"—",SUMIFS(Review!$I$7:$I$600,Review!$B$7:$B$600,$B40,Review!$C$7:$C$600,"Slovakia"))</f>
        <v>—</v>
      </c>
      <c r="AL40" s="68" t="str">
        <f aca="false">IF(AJ40=0,"—",SUMIFS(Review!$J$7:$J$600,Review!$B$7:$B$600,$B40,Review!$C$7:$C$600,"Slovakia"))</f>
        <v>—</v>
      </c>
      <c r="AM40" s="68" t="str">
        <f aca="false">IF(AJ40=0,"—",SUMIFS(Review!$K$7:$K$600,Review!$B$7:$B$600,$B40,Review!$C$7:$C$600,"Slovakia"))</f>
        <v>—</v>
      </c>
      <c r="AN40" s="69" t="str">
        <f aca="false">IF(AJ40=0,"—",IF(AK40&lt;AL40*(1-$C$7),"median (cheapest is an outlier)",IF(AK40*(1-$C$6)&lt;AL40*(1-$C$5),"undercut cheapest","median")))</f>
        <v>—</v>
      </c>
      <c r="AO40" s="70" t="str">
        <f aca="false">IF(AJ40=0,"—",IF(AND(ISNUMBER($D40),$D40*(1+$C$10)&gt;FLOOR(IF(AK40&lt;AL40*(1-$C$7),AL40*(1-$C$5-IF(AJ40&lt;3,$C$8,0)),MIN(AL40*(1-$C$5-IF(AJ40&lt;3,$C$8,0)),AK40*(1-$C$6-IF(AJ40&lt;3,$C$8,0)))),IF(IF(AK40&lt;AL40*(1-$C$7),AL40*(1-$C$5-IF(AJ40&lt;3,$C$8,0)),MIN(AL40*(1-$C$5-IF(AJ40&lt;3,$C$8,0)),AK40*(1-$C$6-IF(AJ40&lt;3,$C$8,0))))&lt;10,$C$9,IF(IF(AK40&lt;AL40*(1-$C$7),AL40*(1-$C$5-IF(AJ40&lt;3,$C$8,0)),MIN(AL40*(1-$C$5-IF(AJ40&lt;3,$C$8,0)),AK40*(1-$C$6-IF(AJ40&lt;3,$C$8,0))))&lt;100,$D$9,$E$9)))),ROUND($D40*(1+$C$10),2),FLOOR(IF(AK40&lt;AL40*(1-$C$7),AL40*(1-$C$5-IF(AJ40&lt;3,$C$8,0)),MIN(AL40*(1-$C$5-IF(AJ40&lt;3,$C$8,0)),AK40*(1-$C$6-IF(AJ40&lt;3,$C$8,0)))),IF(IF(AK40&lt;AL40*(1-$C$7),AL40*(1-$C$5-IF(AJ40&lt;3,$C$8,0)),MIN(AL40*(1-$C$5-IF(AJ40&lt;3,$C$8,0)),AK40*(1-$C$6-IF(AJ40&lt;3,$C$8,0))))&lt;10,$C$9,IF(IF(AK40&lt;AL40*(1-$C$7),AL40*(1-$C$5-IF(AJ40&lt;3,$C$8,0)),MIN(AL40*(1-$C$5-IF(AJ40&lt;3,$C$8,0)),AK40*(1-$C$6-IF(AJ40&lt;3,$C$8,0))))&lt;100,$D$9,$E$9)))))</f>
        <v>—</v>
      </c>
      <c r="AP40" s="68" t="n">
        <f aca="false">IF(ISNUMBER($D40),$D40,"n/a")</f>
        <v>7.8</v>
      </c>
      <c r="AQ40" s="71" t="str">
        <f aca="false">IF(OR(AJ40=0,NOT(ISNUMBER($D40))),"—",AO40/$D40-1)</f>
        <v>—</v>
      </c>
      <c r="AR40" s="72" t="str">
        <f aca="false">IF(AJ40=0,"—",AO40/AK40-1)</f>
        <v>—</v>
      </c>
      <c r="AS40" s="72" t="str">
        <f aca="false">IF(AJ40=0,"—",AO40/AL40-1)</f>
        <v>—</v>
      </c>
      <c r="AT40" s="67" t="n">
        <f aca="false">COUNTIFS(Offers!$B$7:$B$3000,$B40,Offers!$C$7:$C$3000,"Romania",Offers!$AI$7:$AI$3000,"yes")</f>
        <v>0</v>
      </c>
      <c r="AU40" s="68" t="str">
        <f aca="false">IF(AT40=0,"—",SUMIFS(Review!$I$7:$I$600,Review!$B$7:$B$600,$B40,Review!$C$7:$C$600,"Romania"))</f>
        <v>—</v>
      </c>
      <c r="AV40" s="68" t="str">
        <f aca="false">IF(AT40=0,"—",SUMIFS(Review!$J$7:$J$600,Review!$B$7:$B$600,$B40,Review!$C$7:$C$600,"Romania"))</f>
        <v>—</v>
      </c>
      <c r="AW40" s="68" t="str">
        <f aca="false">IF(AT40=0,"—",SUMIFS(Review!$K$7:$K$600,Review!$B$7:$B$600,$B40,Review!$C$7:$C$600,"Romania"))</f>
        <v>—</v>
      </c>
      <c r="AX40" s="69" t="str">
        <f aca="false">IF(AT40=0,"—",IF(AU40&lt;AV40*(1-$C$7),"median (cheapest is an outlier)",IF(AU40*(1-$C$6)&lt;AV40*(1-$C$5),"undercut cheapest","median")))</f>
        <v>—</v>
      </c>
      <c r="AY40" s="70" t="str">
        <f aca="false">IF(AT40=0,"—",IF(AND(ISNUMBER($D40),$D40*(1+$C$10)&gt;FLOOR(IF(AU40&lt;AV40*(1-$C$7),AV40*(1-$C$5-IF(AT40&lt;3,$C$8,0)),MIN(AV40*(1-$C$5-IF(AT40&lt;3,$C$8,0)),AU40*(1-$C$6-IF(AT40&lt;3,$C$8,0)))),IF(IF(AU40&lt;AV40*(1-$C$7),AV40*(1-$C$5-IF(AT40&lt;3,$C$8,0)),MIN(AV40*(1-$C$5-IF(AT40&lt;3,$C$8,0)),AU40*(1-$C$6-IF(AT40&lt;3,$C$8,0))))&lt;10,$C$9,IF(IF(AU40&lt;AV40*(1-$C$7),AV40*(1-$C$5-IF(AT40&lt;3,$C$8,0)),MIN(AV40*(1-$C$5-IF(AT40&lt;3,$C$8,0)),AU40*(1-$C$6-IF(AT40&lt;3,$C$8,0))))&lt;100,$D$9,$E$9)))),ROUND($D40*(1+$C$10),2),FLOOR(IF(AU40&lt;AV40*(1-$C$7),AV40*(1-$C$5-IF(AT40&lt;3,$C$8,0)),MIN(AV40*(1-$C$5-IF(AT40&lt;3,$C$8,0)),AU40*(1-$C$6-IF(AT40&lt;3,$C$8,0)))),IF(IF(AU40&lt;AV40*(1-$C$7),AV40*(1-$C$5-IF(AT40&lt;3,$C$8,0)),MIN(AV40*(1-$C$5-IF(AT40&lt;3,$C$8,0)),AU40*(1-$C$6-IF(AT40&lt;3,$C$8,0))))&lt;10,$C$9,IF(IF(AU40&lt;AV40*(1-$C$7),AV40*(1-$C$5-IF(AT40&lt;3,$C$8,0)),MIN(AV40*(1-$C$5-IF(AT40&lt;3,$C$8,0)),AU40*(1-$C$6-IF(AT40&lt;3,$C$8,0))))&lt;100,$D$9,$E$9)))))</f>
        <v>—</v>
      </c>
      <c r="AZ40" s="70" t="str">
        <f aca="false">IF(AT40=0,"—",FLOOR(AY40*Sources!$G$9,0.1))</f>
        <v>—</v>
      </c>
      <c r="BA40" s="68" t="n">
        <f aca="false">IF(ISNUMBER($D40),$D40,"n/a")</f>
        <v>7.8</v>
      </c>
      <c r="BB40" s="71" t="str">
        <f aca="false">IF(OR(AT40=0,NOT(ISNUMBER($D40))),"—",AY40/$D40-1)</f>
        <v>—</v>
      </c>
      <c r="BC40" s="72" t="str">
        <f aca="false">IF(AT40=0,"—",AY40/AU40-1)</f>
        <v>—</v>
      </c>
      <c r="BD40" s="72" t="str">
        <f aca="false">IF(AT40=0,"—",AY40/AV40-1)</f>
        <v>—</v>
      </c>
      <c r="BE40" s="67" t="n">
        <f aca="false">COUNTIFS(Offers!$B$7:$B$3000,$B40,Offers!$C$7:$C$3000,"Hungary",Offers!$AI$7:$AI$3000,"yes")</f>
        <v>0</v>
      </c>
      <c r="BF40" s="68" t="str">
        <f aca="false">IF(BE40=0,"—",SUMIFS(Review!$I$7:$I$600,Review!$B$7:$B$600,$B40,Review!$C$7:$C$600,"Hungary"))</f>
        <v>—</v>
      </c>
      <c r="BG40" s="68" t="str">
        <f aca="false">IF(BE40=0,"—",SUMIFS(Review!$J$7:$J$600,Review!$B$7:$B$600,$B40,Review!$C$7:$C$600,"Hungary"))</f>
        <v>—</v>
      </c>
      <c r="BH40" s="68" t="str">
        <f aca="false">IF(BE40=0,"—",SUMIFS(Review!$K$7:$K$600,Review!$B$7:$B$600,$B40,Review!$C$7:$C$600,"Hungary"))</f>
        <v>—</v>
      </c>
      <c r="BI40" s="69" t="str">
        <f aca="false">IF(BE40=0,"—",IF(BF40&lt;BG40*(1-$C$7),"median (cheapest is an outlier)",IF(BF40*(1-$C$6)&lt;BG40*(1-$C$5),"undercut cheapest","median")))</f>
        <v>—</v>
      </c>
      <c r="BJ40" s="70" t="str">
        <f aca="false">IF(BE40=0,"—",IF(AND(ISNUMBER($D40),$D40*(1+$C$10)&gt;FLOOR(IF(BF40&lt;BG40*(1-$C$7),BG40*(1-$C$5-IF(BE40&lt;3,$C$8,0)),MIN(BG40*(1-$C$5-IF(BE40&lt;3,$C$8,0)),BF40*(1-$C$6-IF(BE40&lt;3,$C$8,0)))),IF(IF(BF40&lt;BG40*(1-$C$7),BG40*(1-$C$5-IF(BE40&lt;3,$C$8,0)),MIN(BG40*(1-$C$5-IF(BE40&lt;3,$C$8,0)),BF40*(1-$C$6-IF(BE40&lt;3,$C$8,0))))&lt;10,$C$9,IF(IF(BF40&lt;BG40*(1-$C$7),BG40*(1-$C$5-IF(BE40&lt;3,$C$8,0)),MIN(BG40*(1-$C$5-IF(BE40&lt;3,$C$8,0)),BF40*(1-$C$6-IF(BE40&lt;3,$C$8,0))))&lt;100,$D$9,$E$9)))),ROUND($D40*(1+$C$10),2),FLOOR(IF(BF40&lt;BG40*(1-$C$7),BG40*(1-$C$5-IF(BE40&lt;3,$C$8,0)),MIN(BG40*(1-$C$5-IF(BE40&lt;3,$C$8,0)),BF40*(1-$C$6-IF(BE40&lt;3,$C$8,0)))),IF(IF(BF40&lt;BG40*(1-$C$7),BG40*(1-$C$5-IF(BE40&lt;3,$C$8,0)),MIN(BG40*(1-$C$5-IF(BE40&lt;3,$C$8,0)),BF40*(1-$C$6-IF(BE40&lt;3,$C$8,0))))&lt;10,$C$9,IF(IF(BF40&lt;BG40*(1-$C$7),BG40*(1-$C$5-IF(BE40&lt;3,$C$8,0)),MIN(BG40*(1-$C$5-IF(BE40&lt;3,$C$8,0)),BF40*(1-$C$6-IF(BE40&lt;3,$C$8,0))))&lt;100,$D$9,$E$9)))))</f>
        <v>—</v>
      </c>
      <c r="BK40" s="73" t="str">
        <f aca="false">IF(BE40=0,"—",FLOOR(BJ40*Sources!$G$8,10))</f>
        <v>—</v>
      </c>
      <c r="BL40" s="68" t="n">
        <f aca="false">IF(ISNUMBER($D40),$D40,"n/a")</f>
        <v>7.8</v>
      </c>
      <c r="BM40" s="71" t="str">
        <f aca="false">IF(OR(BE40=0,NOT(ISNUMBER($D40))),"—",BJ40/$D40-1)</f>
        <v>—</v>
      </c>
      <c r="BN40" s="72" t="str">
        <f aca="false">IF(BE40=0,"—",BJ40/BF40-1)</f>
        <v>—</v>
      </c>
      <c r="BO40" s="72" t="str">
        <f aca="false">IF(BE40=0,"—",BJ40/BG40-1)</f>
        <v>—</v>
      </c>
    </row>
    <row r="41" customFormat="false" ht="15" hidden="false" customHeight="true" outlineLevel="0" collapsed="false">
      <c r="B41" s="1" t="s">
        <v>57</v>
      </c>
      <c r="C41" s="1" t="s">
        <v>166</v>
      </c>
      <c r="D41" s="58" t="n">
        <v>5.775</v>
      </c>
      <c r="E41" s="59" t="n">
        <f aca="false">COUNTIFS(Offers!$B$7:$B$3000,$B41,Offers!$C$7:$C$3000,"Austria",Offers!$AI$7:$AI$3000,"yes")</f>
        <v>6</v>
      </c>
      <c r="F41" s="60" t="n">
        <f aca="false">IF(E41=0,"—",SUMIFS(Review!$I$7:$I$600,Review!$B$7:$B$600,$B41,Review!$C$7:$C$600,"Austria"))</f>
        <v>9.12</v>
      </c>
      <c r="G41" s="60" t="n">
        <f aca="false">IF(E41=0,"—",SUMIFS(Review!$J$7:$J$600,Review!$B$7:$B$600,$B41,Review!$C$7:$C$600,"Austria"))</f>
        <v>21.46</v>
      </c>
      <c r="H41" s="60" t="n">
        <f aca="false">IF(E41=0,"—",SUMIFS(Review!$K$7:$K$600,Review!$B$7:$B$600,$B41,Review!$C$7:$C$600,"Austria"))</f>
        <v>38</v>
      </c>
      <c r="I41" s="61" t="str">
        <f aca="false">IF(E41=0,"—",IF(F41&lt;G41*(1-$C$7),"median (cheapest is an outlier)",IF(F41*(1-$C$6)&lt;G41*(1-$C$5),"undercut cheapest","median")))</f>
        <v>median (cheapest is an outlier)</v>
      </c>
      <c r="J41" s="62" t="n">
        <f aca="false">IF(E41=0,"—",IF(AND(ISNUMBER($D41),$D41*(1+$C$10)&gt;FLOOR(IF(F41&lt;G41*(1-$C$7),G41*(1-$C$5-IF(E41&lt;3,$C$8,0)),MIN(G41*(1-$C$5-IF(E41&lt;3,$C$8,0)),F41*(1-$C$6-IF(E41&lt;3,$C$8,0)))),IF(IF(F41&lt;G41*(1-$C$7),G41*(1-$C$5-IF(E41&lt;3,$C$8,0)),MIN(G41*(1-$C$5-IF(E41&lt;3,$C$8,0)),F41*(1-$C$6-IF(E41&lt;3,$C$8,0))))&lt;10,$C$9,IF(IF(F41&lt;G41*(1-$C$7),G41*(1-$C$5-IF(E41&lt;3,$C$8,0)),MIN(G41*(1-$C$5-IF(E41&lt;3,$C$8,0)),F41*(1-$C$6-IF(E41&lt;3,$C$8,0))))&lt;100,$D$9,$E$9)))),ROUND($D41*(1+$C$10),2),FLOOR(IF(F41&lt;G41*(1-$C$7),G41*(1-$C$5-IF(E41&lt;3,$C$8,0)),MIN(G41*(1-$C$5-IF(E41&lt;3,$C$8,0)),F41*(1-$C$6-IF(E41&lt;3,$C$8,0)))),IF(IF(F41&lt;G41*(1-$C$7),G41*(1-$C$5-IF(E41&lt;3,$C$8,0)),MIN(G41*(1-$C$5-IF(E41&lt;3,$C$8,0)),F41*(1-$C$6-IF(E41&lt;3,$C$8,0))))&lt;10,$C$9,IF(IF(F41&lt;G41*(1-$C$7),G41*(1-$C$5-IF(E41&lt;3,$C$8,0)),MIN(G41*(1-$C$5-IF(E41&lt;3,$C$8,0)),F41*(1-$C$6-IF(E41&lt;3,$C$8,0))))&lt;100,$D$9,$E$9)))))</f>
        <v>16</v>
      </c>
      <c r="K41" s="60" t="n">
        <f aca="false">IF(ISNUMBER($D41),$D41,"n/a")</f>
        <v>5.775</v>
      </c>
      <c r="L41" s="63" t="n">
        <f aca="false">IF(OR(E41=0,NOT(ISNUMBER($D41))),"—",J41/$D41-1)</f>
        <v>1.77056277056277</v>
      </c>
      <c r="M41" s="64" t="n">
        <f aca="false">IF(E41=0,"—",J41/F41-1)</f>
        <v>0.754385964912281</v>
      </c>
      <c r="N41" s="64" t="n">
        <f aca="false">IF(E41=0,"—",J41/G41-1)</f>
        <v>-0.254426840633737</v>
      </c>
      <c r="O41" s="59" t="n">
        <f aca="false">COUNTIFS(Offers!$B$7:$B$3000,$B41,Offers!$C$7:$C$3000,"Germany",Offers!$AI$7:$AI$3000,"yes")</f>
        <v>3</v>
      </c>
      <c r="P41" s="60" t="n">
        <f aca="false">IF(O41=0,"—",SUMIFS(Review!$I$7:$I$600,Review!$B$7:$B$600,$B41,Review!$C$7:$C$600,"Germany"))</f>
        <v>9.37</v>
      </c>
      <c r="Q41" s="60" t="n">
        <f aca="false">IF(O41=0,"—",SUMIFS(Review!$J$7:$J$600,Review!$B$7:$B$600,$B41,Review!$C$7:$C$600,"Germany"))</f>
        <v>9.4</v>
      </c>
      <c r="R41" s="60" t="n">
        <f aca="false">IF(O41=0,"—",SUMIFS(Review!$K$7:$K$600,Review!$B$7:$B$600,$B41,Review!$C$7:$C$600,"Germany"))</f>
        <v>9.88</v>
      </c>
      <c r="S41" s="61" t="str">
        <f aca="false">IF(O41=0,"—",IF(P41&lt;Q41*(1-$C$7),"median (cheapest is an outlier)",IF(P41*(1-$C$6)&lt;Q41*(1-$C$5),"undercut cheapest","median")))</f>
        <v>median</v>
      </c>
      <c r="T41" s="62" t="n">
        <f aca="false">IF(O41=0,"—",IF(AND(ISNUMBER($D41),$D41*(1+$C$10)&gt;FLOOR(IF(P41&lt;Q41*(1-$C$7),Q41*(1-$C$5-IF(O41&lt;3,$C$8,0)),MIN(Q41*(1-$C$5-IF(O41&lt;3,$C$8,0)),P41*(1-$C$6-IF(O41&lt;3,$C$8,0)))),IF(IF(P41&lt;Q41*(1-$C$7),Q41*(1-$C$5-IF(O41&lt;3,$C$8,0)),MIN(Q41*(1-$C$5-IF(O41&lt;3,$C$8,0)),P41*(1-$C$6-IF(O41&lt;3,$C$8,0))))&lt;10,$C$9,IF(IF(P41&lt;Q41*(1-$C$7),Q41*(1-$C$5-IF(O41&lt;3,$C$8,0)),MIN(Q41*(1-$C$5-IF(O41&lt;3,$C$8,0)),P41*(1-$C$6-IF(O41&lt;3,$C$8,0))))&lt;100,$D$9,$E$9)))),ROUND($D41*(1+$C$10),2),FLOOR(IF(P41&lt;Q41*(1-$C$7),Q41*(1-$C$5-IF(O41&lt;3,$C$8,0)),MIN(Q41*(1-$C$5-IF(O41&lt;3,$C$8,0)),P41*(1-$C$6-IF(O41&lt;3,$C$8,0)))),IF(IF(P41&lt;Q41*(1-$C$7),Q41*(1-$C$5-IF(O41&lt;3,$C$8,0)),MIN(Q41*(1-$C$5-IF(O41&lt;3,$C$8,0)),P41*(1-$C$6-IF(O41&lt;3,$C$8,0))))&lt;10,$C$9,IF(IF(P41&lt;Q41*(1-$C$7),Q41*(1-$C$5-IF(O41&lt;3,$C$8,0)),MIN(Q41*(1-$C$5-IF(O41&lt;3,$C$8,0)),P41*(1-$C$6-IF(O41&lt;3,$C$8,0))))&lt;100,$D$9,$E$9)))))</f>
        <v>7.05</v>
      </c>
      <c r="U41" s="60" t="n">
        <f aca="false">IF(ISNUMBER($D41),$D41,"n/a")</f>
        <v>5.775</v>
      </c>
      <c r="V41" s="63" t="n">
        <f aca="false">IF(OR(O41=0,NOT(ISNUMBER($D41))),"—",T41/$D41-1)</f>
        <v>0.220779220779221</v>
      </c>
      <c r="W41" s="64" t="n">
        <f aca="false">IF(O41=0,"—",T41/P41-1)</f>
        <v>-0.247598719316969</v>
      </c>
      <c r="X41" s="64" t="n">
        <f aca="false">IF(O41=0,"—",T41/Q41-1)</f>
        <v>-0.25</v>
      </c>
      <c r="Y41" s="59" t="n">
        <f aca="false">COUNTIFS(Offers!$B$7:$B$3000,$B41,Offers!$C$7:$C$3000,"Czech",Offers!$AI$7:$AI$3000,"yes")</f>
        <v>4</v>
      </c>
      <c r="Z41" s="60" t="n">
        <f aca="false">IF(Y41=0,"—",SUMIFS(Review!$I$7:$I$600,Review!$B$7:$B$600,$B41,Review!$C$7:$C$600,"Czech"))</f>
        <v>8.96755</v>
      </c>
      <c r="AA41" s="60" t="n">
        <f aca="false">IF(Y41=0,"—",SUMIFS(Review!$J$7:$J$600,Review!$B$7:$B$600,$B41,Review!$C$7:$C$600,"Czech"))</f>
        <v>10.5576095</v>
      </c>
      <c r="AB41" s="60" t="n">
        <f aca="false">IF(Y41=0,"—",SUMIFS(Review!$K$7:$K$600,Review!$B$7:$B$600,$B41,Review!$C$7:$C$600,"Czech"))</f>
        <v>11.471274</v>
      </c>
      <c r="AC41" s="61" t="str">
        <f aca="false">IF(Y41=0,"—",IF(Z41&lt;AA41*(1-$C$7),"median (cheapest is an outlier)",IF(Z41*(1-$C$6)&lt;AA41*(1-$C$5),"undercut cheapest","median")))</f>
        <v>median</v>
      </c>
      <c r="AD41" s="62" t="n">
        <f aca="false">IF(Y41=0,"—",IF(AND(ISNUMBER($D41),$D41*(1+$C$10)&gt;FLOOR(IF(Z41&lt;AA41*(1-$C$7),AA41*(1-$C$5-IF(Y41&lt;3,$C$8,0)),MIN(AA41*(1-$C$5-IF(Y41&lt;3,$C$8,0)),Z41*(1-$C$6-IF(Y41&lt;3,$C$8,0)))),IF(IF(Z41&lt;AA41*(1-$C$7),AA41*(1-$C$5-IF(Y41&lt;3,$C$8,0)),MIN(AA41*(1-$C$5-IF(Y41&lt;3,$C$8,0)),Z41*(1-$C$6-IF(Y41&lt;3,$C$8,0))))&lt;10,$C$9,IF(IF(Z41&lt;AA41*(1-$C$7),AA41*(1-$C$5-IF(Y41&lt;3,$C$8,0)),MIN(AA41*(1-$C$5-IF(Y41&lt;3,$C$8,0)),Z41*(1-$C$6-IF(Y41&lt;3,$C$8,0))))&lt;100,$D$9,$E$9)))),ROUND($D41*(1+$C$10),2),FLOOR(IF(Z41&lt;AA41*(1-$C$7),AA41*(1-$C$5-IF(Y41&lt;3,$C$8,0)),MIN(AA41*(1-$C$5-IF(Y41&lt;3,$C$8,0)),Z41*(1-$C$6-IF(Y41&lt;3,$C$8,0)))),IF(IF(Z41&lt;AA41*(1-$C$7),AA41*(1-$C$5-IF(Y41&lt;3,$C$8,0)),MIN(AA41*(1-$C$5-IF(Y41&lt;3,$C$8,0)),Z41*(1-$C$6-IF(Y41&lt;3,$C$8,0))))&lt;10,$C$9,IF(IF(Z41&lt;AA41*(1-$C$7),AA41*(1-$C$5-IF(Y41&lt;3,$C$8,0)),MIN(AA41*(1-$C$5-IF(Y41&lt;3,$C$8,0)),Z41*(1-$C$6-IF(Y41&lt;3,$C$8,0))))&lt;100,$D$9,$E$9)))))</f>
        <v>7.9</v>
      </c>
      <c r="AE41" s="65" t="n">
        <f aca="false">IF(Y41=0,"—",FLOOR(AD41*Sources!$G$10,1))</f>
        <v>192</v>
      </c>
      <c r="AF41" s="60" t="n">
        <f aca="false">IF(ISNUMBER($D41),$D41,"n/a")</f>
        <v>5.775</v>
      </c>
      <c r="AG41" s="63" t="n">
        <f aca="false">IF(OR(Y41=0,NOT(ISNUMBER($D41))),"—",AD41/$D41-1)</f>
        <v>0.367965367965368</v>
      </c>
      <c r="AH41" s="64" t="n">
        <f aca="false">IF(Y41=0,"—",AD41/Z41-1)</f>
        <v>-0.119045893248435</v>
      </c>
      <c r="AI41" s="64" t="n">
        <f aca="false">IF(Y41=0,"—",AD41/AA41-1)</f>
        <v>-0.251724549956124</v>
      </c>
      <c r="AJ41" s="59" t="n">
        <f aca="false">COUNTIFS(Offers!$B$7:$B$3000,$B41,Offers!$C$7:$C$3000,"Slovakia",Offers!$AI$7:$AI$3000,"yes")</f>
        <v>0</v>
      </c>
      <c r="AK41" s="60" t="str">
        <f aca="false">IF(AJ41=0,"—",SUMIFS(Review!$I$7:$I$600,Review!$B$7:$B$600,$B41,Review!$C$7:$C$600,"Slovakia"))</f>
        <v>—</v>
      </c>
      <c r="AL41" s="60" t="str">
        <f aca="false">IF(AJ41=0,"—",SUMIFS(Review!$J$7:$J$600,Review!$B$7:$B$600,$B41,Review!$C$7:$C$600,"Slovakia"))</f>
        <v>—</v>
      </c>
      <c r="AM41" s="60" t="str">
        <f aca="false">IF(AJ41=0,"—",SUMIFS(Review!$K$7:$K$600,Review!$B$7:$B$600,$B41,Review!$C$7:$C$600,"Slovakia"))</f>
        <v>—</v>
      </c>
      <c r="AN41" s="61" t="str">
        <f aca="false">IF(AJ41=0,"—",IF(AK41&lt;AL41*(1-$C$7),"median (cheapest is an outlier)",IF(AK41*(1-$C$6)&lt;AL41*(1-$C$5),"undercut cheapest","median")))</f>
        <v>—</v>
      </c>
      <c r="AO41" s="62" t="str">
        <f aca="false">IF(AJ41=0,"—",IF(AND(ISNUMBER($D41),$D41*(1+$C$10)&gt;FLOOR(IF(AK41&lt;AL41*(1-$C$7),AL41*(1-$C$5-IF(AJ41&lt;3,$C$8,0)),MIN(AL41*(1-$C$5-IF(AJ41&lt;3,$C$8,0)),AK41*(1-$C$6-IF(AJ41&lt;3,$C$8,0)))),IF(IF(AK41&lt;AL41*(1-$C$7),AL41*(1-$C$5-IF(AJ41&lt;3,$C$8,0)),MIN(AL41*(1-$C$5-IF(AJ41&lt;3,$C$8,0)),AK41*(1-$C$6-IF(AJ41&lt;3,$C$8,0))))&lt;10,$C$9,IF(IF(AK41&lt;AL41*(1-$C$7),AL41*(1-$C$5-IF(AJ41&lt;3,$C$8,0)),MIN(AL41*(1-$C$5-IF(AJ41&lt;3,$C$8,0)),AK41*(1-$C$6-IF(AJ41&lt;3,$C$8,0))))&lt;100,$D$9,$E$9)))),ROUND($D41*(1+$C$10),2),FLOOR(IF(AK41&lt;AL41*(1-$C$7),AL41*(1-$C$5-IF(AJ41&lt;3,$C$8,0)),MIN(AL41*(1-$C$5-IF(AJ41&lt;3,$C$8,0)),AK41*(1-$C$6-IF(AJ41&lt;3,$C$8,0)))),IF(IF(AK41&lt;AL41*(1-$C$7),AL41*(1-$C$5-IF(AJ41&lt;3,$C$8,0)),MIN(AL41*(1-$C$5-IF(AJ41&lt;3,$C$8,0)),AK41*(1-$C$6-IF(AJ41&lt;3,$C$8,0))))&lt;10,$C$9,IF(IF(AK41&lt;AL41*(1-$C$7),AL41*(1-$C$5-IF(AJ41&lt;3,$C$8,0)),MIN(AL41*(1-$C$5-IF(AJ41&lt;3,$C$8,0)),AK41*(1-$C$6-IF(AJ41&lt;3,$C$8,0))))&lt;100,$D$9,$E$9)))))</f>
        <v>—</v>
      </c>
      <c r="AP41" s="60" t="n">
        <f aca="false">IF(ISNUMBER($D41),$D41,"n/a")</f>
        <v>5.775</v>
      </c>
      <c r="AQ41" s="63" t="str">
        <f aca="false">IF(OR(AJ41=0,NOT(ISNUMBER($D41))),"—",AO41/$D41-1)</f>
        <v>—</v>
      </c>
      <c r="AR41" s="64" t="str">
        <f aca="false">IF(AJ41=0,"—",AO41/AK41-1)</f>
        <v>—</v>
      </c>
      <c r="AS41" s="64" t="str">
        <f aca="false">IF(AJ41=0,"—",AO41/AL41-1)</f>
        <v>—</v>
      </c>
      <c r="AT41" s="59" t="n">
        <f aca="false">COUNTIFS(Offers!$B$7:$B$3000,$B41,Offers!$C$7:$C$3000,"Romania",Offers!$AI$7:$AI$3000,"yes")</f>
        <v>0</v>
      </c>
      <c r="AU41" s="60" t="str">
        <f aca="false">IF(AT41=0,"—",SUMIFS(Review!$I$7:$I$600,Review!$B$7:$B$600,$B41,Review!$C$7:$C$600,"Romania"))</f>
        <v>—</v>
      </c>
      <c r="AV41" s="60" t="str">
        <f aca="false">IF(AT41=0,"—",SUMIFS(Review!$J$7:$J$600,Review!$B$7:$B$600,$B41,Review!$C$7:$C$600,"Romania"))</f>
        <v>—</v>
      </c>
      <c r="AW41" s="60" t="str">
        <f aca="false">IF(AT41=0,"—",SUMIFS(Review!$K$7:$K$600,Review!$B$7:$B$600,$B41,Review!$C$7:$C$600,"Romania"))</f>
        <v>—</v>
      </c>
      <c r="AX41" s="61" t="str">
        <f aca="false">IF(AT41=0,"—",IF(AU41&lt;AV41*(1-$C$7),"median (cheapest is an outlier)",IF(AU41*(1-$C$6)&lt;AV41*(1-$C$5),"undercut cheapest","median")))</f>
        <v>—</v>
      </c>
      <c r="AY41" s="62" t="str">
        <f aca="false">IF(AT41=0,"—",IF(AND(ISNUMBER($D41),$D41*(1+$C$10)&gt;FLOOR(IF(AU41&lt;AV41*(1-$C$7),AV41*(1-$C$5-IF(AT41&lt;3,$C$8,0)),MIN(AV41*(1-$C$5-IF(AT41&lt;3,$C$8,0)),AU41*(1-$C$6-IF(AT41&lt;3,$C$8,0)))),IF(IF(AU41&lt;AV41*(1-$C$7),AV41*(1-$C$5-IF(AT41&lt;3,$C$8,0)),MIN(AV41*(1-$C$5-IF(AT41&lt;3,$C$8,0)),AU41*(1-$C$6-IF(AT41&lt;3,$C$8,0))))&lt;10,$C$9,IF(IF(AU41&lt;AV41*(1-$C$7),AV41*(1-$C$5-IF(AT41&lt;3,$C$8,0)),MIN(AV41*(1-$C$5-IF(AT41&lt;3,$C$8,0)),AU41*(1-$C$6-IF(AT41&lt;3,$C$8,0))))&lt;100,$D$9,$E$9)))),ROUND($D41*(1+$C$10),2),FLOOR(IF(AU41&lt;AV41*(1-$C$7),AV41*(1-$C$5-IF(AT41&lt;3,$C$8,0)),MIN(AV41*(1-$C$5-IF(AT41&lt;3,$C$8,0)),AU41*(1-$C$6-IF(AT41&lt;3,$C$8,0)))),IF(IF(AU41&lt;AV41*(1-$C$7),AV41*(1-$C$5-IF(AT41&lt;3,$C$8,0)),MIN(AV41*(1-$C$5-IF(AT41&lt;3,$C$8,0)),AU41*(1-$C$6-IF(AT41&lt;3,$C$8,0))))&lt;10,$C$9,IF(IF(AU41&lt;AV41*(1-$C$7),AV41*(1-$C$5-IF(AT41&lt;3,$C$8,0)),MIN(AV41*(1-$C$5-IF(AT41&lt;3,$C$8,0)),AU41*(1-$C$6-IF(AT41&lt;3,$C$8,0))))&lt;100,$D$9,$E$9)))))</f>
        <v>—</v>
      </c>
      <c r="AZ41" s="62" t="str">
        <f aca="false">IF(AT41=0,"—",FLOOR(AY41*Sources!$G$9,0.1))</f>
        <v>—</v>
      </c>
      <c r="BA41" s="60" t="n">
        <f aca="false">IF(ISNUMBER($D41),$D41,"n/a")</f>
        <v>5.775</v>
      </c>
      <c r="BB41" s="63" t="str">
        <f aca="false">IF(OR(AT41=0,NOT(ISNUMBER($D41))),"—",AY41/$D41-1)</f>
        <v>—</v>
      </c>
      <c r="BC41" s="64" t="str">
        <f aca="false">IF(AT41=0,"—",AY41/AU41-1)</f>
        <v>—</v>
      </c>
      <c r="BD41" s="64" t="str">
        <f aca="false">IF(AT41=0,"—",AY41/AV41-1)</f>
        <v>—</v>
      </c>
      <c r="BE41" s="59" t="n">
        <f aca="false">COUNTIFS(Offers!$B$7:$B$3000,$B41,Offers!$C$7:$C$3000,"Hungary",Offers!$AI$7:$AI$3000,"yes")</f>
        <v>0</v>
      </c>
      <c r="BF41" s="60" t="str">
        <f aca="false">IF(BE41=0,"—",SUMIFS(Review!$I$7:$I$600,Review!$B$7:$B$600,$B41,Review!$C$7:$C$600,"Hungary"))</f>
        <v>—</v>
      </c>
      <c r="BG41" s="60" t="str">
        <f aca="false">IF(BE41=0,"—",SUMIFS(Review!$J$7:$J$600,Review!$B$7:$B$600,$B41,Review!$C$7:$C$600,"Hungary"))</f>
        <v>—</v>
      </c>
      <c r="BH41" s="60" t="str">
        <f aca="false">IF(BE41=0,"—",SUMIFS(Review!$K$7:$K$600,Review!$B$7:$B$600,$B41,Review!$C$7:$C$600,"Hungary"))</f>
        <v>—</v>
      </c>
      <c r="BI41" s="61" t="str">
        <f aca="false">IF(BE41=0,"—",IF(BF41&lt;BG41*(1-$C$7),"median (cheapest is an outlier)",IF(BF41*(1-$C$6)&lt;BG41*(1-$C$5),"undercut cheapest","median")))</f>
        <v>—</v>
      </c>
      <c r="BJ41" s="62" t="str">
        <f aca="false">IF(BE41=0,"—",IF(AND(ISNUMBER($D41),$D41*(1+$C$10)&gt;FLOOR(IF(BF41&lt;BG41*(1-$C$7),BG41*(1-$C$5-IF(BE41&lt;3,$C$8,0)),MIN(BG41*(1-$C$5-IF(BE41&lt;3,$C$8,0)),BF41*(1-$C$6-IF(BE41&lt;3,$C$8,0)))),IF(IF(BF41&lt;BG41*(1-$C$7),BG41*(1-$C$5-IF(BE41&lt;3,$C$8,0)),MIN(BG41*(1-$C$5-IF(BE41&lt;3,$C$8,0)),BF41*(1-$C$6-IF(BE41&lt;3,$C$8,0))))&lt;10,$C$9,IF(IF(BF41&lt;BG41*(1-$C$7),BG41*(1-$C$5-IF(BE41&lt;3,$C$8,0)),MIN(BG41*(1-$C$5-IF(BE41&lt;3,$C$8,0)),BF41*(1-$C$6-IF(BE41&lt;3,$C$8,0))))&lt;100,$D$9,$E$9)))),ROUND($D41*(1+$C$10),2),FLOOR(IF(BF41&lt;BG41*(1-$C$7),BG41*(1-$C$5-IF(BE41&lt;3,$C$8,0)),MIN(BG41*(1-$C$5-IF(BE41&lt;3,$C$8,0)),BF41*(1-$C$6-IF(BE41&lt;3,$C$8,0)))),IF(IF(BF41&lt;BG41*(1-$C$7),BG41*(1-$C$5-IF(BE41&lt;3,$C$8,0)),MIN(BG41*(1-$C$5-IF(BE41&lt;3,$C$8,0)),BF41*(1-$C$6-IF(BE41&lt;3,$C$8,0))))&lt;10,$C$9,IF(IF(BF41&lt;BG41*(1-$C$7),BG41*(1-$C$5-IF(BE41&lt;3,$C$8,0)),MIN(BG41*(1-$C$5-IF(BE41&lt;3,$C$8,0)),BF41*(1-$C$6-IF(BE41&lt;3,$C$8,0))))&lt;100,$D$9,$E$9)))))</f>
        <v>—</v>
      </c>
      <c r="BK41" s="65" t="str">
        <f aca="false">IF(BE41=0,"—",FLOOR(BJ41*Sources!$G$8,10))</f>
        <v>—</v>
      </c>
      <c r="BL41" s="60" t="n">
        <f aca="false">IF(ISNUMBER($D41),$D41,"n/a")</f>
        <v>5.775</v>
      </c>
      <c r="BM41" s="63" t="str">
        <f aca="false">IF(OR(BE41=0,NOT(ISNUMBER($D41))),"—",BJ41/$D41-1)</f>
        <v>—</v>
      </c>
      <c r="BN41" s="64" t="str">
        <f aca="false">IF(BE41=0,"—",BJ41/BF41-1)</f>
        <v>—</v>
      </c>
      <c r="BO41" s="64" t="str">
        <f aca="false">IF(BE41=0,"—",BJ41/BG41-1)</f>
        <v>—</v>
      </c>
    </row>
    <row r="42" customFormat="false" ht="15" hidden="false" customHeight="true" outlineLevel="0" collapsed="false">
      <c r="B42" s="66" t="s">
        <v>58</v>
      </c>
      <c r="C42" s="66" t="s">
        <v>167</v>
      </c>
      <c r="D42" s="58" t="n">
        <v>7.986</v>
      </c>
      <c r="E42" s="67" t="n">
        <f aca="false">COUNTIFS(Offers!$B$7:$B$3000,$B42,Offers!$C$7:$C$3000,"Austria",Offers!$AI$7:$AI$3000,"yes")</f>
        <v>10</v>
      </c>
      <c r="F42" s="68" t="n">
        <f aca="false">IF(E42=0,"—",SUMIFS(Review!$I$7:$I$600,Review!$B$7:$B$600,$B42,Review!$C$7:$C$600,"Austria"))</f>
        <v>6.4</v>
      </c>
      <c r="G42" s="68" t="n">
        <f aca="false">IF(E42=0,"—",SUMIFS(Review!$J$7:$J$600,Review!$B$7:$B$600,$B42,Review!$C$7:$C$600,"Austria"))</f>
        <v>17.545</v>
      </c>
      <c r="H42" s="68" t="n">
        <f aca="false">IF(E42=0,"—",SUMIFS(Review!$K$7:$K$600,Review!$B$7:$B$600,$B42,Review!$C$7:$C$600,"Austria"))</f>
        <v>34.99</v>
      </c>
      <c r="I42" s="69" t="str">
        <f aca="false">IF(E42=0,"—",IF(F42&lt;G42*(1-$C$7),"median (cheapest is an outlier)",IF(F42*(1-$C$6)&lt;G42*(1-$C$5),"undercut cheapest","median")))</f>
        <v>median (cheapest is an outlier)</v>
      </c>
      <c r="J42" s="70" t="n">
        <f aca="false">IF(E42=0,"—",IF(AND(ISNUMBER($D42),$D42*(1+$C$10)&gt;FLOOR(IF(F42&lt;G42*(1-$C$7),G42*(1-$C$5-IF(E42&lt;3,$C$8,0)),MIN(G42*(1-$C$5-IF(E42&lt;3,$C$8,0)),F42*(1-$C$6-IF(E42&lt;3,$C$8,0)))),IF(IF(F42&lt;G42*(1-$C$7),G42*(1-$C$5-IF(E42&lt;3,$C$8,0)),MIN(G42*(1-$C$5-IF(E42&lt;3,$C$8,0)),F42*(1-$C$6-IF(E42&lt;3,$C$8,0))))&lt;10,$C$9,IF(IF(F42&lt;G42*(1-$C$7),G42*(1-$C$5-IF(E42&lt;3,$C$8,0)),MIN(G42*(1-$C$5-IF(E42&lt;3,$C$8,0)),F42*(1-$C$6-IF(E42&lt;3,$C$8,0))))&lt;100,$D$9,$E$9)))),ROUND($D42*(1+$C$10),2),FLOOR(IF(F42&lt;G42*(1-$C$7),G42*(1-$C$5-IF(E42&lt;3,$C$8,0)),MIN(G42*(1-$C$5-IF(E42&lt;3,$C$8,0)),F42*(1-$C$6-IF(E42&lt;3,$C$8,0)))),IF(IF(F42&lt;G42*(1-$C$7),G42*(1-$C$5-IF(E42&lt;3,$C$8,0)),MIN(G42*(1-$C$5-IF(E42&lt;3,$C$8,0)),F42*(1-$C$6-IF(E42&lt;3,$C$8,0))))&lt;10,$C$9,IF(IF(F42&lt;G42*(1-$C$7),G42*(1-$C$5-IF(E42&lt;3,$C$8,0)),MIN(G42*(1-$C$5-IF(E42&lt;3,$C$8,0)),F42*(1-$C$6-IF(E42&lt;3,$C$8,0))))&lt;100,$D$9,$E$9)))))</f>
        <v>13.1</v>
      </c>
      <c r="K42" s="68" t="n">
        <f aca="false">IF(ISNUMBER($D42),$D42,"n/a")</f>
        <v>7.986</v>
      </c>
      <c r="L42" s="71" t="n">
        <f aca="false">IF(OR(E42=0,NOT(ISNUMBER($D42))),"—",J42/$D42-1)</f>
        <v>0.640370648635112</v>
      </c>
      <c r="M42" s="72" t="n">
        <f aca="false">IF(E42=0,"—",J42/F42-1)</f>
        <v>1.046875</v>
      </c>
      <c r="N42" s="72" t="n">
        <f aca="false">IF(E42=0,"—",J42/G42-1)</f>
        <v>-0.253348532345398</v>
      </c>
      <c r="O42" s="67" t="n">
        <f aca="false">COUNTIFS(Offers!$B$7:$B$3000,$B42,Offers!$C$7:$C$3000,"Germany",Offers!$AI$7:$AI$3000,"yes")</f>
        <v>8</v>
      </c>
      <c r="P42" s="68" t="n">
        <f aca="false">IF(O42=0,"—",SUMIFS(Review!$I$7:$I$600,Review!$B$7:$B$600,$B42,Review!$C$7:$C$600,"Germany"))</f>
        <v>6.4</v>
      </c>
      <c r="Q42" s="68" t="n">
        <f aca="false">IF(O42=0,"—",SUMIFS(Review!$J$7:$J$600,Review!$B$7:$B$600,$B42,Review!$C$7:$C$600,"Germany"))</f>
        <v>13.62</v>
      </c>
      <c r="R42" s="68" t="n">
        <f aca="false">IF(O42=0,"—",SUMIFS(Review!$K$7:$K$600,Review!$B$7:$B$600,$B42,Review!$C$7:$C$600,"Germany"))</f>
        <v>32.09</v>
      </c>
      <c r="S42" s="69" t="str">
        <f aca="false">IF(O42=0,"—",IF(P42&lt;Q42*(1-$C$7),"median (cheapest is an outlier)",IF(P42*(1-$C$6)&lt;Q42*(1-$C$5),"undercut cheapest","median")))</f>
        <v>median (cheapest is an outlier)</v>
      </c>
      <c r="T42" s="70" t="n">
        <f aca="false">IF(O42=0,"—",IF(AND(ISNUMBER($D42),$D42*(1+$C$10)&gt;FLOOR(IF(P42&lt;Q42*(1-$C$7),Q42*(1-$C$5-IF(O42&lt;3,$C$8,0)),MIN(Q42*(1-$C$5-IF(O42&lt;3,$C$8,0)),P42*(1-$C$6-IF(O42&lt;3,$C$8,0)))),IF(IF(P42&lt;Q42*(1-$C$7),Q42*(1-$C$5-IF(O42&lt;3,$C$8,0)),MIN(Q42*(1-$C$5-IF(O42&lt;3,$C$8,0)),P42*(1-$C$6-IF(O42&lt;3,$C$8,0))))&lt;10,$C$9,IF(IF(P42&lt;Q42*(1-$C$7),Q42*(1-$C$5-IF(O42&lt;3,$C$8,0)),MIN(Q42*(1-$C$5-IF(O42&lt;3,$C$8,0)),P42*(1-$C$6-IF(O42&lt;3,$C$8,0))))&lt;100,$D$9,$E$9)))),ROUND($D42*(1+$C$10),2),FLOOR(IF(P42&lt;Q42*(1-$C$7),Q42*(1-$C$5-IF(O42&lt;3,$C$8,0)),MIN(Q42*(1-$C$5-IF(O42&lt;3,$C$8,0)),P42*(1-$C$6-IF(O42&lt;3,$C$8,0)))),IF(IF(P42&lt;Q42*(1-$C$7),Q42*(1-$C$5-IF(O42&lt;3,$C$8,0)),MIN(Q42*(1-$C$5-IF(O42&lt;3,$C$8,0)),P42*(1-$C$6-IF(O42&lt;3,$C$8,0))))&lt;10,$C$9,IF(IF(P42&lt;Q42*(1-$C$7),Q42*(1-$C$5-IF(O42&lt;3,$C$8,0)),MIN(Q42*(1-$C$5-IF(O42&lt;3,$C$8,0)),P42*(1-$C$6-IF(O42&lt;3,$C$8,0))))&lt;100,$D$9,$E$9)))))</f>
        <v>10.2</v>
      </c>
      <c r="U42" s="68" t="n">
        <f aca="false">IF(ISNUMBER($D42),$D42,"n/a")</f>
        <v>7.986</v>
      </c>
      <c r="V42" s="71" t="n">
        <f aca="false">IF(OR(O42=0,NOT(ISNUMBER($D42))),"—",T42/$D42-1)</f>
        <v>0.277235161532682</v>
      </c>
      <c r="W42" s="72" t="n">
        <f aca="false">IF(O42=0,"—",T42/P42-1)</f>
        <v>0.59375</v>
      </c>
      <c r="X42" s="72" t="n">
        <f aca="false">IF(O42=0,"—",T42/Q42-1)</f>
        <v>-0.251101321585903</v>
      </c>
      <c r="Y42" s="67" t="n">
        <f aca="false">COUNTIFS(Offers!$B$7:$B$3000,$B42,Offers!$C$7:$C$3000,"Czech",Offers!$AI$7:$AI$3000,"yes")</f>
        <v>7</v>
      </c>
      <c r="Z42" s="68" t="n">
        <f aca="false">IF(Y42=0,"—",SUMIFS(Review!$I$7:$I$600,Review!$B$7:$B$600,$B42,Review!$C$7:$C$600,"Czech"))</f>
        <v>8.967141</v>
      </c>
      <c r="AA42" s="68" t="n">
        <f aca="false">IF(Y42=0,"—",SUMIFS(Review!$J$7:$J$600,Review!$B$7:$B$600,$B42,Review!$C$7:$C$600,"Czech"))</f>
        <v>11.83281</v>
      </c>
      <c r="AB42" s="68" t="n">
        <f aca="false">IF(Y42=0,"—",SUMIFS(Review!$K$7:$K$600,Review!$B$7:$B$600,$B42,Review!$C$7:$C$600,"Czech"))</f>
        <v>21.486991</v>
      </c>
      <c r="AC42" s="69" t="str">
        <f aca="false">IF(Y42=0,"—",IF(Z42&lt;AA42*(1-$C$7),"median (cheapest is an outlier)",IF(Z42*(1-$C$6)&lt;AA42*(1-$C$5),"undercut cheapest","median")))</f>
        <v>undercut cheapest</v>
      </c>
      <c r="AD42" s="70" t="n">
        <f aca="false">IF(Y42=0,"—",IF(AND(ISNUMBER($D42),$D42*(1+$C$10)&gt;FLOOR(IF(Z42&lt;AA42*(1-$C$7),AA42*(1-$C$5-IF(Y42&lt;3,$C$8,0)),MIN(AA42*(1-$C$5-IF(Y42&lt;3,$C$8,0)),Z42*(1-$C$6-IF(Y42&lt;3,$C$8,0)))),IF(IF(Z42&lt;AA42*(1-$C$7),AA42*(1-$C$5-IF(Y42&lt;3,$C$8,0)),MIN(AA42*(1-$C$5-IF(Y42&lt;3,$C$8,0)),Z42*(1-$C$6-IF(Y42&lt;3,$C$8,0))))&lt;10,$C$9,IF(IF(Z42&lt;AA42*(1-$C$7),AA42*(1-$C$5-IF(Y42&lt;3,$C$8,0)),MIN(AA42*(1-$C$5-IF(Y42&lt;3,$C$8,0)),Z42*(1-$C$6-IF(Y42&lt;3,$C$8,0))))&lt;100,$D$9,$E$9)))),ROUND($D42*(1+$C$10),2),FLOOR(IF(Z42&lt;AA42*(1-$C$7),AA42*(1-$C$5-IF(Y42&lt;3,$C$8,0)),MIN(AA42*(1-$C$5-IF(Y42&lt;3,$C$8,0)),Z42*(1-$C$6-IF(Y42&lt;3,$C$8,0)))),IF(IF(Z42&lt;AA42*(1-$C$7),AA42*(1-$C$5-IF(Y42&lt;3,$C$8,0)),MIN(AA42*(1-$C$5-IF(Y42&lt;3,$C$8,0)),Z42*(1-$C$6-IF(Y42&lt;3,$C$8,0))))&lt;10,$C$9,IF(IF(Z42&lt;AA42*(1-$C$7),AA42*(1-$C$5-IF(Y42&lt;3,$C$8,0)),MIN(AA42*(1-$C$5-IF(Y42&lt;3,$C$8,0)),Z42*(1-$C$6-IF(Y42&lt;3,$C$8,0))))&lt;100,$D$9,$E$9)))))</f>
        <v>8.5</v>
      </c>
      <c r="AE42" s="73" t="n">
        <f aca="false">IF(Y42=0,"—",FLOOR(AD42*Sources!$G$10,1))</f>
        <v>207</v>
      </c>
      <c r="AF42" s="68" t="n">
        <f aca="false">IF(ISNUMBER($D42),$D42,"n/a")</f>
        <v>7.986</v>
      </c>
      <c r="AG42" s="71" t="n">
        <f aca="false">IF(OR(Y42=0,NOT(ISNUMBER($D42))),"—",AD42/$D42-1)</f>
        <v>0.0643626346105686</v>
      </c>
      <c r="AH42" s="72" t="n">
        <f aca="false">IF(Y42=0,"—",AD42/Z42-1)</f>
        <v>-0.0520947535005861</v>
      </c>
      <c r="AI42" s="72" t="n">
        <f aca="false">IF(Y42=0,"—",AD42/AA42-1)</f>
        <v>-0.281658371933632</v>
      </c>
      <c r="AJ42" s="67" t="n">
        <f aca="false">COUNTIFS(Offers!$B$7:$B$3000,$B42,Offers!$C$7:$C$3000,"Slovakia",Offers!$AI$7:$AI$3000,"yes")</f>
        <v>0</v>
      </c>
      <c r="AK42" s="68" t="str">
        <f aca="false">IF(AJ42=0,"—",SUMIFS(Review!$I$7:$I$600,Review!$B$7:$B$600,$B42,Review!$C$7:$C$600,"Slovakia"))</f>
        <v>—</v>
      </c>
      <c r="AL42" s="68" t="str">
        <f aca="false">IF(AJ42=0,"—",SUMIFS(Review!$J$7:$J$600,Review!$B$7:$B$600,$B42,Review!$C$7:$C$600,"Slovakia"))</f>
        <v>—</v>
      </c>
      <c r="AM42" s="68" t="str">
        <f aca="false">IF(AJ42=0,"—",SUMIFS(Review!$K$7:$K$600,Review!$B$7:$B$600,$B42,Review!$C$7:$C$600,"Slovakia"))</f>
        <v>—</v>
      </c>
      <c r="AN42" s="69" t="str">
        <f aca="false">IF(AJ42=0,"—",IF(AK42&lt;AL42*(1-$C$7),"median (cheapest is an outlier)",IF(AK42*(1-$C$6)&lt;AL42*(1-$C$5),"undercut cheapest","median")))</f>
        <v>—</v>
      </c>
      <c r="AO42" s="70" t="str">
        <f aca="false">IF(AJ42=0,"—",IF(AND(ISNUMBER($D42),$D42*(1+$C$10)&gt;FLOOR(IF(AK42&lt;AL42*(1-$C$7),AL42*(1-$C$5-IF(AJ42&lt;3,$C$8,0)),MIN(AL42*(1-$C$5-IF(AJ42&lt;3,$C$8,0)),AK42*(1-$C$6-IF(AJ42&lt;3,$C$8,0)))),IF(IF(AK42&lt;AL42*(1-$C$7),AL42*(1-$C$5-IF(AJ42&lt;3,$C$8,0)),MIN(AL42*(1-$C$5-IF(AJ42&lt;3,$C$8,0)),AK42*(1-$C$6-IF(AJ42&lt;3,$C$8,0))))&lt;10,$C$9,IF(IF(AK42&lt;AL42*(1-$C$7),AL42*(1-$C$5-IF(AJ42&lt;3,$C$8,0)),MIN(AL42*(1-$C$5-IF(AJ42&lt;3,$C$8,0)),AK42*(1-$C$6-IF(AJ42&lt;3,$C$8,0))))&lt;100,$D$9,$E$9)))),ROUND($D42*(1+$C$10),2),FLOOR(IF(AK42&lt;AL42*(1-$C$7),AL42*(1-$C$5-IF(AJ42&lt;3,$C$8,0)),MIN(AL42*(1-$C$5-IF(AJ42&lt;3,$C$8,0)),AK42*(1-$C$6-IF(AJ42&lt;3,$C$8,0)))),IF(IF(AK42&lt;AL42*(1-$C$7),AL42*(1-$C$5-IF(AJ42&lt;3,$C$8,0)),MIN(AL42*(1-$C$5-IF(AJ42&lt;3,$C$8,0)),AK42*(1-$C$6-IF(AJ42&lt;3,$C$8,0))))&lt;10,$C$9,IF(IF(AK42&lt;AL42*(1-$C$7),AL42*(1-$C$5-IF(AJ42&lt;3,$C$8,0)),MIN(AL42*(1-$C$5-IF(AJ42&lt;3,$C$8,0)),AK42*(1-$C$6-IF(AJ42&lt;3,$C$8,0))))&lt;100,$D$9,$E$9)))))</f>
        <v>—</v>
      </c>
      <c r="AP42" s="68" t="n">
        <f aca="false">IF(ISNUMBER($D42),$D42,"n/a")</f>
        <v>7.986</v>
      </c>
      <c r="AQ42" s="71" t="str">
        <f aca="false">IF(OR(AJ42=0,NOT(ISNUMBER($D42))),"—",AO42/$D42-1)</f>
        <v>—</v>
      </c>
      <c r="AR42" s="72" t="str">
        <f aca="false">IF(AJ42=0,"—",AO42/AK42-1)</f>
        <v>—</v>
      </c>
      <c r="AS42" s="72" t="str">
        <f aca="false">IF(AJ42=0,"—",AO42/AL42-1)</f>
        <v>—</v>
      </c>
      <c r="AT42" s="67" t="n">
        <f aca="false">COUNTIFS(Offers!$B$7:$B$3000,$B42,Offers!$C$7:$C$3000,"Romania",Offers!$AI$7:$AI$3000,"yes")</f>
        <v>0</v>
      </c>
      <c r="AU42" s="68" t="str">
        <f aca="false">IF(AT42=0,"—",SUMIFS(Review!$I$7:$I$600,Review!$B$7:$B$600,$B42,Review!$C$7:$C$600,"Romania"))</f>
        <v>—</v>
      </c>
      <c r="AV42" s="68" t="str">
        <f aca="false">IF(AT42=0,"—",SUMIFS(Review!$J$7:$J$600,Review!$B$7:$B$600,$B42,Review!$C$7:$C$600,"Romania"))</f>
        <v>—</v>
      </c>
      <c r="AW42" s="68" t="str">
        <f aca="false">IF(AT42=0,"—",SUMIFS(Review!$K$7:$K$600,Review!$B$7:$B$600,$B42,Review!$C$7:$C$600,"Romania"))</f>
        <v>—</v>
      </c>
      <c r="AX42" s="69" t="str">
        <f aca="false">IF(AT42=0,"—",IF(AU42&lt;AV42*(1-$C$7),"median (cheapest is an outlier)",IF(AU42*(1-$C$6)&lt;AV42*(1-$C$5),"undercut cheapest","median")))</f>
        <v>—</v>
      </c>
      <c r="AY42" s="70" t="str">
        <f aca="false">IF(AT42=0,"—",IF(AND(ISNUMBER($D42),$D42*(1+$C$10)&gt;FLOOR(IF(AU42&lt;AV42*(1-$C$7),AV42*(1-$C$5-IF(AT42&lt;3,$C$8,0)),MIN(AV42*(1-$C$5-IF(AT42&lt;3,$C$8,0)),AU42*(1-$C$6-IF(AT42&lt;3,$C$8,0)))),IF(IF(AU42&lt;AV42*(1-$C$7),AV42*(1-$C$5-IF(AT42&lt;3,$C$8,0)),MIN(AV42*(1-$C$5-IF(AT42&lt;3,$C$8,0)),AU42*(1-$C$6-IF(AT42&lt;3,$C$8,0))))&lt;10,$C$9,IF(IF(AU42&lt;AV42*(1-$C$7),AV42*(1-$C$5-IF(AT42&lt;3,$C$8,0)),MIN(AV42*(1-$C$5-IF(AT42&lt;3,$C$8,0)),AU42*(1-$C$6-IF(AT42&lt;3,$C$8,0))))&lt;100,$D$9,$E$9)))),ROUND($D42*(1+$C$10),2),FLOOR(IF(AU42&lt;AV42*(1-$C$7),AV42*(1-$C$5-IF(AT42&lt;3,$C$8,0)),MIN(AV42*(1-$C$5-IF(AT42&lt;3,$C$8,0)),AU42*(1-$C$6-IF(AT42&lt;3,$C$8,0)))),IF(IF(AU42&lt;AV42*(1-$C$7),AV42*(1-$C$5-IF(AT42&lt;3,$C$8,0)),MIN(AV42*(1-$C$5-IF(AT42&lt;3,$C$8,0)),AU42*(1-$C$6-IF(AT42&lt;3,$C$8,0))))&lt;10,$C$9,IF(IF(AU42&lt;AV42*(1-$C$7),AV42*(1-$C$5-IF(AT42&lt;3,$C$8,0)),MIN(AV42*(1-$C$5-IF(AT42&lt;3,$C$8,0)),AU42*(1-$C$6-IF(AT42&lt;3,$C$8,0))))&lt;100,$D$9,$E$9)))))</f>
        <v>—</v>
      </c>
      <c r="AZ42" s="70" t="str">
        <f aca="false">IF(AT42=0,"—",FLOOR(AY42*Sources!$G$9,0.1))</f>
        <v>—</v>
      </c>
      <c r="BA42" s="68" t="n">
        <f aca="false">IF(ISNUMBER($D42),$D42,"n/a")</f>
        <v>7.986</v>
      </c>
      <c r="BB42" s="71" t="str">
        <f aca="false">IF(OR(AT42=0,NOT(ISNUMBER($D42))),"—",AY42/$D42-1)</f>
        <v>—</v>
      </c>
      <c r="BC42" s="72" t="str">
        <f aca="false">IF(AT42=0,"—",AY42/AU42-1)</f>
        <v>—</v>
      </c>
      <c r="BD42" s="72" t="str">
        <f aca="false">IF(AT42=0,"—",AY42/AV42-1)</f>
        <v>—</v>
      </c>
      <c r="BE42" s="67" t="n">
        <f aca="false">COUNTIFS(Offers!$B$7:$B$3000,$B42,Offers!$C$7:$C$3000,"Hungary",Offers!$AI$7:$AI$3000,"yes")</f>
        <v>0</v>
      </c>
      <c r="BF42" s="68" t="str">
        <f aca="false">IF(BE42=0,"—",SUMIFS(Review!$I$7:$I$600,Review!$B$7:$B$600,$B42,Review!$C$7:$C$600,"Hungary"))</f>
        <v>—</v>
      </c>
      <c r="BG42" s="68" t="str">
        <f aca="false">IF(BE42=0,"—",SUMIFS(Review!$J$7:$J$600,Review!$B$7:$B$600,$B42,Review!$C$7:$C$600,"Hungary"))</f>
        <v>—</v>
      </c>
      <c r="BH42" s="68" t="str">
        <f aca="false">IF(BE42=0,"—",SUMIFS(Review!$K$7:$K$600,Review!$B$7:$B$600,$B42,Review!$C$7:$C$600,"Hungary"))</f>
        <v>—</v>
      </c>
      <c r="BI42" s="69" t="str">
        <f aca="false">IF(BE42=0,"—",IF(BF42&lt;BG42*(1-$C$7),"median (cheapest is an outlier)",IF(BF42*(1-$C$6)&lt;BG42*(1-$C$5),"undercut cheapest","median")))</f>
        <v>—</v>
      </c>
      <c r="BJ42" s="70" t="str">
        <f aca="false">IF(BE42=0,"—",IF(AND(ISNUMBER($D42),$D42*(1+$C$10)&gt;FLOOR(IF(BF42&lt;BG42*(1-$C$7),BG42*(1-$C$5-IF(BE42&lt;3,$C$8,0)),MIN(BG42*(1-$C$5-IF(BE42&lt;3,$C$8,0)),BF42*(1-$C$6-IF(BE42&lt;3,$C$8,0)))),IF(IF(BF42&lt;BG42*(1-$C$7),BG42*(1-$C$5-IF(BE42&lt;3,$C$8,0)),MIN(BG42*(1-$C$5-IF(BE42&lt;3,$C$8,0)),BF42*(1-$C$6-IF(BE42&lt;3,$C$8,0))))&lt;10,$C$9,IF(IF(BF42&lt;BG42*(1-$C$7),BG42*(1-$C$5-IF(BE42&lt;3,$C$8,0)),MIN(BG42*(1-$C$5-IF(BE42&lt;3,$C$8,0)),BF42*(1-$C$6-IF(BE42&lt;3,$C$8,0))))&lt;100,$D$9,$E$9)))),ROUND($D42*(1+$C$10),2),FLOOR(IF(BF42&lt;BG42*(1-$C$7),BG42*(1-$C$5-IF(BE42&lt;3,$C$8,0)),MIN(BG42*(1-$C$5-IF(BE42&lt;3,$C$8,0)),BF42*(1-$C$6-IF(BE42&lt;3,$C$8,0)))),IF(IF(BF42&lt;BG42*(1-$C$7),BG42*(1-$C$5-IF(BE42&lt;3,$C$8,0)),MIN(BG42*(1-$C$5-IF(BE42&lt;3,$C$8,0)),BF42*(1-$C$6-IF(BE42&lt;3,$C$8,0))))&lt;10,$C$9,IF(IF(BF42&lt;BG42*(1-$C$7),BG42*(1-$C$5-IF(BE42&lt;3,$C$8,0)),MIN(BG42*(1-$C$5-IF(BE42&lt;3,$C$8,0)),BF42*(1-$C$6-IF(BE42&lt;3,$C$8,0))))&lt;100,$D$9,$E$9)))))</f>
        <v>—</v>
      </c>
      <c r="BK42" s="73" t="str">
        <f aca="false">IF(BE42=0,"—",FLOOR(BJ42*Sources!$G$8,10))</f>
        <v>—</v>
      </c>
      <c r="BL42" s="68" t="n">
        <f aca="false">IF(ISNUMBER($D42),$D42,"n/a")</f>
        <v>7.986</v>
      </c>
      <c r="BM42" s="71" t="str">
        <f aca="false">IF(OR(BE42=0,NOT(ISNUMBER($D42))),"—",BJ42/$D42-1)</f>
        <v>—</v>
      </c>
      <c r="BN42" s="72" t="str">
        <f aca="false">IF(BE42=0,"—",BJ42/BF42-1)</f>
        <v>—</v>
      </c>
      <c r="BO42" s="72" t="str">
        <f aca="false">IF(BE42=0,"—",BJ42/BG42-1)</f>
        <v>—</v>
      </c>
    </row>
    <row r="43" customFormat="false" ht="15" hidden="false" customHeight="true" outlineLevel="0" collapsed="false">
      <c r="B43" s="1" t="s">
        <v>59</v>
      </c>
      <c r="C43" s="1" t="s">
        <v>168</v>
      </c>
      <c r="D43" s="58" t="n">
        <v>1.694</v>
      </c>
      <c r="E43" s="59" t="n">
        <f aca="false">COUNTIFS(Offers!$B$7:$B$3000,$B43,Offers!$C$7:$C$3000,"Austria",Offers!$AI$7:$AI$3000,"yes")</f>
        <v>11</v>
      </c>
      <c r="F43" s="60" t="n">
        <f aca="false">IF(E43=0,"—",SUMIFS(Review!$I$7:$I$600,Review!$B$7:$B$600,$B43,Review!$C$7:$C$600,"Austria"))</f>
        <v>3.23</v>
      </c>
      <c r="G43" s="60" t="n">
        <f aca="false">IF(E43=0,"—",SUMIFS(Review!$J$7:$J$600,Review!$B$7:$B$600,$B43,Review!$C$7:$C$600,"Austria"))</f>
        <v>4.13</v>
      </c>
      <c r="H43" s="60" t="n">
        <f aca="false">IF(E43=0,"—",SUMIFS(Review!$K$7:$K$600,Review!$B$7:$B$600,$B43,Review!$C$7:$C$600,"Austria"))</f>
        <v>14.86</v>
      </c>
      <c r="I43" s="61" t="str">
        <f aca="false">IF(E43=0,"—",IF(F43&lt;G43*(1-$C$7),"median (cheapest is an outlier)",IF(F43*(1-$C$6)&lt;G43*(1-$C$5),"undercut cheapest","median")))</f>
        <v>undercut cheapest</v>
      </c>
      <c r="J43" s="62" t="n">
        <f aca="false">IF(E43=0,"—",IF(AND(ISNUMBER($D43),$D43*(1+$C$10)&gt;FLOOR(IF(F43&lt;G43*(1-$C$7),G43*(1-$C$5-IF(E43&lt;3,$C$8,0)),MIN(G43*(1-$C$5-IF(E43&lt;3,$C$8,0)),F43*(1-$C$6-IF(E43&lt;3,$C$8,0)))),IF(IF(F43&lt;G43*(1-$C$7),G43*(1-$C$5-IF(E43&lt;3,$C$8,0)),MIN(G43*(1-$C$5-IF(E43&lt;3,$C$8,0)),F43*(1-$C$6-IF(E43&lt;3,$C$8,0))))&lt;10,$C$9,IF(IF(F43&lt;G43*(1-$C$7),G43*(1-$C$5-IF(E43&lt;3,$C$8,0)),MIN(G43*(1-$C$5-IF(E43&lt;3,$C$8,0)),F43*(1-$C$6-IF(E43&lt;3,$C$8,0))))&lt;100,$D$9,$E$9)))),ROUND($D43*(1+$C$10),2),FLOOR(IF(F43&lt;G43*(1-$C$7),G43*(1-$C$5-IF(E43&lt;3,$C$8,0)),MIN(G43*(1-$C$5-IF(E43&lt;3,$C$8,0)),F43*(1-$C$6-IF(E43&lt;3,$C$8,0)))),IF(IF(F43&lt;G43*(1-$C$7),G43*(1-$C$5-IF(E43&lt;3,$C$8,0)),MIN(G43*(1-$C$5-IF(E43&lt;3,$C$8,0)),F43*(1-$C$6-IF(E43&lt;3,$C$8,0))))&lt;10,$C$9,IF(IF(F43&lt;G43*(1-$C$7),G43*(1-$C$5-IF(E43&lt;3,$C$8,0)),MIN(G43*(1-$C$5-IF(E43&lt;3,$C$8,0)),F43*(1-$C$6-IF(E43&lt;3,$C$8,0))))&lt;100,$D$9,$E$9)))))</f>
        <v>3.05</v>
      </c>
      <c r="K43" s="60" t="n">
        <f aca="false">IF(ISNUMBER($D43),$D43,"n/a")</f>
        <v>1.694</v>
      </c>
      <c r="L43" s="63" t="n">
        <f aca="false">IF(OR(E43=0,NOT(ISNUMBER($D43))),"—",J43/$D43-1)</f>
        <v>0.80047225501771</v>
      </c>
      <c r="M43" s="64" t="n">
        <f aca="false">IF(E43=0,"—",J43/F43-1)</f>
        <v>-0.0557275541795664</v>
      </c>
      <c r="N43" s="64" t="n">
        <f aca="false">IF(E43=0,"—",J43/G43-1)</f>
        <v>-0.261501210653753</v>
      </c>
      <c r="O43" s="59" t="n">
        <f aca="false">COUNTIFS(Offers!$B$7:$B$3000,$B43,Offers!$C$7:$C$3000,"Germany",Offers!$AI$7:$AI$3000,"yes")</f>
        <v>5</v>
      </c>
      <c r="P43" s="60" t="n">
        <f aca="false">IF(O43=0,"—",SUMIFS(Review!$I$7:$I$600,Review!$B$7:$B$600,$B43,Review!$C$7:$C$600,"Germany"))</f>
        <v>3.23</v>
      </c>
      <c r="Q43" s="60" t="n">
        <f aca="false">IF(O43=0,"—",SUMIFS(Review!$J$7:$J$600,Review!$B$7:$B$600,$B43,Review!$C$7:$C$600,"Germany"))</f>
        <v>3.75</v>
      </c>
      <c r="R43" s="60" t="n">
        <f aca="false">IF(O43=0,"—",SUMIFS(Review!$K$7:$K$600,Review!$B$7:$B$600,$B43,Review!$C$7:$C$600,"Germany"))</f>
        <v>5.6</v>
      </c>
      <c r="S43" s="61" t="str">
        <f aca="false">IF(O43=0,"—",IF(P43&lt;Q43*(1-$C$7),"median (cheapest is an outlier)",IF(P43*(1-$C$6)&lt;Q43*(1-$C$5),"undercut cheapest","median")))</f>
        <v>median</v>
      </c>
      <c r="T43" s="62" t="n">
        <f aca="false">IF(O43=0,"—",IF(AND(ISNUMBER($D43),$D43*(1+$C$10)&gt;FLOOR(IF(P43&lt;Q43*(1-$C$7),Q43*(1-$C$5-IF(O43&lt;3,$C$8,0)),MIN(Q43*(1-$C$5-IF(O43&lt;3,$C$8,0)),P43*(1-$C$6-IF(O43&lt;3,$C$8,0)))),IF(IF(P43&lt;Q43*(1-$C$7),Q43*(1-$C$5-IF(O43&lt;3,$C$8,0)),MIN(Q43*(1-$C$5-IF(O43&lt;3,$C$8,0)),P43*(1-$C$6-IF(O43&lt;3,$C$8,0))))&lt;10,$C$9,IF(IF(P43&lt;Q43*(1-$C$7),Q43*(1-$C$5-IF(O43&lt;3,$C$8,0)),MIN(Q43*(1-$C$5-IF(O43&lt;3,$C$8,0)),P43*(1-$C$6-IF(O43&lt;3,$C$8,0))))&lt;100,$D$9,$E$9)))),ROUND($D43*(1+$C$10),2),FLOOR(IF(P43&lt;Q43*(1-$C$7),Q43*(1-$C$5-IF(O43&lt;3,$C$8,0)),MIN(Q43*(1-$C$5-IF(O43&lt;3,$C$8,0)),P43*(1-$C$6-IF(O43&lt;3,$C$8,0)))),IF(IF(P43&lt;Q43*(1-$C$7),Q43*(1-$C$5-IF(O43&lt;3,$C$8,0)),MIN(Q43*(1-$C$5-IF(O43&lt;3,$C$8,0)),P43*(1-$C$6-IF(O43&lt;3,$C$8,0))))&lt;10,$C$9,IF(IF(P43&lt;Q43*(1-$C$7),Q43*(1-$C$5-IF(O43&lt;3,$C$8,0)),MIN(Q43*(1-$C$5-IF(O43&lt;3,$C$8,0)),P43*(1-$C$6-IF(O43&lt;3,$C$8,0))))&lt;100,$D$9,$E$9)))))</f>
        <v>2.8</v>
      </c>
      <c r="U43" s="60" t="n">
        <f aca="false">IF(ISNUMBER($D43),$D43,"n/a")</f>
        <v>1.694</v>
      </c>
      <c r="V43" s="63" t="n">
        <f aca="false">IF(OR(O43=0,NOT(ISNUMBER($D43))),"—",T43/$D43-1)</f>
        <v>0.652892561983471</v>
      </c>
      <c r="W43" s="64" t="n">
        <f aca="false">IF(O43=0,"—",T43/P43-1)</f>
        <v>-0.13312693498452</v>
      </c>
      <c r="X43" s="64" t="n">
        <f aca="false">IF(O43=0,"—",T43/Q43-1)</f>
        <v>-0.253333333333333</v>
      </c>
      <c r="Y43" s="59" t="n">
        <f aca="false">COUNTIFS(Offers!$B$7:$B$3000,$B43,Offers!$C$7:$C$3000,"Czech",Offers!$AI$7:$AI$3000,"yes")</f>
        <v>6</v>
      </c>
      <c r="Z43" s="60" t="n">
        <f aca="false">IF(Y43=0,"—",SUMIFS(Review!$I$7:$I$600,Review!$B$7:$B$600,$B43,Review!$C$7:$C$600,"Czech"))</f>
        <v>2.333807</v>
      </c>
      <c r="AA43" s="60" t="n">
        <f aca="false">IF(Y43=0,"—",SUMIFS(Review!$J$7:$J$600,Review!$B$7:$B$600,$B43,Review!$C$7:$C$600,"Czech"))</f>
        <v>3.9164965</v>
      </c>
      <c r="AB43" s="60" t="n">
        <f aca="false">IF(Y43=0,"—",SUMIFS(Review!$K$7:$K$600,Review!$B$7:$B$600,$B43,Review!$C$7:$C$600,"Czech"))</f>
        <v>5.48158</v>
      </c>
      <c r="AC43" s="61" t="str">
        <f aca="false">IF(Y43=0,"—",IF(Z43&lt;AA43*(1-$C$7),"median (cheapest is an outlier)",IF(Z43*(1-$C$6)&lt;AA43*(1-$C$5),"undercut cheapest","median")))</f>
        <v>median (cheapest is an outlier)</v>
      </c>
      <c r="AD43" s="62" t="n">
        <f aca="false">IF(Y43=0,"—",IF(AND(ISNUMBER($D43),$D43*(1+$C$10)&gt;FLOOR(IF(Z43&lt;AA43*(1-$C$7),AA43*(1-$C$5-IF(Y43&lt;3,$C$8,0)),MIN(AA43*(1-$C$5-IF(Y43&lt;3,$C$8,0)),Z43*(1-$C$6-IF(Y43&lt;3,$C$8,0)))),IF(IF(Z43&lt;AA43*(1-$C$7),AA43*(1-$C$5-IF(Y43&lt;3,$C$8,0)),MIN(AA43*(1-$C$5-IF(Y43&lt;3,$C$8,0)),Z43*(1-$C$6-IF(Y43&lt;3,$C$8,0))))&lt;10,$C$9,IF(IF(Z43&lt;AA43*(1-$C$7),AA43*(1-$C$5-IF(Y43&lt;3,$C$8,0)),MIN(AA43*(1-$C$5-IF(Y43&lt;3,$C$8,0)),Z43*(1-$C$6-IF(Y43&lt;3,$C$8,0))))&lt;100,$D$9,$E$9)))),ROUND($D43*(1+$C$10),2),FLOOR(IF(Z43&lt;AA43*(1-$C$7),AA43*(1-$C$5-IF(Y43&lt;3,$C$8,0)),MIN(AA43*(1-$C$5-IF(Y43&lt;3,$C$8,0)),Z43*(1-$C$6-IF(Y43&lt;3,$C$8,0)))),IF(IF(Z43&lt;AA43*(1-$C$7),AA43*(1-$C$5-IF(Y43&lt;3,$C$8,0)),MIN(AA43*(1-$C$5-IF(Y43&lt;3,$C$8,0)),Z43*(1-$C$6-IF(Y43&lt;3,$C$8,0))))&lt;10,$C$9,IF(IF(Z43&lt;AA43*(1-$C$7),AA43*(1-$C$5-IF(Y43&lt;3,$C$8,0)),MIN(AA43*(1-$C$5-IF(Y43&lt;3,$C$8,0)),Z43*(1-$C$6-IF(Y43&lt;3,$C$8,0))))&lt;100,$D$9,$E$9)))))</f>
        <v>2.9</v>
      </c>
      <c r="AE43" s="65" t="n">
        <f aca="false">IF(Y43=0,"—",FLOOR(AD43*Sources!$G$10,1))</f>
        <v>70</v>
      </c>
      <c r="AF43" s="60" t="n">
        <f aca="false">IF(ISNUMBER($D43),$D43,"n/a")</f>
        <v>1.694</v>
      </c>
      <c r="AG43" s="63" t="n">
        <f aca="false">IF(OR(Y43=0,NOT(ISNUMBER($D43))),"—",AD43/$D43-1)</f>
        <v>0.711924439197167</v>
      </c>
      <c r="AH43" s="64" t="n">
        <f aca="false">IF(Y43=0,"—",AD43/Z43-1)</f>
        <v>0.242604894063648</v>
      </c>
      <c r="AI43" s="64" t="n">
        <f aca="false">IF(Y43=0,"—",AD43/AA43-1)</f>
        <v>-0.259542297561098</v>
      </c>
      <c r="AJ43" s="59" t="n">
        <f aca="false">COUNTIFS(Offers!$B$7:$B$3000,$B43,Offers!$C$7:$C$3000,"Slovakia",Offers!$AI$7:$AI$3000,"yes")</f>
        <v>0</v>
      </c>
      <c r="AK43" s="60" t="str">
        <f aca="false">IF(AJ43=0,"—",SUMIFS(Review!$I$7:$I$600,Review!$B$7:$B$600,$B43,Review!$C$7:$C$600,"Slovakia"))</f>
        <v>—</v>
      </c>
      <c r="AL43" s="60" t="str">
        <f aca="false">IF(AJ43=0,"—",SUMIFS(Review!$J$7:$J$600,Review!$B$7:$B$600,$B43,Review!$C$7:$C$600,"Slovakia"))</f>
        <v>—</v>
      </c>
      <c r="AM43" s="60" t="str">
        <f aca="false">IF(AJ43=0,"—",SUMIFS(Review!$K$7:$K$600,Review!$B$7:$B$600,$B43,Review!$C$7:$C$600,"Slovakia"))</f>
        <v>—</v>
      </c>
      <c r="AN43" s="61" t="str">
        <f aca="false">IF(AJ43=0,"—",IF(AK43&lt;AL43*(1-$C$7),"median (cheapest is an outlier)",IF(AK43*(1-$C$6)&lt;AL43*(1-$C$5),"undercut cheapest","median")))</f>
        <v>—</v>
      </c>
      <c r="AO43" s="62" t="str">
        <f aca="false">IF(AJ43=0,"—",IF(AND(ISNUMBER($D43),$D43*(1+$C$10)&gt;FLOOR(IF(AK43&lt;AL43*(1-$C$7),AL43*(1-$C$5-IF(AJ43&lt;3,$C$8,0)),MIN(AL43*(1-$C$5-IF(AJ43&lt;3,$C$8,0)),AK43*(1-$C$6-IF(AJ43&lt;3,$C$8,0)))),IF(IF(AK43&lt;AL43*(1-$C$7),AL43*(1-$C$5-IF(AJ43&lt;3,$C$8,0)),MIN(AL43*(1-$C$5-IF(AJ43&lt;3,$C$8,0)),AK43*(1-$C$6-IF(AJ43&lt;3,$C$8,0))))&lt;10,$C$9,IF(IF(AK43&lt;AL43*(1-$C$7),AL43*(1-$C$5-IF(AJ43&lt;3,$C$8,0)),MIN(AL43*(1-$C$5-IF(AJ43&lt;3,$C$8,0)),AK43*(1-$C$6-IF(AJ43&lt;3,$C$8,0))))&lt;100,$D$9,$E$9)))),ROUND($D43*(1+$C$10),2),FLOOR(IF(AK43&lt;AL43*(1-$C$7),AL43*(1-$C$5-IF(AJ43&lt;3,$C$8,0)),MIN(AL43*(1-$C$5-IF(AJ43&lt;3,$C$8,0)),AK43*(1-$C$6-IF(AJ43&lt;3,$C$8,0)))),IF(IF(AK43&lt;AL43*(1-$C$7),AL43*(1-$C$5-IF(AJ43&lt;3,$C$8,0)),MIN(AL43*(1-$C$5-IF(AJ43&lt;3,$C$8,0)),AK43*(1-$C$6-IF(AJ43&lt;3,$C$8,0))))&lt;10,$C$9,IF(IF(AK43&lt;AL43*(1-$C$7),AL43*(1-$C$5-IF(AJ43&lt;3,$C$8,0)),MIN(AL43*(1-$C$5-IF(AJ43&lt;3,$C$8,0)),AK43*(1-$C$6-IF(AJ43&lt;3,$C$8,0))))&lt;100,$D$9,$E$9)))))</f>
        <v>—</v>
      </c>
      <c r="AP43" s="60" t="n">
        <f aca="false">IF(ISNUMBER($D43),$D43,"n/a")</f>
        <v>1.694</v>
      </c>
      <c r="AQ43" s="63" t="str">
        <f aca="false">IF(OR(AJ43=0,NOT(ISNUMBER($D43))),"—",AO43/$D43-1)</f>
        <v>—</v>
      </c>
      <c r="AR43" s="64" t="str">
        <f aca="false">IF(AJ43=0,"—",AO43/AK43-1)</f>
        <v>—</v>
      </c>
      <c r="AS43" s="64" t="str">
        <f aca="false">IF(AJ43=0,"—",AO43/AL43-1)</f>
        <v>—</v>
      </c>
      <c r="AT43" s="59" t="n">
        <f aca="false">COUNTIFS(Offers!$B$7:$B$3000,$B43,Offers!$C$7:$C$3000,"Romania",Offers!$AI$7:$AI$3000,"yes")</f>
        <v>0</v>
      </c>
      <c r="AU43" s="60" t="str">
        <f aca="false">IF(AT43=0,"—",SUMIFS(Review!$I$7:$I$600,Review!$B$7:$B$600,$B43,Review!$C$7:$C$600,"Romania"))</f>
        <v>—</v>
      </c>
      <c r="AV43" s="60" t="str">
        <f aca="false">IF(AT43=0,"—",SUMIFS(Review!$J$7:$J$600,Review!$B$7:$B$600,$B43,Review!$C$7:$C$600,"Romania"))</f>
        <v>—</v>
      </c>
      <c r="AW43" s="60" t="str">
        <f aca="false">IF(AT43=0,"—",SUMIFS(Review!$K$7:$K$600,Review!$B$7:$B$600,$B43,Review!$C$7:$C$600,"Romania"))</f>
        <v>—</v>
      </c>
      <c r="AX43" s="61" t="str">
        <f aca="false">IF(AT43=0,"—",IF(AU43&lt;AV43*(1-$C$7),"median (cheapest is an outlier)",IF(AU43*(1-$C$6)&lt;AV43*(1-$C$5),"undercut cheapest","median")))</f>
        <v>—</v>
      </c>
      <c r="AY43" s="62" t="str">
        <f aca="false">IF(AT43=0,"—",IF(AND(ISNUMBER($D43),$D43*(1+$C$10)&gt;FLOOR(IF(AU43&lt;AV43*(1-$C$7),AV43*(1-$C$5-IF(AT43&lt;3,$C$8,0)),MIN(AV43*(1-$C$5-IF(AT43&lt;3,$C$8,0)),AU43*(1-$C$6-IF(AT43&lt;3,$C$8,0)))),IF(IF(AU43&lt;AV43*(1-$C$7),AV43*(1-$C$5-IF(AT43&lt;3,$C$8,0)),MIN(AV43*(1-$C$5-IF(AT43&lt;3,$C$8,0)),AU43*(1-$C$6-IF(AT43&lt;3,$C$8,0))))&lt;10,$C$9,IF(IF(AU43&lt;AV43*(1-$C$7),AV43*(1-$C$5-IF(AT43&lt;3,$C$8,0)),MIN(AV43*(1-$C$5-IF(AT43&lt;3,$C$8,0)),AU43*(1-$C$6-IF(AT43&lt;3,$C$8,0))))&lt;100,$D$9,$E$9)))),ROUND($D43*(1+$C$10),2),FLOOR(IF(AU43&lt;AV43*(1-$C$7),AV43*(1-$C$5-IF(AT43&lt;3,$C$8,0)),MIN(AV43*(1-$C$5-IF(AT43&lt;3,$C$8,0)),AU43*(1-$C$6-IF(AT43&lt;3,$C$8,0)))),IF(IF(AU43&lt;AV43*(1-$C$7),AV43*(1-$C$5-IF(AT43&lt;3,$C$8,0)),MIN(AV43*(1-$C$5-IF(AT43&lt;3,$C$8,0)),AU43*(1-$C$6-IF(AT43&lt;3,$C$8,0))))&lt;10,$C$9,IF(IF(AU43&lt;AV43*(1-$C$7),AV43*(1-$C$5-IF(AT43&lt;3,$C$8,0)),MIN(AV43*(1-$C$5-IF(AT43&lt;3,$C$8,0)),AU43*(1-$C$6-IF(AT43&lt;3,$C$8,0))))&lt;100,$D$9,$E$9)))))</f>
        <v>—</v>
      </c>
      <c r="AZ43" s="62" t="str">
        <f aca="false">IF(AT43=0,"—",FLOOR(AY43*Sources!$G$9,0.1))</f>
        <v>—</v>
      </c>
      <c r="BA43" s="60" t="n">
        <f aca="false">IF(ISNUMBER($D43),$D43,"n/a")</f>
        <v>1.694</v>
      </c>
      <c r="BB43" s="63" t="str">
        <f aca="false">IF(OR(AT43=0,NOT(ISNUMBER($D43))),"—",AY43/$D43-1)</f>
        <v>—</v>
      </c>
      <c r="BC43" s="64" t="str">
        <f aca="false">IF(AT43=0,"—",AY43/AU43-1)</f>
        <v>—</v>
      </c>
      <c r="BD43" s="64" t="str">
        <f aca="false">IF(AT43=0,"—",AY43/AV43-1)</f>
        <v>—</v>
      </c>
      <c r="BE43" s="59" t="n">
        <f aca="false">COUNTIFS(Offers!$B$7:$B$3000,$B43,Offers!$C$7:$C$3000,"Hungary",Offers!$AI$7:$AI$3000,"yes")</f>
        <v>0</v>
      </c>
      <c r="BF43" s="60" t="str">
        <f aca="false">IF(BE43=0,"—",SUMIFS(Review!$I$7:$I$600,Review!$B$7:$B$600,$B43,Review!$C$7:$C$600,"Hungary"))</f>
        <v>—</v>
      </c>
      <c r="BG43" s="60" t="str">
        <f aca="false">IF(BE43=0,"—",SUMIFS(Review!$J$7:$J$600,Review!$B$7:$B$600,$B43,Review!$C$7:$C$600,"Hungary"))</f>
        <v>—</v>
      </c>
      <c r="BH43" s="60" t="str">
        <f aca="false">IF(BE43=0,"—",SUMIFS(Review!$K$7:$K$600,Review!$B$7:$B$600,$B43,Review!$C$7:$C$600,"Hungary"))</f>
        <v>—</v>
      </c>
      <c r="BI43" s="61" t="str">
        <f aca="false">IF(BE43=0,"—",IF(BF43&lt;BG43*(1-$C$7),"median (cheapest is an outlier)",IF(BF43*(1-$C$6)&lt;BG43*(1-$C$5),"undercut cheapest","median")))</f>
        <v>—</v>
      </c>
      <c r="BJ43" s="62" t="str">
        <f aca="false">IF(BE43=0,"—",IF(AND(ISNUMBER($D43),$D43*(1+$C$10)&gt;FLOOR(IF(BF43&lt;BG43*(1-$C$7),BG43*(1-$C$5-IF(BE43&lt;3,$C$8,0)),MIN(BG43*(1-$C$5-IF(BE43&lt;3,$C$8,0)),BF43*(1-$C$6-IF(BE43&lt;3,$C$8,0)))),IF(IF(BF43&lt;BG43*(1-$C$7),BG43*(1-$C$5-IF(BE43&lt;3,$C$8,0)),MIN(BG43*(1-$C$5-IF(BE43&lt;3,$C$8,0)),BF43*(1-$C$6-IF(BE43&lt;3,$C$8,0))))&lt;10,$C$9,IF(IF(BF43&lt;BG43*(1-$C$7),BG43*(1-$C$5-IF(BE43&lt;3,$C$8,0)),MIN(BG43*(1-$C$5-IF(BE43&lt;3,$C$8,0)),BF43*(1-$C$6-IF(BE43&lt;3,$C$8,0))))&lt;100,$D$9,$E$9)))),ROUND($D43*(1+$C$10),2),FLOOR(IF(BF43&lt;BG43*(1-$C$7),BG43*(1-$C$5-IF(BE43&lt;3,$C$8,0)),MIN(BG43*(1-$C$5-IF(BE43&lt;3,$C$8,0)),BF43*(1-$C$6-IF(BE43&lt;3,$C$8,0)))),IF(IF(BF43&lt;BG43*(1-$C$7),BG43*(1-$C$5-IF(BE43&lt;3,$C$8,0)),MIN(BG43*(1-$C$5-IF(BE43&lt;3,$C$8,0)),BF43*(1-$C$6-IF(BE43&lt;3,$C$8,0))))&lt;10,$C$9,IF(IF(BF43&lt;BG43*(1-$C$7),BG43*(1-$C$5-IF(BE43&lt;3,$C$8,0)),MIN(BG43*(1-$C$5-IF(BE43&lt;3,$C$8,0)),BF43*(1-$C$6-IF(BE43&lt;3,$C$8,0))))&lt;100,$D$9,$E$9)))))</f>
        <v>—</v>
      </c>
      <c r="BK43" s="65" t="str">
        <f aca="false">IF(BE43=0,"—",FLOOR(BJ43*Sources!$G$8,10))</f>
        <v>—</v>
      </c>
      <c r="BL43" s="60" t="n">
        <f aca="false">IF(ISNUMBER($D43),$D43,"n/a")</f>
        <v>1.694</v>
      </c>
      <c r="BM43" s="63" t="str">
        <f aca="false">IF(OR(BE43=0,NOT(ISNUMBER($D43))),"—",BJ43/$D43-1)</f>
        <v>—</v>
      </c>
      <c r="BN43" s="64" t="str">
        <f aca="false">IF(BE43=0,"—",BJ43/BF43-1)</f>
        <v>—</v>
      </c>
      <c r="BO43" s="64" t="str">
        <f aca="false">IF(BE43=0,"—",BJ43/BG43-1)</f>
        <v>—</v>
      </c>
    </row>
    <row r="44" customFormat="false" ht="15" hidden="false" customHeight="true" outlineLevel="0" collapsed="false">
      <c r="B44" s="66" t="s">
        <v>60</v>
      </c>
      <c r="C44" s="66" t="s">
        <v>169</v>
      </c>
      <c r="D44" s="58" t="n">
        <v>7.6</v>
      </c>
      <c r="E44" s="67" t="n">
        <f aca="false">COUNTIFS(Offers!$B$7:$B$3000,$B44,Offers!$C$7:$C$3000,"Austria",Offers!$AI$7:$AI$3000,"yes")</f>
        <v>8</v>
      </c>
      <c r="F44" s="68" t="n">
        <f aca="false">IF(E44=0,"—",SUMIFS(Review!$I$7:$I$600,Review!$B$7:$B$600,$B44,Review!$C$7:$C$600,"Austria"))</f>
        <v>20.95</v>
      </c>
      <c r="G44" s="68" t="n">
        <f aca="false">IF(E44=0,"—",SUMIFS(Review!$J$7:$J$600,Review!$B$7:$B$600,$B44,Review!$C$7:$C$600,"Austria"))</f>
        <v>25.53</v>
      </c>
      <c r="H44" s="68" t="n">
        <f aca="false">IF(E44=0,"—",SUMIFS(Review!$K$7:$K$600,Review!$B$7:$B$600,$B44,Review!$C$7:$C$600,"Austria"))</f>
        <v>51.09</v>
      </c>
      <c r="I44" s="69" t="str">
        <f aca="false">IF(E44=0,"—",IF(F44&lt;G44*(1-$C$7),"median (cheapest is an outlier)",IF(F44*(1-$C$6)&lt;G44*(1-$C$5),"undercut cheapest","median")))</f>
        <v>median</v>
      </c>
      <c r="J44" s="70" t="n">
        <f aca="false">IF(E44=0,"—",IF(AND(ISNUMBER($D44),$D44*(1+$C$10)&gt;FLOOR(IF(F44&lt;G44*(1-$C$7),G44*(1-$C$5-IF(E44&lt;3,$C$8,0)),MIN(G44*(1-$C$5-IF(E44&lt;3,$C$8,0)),F44*(1-$C$6-IF(E44&lt;3,$C$8,0)))),IF(IF(F44&lt;G44*(1-$C$7),G44*(1-$C$5-IF(E44&lt;3,$C$8,0)),MIN(G44*(1-$C$5-IF(E44&lt;3,$C$8,0)),F44*(1-$C$6-IF(E44&lt;3,$C$8,0))))&lt;10,$C$9,IF(IF(F44&lt;G44*(1-$C$7),G44*(1-$C$5-IF(E44&lt;3,$C$8,0)),MIN(G44*(1-$C$5-IF(E44&lt;3,$C$8,0)),F44*(1-$C$6-IF(E44&lt;3,$C$8,0))))&lt;100,$D$9,$E$9)))),ROUND($D44*(1+$C$10),2),FLOOR(IF(F44&lt;G44*(1-$C$7),G44*(1-$C$5-IF(E44&lt;3,$C$8,0)),MIN(G44*(1-$C$5-IF(E44&lt;3,$C$8,0)),F44*(1-$C$6-IF(E44&lt;3,$C$8,0)))),IF(IF(F44&lt;G44*(1-$C$7),G44*(1-$C$5-IF(E44&lt;3,$C$8,0)),MIN(G44*(1-$C$5-IF(E44&lt;3,$C$8,0)),F44*(1-$C$6-IF(E44&lt;3,$C$8,0))))&lt;10,$C$9,IF(IF(F44&lt;G44*(1-$C$7),G44*(1-$C$5-IF(E44&lt;3,$C$8,0)),MIN(G44*(1-$C$5-IF(E44&lt;3,$C$8,0)),F44*(1-$C$6-IF(E44&lt;3,$C$8,0))))&lt;100,$D$9,$E$9)))))</f>
        <v>19.1</v>
      </c>
      <c r="K44" s="68" t="n">
        <f aca="false">IF(ISNUMBER($D44),$D44,"n/a")</f>
        <v>7.6</v>
      </c>
      <c r="L44" s="71" t="n">
        <f aca="false">IF(OR(E44=0,NOT(ISNUMBER($D44))),"—",J44/$D44-1)</f>
        <v>1.51315789473684</v>
      </c>
      <c r="M44" s="72" t="n">
        <f aca="false">IF(E44=0,"—",J44/F44-1)</f>
        <v>-0.0883054892601431</v>
      </c>
      <c r="N44" s="72" t="n">
        <f aca="false">IF(E44=0,"—",J44/G44-1)</f>
        <v>-0.251860556208382</v>
      </c>
      <c r="O44" s="67" t="n">
        <f aca="false">COUNTIFS(Offers!$B$7:$B$3000,$B44,Offers!$C$7:$C$3000,"Germany",Offers!$AI$7:$AI$3000,"yes")</f>
        <v>6</v>
      </c>
      <c r="P44" s="68" t="n">
        <f aca="false">IF(O44=0,"—",SUMIFS(Review!$I$7:$I$600,Review!$B$7:$B$600,$B44,Review!$C$7:$C$600,"Germany"))</f>
        <v>19.53</v>
      </c>
      <c r="Q44" s="68" t="n">
        <f aca="false">IF(O44=0,"—",SUMIFS(Review!$J$7:$J$600,Review!$B$7:$B$600,$B44,Review!$C$7:$C$600,"Germany"))</f>
        <v>24.05</v>
      </c>
      <c r="R44" s="68" t="n">
        <f aca="false">IF(O44=0,"—",SUMIFS(Review!$K$7:$K$600,Review!$B$7:$B$600,$B44,Review!$C$7:$C$600,"Germany"))</f>
        <v>31.99</v>
      </c>
      <c r="S44" s="69" t="str">
        <f aca="false">IF(O44=0,"—",IF(P44&lt;Q44*(1-$C$7),"median (cheapest is an outlier)",IF(P44*(1-$C$6)&lt;Q44*(1-$C$5),"undercut cheapest","median")))</f>
        <v>median</v>
      </c>
      <c r="T44" s="70" t="n">
        <f aca="false">IF(O44=0,"—",IF(AND(ISNUMBER($D44),$D44*(1+$C$10)&gt;FLOOR(IF(P44&lt;Q44*(1-$C$7),Q44*(1-$C$5-IF(O44&lt;3,$C$8,0)),MIN(Q44*(1-$C$5-IF(O44&lt;3,$C$8,0)),P44*(1-$C$6-IF(O44&lt;3,$C$8,0)))),IF(IF(P44&lt;Q44*(1-$C$7),Q44*(1-$C$5-IF(O44&lt;3,$C$8,0)),MIN(Q44*(1-$C$5-IF(O44&lt;3,$C$8,0)),P44*(1-$C$6-IF(O44&lt;3,$C$8,0))))&lt;10,$C$9,IF(IF(P44&lt;Q44*(1-$C$7),Q44*(1-$C$5-IF(O44&lt;3,$C$8,0)),MIN(Q44*(1-$C$5-IF(O44&lt;3,$C$8,0)),P44*(1-$C$6-IF(O44&lt;3,$C$8,0))))&lt;100,$D$9,$E$9)))),ROUND($D44*(1+$C$10),2),FLOOR(IF(P44&lt;Q44*(1-$C$7),Q44*(1-$C$5-IF(O44&lt;3,$C$8,0)),MIN(Q44*(1-$C$5-IF(O44&lt;3,$C$8,0)),P44*(1-$C$6-IF(O44&lt;3,$C$8,0)))),IF(IF(P44&lt;Q44*(1-$C$7),Q44*(1-$C$5-IF(O44&lt;3,$C$8,0)),MIN(Q44*(1-$C$5-IF(O44&lt;3,$C$8,0)),P44*(1-$C$6-IF(O44&lt;3,$C$8,0))))&lt;10,$C$9,IF(IF(P44&lt;Q44*(1-$C$7),Q44*(1-$C$5-IF(O44&lt;3,$C$8,0)),MIN(Q44*(1-$C$5-IF(O44&lt;3,$C$8,0)),P44*(1-$C$6-IF(O44&lt;3,$C$8,0))))&lt;100,$D$9,$E$9)))))</f>
        <v>18</v>
      </c>
      <c r="U44" s="68" t="n">
        <f aca="false">IF(ISNUMBER($D44),$D44,"n/a")</f>
        <v>7.6</v>
      </c>
      <c r="V44" s="71" t="n">
        <f aca="false">IF(OR(O44=0,NOT(ISNUMBER($D44))),"—",T44/$D44-1)</f>
        <v>1.36842105263158</v>
      </c>
      <c r="W44" s="72" t="n">
        <f aca="false">IF(O44=0,"—",T44/P44-1)</f>
        <v>-0.0783410138248849</v>
      </c>
      <c r="X44" s="72" t="n">
        <f aca="false">IF(O44=0,"—",T44/Q44-1)</f>
        <v>-0.251559251559252</v>
      </c>
      <c r="Y44" s="67" t="n">
        <f aca="false">COUNTIFS(Offers!$B$7:$B$3000,$B44,Offers!$C$7:$C$3000,"Czech",Offers!$AI$7:$AI$3000,"yes")</f>
        <v>5</v>
      </c>
      <c r="Z44" s="68" t="n">
        <f aca="false">IF(Y44=0,"—",SUMIFS(Review!$I$7:$I$600,Review!$B$7:$B$600,$B44,Review!$C$7:$C$600,"Czech"))</f>
        <v>22.096237</v>
      </c>
      <c r="AA44" s="68" t="n">
        <f aca="false">IF(Y44=0,"—",SUMIFS(Review!$J$7:$J$600,Review!$B$7:$B$600,$B44,Review!$C$7:$C$600,"Czech"))</f>
        <v>37.709404</v>
      </c>
      <c r="AB44" s="68" t="n">
        <f aca="false">IF(Y44=0,"—",SUMIFS(Review!$K$7:$K$600,Review!$B$7:$B$600,$B44,Review!$C$7:$C$600,"Czech"))</f>
        <v>51.806007</v>
      </c>
      <c r="AC44" s="69" t="str">
        <f aca="false">IF(Y44=0,"—",IF(Z44&lt;AA44*(1-$C$7),"median (cheapest is an outlier)",IF(Z44*(1-$C$6)&lt;AA44*(1-$C$5),"undercut cheapest","median")))</f>
        <v>median (cheapest is an outlier)</v>
      </c>
      <c r="AD44" s="70" t="n">
        <f aca="false">IF(Y44=0,"—",IF(AND(ISNUMBER($D44),$D44*(1+$C$10)&gt;FLOOR(IF(Z44&lt;AA44*(1-$C$7),AA44*(1-$C$5-IF(Y44&lt;3,$C$8,0)),MIN(AA44*(1-$C$5-IF(Y44&lt;3,$C$8,0)),Z44*(1-$C$6-IF(Y44&lt;3,$C$8,0)))),IF(IF(Z44&lt;AA44*(1-$C$7),AA44*(1-$C$5-IF(Y44&lt;3,$C$8,0)),MIN(AA44*(1-$C$5-IF(Y44&lt;3,$C$8,0)),Z44*(1-$C$6-IF(Y44&lt;3,$C$8,0))))&lt;10,$C$9,IF(IF(Z44&lt;AA44*(1-$C$7),AA44*(1-$C$5-IF(Y44&lt;3,$C$8,0)),MIN(AA44*(1-$C$5-IF(Y44&lt;3,$C$8,0)),Z44*(1-$C$6-IF(Y44&lt;3,$C$8,0))))&lt;100,$D$9,$E$9)))),ROUND($D44*(1+$C$10),2),FLOOR(IF(Z44&lt;AA44*(1-$C$7),AA44*(1-$C$5-IF(Y44&lt;3,$C$8,0)),MIN(AA44*(1-$C$5-IF(Y44&lt;3,$C$8,0)),Z44*(1-$C$6-IF(Y44&lt;3,$C$8,0)))),IF(IF(Z44&lt;AA44*(1-$C$7),AA44*(1-$C$5-IF(Y44&lt;3,$C$8,0)),MIN(AA44*(1-$C$5-IF(Y44&lt;3,$C$8,0)),Z44*(1-$C$6-IF(Y44&lt;3,$C$8,0))))&lt;10,$C$9,IF(IF(Z44&lt;AA44*(1-$C$7),AA44*(1-$C$5-IF(Y44&lt;3,$C$8,0)),MIN(AA44*(1-$C$5-IF(Y44&lt;3,$C$8,0)),Z44*(1-$C$6-IF(Y44&lt;3,$C$8,0))))&lt;100,$D$9,$E$9)))))</f>
        <v>28.2</v>
      </c>
      <c r="AE44" s="73" t="n">
        <f aca="false">IF(Y44=0,"—",FLOOR(AD44*Sources!$G$10,1))</f>
        <v>688</v>
      </c>
      <c r="AF44" s="68" t="n">
        <f aca="false">IF(ISNUMBER($D44),$D44,"n/a")</f>
        <v>7.6</v>
      </c>
      <c r="AG44" s="71" t="n">
        <f aca="false">IF(OR(Y44=0,NOT(ISNUMBER($D44))),"—",AD44/$D44-1)</f>
        <v>2.71052631578947</v>
      </c>
      <c r="AH44" s="72" t="n">
        <f aca="false">IF(Y44=0,"—",AD44/Z44-1)</f>
        <v>0.276235406055791</v>
      </c>
      <c r="AI44" s="72" t="n">
        <f aca="false">IF(Y44=0,"—",AD44/AA44-1)</f>
        <v>-0.252175929378253</v>
      </c>
      <c r="AJ44" s="67" t="n">
        <f aca="false">COUNTIFS(Offers!$B$7:$B$3000,$B44,Offers!$C$7:$C$3000,"Slovakia",Offers!$AI$7:$AI$3000,"yes")</f>
        <v>0</v>
      </c>
      <c r="AK44" s="68" t="str">
        <f aca="false">IF(AJ44=0,"—",SUMIFS(Review!$I$7:$I$600,Review!$B$7:$B$600,$B44,Review!$C$7:$C$600,"Slovakia"))</f>
        <v>—</v>
      </c>
      <c r="AL44" s="68" t="str">
        <f aca="false">IF(AJ44=0,"—",SUMIFS(Review!$J$7:$J$600,Review!$B$7:$B$600,$B44,Review!$C$7:$C$600,"Slovakia"))</f>
        <v>—</v>
      </c>
      <c r="AM44" s="68" t="str">
        <f aca="false">IF(AJ44=0,"—",SUMIFS(Review!$K$7:$K$600,Review!$B$7:$B$600,$B44,Review!$C$7:$C$600,"Slovakia"))</f>
        <v>—</v>
      </c>
      <c r="AN44" s="69" t="str">
        <f aca="false">IF(AJ44=0,"—",IF(AK44&lt;AL44*(1-$C$7),"median (cheapest is an outlier)",IF(AK44*(1-$C$6)&lt;AL44*(1-$C$5),"undercut cheapest","median")))</f>
        <v>—</v>
      </c>
      <c r="AO44" s="70" t="str">
        <f aca="false">IF(AJ44=0,"—",IF(AND(ISNUMBER($D44),$D44*(1+$C$10)&gt;FLOOR(IF(AK44&lt;AL44*(1-$C$7),AL44*(1-$C$5-IF(AJ44&lt;3,$C$8,0)),MIN(AL44*(1-$C$5-IF(AJ44&lt;3,$C$8,0)),AK44*(1-$C$6-IF(AJ44&lt;3,$C$8,0)))),IF(IF(AK44&lt;AL44*(1-$C$7),AL44*(1-$C$5-IF(AJ44&lt;3,$C$8,0)),MIN(AL44*(1-$C$5-IF(AJ44&lt;3,$C$8,0)),AK44*(1-$C$6-IF(AJ44&lt;3,$C$8,0))))&lt;10,$C$9,IF(IF(AK44&lt;AL44*(1-$C$7),AL44*(1-$C$5-IF(AJ44&lt;3,$C$8,0)),MIN(AL44*(1-$C$5-IF(AJ44&lt;3,$C$8,0)),AK44*(1-$C$6-IF(AJ44&lt;3,$C$8,0))))&lt;100,$D$9,$E$9)))),ROUND($D44*(1+$C$10),2),FLOOR(IF(AK44&lt;AL44*(1-$C$7),AL44*(1-$C$5-IF(AJ44&lt;3,$C$8,0)),MIN(AL44*(1-$C$5-IF(AJ44&lt;3,$C$8,0)),AK44*(1-$C$6-IF(AJ44&lt;3,$C$8,0)))),IF(IF(AK44&lt;AL44*(1-$C$7),AL44*(1-$C$5-IF(AJ44&lt;3,$C$8,0)),MIN(AL44*(1-$C$5-IF(AJ44&lt;3,$C$8,0)),AK44*(1-$C$6-IF(AJ44&lt;3,$C$8,0))))&lt;10,$C$9,IF(IF(AK44&lt;AL44*(1-$C$7),AL44*(1-$C$5-IF(AJ44&lt;3,$C$8,0)),MIN(AL44*(1-$C$5-IF(AJ44&lt;3,$C$8,0)),AK44*(1-$C$6-IF(AJ44&lt;3,$C$8,0))))&lt;100,$D$9,$E$9)))))</f>
        <v>—</v>
      </c>
      <c r="AP44" s="68" t="n">
        <f aca="false">IF(ISNUMBER($D44),$D44,"n/a")</f>
        <v>7.6</v>
      </c>
      <c r="AQ44" s="71" t="str">
        <f aca="false">IF(OR(AJ44=0,NOT(ISNUMBER($D44))),"—",AO44/$D44-1)</f>
        <v>—</v>
      </c>
      <c r="AR44" s="72" t="str">
        <f aca="false">IF(AJ44=0,"—",AO44/AK44-1)</f>
        <v>—</v>
      </c>
      <c r="AS44" s="72" t="str">
        <f aca="false">IF(AJ44=0,"—",AO44/AL44-1)</f>
        <v>—</v>
      </c>
      <c r="AT44" s="67" t="n">
        <f aca="false">COUNTIFS(Offers!$B$7:$B$3000,$B44,Offers!$C$7:$C$3000,"Romania",Offers!$AI$7:$AI$3000,"yes")</f>
        <v>0</v>
      </c>
      <c r="AU44" s="68" t="str">
        <f aca="false">IF(AT44=0,"—",SUMIFS(Review!$I$7:$I$600,Review!$B$7:$B$600,$B44,Review!$C$7:$C$600,"Romania"))</f>
        <v>—</v>
      </c>
      <c r="AV44" s="68" t="str">
        <f aca="false">IF(AT44=0,"—",SUMIFS(Review!$J$7:$J$600,Review!$B$7:$B$600,$B44,Review!$C$7:$C$600,"Romania"))</f>
        <v>—</v>
      </c>
      <c r="AW44" s="68" t="str">
        <f aca="false">IF(AT44=0,"—",SUMIFS(Review!$K$7:$K$600,Review!$B$7:$B$600,$B44,Review!$C$7:$C$600,"Romania"))</f>
        <v>—</v>
      </c>
      <c r="AX44" s="69" t="str">
        <f aca="false">IF(AT44=0,"—",IF(AU44&lt;AV44*(1-$C$7),"median (cheapest is an outlier)",IF(AU44*(1-$C$6)&lt;AV44*(1-$C$5),"undercut cheapest","median")))</f>
        <v>—</v>
      </c>
      <c r="AY44" s="70" t="str">
        <f aca="false">IF(AT44=0,"—",IF(AND(ISNUMBER($D44),$D44*(1+$C$10)&gt;FLOOR(IF(AU44&lt;AV44*(1-$C$7),AV44*(1-$C$5-IF(AT44&lt;3,$C$8,0)),MIN(AV44*(1-$C$5-IF(AT44&lt;3,$C$8,0)),AU44*(1-$C$6-IF(AT44&lt;3,$C$8,0)))),IF(IF(AU44&lt;AV44*(1-$C$7),AV44*(1-$C$5-IF(AT44&lt;3,$C$8,0)),MIN(AV44*(1-$C$5-IF(AT44&lt;3,$C$8,0)),AU44*(1-$C$6-IF(AT44&lt;3,$C$8,0))))&lt;10,$C$9,IF(IF(AU44&lt;AV44*(1-$C$7),AV44*(1-$C$5-IF(AT44&lt;3,$C$8,0)),MIN(AV44*(1-$C$5-IF(AT44&lt;3,$C$8,0)),AU44*(1-$C$6-IF(AT44&lt;3,$C$8,0))))&lt;100,$D$9,$E$9)))),ROUND($D44*(1+$C$10),2),FLOOR(IF(AU44&lt;AV44*(1-$C$7),AV44*(1-$C$5-IF(AT44&lt;3,$C$8,0)),MIN(AV44*(1-$C$5-IF(AT44&lt;3,$C$8,0)),AU44*(1-$C$6-IF(AT44&lt;3,$C$8,0)))),IF(IF(AU44&lt;AV44*(1-$C$7),AV44*(1-$C$5-IF(AT44&lt;3,$C$8,0)),MIN(AV44*(1-$C$5-IF(AT44&lt;3,$C$8,0)),AU44*(1-$C$6-IF(AT44&lt;3,$C$8,0))))&lt;10,$C$9,IF(IF(AU44&lt;AV44*(1-$C$7),AV44*(1-$C$5-IF(AT44&lt;3,$C$8,0)),MIN(AV44*(1-$C$5-IF(AT44&lt;3,$C$8,0)),AU44*(1-$C$6-IF(AT44&lt;3,$C$8,0))))&lt;100,$D$9,$E$9)))))</f>
        <v>—</v>
      </c>
      <c r="AZ44" s="70" t="str">
        <f aca="false">IF(AT44=0,"—",FLOOR(AY44*Sources!$G$9,0.1))</f>
        <v>—</v>
      </c>
      <c r="BA44" s="68" t="n">
        <f aca="false">IF(ISNUMBER($D44),$D44,"n/a")</f>
        <v>7.6</v>
      </c>
      <c r="BB44" s="71" t="str">
        <f aca="false">IF(OR(AT44=0,NOT(ISNUMBER($D44))),"—",AY44/$D44-1)</f>
        <v>—</v>
      </c>
      <c r="BC44" s="72" t="str">
        <f aca="false">IF(AT44=0,"—",AY44/AU44-1)</f>
        <v>—</v>
      </c>
      <c r="BD44" s="72" t="str">
        <f aca="false">IF(AT44=0,"—",AY44/AV44-1)</f>
        <v>—</v>
      </c>
      <c r="BE44" s="67" t="n">
        <f aca="false">COUNTIFS(Offers!$B$7:$B$3000,$B44,Offers!$C$7:$C$3000,"Hungary",Offers!$AI$7:$AI$3000,"yes")</f>
        <v>0</v>
      </c>
      <c r="BF44" s="68" t="str">
        <f aca="false">IF(BE44=0,"—",SUMIFS(Review!$I$7:$I$600,Review!$B$7:$B$600,$B44,Review!$C$7:$C$600,"Hungary"))</f>
        <v>—</v>
      </c>
      <c r="BG44" s="68" t="str">
        <f aca="false">IF(BE44=0,"—",SUMIFS(Review!$J$7:$J$600,Review!$B$7:$B$600,$B44,Review!$C$7:$C$600,"Hungary"))</f>
        <v>—</v>
      </c>
      <c r="BH44" s="68" t="str">
        <f aca="false">IF(BE44=0,"—",SUMIFS(Review!$K$7:$K$600,Review!$B$7:$B$600,$B44,Review!$C$7:$C$600,"Hungary"))</f>
        <v>—</v>
      </c>
      <c r="BI44" s="69" t="str">
        <f aca="false">IF(BE44=0,"—",IF(BF44&lt;BG44*(1-$C$7),"median (cheapest is an outlier)",IF(BF44*(1-$C$6)&lt;BG44*(1-$C$5),"undercut cheapest","median")))</f>
        <v>—</v>
      </c>
      <c r="BJ44" s="70" t="str">
        <f aca="false">IF(BE44=0,"—",IF(AND(ISNUMBER($D44),$D44*(1+$C$10)&gt;FLOOR(IF(BF44&lt;BG44*(1-$C$7),BG44*(1-$C$5-IF(BE44&lt;3,$C$8,0)),MIN(BG44*(1-$C$5-IF(BE44&lt;3,$C$8,0)),BF44*(1-$C$6-IF(BE44&lt;3,$C$8,0)))),IF(IF(BF44&lt;BG44*(1-$C$7),BG44*(1-$C$5-IF(BE44&lt;3,$C$8,0)),MIN(BG44*(1-$C$5-IF(BE44&lt;3,$C$8,0)),BF44*(1-$C$6-IF(BE44&lt;3,$C$8,0))))&lt;10,$C$9,IF(IF(BF44&lt;BG44*(1-$C$7),BG44*(1-$C$5-IF(BE44&lt;3,$C$8,0)),MIN(BG44*(1-$C$5-IF(BE44&lt;3,$C$8,0)),BF44*(1-$C$6-IF(BE44&lt;3,$C$8,0))))&lt;100,$D$9,$E$9)))),ROUND($D44*(1+$C$10),2),FLOOR(IF(BF44&lt;BG44*(1-$C$7),BG44*(1-$C$5-IF(BE44&lt;3,$C$8,0)),MIN(BG44*(1-$C$5-IF(BE44&lt;3,$C$8,0)),BF44*(1-$C$6-IF(BE44&lt;3,$C$8,0)))),IF(IF(BF44&lt;BG44*(1-$C$7),BG44*(1-$C$5-IF(BE44&lt;3,$C$8,0)),MIN(BG44*(1-$C$5-IF(BE44&lt;3,$C$8,0)),BF44*(1-$C$6-IF(BE44&lt;3,$C$8,0))))&lt;10,$C$9,IF(IF(BF44&lt;BG44*(1-$C$7),BG44*(1-$C$5-IF(BE44&lt;3,$C$8,0)),MIN(BG44*(1-$C$5-IF(BE44&lt;3,$C$8,0)),BF44*(1-$C$6-IF(BE44&lt;3,$C$8,0))))&lt;100,$D$9,$E$9)))))</f>
        <v>—</v>
      </c>
      <c r="BK44" s="73" t="str">
        <f aca="false">IF(BE44=0,"—",FLOOR(BJ44*Sources!$G$8,10))</f>
        <v>—</v>
      </c>
      <c r="BL44" s="68" t="n">
        <f aca="false">IF(ISNUMBER($D44),$D44,"n/a")</f>
        <v>7.6</v>
      </c>
      <c r="BM44" s="71" t="str">
        <f aca="false">IF(OR(BE44=0,NOT(ISNUMBER($D44))),"—",BJ44/$D44-1)</f>
        <v>—</v>
      </c>
      <c r="BN44" s="72" t="str">
        <f aca="false">IF(BE44=0,"—",BJ44/BF44-1)</f>
        <v>—</v>
      </c>
      <c r="BO44" s="72" t="str">
        <f aca="false">IF(BE44=0,"—",BJ44/BG44-1)</f>
        <v>—</v>
      </c>
    </row>
    <row r="45" customFormat="false" ht="15" hidden="false" customHeight="true" outlineLevel="0" collapsed="false">
      <c r="B45" s="1" t="s">
        <v>61</v>
      </c>
      <c r="C45" s="1" t="s">
        <v>170</v>
      </c>
      <c r="D45" s="58" t="n">
        <v>0.88</v>
      </c>
      <c r="E45" s="59" t="n">
        <f aca="false">COUNTIFS(Offers!$B$7:$B$3000,$B45,Offers!$C$7:$C$3000,"Austria",Offers!$AI$7:$AI$3000,"yes")</f>
        <v>10</v>
      </c>
      <c r="F45" s="60" t="n">
        <f aca="false">IF(E45=0,"—",SUMIFS(Review!$I$7:$I$600,Review!$B$7:$B$600,$B45,Review!$C$7:$C$600,"Austria"))</f>
        <v>2.3</v>
      </c>
      <c r="G45" s="60" t="n">
        <f aca="false">IF(E45=0,"—",SUMIFS(Review!$J$7:$J$600,Review!$B$7:$B$600,$B45,Review!$C$7:$C$600,"Austria"))</f>
        <v>3.27</v>
      </c>
      <c r="H45" s="60" t="n">
        <f aca="false">IF(E45=0,"—",SUMIFS(Review!$K$7:$K$600,Review!$B$7:$B$600,$B45,Review!$C$7:$C$600,"Austria"))</f>
        <v>12.7</v>
      </c>
      <c r="I45" s="61" t="str">
        <f aca="false">IF(E45=0,"—",IF(F45&lt;G45*(1-$C$7),"median (cheapest is an outlier)",IF(F45*(1-$C$6)&lt;G45*(1-$C$5),"undercut cheapest","median")))</f>
        <v>undercut cheapest</v>
      </c>
      <c r="J45" s="62" t="n">
        <f aca="false">IF(E45=0,"—",IF(AND(ISNUMBER($D45),$D45*(1+$C$10)&gt;FLOOR(IF(F45&lt;G45*(1-$C$7),G45*(1-$C$5-IF(E45&lt;3,$C$8,0)),MIN(G45*(1-$C$5-IF(E45&lt;3,$C$8,0)),F45*(1-$C$6-IF(E45&lt;3,$C$8,0)))),IF(IF(F45&lt;G45*(1-$C$7),G45*(1-$C$5-IF(E45&lt;3,$C$8,0)),MIN(G45*(1-$C$5-IF(E45&lt;3,$C$8,0)),F45*(1-$C$6-IF(E45&lt;3,$C$8,0))))&lt;10,$C$9,IF(IF(F45&lt;G45*(1-$C$7),G45*(1-$C$5-IF(E45&lt;3,$C$8,0)),MIN(G45*(1-$C$5-IF(E45&lt;3,$C$8,0)),F45*(1-$C$6-IF(E45&lt;3,$C$8,0))))&lt;100,$D$9,$E$9)))),ROUND($D45*(1+$C$10),2),FLOOR(IF(F45&lt;G45*(1-$C$7),G45*(1-$C$5-IF(E45&lt;3,$C$8,0)),MIN(G45*(1-$C$5-IF(E45&lt;3,$C$8,0)),F45*(1-$C$6-IF(E45&lt;3,$C$8,0)))),IF(IF(F45&lt;G45*(1-$C$7),G45*(1-$C$5-IF(E45&lt;3,$C$8,0)),MIN(G45*(1-$C$5-IF(E45&lt;3,$C$8,0)),F45*(1-$C$6-IF(E45&lt;3,$C$8,0))))&lt;10,$C$9,IF(IF(F45&lt;G45*(1-$C$7),G45*(1-$C$5-IF(E45&lt;3,$C$8,0)),MIN(G45*(1-$C$5-IF(E45&lt;3,$C$8,0)),F45*(1-$C$6-IF(E45&lt;3,$C$8,0))))&lt;100,$D$9,$E$9)))))</f>
        <v>2.15</v>
      </c>
      <c r="K45" s="60" t="n">
        <f aca="false">IF(ISNUMBER($D45),$D45,"n/a")</f>
        <v>0.88</v>
      </c>
      <c r="L45" s="63" t="n">
        <f aca="false">IF(OR(E45=0,NOT(ISNUMBER($D45))),"—",J45/$D45-1)</f>
        <v>1.44318181818182</v>
      </c>
      <c r="M45" s="64" t="n">
        <f aca="false">IF(E45=0,"—",J45/F45-1)</f>
        <v>-0.0652173913043478</v>
      </c>
      <c r="N45" s="64" t="n">
        <f aca="false">IF(E45=0,"—",J45/G45-1)</f>
        <v>-0.342507645259939</v>
      </c>
      <c r="O45" s="59" t="n">
        <f aca="false">COUNTIFS(Offers!$B$7:$B$3000,$B45,Offers!$C$7:$C$3000,"Germany",Offers!$AI$7:$AI$3000,"yes")</f>
        <v>5</v>
      </c>
      <c r="P45" s="60" t="n">
        <f aca="false">IF(O45=0,"—",SUMIFS(Review!$I$7:$I$600,Review!$B$7:$B$600,$B45,Review!$C$7:$C$600,"Germany"))</f>
        <v>1.75</v>
      </c>
      <c r="Q45" s="60" t="n">
        <f aca="false">IF(O45=0,"—",SUMIFS(Review!$J$7:$J$600,Review!$B$7:$B$600,$B45,Review!$C$7:$C$600,"Germany"))</f>
        <v>3.17</v>
      </c>
      <c r="R45" s="60" t="n">
        <f aca="false">IF(O45=0,"—",SUMIFS(Review!$K$7:$K$600,Review!$B$7:$B$600,$B45,Review!$C$7:$C$600,"Germany"))</f>
        <v>5.19</v>
      </c>
      <c r="S45" s="61" t="str">
        <f aca="false">IF(O45=0,"—",IF(P45&lt;Q45*(1-$C$7),"median (cheapest is an outlier)",IF(P45*(1-$C$6)&lt;Q45*(1-$C$5),"undercut cheapest","median")))</f>
        <v>median (cheapest is an outlier)</v>
      </c>
      <c r="T45" s="62" t="n">
        <f aca="false">IF(O45=0,"—",IF(AND(ISNUMBER($D45),$D45*(1+$C$10)&gt;FLOOR(IF(P45&lt;Q45*(1-$C$7),Q45*(1-$C$5-IF(O45&lt;3,$C$8,0)),MIN(Q45*(1-$C$5-IF(O45&lt;3,$C$8,0)),P45*(1-$C$6-IF(O45&lt;3,$C$8,0)))),IF(IF(P45&lt;Q45*(1-$C$7),Q45*(1-$C$5-IF(O45&lt;3,$C$8,0)),MIN(Q45*(1-$C$5-IF(O45&lt;3,$C$8,0)),P45*(1-$C$6-IF(O45&lt;3,$C$8,0))))&lt;10,$C$9,IF(IF(P45&lt;Q45*(1-$C$7),Q45*(1-$C$5-IF(O45&lt;3,$C$8,0)),MIN(Q45*(1-$C$5-IF(O45&lt;3,$C$8,0)),P45*(1-$C$6-IF(O45&lt;3,$C$8,0))))&lt;100,$D$9,$E$9)))),ROUND($D45*(1+$C$10),2),FLOOR(IF(P45&lt;Q45*(1-$C$7),Q45*(1-$C$5-IF(O45&lt;3,$C$8,0)),MIN(Q45*(1-$C$5-IF(O45&lt;3,$C$8,0)),P45*(1-$C$6-IF(O45&lt;3,$C$8,0)))),IF(IF(P45&lt;Q45*(1-$C$7),Q45*(1-$C$5-IF(O45&lt;3,$C$8,0)),MIN(Q45*(1-$C$5-IF(O45&lt;3,$C$8,0)),P45*(1-$C$6-IF(O45&lt;3,$C$8,0))))&lt;10,$C$9,IF(IF(P45&lt;Q45*(1-$C$7),Q45*(1-$C$5-IF(O45&lt;3,$C$8,0)),MIN(Q45*(1-$C$5-IF(O45&lt;3,$C$8,0)),P45*(1-$C$6-IF(O45&lt;3,$C$8,0))))&lt;100,$D$9,$E$9)))))</f>
        <v>2.35</v>
      </c>
      <c r="U45" s="60" t="n">
        <f aca="false">IF(ISNUMBER($D45),$D45,"n/a")</f>
        <v>0.88</v>
      </c>
      <c r="V45" s="63" t="n">
        <f aca="false">IF(OR(O45=0,NOT(ISNUMBER($D45))),"—",T45/$D45-1)</f>
        <v>1.67045454545455</v>
      </c>
      <c r="W45" s="64" t="n">
        <f aca="false">IF(O45=0,"—",T45/P45-1)</f>
        <v>0.342857142857143</v>
      </c>
      <c r="X45" s="64" t="n">
        <f aca="false">IF(O45=0,"—",T45/Q45-1)</f>
        <v>-0.258675078864353</v>
      </c>
      <c r="Y45" s="59" t="n">
        <f aca="false">COUNTIFS(Offers!$B$7:$B$3000,$B45,Offers!$C$7:$C$3000,"Czech",Offers!$AI$7:$AI$3000,"yes")</f>
        <v>8</v>
      </c>
      <c r="Z45" s="60" t="n">
        <f aca="false">IF(Y45=0,"—",SUMIFS(Review!$I$7:$I$600,Review!$B$7:$B$600,$B45,Review!$C$7:$C$600,"Czech"))</f>
        <v>1.433039</v>
      </c>
      <c r="AA45" s="60" t="n">
        <f aca="false">IF(Y45=0,"—",SUMIFS(Review!$J$7:$J$600,Review!$B$7:$B$600,$B45,Review!$C$7:$C$600,"Czech"))</f>
        <v>2.7223655</v>
      </c>
      <c r="AB45" s="60" t="n">
        <f aca="false">IF(Y45=0,"—",SUMIFS(Review!$K$7:$K$600,Review!$B$7:$B$600,$B45,Review!$C$7:$C$600,"Czech"))</f>
        <v>6.12481</v>
      </c>
      <c r="AC45" s="61" t="str">
        <f aca="false">IF(Y45=0,"—",IF(Z45&lt;AA45*(1-$C$7),"median (cheapest is an outlier)",IF(Z45*(1-$C$6)&lt;AA45*(1-$C$5),"undercut cheapest","median")))</f>
        <v>median (cheapest is an outlier)</v>
      </c>
      <c r="AD45" s="62" t="n">
        <f aca="false">IF(Y45=0,"—",IF(AND(ISNUMBER($D45),$D45*(1+$C$10)&gt;FLOOR(IF(Z45&lt;AA45*(1-$C$7),AA45*(1-$C$5-IF(Y45&lt;3,$C$8,0)),MIN(AA45*(1-$C$5-IF(Y45&lt;3,$C$8,0)),Z45*(1-$C$6-IF(Y45&lt;3,$C$8,0)))),IF(IF(Z45&lt;AA45*(1-$C$7),AA45*(1-$C$5-IF(Y45&lt;3,$C$8,0)),MIN(AA45*(1-$C$5-IF(Y45&lt;3,$C$8,0)),Z45*(1-$C$6-IF(Y45&lt;3,$C$8,0))))&lt;10,$C$9,IF(IF(Z45&lt;AA45*(1-$C$7),AA45*(1-$C$5-IF(Y45&lt;3,$C$8,0)),MIN(AA45*(1-$C$5-IF(Y45&lt;3,$C$8,0)),Z45*(1-$C$6-IF(Y45&lt;3,$C$8,0))))&lt;100,$D$9,$E$9)))),ROUND($D45*(1+$C$10),2),FLOOR(IF(Z45&lt;AA45*(1-$C$7),AA45*(1-$C$5-IF(Y45&lt;3,$C$8,0)),MIN(AA45*(1-$C$5-IF(Y45&lt;3,$C$8,0)),Z45*(1-$C$6-IF(Y45&lt;3,$C$8,0)))),IF(IF(Z45&lt;AA45*(1-$C$7),AA45*(1-$C$5-IF(Y45&lt;3,$C$8,0)),MIN(AA45*(1-$C$5-IF(Y45&lt;3,$C$8,0)),Z45*(1-$C$6-IF(Y45&lt;3,$C$8,0))))&lt;10,$C$9,IF(IF(Z45&lt;AA45*(1-$C$7),AA45*(1-$C$5-IF(Y45&lt;3,$C$8,0)),MIN(AA45*(1-$C$5-IF(Y45&lt;3,$C$8,0)),Z45*(1-$C$6-IF(Y45&lt;3,$C$8,0))))&lt;100,$D$9,$E$9)))))</f>
        <v>2</v>
      </c>
      <c r="AE45" s="65" t="n">
        <f aca="false">IF(Y45=0,"—",FLOOR(AD45*Sources!$G$10,1))</f>
        <v>48</v>
      </c>
      <c r="AF45" s="60" t="n">
        <f aca="false">IF(ISNUMBER($D45),$D45,"n/a")</f>
        <v>0.88</v>
      </c>
      <c r="AG45" s="63" t="n">
        <f aca="false">IF(OR(Y45=0,NOT(ISNUMBER($D45))),"—",AD45/$D45-1)</f>
        <v>1.27272727272727</v>
      </c>
      <c r="AH45" s="64" t="n">
        <f aca="false">IF(Y45=0,"—",AD45/Z45-1)</f>
        <v>0.395635429321882</v>
      </c>
      <c r="AI45" s="64" t="n">
        <f aca="false">IF(Y45=0,"—",AD45/AA45-1)</f>
        <v>-0.265344789301804</v>
      </c>
      <c r="AJ45" s="59" t="n">
        <f aca="false">COUNTIFS(Offers!$B$7:$B$3000,$B45,Offers!$C$7:$C$3000,"Slovakia",Offers!$AI$7:$AI$3000,"yes")</f>
        <v>0</v>
      </c>
      <c r="AK45" s="60" t="str">
        <f aca="false">IF(AJ45=0,"—",SUMIFS(Review!$I$7:$I$600,Review!$B$7:$B$600,$B45,Review!$C$7:$C$600,"Slovakia"))</f>
        <v>—</v>
      </c>
      <c r="AL45" s="60" t="str">
        <f aca="false">IF(AJ45=0,"—",SUMIFS(Review!$J$7:$J$600,Review!$B$7:$B$600,$B45,Review!$C$7:$C$600,"Slovakia"))</f>
        <v>—</v>
      </c>
      <c r="AM45" s="60" t="str">
        <f aca="false">IF(AJ45=0,"—",SUMIFS(Review!$K$7:$K$600,Review!$B$7:$B$600,$B45,Review!$C$7:$C$600,"Slovakia"))</f>
        <v>—</v>
      </c>
      <c r="AN45" s="61" t="str">
        <f aca="false">IF(AJ45=0,"—",IF(AK45&lt;AL45*(1-$C$7),"median (cheapest is an outlier)",IF(AK45*(1-$C$6)&lt;AL45*(1-$C$5),"undercut cheapest","median")))</f>
        <v>—</v>
      </c>
      <c r="AO45" s="62" t="str">
        <f aca="false">IF(AJ45=0,"—",IF(AND(ISNUMBER($D45),$D45*(1+$C$10)&gt;FLOOR(IF(AK45&lt;AL45*(1-$C$7),AL45*(1-$C$5-IF(AJ45&lt;3,$C$8,0)),MIN(AL45*(1-$C$5-IF(AJ45&lt;3,$C$8,0)),AK45*(1-$C$6-IF(AJ45&lt;3,$C$8,0)))),IF(IF(AK45&lt;AL45*(1-$C$7),AL45*(1-$C$5-IF(AJ45&lt;3,$C$8,0)),MIN(AL45*(1-$C$5-IF(AJ45&lt;3,$C$8,0)),AK45*(1-$C$6-IF(AJ45&lt;3,$C$8,0))))&lt;10,$C$9,IF(IF(AK45&lt;AL45*(1-$C$7),AL45*(1-$C$5-IF(AJ45&lt;3,$C$8,0)),MIN(AL45*(1-$C$5-IF(AJ45&lt;3,$C$8,0)),AK45*(1-$C$6-IF(AJ45&lt;3,$C$8,0))))&lt;100,$D$9,$E$9)))),ROUND($D45*(1+$C$10),2),FLOOR(IF(AK45&lt;AL45*(1-$C$7),AL45*(1-$C$5-IF(AJ45&lt;3,$C$8,0)),MIN(AL45*(1-$C$5-IF(AJ45&lt;3,$C$8,0)),AK45*(1-$C$6-IF(AJ45&lt;3,$C$8,0)))),IF(IF(AK45&lt;AL45*(1-$C$7),AL45*(1-$C$5-IF(AJ45&lt;3,$C$8,0)),MIN(AL45*(1-$C$5-IF(AJ45&lt;3,$C$8,0)),AK45*(1-$C$6-IF(AJ45&lt;3,$C$8,0))))&lt;10,$C$9,IF(IF(AK45&lt;AL45*(1-$C$7),AL45*(1-$C$5-IF(AJ45&lt;3,$C$8,0)),MIN(AL45*(1-$C$5-IF(AJ45&lt;3,$C$8,0)),AK45*(1-$C$6-IF(AJ45&lt;3,$C$8,0))))&lt;100,$D$9,$E$9)))))</f>
        <v>—</v>
      </c>
      <c r="AP45" s="60" t="n">
        <f aca="false">IF(ISNUMBER($D45),$D45,"n/a")</f>
        <v>0.88</v>
      </c>
      <c r="AQ45" s="63" t="str">
        <f aca="false">IF(OR(AJ45=0,NOT(ISNUMBER($D45))),"—",AO45/$D45-1)</f>
        <v>—</v>
      </c>
      <c r="AR45" s="64" t="str">
        <f aca="false">IF(AJ45=0,"—",AO45/AK45-1)</f>
        <v>—</v>
      </c>
      <c r="AS45" s="64" t="str">
        <f aca="false">IF(AJ45=0,"—",AO45/AL45-1)</f>
        <v>—</v>
      </c>
      <c r="AT45" s="59" t="n">
        <f aca="false">COUNTIFS(Offers!$B$7:$B$3000,$B45,Offers!$C$7:$C$3000,"Romania",Offers!$AI$7:$AI$3000,"yes")</f>
        <v>0</v>
      </c>
      <c r="AU45" s="60" t="str">
        <f aca="false">IF(AT45=0,"—",SUMIFS(Review!$I$7:$I$600,Review!$B$7:$B$600,$B45,Review!$C$7:$C$600,"Romania"))</f>
        <v>—</v>
      </c>
      <c r="AV45" s="60" t="str">
        <f aca="false">IF(AT45=0,"—",SUMIFS(Review!$J$7:$J$600,Review!$B$7:$B$600,$B45,Review!$C$7:$C$600,"Romania"))</f>
        <v>—</v>
      </c>
      <c r="AW45" s="60" t="str">
        <f aca="false">IF(AT45=0,"—",SUMIFS(Review!$K$7:$K$600,Review!$B$7:$B$600,$B45,Review!$C$7:$C$600,"Romania"))</f>
        <v>—</v>
      </c>
      <c r="AX45" s="61" t="str">
        <f aca="false">IF(AT45=0,"—",IF(AU45&lt;AV45*(1-$C$7),"median (cheapest is an outlier)",IF(AU45*(1-$C$6)&lt;AV45*(1-$C$5),"undercut cheapest","median")))</f>
        <v>—</v>
      </c>
      <c r="AY45" s="62" t="str">
        <f aca="false">IF(AT45=0,"—",IF(AND(ISNUMBER($D45),$D45*(1+$C$10)&gt;FLOOR(IF(AU45&lt;AV45*(1-$C$7),AV45*(1-$C$5-IF(AT45&lt;3,$C$8,0)),MIN(AV45*(1-$C$5-IF(AT45&lt;3,$C$8,0)),AU45*(1-$C$6-IF(AT45&lt;3,$C$8,0)))),IF(IF(AU45&lt;AV45*(1-$C$7),AV45*(1-$C$5-IF(AT45&lt;3,$C$8,0)),MIN(AV45*(1-$C$5-IF(AT45&lt;3,$C$8,0)),AU45*(1-$C$6-IF(AT45&lt;3,$C$8,0))))&lt;10,$C$9,IF(IF(AU45&lt;AV45*(1-$C$7),AV45*(1-$C$5-IF(AT45&lt;3,$C$8,0)),MIN(AV45*(1-$C$5-IF(AT45&lt;3,$C$8,0)),AU45*(1-$C$6-IF(AT45&lt;3,$C$8,0))))&lt;100,$D$9,$E$9)))),ROUND($D45*(1+$C$10),2),FLOOR(IF(AU45&lt;AV45*(1-$C$7),AV45*(1-$C$5-IF(AT45&lt;3,$C$8,0)),MIN(AV45*(1-$C$5-IF(AT45&lt;3,$C$8,0)),AU45*(1-$C$6-IF(AT45&lt;3,$C$8,0)))),IF(IF(AU45&lt;AV45*(1-$C$7),AV45*(1-$C$5-IF(AT45&lt;3,$C$8,0)),MIN(AV45*(1-$C$5-IF(AT45&lt;3,$C$8,0)),AU45*(1-$C$6-IF(AT45&lt;3,$C$8,0))))&lt;10,$C$9,IF(IF(AU45&lt;AV45*(1-$C$7),AV45*(1-$C$5-IF(AT45&lt;3,$C$8,0)),MIN(AV45*(1-$C$5-IF(AT45&lt;3,$C$8,0)),AU45*(1-$C$6-IF(AT45&lt;3,$C$8,0))))&lt;100,$D$9,$E$9)))))</f>
        <v>—</v>
      </c>
      <c r="AZ45" s="62" t="str">
        <f aca="false">IF(AT45=0,"—",FLOOR(AY45*Sources!$G$9,0.1))</f>
        <v>—</v>
      </c>
      <c r="BA45" s="60" t="n">
        <f aca="false">IF(ISNUMBER($D45),$D45,"n/a")</f>
        <v>0.88</v>
      </c>
      <c r="BB45" s="63" t="str">
        <f aca="false">IF(OR(AT45=0,NOT(ISNUMBER($D45))),"—",AY45/$D45-1)</f>
        <v>—</v>
      </c>
      <c r="BC45" s="64" t="str">
        <f aca="false">IF(AT45=0,"—",AY45/AU45-1)</f>
        <v>—</v>
      </c>
      <c r="BD45" s="64" t="str">
        <f aca="false">IF(AT45=0,"—",AY45/AV45-1)</f>
        <v>—</v>
      </c>
      <c r="BE45" s="59" t="n">
        <f aca="false">COUNTIFS(Offers!$B$7:$B$3000,$B45,Offers!$C$7:$C$3000,"Hungary",Offers!$AI$7:$AI$3000,"yes")</f>
        <v>0</v>
      </c>
      <c r="BF45" s="60" t="str">
        <f aca="false">IF(BE45=0,"—",SUMIFS(Review!$I$7:$I$600,Review!$B$7:$B$600,$B45,Review!$C$7:$C$600,"Hungary"))</f>
        <v>—</v>
      </c>
      <c r="BG45" s="60" t="str">
        <f aca="false">IF(BE45=0,"—",SUMIFS(Review!$J$7:$J$600,Review!$B$7:$B$600,$B45,Review!$C$7:$C$600,"Hungary"))</f>
        <v>—</v>
      </c>
      <c r="BH45" s="60" t="str">
        <f aca="false">IF(BE45=0,"—",SUMIFS(Review!$K$7:$K$600,Review!$B$7:$B$600,$B45,Review!$C$7:$C$600,"Hungary"))</f>
        <v>—</v>
      </c>
      <c r="BI45" s="61" t="str">
        <f aca="false">IF(BE45=0,"—",IF(BF45&lt;BG45*(1-$C$7),"median (cheapest is an outlier)",IF(BF45*(1-$C$6)&lt;BG45*(1-$C$5),"undercut cheapest","median")))</f>
        <v>—</v>
      </c>
      <c r="BJ45" s="62" t="str">
        <f aca="false">IF(BE45=0,"—",IF(AND(ISNUMBER($D45),$D45*(1+$C$10)&gt;FLOOR(IF(BF45&lt;BG45*(1-$C$7),BG45*(1-$C$5-IF(BE45&lt;3,$C$8,0)),MIN(BG45*(1-$C$5-IF(BE45&lt;3,$C$8,0)),BF45*(1-$C$6-IF(BE45&lt;3,$C$8,0)))),IF(IF(BF45&lt;BG45*(1-$C$7),BG45*(1-$C$5-IF(BE45&lt;3,$C$8,0)),MIN(BG45*(1-$C$5-IF(BE45&lt;3,$C$8,0)),BF45*(1-$C$6-IF(BE45&lt;3,$C$8,0))))&lt;10,$C$9,IF(IF(BF45&lt;BG45*(1-$C$7),BG45*(1-$C$5-IF(BE45&lt;3,$C$8,0)),MIN(BG45*(1-$C$5-IF(BE45&lt;3,$C$8,0)),BF45*(1-$C$6-IF(BE45&lt;3,$C$8,0))))&lt;100,$D$9,$E$9)))),ROUND($D45*(1+$C$10),2),FLOOR(IF(BF45&lt;BG45*(1-$C$7),BG45*(1-$C$5-IF(BE45&lt;3,$C$8,0)),MIN(BG45*(1-$C$5-IF(BE45&lt;3,$C$8,0)),BF45*(1-$C$6-IF(BE45&lt;3,$C$8,0)))),IF(IF(BF45&lt;BG45*(1-$C$7),BG45*(1-$C$5-IF(BE45&lt;3,$C$8,0)),MIN(BG45*(1-$C$5-IF(BE45&lt;3,$C$8,0)),BF45*(1-$C$6-IF(BE45&lt;3,$C$8,0))))&lt;10,$C$9,IF(IF(BF45&lt;BG45*(1-$C$7),BG45*(1-$C$5-IF(BE45&lt;3,$C$8,0)),MIN(BG45*(1-$C$5-IF(BE45&lt;3,$C$8,0)),BF45*(1-$C$6-IF(BE45&lt;3,$C$8,0))))&lt;100,$D$9,$E$9)))))</f>
        <v>—</v>
      </c>
      <c r="BK45" s="65" t="str">
        <f aca="false">IF(BE45=0,"—",FLOOR(BJ45*Sources!$G$8,10))</f>
        <v>—</v>
      </c>
      <c r="BL45" s="60" t="n">
        <f aca="false">IF(ISNUMBER($D45),$D45,"n/a")</f>
        <v>0.88</v>
      </c>
      <c r="BM45" s="63" t="str">
        <f aca="false">IF(OR(BE45=0,NOT(ISNUMBER($D45))),"—",BJ45/$D45-1)</f>
        <v>—</v>
      </c>
      <c r="BN45" s="64" t="str">
        <f aca="false">IF(BE45=0,"—",BJ45/BF45-1)</f>
        <v>—</v>
      </c>
      <c r="BO45" s="64" t="str">
        <f aca="false">IF(BE45=0,"—",BJ45/BG45-1)</f>
        <v>—</v>
      </c>
    </row>
    <row r="46" customFormat="false" ht="15" hidden="false" customHeight="true" outlineLevel="0" collapsed="false">
      <c r="B46" s="66" t="s">
        <v>62</v>
      </c>
      <c r="C46" s="66" t="s">
        <v>171</v>
      </c>
      <c r="D46" s="58"/>
      <c r="E46" s="67" t="n">
        <f aca="false">COUNTIFS(Offers!$B$7:$B$3000,$B46,Offers!$C$7:$C$3000,"Austria",Offers!$AI$7:$AI$3000,"yes")</f>
        <v>5</v>
      </c>
      <c r="F46" s="68" t="n">
        <f aca="false">IF(E46=0,"—",SUMIFS(Review!$I$7:$I$600,Review!$B$7:$B$600,$B46,Review!$C$7:$C$600,"Austria"))</f>
        <v>1.4</v>
      </c>
      <c r="G46" s="68" t="n">
        <f aca="false">IF(E46=0,"—",SUMIFS(Review!$J$7:$J$600,Review!$B$7:$B$600,$B46,Review!$C$7:$C$600,"Austria"))</f>
        <v>1.73</v>
      </c>
      <c r="H46" s="68" t="n">
        <f aca="false">IF(E46=0,"—",SUMIFS(Review!$K$7:$K$600,Review!$B$7:$B$600,$B46,Review!$C$7:$C$600,"Austria"))</f>
        <v>5.41</v>
      </c>
      <c r="I46" s="69" t="str">
        <f aca="false">IF(E46=0,"—",IF(F46&lt;G46*(1-$C$7),"median (cheapest is an outlier)",IF(F46*(1-$C$6)&lt;G46*(1-$C$5),"undercut cheapest","median")))</f>
        <v>median</v>
      </c>
      <c r="J46" s="70" t="n">
        <f aca="false">IF(E46=0,"—",IF(AND(ISNUMBER($D46),$D46*(1+$C$10)&gt;FLOOR(IF(F46&lt;G46*(1-$C$7),G46*(1-$C$5-IF(E46&lt;3,$C$8,0)),MIN(G46*(1-$C$5-IF(E46&lt;3,$C$8,0)),F46*(1-$C$6-IF(E46&lt;3,$C$8,0)))),IF(IF(F46&lt;G46*(1-$C$7),G46*(1-$C$5-IF(E46&lt;3,$C$8,0)),MIN(G46*(1-$C$5-IF(E46&lt;3,$C$8,0)),F46*(1-$C$6-IF(E46&lt;3,$C$8,0))))&lt;10,$C$9,IF(IF(F46&lt;G46*(1-$C$7),G46*(1-$C$5-IF(E46&lt;3,$C$8,0)),MIN(G46*(1-$C$5-IF(E46&lt;3,$C$8,0)),F46*(1-$C$6-IF(E46&lt;3,$C$8,0))))&lt;100,$D$9,$E$9)))),ROUND($D46*(1+$C$10),2),FLOOR(IF(F46&lt;G46*(1-$C$7),G46*(1-$C$5-IF(E46&lt;3,$C$8,0)),MIN(G46*(1-$C$5-IF(E46&lt;3,$C$8,0)),F46*(1-$C$6-IF(E46&lt;3,$C$8,0)))),IF(IF(F46&lt;G46*(1-$C$7),G46*(1-$C$5-IF(E46&lt;3,$C$8,0)),MIN(G46*(1-$C$5-IF(E46&lt;3,$C$8,0)),F46*(1-$C$6-IF(E46&lt;3,$C$8,0))))&lt;10,$C$9,IF(IF(F46&lt;G46*(1-$C$7),G46*(1-$C$5-IF(E46&lt;3,$C$8,0)),MIN(G46*(1-$C$5-IF(E46&lt;3,$C$8,0)),F46*(1-$C$6-IF(E46&lt;3,$C$8,0))))&lt;100,$D$9,$E$9)))))</f>
        <v>1.25</v>
      </c>
      <c r="K46" s="68" t="str">
        <f aca="false">IF(ISNUMBER($D46),$D46,"n/a")</f>
        <v>n/a</v>
      </c>
      <c r="L46" s="71" t="str">
        <f aca="false">IF(OR(E46=0,NOT(ISNUMBER($D46))),"—",J46/$D46-1)</f>
        <v>—</v>
      </c>
      <c r="M46" s="72" t="n">
        <f aca="false">IF(E46=0,"—",J46/F46-1)</f>
        <v>-0.107142857142857</v>
      </c>
      <c r="N46" s="72" t="n">
        <f aca="false">IF(E46=0,"—",J46/G46-1)</f>
        <v>-0.277456647398844</v>
      </c>
      <c r="O46" s="67" t="n">
        <f aca="false">COUNTIFS(Offers!$B$7:$B$3000,$B46,Offers!$C$7:$C$3000,"Germany",Offers!$AI$7:$AI$3000,"yes")</f>
        <v>0</v>
      </c>
      <c r="P46" s="68" t="str">
        <f aca="false">IF(O46=0,"—",SUMIFS(Review!$I$7:$I$600,Review!$B$7:$B$600,$B46,Review!$C$7:$C$600,"Germany"))</f>
        <v>—</v>
      </c>
      <c r="Q46" s="68" t="str">
        <f aca="false">IF(O46=0,"—",SUMIFS(Review!$J$7:$J$600,Review!$B$7:$B$600,$B46,Review!$C$7:$C$600,"Germany"))</f>
        <v>—</v>
      </c>
      <c r="R46" s="68" t="str">
        <f aca="false">IF(O46=0,"—",SUMIFS(Review!$K$7:$K$600,Review!$B$7:$B$600,$B46,Review!$C$7:$C$600,"Germany"))</f>
        <v>—</v>
      </c>
      <c r="S46" s="69" t="str">
        <f aca="false">IF(O46=0,"—",IF(P46&lt;Q46*(1-$C$7),"median (cheapest is an outlier)",IF(P46*(1-$C$6)&lt;Q46*(1-$C$5),"undercut cheapest","median")))</f>
        <v>—</v>
      </c>
      <c r="T46" s="70" t="str">
        <f aca="false">IF(O46=0,"—",IF(AND(ISNUMBER($D46),$D46*(1+$C$10)&gt;FLOOR(IF(P46&lt;Q46*(1-$C$7),Q46*(1-$C$5-IF(O46&lt;3,$C$8,0)),MIN(Q46*(1-$C$5-IF(O46&lt;3,$C$8,0)),P46*(1-$C$6-IF(O46&lt;3,$C$8,0)))),IF(IF(P46&lt;Q46*(1-$C$7),Q46*(1-$C$5-IF(O46&lt;3,$C$8,0)),MIN(Q46*(1-$C$5-IF(O46&lt;3,$C$8,0)),P46*(1-$C$6-IF(O46&lt;3,$C$8,0))))&lt;10,$C$9,IF(IF(P46&lt;Q46*(1-$C$7),Q46*(1-$C$5-IF(O46&lt;3,$C$8,0)),MIN(Q46*(1-$C$5-IF(O46&lt;3,$C$8,0)),P46*(1-$C$6-IF(O46&lt;3,$C$8,0))))&lt;100,$D$9,$E$9)))),ROUND($D46*(1+$C$10),2),FLOOR(IF(P46&lt;Q46*(1-$C$7),Q46*(1-$C$5-IF(O46&lt;3,$C$8,0)),MIN(Q46*(1-$C$5-IF(O46&lt;3,$C$8,0)),P46*(1-$C$6-IF(O46&lt;3,$C$8,0)))),IF(IF(P46&lt;Q46*(1-$C$7),Q46*(1-$C$5-IF(O46&lt;3,$C$8,0)),MIN(Q46*(1-$C$5-IF(O46&lt;3,$C$8,0)),P46*(1-$C$6-IF(O46&lt;3,$C$8,0))))&lt;10,$C$9,IF(IF(P46&lt;Q46*(1-$C$7),Q46*(1-$C$5-IF(O46&lt;3,$C$8,0)),MIN(Q46*(1-$C$5-IF(O46&lt;3,$C$8,0)),P46*(1-$C$6-IF(O46&lt;3,$C$8,0))))&lt;100,$D$9,$E$9)))))</f>
        <v>—</v>
      </c>
      <c r="U46" s="68" t="str">
        <f aca="false">IF(ISNUMBER($D46),$D46,"n/a")</f>
        <v>n/a</v>
      </c>
      <c r="V46" s="71" t="str">
        <f aca="false">IF(OR(O46=0,NOT(ISNUMBER($D46))),"—",T46/$D46-1)</f>
        <v>—</v>
      </c>
      <c r="W46" s="72" t="str">
        <f aca="false">IF(O46=0,"—",T46/P46-1)</f>
        <v>—</v>
      </c>
      <c r="X46" s="72" t="str">
        <f aca="false">IF(O46=0,"—",T46/Q46-1)</f>
        <v>—</v>
      </c>
      <c r="Y46" s="67" t="n">
        <f aca="false">COUNTIFS(Offers!$B$7:$B$3000,$B46,Offers!$C$7:$C$3000,"Czech",Offers!$AI$7:$AI$3000,"yes")</f>
        <v>2</v>
      </c>
      <c r="Z46" s="68" t="n">
        <f aca="false">IF(Y46=0,"—",SUMIFS(Review!$I$7:$I$600,Review!$B$7:$B$600,$B46,Review!$C$7:$C$600,"Czech"))</f>
        <v>1.555871</v>
      </c>
      <c r="AA46" s="68" t="n">
        <f aca="false">IF(Y46=0,"—",SUMIFS(Review!$J$7:$J$600,Review!$B$7:$B$600,$B46,Review!$C$7:$C$600,"Czech"))</f>
        <v>2.435962</v>
      </c>
      <c r="AB46" s="68" t="n">
        <f aca="false">IF(Y46=0,"—",SUMIFS(Review!$K$7:$K$600,Review!$B$7:$B$600,$B46,Review!$C$7:$C$600,"Czech"))</f>
        <v>3.316053</v>
      </c>
      <c r="AC46" s="69" t="str">
        <f aca="false">IF(Y46=0,"—",IF(Z46&lt;AA46*(1-$C$7),"median (cheapest is an outlier)",IF(Z46*(1-$C$6)&lt;AA46*(1-$C$5),"undercut cheapest","median")))</f>
        <v>median (cheapest is an outlier)</v>
      </c>
      <c r="AD46" s="70" t="n">
        <f aca="false">IF(Y46=0,"—",IF(AND(ISNUMBER($D46),$D46*(1+$C$10)&gt;FLOOR(IF(Z46&lt;AA46*(1-$C$7),AA46*(1-$C$5-IF(Y46&lt;3,$C$8,0)),MIN(AA46*(1-$C$5-IF(Y46&lt;3,$C$8,0)),Z46*(1-$C$6-IF(Y46&lt;3,$C$8,0)))),IF(IF(Z46&lt;AA46*(1-$C$7),AA46*(1-$C$5-IF(Y46&lt;3,$C$8,0)),MIN(AA46*(1-$C$5-IF(Y46&lt;3,$C$8,0)),Z46*(1-$C$6-IF(Y46&lt;3,$C$8,0))))&lt;10,$C$9,IF(IF(Z46&lt;AA46*(1-$C$7),AA46*(1-$C$5-IF(Y46&lt;3,$C$8,0)),MIN(AA46*(1-$C$5-IF(Y46&lt;3,$C$8,0)),Z46*(1-$C$6-IF(Y46&lt;3,$C$8,0))))&lt;100,$D$9,$E$9)))),ROUND($D46*(1+$C$10),2),FLOOR(IF(Z46&lt;AA46*(1-$C$7),AA46*(1-$C$5-IF(Y46&lt;3,$C$8,0)),MIN(AA46*(1-$C$5-IF(Y46&lt;3,$C$8,0)),Z46*(1-$C$6-IF(Y46&lt;3,$C$8,0)))),IF(IF(Z46&lt;AA46*(1-$C$7),AA46*(1-$C$5-IF(Y46&lt;3,$C$8,0)),MIN(AA46*(1-$C$5-IF(Y46&lt;3,$C$8,0)),Z46*(1-$C$6-IF(Y46&lt;3,$C$8,0))))&lt;10,$C$9,IF(IF(Z46&lt;AA46*(1-$C$7),AA46*(1-$C$5-IF(Y46&lt;3,$C$8,0)),MIN(AA46*(1-$C$5-IF(Y46&lt;3,$C$8,0)),Z46*(1-$C$6-IF(Y46&lt;3,$C$8,0))))&lt;100,$D$9,$E$9)))))</f>
        <v>1.7</v>
      </c>
      <c r="AE46" s="73" t="n">
        <f aca="false">IF(Y46=0,"—",FLOOR(AD46*Sources!$G$10,1))</f>
        <v>41</v>
      </c>
      <c r="AF46" s="68" t="str">
        <f aca="false">IF(ISNUMBER($D46),$D46,"n/a")</f>
        <v>n/a</v>
      </c>
      <c r="AG46" s="71" t="str">
        <f aca="false">IF(OR(Y46=0,NOT(ISNUMBER($D46))),"—",AD46/$D46-1)</f>
        <v>—</v>
      </c>
      <c r="AH46" s="72" t="n">
        <f aca="false">IF(Y46=0,"—",AD46/Z46-1)</f>
        <v>0.0926355719722265</v>
      </c>
      <c r="AI46" s="72" t="n">
        <f aca="false">IF(Y46=0,"—",AD46/AA46-1)</f>
        <v>-0.302123760551273</v>
      </c>
      <c r="AJ46" s="67" t="n">
        <f aca="false">COUNTIFS(Offers!$B$7:$B$3000,$B46,Offers!$C$7:$C$3000,"Slovakia",Offers!$AI$7:$AI$3000,"yes")</f>
        <v>0</v>
      </c>
      <c r="AK46" s="68" t="str">
        <f aca="false">IF(AJ46=0,"—",SUMIFS(Review!$I$7:$I$600,Review!$B$7:$B$600,$B46,Review!$C$7:$C$600,"Slovakia"))</f>
        <v>—</v>
      </c>
      <c r="AL46" s="68" t="str">
        <f aca="false">IF(AJ46=0,"—",SUMIFS(Review!$J$7:$J$600,Review!$B$7:$B$600,$B46,Review!$C$7:$C$600,"Slovakia"))</f>
        <v>—</v>
      </c>
      <c r="AM46" s="68" t="str">
        <f aca="false">IF(AJ46=0,"—",SUMIFS(Review!$K$7:$K$600,Review!$B$7:$B$600,$B46,Review!$C$7:$C$600,"Slovakia"))</f>
        <v>—</v>
      </c>
      <c r="AN46" s="69" t="str">
        <f aca="false">IF(AJ46=0,"—",IF(AK46&lt;AL46*(1-$C$7),"median (cheapest is an outlier)",IF(AK46*(1-$C$6)&lt;AL46*(1-$C$5),"undercut cheapest","median")))</f>
        <v>—</v>
      </c>
      <c r="AO46" s="70" t="str">
        <f aca="false">IF(AJ46=0,"—",IF(AND(ISNUMBER($D46),$D46*(1+$C$10)&gt;FLOOR(IF(AK46&lt;AL46*(1-$C$7),AL46*(1-$C$5-IF(AJ46&lt;3,$C$8,0)),MIN(AL46*(1-$C$5-IF(AJ46&lt;3,$C$8,0)),AK46*(1-$C$6-IF(AJ46&lt;3,$C$8,0)))),IF(IF(AK46&lt;AL46*(1-$C$7),AL46*(1-$C$5-IF(AJ46&lt;3,$C$8,0)),MIN(AL46*(1-$C$5-IF(AJ46&lt;3,$C$8,0)),AK46*(1-$C$6-IF(AJ46&lt;3,$C$8,0))))&lt;10,$C$9,IF(IF(AK46&lt;AL46*(1-$C$7),AL46*(1-$C$5-IF(AJ46&lt;3,$C$8,0)),MIN(AL46*(1-$C$5-IF(AJ46&lt;3,$C$8,0)),AK46*(1-$C$6-IF(AJ46&lt;3,$C$8,0))))&lt;100,$D$9,$E$9)))),ROUND($D46*(1+$C$10),2),FLOOR(IF(AK46&lt;AL46*(1-$C$7),AL46*(1-$C$5-IF(AJ46&lt;3,$C$8,0)),MIN(AL46*(1-$C$5-IF(AJ46&lt;3,$C$8,0)),AK46*(1-$C$6-IF(AJ46&lt;3,$C$8,0)))),IF(IF(AK46&lt;AL46*(1-$C$7),AL46*(1-$C$5-IF(AJ46&lt;3,$C$8,0)),MIN(AL46*(1-$C$5-IF(AJ46&lt;3,$C$8,0)),AK46*(1-$C$6-IF(AJ46&lt;3,$C$8,0))))&lt;10,$C$9,IF(IF(AK46&lt;AL46*(1-$C$7),AL46*(1-$C$5-IF(AJ46&lt;3,$C$8,0)),MIN(AL46*(1-$C$5-IF(AJ46&lt;3,$C$8,0)),AK46*(1-$C$6-IF(AJ46&lt;3,$C$8,0))))&lt;100,$D$9,$E$9)))))</f>
        <v>—</v>
      </c>
      <c r="AP46" s="68" t="str">
        <f aca="false">IF(ISNUMBER($D46),$D46,"n/a")</f>
        <v>n/a</v>
      </c>
      <c r="AQ46" s="71" t="str">
        <f aca="false">IF(OR(AJ46=0,NOT(ISNUMBER($D46))),"—",AO46/$D46-1)</f>
        <v>—</v>
      </c>
      <c r="AR46" s="72" t="str">
        <f aca="false">IF(AJ46=0,"—",AO46/AK46-1)</f>
        <v>—</v>
      </c>
      <c r="AS46" s="72" t="str">
        <f aca="false">IF(AJ46=0,"—",AO46/AL46-1)</f>
        <v>—</v>
      </c>
      <c r="AT46" s="67" t="n">
        <f aca="false">COUNTIFS(Offers!$B$7:$B$3000,$B46,Offers!$C$7:$C$3000,"Romania",Offers!$AI$7:$AI$3000,"yes")</f>
        <v>0</v>
      </c>
      <c r="AU46" s="68" t="str">
        <f aca="false">IF(AT46=0,"—",SUMIFS(Review!$I$7:$I$600,Review!$B$7:$B$600,$B46,Review!$C$7:$C$600,"Romania"))</f>
        <v>—</v>
      </c>
      <c r="AV46" s="68" t="str">
        <f aca="false">IF(AT46=0,"—",SUMIFS(Review!$J$7:$J$600,Review!$B$7:$B$600,$B46,Review!$C$7:$C$600,"Romania"))</f>
        <v>—</v>
      </c>
      <c r="AW46" s="68" t="str">
        <f aca="false">IF(AT46=0,"—",SUMIFS(Review!$K$7:$K$600,Review!$B$7:$B$600,$B46,Review!$C$7:$C$600,"Romania"))</f>
        <v>—</v>
      </c>
      <c r="AX46" s="69" t="str">
        <f aca="false">IF(AT46=0,"—",IF(AU46&lt;AV46*(1-$C$7),"median (cheapest is an outlier)",IF(AU46*(1-$C$6)&lt;AV46*(1-$C$5),"undercut cheapest","median")))</f>
        <v>—</v>
      </c>
      <c r="AY46" s="70" t="str">
        <f aca="false">IF(AT46=0,"—",IF(AND(ISNUMBER($D46),$D46*(1+$C$10)&gt;FLOOR(IF(AU46&lt;AV46*(1-$C$7),AV46*(1-$C$5-IF(AT46&lt;3,$C$8,0)),MIN(AV46*(1-$C$5-IF(AT46&lt;3,$C$8,0)),AU46*(1-$C$6-IF(AT46&lt;3,$C$8,0)))),IF(IF(AU46&lt;AV46*(1-$C$7),AV46*(1-$C$5-IF(AT46&lt;3,$C$8,0)),MIN(AV46*(1-$C$5-IF(AT46&lt;3,$C$8,0)),AU46*(1-$C$6-IF(AT46&lt;3,$C$8,0))))&lt;10,$C$9,IF(IF(AU46&lt;AV46*(1-$C$7),AV46*(1-$C$5-IF(AT46&lt;3,$C$8,0)),MIN(AV46*(1-$C$5-IF(AT46&lt;3,$C$8,0)),AU46*(1-$C$6-IF(AT46&lt;3,$C$8,0))))&lt;100,$D$9,$E$9)))),ROUND($D46*(1+$C$10),2),FLOOR(IF(AU46&lt;AV46*(1-$C$7),AV46*(1-$C$5-IF(AT46&lt;3,$C$8,0)),MIN(AV46*(1-$C$5-IF(AT46&lt;3,$C$8,0)),AU46*(1-$C$6-IF(AT46&lt;3,$C$8,0)))),IF(IF(AU46&lt;AV46*(1-$C$7),AV46*(1-$C$5-IF(AT46&lt;3,$C$8,0)),MIN(AV46*(1-$C$5-IF(AT46&lt;3,$C$8,0)),AU46*(1-$C$6-IF(AT46&lt;3,$C$8,0))))&lt;10,$C$9,IF(IF(AU46&lt;AV46*(1-$C$7),AV46*(1-$C$5-IF(AT46&lt;3,$C$8,0)),MIN(AV46*(1-$C$5-IF(AT46&lt;3,$C$8,0)),AU46*(1-$C$6-IF(AT46&lt;3,$C$8,0))))&lt;100,$D$9,$E$9)))))</f>
        <v>—</v>
      </c>
      <c r="AZ46" s="70" t="str">
        <f aca="false">IF(AT46=0,"—",FLOOR(AY46*Sources!$G$9,0.1))</f>
        <v>—</v>
      </c>
      <c r="BA46" s="68" t="str">
        <f aca="false">IF(ISNUMBER($D46),$D46,"n/a")</f>
        <v>n/a</v>
      </c>
      <c r="BB46" s="71" t="str">
        <f aca="false">IF(OR(AT46=0,NOT(ISNUMBER($D46))),"—",AY46/$D46-1)</f>
        <v>—</v>
      </c>
      <c r="BC46" s="72" t="str">
        <f aca="false">IF(AT46=0,"—",AY46/AU46-1)</f>
        <v>—</v>
      </c>
      <c r="BD46" s="72" t="str">
        <f aca="false">IF(AT46=0,"—",AY46/AV46-1)</f>
        <v>—</v>
      </c>
      <c r="BE46" s="67" t="n">
        <f aca="false">COUNTIFS(Offers!$B$7:$B$3000,$B46,Offers!$C$7:$C$3000,"Hungary",Offers!$AI$7:$AI$3000,"yes")</f>
        <v>0</v>
      </c>
      <c r="BF46" s="68" t="str">
        <f aca="false">IF(BE46=0,"—",SUMIFS(Review!$I$7:$I$600,Review!$B$7:$B$600,$B46,Review!$C$7:$C$600,"Hungary"))</f>
        <v>—</v>
      </c>
      <c r="BG46" s="68" t="str">
        <f aca="false">IF(BE46=0,"—",SUMIFS(Review!$J$7:$J$600,Review!$B$7:$B$600,$B46,Review!$C$7:$C$600,"Hungary"))</f>
        <v>—</v>
      </c>
      <c r="BH46" s="68" t="str">
        <f aca="false">IF(BE46=0,"—",SUMIFS(Review!$K$7:$K$600,Review!$B$7:$B$600,$B46,Review!$C$7:$C$600,"Hungary"))</f>
        <v>—</v>
      </c>
      <c r="BI46" s="69" t="str">
        <f aca="false">IF(BE46=0,"—",IF(BF46&lt;BG46*(1-$C$7),"median (cheapest is an outlier)",IF(BF46*(1-$C$6)&lt;BG46*(1-$C$5),"undercut cheapest","median")))</f>
        <v>—</v>
      </c>
      <c r="BJ46" s="70" t="str">
        <f aca="false">IF(BE46=0,"—",IF(AND(ISNUMBER($D46),$D46*(1+$C$10)&gt;FLOOR(IF(BF46&lt;BG46*(1-$C$7),BG46*(1-$C$5-IF(BE46&lt;3,$C$8,0)),MIN(BG46*(1-$C$5-IF(BE46&lt;3,$C$8,0)),BF46*(1-$C$6-IF(BE46&lt;3,$C$8,0)))),IF(IF(BF46&lt;BG46*(1-$C$7),BG46*(1-$C$5-IF(BE46&lt;3,$C$8,0)),MIN(BG46*(1-$C$5-IF(BE46&lt;3,$C$8,0)),BF46*(1-$C$6-IF(BE46&lt;3,$C$8,0))))&lt;10,$C$9,IF(IF(BF46&lt;BG46*(1-$C$7),BG46*(1-$C$5-IF(BE46&lt;3,$C$8,0)),MIN(BG46*(1-$C$5-IF(BE46&lt;3,$C$8,0)),BF46*(1-$C$6-IF(BE46&lt;3,$C$8,0))))&lt;100,$D$9,$E$9)))),ROUND($D46*(1+$C$10),2),FLOOR(IF(BF46&lt;BG46*(1-$C$7),BG46*(1-$C$5-IF(BE46&lt;3,$C$8,0)),MIN(BG46*(1-$C$5-IF(BE46&lt;3,$C$8,0)),BF46*(1-$C$6-IF(BE46&lt;3,$C$8,0)))),IF(IF(BF46&lt;BG46*(1-$C$7),BG46*(1-$C$5-IF(BE46&lt;3,$C$8,0)),MIN(BG46*(1-$C$5-IF(BE46&lt;3,$C$8,0)),BF46*(1-$C$6-IF(BE46&lt;3,$C$8,0))))&lt;10,$C$9,IF(IF(BF46&lt;BG46*(1-$C$7),BG46*(1-$C$5-IF(BE46&lt;3,$C$8,0)),MIN(BG46*(1-$C$5-IF(BE46&lt;3,$C$8,0)),BF46*(1-$C$6-IF(BE46&lt;3,$C$8,0))))&lt;100,$D$9,$E$9)))))</f>
        <v>—</v>
      </c>
      <c r="BK46" s="73" t="str">
        <f aca="false">IF(BE46=0,"—",FLOOR(BJ46*Sources!$G$8,10))</f>
        <v>—</v>
      </c>
      <c r="BL46" s="68" t="str">
        <f aca="false">IF(ISNUMBER($D46),$D46,"n/a")</f>
        <v>n/a</v>
      </c>
      <c r="BM46" s="71" t="str">
        <f aca="false">IF(OR(BE46=0,NOT(ISNUMBER($D46))),"—",BJ46/$D46-1)</f>
        <v>—</v>
      </c>
      <c r="BN46" s="72" t="str">
        <f aca="false">IF(BE46=0,"—",BJ46/BF46-1)</f>
        <v>—</v>
      </c>
      <c r="BO46" s="72" t="str">
        <f aca="false">IF(BE46=0,"—",BJ46/BG46-1)</f>
        <v>—</v>
      </c>
    </row>
    <row r="47" customFormat="false" ht="15" hidden="false" customHeight="true" outlineLevel="0" collapsed="false">
      <c r="B47" s="1" t="s">
        <v>63</v>
      </c>
      <c r="C47" s="1" t="s">
        <v>172</v>
      </c>
      <c r="D47" s="58" t="n">
        <v>3.5</v>
      </c>
      <c r="E47" s="59" t="n">
        <f aca="false">COUNTIFS(Offers!$B$7:$B$3000,$B47,Offers!$C$7:$C$3000,"Austria",Offers!$AI$7:$AI$3000,"yes")</f>
        <v>2</v>
      </c>
      <c r="F47" s="60" t="n">
        <f aca="false">IF(E47=0,"—",SUMIFS(Review!$I$7:$I$600,Review!$B$7:$B$600,$B47,Review!$C$7:$C$600,"Austria"))</f>
        <v>7.41</v>
      </c>
      <c r="G47" s="60" t="n">
        <f aca="false">IF(E47=0,"—",SUMIFS(Review!$J$7:$J$600,Review!$B$7:$B$600,$B47,Review!$C$7:$C$600,"Austria"))</f>
        <v>9.3</v>
      </c>
      <c r="H47" s="60" t="n">
        <f aca="false">IF(E47=0,"—",SUMIFS(Review!$K$7:$K$600,Review!$B$7:$B$600,$B47,Review!$C$7:$C$600,"Austria"))</f>
        <v>11.19</v>
      </c>
      <c r="I47" s="61" t="str">
        <f aca="false">IF(E47=0,"—",IF(F47&lt;G47*(1-$C$7),"median (cheapest is an outlier)",IF(F47*(1-$C$6)&lt;G47*(1-$C$5),"undercut cheapest","median")))</f>
        <v>median</v>
      </c>
      <c r="J47" s="62" t="n">
        <f aca="false">IF(E47=0,"—",IF(AND(ISNUMBER($D47),$D47*(1+$C$10)&gt;FLOOR(IF(F47&lt;G47*(1-$C$7),G47*(1-$C$5-IF(E47&lt;3,$C$8,0)),MIN(G47*(1-$C$5-IF(E47&lt;3,$C$8,0)),F47*(1-$C$6-IF(E47&lt;3,$C$8,0)))),IF(IF(F47&lt;G47*(1-$C$7),G47*(1-$C$5-IF(E47&lt;3,$C$8,0)),MIN(G47*(1-$C$5-IF(E47&lt;3,$C$8,0)),F47*(1-$C$6-IF(E47&lt;3,$C$8,0))))&lt;10,$C$9,IF(IF(F47&lt;G47*(1-$C$7),G47*(1-$C$5-IF(E47&lt;3,$C$8,0)),MIN(G47*(1-$C$5-IF(E47&lt;3,$C$8,0)),F47*(1-$C$6-IF(E47&lt;3,$C$8,0))))&lt;100,$D$9,$E$9)))),ROUND($D47*(1+$C$10),2),FLOOR(IF(F47&lt;G47*(1-$C$7),G47*(1-$C$5-IF(E47&lt;3,$C$8,0)),MIN(G47*(1-$C$5-IF(E47&lt;3,$C$8,0)),F47*(1-$C$6-IF(E47&lt;3,$C$8,0)))),IF(IF(F47&lt;G47*(1-$C$7),G47*(1-$C$5-IF(E47&lt;3,$C$8,0)),MIN(G47*(1-$C$5-IF(E47&lt;3,$C$8,0)),F47*(1-$C$6-IF(E47&lt;3,$C$8,0))))&lt;10,$C$9,IF(IF(F47&lt;G47*(1-$C$7),G47*(1-$C$5-IF(E47&lt;3,$C$8,0)),MIN(G47*(1-$C$5-IF(E47&lt;3,$C$8,0)),F47*(1-$C$6-IF(E47&lt;3,$C$8,0))))&lt;100,$D$9,$E$9)))))</f>
        <v>6.5</v>
      </c>
      <c r="K47" s="60" t="n">
        <f aca="false">IF(ISNUMBER($D47),$D47,"n/a")</f>
        <v>3.5</v>
      </c>
      <c r="L47" s="63" t="n">
        <f aca="false">IF(OR(E47=0,NOT(ISNUMBER($D47))),"—",J47/$D47-1)</f>
        <v>0.857142857142857</v>
      </c>
      <c r="M47" s="64" t="n">
        <f aca="false">IF(E47=0,"—",J47/F47-1)</f>
        <v>-0.12280701754386</v>
      </c>
      <c r="N47" s="64" t="n">
        <f aca="false">IF(E47=0,"—",J47/G47-1)</f>
        <v>-0.301075268817204</v>
      </c>
      <c r="O47" s="59" t="n">
        <f aca="false">COUNTIFS(Offers!$B$7:$B$3000,$B47,Offers!$C$7:$C$3000,"Germany",Offers!$AI$7:$AI$3000,"yes")</f>
        <v>0</v>
      </c>
      <c r="P47" s="60" t="str">
        <f aca="false">IF(O47=0,"—",SUMIFS(Review!$I$7:$I$600,Review!$B$7:$B$600,$B47,Review!$C$7:$C$600,"Germany"))</f>
        <v>—</v>
      </c>
      <c r="Q47" s="60" t="str">
        <f aca="false">IF(O47=0,"—",SUMIFS(Review!$J$7:$J$600,Review!$B$7:$B$600,$B47,Review!$C$7:$C$600,"Germany"))</f>
        <v>—</v>
      </c>
      <c r="R47" s="60" t="str">
        <f aca="false">IF(O47=0,"—",SUMIFS(Review!$K$7:$K$600,Review!$B$7:$B$600,$B47,Review!$C$7:$C$600,"Germany"))</f>
        <v>—</v>
      </c>
      <c r="S47" s="61" t="str">
        <f aca="false">IF(O47=0,"—",IF(P47&lt;Q47*(1-$C$7),"median (cheapest is an outlier)",IF(P47*(1-$C$6)&lt;Q47*(1-$C$5),"undercut cheapest","median")))</f>
        <v>—</v>
      </c>
      <c r="T47" s="62" t="str">
        <f aca="false">IF(O47=0,"—",IF(AND(ISNUMBER($D47),$D47*(1+$C$10)&gt;FLOOR(IF(P47&lt;Q47*(1-$C$7),Q47*(1-$C$5-IF(O47&lt;3,$C$8,0)),MIN(Q47*(1-$C$5-IF(O47&lt;3,$C$8,0)),P47*(1-$C$6-IF(O47&lt;3,$C$8,0)))),IF(IF(P47&lt;Q47*(1-$C$7),Q47*(1-$C$5-IF(O47&lt;3,$C$8,0)),MIN(Q47*(1-$C$5-IF(O47&lt;3,$C$8,0)),P47*(1-$C$6-IF(O47&lt;3,$C$8,0))))&lt;10,$C$9,IF(IF(P47&lt;Q47*(1-$C$7),Q47*(1-$C$5-IF(O47&lt;3,$C$8,0)),MIN(Q47*(1-$C$5-IF(O47&lt;3,$C$8,0)),P47*(1-$C$6-IF(O47&lt;3,$C$8,0))))&lt;100,$D$9,$E$9)))),ROUND($D47*(1+$C$10),2),FLOOR(IF(P47&lt;Q47*(1-$C$7),Q47*(1-$C$5-IF(O47&lt;3,$C$8,0)),MIN(Q47*(1-$C$5-IF(O47&lt;3,$C$8,0)),P47*(1-$C$6-IF(O47&lt;3,$C$8,0)))),IF(IF(P47&lt;Q47*(1-$C$7),Q47*(1-$C$5-IF(O47&lt;3,$C$8,0)),MIN(Q47*(1-$C$5-IF(O47&lt;3,$C$8,0)),P47*(1-$C$6-IF(O47&lt;3,$C$8,0))))&lt;10,$C$9,IF(IF(P47&lt;Q47*(1-$C$7),Q47*(1-$C$5-IF(O47&lt;3,$C$8,0)),MIN(Q47*(1-$C$5-IF(O47&lt;3,$C$8,0)),P47*(1-$C$6-IF(O47&lt;3,$C$8,0))))&lt;100,$D$9,$E$9)))))</f>
        <v>—</v>
      </c>
      <c r="U47" s="60" t="n">
        <f aca="false">IF(ISNUMBER($D47),$D47,"n/a")</f>
        <v>3.5</v>
      </c>
      <c r="V47" s="63" t="str">
        <f aca="false">IF(OR(O47=0,NOT(ISNUMBER($D47))),"—",T47/$D47-1)</f>
        <v>—</v>
      </c>
      <c r="W47" s="64" t="str">
        <f aca="false">IF(O47=0,"—",T47/P47-1)</f>
        <v>—</v>
      </c>
      <c r="X47" s="64" t="str">
        <f aca="false">IF(O47=0,"—",T47/Q47-1)</f>
        <v>—</v>
      </c>
      <c r="Y47" s="59" t="n">
        <f aca="false">COUNTIFS(Offers!$B$7:$B$3000,$B47,Offers!$C$7:$C$3000,"Czech",Offers!$AI$7:$AI$3000,"yes")</f>
        <v>0</v>
      </c>
      <c r="Z47" s="60" t="str">
        <f aca="false">IF(Y47=0,"—",SUMIFS(Review!$I$7:$I$600,Review!$B$7:$B$600,$B47,Review!$C$7:$C$600,"Czech"))</f>
        <v>—</v>
      </c>
      <c r="AA47" s="60" t="str">
        <f aca="false">IF(Y47=0,"—",SUMIFS(Review!$J$7:$J$600,Review!$B$7:$B$600,$B47,Review!$C$7:$C$600,"Czech"))</f>
        <v>—</v>
      </c>
      <c r="AB47" s="60" t="str">
        <f aca="false">IF(Y47=0,"—",SUMIFS(Review!$K$7:$K$600,Review!$B$7:$B$600,$B47,Review!$C$7:$C$600,"Czech"))</f>
        <v>—</v>
      </c>
      <c r="AC47" s="61" t="str">
        <f aca="false">IF(Y47=0,"—",IF(Z47&lt;AA47*(1-$C$7),"median (cheapest is an outlier)",IF(Z47*(1-$C$6)&lt;AA47*(1-$C$5),"undercut cheapest","median")))</f>
        <v>—</v>
      </c>
      <c r="AD47" s="62" t="str">
        <f aca="false">IF(Y47=0,"—",IF(AND(ISNUMBER($D47),$D47*(1+$C$10)&gt;FLOOR(IF(Z47&lt;AA47*(1-$C$7),AA47*(1-$C$5-IF(Y47&lt;3,$C$8,0)),MIN(AA47*(1-$C$5-IF(Y47&lt;3,$C$8,0)),Z47*(1-$C$6-IF(Y47&lt;3,$C$8,0)))),IF(IF(Z47&lt;AA47*(1-$C$7),AA47*(1-$C$5-IF(Y47&lt;3,$C$8,0)),MIN(AA47*(1-$C$5-IF(Y47&lt;3,$C$8,0)),Z47*(1-$C$6-IF(Y47&lt;3,$C$8,0))))&lt;10,$C$9,IF(IF(Z47&lt;AA47*(1-$C$7),AA47*(1-$C$5-IF(Y47&lt;3,$C$8,0)),MIN(AA47*(1-$C$5-IF(Y47&lt;3,$C$8,0)),Z47*(1-$C$6-IF(Y47&lt;3,$C$8,0))))&lt;100,$D$9,$E$9)))),ROUND($D47*(1+$C$10),2),FLOOR(IF(Z47&lt;AA47*(1-$C$7),AA47*(1-$C$5-IF(Y47&lt;3,$C$8,0)),MIN(AA47*(1-$C$5-IF(Y47&lt;3,$C$8,0)),Z47*(1-$C$6-IF(Y47&lt;3,$C$8,0)))),IF(IF(Z47&lt;AA47*(1-$C$7),AA47*(1-$C$5-IF(Y47&lt;3,$C$8,0)),MIN(AA47*(1-$C$5-IF(Y47&lt;3,$C$8,0)),Z47*(1-$C$6-IF(Y47&lt;3,$C$8,0))))&lt;10,$C$9,IF(IF(Z47&lt;AA47*(1-$C$7),AA47*(1-$C$5-IF(Y47&lt;3,$C$8,0)),MIN(AA47*(1-$C$5-IF(Y47&lt;3,$C$8,0)),Z47*(1-$C$6-IF(Y47&lt;3,$C$8,0))))&lt;100,$D$9,$E$9)))))</f>
        <v>—</v>
      </c>
      <c r="AE47" s="65" t="str">
        <f aca="false">IF(Y47=0,"—",FLOOR(AD47*Sources!$G$10,1))</f>
        <v>—</v>
      </c>
      <c r="AF47" s="60" t="n">
        <f aca="false">IF(ISNUMBER($D47),$D47,"n/a")</f>
        <v>3.5</v>
      </c>
      <c r="AG47" s="63" t="str">
        <f aca="false">IF(OR(Y47=0,NOT(ISNUMBER($D47))),"—",AD47/$D47-1)</f>
        <v>—</v>
      </c>
      <c r="AH47" s="64" t="str">
        <f aca="false">IF(Y47=0,"—",AD47/Z47-1)</f>
        <v>—</v>
      </c>
      <c r="AI47" s="64" t="str">
        <f aca="false">IF(Y47=0,"—",AD47/AA47-1)</f>
        <v>—</v>
      </c>
      <c r="AJ47" s="59" t="n">
        <f aca="false">COUNTIFS(Offers!$B$7:$B$3000,$B47,Offers!$C$7:$C$3000,"Slovakia",Offers!$AI$7:$AI$3000,"yes")</f>
        <v>0</v>
      </c>
      <c r="AK47" s="60" t="str">
        <f aca="false">IF(AJ47=0,"—",SUMIFS(Review!$I$7:$I$600,Review!$B$7:$B$600,$B47,Review!$C$7:$C$600,"Slovakia"))</f>
        <v>—</v>
      </c>
      <c r="AL47" s="60" t="str">
        <f aca="false">IF(AJ47=0,"—",SUMIFS(Review!$J$7:$J$600,Review!$B$7:$B$600,$B47,Review!$C$7:$C$600,"Slovakia"))</f>
        <v>—</v>
      </c>
      <c r="AM47" s="60" t="str">
        <f aca="false">IF(AJ47=0,"—",SUMIFS(Review!$K$7:$K$600,Review!$B$7:$B$600,$B47,Review!$C$7:$C$600,"Slovakia"))</f>
        <v>—</v>
      </c>
      <c r="AN47" s="61" t="str">
        <f aca="false">IF(AJ47=0,"—",IF(AK47&lt;AL47*(1-$C$7),"median (cheapest is an outlier)",IF(AK47*(1-$C$6)&lt;AL47*(1-$C$5),"undercut cheapest","median")))</f>
        <v>—</v>
      </c>
      <c r="AO47" s="62" t="str">
        <f aca="false">IF(AJ47=0,"—",IF(AND(ISNUMBER($D47),$D47*(1+$C$10)&gt;FLOOR(IF(AK47&lt;AL47*(1-$C$7),AL47*(1-$C$5-IF(AJ47&lt;3,$C$8,0)),MIN(AL47*(1-$C$5-IF(AJ47&lt;3,$C$8,0)),AK47*(1-$C$6-IF(AJ47&lt;3,$C$8,0)))),IF(IF(AK47&lt;AL47*(1-$C$7),AL47*(1-$C$5-IF(AJ47&lt;3,$C$8,0)),MIN(AL47*(1-$C$5-IF(AJ47&lt;3,$C$8,0)),AK47*(1-$C$6-IF(AJ47&lt;3,$C$8,0))))&lt;10,$C$9,IF(IF(AK47&lt;AL47*(1-$C$7),AL47*(1-$C$5-IF(AJ47&lt;3,$C$8,0)),MIN(AL47*(1-$C$5-IF(AJ47&lt;3,$C$8,0)),AK47*(1-$C$6-IF(AJ47&lt;3,$C$8,0))))&lt;100,$D$9,$E$9)))),ROUND($D47*(1+$C$10),2),FLOOR(IF(AK47&lt;AL47*(1-$C$7),AL47*(1-$C$5-IF(AJ47&lt;3,$C$8,0)),MIN(AL47*(1-$C$5-IF(AJ47&lt;3,$C$8,0)),AK47*(1-$C$6-IF(AJ47&lt;3,$C$8,0)))),IF(IF(AK47&lt;AL47*(1-$C$7),AL47*(1-$C$5-IF(AJ47&lt;3,$C$8,0)),MIN(AL47*(1-$C$5-IF(AJ47&lt;3,$C$8,0)),AK47*(1-$C$6-IF(AJ47&lt;3,$C$8,0))))&lt;10,$C$9,IF(IF(AK47&lt;AL47*(1-$C$7),AL47*(1-$C$5-IF(AJ47&lt;3,$C$8,0)),MIN(AL47*(1-$C$5-IF(AJ47&lt;3,$C$8,0)),AK47*(1-$C$6-IF(AJ47&lt;3,$C$8,0))))&lt;100,$D$9,$E$9)))))</f>
        <v>—</v>
      </c>
      <c r="AP47" s="60" t="n">
        <f aca="false">IF(ISNUMBER($D47),$D47,"n/a")</f>
        <v>3.5</v>
      </c>
      <c r="AQ47" s="63" t="str">
        <f aca="false">IF(OR(AJ47=0,NOT(ISNUMBER($D47))),"—",AO47/$D47-1)</f>
        <v>—</v>
      </c>
      <c r="AR47" s="64" t="str">
        <f aca="false">IF(AJ47=0,"—",AO47/AK47-1)</f>
        <v>—</v>
      </c>
      <c r="AS47" s="64" t="str">
        <f aca="false">IF(AJ47=0,"—",AO47/AL47-1)</f>
        <v>—</v>
      </c>
      <c r="AT47" s="59" t="n">
        <f aca="false">COUNTIFS(Offers!$B$7:$B$3000,$B47,Offers!$C$7:$C$3000,"Romania",Offers!$AI$7:$AI$3000,"yes")</f>
        <v>0</v>
      </c>
      <c r="AU47" s="60" t="str">
        <f aca="false">IF(AT47=0,"—",SUMIFS(Review!$I$7:$I$600,Review!$B$7:$B$600,$B47,Review!$C$7:$C$600,"Romania"))</f>
        <v>—</v>
      </c>
      <c r="AV47" s="60" t="str">
        <f aca="false">IF(AT47=0,"—",SUMIFS(Review!$J$7:$J$600,Review!$B$7:$B$600,$B47,Review!$C$7:$C$600,"Romania"))</f>
        <v>—</v>
      </c>
      <c r="AW47" s="60" t="str">
        <f aca="false">IF(AT47=0,"—",SUMIFS(Review!$K$7:$K$600,Review!$B$7:$B$600,$B47,Review!$C$7:$C$600,"Romania"))</f>
        <v>—</v>
      </c>
      <c r="AX47" s="61" t="str">
        <f aca="false">IF(AT47=0,"—",IF(AU47&lt;AV47*(1-$C$7),"median (cheapest is an outlier)",IF(AU47*(1-$C$6)&lt;AV47*(1-$C$5),"undercut cheapest","median")))</f>
        <v>—</v>
      </c>
      <c r="AY47" s="62" t="str">
        <f aca="false">IF(AT47=0,"—",IF(AND(ISNUMBER($D47),$D47*(1+$C$10)&gt;FLOOR(IF(AU47&lt;AV47*(1-$C$7),AV47*(1-$C$5-IF(AT47&lt;3,$C$8,0)),MIN(AV47*(1-$C$5-IF(AT47&lt;3,$C$8,0)),AU47*(1-$C$6-IF(AT47&lt;3,$C$8,0)))),IF(IF(AU47&lt;AV47*(1-$C$7),AV47*(1-$C$5-IF(AT47&lt;3,$C$8,0)),MIN(AV47*(1-$C$5-IF(AT47&lt;3,$C$8,0)),AU47*(1-$C$6-IF(AT47&lt;3,$C$8,0))))&lt;10,$C$9,IF(IF(AU47&lt;AV47*(1-$C$7),AV47*(1-$C$5-IF(AT47&lt;3,$C$8,0)),MIN(AV47*(1-$C$5-IF(AT47&lt;3,$C$8,0)),AU47*(1-$C$6-IF(AT47&lt;3,$C$8,0))))&lt;100,$D$9,$E$9)))),ROUND($D47*(1+$C$10),2),FLOOR(IF(AU47&lt;AV47*(1-$C$7),AV47*(1-$C$5-IF(AT47&lt;3,$C$8,0)),MIN(AV47*(1-$C$5-IF(AT47&lt;3,$C$8,0)),AU47*(1-$C$6-IF(AT47&lt;3,$C$8,0)))),IF(IF(AU47&lt;AV47*(1-$C$7),AV47*(1-$C$5-IF(AT47&lt;3,$C$8,0)),MIN(AV47*(1-$C$5-IF(AT47&lt;3,$C$8,0)),AU47*(1-$C$6-IF(AT47&lt;3,$C$8,0))))&lt;10,$C$9,IF(IF(AU47&lt;AV47*(1-$C$7),AV47*(1-$C$5-IF(AT47&lt;3,$C$8,0)),MIN(AV47*(1-$C$5-IF(AT47&lt;3,$C$8,0)),AU47*(1-$C$6-IF(AT47&lt;3,$C$8,0))))&lt;100,$D$9,$E$9)))))</f>
        <v>—</v>
      </c>
      <c r="AZ47" s="62" t="str">
        <f aca="false">IF(AT47=0,"—",FLOOR(AY47*Sources!$G$9,0.1))</f>
        <v>—</v>
      </c>
      <c r="BA47" s="60" t="n">
        <f aca="false">IF(ISNUMBER($D47),$D47,"n/a")</f>
        <v>3.5</v>
      </c>
      <c r="BB47" s="63" t="str">
        <f aca="false">IF(OR(AT47=0,NOT(ISNUMBER($D47))),"—",AY47/$D47-1)</f>
        <v>—</v>
      </c>
      <c r="BC47" s="64" t="str">
        <f aca="false">IF(AT47=0,"—",AY47/AU47-1)</f>
        <v>—</v>
      </c>
      <c r="BD47" s="64" t="str">
        <f aca="false">IF(AT47=0,"—",AY47/AV47-1)</f>
        <v>—</v>
      </c>
      <c r="BE47" s="59" t="n">
        <f aca="false">COUNTIFS(Offers!$B$7:$B$3000,$B47,Offers!$C$7:$C$3000,"Hungary",Offers!$AI$7:$AI$3000,"yes")</f>
        <v>0</v>
      </c>
      <c r="BF47" s="60" t="str">
        <f aca="false">IF(BE47=0,"—",SUMIFS(Review!$I$7:$I$600,Review!$B$7:$B$600,$B47,Review!$C$7:$C$600,"Hungary"))</f>
        <v>—</v>
      </c>
      <c r="BG47" s="60" t="str">
        <f aca="false">IF(BE47=0,"—",SUMIFS(Review!$J$7:$J$600,Review!$B$7:$B$600,$B47,Review!$C$7:$C$600,"Hungary"))</f>
        <v>—</v>
      </c>
      <c r="BH47" s="60" t="str">
        <f aca="false">IF(BE47=0,"—",SUMIFS(Review!$K$7:$K$600,Review!$B$7:$B$600,$B47,Review!$C$7:$C$600,"Hungary"))</f>
        <v>—</v>
      </c>
      <c r="BI47" s="61" t="str">
        <f aca="false">IF(BE47=0,"—",IF(BF47&lt;BG47*(1-$C$7),"median (cheapest is an outlier)",IF(BF47*(1-$C$6)&lt;BG47*(1-$C$5),"undercut cheapest","median")))</f>
        <v>—</v>
      </c>
      <c r="BJ47" s="62" t="str">
        <f aca="false">IF(BE47=0,"—",IF(AND(ISNUMBER($D47),$D47*(1+$C$10)&gt;FLOOR(IF(BF47&lt;BG47*(1-$C$7),BG47*(1-$C$5-IF(BE47&lt;3,$C$8,0)),MIN(BG47*(1-$C$5-IF(BE47&lt;3,$C$8,0)),BF47*(1-$C$6-IF(BE47&lt;3,$C$8,0)))),IF(IF(BF47&lt;BG47*(1-$C$7),BG47*(1-$C$5-IF(BE47&lt;3,$C$8,0)),MIN(BG47*(1-$C$5-IF(BE47&lt;3,$C$8,0)),BF47*(1-$C$6-IF(BE47&lt;3,$C$8,0))))&lt;10,$C$9,IF(IF(BF47&lt;BG47*(1-$C$7),BG47*(1-$C$5-IF(BE47&lt;3,$C$8,0)),MIN(BG47*(1-$C$5-IF(BE47&lt;3,$C$8,0)),BF47*(1-$C$6-IF(BE47&lt;3,$C$8,0))))&lt;100,$D$9,$E$9)))),ROUND($D47*(1+$C$10),2),FLOOR(IF(BF47&lt;BG47*(1-$C$7),BG47*(1-$C$5-IF(BE47&lt;3,$C$8,0)),MIN(BG47*(1-$C$5-IF(BE47&lt;3,$C$8,0)),BF47*(1-$C$6-IF(BE47&lt;3,$C$8,0)))),IF(IF(BF47&lt;BG47*(1-$C$7),BG47*(1-$C$5-IF(BE47&lt;3,$C$8,0)),MIN(BG47*(1-$C$5-IF(BE47&lt;3,$C$8,0)),BF47*(1-$C$6-IF(BE47&lt;3,$C$8,0))))&lt;10,$C$9,IF(IF(BF47&lt;BG47*(1-$C$7),BG47*(1-$C$5-IF(BE47&lt;3,$C$8,0)),MIN(BG47*(1-$C$5-IF(BE47&lt;3,$C$8,0)),BF47*(1-$C$6-IF(BE47&lt;3,$C$8,0))))&lt;100,$D$9,$E$9)))))</f>
        <v>—</v>
      </c>
      <c r="BK47" s="65" t="str">
        <f aca="false">IF(BE47=0,"—",FLOOR(BJ47*Sources!$G$8,10))</f>
        <v>—</v>
      </c>
      <c r="BL47" s="60" t="n">
        <f aca="false">IF(ISNUMBER($D47),$D47,"n/a")</f>
        <v>3.5</v>
      </c>
      <c r="BM47" s="63" t="str">
        <f aca="false">IF(OR(BE47=0,NOT(ISNUMBER($D47))),"—",BJ47/$D47-1)</f>
        <v>—</v>
      </c>
      <c r="BN47" s="64" t="str">
        <f aca="false">IF(BE47=0,"—",BJ47/BF47-1)</f>
        <v>—</v>
      </c>
      <c r="BO47" s="64" t="str">
        <f aca="false">IF(BE47=0,"—",BJ47/BG47-1)</f>
        <v>—</v>
      </c>
    </row>
    <row r="48" customFormat="false" ht="15" hidden="false" customHeight="true" outlineLevel="0" collapsed="false">
      <c r="B48" s="66" t="s">
        <v>64</v>
      </c>
      <c r="C48" s="66" t="s">
        <v>173</v>
      </c>
      <c r="D48" s="58" t="n">
        <v>3.355</v>
      </c>
      <c r="E48" s="67" t="n">
        <f aca="false">COUNTIFS(Offers!$B$7:$B$3000,$B48,Offers!$C$7:$C$3000,"Austria",Offers!$AI$7:$AI$3000,"yes")</f>
        <v>3</v>
      </c>
      <c r="F48" s="68" t="n">
        <f aca="false">IF(E48=0,"—",SUMIFS(Review!$I$7:$I$600,Review!$B$7:$B$600,$B48,Review!$C$7:$C$600,"Austria"))</f>
        <v>9.8</v>
      </c>
      <c r="G48" s="68" t="n">
        <f aca="false">IF(E48=0,"—",SUMIFS(Review!$J$7:$J$600,Review!$B$7:$B$600,$B48,Review!$C$7:$C$600,"Austria"))</f>
        <v>11.97</v>
      </c>
      <c r="H48" s="68" t="n">
        <f aca="false">IF(E48=0,"—",SUMIFS(Review!$K$7:$K$600,Review!$B$7:$B$600,$B48,Review!$C$7:$C$600,"Austria"))</f>
        <v>20.9</v>
      </c>
      <c r="I48" s="69" t="str">
        <f aca="false">IF(E48=0,"—",IF(F48&lt;G48*(1-$C$7),"median (cheapest is an outlier)",IF(F48*(1-$C$6)&lt;G48*(1-$C$5),"undercut cheapest","median")))</f>
        <v>median</v>
      </c>
      <c r="J48" s="70" t="n">
        <f aca="false">IF(E48=0,"—",IF(AND(ISNUMBER($D48),$D48*(1+$C$10)&gt;FLOOR(IF(F48&lt;G48*(1-$C$7),G48*(1-$C$5-IF(E48&lt;3,$C$8,0)),MIN(G48*(1-$C$5-IF(E48&lt;3,$C$8,0)),F48*(1-$C$6-IF(E48&lt;3,$C$8,0)))),IF(IF(F48&lt;G48*(1-$C$7),G48*(1-$C$5-IF(E48&lt;3,$C$8,0)),MIN(G48*(1-$C$5-IF(E48&lt;3,$C$8,0)),F48*(1-$C$6-IF(E48&lt;3,$C$8,0))))&lt;10,$C$9,IF(IF(F48&lt;G48*(1-$C$7),G48*(1-$C$5-IF(E48&lt;3,$C$8,0)),MIN(G48*(1-$C$5-IF(E48&lt;3,$C$8,0)),F48*(1-$C$6-IF(E48&lt;3,$C$8,0))))&lt;100,$D$9,$E$9)))),ROUND($D48*(1+$C$10),2),FLOOR(IF(F48&lt;G48*(1-$C$7),G48*(1-$C$5-IF(E48&lt;3,$C$8,0)),MIN(G48*(1-$C$5-IF(E48&lt;3,$C$8,0)),F48*(1-$C$6-IF(E48&lt;3,$C$8,0)))),IF(IF(F48&lt;G48*(1-$C$7),G48*(1-$C$5-IF(E48&lt;3,$C$8,0)),MIN(G48*(1-$C$5-IF(E48&lt;3,$C$8,0)),F48*(1-$C$6-IF(E48&lt;3,$C$8,0))))&lt;10,$C$9,IF(IF(F48&lt;G48*(1-$C$7),G48*(1-$C$5-IF(E48&lt;3,$C$8,0)),MIN(G48*(1-$C$5-IF(E48&lt;3,$C$8,0)),F48*(1-$C$6-IF(E48&lt;3,$C$8,0))))&lt;100,$D$9,$E$9)))))</f>
        <v>8.95</v>
      </c>
      <c r="K48" s="68" t="n">
        <f aca="false">IF(ISNUMBER($D48),$D48,"n/a")</f>
        <v>3.355</v>
      </c>
      <c r="L48" s="71" t="n">
        <f aca="false">IF(OR(E48=0,NOT(ISNUMBER($D48))),"—",J48/$D48-1)</f>
        <v>1.66766020864382</v>
      </c>
      <c r="M48" s="72" t="n">
        <f aca="false">IF(E48=0,"—",J48/F48-1)</f>
        <v>-0.086734693877551</v>
      </c>
      <c r="N48" s="72" t="n">
        <f aca="false">IF(E48=0,"—",J48/G48-1)</f>
        <v>-0.252297410192147</v>
      </c>
      <c r="O48" s="67" t="n">
        <f aca="false">COUNTIFS(Offers!$B$7:$B$3000,$B48,Offers!$C$7:$C$3000,"Germany",Offers!$AI$7:$AI$3000,"yes")</f>
        <v>1</v>
      </c>
      <c r="P48" s="68" t="n">
        <f aca="false">IF(O48=0,"—",SUMIFS(Review!$I$7:$I$600,Review!$B$7:$B$600,$B48,Review!$C$7:$C$600,"Germany"))</f>
        <v>11.09</v>
      </c>
      <c r="Q48" s="68" t="n">
        <f aca="false">IF(O48=0,"—",SUMIFS(Review!$J$7:$J$600,Review!$B$7:$B$600,$B48,Review!$C$7:$C$600,"Germany"))</f>
        <v>11.09</v>
      </c>
      <c r="R48" s="68" t="n">
        <f aca="false">IF(O48=0,"—",SUMIFS(Review!$K$7:$K$600,Review!$B$7:$B$600,$B48,Review!$C$7:$C$600,"Germany"))</f>
        <v>11.09</v>
      </c>
      <c r="S48" s="69" t="str">
        <f aca="false">IF(O48=0,"—",IF(P48&lt;Q48*(1-$C$7),"median (cheapest is an outlier)",IF(P48*(1-$C$6)&lt;Q48*(1-$C$5),"undercut cheapest","median")))</f>
        <v>median</v>
      </c>
      <c r="T48" s="70" t="n">
        <f aca="false">IF(O48=0,"—",IF(AND(ISNUMBER($D48),$D48*(1+$C$10)&gt;FLOOR(IF(P48&lt;Q48*(1-$C$7),Q48*(1-$C$5-IF(O48&lt;3,$C$8,0)),MIN(Q48*(1-$C$5-IF(O48&lt;3,$C$8,0)),P48*(1-$C$6-IF(O48&lt;3,$C$8,0)))),IF(IF(P48&lt;Q48*(1-$C$7),Q48*(1-$C$5-IF(O48&lt;3,$C$8,0)),MIN(Q48*(1-$C$5-IF(O48&lt;3,$C$8,0)),P48*(1-$C$6-IF(O48&lt;3,$C$8,0))))&lt;10,$C$9,IF(IF(P48&lt;Q48*(1-$C$7),Q48*(1-$C$5-IF(O48&lt;3,$C$8,0)),MIN(Q48*(1-$C$5-IF(O48&lt;3,$C$8,0)),P48*(1-$C$6-IF(O48&lt;3,$C$8,0))))&lt;100,$D$9,$E$9)))),ROUND($D48*(1+$C$10),2),FLOOR(IF(P48&lt;Q48*(1-$C$7),Q48*(1-$C$5-IF(O48&lt;3,$C$8,0)),MIN(Q48*(1-$C$5-IF(O48&lt;3,$C$8,0)),P48*(1-$C$6-IF(O48&lt;3,$C$8,0)))),IF(IF(P48&lt;Q48*(1-$C$7),Q48*(1-$C$5-IF(O48&lt;3,$C$8,0)),MIN(Q48*(1-$C$5-IF(O48&lt;3,$C$8,0)),P48*(1-$C$6-IF(O48&lt;3,$C$8,0))))&lt;10,$C$9,IF(IF(P48&lt;Q48*(1-$C$7),Q48*(1-$C$5-IF(O48&lt;3,$C$8,0)),MIN(Q48*(1-$C$5-IF(O48&lt;3,$C$8,0)),P48*(1-$C$6-IF(O48&lt;3,$C$8,0))))&lt;100,$D$9,$E$9)))))</f>
        <v>7.75</v>
      </c>
      <c r="U48" s="68" t="n">
        <f aca="false">IF(ISNUMBER($D48),$D48,"n/a")</f>
        <v>3.355</v>
      </c>
      <c r="V48" s="71" t="n">
        <f aca="false">IF(OR(O48=0,NOT(ISNUMBER($D48))),"—",T48/$D48-1)</f>
        <v>1.30998509687034</v>
      </c>
      <c r="W48" s="72" t="n">
        <f aca="false">IF(O48=0,"—",T48/P48-1)</f>
        <v>-0.30117222723174</v>
      </c>
      <c r="X48" s="72" t="n">
        <f aca="false">IF(O48=0,"—",T48/Q48-1)</f>
        <v>-0.30117222723174</v>
      </c>
      <c r="Y48" s="67" t="n">
        <f aca="false">COUNTIFS(Offers!$B$7:$B$3000,$B48,Offers!$C$7:$C$3000,"Czech",Offers!$AI$7:$AI$3000,"yes")</f>
        <v>1</v>
      </c>
      <c r="Z48" s="68" t="n">
        <f aca="false">IF(Y48=0,"—",SUMIFS(Review!$I$7:$I$600,Review!$B$7:$B$600,$B48,Review!$C$7:$C$600,"Czech"))</f>
        <v>11.369733</v>
      </c>
      <c r="AA48" s="68" t="n">
        <f aca="false">IF(Y48=0,"—",SUMIFS(Review!$J$7:$J$600,Review!$B$7:$B$600,$B48,Review!$C$7:$C$600,"Czech"))</f>
        <v>11.369733</v>
      </c>
      <c r="AB48" s="68" t="n">
        <f aca="false">IF(Y48=0,"—",SUMIFS(Review!$K$7:$K$600,Review!$B$7:$B$600,$B48,Review!$C$7:$C$600,"Czech"))</f>
        <v>11.369733</v>
      </c>
      <c r="AC48" s="69" t="str">
        <f aca="false">IF(Y48=0,"—",IF(Z48&lt;AA48*(1-$C$7),"median (cheapest is an outlier)",IF(Z48*(1-$C$6)&lt;AA48*(1-$C$5),"undercut cheapest","median")))</f>
        <v>median</v>
      </c>
      <c r="AD48" s="70" t="n">
        <f aca="false">IF(Y48=0,"—",IF(AND(ISNUMBER($D48),$D48*(1+$C$10)&gt;FLOOR(IF(Z48&lt;AA48*(1-$C$7),AA48*(1-$C$5-IF(Y48&lt;3,$C$8,0)),MIN(AA48*(1-$C$5-IF(Y48&lt;3,$C$8,0)),Z48*(1-$C$6-IF(Y48&lt;3,$C$8,0)))),IF(IF(Z48&lt;AA48*(1-$C$7),AA48*(1-$C$5-IF(Y48&lt;3,$C$8,0)),MIN(AA48*(1-$C$5-IF(Y48&lt;3,$C$8,0)),Z48*(1-$C$6-IF(Y48&lt;3,$C$8,0))))&lt;10,$C$9,IF(IF(Z48&lt;AA48*(1-$C$7),AA48*(1-$C$5-IF(Y48&lt;3,$C$8,0)),MIN(AA48*(1-$C$5-IF(Y48&lt;3,$C$8,0)),Z48*(1-$C$6-IF(Y48&lt;3,$C$8,0))))&lt;100,$D$9,$E$9)))),ROUND($D48*(1+$C$10),2),FLOOR(IF(Z48&lt;AA48*(1-$C$7),AA48*(1-$C$5-IF(Y48&lt;3,$C$8,0)),MIN(AA48*(1-$C$5-IF(Y48&lt;3,$C$8,0)),Z48*(1-$C$6-IF(Y48&lt;3,$C$8,0)))),IF(IF(Z48&lt;AA48*(1-$C$7),AA48*(1-$C$5-IF(Y48&lt;3,$C$8,0)),MIN(AA48*(1-$C$5-IF(Y48&lt;3,$C$8,0)),Z48*(1-$C$6-IF(Y48&lt;3,$C$8,0))))&lt;10,$C$9,IF(IF(Z48&lt;AA48*(1-$C$7),AA48*(1-$C$5-IF(Y48&lt;3,$C$8,0)),MIN(AA48*(1-$C$5-IF(Y48&lt;3,$C$8,0)),Z48*(1-$C$6-IF(Y48&lt;3,$C$8,0))))&lt;100,$D$9,$E$9)))))</f>
        <v>7.95</v>
      </c>
      <c r="AE48" s="73" t="n">
        <f aca="false">IF(Y48=0,"—",FLOOR(AD48*Sources!$G$10,1))</f>
        <v>194</v>
      </c>
      <c r="AF48" s="68" t="n">
        <f aca="false">IF(ISNUMBER($D48),$D48,"n/a")</f>
        <v>3.355</v>
      </c>
      <c r="AG48" s="71" t="n">
        <f aca="false">IF(OR(Y48=0,NOT(ISNUMBER($D48))),"—",AD48/$D48-1)</f>
        <v>1.36959761549925</v>
      </c>
      <c r="AH48" s="72" t="n">
        <f aca="false">IF(Y48=0,"—",AD48/Z48-1)</f>
        <v>-0.300775136935933</v>
      </c>
      <c r="AI48" s="72" t="n">
        <f aca="false">IF(Y48=0,"—",AD48/AA48-1)</f>
        <v>-0.300775136935933</v>
      </c>
      <c r="AJ48" s="67" t="n">
        <f aca="false">COUNTIFS(Offers!$B$7:$B$3000,$B48,Offers!$C$7:$C$3000,"Slovakia",Offers!$AI$7:$AI$3000,"yes")</f>
        <v>0</v>
      </c>
      <c r="AK48" s="68" t="str">
        <f aca="false">IF(AJ48=0,"—",SUMIFS(Review!$I$7:$I$600,Review!$B$7:$B$600,$B48,Review!$C$7:$C$600,"Slovakia"))</f>
        <v>—</v>
      </c>
      <c r="AL48" s="68" t="str">
        <f aca="false">IF(AJ48=0,"—",SUMIFS(Review!$J$7:$J$600,Review!$B$7:$B$600,$B48,Review!$C$7:$C$600,"Slovakia"))</f>
        <v>—</v>
      </c>
      <c r="AM48" s="68" t="str">
        <f aca="false">IF(AJ48=0,"—",SUMIFS(Review!$K$7:$K$600,Review!$B$7:$B$600,$B48,Review!$C$7:$C$600,"Slovakia"))</f>
        <v>—</v>
      </c>
      <c r="AN48" s="69" t="str">
        <f aca="false">IF(AJ48=0,"—",IF(AK48&lt;AL48*(1-$C$7),"median (cheapest is an outlier)",IF(AK48*(1-$C$6)&lt;AL48*(1-$C$5),"undercut cheapest","median")))</f>
        <v>—</v>
      </c>
      <c r="AO48" s="70" t="str">
        <f aca="false">IF(AJ48=0,"—",IF(AND(ISNUMBER($D48),$D48*(1+$C$10)&gt;FLOOR(IF(AK48&lt;AL48*(1-$C$7),AL48*(1-$C$5-IF(AJ48&lt;3,$C$8,0)),MIN(AL48*(1-$C$5-IF(AJ48&lt;3,$C$8,0)),AK48*(1-$C$6-IF(AJ48&lt;3,$C$8,0)))),IF(IF(AK48&lt;AL48*(1-$C$7),AL48*(1-$C$5-IF(AJ48&lt;3,$C$8,0)),MIN(AL48*(1-$C$5-IF(AJ48&lt;3,$C$8,0)),AK48*(1-$C$6-IF(AJ48&lt;3,$C$8,0))))&lt;10,$C$9,IF(IF(AK48&lt;AL48*(1-$C$7),AL48*(1-$C$5-IF(AJ48&lt;3,$C$8,0)),MIN(AL48*(1-$C$5-IF(AJ48&lt;3,$C$8,0)),AK48*(1-$C$6-IF(AJ48&lt;3,$C$8,0))))&lt;100,$D$9,$E$9)))),ROUND($D48*(1+$C$10),2),FLOOR(IF(AK48&lt;AL48*(1-$C$7),AL48*(1-$C$5-IF(AJ48&lt;3,$C$8,0)),MIN(AL48*(1-$C$5-IF(AJ48&lt;3,$C$8,0)),AK48*(1-$C$6-IF(AJ48&lt;3,$C$8,0)))),IF(IF(AK48&lt;AL48*(1-$C$7),AL48*(1-$C$5-IF(AJ48&lt;3,$C$8,0)),MIN(AL48*(1-$C$5-IF(AJ48&lt;3,$C$8,0)),AK48*(1-$C$6-IF(AJ48&lt;3,$C$8,0))))&lt;10,$C$9,IF(IF(AK48&lt;AL48*(1-$C$7),AL48*(1-$C$5-IF(AJ48&lt;3,$C$8,0)),MIN(AL48*(1-$C$5-IF(AJ48&lt;3,$C$8,0)),AK48*(1-$C$6-IF(AJ48&lt;3,$C$8,0))))&lt;100,$D$9,$E$9)))))</f>
        <v>—</v>
      </c>
      <c r="AP48" s="68" t="n">
        <f aca="false">IF(ISNUMBER($D48),$D48,"n/a")</f>
        <v>3.355</v>
      </c>
      <c r="AQ48" s="71" t="str">
        <f aca="false">IF(OR(AJ48=0,NOT(ISNUMBER($D48))),"—",AO48/$D48-1)</f>
        <v>—</v>
      </c>
      <c r="AR48" s="72" t="str">
        <f aca="false">IF(AJ48=0,"—",AO48/AK48-1)</f>
        <v>—</v>
      </c>
      <c r="AS48" s="72" t="str">
        <f aca="false">IF(AJ48=0,"—",AO48/AL48-1)</f>
        <v>—</v>
      </c>
      <c r="AT48" s="67" t="n">
        <f aca="false">COUNTIFS(Offers!$B$7:$B$3000,$B48,Offers!$C$7:$C$3000,"Romania",Offers!$AI$7:$AI$3000,"yes")</f>
        <v>0</v>
      </c>
      <c r="AU48" s="68" t="str">
        <f aca="false">IF(AT48=0,"—",SUMIFS(Review!$I$7:$I$600,Review!$B$7:$B$600,$B48,Review!$C$7:$C$600,"Romania"))</f>
        <v>—</v>
      </c>
      <c r="AV48" s="68" t="str">
        <f aca="false">IF(AT48=0,"—",SUMIFS(Review!$J$7:$J$600,Review!$B$7:$B$600,$B48,Review!$C$7:$C$600,"Romania"))</f>
        <v>—</v>
      </c>
      <c r="AW48" s="68" t="str">
        <f aca="false">IF(AT48=0,"—",SUMIFS(Review!$K$7:$K$600,Review!$B$7:$B$600,$B48,Review!$C$7:$C$600,"Romania"))</f>
        <v>—</v>
      </c>
      <c r="AX48" s="69" t="str">
        <f aca="false">IF(AT48=0,"—",IF(AU48&lt;AV48*(1-$C$7),"median (cheapest is an outlier)",IF(AU48*(1-$C$6)&lt;AV48*(1-$C$5),"undercut cheapest","median")))</f>
        <v>—</v>
      </c>
      <c r="AY48" s="70" t="str">
        <f aca="false">IF(AT48=0,"—",IF(AND(ISNUMBER($D48),$D48*(1+$C$10)&gt;FLOOR(IF(AU48&lt;AV48*(1-$C$7),AV48*(1-$C$5-IF(AT48&lt;3,$C$8,0)),MIN(AV48*(1-$C$5-IF(AT48&lt;3,$C$8,0)),AU48*(1-$C$6-IF(AT48&lt;3,$C$8,0)))),IF(IF(AU48&lt;AV48*(1-$C$7),AV48*(1-$C$5-IF(AT48&lt;3,$C$8,0)),MIN(AV48*(1-$C$5-IF(AT48&lt;3,$C$8,0)),AU48*(1-$C$6-IF(AT48&lt;3,$C$8,0))))&lt;10,$C$9,IF(IF(AU48&lt;AV48*(1-$C$7),AV48*(1-$C$5-IF(AT48&lt;3,$C$8,0)),MIN(AV48*(1-$C$5-IF(AT48&lt;3,$C$8,0)),AU48*(1-$C$6-IF(AT48&lt;3,$C$8,0))))&lt;100,$D$9,$E$9)))),ROUND($D48*(1+$C$10),2),FLOOR(IF(AU48&lt;AV48*(1-$C$7),AV48*(1-$C$5-IF(AT48&lt;3,$C$8,0)),MIN(AV48*(1-$C$5-IF(AT48&lt;3,$C$8,0)),AU48*(1-$C$6-IF(AT48&lt;3,$C$8,0)))),IF(IF(AU48&lt;AV48*(1-$C$7),AV48*(1-$C$5-IF(AT48&lt;3,$C$8,0)),MIN(AV48*(1-$C$5-IF(AT48&lt;3,$C$8,0)),AU48*(1-$C$6-IF(AT48&lt;3,$C$8,0))))&lt;10,$C$9,IF(IF(AU48&lt;AV48*(1-$C$7),AV48*(1-$C$5-IF(AT48&lt;3,$C$8,0)),MIN(AV48*(1-$C$5-IF(AT48&lt;3,$C$8,0)),AU48*(1-$C$6-IF(AT48&lt;3,$C$8,0))))&lt;100,$D$9,$E$9)))))</f>
        <v>—</v>
      </c>
      <c r="AZ48" s="70" t="str">
        <f aca="false">IF(AT48=0,"—",FLOOR(AY48*Sources!$G$9,0.1))</f>
        <v>—</v>
      </c>
      <c r="BA48" s="68" t="n">
        <f aca="false">IF(ISNUMBER($D48),$D48,"n/a")</f>
        <v>3.355</v>
      </c>
      <c r="BB48" s="71" t="str">
        <f aca="false">IF(OR(AT48=0,NOT(ISNUMBER($D48))),"—",AY48/$D48-1)</f>
        <v>—</v>
      </c>
      <c r="BC48" s="72" t="str">
        <f aca="false">IF(AT48=0,"—",AY48/AU48-1)</f>
        <v>—</v>
      </c>
      <c r="BD48" s="72" t="str">
        <f aca="false">IF(AT48=0,"—",AY48/AV48-1)</f>
        <v>—</v>
      </c>
      <c r="BE48" s="67" t="n">
        <f aca="false">COUNTIFS(Offers!$B$7:$B$3000,$B48,Offers!$C$7:$C$3000,"Hungary",Offers!$AI$7:$AI$3000,"yes")</f>
        <v>0</v>
      </c>
      <c r="BF48" s="68" t="str">
        <f aca="false">IF(BE48=0,"—",SUMIFS(Review!$I$7:$I$600,Review!$B$7:$B$600,$B48,Review!$C$7:$C$600,"Hungary"))</f>
        <v>—</v>
      </c>
      <c r="BG48" s="68" t="str">
        <f aca="false">IF(BE48=0,"—",SUMIFS(Review!$J$7:$J$600,Review!$B$7:$B$600,$B48,Review!$C$7:$C$600,"Hungary"))</f>
        <v>—</v>
      </c>
      <c r="BH48" s="68" t="str">
        <f aca="false">IF(BE48=0,"—",SUMIFS(Review!$K$7:$K$600,Review!$B$7:$B$600,$B48,Review!$C$7:$C$600,"Hungary"))</f>
        <v>—</v>
      </c>
      <c r="BI48" s="69" t="str">
        <f aca="false">IF(BE48=0,"—",IF(BF48&lt;BG48*(1-$C$7),"median (cheapest is an outlier)",IF(BF48*(1-$C$6)&lt;BG48*(1-$C$5),"undercut cheapest","median")))</f>
        <v>—</v>
      </c>
      <c r="BJ48" s="70" t="str">
        <f aca="false">IF(BE48=0,"—",IF(AND(ISNUMBER($D48),$D48*(1+$C$10)&gt;FLOOR(IF(BF48&lt;BG48*(1-$C$7),BG48*(1-$C$5-IF(BE48&lt;3,$C$8,0)),MIN(BG48*(1-$C$5-IF(BE48&lt;3,$C$8,0)),BF48*(1-$C$6-IF(BE48&lt;3,$C$8,0)))),IF(IF(BF48&lt;BG48*(1-$C$7),BG48*(1-$C$5-IF(BE48&lt;3,$C$8,0)),MIN(BG48*(1-$C$5-IF(BE48&lt;3,$C$8,0)),BF48*(1-$C$6-IF(BE48&lt;3,$C$8,0))))&lt;10,$C$9,IF(IF(BF48&lt;BG48*(1-$C$7),BG48*(1-$C$5-IF(BE48&lt;3,$C$8,0)),MIN(BG48*(1-$C$5-IF(BE48&lt;3,$C$8,0)),BF48*(1-$C$6-IF(BE48&lt;3,$C$8,0))))&lt;100,$D$9,$E$9)))),ROUND($D48*(1+$C$10),2),FLOOR(IF(BF48&lt;BG48*(1-$C$7),BG48*(1-$C$5-IF(BE48&lt;3,$C$8,0)),MIN(BG48*(1-$C$5-IF(BE48&lt;3,$C$8,0)),BF48*(1-$C$6-IF(BE48&lt;3,$C$8,0)))),IF(IF(BF48&lt;BG48*(1-$C$7),BG48*(1-$C$5-IF(BE48&lt;3,$C$8,0)),MIN(BG48*(1-$C$5-IF(BE48&lt;3,$C$8,0)),BF48*(1-$C$6-IF(BE48&lt;3,$C$8,0))))&lt;10,$C$9,IF(IF(BF48&lt;BG48*(1-$C$7),BG48*(1-$C$5-IF(BE48&lt;3,$C$8,0)),MIN(BG48*(1-$C$5-IF(BE48&lt;3,$C$8,0)),BF48*(1-$C$6-IF(BE48&lt;3,$C$8,0))))&lt;100,$D$9,$E$9)))))</f>
        <v>—</v>
      </c>
      <c r="BK48" s="73" t="str">
        <f aca="false">IF(BE48=0,"—",FLOOR(BJ48*Sources!$G$8,10))</f>
        <v>—</v>
      </c>
      <c r="BL48" s="68" t="n">
        <f aca="false">IF(ISNUMBER($D48),$D48,"n/a")</f>
        <v>3.355</v>
      </c>
      <c r="BM48" s="71" t="str">
        <f aca="false">IF(OR(BE48=0,NOT(ISNUMBER($D48))),"—",BJ48/$D48-1)</f>
        <v>—</v>
      </c>
      <c r="BN48" s="72" t="str">
        <f aca="false">IF(BE48=0,"—",BJ48/BF48-1)</f>
        <v>—</v>
      </c>
      <c r="BO48" s="72" t="str">
        <f aca="false">IF(BE48=0,"—",BJ48/BG48-1)</f>
        <v>—</v>
      </c>
    </row>
    <row r="49" customFormat="false" ht="15" hidden="false" customHeight="true" outlineLevel="0" collapsed="false">
      <c r="B49" s="1" t="s">
        <v>65</v>
      </c>
      <c r="C49" s="1" t="s">
        <v>174</v>
      </c>
      <c r="D49" s="58" t="n">
        <v>4.4</v>
      </c>
      <c r="E49" s="59" t="n">
        <f aca="false">COUNTIFS(Offers!$B$7:$B$3000,$B49,Offers!$C$7:$C$3000,"Austria",Offers!$AI$7:$AI$3000,"yes")</f>
        <v>3</v>
      </c>
      <c r="F49" s="60" t="n">
        <f aca="false">IF(E49=0,"—",SUMIFS(Review!$I$7:$I$600,Review!$B$7:$B$600,$B49,Review!$C$7:$C$600,"Austria"))</f>
        <v>19.76</v>
      </c>
      <c r="G49" s="60" t="n">
        <f aca="false">IF(E49=0,"—",SUMIFS(Review!$J$7:$J$600,Review!$B$7:$B$600,$B49,Review!$C$7:$C$600,"Austria"))</f>
        <v>26.89</v>
      </c>
      <c r="H49" s="60" t="n">
        <f aca="false">IF(E49=0,"—",SUMIFS(Review!$K$7:$K$600,Review!$B$7:$B$600,$B49,Review!$C$7:$C$600,"Austria"))</f>
        <v>28.99</v>
      </c>
      <c r="I49" s="61" t="str">
        <f aca="false">IF(E49=0,"—",IF(F49&lt;G49*(1-$C$7),"median (cheapest is an outlier)",IF(F49*(1-$C$6)&lt;G49*(1-$C$5),"undercut cheapest","median")))</f>
        <v>undercut cheapest</v>
      </c>
      <c r="J49" s="62" t="n">
        <f aca="false">IF(E49=0,"—",IF(AND(ISNUMBER($D49),$D49*(1+$C$10)&gt;FLOOR(IF(F49&lt;G49*(1-$C$7),G49*(1-$C$5-IF(E49&lt;3,$C$8,0)),MIN(G49*(1-$C$5-IF(E49&lt;3,$C$8,0)),F49*(1-$C$6-IF(E49&lt;3,$C$8,0)))),IF(IF(F49&lt;G49*(1-$C$7),G49*(1-$C$5-IF(E49&lt;3,$C$8,0)),MIN(G49*(1-$C$5-IF(E49&lt;3,$C$8,0)),F49*(1-$C$6-IF(E49&lt;3,$C$8,0))))&lt;10,$C$9,IF(IF(F49&lt;G49*(1-$C$7),G49*(1-$C$5-IF(E49&lt;3,$C$8,0)),MIN(G49*(1-$C$5-IF(E49&lt;3,$C$8,0)),F49*(1-$C$6-IF(E49&lt;3,$C$8,0))))&lt;100,$D$9,$E$9)))),ROUND($D49*(1+$C$10),2),FLOOR(IF(F49&lt;G49*(1-$C$7),G49*(1-$C$5-IF(E49&lt;3,$C$8,0)),MIN(G49*(1-$C$5-IF(E49&lt;3,$C$8,0)),F49*(1-$C$6-IF(E49&lt;3,$C$8,0)))),IF(IF(F49&lt;G49*(1-$C$7),G49*(1-$C$5-IF(E49&lt;3,$C$8,0)),MIN(G49*(1-$C$5-IF(E49&lt;3,$C$8,0)),F49*(1-$C$6-IF(E49&lt;3,$C$8,0))))&lt;10,$C$9,IF(IF(F49&lt;G49*(1-$C$7),G49*(1-$C$5-IF(E49&lt;3,$C$8,0)),MIN(G49*(1-$C$5-IF(E49&lt;3,$C$8,0)),F49*(1-$C$6-IF(E49&lt;3,$C$8,0))))&lt;100,$D$9,$E$9)))))</f>
        <v>18.7</v>
      </c>
      <c r="K49" s="60" t="n">
        <f aca="false">IF(ISNUMBER($D49),$D49,"n/a")</f>
        <v>4.4</v>
      </c>
      <c r="L49" s="63" t="n">
        <f aca="false">IF(OR(E49=0,NOT(ISNUMBER($D49))),"—",J49/$D49-1)</f>
        <v>3.25</v>
      </c>
      <c r="M49" s="64" t="n">
        <f aca="false">IF(E49=0,"—",J49/F49-1)</f>
        <v>-0.0536437246963564</v>
      </c>
      <c r="N49" s="64" t="n">
        <f aca="false">IF(E49=0,"—",J49/G49-1)</f>
        <v>-0.304574191149126</v>
      </c>
      <c r="O49" s="59" t="n">
        <f aca="false">COUNTIFS(Offers!$B$7:$B$3000,$B49,Offers!$C$7:$C$3000,"Germany",Offers!$AI$7:$AI$3000,"yes")</f>
        <v>1</v>
      </c>
      <c r="P49" s="60" t="n">
        <f aca="false">IF(O49=0,"—",SUMIFS(Review!$I$7:$I$600,Review!$B$7:$B$600,$B49,Review!$C$7:$C$600,"Germany"))</f>
        <v>24.99</v>
      </c>
      <c r="Q49" s="60" t="n">
        <f aca="false">IF(O49=0,"—",SUMIFS(Review!$J$7:$J$600,Review!$B$7:$B$600,$B49,Review!$C$7:$C$600,"Germany"))</f>
        <v>24.99</v>
      </c>
      <c r="R49" s="60" t="n">
        <f aca="false">IF(O49=0,"—",SUMIFS(Review!$K$7:$K$600,Review!$B$7:$B$600,$B49,Review!$C$7:$C$600,"Germany"))</f>
        <v>24.99</v>
      </c>
      <c r="S49" s="61" t="str">
        <f aca="false">IF(O49=0,"—",IF(P49&lt;Q49*(1-$C$7),"median (cheapest is an outlier)",IF(P49*(1-$C$6)&lt;Q49*(1-$C$5),"undercut cheapest","median")))</f>
        <v>median</v>
      </c>
      <c r="T49" s="62" t="n">
        <f aca="false">IF(O49=0,"—",IF(AND(ISNUMBER($D49),$D49*(1+$C$10)&gt;FLOOR(IF(P49&lt;Q49*(1-$C$7),Q49*(1-$C$5-IF(O49&lt;3,$C$8,0)),MIN(Q49*(1-$C$5-IF(O49&lt;3,$C$8,0)),P49*(1-$C$6-IF(O49&lt;3,$C$8,0)))),IF(IF(P49&lt;Q49*(1-$C$7),Q49*(1-$C$5-IF(O49&lt;3,$C$8,0)),MIN(Q49*(1-$C$5-IF(O49&lt;3,$C$8,0)),P49*(1-$C$6-IF(O49&lt;3,$C$8,0))))&lt;10,$C$9,IF(IF(P49&lt;Q49*(1-$C$7),Q49*(1-$C$5-IF(O49&lt;3,$C$8,0)),MIN(Q49*(1-$C$5-IF(O49&lt;3,$C$8,0)),P49*(1-$C$6-IF(O49&lt;3,$C$8,0))))&lt;100,$D$9,$E$9)))),ROUND($D49*(1+$C$10),2),FLOOR(IF(P49&lt;Q49*(1-$C$7),Q49*(1-$C$5-IF(O49&lt;3,$C$8,0)),MIN(Q49*(1-$C$5-IF(O49&lt;3,$C$8,0)),P49*(1-$C$6-IF(O49&lt;3,$C$8,0)))),IF(IF(P49&lt;Q49*(1-$C$7),Q49*(1-$C$5-IF(O49&lt;3,$C$8,0)),MIN(Q49*(1-$C$5-IF(O49&lt;3,$C$8,0)),P49*(1-$C$6-IF(O49&lt;3,$C$8,0))))&lt;10,$C$9,IF(IF(P49&lt;Q49*(1-$C$7),Q49*(1-$C$5-IF(O49&lt;3,$C$8,0)),MIN(Q49*(1-$C$5-IF(O49&lt;3,$C$8,0)),P49*(1-$C$6-IF(O49&lt;3,$C$8,0))))&lt;100,$D$9,$E$9)))))</f>
        <v>17.4</v>
      </c>
      <c r="U49" s="60" t="n">
        <f aca="false">IF(ISNUMBER($D49),$D49,"n/a")</f>
        <v>4.4</v>
      </c>
      <c r="V49" s="63" t="n">
        <f aca="false">IF(OR(O49=0,NOT(ISNUMBER($D49))),"—",T49/$D49-1)</f>
        <v>2.95454545454545</v>
      </c>
      <c r="W49" s="64" t="n">
        <f aca="false">IF(O49=0,"—",T49/P49-1)</f>
        <v>-0.303721488595438</v>
      </c>
      <c r="X49" s="64" t="n">
        <f aca="false">IF(O49=0,"—",T49/Q49-1)</f>
        <v>-0.303721488595438</v>
      </c>
      <c r="Y49" s="59" t="n">
        <f aca="false">COUNTIFS(Offers!$B$7:$B$3000,$B49,Offers!$C$7:$C$3000,"Czech",Offers!$AI$7:$AI$3000,"yes")</f>
        <v>2</v>
      </c>
      <c r="Z49" s="60" t="n">
        <f aca="false">IF(Y49=0,"—",SUMIFS(Review!$I$7:$I$600,Review!$B$7:$B$600,$B49,Review!$C$7:$C$600,"Czech"))</f>
        <v>22.150692</v>
      </c>
      <c r="AA49" s="60" t="n">
        <f aca="false">IF(Y49=0,"—",SUMIFS(Review!$J$7:$J$600,Review!$B$7:$B$600,$B49,Review!$C$7:$C$600,"Czech"))</f>
        <v>26.7423545</v>
      </c>
      <c r="AB49" s="60" t="n">
        <f aca="false">IF(Y49=0,"—",SUMIFS(Review!$K$7:$K$600,Review!$B$7:$B$600,$B49,Review!$C$7:$C$600,"Czech"))</f>
        <v>31.334017</v>
      </c>
      <c r="AC49" s="61" t="str">
        <f aca="false">IF(Y49=0,"—",IF(Z49&lt;AA49*(1-$C$7),"median (cheapest is an outlier)",IF(Z49*(1-$C$6)&lt;AA49*(1-$C$5),"undercut cheapest","median")))</f>
        <v>median</v>
      </c>
      <c r="AD49" s="62" t="n">
        <f aca="false">IF(Y49=0,"—",IF(AND(ISNUMBER($D49),$D49*(1+$C$10)&gt;FLOOR(IF(Z49&lt;AA49*(1-$C$7),AA49*(1-$C$5-IF(Y49&lt;3,$C$8,0)),MIN(AA49*(1-$C$5-IF(Y49&lt;3,$C$8,0)),Z49*(1-$C$6-IF(Y49&lt;3,$C$8,0)))),IF(IF(Z49&lt;AA49*(1-$C$7),AA49*(1-$C$5-IF(Y49&lt;3,$C$8,0)),MIN(AA49*(1-$C$5-IF(Y49&lt;3,$C$8,0)),Z49*(1-$C$6-IF(Y49&lt;3,$C$8,0))))&lt;10,$C$9,IF(IF(Z49&lt;AA49*(1-$C$7),AA49*(1-$C$5-IF(Y49&lt;3,$C$8,0)),MIN(AA49*(1-$C$5-IF(Y49&lt;3,$C$8,0)),Z49*(1-$C$6-IF(Y49&lt;3,$C$8,0))))&lt;100,$D$9,$E$9)))),ROUND($D49*(1+$C$10),2),FLOOR(IF(Z49&lt;AA49*(1-$C$7),AA49*(1-$C$5-IF(Y49&lt;3,$C$8,0)),MIN(AA49*(1-$C$5-IF(Y49&lt;3,$C$8,0)),Z49*(1-$C$6-IF(Y49&lt;3,$C$8,0)))),IF(IF(Z49&lt;AA49*(1-$C$7),AA49*(1-$C$5-IF(Y49&lt;3,$C$8,0)),MIN(AA49*(1-$C$5-IF(Y49&lt;3,$C$8,0)),Z49*(1-$C$6-IF(Y49&lt;3,$C$8,0))))&lt;10,$C$9,IF(IF(Z49&lt;AA49*(1-$C$7),AA49*(1-$C$5-IF(Y49&lt;3,$C$8,0)),MIN(AA49*(1-$C$5-IF(Y49&lt;3,$C$8,0)),Z49*(1-$C$6-IF(Y49&lt;3,$C$8,0))))&lt;100,$D$9,$E$9)))))</f>
        <v>18.7</v>
      </c>
      <c r="AE49" s="65" t="n">
        <f aca="false">IF(Y49=0,"—",FLOOR(AD49*Sources!$G$10,1))</f>
        <v>456</v>
      </c>
      <c r="AF49" s="60" t="n">
        <f aca="false">IF(ISNUMBER($D49),$D49,"n/a")</f>
        <v>4.4</v>
      </c>
      <c r="AG49" s="63" t="n">
        <f aca="false">IF(OR(Y49=0,NOT(ISNUMBER($D49))),"—",AD49/$D49-1)</f>
        <v>3.25</v>
      </c>
      <c r="AH49" s="64" t="n">
        <f aca="false">IF(Y49=0,"—",AD49/Z49-1)</f>
        <v>-0.155782582322936</v>
      </c>
      <c r="AI49" s="64" t="n">
        <f aca="false">IF(Y49=0,"—",AD49/AA49-1)</f>
        <v>-0.300734720273041</v>
      </c>
      <c r="AJ49" s="59" t="n">
        <f aca="false">COUNTIFS(Offers!$B$7:$B$3000,$B49,Offers!$C$7:$C$3000,"Slovakia",Offers!$AI$7:$AI$3000,"yes")</f>
        <v>0</v>
      </c>
      <c r="AK49" s="60" t="str">
        <f aca="false">IF(AJ49=0,"—",SUMIFS(Review!$I$7:$I$600,Review!$B$7:$B$600,$B49,Review!$C$7:$C$600,"Slovakia"))</f>
        <v>—</v>
      </c>
      <c r="AL49" s="60" t="str">
        <f aca="false">IF(AJ49=0,"—",SUMIFS(Review!$J$7:$J$600,Review!$B$7:$B$600,$B49,Review!$C$7:$C$600,"Slovakia"))</f>
        <v>—</v>
      </c>
      <c r="AM49" s="60" t="str">
        <f aca="false">IF(AJ49=0,"—",SUMIFS(Review!$K$7:$K$600,Review!$B$7:$B$600,$B49,Review!$C$7:$C$600,"Slovakia"))</f>
        <v>—</v>
      </c>
      <c r="AN49" s="61" t="str">
        <f aca="false">IF(AJ49=0,"—",IF(AK49&lt;AL49*(1-$C$7),"median (cheapest is an outlier)",IF(AK49*(1-$C$6)&lt;AL49*(1-$C$5),"undercut cheapest","median")))</f>
        <v>—</v>
      </c>
      <c r="AO49" s="62" t="str">
        <f aca="false">IF(AJ49=0,"—",IF(AND(ISNUMBER($D49),$D49*(1+$C$10)&gt;FLOOR(IF(AK49&lt;AL49*(1-$C$7),AL49*(1-$C$5-IF(AJ49&lt;3,$C$8,0)),MIN(AL49*(1-$C$5-IF(AJ49&lt;3,$C$8,0)),AK49*(1-$C$6-IF(AJ49&lt;3,$C$8,0)))),IF(IF(AK49&lt;AL49*(1-$C$7),AL49*(1-$C$5-IF(AJ49&lt;3,$C$8,0)),MIN(AL49*(1-$C$5-IF(AJ49&lt;3,$C$8,0)),AK49*(1-$C$6-IF(AJ49&lt;3,$C$8,0))))&lt;10,$C$9,IF(IF(AK49&lt;AL49*(1-$C$7),AL49*(1-$C$5-IF(AJ49&lt;3,$C$8,0)),MIN(AL49*(1-$C$5-IF(AJ49&lt;3,$C$8,0)),AK49*(1-$C$6-IF(AJ49&lt;3,$C$8,0))))&lt;100,$D$9,$E$9)))),ROUND($D49*(1+$C$10),2),FLOOR(IF(AK49&lt;AL49*(1-$C$7),AL49*(1-$C$5-IF(AJ49&lt;3,$C$8,0)),MIN(AL49*(1-$C$5-IF(AJ49&lt;3,$C$8,0)),AK49*(1-$C$6-IF(AJ49&lt;3,$C$8,0)))),IF(IF(AK49&lt;AL49*(1-$C$7),AL49*(1-$C$5-IF(AJ49&lt;3,$C$8,0)),MIN(AL49*(1-$C$5-IF(AJ49&lt;3,$C$8,0)),AK49*(1-$C$6-IF(AJ49&lt;3,$C$8,0))))&lt;10,$C$9,IF(IF(AK49&lt;AL49*(1-$C$7),AL49*(1-$C$5-IF(AJ49&lt;3,$C$8,0)),MIN(AL49*(1-$C$5-IF(AJ49&lt;3,$C$8,0)),AK49*(1-$C$6-IF(AJ49&lt;3,$C$8,0))))&lt;100,$D$9,$E$9)))))</f>
        <v>—</v>
      </c>
      <c r="AP49" s="60" t="n">
        <f aca="false">IF(ISNUMBER($D49),$D49,"n/a")</f>
        <v>4.4</v>
      </c>
      <c r="AQ49" s="63" t="str">
        <f aca="false">IF(OR(AJ49=0,NOT(ISNUMBER($D49))),"—",AO49/$D49-1)</f>
        <v>—</v>
      </c>
      <c r="AR49" s="64" t="str">
        <f aca="false">IF(AJ49=0,"—",AO49/AK49-1)</f>
        <v>—</v>
      </c>
      <c r="AS49" s="64" t="str">
        <f aca="false">IF(AJ49=0,"—",AO49/AL49-1)</f>
        <v>—</v>
      </c>
      <c r="AT49" s="59" t="n">
        <f aca="false">COUNTIFS(Offers!$B$7:$B$3000,$B49,Offers!$C$7:$C$3000,"Romania",Offers!$AI$7:$AI$3000,"yes")</f>
        <v>0</v>
      </c>
      <c r="AU49" s="60" t="str">
        <f aca="false">IF(AT49=0,"—",SUMIFS(Review!$I$7:$I$600,Review!$B$7:$B$600,$B49,Review!$C$7:$C$600,"Romania"))</f>
        <v>—</v>
      </c>
      <c r="AV49" s="60" t="str">
        <f aca="false">IF(AT49=0,"—",SUMIFS(Review!$J$7:$J$600,Review!$B$7:$B$600,$B49,Review!$C$7:$C$600,"Romania"))</f>
        <v>—</v>
      </c>
      <c r="AW49" s="60" t="str">
        <f aca="false">IF(AT49=0,"—",SUMIFS(Review!$K$7:$K$600,Review!$B$7:$B$600,$B49,Review!$C$7:$C$600,"Romania"))</f>
        <v>—</v>
      </c>
      <c r="AX49" s="61" t="str">
        <f aca="false">IF(AT49=0,"—",IF(AU49&lt;AV49*(1-$C$7),"median (cheapest is an outlier)",IF(AU49*(1-$C$6)&lt;AV49*(1-$C$5),"undercut cheapest","median")))</f>
        <v>—</v>
      </c>
      <c r="AY49" s="62" t="str">
        <f aca="false">IF(AT49=0,"—",IF(AND(ISNUMBER($D49),$D49*(1+$C$10)&gt;FLOOR(IF(AU49&lt;AV49*(1-$C$7),AV49*(1-$C$5-IF(AT49&lt;3,$C$8,0)),MIN(AV49*(1-$C$5-IF(AT49&lt;3,$C$8,0)),AU49*(1-$C$6-IF(AT49&lt;3,$C$8,0)))),IF(IF(AU49&lt;AV49*(1-$C$7),AV49*(1-$C$5-IF(AT49&lt;3,$C$8,0)),MIN(AV49*(1-$C$5-IF(AT49&lt;3,$C$8,0)),AU49*(1-$C$6-IF(AT49&lt;3,$C$8,0))))&lt;10,$C$9,IF(IF(AU49&lt;AV49*(1-$C$7),AV49*(1-$C$5-IF(AT49&lt;3,$C$8,0)),MIN(AV49*(1-$C$5-IF(AT49&lt;3,$C$8,0)),AU49*(1-$C$6-IF(AT49&lt;3,$C$8,0))))&lt;100,$D$9,$E$9)))),ROUND($D49*(1+$C$10),2),FLOOR(IF(AU49&lt;AV49*(1-$C$7),AV49*(1-$C$5-IF(AT49&lt;3,$C$8,0)),MIN(AV49*(1-$C$5-IF(AT49&lt;3,$C$8,0)),AU49*(1-$C$6-IF(AT49&lt;3,$C$8,0)))),IF(IF(AU49&lt;AV49*(1-$C$7),AV49*(1-$C$5-IF(AT49&lt;3,$C$8,0)),MIN(AV49*(1-$C$5-IF(AT49&lt;3,$C$8,0)),AU49*(1-$C$6-IF(AT49&lt;3,$C$8,0))))&lt;10,$C$9,IF(IF(AU49&lt;AV49*(1-$C$7),AV49*(1-$C$5-IF(AT49&lt;3,$C$8,0)),MIN(AV49*(1-$C$5-IF(AT49&lt;3,$C$8,0)),AU49*(1-$C$6-IF(AT49&lt;3,$C$8,0))))&lt;100,$D$9,$E$9)))))</f>
        <v>—</v>
      </c>
      <c r="AZ49" s="62" t="str">
        <f aca="false">IF(AT49=0,"—",FLOOR(AY49*Sources!$G$9,0.1))</f>
        <v>—</v>
      </c>
      <c r="BA49" s="60" t="n">
        <f aca="false">IF(ISNUMBER($D49),$D49,"n/a")</f>
        <v>4.4</v>
      </c>
      <c r="BB49" s="63" t="str">
        <f aca="false">IF(OR(AT49=0,NOT(ISNUMBER($D49))),"—",AY49/$D49-1)</f>
        <v>—</v>
      </c>
      <c r="BC49" s="64" t="str">
        <f aca="false">IF(AT49=0,"—",AY49/AU49-1)</f>
        <v>—</v>
      </c>
      <c r="BD49" s="64" t="str">
        <f aca="false">IF(AT49=0,"—",AY49/AV49-1)</f>
        <v>—</v>
      </c>
      <c r="BE49" s="59" t="n">
        <f aca="false">COUNTIFS(Offers!$B$7:$B$3000,$B49,Offers!$C$7:$C$3000,"Hungary",Offers!$AI$7:$AI$3000,"yes")</f>
        <v>0</v>
      </c>
      <c r="BF49" s="60" t="str">
        <f aca="false">IF(BE49=0,"—",SUMIFS(Review!$I$7:$I$600,Review!$B$7:$B$600,$B49,Review!$C$7:$C$600,"Hungary"))</f>
        <v>—</v>
      </c>
      <c r="BG49" s="60" t="str">
        <f aca="false">IF(BE49=0,"—",SUMIFS(Review!$J$7:$J$600,Review!$B$7:$B$600,$B49,Review!$C$7:$C$600,"Hungary"))</f>
        <v>—</v>
      </c>
      <c r="BH49" s="60" t="str">
        <f aca="false">IF(BE49=0,"—",SUMIFS(Review!$K$7:$K$600,Review!$B$7:$B$600,$B49,Review!$C$7:$C$600,"Hungary"))</f>
        <v>—</v>
      </c>
      <c r="BI49" s="61" t="str">
        <f aca="false">IF(BE49=0,"—",IF(BF49&lt;BG49*(1-$C$7),"median (cheapest is an outlier)",IF(BF49*(1-$C$6)&lt;BG49*(1-$C$5),"undercut cheapest","median")))</f>
        <v>—</v>
      </c>
      <c r="BJ49" s="62" t="str">
        <f aca="false">IF(BE49=0,"—",IF(AND(ISNUMBER($D49),$D49*(1+$C$10)&gt;FLOOR(IF(BF49&lt;BG49*(1-$C$7),BG49*(1-$C$5-IF(BE49&lt;3,$C$8,0)),MIN(BG49*(1-$C$5-IF(BE49&lt;3,$C$8,0)),BF49*(1-$C$6-IF(BE49&lt;3,$C$8,0)))),IF(IF(BF49&lt;BG49*(1-$C$7),BG49*(1-$C$5-IF(BE49&lt;3,$C$8,0)),MIN(BG49*(1-$C$5-IF(BE49&lt;3,$C$8,0)),BF49*(1-$C$6-IF(BE49&lt;3,$C$8,0))))&lt;10,$C$9,IF(IF(BF49&lt;BG49*(1-$C$7),BG49*(1-$C$5-IF(BE49&lt;3,$C$8,0)),MIN(BG49*(1-$C$5-IF(BE49&lt;3,$C$8,0)),BF49*(1-$C$6-IF(BE49&lt;3,$C$8,0))))&lt;100,$D$9,$E$9)))),ROUND($D49*(1+$C$10),2),FLOOR(IF(BF49&lt;BG49*(1-$C$7),BG49*(1-$C$5-IF(BE49&lt;3,$C$8,0)),MIN(BG49*(1-$C$5-IF(BE49&lt;3,$C$8,0)),BF49*(1-$C$6-IF(BE49&lt;3,$C$8,0)))),IF(IF(BF49&lt;BG49*(1-$C$7),BG49*(1-$C$5-IF(BE49&lt;3,$C$8,0)),MIN(BG49*(1-$C$5-IF(BE49&lt;3,$C$8,0)),BF49*(1-$C$6-IF(BE49&lt;3,$C$8,0))))&lt;10,$C$9,IF(IF(BF49&lt;BG49*(1-$C$7),BG49*(1-$C$5-IF(BE49&lt;3,$C$8,0)),MIN(BG49*(1-$C$5-IF(BE49&lt;3,$C$8,0)),BF49*(1-$C$6-IF(BE49&lt;3,$C$8,0))))&lt;100,$D$9,$E$9)))))</f>
        <v>—</v>
      </c>
      <c r="BK49" s="65" t="str">
        <f aca="false">IF(BE49=0,"—",FLOOR(BJ49*Sources!$G$8,10))</f>
        <v>—</v>
      </c>
      <c r="BL49" s="60" t="n">
        <f aca="false">IF(ISNUMBER($D49),$D49,"n/a")</f>
        <v>4.4</v>
      </c>
      <c r="BM49" s="63" t="str">
        <f aca="false">IF(OR(BE49=0,NOT(ISNUMBER($D49))),"—",BJ49/$D49-1)</f>
        <v>—</v>
      </c>
      <c r="BN49" s="64" t="str">
        <f aca="false">IF(BE49=0,"—",BJ49/BF49-1)</f>
        <v>—</v>
      </c>
      <c r="BO49" s="64" t="str">
        <f aca="false">IF(BE49=0,"—",BJ49/BG49-1)</f>
        <v>—</v>
      </c>
    </row>
    <row r="50" customFormat="false" ht="15" hidden="false" customHeight="false" outlineLevel="0" collapsed="false">
      <c r="B50" s="1" t="s">
        <v>66</v>
      </c>
      <c r="C50" s="1" t="s">
        <v>175</v>
      </c>
      <c r="D50" s="58"/>
      <c r="E50" s="59" t="n">
        <f aca="false">COUNTIFS(Offers!$B$7:$B$3000,$B50,Offers!$C$7:$C$3000,"Austria",Offers!$AI$7:$AI$3000,"yes")</f>
        <v>7</v>
      </c>
      <c r="F50" s="60" t="n">
        <f aca="false">IF(E50=0,"—",SUMIFS(Review!$I$7:$I$600,Review!$B$7:$B$600,$B50,Review!$C$7:$C$600,"Austria"))</f>
        <v>12.9</v>
      </c>
      <c r="G50" s="60" t="n">
        <f aca="false">IF(E50=0,"—",SUMIFS(Review!$J$7:$J$600,Review!$B$7:$B$600,$B50,Review!$C$7:$C$600,"Austria"))</f>
        <v>19.79</v>
      </c>
      <c r="H50" s="60" t="n">
        <f aca="false">IF(E50=0,"—",SUMIFS(Review!$K$7:$K$600,Review!$B$7:$B$600,$B50,Review!$C$7:$C$600,"Austria"))</f>
        <v>36.8</v>
      </c>
      <c r="I50" s="61" t="str">
        <f aca="false">IF(E50=0,"—",IF(F50&lt;G50*(1-$C$7),"median (cheapest is an outlier)",IF(F50*(1-$C$6)&lt;G50*(1-$C$5),"undercut cheapest","median")))</f>
        <v>undercut cheapest</v>
      </c>
      <c r="J50" s="62" t="n">
        <f aca="false">IF(E50=0,"—",IF(AND(ISNUMBER($D50),$D50*(1+$C$10)&gt;FLOOR(IF(F50&lt;G50*(1-$C$7),G50*(1-$C$5-IF(E50&lt;3,$C$8,0)),MIN(G50*(1-$C$5-IF(E50&lt;3,$C$8,0)),F50*(1-$C$6-IF(E50&lt;3,$C$8,0)))),IF(IF(F50&lt;G50*(1-$C$7),G50*(1-$C$5-IF(E50&lt;3,$C$8,0)),MIN(G50*(1-$C$5-IF(E50&lt;3,$C$8,0)),F50*(1-$C$6-IF(E50&lt;3,$C$8,0))))&lt;10,$C$9,IF(IF(F50&lt;G50*(1-$C$7),G50*(1-$C$5-IF(E50&lt;3,$C$8,0)),MIN(G50*(1-$C$5-IF(E50&lt;3,$C$8,0)),F50*(1-$C$6-IF(E50&lt;3,$C$8,0))))&lt;100,$D$9,$E$9)))),ROUND($D50*(1+$C$10),2),FLOOR(IF(F50&lt;G50*(1-$C$7),G50*(1-$C$5-IF(E50&lt;3,$C$8,0)),MIN(G50*(1-$C$5-IF(E50&lt;3,$C$8,0)),F50*(1-$C$6-IF(E50&lt;3,$C$8,0)))),IF(IF(F50&lt;G50*(1-$C$7),G50*(1-$C$5-IF(E50&lt;3,$C$8,0)),MIN(G50*(1-$C$5-IF(E50&lt;3,$C$8,0)),F50*(1-$C$6-IF(E50&lt;3,$C$8,0))))&lt;10,$C$9,IF(IF(F50&lt;G50*(1-$C$7),G50*(1-$C$5-IF(E50&lt;3,$C$8,0)),MIN(G50*(1-$C$5-IF(E50&lt;3,$C$8,0)),F50*(1-$C$6-IF(E50&lt;3,$C$8,0))))&lt;100,$D$9,$E$9)))))</f>
        <v>12.2</v>
      </c>
      <c r="K50" s="60" t="str">
        <f aca="false">IF(ISNUMBER($D50),$D50,"n/a")</f>
        <v>n/a</v>
      </c>
      <c r="L50" s="63" t="str">
        <f aca="false">IF(OR(E50=0,NOT(ISNUMBER($D50))),"—",J50/$D50-1)</f>
        <v>—</v>
      </c>
      <c r="M50" s="64" t="n">
        <f aca="false">IF(E50=0,"—",J50/F50-1)</f>
        <v>-0.0542635658914729</v>
      </c>
      <c r="N50" s="64" t="n">
        <f aca="false">IF(E50=0,"—",J50/G50-1)</f>
        <v>-0.383527033855483</v>
      </c>
      <c r="O50" s="59" t="n">
        <f aca="false">COUNTIFS(Offers!$B$7:$B$3000,$B50,Offers!$C$7:$C$3000,"Germany",Offers!$AI$7:$AI$3000,"yes")</f>
        <v>7</v>
      </c>
      <c r="P50" s="60" t="n">
        <f aca="false">IF(O50=0,"—",SUMIFS(Review!$I$7:$I$600,Review!$B$7:$B$600,$B50,Review!$C$7:$C$600,"Germany"))</f>
        <v>10.83</v>
      </c>
      <c r="Q50" s="60" t="n">
        <f aca="false">IF(O50=0,"—",SUMIFS(Review!$J$7:$J$600,Review!$B$7:$B$600,$B50,Review!$C$7:$C$600,"Germany"))</f>
        <v>17.73</v>
      </c>
      <c r="R50" s="60" t="n">
        <f aca="false">IF(O50=0,"—",SUMIFS(Review!$K$7:$K$600,Review!$B$7:$B$600,$B50,Review!$C$7:$C$600,"Germany"))</f>
        <v>36.8</v>
      </c>
      <c r="S50" s="61" t="str">
        <f aca="false">IF(O50=0,"—",IF(P50&lt;Q50*(1-$C$7),"median (cheapest is an outlier)",IF(P50*(1-$C$6)&lt;Q50*(1-$C$5),"undercut cheapest","median")))</f>
        <v>median (cheapest is an outlier)</v>
      </c>
      <c r="T50" s="62" t="n">
        <f aca="false">IF(O50=0,"—",IF(AND(ISNUMBER($D50),$D50*(1+$C$10)&gt;FLOOR(IF(P50&lt;Q50*(1-$C$7),Q50*(1-$C$5-IF(O50&lt;3,$C$8,0)),MIN(Q50*(1-$C$5-IF(O50&lt;3,$C$8,0)),P50*(1-$C$6-IF(O50&lt;3,$C$8,0)))),IF(IF(P50&lt;Q50*(1-$C$7),Q50*(1-$C$5-IF(O50&lt;3,$C$8,0)),MIN(Q50*(1-$C$5-IF(O50&lt;3,$C$8,0)),P50*(1-$C$6-IF(O50&lt;3,$C$8,0))))&lt;10,$C$9,IF(IF(P50&lt;Q50*(1-$C$7),Q50*(1-$C$5-IF(O50&lt;3,$C$8,0)),MIN(Q50*(1-$C$5-IF(O50&lt;3,$C$8,0)),P50*(1-$C$6-IF(O50&lt;3,$C$8,0))))&lt;100,$D$9,$E$9)))),ROUND($D50*(1+$C$10),2),FLOOR(IF(P50&lt;Q50*(1-$C$7),Q50*(1-$C$5-IF(O50&lt;3,$C$8,0)),MIN(Q50*(1-$C$5-IF(O50&lt;3,$C$8,0)),P50*(1-$C$6-IF(O50&lt;3,$C$8,0)))),IF(IF(P50&lt;Q50*(1-$C$7),Q50*(1-$C$5-IF(O50&lt;3,$C$8,0)),MIN(Q50*(1-$C$5-IF(O50&lt;3,$C$8,0)),P50*(1-$C$6-IF(O50&lt;3,$C$8,0))))&lt;10,$C$9,IF(IF(P50&lt;Q50*(1-$C$7),Q50*(1-$C$5-IF(O50&lt;3,$C$8,0)),MIN(Q50*(1-$C$5-IF(O50&lt;3,$C$8,0)),P50*(1-$C$6-IF(O50&lt;3,$C$8,0))))&lt;100,$D$9,$E$9)))))</f>
        <v>13.2</v>
      </c>
      <c r="U50" s="60" t="str">
        <f aca="false">IF(ISNUMBER($D50),$D50,"n/a")</f>
        <v>n/a</v>
      </c>
      <c r="V50" s="63" t="str">
        <f aca="false">IF(OR(O50=0,NOT(ISNUMBER($D50))),"—",T50/$D50-1)</f>
        <v>—</v>
      </c>
      <c r="W50" s="64" t="n">
        <f aca="false">IF(O50=0,"—",T50/P50-1)</f>
        <v>0.218836565096953</v>
      </c>
      <c r="X50" s="64" t="n">
        <f aca="false">IF(O50=0,"—",T50/Q50-1)</f>
        <v>-0.255499153976311</v>
      </c>
      <c r="Y50" s="59" t="n">
        <f aca="false">COUNTIFS(Offers!$B$7:$B$3000,$B50,Offers!$C$7:$C$3000,"Czech",Offers!$AI$7:$AI$3000,"yes")</f>
        <v>5</v>
      </c>
      <c r="Z50" s="60" t="n">
        <f aca="false">IF(Y50=0,"—",SUMIFS(Review!$I$7:$I$600,Review!$B$7:$B$600,$B50,Review!$C$7:$C$600,"Czech"))</f>
        <v>11.877029</v>
      </c>
      <c r="AA50" s="60" t="n">
        <f aca="false">IF(Y50=0,"—",SUMIFS(Review!$J$7:$J$600,Review!$B$7:$B$600,$B50,Review!$C$7:$C$600,"Czech"))</f>
        <v>15.394936</v>
      </c>
      <c r="AB50" s="60" t="n">
        <f aca="false">IF(Y50=0,"—",SUMIFS(Review!$K$7:$K$600,Review!$B$7:$B$600,$B50,Review!$C$7:$C$600,"Czech"))</f>
        <v>26.286034</v>
      </c>
      <c r="AC50" s="61" t="str">
        <f aca="false">IF(Y50=0,"—",IF(Z50&lt;AA50*(1-$C$7),"median (cheapest is an outlier)",IF(Z50*(1-$C$6)&lt;AA50*(1-$C$5),"undercut cheapest","median")))</f>
        <v>undercut cheapest</v>
      </c>
      <c r="AD50" s="62" t="n">
        <f aca="false">IF(Y50=0,"—",IF(AND(ISNUMBER($D50),$D50*(1+$C$10)&gt;FLOOR(IF(Z50&lt;AA50*(1-$C$7),AA50*(1-$C$5-IF(Y50&lt;3,$C$8,0)),MIN(AA50*(1-$C$5-IF(Y50&lt;3,$C$8,0)),Z50*(1-$C$6-IF(Y50&lt;3,$C$8,0)))),IF(IF(Z50&lt;AA50*(1-$C$7),AA50*(1-$C$5-IF(Y50&lt;3,$C$8,0)),MIN(AA50*(1-$C$5-IF(Y50&lt;3,$C$8,0)),Z50*(1-$C$6-IF(Y50&lt;3,$C$8,0))))&lt;10,$C$9,IF(IF(Z50&lt;AA50*(1-$C$7),AA50*(1-$C$5-IF(Y50&lt;3,$C$8,0)),MIN(AA50*(1-$C$5-IF(Y50&lt;3,$C$8,0)),Z50*(1-$C$6-IF(Y50&lt;3,$C$8,0))))&lt;100,$D$9,$E$9)))),ROUND($D50*(1+$C$10),2),FLOOR(IF(Z50&lt;AA50*(1-$C$7),AA50*(1-$C$5-IF(Y50&lt;3,$C$8,0)),MIN(AA50*(1-$C$5-IF(Y50&lt;3,$C$8,0)),Z50*(1-$C$6-IF(Y50&lt;3,$C$8,0)))),IF(IF(Z50&lt;AA50*(1-$C$7),AA50*(1-$C$5-IF(Y50&lt;3,$C$8,0)),MIN(AA50*(1-$C$5-IF(Y50&lt;3,$C$8,0)),Z50*(1-$C$6-IF(Y50&lt;3,$C$8,0))))&lt;10,$C$9,IF(IF(Z50&lt;AA50*(1-$C$7),AA50*(1-$C$5-IF(Y50&lt;3,$C$8,0)),MIN(AA50*(1-$C$5-IF(Y50&lt;3,$C$8,0)),Z50*(1-$C$6-IF(Y50&lt;3,$C$8,0))))&lt;100,$D$9,$E$9)))))</f>
        <v>11.2</v>
      </c>
      <c r="AE50" s="65" t="n">
        <f aca="false">IF(Y50=0,"—",FLOOR(AD50*Sources!$G$10,1))</f>
        <v>273</v>
      </c>
      <c r="AF50" s="60" t="str">
        <f aca="false">IF(ISNUMBER($D50),$D50,"n/a")</f>
        <v>n/a</v>
      </c>
      <c r="AG50" s="63" t="str">
        <f aca="false">IF(OR(Y50=0,NOT(ISNUMBER($D50))),"—",AD50/$D50-1)</f>
        <v>—</v>
      </c>
      <c r="AH50" s="64" t="n">
        <f aca="false">IF(Y50=0,"—",AD50/Z50-1)</f>
        <v>-0.0570032286693919</v>
      </c>
      <c r="AI50" s="64" t="n">
        <f aca="false">IF(Y50=0,"—",AD50/AA50-1)</f>
        <v>-0.272488044120482</v>
      </c>
      <c r="AJ50" s="59" t="n">
        <f aca="false">COUNTIFS(Offers!$B$7:$B$3000,$B50,Offers!$C$7:$C$3000,"Slovakia",Offers!$AI$7:$AI$3000,"yes")</f>
        <v>5</v>
      </c>
      <c r="AK50" s="60" t="n">
        <f aca="false">IF(AJ50=0,"—",SUMIFS(Review!$I$7:$I$600,Review!$B$7:$B$600,$B50,Review!$C$7:$C$600,"Slovakia"))</f>
        <v>12.01</v>
      </c>
      <c r="AL50" s="60" t="n">
        <f aca="false">IF(AJ50=0,"—",SUMIFS(Review!$J$7:$J$600,Review!$B$7:$B$600,$B50,Review!$C$7:$C$600,"Slovakia"))</f>
        <v>16.42</v>
      </c>
      <c r="AM50" s="60" t="n">
        <f aca="false">IF(AJ50=0,"—",SUMIFS(Review!$K$7:$K$600,Review!$B$7:$B$600,$B50,Review!$C$7:$C$600,"Slovakia"))</f>
        <v>32.12</v>
      </c>
      <c r="AN50" s="61" t="str">
        <f aca="false">IF(AJ50=0,"—",IF(AK50&lt;AL50*(1-$C$7),"median (cheapest is an outlier)",IF(AK50*(1-$C$6)&lt;AL50*(1-$C$5),"undercut cheapest","median")))</f>
        <v>undercut cheapest</v>
      </c>
      <c r="AO50" s="62" t="n">
        <f aca="false">IF(AJ50=0,"—",IF(AND(ISNUMBER($D50),$D50*(1+$C$10)&gt;FLOOR(IF(AK50&lt;AL50*(1-$C$7),AL50*(1-$C$5-IF(AJ50&lt;3,$C$8,0)),MIN(AL50*(1-$C$5-IF(AJ50&lt;3,$C$8,0)),AK50*(1-$C$6-IF(AJ50&lt;3,$C$8,0)))),IF(IF(AK50&lt;AL50*(1-$C$7),AL50*(1-$C$5-IF(AJ50&lt;3,$C$8,0)),MIN(AL50*(1-$C$5-IF(AJ50&lt;3,$C$8,0)),AK50*(1-$C$6-IF(AJ50&lt;3,$C$8,0))))&lt;10,$C$9,IF(IF(AK50&lt;AL50*(1-$C$7),AL50*(1-$C$5-IF(AJ50&lt;3,$C$8,0)),MIN(AL50*(1-$C$5-IF(AJ50&lt;3,$C$8,0)),AK50*(1-$C$6-IF(AJ50&lt;3,$C$8,0))))&lt;100,$D$9,$E$9)))),ROUND($D50*(1+$C$10),2),FLOOR(IF(AK50&lt;AL50*(1-$C$7),AL50*(1-$C$5-IF(AJ50&lt;3,$C$8,0)),MIN(AL50*(1-$C$5-IF(AJ50&lt;3,$C$8,0)),AK50*(1-$C$6-IF(AJ50&lt;3,$C$8,0)))),IF(IF(AK50&lt;AL50*(1-$C$7),AL50*(1-$C$5-IF(AJ50&lt;3,$C$8,0)),MIN(AL50*(1-$C$5-IF(AJ50&lt;3,$C$8,0)),AK50*(1-$C$6-IF(AJ50&lt;3,$C$8,0))))&lt;10,$C$9,IF(IF(AK50&lt;AL50*(1-$C$7),AL50*(1-$C$5-IF(AJ50&lt;3,$C$8,0)),MIN(AL50*(1-$C$5-IF(AJ50&lt;3,$C$8,0)),AK50*(1-$C$6-IF(AJ50&lt;3,$C$8,0))))&lt;100,$D$9,$E$9)))))</f>
        <v>11.4</v>
      </c>
      <c r="AP50" s="60" t="str">
        <f aca="false">IF(ISNUMBER($D50),$D50,"n/a")</f>
        <v>n/a</v>
      </c>
      <c r="AQ50" s="63" t="str">
        <f aca="false">IF(OR(AJ50=0,NOT(ISNUMBER($D50))),"—",AO50/$D50-1)</f>
        <v>—</v>
      </c>
      <c r="AR50" s="64" t="n">
        <f aca="false">IF(AJ50=0,"—",AO50/AK50-1)</f>
        <v>-0.0507910074937552</v>
      </c>
      <c r="AS50" s="64" t="n">
        <f aca="false">IF(AJ50=0,"—",AO50/AL50-1)</f>
        <v>-0.305724725943971</v>
      </c>
      <c r="AT50" s="59" t="n">
        <f aca="false">COUNTIFS(Offers!$B$7:$B$3000,$B50,Offers!$C$7:$C$3000,"Romania",Offers!$AI$7:$AI$3000,"yes")</f>
        <v>5</v>
      </c>
      <c r="AU50" s="60" t="n">
        <f aca="false">IF(AT50=0,"—",SUMIFS(Review!$I$7:$I$600,Review!$B$7:$B$600,$B50,Review!$C$7:$C$600,"Romania"))</f>
        <v>9.346978</v>
      </c>
      <c r="AV50" s="60" t="n">
        <f aca="false">IF(AT50=0,"—",SUMIFS(Review!$J$7:$J$600,Review!$B$7:$B$600,$B50,Review!$C$7:$C$600,"Romania"))</f>
        <v>15.897252</v>
      </c>
      <c r="AW50" s="60" t="n">
        <f aca="false">IF(AT50=0,"—",SUMIFS(Review!$K$7:$K$600,Review!$B$7:$B$600,$B50,Review!$C$7:$C$600,"Romania"))</f>
        <v>26.801744</v>
      </c>
      <c r="AX50" s="61" t="str">
        <f aca="false">IF(AT50=0,"—",IF(AU50&lt;AV50*(1-$C$7),"median (cheapest is an outlier)",IF(AU50*(1-$C$6)&lt;AV50*(1-$C$5),"undercut cheapest","median")))</f>
        <v>median (cheapest is an outlier)</v>
      </c>
      <c r="AY50" s="62" t="n">
        <f aca="false">IF(AT50=0,"—",IF(AND(ISNUMBER($D50),$D50*(1+$C$10)&gt;FLOOR(IF(AU50&lt;AV50*(1-$C$7),AV50*(1-$C$5-IF(AT50&lt;3,$C$8,0)),MIN(AV50*(1-$C$5-IF(AT50&lt;3,$C$8,0)),AU50*(1-$C$6-IF(AT50&lt;3,$C$8,0)))),IF(IF(AU50&lt;AV50*(1-$C$7),AV50*(1-$C$5-IF(AT50&lt;3,$C$8,0)),MIN(AV50*(1-$C$5-IF(AT50&lt;3,$C$8,0)),AU50*(1-$C$6-IF(AT50&lt;3,$C$8,0))))&lt;10,$C$9,IF(IF(AU50&lt;AV50*(1-$C$7),AV50*(1-$C$5-IF(AT50&lt;3,$C$8,0)),MIN(AV50*(1-$C$5-IF(AT50&lt;3,$C$8,0)),AU50*(1-$C$6-IF(AT50&lt;3,$C$8,0))))&lt;100,$D$9,$E$9)))),ROUND($D50*(1+$C$10),2),FLOOR(IF(AU50&lt;AV50*(1-$C$7),AV50*(1-$C$5-IF(AT50&lt;3,$C$8,0)),MIN(AV50*(1-$C$5-IF(AT50&lt;3,$C$8,0)),AU50*(1-$C$6-IF(AT50&lt;3,$C$8,0)))),IF(IF(AU50&lt;AV50*(1-$C$7),AV50*(1-$C$5-IF(AT50&lt;3,$C$8,0)),MIN(AV50*(1-$C$5-IF(AT50&lt;3,$C$8,0)),AU50*(1-$C$6-IF(AT50&lt;3,$C$8,0))))&lt;10,$C$9,IF(IF(AU50&lt;AV50*(1-$C$7),AV50*(1-$C$5-IF(AT50&lt;3,$C$8,0)),MIN(AV50*(1-$C$5-IF(AT50&lt;3,$C$8,0)),AU50*(1-$C$6-IF(AT50&lt;3,$C$8,0))))&lt;100,$D$9,$E$9)))))</f>
        <v>11.9</v>
      </c>
      <c r="AZ50" s="62" t="n">
        <f aca="false">IF(AT50=0,"—",FLOOR(AY50*Sources!$G$9,0.1))</f>
        <v>62.8</v>
      </c>
      <c r="BA50" s="60" t="str">
        <f aca="false">IF(ISNUMBER($D50),$D50,"n/a")</f>
        <v>n/a</v>
      </c>
      <c r="BB50" s="63" t="str">
        <f aca="false">IF(OR(AT50=0,NOT(ISNUMBER($D50))),"—",AY50/$D50-1)</f>
        <v>—</v>
      </c>
      <c r="BC50" s="64" t="n">
        <f aca="false">IF(AT50=0,"—",AY50/AU50-1)</f>
        <v>0.273138762068339</v>
      </c>
      <c r="BD50" s="64" t="n">
        <f aca="false">IF(AT50=0,"—",AY50/AV50-1)</f>
        <v>-0.251442953788491</v>
      </c>
      <c r="BE50" s="59" t="n">
        <f aca="false">COUNTIFS(Offers!$B$7:$B$3000,$B50,Offers!$C$7:$C$3000,"Hungary",Offers!$AI$7:$AI$3000,"yes")</f>
        <v>0</v>
      </c>
      <c r="BF50" s="60" t="str">
        <f aca="false">IF(BE50=0,"—",SUMIFS(Review!$I$7:$I$600,Review!$B$7:$B$600,$B50,Review!$C$7:$C$600,"Hungary"))</f>
        <v>—</v>
      </c>
      <c r="BG50" s="60" t="str">
        <f aca="false">IF(BE50=0,"—",SUMIFS(Review!$J$7:$J$600,Review!$B$7:$B$600,$B50,Review!$C$7:$C$600,"Hungary"))</f>
        <v>—</v>
      </c>
      <c r="BH50" s="60" t="str">
        <f aca="false">IF(BE50=0,"—",SUMIFS(Review!$K$7:$K$600,Review!$B$7:$B$600,$B50,Review!$C$7:$C$600,"Hungary"))</f>
        <v>—</v>
      </c>
      <c r="BI50" s="61" t="str">
        <f aca="false">IF(BE50=0,"—",IF(BF50&lt;BG50*(1-$C$7),"median (cheapest is an outlier)",IF(BF50*(1-$C$6)&lt;BG50*(1-$C$5),"undercut cheapest","median")))</f>
        <v>—</v>
      </c>
      <c r="BJ50" s="62" t="str">
        <f aca="false">IF(BE50=0,"—",IF(AND(ISNUMBER($D50),$D50*(1+$C$10)&gt;FLOOR(IF(BF50&lt;BG50*(1-$C$7),BG50*(1-$C$5-IF(BE50&lt;3,$C$8,0)),MIN(BG50*(1-$C$5-IF(BE50&lt;3,$C$8,0)),BF50*(1-$C$6-IF(BE50&lt;3,$C$8,0)))),IF(IF(BF50&lt;BG50*(1-$C$7),BG50*(1-$C$5-IF(BE50&lt;3,$C$8,0)),MIN(BG50*(1-$C$5-IF(BE50&lt;3,$C$8,0)),BF50*(1-$C$6-IF(BE50&lt;3,$C$8,0))))&lt;10,$C$9,IF(IF(BF50&lt;BG50*(1-$C$7),BG50*(1-$C$5-IF(BE50&lt;3,$C$8,0)),MIN(BG50*(1-$C$5-IF(BE50&lt;3,$C$8,0)),BF50*(1-$C$6-IF(BE50&lt;3,$C$8,0))))&lt;100,$D$9,$E$9)))),ROUND($D50*(1+$C$10),2),FLOOR(IF(BF50&lt;BG50*(1-$C$7),BG50*(1-$C$5-IF(BE50&lt;3,$C$8,0)),MIN(BG50*(1-$C$5-IF(BE50&lt;3,$C$8,0)),BF50*(1-$C$6-IF(BE50&lt;3,$C$8,0)))),IF(IF(BF50&lt;BG50*(1-$C$7),BG50*(1-$C$5-IF(BE50&lt;3,$C$8,0)),MIN(BG50*(1-$C$5-IF(BE50&lt;3,$C$8,0)),BF50*(1-$C$6-IF(BE50&lt;3,$C$8,0))))&lt;10,$C$9,IF(IF(BF50&lt;BG50*(1-$C$7),BG50*(1-$C$5-IF(BE50&lt;3,$C$8,0)),MIN(BG50*(1-$C$5-IF(BE50&lt;3,$C$8,0)),BF50*(1-$C$6-IF(BE50&lt;3,$C$8,0))))&lt;100,$D$9,$E$9)))))</f>
        <v>—</v>
      </c>
      <c r="BK50" s="65" t="str">
        <f aca="false">IF(BE50=0,"—",FLOOR(BJ50*Sources!$G$8,10))</f>
        <v>—</v>
      </c>
      <c r="BL50" s="60" t="str">
        <f aca="false">IF(ISNUMBER($D50),$D50,"n/a")</f>
        <v>n/a</v>
      </c>
      <c r="BM50" s="63" t="str">
        <f aca="false">IF(OR(BE50=0,NOT(ISNUMBER($D50))),"—",BJ50/$D50-1)</f>
        <v>—</v>
      </c>
      <c r="BN50" s="64" t="str">
        <f aca="false">IF(BE50=0,"—",BJ50/BF50-1)</f>
        <v>—</v>
      </c>
      <c r="BO50" s="64" t="str">
        <f aca="false">IF(BE50=0,"—",BJ50/BG50-1)</f>
        <v>—</v>
      </c>
    </row>
    <row r="51" customFormat="false" ht="15" hidden="false" customHeight="true" outlineLevel="0" collapsed="false">
      <c r="B51" s="1" t="s">
        <v>67</v>
      </c>
      <c r="C51" s="1" t="s">
        <v>176</v>
      </c>
      <c r="D51" s="58"/>
      <c r="E51" s="59" t="n">
        <f aca="false">COUNTIFS(Offers!$B$7:$B$3000,$B51,Offers!$C$7:$C$3000,"Austria",Offers!$AI$7:$AI$3000,"yes")</f>
        <v>7</v>
      </c>
      <c r="F51" s="60" t="n">
        <f aca="false">IF(E51=0,"—",SUMIFS(Review!$I$7:$I$600,Review!$B$7:$B$600,$B51,Review!$C$7:$C$600,"Austria"))</f>
        <v>13.17</v>
      </c>
      <c r="G51" s="60" t="n">
        <f aca="false">IF(E51=0,"—",SUMIFS(Review!$J$7:$J$600,Review!$B$7:$B$600,$B51,Review!$C$7:$C$600,"Austria"))</f>
        <v>25.9</v>
      </c>
      <c r="H51" s="60" t="n">
        <f aca="false">IF(E51=0,"—",SUMIFS(Review!$K$7:$K$600,Review!$B$7:$B$600,$B51,Review!$C$7:$C$600,"Austria"))</f>
        <v>42</v>
      </c>
      <c r="I51" s="61" t="str">
        <f aca="false">IF(E51=0,"—",IF(F51&lt;G51*(1-$C$7),"median (cheapest is an outlier)",IF(F51*(1-$C$6)&lt;G51*(1-$C$5),"undercut cheapest","median")))</f>
        <v>median (cheapest is an outlier)</v>
      </c>
      <c r="J51" s="62" t="n">
        <f aca="false">IF(E51=0,"—",IF(AND(ISNUMBER($D51),$D51*(1+$C$10)&gt;FLOOR(IF(F51&lt;G51*(1-$C$7),G51*(1-$C$5-IF(E51&lt;3,$C$8,0)),MIN(G51*(1-$C$5-IF(E51&lt;3,$C$8,0)),F51*(1-$C$6-IF(E51&lt;3,$C$8,0)))),IF(IF(F51&lt;G51*(1-$C$7),G51*(1-$C$5-IF(E51&lt;3,$C$8,0)),MIN(G51*(1-$C$5-IF(E51&lt;3,$C$8,0)),F51*(1-$C$6-IF(E51&lt;3,$C$8,0))))&lt;10,$C$9,IF(IF(F51&lt;G51*(1-$C$7),G51*(1-$C$5-IF(E51&lt;3,$C$8,0)),MIN(G51*(1-$C$5-IF(E51&lt;3,$C$8,0)),F51*(1-$C$6-IF(E51&lt;3,$C$8,0))))&lt;100,$D$9,$E$9)))),ROUND($D51*(1+$C$10),2),FLOOR(IF(F51&lt;G51*(1-$C$7),G51*(1-$C$5-IF(E51&lt;3,$C$8,0)),MIN(G51*(1-$C$5-IF(E51&lt;3,$C$8,0)),F51*(1-$C$6-IF(E51&lt;3,$C$8,0)))),IF(IF(F51&lt;G51*(1-$C$7),G51*(1-$C$5-IF(E51&lt;3,$C$8,0)),MIN(G51*(1-$C$5-IF(E51&lt;3,$C$8,0)),F51*(1-$C$6-IF(E51&lt;3,$C$8,0))))&lt;10,$C$9,IF(IF(F51&lt;G51*(1-$C$7),G51*(1-$C$5-IF(E51&lt;3,$C$8,0)),MIN(G51*(1-$C$5-IF(E51&lt;3,$C$8,0)),F51*(1-$C$6-IF(E51&lt;3,$C$8,0))))&lt;100,$D$9,$E$9)))))</f>
        <v>19.4</v>
      </c>
      <c r="K51" s="60" t="str">
        <f aca="false">IF(ISNUMBER($D51),$D51,"n/a")</f>
        <v>n/a</v>
      </c>
      <c r="L51" s="63" t="str">
        <f aca="false">IF(OR(E51=0,NOT(ISNUMBER($D51))),"—",J51/$D51-1)</f>
        <v>—</v>
      </c>
      <c r="M51" s="64" t="n">
        <f aca="false">IF(E51=0,"—",J51/F51-1)</f>
        <v>0.473044798785118</v>
      </c>
      <c r="N51" s="64" t="n">
        <f aca="false">IF(E51=0,"—",J51/G51-1)</f>
        <v>-0.250965250965251</v>
      </c>
      <c r="O51" s="59" t="n">
        <f aca="false">COUNTIFS(Offers!$B$7:$B$3000,$B51,Offers!$C$7:$C$3000,"Germany",Offers!$AI$7:$AI$3000,"yes")</f>
        <v>7</v>
      </c>
      <c r="P51" s="60" t="n">
        <f aca="false">IF(O51=0,"—",SUMIFS(Review!$I$7:$I$600,Review!$B$7:$B$600,$B51,Review!$C$7:$C$600,"Germany"))</f>
        <v>14.45</v>
      </c>
      <c r="Q51" s="60" t="n">
        <f aca="false">IF(O51=0,"—",SUMIFS(Review!$J$7:$J$600,Review!$B$7:$B$600,$B51,Review!$C$7:$C$600,"Germany"))</f>
        <v>22.43</v>
      </c>
      <c r="R51" s="60" t="n">
        <f aca="false">IF(O51=0,"—",SUMIFS(Review!$K$7:$K$600,Review!$B$7:$B$600,$B51,Review!$C$7:$C$600,"Germany"))</f>
        <v>42</v>
      </c>
      <c r="S51" s="61" t="str">
        <f aca="false">IF(O51=0,"—",IF(P51&lt;Q51*(1-$C$7),"median (cheapest is an outlier)",IF(P51*(1-$C$6)&lt;Q51*(1-$C$5),"undercut cheapest","median")))</f>
        <v>median (cheapest is an outlier)</v>
      </c>
      <c r="T51" s="62" t="n">
        <f aca="false">IF(O51=0,"—",IF(AND(ISNUMBER($D51),$D51*(1+$C$10)&gt;FLOOR(IF(P51&lt;Q51*(1-$C$7),Q51*(1-$C$5-IF(O51&lt;3,$C$8,0)),MIN(Q51*(1-$C$5-IF(O51&lt;3,$C$8,0)),P51*(1-$C$6-IF(O51&lt;3,$C$8,0)))),IF(IF(P51&lt;Q51*(1-$C$7),Q51*(1-$C$5-IF(O51&lt;3,$C$8,0)),MIN(Q51*(1-$C$5-IF(O51&lt;3,$C$8,0)),P51*(1-$C$6-IF(O51&lt;3,$C$8,0))))&lt;10,$C$9,IF(IF(P51&lt;Q51*(1-$C$7),Q51*(1-$C$5-IF(O51&lt;3,$C$8,0)),MIN(Q51*(1-$C$5-IF(O51&lt;3,$C$8,0)),P51*(1-$C$6-IF(O51&lt;3,$C$8,0))))&lt;100,$D$9,$E$9)))),ROUND($D51*(1+$C$10),2),FLOOR(IF(P51&lt;Q51*(1-$C$7),Q51*(1-$C$5-IF(O51&lt;3,$C$8,0)),MIN(Q51*(1-$C$5-IF(O51&lt;3,$C$8,0)),P51*(1-$C$6-IF(O51&lt;3,$C$8,0)))),IF(IF(P51&lt;Q51*(1-$C$7),Q51*(1-$C$5-IF(O51&lt;3,$C$8,0)),MIN(Q51*(1-$C$5-IF(O51&lt;3,$C$8,0)),P51*(1-$C$6-IF(O51&lt;3,$C$8,0))))&lt;10,$C$9,IF(IF(P51&lt;Q51*(1-$C$7),Q51*(1-$C$5-IF(O51&lt;3,$C$8,0)),MIN(Q51*(1-$C$5-IF(O51&lt;3,$C$8,0)),P51*(1-$C$6-IF(O51&lt;3,$C$8,0))))&lt;100,$D$9,$E$9)))))</f>
        <v>16.8</v>
      </c>
      <c r="U51" s="60" t="str">
        <f aca="false">IF(ISNUMBER($D51),$D51,"n/a")</f>
        <v>n/a</v>
      </c>
      <c r="V51" s="63" t="str">
        <f aca="false">IF(OR(O51=0,NOT(ISNUMBER($D51))),"—",T51/$D51-1)</f>
        <v>—</v>
      </c>
      <c r="W51" s="64" t="n">
        <f aca="false">IF(O51=0,"—",T51/P51-1)</f>
        <v>0.162629757785467</v>
      </c>
      <c r="X51" s="64" t="n">
        <f aca="false">IF(O51=0,"—",T51/Q51-1)</f>
        <v>-0.25100312082033</v>
      </c>
      <c r="Y51" s="59" t="n">
        <f aca="false">COUNTIFS(Offers!$B$7:$B$3000,$B51,Offers!$C$7:$C$3000,"Czech",Offers!$AI$7:$AI$3000,"yes")</f>
        <v>5</v>
      </c>
      <c r="Z51" s="60" t="n">
        <f aca="false">IF(Y51=0,"—",SUMIFS(Review!$I$7:$I$600,Review!$B$7:$B$600,$B51,Review!$C$7:$C$600,"Czech"))</f>
        <v>13.907441</v>
      </c>
      <c r="AA51" s="60" t="n">
        <f aca="false">IF(Y51=0,"—",SUMIFS(Review!$J$7:$J$600,Review!$B$7:$B$600,$B51,Review!$C$7:$C$600,"Czech"))</f>
        <v>18.506678</v>
      </c>
      <c r="AB51" s="60" t="n">
        <f aca="false">IF(Y51=0,"—",SUMIFS(Review!$K$7:$K$600,Review!$B$7:$B$600,$B51,Review!$C$7:$C$600,"Czech"))</f>
        <v>33.492174</v>
      </c>
      <c r="AC51" s="61" t="str">
        <f aca="false">IF(Y51=0,"—",IF(Z51&lt;AA51*(1-$C$7),"median (cheapest is an outlier)",IF(Z51*(1-$C$6)&lt;AA51*(1-$C$5),"undercut cheapest","median")))</f>
        <v>undercut cheapest</v>
      </c>
      <c r="AD51" s="62" t="n">
        <f aca="false">IF(Y51=0,"—",IF(AND(ISNUMBER($D51),$D51*(1+$C$10)&gt;FLOOR(IF(Z51&lt;AA51*(1-$C$7),AA51*(1-$C$5-IF(Y51&lt;3,$C$8,0)),MIN(AA51*(1-$C$5-IF(Y51&lt;3,$C$8,0)),Z51*(1-$C$6-IF(Y51&lt;3,$C$8,0)))),IF(IF(Z51&lt;AA51*(1-$C$7),AA51*(1-$C$5-IF(Y51&lt;3,$C$8,0)),MIN(AA51*(1-$C$5-IF(Y51&lt;3,$C$8,0)),Z51*(1-$C$6-IF(Y51&lt;3,$C$8,0))))&lt;10,$C$9,IF(IF(Z51&lt;AA51*(1-$C$7),AA51*(1-$C$5-IF(Y51&lt;3,$C$8,0)),MIN(AA51*(1-$C$5-IF(Y51&lt;3,$C$8,0)),Z51*(1-$C$6-IF(Y51&lt;3,$C$8,0))))&lt;100,$D$9,$E$9)))),ROUND($D51*(1+$C$10),2),FLOOR(IF(Z51&lt;AA51*(1-$C$7),AA51*(1-$C$5-IF(Y51&lt;3,$C$8,0)),MIN(AA51*(1-$C$5-IF(Y51&lt;3,$C$8,0)),Z51*(1-$C$6-IF(Y51&lt;3,$C$8,0)))),IF(IF(Z51&lt;AA51*(1-$C$7),AA51*(1-$C$5-IF(Y51&lt;3,$C$8,0)),MIN(AA51*(1-$C$5-IF(Y51&lt;3,$C$8,0)),Z51*(1-$C$6-IF(Y51&lt;3,$C$8,0))))&lt;10,$C$9,IF(IF(Z51&lt;AA51*(1-$C$7),AA51*(1-$C$5-IF(Y51&lt;3,$C$8,0)),MIN(AA51*(1-$C$5-IF(Y51&lt;3,$C$8,0)),Z51*(1-$C$6-IF(Y51&lt;3,$C$8,0))))&lt;100,$D$9,$E$9)))))</f>
        <v>13.2</v>
      </c>
      <c r="AE51" s="65" t="n">
        <f aca="false">IF(Y51=0,"—",FLOOR(AD51*Sources!$G$10,1))</f>
        <v>322</v>
      </c>
      <c r="AF51" s="60" t="str">
        <f aca="false">IF(ISNUMBER($D51),$D51,"n/a")</f>
        <v>n/a</v>
      </c>
      <c r="AG51" s="63" t="str">
        <f aca="false">IF(OR(Y51=0,NOT(ISNUMBER($D51))),"—",AD51/$D51-1)</f>
        <v>—</v>
      </c>
      <c r="AH51" s="64" t="n">
        <f aca="false">IF(Y51=0,"—",AD51/Z51-1)</f>
        <v>-0.0508678052274318</v>
      </c>
      <c r="AI51" s="64" t="n">
        <f aca="false">IF(Y51=0,"—",AD51/AA51-1)</f>
        <v>-0.286743952642392</v>
      </c>
      <c r="AJ51" s="59" t="n">
        <f aca="false">COUNTIFS(Offers!$B$7:$B$3000,$B51,Offers!$C$7:$C$3000,"Slovakia",Offers!$AI$7:$AI$3000,"yes")</f>
        <v>5</v>
      </c>
      <c r="AK51" s="60" t="n">
        <f aca="false">IF(AJ51=0,"—",SUMIFS(Review!$I$7:$I$600,Review!$B$7:$B$600,$B51,Review!$C$7:$C$600,"Slovakia"))</f>
        <v>14.17</v>
      </c>
      <c r="AL51" s="60" t="n">
        <f aca="false">IF(AJ51=0,"—",SUMIFS(Review!$J$7:$J$600,Review!$B$7:$B$600,$B51,Review!$C$7:$C$600,"Slovakia"))</f>
        <v>17.96</v>
      </c>
      <c r="AM51" s="60" t="n">
        <f aca="false">IF(AJ51=0,"—",SUMIFS(Review!$K$7:$K$600,Review!$B$7:$B$600,$B51,Review!$C$7:$C$600,"Slovakia"))</f>
        <v>35.63</v>
      </c>
      <c r="AN51" s="61" t="str">
        <f aca="false">IF(AJ51=0,"—",IF(AK51&lt;AL51*(1-$C$7),"median (cheapest is an outlier)",IF(AK51*(1-$C$6)&lt;AL51*(1-$C$5),"undercut cheapest","median")))</f>
        <v>undercut cheapest</v>
      </c>
      <c r="AO51" s="62" t="n">
        <f aca="false">IF(AJ51=0,"—",IF(AND(ISNUMBER($D51),$D51*(1+$C$10)&gt;FLOOR(IF(AK51&lt;AL51*(1-$C$7),AL51*(1-$C$5-IF(AJ51&lt;3,$C$8,0)),MIN(AL51*(1-$C$5-IF(AJ51&lt;3,$C$8,0)),AK51*(1-$C$6-IF(AJ51&lt;3,$C$8,0)))),IF(IF(AK51&lt;AL51*(1-$C$7),AL51*(1-$C$5-IF(AJ51&lt;3,$C$8,0)),MIN(AL51*(1-$C$5-IF(AJ51&lt;3,$C$8,0)),AK51*(1-$C$6-IF(AJ51&lt;3,$C$8,0))))&lt;10,$C$9,IF(IF(AK51&lt;AL51*(1-$C$7),AL51*(1-$C$5-IF(AJ51&lt;3,$C$8,0)),MIN(AL51*(1-$C$5-IF(AJ51&lt;3,$C$8,0)),AK51*(1-$C$6-IF(AJ51&lt;3,$C$8,0))))&lt;100,$D$9,$E$9)))),ROUND($D51*(1+$C$10),2),FLOOR(IF(AK51&lt;AL51*(1-$C$7),AL51*(1-$C$5-IF(AJ51&lt;3,$C$8,0)),MIN(AL51*(1-$C$5-IF(AJ51&lt;3,$C$8,0)),AK51*(1-$C$6-IF(AJ51&lt;3,$C$8,0)))),IF(IF(AK51&lt;AL51*(1-$C$7),AL51*(1-$C$5-IF(AJ51&lt;3,$C$8,0)),MIN(AL51*(1-$C$5-IF(AJ51&lt;3,$C$8,0)),AK51*(1-$C$6-IF(AJ51&lt;3,$C$8,0))))&lt;10,$C$9,IF(IF(AK51&lt;AL51*(1-$C$7),AL51*(1-$C$5-IF(AJ51&lt;3,$C$8,0)),MIN(AL51*(1-$C$5-IF(AJ51&lt;3,$C$8,0)),AK51*(1-$C$6-IF(AJ51&lt;3,$C$8,0))))&lt;100,$D$9,$E$9)))))</f>
        <v>13.4</v>
      </c>
      <c r="AP51" s="60" t="str">
        <f aca="false">IF(ISNUMBER($D51),$D51,"n/a")</f>
        <v>n/a</v>
      </c>
      <c r="AQ51" s="63" t="str">
        <f aca="false">IF(OR(AJ51=0,NOT(ISNUMBER($D51))),"—",AO51/$D51-1)</f>
        <v>—</v>
      </c>
      <c r="AR51" s="64" t="n">
        <f aca="false">IF(AJ51=0,"—",AO51/AK51-1)</f>
        <v>-0.0543401552575864</v>
      </c>
      <c r="AS51" s="64" t="n">
        <f aca="false">IF(AJ51=0,"—",AO51/AL51-1)</f>
        <v>-0.253897550111359</v>
      </c>
      <c r="AT51" s="59" t="n">
        <f aca="false">COUNTIFS(Offers!$B$7:$B$3000,$B51,Offers!$C$7:$C$3000,"Romania",Offers!$AI$7:$AI$3000,"yes")</f>
        <v>5</v>
      </c>
      <c r="AU51" s="60" t="n">
        <f aca="false">IF(AT51=0,"—",SUMIFS(Review!$I$7:$I$600,Review!$B$7:$B$600,$B51,Review!$C$7:$C$600,"Romania"))</f>
        <v>12.833384</v>
      </c>
      <c r="AV51" s="60" t="n">
        <f aca="false">IF(AT51=0,"—",SUMIFS(Review!$J$7:$J$600,Review!$B$7:$B$600,$B51,Review!$C$7:$C$600,"Romania"))</f>
        <v>20.050622</v>
      </c>
      <c r="AW51" s="60" t="n">
        <f aca="false">IF(AT51=0,"—",SUMIFS(Review!$K$7:$K$600,Review!$B$7:$B$600,$B51,Review!$C$7:$C$600,"Romania"))</f>
        <v>34.157302</v>
      </c>
      <c r="AX51" s="61" t="str">
        <f aca="false">IF(AT51=0,"—",IF(AU51&lt;AV51*(1-$C$7),"median (cheapest is an outlier)",IF(AU51*(1-$C$6)&lt;AV51*(1-$C$5),"undercut cheapest","median")))</f>
        <v>median (cheapest is an outlier)</v>
      </c>
      <c r="AY51" s="62" t="n">
        <f aca="false">IF(AT51=0,"—",IF(AND(ISNUMBER($D51),$D51*(1+$C$10)&gt;FLOOR(IF(AU51&lt;AV51*(1-$C$7),AV51*(1-$C$5-IF(AT51&lt;3,$C$8,0)),MIN(AV51*(1-$C$5-IF(AT51&lt;3,$C$8,0)),AU51*(1-$C$6-IF(AT51&lt;3,$C$8,0)))),IF(IF(AU51&lt;AV51*(1-$C$7),AV51*(1-$C$5-IF(AT51&lt;3,$C$8,0)),MIN(AV51*(1-$C$5-IF(AT51&lt;3,$C$8,0)),AU51*(1-$C$6-IF(AT51&lt;3,$C$8,0))))&lt;10,$C$9,IF(IF(AU51&lt;AV51*(1-$C$7),AV51*(1-$C$5-IF(AT51&lt;3,$C$8,0)),MIN(AV51*(1-$C$5-IF(AT51&lt;3,$C$8,0)),AU51*(1-$C$6-IF(AT51&lt;3,$C$8,0))))&lt;100,$D$9,$E$9)))),ROUND($D51*(1+$C$10),2),FLOOR(IF(AU51&lt;AV51*(1-$C$7),AV51*(1-$C$5-IF(AT51&lt;3,$C$8,0)),MIN(AV51*(1-$C$5-IF(AT51&lt;3,$C$8,0)),AU51*(1-$C$6-IF(AT51&lt;3,$C$8,0)))),IF(IF(AU51&lt;AV51*(1-$C$7),AV51*(1-$C$5-IF(AT51&lt;3,$C$8,0)),MIN(AV51*(1-$C$5-IF(AT51&lt;3,$C$8,0)),AU51*(1-$C$6-IF(AT51&lt;3,$C$8,0))))&lt;10,$C$9,IF(IF(AU51&lt;AV51*(1-$C$7),AV51*(1-$C$5-IF(AT51&lt;3,$C$8,0)),MIN(AV51*(1-$C$5-IF(AT51&lt;3,$C$8,0)),AU51*(1-$C$6-IF(AT51&lt;3,$C$8,0))))&lt;100,$D$9,$E$9)))))</f>
        <v>15</v>
      </c>
      <c r="AZ51" s="62" t="n">
        <f aca="false">IF(AT51=0,"—",FLOOR(AY51*Sources!$G$9,0.1))</f>
        <v>79.1</v>
      </c>
      <c r="BA51" s="60" t="str">
        <f aca="false">IF(ISNUMBER($D51),$D51,"n/a")</f>
        <v>n/a</v>
      </c>
      <c r="BB51" s="63" t="str">
        <f aca="false">IF(OR(AT51=0,NOT(ISNUMBER($D51))),"—",AY51/$D51-1)</f>
        <v>—</v>
      </c>
      <c r="BC51" s="64" t="n">
        <f aca="false">IF(AT51=0,"—",AY51/AU51-1)</f>
        <v>0.168826554243214</v>
      </c>
      <c r="BD51" s="64" t="n">
        <f aca="false">IF(AT51=0,"—",AY51/AV51-1)</f>
        <v>-0.251893532280445</v>
      </c>
      <c r="BE51" s="59" t="n">
        <f aca="false">COUNTIFS(Offers!$B$7:$B$3000,$B51,Offers!$C$7:$C$3000,"Hungary",Offers!$AI$7:$AI$3000,"yes")</f>
        <v>0</v>
      </c>
      <c r="BF51" s="60" t="str">
        <f aca="false">IF(BE51=0,"—",SUMIFS(Review!$I$7:$I$600,Review!$B$7:$B$600,$B51,Review!$C$7:$C$600,"Hungary"))</f>
        <v>—</v>
      </c>
      <c r="BG51" s="60" t="str">
        <f aca="false">IF(BE51=0,"—",SUMIFS(Review!$J$7:$J$600,Review!$B$7:$B$600,$B51,Review!$C$7:$C$600,"Hungary"))</f>
        <v>—</v>
      </c>
      <c r="BH51" s="60" t="str">
        <f aca="false">IF(BE51=0,"—",SUMIFS(Review!$K$7:$K$600,Review!$B$7:$B$600,$B51,Review!$C$7:$C$600,"Hungary"))</f>
        <v>—</v>
      </c>
      <c r="BI51" s="61" t="str">
        <f aca="false">IF(BE51=0,"—",IF(BF51&lt;BG51*(1-$C$7),"median (cheapest is an outlier)",IF(BF51*(1-$C$6)&lt;BG51*(1-$C$5),"undercut cheapest","median")))</f>
        <v>—</v>
      </c>
      <c r="BJ51" s="62" t="str">
        <f aca="false">IF(BE51=0,"—",IF(AND(ISNUMBER($D51),$D51*(1+$C$10)&gt;FLOOR(IF(BF51&lt;BG51*(1-$C$7),BG51*(1-$C$5-IF(BE51&lt;3,$C$8,0)),MIN(BG51*(1-$C$5-IF(BE51&lt;3,$C$8,0)),BF51*(1-$C$6-IF(BE51&lt;3,$C$8,0)))),IF(IF(BF51&lt;BG51*(1-$C$7),BG51*(1-$C$5-IF(BE51&lt;3,$C$8,0)),MIN(BG51*(1-$C$5-IF(BE51&lt;3,$C$8,0)),BF51*(1-$C$6-IF(BE51&lt;3,$C$8,0))))&lt;10,$C$9,IF(IF(BF51&lt;BG51*(1-$C$7),BG51*(1-$C$5-IF(BE51&lt;3,$C$8,0)),MIN(BG51*(1-$C$5-IF(BE51&lt;3,$C$8,0)),BF51*(1-$C$6-IF(BE51&lt;3,$C$8,0))))&lt;100,$D$9,$E$9)))),ROUND($D51*(1+$C$10),2),FLOOR(IF(BF51&lt;BG51*(1-$C$7),BG51*(1-$C$5-IF(BE51&lt;3,$C$8,0)),MIN(BG51*(1-$C$5-IF(BE51&lt;3,$C$8,0)),BF51*(1-$C$6-IF(BE51&lt;3,$C$8,0)))),IF(IF(BF51&lt;BG51*(1-$C$7),BG51*(1-$C$5-IF(BE51&lt;3,$C$8,0)),MIN(BG51*(1-$C$5-IF(BE51&lt;3,$C$8,0)),BF51*(1-$C$6-IF(BE51&lt;3,$C$8,0))))&lt;10,$C$9,IF(IF(BF51&lt;BG51*(1-$C$7),BG51*(1-$C$5-IF(BE51&lt;3,$C$8,0)),MIN(BG51*(1-$C$5-IF(BE51&lt;3,$C$8,0)),BF51*(1-$C$6-IF(BE51&lt;3,$C$8,0))))&lt;100,$D$9,$E$9)))))</f>
        <v>—</v>
      </c>
      <c r="BK51" s="65" t="str">
        <f aca="false">IF(BE51=0,"—",FLOOR(BJ51*Sources!$G$8,10))</f>
        <v>—</v>
      </c>
      <c r="BL51" s="60" t="str">
        <f aca="false">IF(ISNUMBER($D51),$D51,"n/a")</f>
        <v>n/a</v>
      </c>
      <c r="BM51" s="63" t="str">
        <f aca="false">IF(OR(BE51=0,NOT(ISNUMBER($D51))),"—",BJ51/$D51-1)</f>
        <v>—</v>
      </c>
      <c r="BN51" s="64" t="str">
        <f aca="false">IF(BE51=0,"—",BJ51/BF51-1)</f>
        <v>—</v>
      </c>
      <c r="BO51" s="64" t="str">
        <f aca="false">IF(BE51=0,"—",BJ51/BG51-1)</f>
        <v>—</v>
      </c>
    </row>
    <row r="52" customFormat="false" ht="31.5" hidden="false" customHeight="true" outlineLevel="0" collapsed="false">
      <c r="B52" s="1" t="s">
        <v>68</v>
      </c>
      <c r="C52" s="1" t="s">
        <v>177</v>
      </c>
      <c r="D52" s="58"/>
      <c r="E52" s="59" t="n">
        <f aca="false">COUNTIFS(Offers!$B$7:$B$3000,$B52,Offers!$C$7:$C$3000,"Austria",Offers!$AI$7:$AI$3000,"yes")</f>
        <v>7</v>
      </c>
      <c r="F52" s="60" t="n">
        <f aca="false">IF(E52=0,"—",SUMIFS(Review!$I$7:$I$600,Review!$B$7:$B$600,$B52,Review!$C$7:$C$600,"Austria"))</f>
        <v>2.4</v>
      </c>
      <c r="G52" s="60" t="n">
        <f aca="false">IF(E52=0,"—",SUMIFS(Review!$J$7:$J$600,Review!$B$7:$B$600,$B52,Review!$C$7:$C$600,"Austria"))</f>
        <v>7.1</v>
      </c>
      <c r="H52" s="60" t="n">
        <f aca="false">IF(E52=0,"—",SUMIFS(Review!$K$7:$K$600,Review!$B$7:$B$600,$B52,Review!$C$7:$C$600,"Austria"))</f>
        <v>16</v>
      </c>
      <c r="I52" s="61" t="str">
        <f aca="false">IF(E52=0,"—",IF(F52&lt;G52*(1-$C$7),"median (cheapest is an outlier)",IF(F52*(1-$C$6)&lt;G52*(1-$C$5),"undercut cheapest","median")))</f>
        <v>median (cheapest is an outlier)</v>
      </c>
      <c r="J52" s="62" t="n">
        <f aca="false">IF(E52=0,"—",IF(AND(ISNUMBER($D52),$D52*(1+$C$10)&gt;FLOOR(IF(F52&lt;G52*(1-$C$7),G52*(1-$C$5-IF(E52&lt;3,$C$8,0)),MIN(G52*(1-$C$5-IF(E52&lt;3,$C$8,0)),F52*(1-$C$6-IF(E52&lt;3,$C$8,0)))),IF(IF(F52&lt;G52*(1-$C$7),G52*(1-$C$5-IF(E52&lt;3,$C$8,0)),MIN(G52*(1-$C$5-IF(E52&lt;3,$C$8,0)),F52*(1-$C$6-IF(E52&lt;3,$C$8,0))))&lt;10,$C$9,IF(IF(F52&lt;G52*(1-$C$7),G52*(1-$C$5-IF(E52&lt;3,$C$8,0)),MIN(G52*(1-$C$5-IF(E52&lt;3,$C$8,0)),F52*(1-$C$6-IF(E52&lt;3,$C$8,0))))&lt;100,$D$9,$E$9)))),ROUND($D52*(1+$C$10),2),FLOOR(IF(F52&lt;G52*(1-$C$7),G52*(1-$C$5-IF(E52&lt;3,$C$8,0)),MIN(G52*(1-$C$5-IF(E52&lt;3,$C$8,0)),F52*(1-$C$6-IF(E52&lt;3,$C$8,0)))),IF(IF(F52&lt;G52*(1-$C$7),G52*(1-$C$5-IF(E52&lt;3,$C$8,0)),MIN(G52*(1-$C$5-IF(E52&lt;3,$C$8,0)),F52*(1-$C$6-IF(E52&lt;3,$C$8,0))))&lt;10,$C$9,IF(IF(F52&lt;G52*(1-$C$7),G52*(1-$C$5-IF(E52&lt;3,$C$8,0)),MIN(G52*(1-$C$5-IF(E52&lt;3,$C$8,0)),F52*(1-$C$6-IF(E52&lt;3,$C$8,0))))&lt;100,$D$9,$E$9)))))</f>
        <v>5.3</v>
      </c>
      <c r="K52" s="60" t="str">
        <f aca="false">IF(ISNUMBER($D52),$D52,"n/a")</f>
        <v>n/a</v>
      </c>
      <c r="L52" s="63" t="str">
        <f aca="false">IF(OR(E52=0,NOT(ISNUMBER($D52))),"—",J52/$D52-1)</f>
        <v>—</v>
      </c>
      <c r="M52" s="64" t="n">
        <f aca="false">IF(E52=0,"—",J52/F52-1)</f>
        <v>1.20833333333333</v>
      </c>
      <c r="N52" s="64" t="n">
        <f aca="false">IF(E52=0,"—",J52/G52-1)</f>
        <v>-0.253521126760563</v>
      </c>
      <c r="O52" s="59" t="n">
        <f aca="false">COUNTIFS(Offers!$B$7:$B$3000,$B52,Offers!$C$7:$C$3000,"Germany",Offers!$AI$7:$AI$3000,"yes")</f>
        <v>7</v>
      </c>
      <c r="P52" s="60" t="n">
        <f aca="false">IF(O52=0,"—",SUMIFS(Review!$I$7:$I$600,Review!$B$7:$B$600,$B52,Review!$C$7:$C$600,"Germany"))</f>
        <v>2.4</v>
      </c>
      <c r="Q52" s="60" t="n">
        <f aca="false">IF(O52=0,"—",SUMIFS(Review!$J$7:$J$600,Review!$B$7:$B$600,$B52,Review!$C$7:$C$600,"Germany"))</f>
        <v>6.16</v>
      </c>
      <c r="R52" s="60" t="n">
        <f aca="false">IF(O52=0,"—",SUMIFS(Review!$K$7:$K$600,Review!$B$7:$B$600,$B52,Review!$C$7:$C$600,"Germany"))</f>
        <v>16</v>
      </c>
      <c r="S52" s="61" t="str">
        <f aca="false">IF(O52=0,"—",IF(P52&lt;Q52*(1-$C$7),"median (cheapest is an outlier)",IF(P52*(1-$C$6)&lt;Q52*(1-$C$5),"undercut cheapest","median")))</f>
        <v>median (cheapest is an outlier)</v>
      </c>
      <c r="T52" s="62" t="n">
        <f aca="false">IF(O52=0,"—",IF(AND(ISNUMBER($D52),$D52*(1+$C$10)&gt;FLOOR(IF(P52&lt;Q52*(1-$C$7),Q52*(1-$C$5-IF(O52&lt;3,$C$8,0)),MIN(Q52*(1-$C$5-IF(O52&lt;3,$C$8,0)),P52*(1-$C$6-IF(O52&lt;3,$C$8,0)))),IF(IF(P52&lt;Q52*(1-$C$7),Q52*(1-$C$5-IF(O52&lt;3,$C$8,0)),MIN(Q52*(1-$C$5-IF(O52&lt;3,$C$8,0)),P52*(1-$C$6-IF(O52&lt;3,$C$8,0))))&lt;10,$C$9,IF(IF(P52&lt;Q52*(1-$C$7),Q52*(1-$C$5-IF(O52&lt;3,$C$8,0)),MIN(Q52*(1-$C$5-IF(O52&lt;3,$C$8,0)),P52*(1-$C$6-IF(O52&lt;3,$C$8,0))))&lt;100,$D$9,$E$9)))),ROUND($D52*(1+$C$10),2),FLOOR(IF(P52&lt;Q52*(1-$C$7),Q52*(1-$C$5-IF(O52&lt;3,$C$8,0)),MIN(Q52*(1-$C$5-IF(O52&lt;3,$C$8,0)),P52*(1-$C$6-IF(O52&lt;3,$C$8,0)))),IF(IF(P52&lt;Q52*(1-$C$7),Q52*(1-$C$5-IF(O52&lt;3,$C$8,0)),MIN(Q52*(1-$C$5-IF(O52&lt;3,$C$8,0)),P52*(1-$C$6-IF(O52&lt;3,$C$8,0))))&lt;10,$C$9,IF(IF(P52&lt;Q52*(1-$C$7),Q52*(1-$C$5-IF(O52&lt;3,$C$8,0)),MIN(Q52*(1-$C$5-IF(O52&lt;3,$C$8,0)),P52*(1-$C$6-IF(O52&lt;3,$C$8,0))))&lt;100,$D$9,$E$9)))))</f>
        <v>4.6</v>
      </c>
      <c r="U52" s="60" t="str">
        <f aca="false">IF(ISNUMBER($D52),$D52,"n/a")</f>
        <v>n/a</v>
      </c>
      <c r="V52" s="63" t="str">
        <f aca="false">IF(OR(O52=0,NOT(ISNUMBER($D52))),"—",T52/$D52-1)</f>
        <v>—</v>
      </c>
      <c r="W52" s="64" t="n">
        <f aca="false">IF(O52=0,"—",T52/P52-1)</f>
        <v>0.916666666666667</v>
      </c>
      <c r="X52" s="64" t="n">
        <f aca="false">IF(O52=0,"—",T52/Q52-1)</f>
        <v>-0.253246753246753</v>
      </c>
      <c r="Y52" s="59" t="n">
        <f aca="false">COUNTIFS(Offers!$B$7:$B$3000,$B52,Offers!$C$7:$C$3000,"Czech",Offers!$AI$7:$AI$3000,"yes")</f>
        <v>5</v>
      </c>
      <c r="Z52" s="60" t="n">
        <f aca="false">IF(Y52=0,"—",SUMIFS(Review!$I$7:$I$600,Review!$B$7:$B$600,$B52,Review!$C$7:$C$600,"Czech"))</f>
        <v>4.263496</v>
      </c>
      <c r="AA52" s="60" t="n">
        <f aca="false">IF(Y52=0,"—",SUMIFS(Review!$J$7:$J$600,Review!$B$7:$B$600,$B52,Review!$C$7:$C$600,"Czech"))</f>
        <v>6.510093</v>
      </c>
      <c r="AB52" s="60" t="n">
        <f aca="false">IF(Y52=0,"—",SUMIFS(Review!$K$7:$K$600,Review!$B$7:$B$600,$B52,Review!$C$7:$C$600,"Czech"))</f>
        <v>9.662779</v>
      </c>
      <c r="AC52" s="61" t="str">
        <f aca="false">IF(Y52=0,"—",IF(Z52&lt;AA52*(1-$C$7),"median (cheapest is an outlier)",IF(Z52*(1-$C$6)&lt;AA52*(1-$C$5),"undercut cheapest","median")))</f>
        <v>undercut cheapest</v>
      </c>
      <c r="AD52" s="62" t="n">
        <f aca="false">IF(Y52=0,"—",IF(AND(ISNUMBER($D52),$D52*(1+$C$10)&gt;FLOOR(IF(Z52&lt;AA52*(1-$C$7),AA52*(1-$C$5-IF(Y52&lt;3,$C$8,0)),MIN(AA52*(1-$C$5-IF(Y52&lt;3,$C$8,0)),Z52*(1-$C$6-IF(Y52&lt;3,$C$8,0)))),IF(IF(Z52&lt;AA52*(1-$C$7),AA52*(1-$C$5-IF(Y52&lt;3,$C$8,0)),MIN(AA52*(1-$C$5-IF(Y52&lt;3,$C$8,0)),Z52*(1-$C$6-IF(Y52&lt;3,$C$8,0))))&lt;10,$C$9,IF(IF(Z52&lt;AA52*(1-$C$7),AA52*(1-$C$5-IF(Y52&lt;3,$C$8,0)),MIN(AA52*(1-$C$5-IF(Y52&lt;3,$C$8,0)),Z52*(1-$C$6-IF(Y52&lt;3,$C$8,0))))&lt;100,$D$9,$E$9)))),ROUND($D52*(1+$C$10),2),FLOOR(IF(Z52&lt;AA52*(1-$C$7),AA52*(1-$C$5-IF(Y52&lt;3,$C$8,0)),MIN(AA52*(1-$C$5-IF(Y52&lt;3,$C$8,0)),Z52*(1-$C$6-IF(Y52&lt;3,$C$8,0)))),IF(IF(Z52&lt;AA52*(1-$C$7),AA52*(1-$C$5-IF(Y52&lt;3,$C$8,0)),MIN(AA52*(1-$C$5-IF(Y52&lt;3,$C$8,0)),Z52*(1-$C$6-IF(Y52&lt;3,$C$8,0))))&lt;10,$C$9,IF(IF(Z52&lt;AA52*(1-$C$7),AA52*(1-$C$5-IF(Y52&lt;3,$C$8,0)),MIN(AA52*(1-$C$5-IF(Y52&lt;3,$C$8,0)),Z52*(1-$C$6-IF(Y52&lt;3,$C$8,0))))&lt;100,$D$9,$E$9)))))</f>
        <v>4.05</v>
      </c>
      <c r="AE52" s="65" t="n">
        <f aca="false">IF(Y52=0,"—",FLOOR(AD52*Sources!$G$10,1))</f>
        <v>98</v>
      </c>
      <c r="AF52" s="60" t="str">
        <f aca="false">IF(ISNUMBER($D52),$D52,"n/a")</f>
        <v>n/a</v>
      </c>
      <c r="AG52" s="63" t="str">
        <f aca="false">IF(OR(Y52=0,NOT(ISNUMBER($D52))),"—",AD52/$D52-1)</f>
        <v>—</v>
      </c>
      <c r="AH52" s="64" t="n">
        <f aca="false">IF(Y52=0,"—",AD52/Z52-1)</f>
        <v>-0.0500753372349828</v>
      </c>
      <c r="AI52" s="64" t="n">
        <f aca="false">IF(Y52=0,"—",AD52/AA52-1)</f>
        <v>-0.377889071630774</v>
      </c>
      <c r="AJ52" s="59" t="n">
        <f aca="false">COUNTIFS(Offers!$B$7:$B$3000,$B52,Offers!$C$7:$C$3000,"Slovakia",Offers!$AI$7:$AI$3000,"yes")</f>
        <v>5</v>
      </c>
      <c r="AK52" s="60" t="n">
        <f aca="false">IF(AJ52=0,"—",SUMIFS(Review!$I$7:$I$600,Review!$B$7:$B$600,$B52,Review!$C$7:$C$600,"Slovakia"))</f>
        <v>5.21</v>
      </c>
      <c r="AL52" s="60" t="n">
        <f aca="false">IF(AJ52=0,"—",SUMIFS(Review!$J$7:$J$600,Review!$B$7:$B$600,$B52,Review!$C$7:$C$600,"Slovakia"))</f>
        <v>6.15</v>
      </c>
      <c r="AM52" s="60" t="n">
        <f aca="false">IF(AJ52=0,"—",SUMIFS(Review!$K$7:$K$600,Review!$B$7:$B$600,$B52,Review!$C$7:$C$600,"Slovakia"))</f>
        <v>12.81</v>
      </c>
      <c r="AN52" s="61" t="str">
        <f aca="false">IF(AJ52=0,"—",IF(AK52&lt;AL52*(1-$C$7),"median (cheapest is an outlier)",IF(AK52*(1-$C$6)&lt;AL52*(1-$C$5),"undercut cheapest","median")))</f>
        <v>median</v>
      </c>
      <c r="AO52" s="62" t="n">
        <f aca="false">IF(AJ52=0,"—",IF(AND(ISNUMBER($D52),$D52*(1+$C$10)&gt;FLOOR(IF(AK52&lt;AL52*(1-$C$7),AL52*(1-$C$5-IF(AJ52&lt;3,$C$8,0)),MIN(AL52*(1-$C$5-IF(AJ52&lt;3,$C$8,0)),AK52*(1-$C$6-IF(AJ52&lt;3,$C$8,0)))),IF(IF(AK52&lt;AL52*(1-$C$7),AL52*(1-$C$5-IF(AJ52&lt;3,$C$8,0)),MIN(AL52*(1-$C$5-IF(AJ52&lt;3,$C$8,0)),AK52*(1-$C$6-IF(AJ52&lt;3,$C$8,0))))&lt;10,$C$9,IF(IF(AK52&lt;AL52*(1-$C$7),AL52*(1-$C$5-IF(AJ52&lt;3,$C$8,0)),MIN(AL52*(1-$C$5-IF(AJ52&lt;3,$C$8,0)),AK52*(1-$C$6-IF(AJ52&lt;3,$C$8,0))))&lt;100,$D$9,$E$9)))),ROUND($D52*(1+$C$10),2),FLOOR(IF(AK52&lt;AL52*(1-$C$7),AL52*(1-$C$5-IF(AJ52&lt;3,$C$8,0)),MIN(AL52*(1-$C$5-IF(AJ52&lt;3,$C$8,0)),AK52*(1-$C$6-IF(AJ52&lt;3,$C$8,0)))),IF(IF(AK52&lt;AL52*(1-$C$7),AL52*(1-$C$5-IF(AJ52&lt;3,$C$8,0)),MIN(AL52*(1-$C$5-IF(AJ52&lt;3,$C$8,0)),AK52*(1-$C$6-IF(AJ52&lt;3,$C$8,0))))&lt;10,$C$9,IF(IF(AK52&lt;AL52*(1-$C$7),AL52*(1-$C$5-IF(AJ52&lt;3,$C$8,0)),MIN(AL52*(1-$C$5-IF(AJ52&lt;3,$C$8,0)),AK52*(1-$C$6-IF(AJ52&lt;3,$C$8,0))))&lt;100,$D$9,$E$9)))))</f>
        <v>4.6</v>
      </c>
      <c r="AP52" s="60" t="str">
        <f aca="false">IF(ISNUMBER($D52),$D52,"n/a")</f>
        <v>n/a</v>
      </c>
      <c r="AQ52" s="63" t="str">
        <f aca="false">IF(OR(AJ52=0,NOT(ISNUMBER($D52))),"—",AO52/$D52-1)</f>
        <v>—</v>
      </c>
      <c r="AR52" s="64" t="n">
        <f aca="false">IF(AJ52=0,"—",AO52/AK52-1)</f>
        <v>-0.117082533589251</v>
      </c>
      <c r="AS52" s="64" t="n">
        <f aca="false">IF(AJ52=0,"—",AO52/AL52-1)</f>
        <v>-0.252032520325203</v>
      </c>
      <c r="AT52" s="59" t="n">
        <f aca="false">COUNTIFS(Offers!$B$7:$B$3000,$B52,Offers!$C$7:$C$3000,"Romania",Offers!$AI$7:$AI$3000,"yes")</f>
        <v>5</v>
      </c>
      <c r="AU52" s="60" t="n">
        <f aca="false">IF(AT52=0,"—",SUMIFS(Review!$I$7:$I$600,Review!$B$7:$B$600,$B52,Review!$C$7:$C$600,"Romania"))</f>
        <v>3.359455</v>
      </c>
      <c r="AV52" s="60" t="n">
        <f aca="false">IF(AT52=0,"—",SUMIFS(Review!$J$7:$J$600,Review!$B$7:$B$600,$B52,Review!$C$7:$C$600,"Romania"))</f>
        <v>6.14858</v>
      </c>
      <c r="AW52" s="60" t="n">
        <f aca="false">IF(AT52=0,"—",SUMIFS(Review!$K$7:$K$600,Review!$B$7:$B$600,$B52,Review!$C$7:$C$600,"Romania"))</f>
        <v>9.847201</v>
      </c>
      <c r="AX52" s="61" t="str">
        <f aca="false">IF(AT52=0,"—",IF(AU52&lt;AV52*(1-$C$7),"median (cheapest is an outlier)",IF(AU52*(1-$C$6)&lt;AV52*(1-$C$5),"undercut cheapest","median")))</f>
        <v>median (cheapest is an outlier)</v>
      </c>
      <c r="AY52" s="62" t="n">
        <f aca="false">IF(AT52=0,"—",IF(AND(ISNUMBER($D52),$D52*(1+$C$10)&gt;FLOOR(IF(AU52&lt;AV52*(1-$C$7),AV52*(1-$C$5-IF(AT52&lt;3,$C$8,0)),MIN(AV52*(1-$C$5-IF(AT52&lt;3,$C$8,0)),AU52*(1-$C$6-IF(AT52&lt;3,$C$8,0)))),IF(IF(AU52&lt;AV52*(1-$C$7),AV52*(1-$C$5-IF(AT52&lt;3,$C$8,0)),MIN(AV52*(1-$C$5-IF(AT52&lt;3,$C$8,0)),AU52*(1-$C$6-IF(AT52&lt;3,$C$8,0))))&lt;10,$C$9,IF(IF(AU52&lt;AV52*(1-$C$7),AV52*(1-$C$5-IF(AT52&lt;3,$C$8,0)),MIN(AV52*(1-$C$5-IF(AT52&lt;3,$C$8,0)),AU52*(1-$C$6-IF(AT52&lt;3,$C$8,0))))&lt;100,$D$9,$E$9)))),ROUND($D52*(1+$C$10),2),FLOOR(IF(AU52&lt;AV52*(1-$C$7),AV52*(1-$C$5-IF(AT52&lt;3,$C$8,0)),MIN(AV52*(1-$C$5-IF(AT52&lt;3,$C$8,0)),AU52*(1-$C$6-IF(AT52&lt;3,$C$8,0)))),IF(IF(AU52&lt;AV52*(1-$C$7),AV52*(1-$C$5-IF(AT52&lt;3,$C$8,0)),MIN(AV52*(1-$C$5-IF(AT52&lt;3,$C$8,0)),AU52*(1-$C$6-IF(AT52&lt;3,$C$8,0))))&lt;10,$C$9,IF(IF(AU52&lt;AV52*(1-$C$7),AV52*(1-$C$5-IF(AT52&lt;3,$C$8,0)),MIN(AV52*(1-$C$5-IF(AT52&lt;3,$C$8,0)),AU52*(1-$C$6-IF(AT52&lt;3,$C$8,0))))&lt;100,$D$9,$E$9)))))</f>
        <v>4.6</v>
      </c>
      <c r="AZ52" s="62" t="n">
        <f aca="false">IF(AT52=0,"—",FLOOR(AY52*Sources!$G$9,0.1))</f>
        <v>24.2</v>
      </c>
      <c r="BA52" s="60" t="str">
        <f aca="false">IF(ISNUMBER($D52),$D52,"n/a")</f>
        <v>n/a</v>
      </c>
      <c r="BB52" s="63" t="str">
        <f aca="false">IF(OR(AT52=0,NOT(ISNUMBER($D52))),"—",AY52/$D52-1)</f>
        <v>—</v>
      </c>
      <c r="BC52" s="64" t="n">
        <f aca="false">IF(AT52=0,"—",AY52/AU52-1)</f>
        <v>0.369269717856021</v>
      </c>
      <c r="BD52" s="64" t="n">
        <f aca="false">IF(AT52=0,"—",AY52/AV52-1)</f>
        <v>-0.251859779005884</v>
      </c>
      <c r="BE52" s="59" t="n">
        <f aca="false">COUNTIFS(Offers!$B$7:$B$3000,$B52,Offers!$C$7:$C$3000,"Hungary",Offers!$AI$7:$AI$3000,"yes")</f>
        <v>0</v>
      </c>
      <c r="BF52" s="60" t="str">
        <f aca="false">IF(BE52=0,"—",SUMIFS(Review!$I$7:$I$600,Review!$B$7:$B$600,$B52,Review!$C$7:$C$600,"Hungary"))</f>
        <v>—</v>
      </c>
      <c r="BG52" s="60" t="str">
        <f aca="false">IF(BE52=0,"—",SUMIFS(Review!$J$7:$J$600,Review!$B$7:$B$600,$B52,Review!$C$7:$C$600,"Hungary"))</f>
        <v>—</v>
      </c>
      <c r="BH52" s="60" t="str">
        <f aca="false">IF(BE52=0,"—",SUMIFS(Review!$K$7:$K$600,Review!$B$7:$B$600,$B52,Review!$C$7:$C$600,"Hungary"))</f>
        <v>—</v>
      </c>
      <c r="BI52" s="61" t="str">
        <f aca="false">IF(BE52=0,"—",IF(BF52&lt;BG52*(1-$C$7),"median (cheapest is an outlier)",IF(BF52*(1-$C$6)&lt;BG52*(1-$C$5),"undercut cheapest","median")))</f>
        <v>—</v>
      </c>
      <c r="BJ52" s="62" t="str">
        <f aca="false">IF(BE52=0,"—",IF(AND(ISNUMBER($D52),$D52*(1+$C$10)&gt;FLOOR(IF(BF52&lt;BG52*(1-$C$7),BG52*(1-$C$5-IF(BE52&lt;3,$C$8,0)),MIN(BG52*(1-$C$5-IF(BE52&lt;3,$C$8,0)),BF52*(1-$C$6-IF(BE52&lt;3,$C$8,0)))),IF(IF(BF52&lt;BG52*(1-$C$7),BG52*(1-$C$5-IF(BE52&lt;3,$C$8,0)),MIN(BG52*(1-$C$5-IF(BE52&lt;3,$C$8,0)),BF52*(1-$C$6-IF(BE52&lt;3,$C$8,0))))&lt;10,$C$9,IF(IF(BF52&lt;BG52*(1-$C$7),BG52*(1-$C$5-IF(BE52&lt;3,$C$8,0)),MIN(BG52*(1-$C$5-IF(BE52&lt;3,$C$8,0)),BF52*(1-$C$6-IF(BE52&lt;3,$C$8,0))))&lt;100,$D$9,$E$9)))),ROUND($D52*(1+$C$10),2),FLOOR(IF(BF52&lt;BG52*(1-$C$7),BG52*(1-$C$5-IF(BE52&lt;3,$C$8,0)),MIN(BG52*(1-$C$5-IF(BE52&lt;3,$C$8,0)),BF52*(1-$C$6-IF(BE52&lt;3,$C$8,0)))),IF(IF(BF52&lt;BG52*(1-$C$7),BG52*(1-$C$5-IF(BE52&lt;3,$C$8,0)),MIN(BG52*(1-$C$5-IF(BE52&lt;3,$C$8,0)),BF52*(1-$C$6-IF(BE52&lt;3,$C$8,0))))&lt;10,$C$9,IF(IF(BF52&lt;BG52*(1-$C$7),BG52*(1-$C$5-IF(BE52&lt;3,$C$8,0)),MIN(BG52*(1-$C$5-IF(BE52&lt;3,$C$8,0)),BF52*(1-$C$6-IF(BE52&lt;3,$C$8,0))))&lt;100,$D$9,$E$9)))))</f>
        <v>—</v>
      </c>
      <c r="BK52" s="65" t="str">
        <f aca="false">IF(BE52=0,"—",FLOOR(BJ52*Sources!$G$8,10))</f>
        <v>—</v>
      </c>
      <c r="BL52" s="60" t="str">
        <f aca="false">IF(ISNUMBER($D52),$D52,"n/a")</f>
        <v>n/a</v>
      </c>
      <c r="BM52" s="63" t="str">
        <f aca="false">IF(OR(BE52=0,NOT(ISNUMBER($D52))),"—",BJ52/$D52-1)</f>
        <v>—</v>
      </c>
      <c r="BN52" s="64" t="str">
        <f aca="false">IF(BE52=0,"—",BJ52/BF52-1)</f>
        <v>—</v>
      </c>
      <c r="BO52" s="64" t="str">
        <f aca="false">IF(BE52=0,"—",BJ52/BG52-1)</f>
        <v>—</v>
      </c>
    </row>
    <row r="53" customFormat="false" ht="31.5" hidden="false" customHeight="true" outlineLevel="0" collapsed="false">
      <c r="B53" s="1" t="s">
        <v>69</v>
      </c>
      <c r="C53" s="1" t="s">
        <v>178</v>
      </c>
      <c r="D53" s="58"/>
      <c r="E53" s="59" t="n">
        <f aca="false">COUNTIFS(Offers!$B$7:$B$3000,$B53,Offers!$C$7:$C$3000,"Austria",Offers!$AI$7:$AI$3000,"yes")</f>
        <v>7</v>
      </c>
      <c r="F53" s="60" t="n">
        <f aca="false">IF(E53=0,"—",SUMIFS(Review!$I$7:$I$600,Review!$B$7:$B$600,$B53,Review!$C$7:$C$600,"Austria"))</f>
        <v>4.55</v>
      </c>
      <c r="G53" s="60" t="n">
        <f aca="false">IF(E53=0,"—",SUMIFS(Review!$J$7:$J$600,Review!$B$7:$B$600,$B53,Review!$C$7:$C$600,"Austria"))</f>
        <v>7.49</v>
      </c>
      <c r="H53" s="60" t="n">
        <f aca="false">IF(E53=0,"—",SUMIFS(Review!$K$7:$K$600,Review!$B$7:$B$600,$B53,Review!$C$7:$C$600,"Austria"))</f>
        <v>19</v>
      </c>
      <c r="I53" s="61" t="str">
        <f aca="false">IF(E53=0,"—",IF(F53&lt;G53*(1-$C$7),"median (cheapest is an outlier)",IF(F53*(1-$C$6)&lt;G53*(1-$C$5),"undercut cheapest","median")))</f>
        <v>median (cheapest is an outlier)</v>
      </c>
      <c r="J53" s="62" t="n">
        <f aca="false">IF(E53=0,"—",IF(AND(ISNUMBER($D53),$D53*(1+$C$10)&gt;FLOOR(IF(F53&lt;G53*(1-$C$7),G53*(1-$C$5-IF(E53&lt;3,$C$8,0)),MIN(G53*(1-$C$5-IF(E53&lt;3,$C$8,0)),F53*(1-$C$6-IF(E53&lt;3,$C$8,0)))),IF(IF(F53&lt;G53*(1-$C$7),G53*(1-$C$5-IF(E53&lt;3,$C$8,0)),MIN(G53*(1-$C$5-IF(E53&lt;3,$C$8,0)),F53*(1-$C$6-IF(E53&lt;3,$C$8,0))))&lt;10,$C$9,IF(IF(F53&lt;G53*(1-$C$7),G53*(1-$C$5-IF(E53&lt;3,$C$8,0)),MIN(G53*(1-$C$5-IF(E53&lt;3,$C$8,0)),F53*(1-$C$6-IF(E53&lt;3,$C$8,0))))&lt;100,$D$9,$E$9)))),ROUND($D53*(1+$C$10),2),FLOOR(IF(F53&lt;G53*(1-$C$7),G53*(1-$C$5-IF(E53&lt;3,$C$8,0)),MIN(G53*(1-$C$5-IF(E53&lt;3,$C$8,0)),F53*(1-$C$6-IF(E53&lt;3,$C$8,0)))),IF(IF(F53&lt;G53*(1-$C$7),G53*(1-$C$5-IF(E53&lt;3,$C$8,0)),MIN(G53*(1-$C$5-IF(E53&lt;3,$C$8,0)),F53*(1-$C$6-IF(E53&lt;3,$C$8,0))))&lt;10,$C$9,IF(IF(F53&lt;G53*(1-$C$7),G53*(1-$C$5-IF(E53&lt;3,$C$8,0)),MIN(G53*(1-$C$5-IF(E53&lt;3,$C$8,0)),F53*(1-$C$6-IF(E53&lt;3,$C$8,0))))&lt;100,$D$9,$E$9)))))</f>
        <v>5.6</v>
      </c>
      <c r="K53" s="60" t="str">
        <f aca="false">IF(ISNUMBER($D53),$D53,"n/a")</f>
        <v>n/a</v>
      </c>
      <c r="L53" s="63" t="str">
        <f aca="false">IF(OR(E53=0,NOT(ISNUMBER($D53))),"—",J53/$D53-1)</f>
        <v>—</v>
      </c>
      <c r="M53" s="64" t="n">
        <f aca="false">IF(E53=0,"—",J53/F53-1)</f>
        <v>0.230769230769231</v>
      </c>
      <c r="N53" s="64" t="n">
        <f aca="false">IF(E53=0,"—",J53/G53-1)</f>
        <v>-0.252336448598131</v>
      </c>
      <c r="O53" s="59" t="n">
        <f aca="false">COUNTIFS(Offers!$B$7:$B$3000,$B53,Offers!$C$7:$C$3000,"Germany",Offers!$AI$7:$AI$3000,"yes")</f>
        <v>7</v>
      </c>
      <c r="P53" s="60" t="n">
        <f aca="false">IF(O53=0,"—",SUMIFS(Review!$I$7:$I$600,Review!$B$7:$B$600,$B53,Review!$C$7:$C$600,"Germany"))</f>
        <v>4.55</v>
      </c>
      <c r="Q53" s="60" t="n">
        <f aca="false">IF(O53=0,"—",SUMIFS(Review!$J$7:$J$600,Review!$B$7:$B$600,$B53,Review!$C$7:$C$600,"Germany"))</f>
        <v>7.09</v>
      </c>
      <c r="R53" s="60" t="n">
        <f aca="false">IF(O53=0,"—",SUMIFS(Review!$K$7:$K$600,Review!$B$7:$B$600,$B53,Review!$C$7:$C$600,"Germany"))</f>
        <v>14.25</v>
      </c>
      <c r="S53" s="61" t="str">
        <f aca="false">IF(O53=0,"—",IF(P53&lt;Q53*(1-$C$7),"median (cheapest is an outlier)",IF(P53*(1-$C$6)&lt;Q53*(1-$C$5),"undercut cheapest","median")))</f>
        <v>median (cheapest is an outlier)</v>
      </c>
      <c r="T53" s="62" t="n">
        <f aca="false">IF(O53=0,"—",IF(AND(ISNUMBER($D53),$D53*(1+$C$10)&gt;FLOOR(IF(P53&lt;Q53*(1-$C$7),Q53*(1-$C$5-IF(O53&lt;3,$C$8,0)),MIN(Q53*(1-$C$5-IF(O53&lt;3,$C$8,0)),P53*(1-$C$6-IF(O53&lt;3,$C$8,0)))),IF(IF(P53&lt;Q53*(1-$C$7),Q53*(1-$C$5-IF(O53&lt;3,$C$8,0)),MIN(Q53*(1-$C$5-IF(O53&lt;3,$C$8,0)),P53*(1-$C$6-IF(O53&lt;3,$C$8,0))))&lt;10,$C$9,IF(IF(P53&lt;Q53*(1-$C$7),Q53*(1-$C$5-IF(O53&lt;3,$C$8,0)),MIN(Q53*(1-$C$5-IF(O53&lt;3,$C$8,0)),P53*(1-$C$6-IF(O53&lt;3,$C$8,0))))&lt;100,$D$9,$E$9)))),ROUND($D53*(1+$C$10),2),FLOOR(IF(P53&lt;Q53*(1-$C$7),Q53*(1-$C$5-IF(O53&lt;3,$C$8,0)),MIN(Q53*(1-$C$5-IF(O53&lt;3,$C$8,0)),P53*(1-$C$6-IF(O53&lt;3,$C$8,0)))),IF(IF(P53&lt;Q53*(1-$C$7),Q53*(1-$C$5-IF(O53&lt;3,$C$8,0)),MIN(Q53*(1-$C$5-IF(O53&lt;3,$C$8,0)),P53*(1-$C$6-IF(O53&lt;3,$C$8,0))))&lt;10,$C$9,IF(IF(P53&lt;Q53*(1-$C$7),Q53*(1-$C$5-IF(O53&lt;3,$C$8,0)),MIN(Q53*(1-$C$5-IF(O53&lt;3,$C$8,0)),P53*(1-$C$6-IF(O53&lt;3,$C$8,0))))&lt;100,$D$9,$E$9)))))</f>
        <v>5.3</v>
      </c>
      <c r="U53" s="60" t="str">
        <f aca="false">IF(ISNUMBER($D53),$D53,"n/a")</f>
        <v>n/a</v>
      </c>
      <c r="V53" s="63" t="str">
        <f aca="false">IF(OR(O53=0,NOT(ISNUMBER($D53))),"—",T53/$D53-1)</f>
        <v>—</v>
      </c>
      <c r="W53" s="64" t="n">
        <f aca="false">IF(O53=0,"—",T53/P53-1)</f>
        <v>0.164835164835165</v>
      </c>
      <c r="X53" s="64" t="n">
        <f aca="false">IF(O53=0,"—",T53/Q53-1)</f>
        <v>-0.2524682651622</v>
      </c>
      <c r="Y53" s="59" t="n">
        <f aca="false">COUNTIFS(Offers!$B$7:$B$3000,$B53,Offers!$C$7:$C$3000,"Czech",Offers!$AI$7:$AI$3000,"yes")</f>
        <v>5</v>
      </c>
      <c r="Z53" s="60" t="n">
        <f aca="false">IF(Y53=0,"—",SUMIFS(Review!$I$7:$I$600,Review!$B$7:$B$600,$B53,Review!$C$7:$C$600,"Czech"))</f>
        <v>4.737218</v>
      </c>
      <c r="AA53" s="60" t="n">
        <f aca="false">IF(Y53=0,"—",SUMIFS(Review!$J$7:$J$600,Review!$B$7:$B$600,$B53,Review!$C$7:$C$600,"Czech"))</f>
        <v>6.755756</v>
      </c>
      <c r="AB53" s="60" t="n">
        <f aca="false">IF(Y53=0,"—",SUMIFS(Review!$K$7:$K$600,Review!$B$7:$B$600,$B53,Review!$C$7:$C$600,"Czech"))</f>
        <v>12.283194</v>
      </c>
      <c r="AC53" s="61" t="str">
        <f aca="false">IF(Y53=0,"—",IF(Z53&lt;AA53*(1-$C$7),"median (cheapest is an outlier)",IF(Z53*(1-$C$6)&lt;AA53*(1-$C$5),"undercut cheapest","median")))</f>
        <v>undercut cheapest</v>
      </c>
      <c r="AD53" s="62" t="n">
        <f aca="false">IF(Y53=0,"—",IF(AND(ISNUMBER($D53),$D53*(1+$C$10)&gt;FLOOR(IF(Z53&lt;AA53*(1-$C$7),AA53*(1-$C$5-IF(Y53&lt;3,$C$8,0)),MIN(AA53*(1-$C$5-IF(Y53&lt;3,$C$8,0)),Z53*(1-$C$6-IF(Y53&lt;3,$C$8,0)))),IF(IF(Z53&lt;AA53*(1-$C$7),AA53*(1-$C$5-IF(Y53&lt;3,$C$8,0)),MIN(AA53*(1-$C$5-IF(Y53&lt;3,$C$8,0)),Z53*(1-$C$6-IF(Y53&lt;3,$C$8,0))))&lt;10,$C$9,IF(IF(Z53&lt;AA53*(1-$C$7),AA53*(1-$C$5-IF(Y53&lt;3,$C$8,0)),MIN(AA53*(1-$C$5-IF(Y53&lt;3,$C$8,0)),Z53*(1-$C$6-IF(Y53&lt;3,$C$8,0))))&lt;100,$D$9,$E$9)))),ROUND($D53*(1+$C$10),2),FLOOR(IF(Z53&lt;AA53*(1-$C$7),AA53*(1-$C$5-IF(Y53&lt;3,$C$8,0)),MIN(AA53*(1-$C$5-IF(Y53&lt;3,$C$8,0)),Z53*(1-$C$6-IF(Y53&lt;3,$C$8,0)))),IF(IF(Z53&lt;AA53*(1-$C$7),AA53*(1-$C$5-IF(Y53&lt;3,$C$8,0)),MIN(AA53*(1-$C$5-IF(Y53&lt;3,$C$8,0)),Z53*(1-$C$6-IF(Y53&lt;3,$C$8,0))))&lt;10,$C$9,IF(IF(Z53&lt;AA53*(1-$C$7),AA53*(1-$C$5-IF(Y53&lt;3,$C$8,0)),MIN(AA53*(1-$C$5-IF(Y53&lt;3,$C$8,0)),Z53*(1-$C$6-IF(Y53&lt;3,$C$8,0))))&lt;100,$D$9,$E$9)))))</f>
        <v>4.5</v>
      </c>
      <c r="AE53" s="65" t="n">
        <f aca="false">IF(Y53=0,"—",FLOOR(AD53*Sources!$G$10,1))</f>
        <v>109</v>
      </c>
      <c r="AF53" s="60" t="str">
        <f aca="false">IF(ISNUMBER($D53),$D53,"n/a")</f>
        <v>n/a</v>
      </c>
      <c r="AG53" s="63" t="str">
        <f aca="false">IF(OR(Y53=0,NOT(ISNUMBER($D53))),"—",AD53/$D53-1)</f>
        <v>—</v>
      </c>
      <c r="AH53" s="64" t="n">
        <f aca="false">IF(Y53=0,"—",AD53/Z53-1)</f>
        <v>-0.0500753817958136</v>
      </c>
      <c r="AI53" s="64" t="n">
        <f aca="false">IF(Y53=0,"—",AD53/AA53-1)</f>
        <v>-0.333901342795684</v>
      </c>
      <c r="AJ53" s="59" t="n">
        <f aca="false">COUNTIFS(Offers!$B$7:$B$3000,$B53,Offers!$C$7:$C$3000,"Slovakia",Offers!$AI$7:$AI$3000,"yes")</f>
        <v>5</v>
      </c>
      <c r="AK53" s="60" t="n">
        <f aca="false">IF(AJ53=0,"—",SUMIFS(Review!$I$7:$I$600,Review!$B$7:$B$600,$B53,Review!$C$7:$C$600,"Slovakia"))</f>
        <v>5.74</v>
      </c>
      <c r="AL53" s="60" t="n">
        <f aca="false">IF(AJ53=0,"—",SUMIFS(Review!$J$7:$J$600,Review!$B$7:$B$600,$B53,Review!$C$7:$C$600,"Slovakia"))</f>
        <v>6.75</v>
      </c>
      <c r="AM53" s="60" t="n">
        <f aca="false">IF(AJ53=0,"—",SUMIFS(Review!$K$7:$K$600,Review!$B$7:$B$600,$B53,Review!$C$7:$C$600,"Slovakia"))</f>
        <v>15.12</v>
      </c>
      <c r="AN53" s="61" t="str">
        <f aca="false">IF(AJ53=0,"—",IF(AK53&lt;AL53*(1-$C$7),"median (cheapest is an outlier)",IF(AK53*(1-$C$6)&lt;AL53*(1-$C$5),"undercut cheapest","median")))</f>
        <v>median</v>
      </c>
      <c r="AO53" s="62" t="n">
        <f aca="false">IF(AJ53=0,"—",IF(AND(ISNUMBER($D53),$D53*(1+$C$10)&gt;FLOOR(IF(AK53&lt;AL53*(1-$C$7),AL53*(1-$C$5-IF(AJ53&lt;3,$C$8,0)),MIN(AL53*(1-$C$5-IF(AJ53&lt;3,$C$8,0)),AK53*(1-$C$6-IF(AJ53&lt;3,$C$8,0)))),IF(IF(AK53&lt;AL53*(1-$C$7),AL53*(1-$C$5-IF(AJ53&lt;3,$C$8,0)),MIN(AL53*(1-$C$5-IF(AJ53&lt;3,$C$8,0)),AK53*(1-$C$6-IF(AJ53&lt;3,$C$8,0))))&lt;10,$C$9,IF(IF(AK53&lt;AL53*(1-$C$7),AL53*(1-$C$5-IF(AJ53&lt;3,$C$8,0)),MIN(AL53*(1-$C$5-IF(AJ53&lt;3,$C$8,0)),AK53*(1-$C$6-IF(AJ53&lt;3,$C$8,0))))&lt;100,$D$9,$E$9)))),ROUND($D53*(1+$C$10),2),FLOOR(IF(AK53&lt;AL53*(1-$C$7),AL53*(1-$C$5-IF(AJ53&lt;3,$C$8,0)),MIN(AL53*(1-$C$5-IF(AJ53&lt;3,$C$8,0)),AK53*(1-$C$6-IF(AJ53&lt;3,$C$8,0)))),IF(IF(AK53&lt;AL53*(1-$C$7),AL53*(1-$C$5-IF(AJ53&lt;3,$C$8,0)),MIN(AL53*(1-$C$5-IF(AJ53&lt;3,$C$8,0)),AK53*(1-$C$6-IF(AJ53&lt;3,$C$8,0))))&lt;10,$C$9,IF(IF(AK53&lt;AL53*(1-$C$7),AL53*(1-$C$5-IF(AJ53&lt;3,$C$8,0)),MIN(AL53*(1-$C$5-IF(AJ53&lt;3,$C$8,0)),AK53*(1-$C$6-IF(AJ53&lt;3,$C$8,0))))&lt;100,$D$9,$E$9)))))</f>
        <v>5.05</v>
      </c>
      <c r="AP53" s="60" t="str">
        <f aca="false">IF(ISNUMBER($D53),$D53,"n/a")</f>
        <v>n/a</v>
      </c>
      <c r="AQ53" s="63" t="str">
        <f aca="false">IF(OR(AJ53=0,NOT(ISNUMBER($D53))),"—",AO53/$D53-1)</f>
        <v>—</v>
      </c>
      <c r="AR53" s="64" t="n">
        <f aca="false">IF(AJ53=0,"—",AO53/AK53-1)</f>
        <v>-0.120209059233449</v>
      </c>
      <c r="AS53" s="64" t="n">
        <f aca="false">IF(AJ53=0,"—",AO53/AL53-1)</f>
        <v>-0.251851851851852</v>
      </c>
      <c r="AT53" s="59" t="n">
        <f aca="false">COUNTIFS(Offers!$B$7:$B$3000,$B53,Offers!$C$7:$C$3000,"Romania",Offers!$AI$7:$AI$3000,"yes")</f>
        <v>5</v>
      </c>
      <c r="AU53" s="60" t="n">
        <f aca="false">IF(AT53=0,"—",SUMIFS(Review!$I$7:$I$600,Review!$B$7:$B$600,$B53,Review!$C$7:$C$600,"Romania"))</f>
        <v>4.46601</v>
      </c>
      <c r="AV53" s="60" t="n">
        <f aca="false">IF(AT53=0,"—",SUMIFS(Review!$J$7:$J$600,Review!$B$7:$B$600,$B53,Review!$C$7:$C$600,"Romania"))</f>
        <v>6.94439</v>
      </c>
      <c r="AW53" s="60" t="n">
        <f aca="false">IF(AT53=0,"—",SUMIFS(Review!$K$7:$K$600,Review!$B$7:$B$600,$B53,Review!$C$7:$C$600,"Romania"))</f>
        <v>12.522639</v>
      </c>
      <c r="AX53" s="61" t="str">
        <f aca="false">IF(AT53=0,"—",IF(AU53&lt;AV53*(1-$C$7),"median (cheapest is an outlier)",IF(AU53*(1-$C$6)&lt;AV53*(1-$C$5),"undercut cheapest","median")))</f>
        <v>median (cheapest is an outlier)</v>
      </c>
      <c r="AY53" s="62" t="n">
        <f aca="false">IF(AT53=0,"—",IF(AND(ISNUMBER($D53),$D53*(1+$C$10)&gt;FLOOR(IF(AU53&lt;AV53*(1-$C$7),AV53*(1-$C$5-IF(AT53&lt;3,$C$8,0)),MIN(AV53*(1-$C$5-IF(AT53&lt;3,$C$8,0)),AU53*(1-$C$6-IF(AT53&lt;3,$C$8,0)))),IF(IF(AU53&lt;AV53*(1-$C$7),AV53*(1-$C$5-IF(AT53&lt;3,$C$8,0)),MIN(AV53*(1-$C$5-IF(AT53&lt;3,$C$8,0)),AU53*(1-$C$6-IF(AT53&lt;3,$C$8,0))))&lt;10,$C$9,IF(IF(AU53&lt;AV53*(1-$C$7),AV53*(1-$C$5-IF(AT53&lt;3,$C$8,0)),MIN(AV53*(1-$C$5-IF(AT53&lt;3,$C$8,0)),AU53*(1-$C$6-IF(AT53&lt;3,$C$8,0))))&lt;100,$D$9,$E$9)))),ROUND($D53*(1+$C$10),2),FLOOR(IF(AU53&lt;AV53*(1-$C$7),AV53*(1-$C$5-IF(AT53&lt;3,$C$8,0)),MIN(AV53*(1-$C$5-IF(AT53&lt;3,$C$8,0)),AU53*(1-$C$6-IF(AT53&lt;3,$C$8,0)))),IF(IF(AU53&lt;AV53*(1-$C$7),AV53*(1-$C$5-IF(AT53&lt;3,$C$8,0)),MIN(AV53*(1-$C$5-IF(AT53&lt;3,$C$8,0)),AU53*(1-$C$6-IF(AT53&lt;3,$C$8,0))))&lt;10,$C$9,IF(IF(AU53&lt;AV53*(1-$C$7),AV53*(1-$C$5-IF(AT53&lt;3,$C$8,0)),MIN(AV53*(1-$C$5-IF(AT53&lt;3,$C$8,0)),AU53*(1-$C$6-IF(AT53&lt;3,$C$8,0))))&lt;100,$D$9,$E$9)))))</f>
        <v>5.2</v>
      </c>
      <c r="AZ53" s="62" t="n">
        <f aca="false">IF(AT53=0,"—",FLOOR(AY53*Sources!$G$9,0.1))</f>
        <v>27.4</v>
      </c>
      <c r="BA53" s="60" t="str">
        <f aca="false">IF(ISNUMBER($D53),$D53,"n/a")</f>
        <v>n/a</v>
      </c>
      <c r="BB53" s="63" t="str">
        <f aca="false">IF(OR(AT53=0,NOT(ISNUMBER($D53))),"—",AY53/$D53-1)</f>
        <v>—</v>
      </c>
      <c r="BC53" s="64" t="n">
        <f aca="false">IF(AT53=0,"—",AY53/AU53-1)</f>
        <v>0.164350281347333</v>
      </c>
      <c r="BD53" s="64" t="n">
        <f aca="false">IF(AT53=0,"—",AY53/AV53-1)</f>
        <v>-0.251194129361974</v>
      </c>
      <c r="BE53" s="59" t="n">
        <f aca="false">COUNTIFS(Offers!$B$7:$B$3000,$B53,Offers!$C$7:$C$3000,"Hungary",Offers!$AI$7:$AI$3000,"yes")</f>
        <v>0</v>
      </c>
      <c r="BF53" s="60" t="str">
        <f aca="false">IF(BE53=0,"—",SUMIFS(Review!$I$7:$I$600,Review!$B$7:$B$600,$B53,Review!$C$7:$C$600,"Hungary"))</f>
        <v>—</v>
      </c>
      <c r="BG53" s="60" t="str">
        <f aca="false">IF(BE53=0,"—",SUMIFS(Review!$J$7:$J$600,Review!$B$7:$B$600,$B53,Review!$C$7:$C$600,"Hungary"))</f>
        <v>—</v>
      </c>
      <c r="BH53" s="60" t="str">
        <f aca="false">IF(BE53=0,"—",SUMIFS(Review!$K$7:$K$600,Review!$B$7:$B$600,$B53,Review!$C$7:$C$600,"Hungary"))</f>
        <v>—</v>
      </c>
      <c r="BI53" s="61" t="str">
        <f aca="false">IF(BE53=0,"—",IF(BF53&lt;BG53*(1-$C$7),"median (cheapest is an outlier)",IF(BF53*(1-$C$6)&lt;BG53*(1-$C$5),"undercut cheapest","median")))</f>
        <v>—</v>
      </c>
      <c r="BJ53" s="62" t="str">
        <f aca="false">IF(BE53=0,"—",IF(AND(ISNUMBER($D53),$D53*(1+$C$10)&gt;FLOOR(IF(BF53&lt;BG53*(1-$C$7),BG53*(1-$C$5-IF(BE53&lt;3,$C$8,0)),MIN(BG53*(1-$C$5-IF(BE53&lt;3,$C$8,0)),BF53*(1-$C$6-IF(BE53&lt;3,$C$8,0)))),IF(IF(BF53&lt;BG53*(1-$C$7),BG53*(1-$C$5-IF(BE53&lt;3,$C$8,0)),MIN(BG53*(1-$C$5-IF(BE53&lt;3,$C$8,0)),BF53*(1-$C$6-IF(BE53&lt;3,$C$8,0))))&lt;10,$C$9,IF(IF(BF53&lt;BG53*(1-$C$7),BG53*(1-$C$5-IF(BE53&lt;3,$C$8,0)),MIN(BG53*(1-$C$5-IF(BE53&lt;3,$C$8,0)),BF53*(1-$C$6-IF(BE53&lt;3,$C$8,0))))&lt;100,$D$9,$E$9)))),ROUND($D53*(1+$C$10),2),FLOOR(IF(BF53&lt;BG53*(1-$C$7),BG53*(1-$C$5-IF(BE53&lt;3,$C$8,0)),MIN(BG53*(1-$C$5-IF(BE53&lt;3,$C$8,0)),BF53*(1-$C$6-IF(BE53&lt;3,$C$8,0)))),IF(IF(BF53&lt;BG53*(1-$C$7),BG53*(1-$C$5-IF(BE53&lt;3,$C$8,0)),MIN(BG53*(1-$C$5-IF(BE53&lt;3,$C$8,0)),BF53*(1-$C$6-IF(BE53&lt;3,$C$8,0))))&lt;10,$C$9,IF(IF(BF53&lt;BG53*(1-$C$7),BG53*(1-$C$5-IF(BE53&lt;3,$C$8,0)),MIN(BG53*(1-$C$5-IF(BE53&lt;3,$C$8,0)),BF53*(1-$C$6-IF(BE53&lt;3,$C$8,0))))&lt;100,$D$9,$E$9)))))</f>
        <v>—</v>
      </c>
      <c r="BK53" s="65" t="str">
        <f aca="false">IF(BE53=0,"—",FLOOR(BJ53*Sources!$G$8,10))</f>
        <v>—</v>
      </c>
      <c r="BL53" s="60" t="str">
        <f aca="false">IF(ISNUMBER($D53),$D53,"n/a")</f>
        <v>n/a</v>
      </c>
      <c r="BM53" s="63" t="str">
        <f aca="false">IF(OR(BE53=0,NOT(ISNUMBER($D53))),"—",BJ53/$D53-1)</f>
        <v>—</v>
      </c>
      <c r="BN53" s="64" t="str">
        <f aca="false">IF(BE53=0,"—",BJ53/BF53-1)</f>
        <v>—</v>
      </c>
      <c r="BO53" s="64" t="str">
        <f aca="false">IF(BE53=0,"—",BJ53/BG53-1)</f>
        <v>—</v>
      </c>
    </row>
    <row r="54" customFormat="false" ht="31.5" hidden="false" customHeight="true" outlineLevel="0" collapsed="false">
      <c r="B54" s="1" t="s">
        <v>70</v>
      </c>
      <c r="C54" s="1" t="s">
        <v>179</v>
      </c>
      <c r="D54" s="58"/>
      <c r="E54" s="59" t="n">
        <f aca="false">COUNTIFS(Offers!$B$7:$B$3000,$B54,Offers!$C$7:$C$3000,"Austria",Offers!$AI$7:$AI$3000,"yes")</f>
        <v>7</v>
      </c>
      <c r="F54" s="60" t="n">
        <f aca="false">IF(E54=0,"—",SUMIFS(Review!$I$7:$I$600,Review!$B$7:$B$600,$B54,Review!$C$7:$C$600,"Austria"))</f>
        <v>9.83</v>
      </c>
      <c r="G54" s="60" t="n">
        <f aca="false">IF(E54=0,"—",SUMIFS(Review!$J$7:$J$600,Review!$B$7:$B$600,$B54,Review!$C$7:$C$600,"Austria"))</f>
        <v>11.69</v>
      </c>
      <c r="H54" s="60" t="n">
        <f aca="false">IF(E54=0,"—",SUMIFS(Review!$K$7:$K$600,Review!$B$7:$B$600,$B54,Review!$C$7:$C$600,"Austria"))</f>
        <v>25</v>
      </c>
      <c r="I54" s="61" t="str">
        <f aca="false">IF(E54=0,"—",IF(F54&lt;G54*(1-$C$7),"median (cheapest is an outlier)",IF(F54*(1-$C$6)&lt;G54*(1-$C$5),"undercut cheapest","median")))</f>
        <v>median</v>
      </c>
      <c r="J54" s="62" t="n">
        <f aca="false">IF(E54=0,"—",IF(AND(ISNUMBER($D54),$D54*(1+$C$10)&gt;FLOOR(IF(F54&lt;G54*(1-$C$7),G54*(1-$C$5-IF(E54&lt;3,$C$8,0)),MIN(G54*(1-$C$5-IF(E54&lt;3,$C$8,0)),F54*(1-$C$6-IF(E54&lt;3,$C$8,0)))),IF(IF(F54&lt;G54*(1-$C$7),G54*(1-$C$5-IF(E54&lt;3,$C$8,0)),MIN(G54*(1-$C$5-IF(E54&lt;3,$C$8,0)),F54*(1-$C$6-IF(E54&lt;3,$C$8,0))))&lt;10,$C$9,IF(IF(F54&lt;G54*(1-$C$7),G54*(1-$C$5-IF(E54&lt;3,$C$8,0)),MIN(G54*(1-$C$5-IF(E54&lt;3,$C$8,0)),F54*(1-$C$6-IF(E54&lt;3,$C$8,0))))&lt;100,$D$9,$E$9)))),ROUND($D54*(1+$C$10),2),FLOOR(IF(F54&lt;G54*(1-$C$7),G54*(1-$C$5-IF(E54&lt;3,$C$8,0)),MIN(G54*(1-$C$5-IF(E54&lt;3,$C$8,0)),F54*(1-$C$6-IF(E54&lt;3,$C$8,0)))),IF(IF(F54&lt;G54*(1-$C$7),G54*(1-$C$5-IF(E54&lt;3,$C$8,0)),MIN(G54*(1-$C$5-IF(E54&lt;3,$C$8,0)),F54*(1-$C$6-IF(E54&lt;3,$C$8,0))))&lt;10,$C$9,IF(IF(F54&lt;G54*(1-$C$7),G54*(1-$C$5-IF(E54&lt;3,$C$8,0)),MIN(G54*(1-$C$5-IF(E54&lt;3,$C$8,0)),F54*(1-$C$6-IF(E54&lt;3,$C$8,0))))&lt;100,$D$9,$E$9)))))</f>
        <v>8.75</v>
      </c>
      <c r="K54" s="60" t="str">
        <f aca="false">IF(ISNUMBER($D54),$D54,"n/a")</f>
        <v>n/a</v>
      </c>
      <c r="L54" s="63" t="str">
        <f aca="false">IF(OR(E54=0,NOT(ISNUMBER($D54))),"—",J54/$D54-1)</f>
        <v>—</v>
      </c>
      <c r="M54" s="64" t="n">
        <f aca="false">IF(E54=0,"—",J54/F54-1)</f>
        <v>-0.109867751780265</v>
      </c>
      <c r="N54" s="64" t="n">
        <f aca="false">IF(E54=0,"—",J54/G54-1)</f>
        <v>-0.251497005988024</v>
      </c>
      <c r="O54" s="59" t="n">
        <f aca="false">COUNTIFS(Offers!$B$7:$B$3000,$B54,Offers!$C$7:$C$3000,"Germany",Offers!$AI$7:$AI$3000,"yes")</f>
        <v>7</v>
      </c>
      <c r="P54" s="60" t="n">
        <f aca="false">IF(O54=0,"—",SUMIFS(Review!$I$7:$I$600,Review!$B$7:$B$600,$B54,Review!$C$7:$C$600,"Germany"))</f>
        <v>6.84</v>
      </c>
      <c r="Q54" s="60" t="n">
        <f aca="false">IF(O54=0,"—",SUMIFS(Review!$J$7:$J$600,Review!$B$7:$B$600,$B54,Review!$C$7:$C$600,"Germany"))</f>
        <v>11.19</v>
      </c>
      <c r="R54" s="60" t="n">
        <f aca="false">IF(O54=0,"—",SUMIFS(Review!$K$7:$K$600,Review!$B$7:$B$600,$B54,Review!$C$7:$C$600,"Germany"))</f>
        <v>22.43</v>
      </c>
      <c r="S54" s="61" t="str">
        <f aca="false">IF(O54=0,"—",IF(P54&lt;Q54*(1-$C$7),"median (cheapest is an outlier)",IF(P54*(1-$C$6)&lt;Q54*(1-$C$5),"undercut cheapest","median")))</f>
        <v>median (cheapest is an outlier)</v>
      </c>
      <c r="T54" s="62" t="n">
        <f aca="false">IF(O54=0,"—",IF(AND(ISNUMBER($D54),$D54*(1+$C$10)&gt;FLOOR(IF(P54&lt;Q54*(1-$C$7),Q54*(1-$C$5-IF(O54&lt;3,$C$8,0)),MIN(Q54*(1-$C$5-IF(O54&lt;3,$C$8,0)),P54*(1-$C$6-IF(O54&lt;3,$C$8,0)))),IF(IF(P54&lt;Q54*(1-$C$7),Q54*(1-$C$5-IF(O54&lt;3,$C$8,0)),MIN(Q54*(1-$C$5-IF(O54&lt;3,$C$8,0)),P54*(1-$C$6-IF(O54&lt;3,$C$8,0))))&lt;10,$C$9,IF(IF(P54&lt;Q54*(1-$C$7),Q54*(1-$C$5-IF(O54&lt;3,$C$8,0)),MIN(Q54*(1-$C$5-IF(O54&lt;3,$C$8,0)),P54*(1-$C$6-IF(O54&lt;3,$C$8,0))))&lt;100,$D$9,$E$9)))),ROUND($D54*(1+$C$10),2),FLOOR(IF(P54&lt;Q54*(1-$C$7),Q54*(1-$C$5-IF(O54&lt;3,$C$8,0)),MIN(Q54*(1-$C$5-IF(O54&lt;3,$C$8,0)),P54*(1-$C$6-IF(O54&lt;3,$C$8,0)))),IF(IF(P54&lt;Q54*(1-$C$7),Q54*(1-$C$5-IF(O54&lt;3,$C$8,0)),MIN(Q54*(1-$C$5-IF(O54&lt;3,$C$8,0)),P54*(1-$C$6-IF(O54&lt;3,$C$8,0))))&lt;10,$C$9,IF(IF(P54&lt;Q54*(1-$C$7),Q54*(1-$C$5-IF(O54&lt;3,$C$8,0)),MIN(Q54*(1-$C$5-IF(O54&lt;3,$C$8,0)),P54*(1-$C$6-IF(O54&lt;3,$C$8,0))))&lt;100,$D$9,$E$9)))))</f>
        <v>8.35</v>
      </c>
      <c r="U54" s="60" t="str">
        <f aca="false">IF(ISNUMBER($D54),$D54,"n/a")</f>
        <v>n/a</v>
      </c>
      <c r="V54" s="63" t="str">
        <f aca="false">IF(OR(O54=0,NOT(ISNUMBER($D54))),"—",T54/$D54-1)</f>
        <v>—</v>
      </c>
      <c r="W54" s="64" t="n">
        <f aca="false">IF(O54=0,"—",T54/P54-1)</f>
        <v>0.220760233918129</v>
      </c>
      <c r="X54" s="64" t="n">
        <f aca="false">IF(O54=0,"—",T54/Q54-1)</f>
        <v>-0.253798033958892</v>
      </c>
      <c r="Y54" s="59" t="n">
        <f aca="false">COUNTIFS(Offers!$B$7:$B$3000,$B54,Offers!$C$7:$C$3000,"Czech",Offers!$AI$7:$AI$3000,"yes")</f>
        <v>5</v>
      </c>
      <c r="Z54" s="60" t="n">
        <f aca="false">IF(Y54=0,"—",SUMIFS(Review!$I$7:$I$600,Review!$B$7:$B$600,$B54,Review!$C$7:$C$600,"Czech"))</f>
        <v>7.918156</v>
      </c>
      <c r="AA54" s="60" t="n">
        <f aca="false">IF(Y54=0,"—",SUMIFS(Review!$J$7:$J$600,Review!$B$7:$B$600,$B54,Review!$C$7:$C$600,"Czech"))</f>
        <v>10.235995</v>
      </c>
      <c r="AB54" s="60" t="n">
        <f aca="false">IF(Y54=0,"—",SUMIFS(Review!$K$7:$K$600,Review!$B$7:$B$600,$B54,Review!$C$7:$C$600,"Czech"))</f>
        <v>19.03895</v>
      </c>
      <c r="AC54" s="61" t="str">
        <f aca="false">IF(Y54=0,"—",IF(Z54&lt;AA54*(1-$C$7),"median (cheapest is an outlier)",IF(Z54*(1-$C$6)&lt;AA54*(1-$C$5),"undercut cheapest","median")))</f>
        <v>undercut cheapest</v>
      </c>
      <c r="AD54" s="62" t="n">
        <f aca="false">IF(Y54=0,"—",IF(AND(ISNUMBER($D54),$D54*(1+$C$10)&gt;FLOOR(IF(Z54&lt;AA54*(1-$C$7),AA54*(1-$C$5-IF(Y54&lt;3,$C$8,0)),MIN(AA54*(1-$C$5-IF(Y54&lt;3,$C$8,0)),Z54*(1-$C$6-IF(Y54&lt;3,$C$8,0)))),IF(IF(Z54&lt;AA54*(1-$C$7),AA54*(1-$C$5-IF(Y54&lt;3,$C$8,0)),MIN(AA54*(1-$C$5-IF(Y54&lt;3,$C$8,0)),Z54*(1-$C$6-IF(Y54&lt;3,$C$8,0))))&lt;10,$C$9,IF(IF(Z54&lt;AA54*(1-$C$7),AA54*(1-$C$5-IF(Y54&lt;3,$C$8,0)),MIN(AA54*(1-$C$5-IF(Y54&lt;3,$C$8,0)),Z54*(1-$C$6-IF(Y54&lt;3,$C$8,0))))&lt;100,$D$9,$E$9)))),ROUND($D54*(1+$C$10),2),FLOOR(IF(Z54&lt;AA54*(1-$C$7),AA54*(1-$C$5-IF(Y54&lt;3,$C$8,0)),MIN(AA54*(1-$C$5-IF(Y54&lt;3,$C$8,0)),Z54*(1-$C$6-IF(Y54&lt;3,$C$8,0)))),IF(IF(Z54&lt;AA54*(1-$C$7),AA54*(1-$C$5-IF(Y54&lt;3,$C$8,0)),MIN(AA54*(1-$C$5-IF(Y54&lt;3,$C$8,0)),Z54*(1-$C$6-IF(Y54&lt;3,$C$8,0))))&lt;10,$C$9,IF(IF(Z54&lt;AA54*(1-$C$7),AA54*(1-$C$5-IF(Y54&lt;3,$C$8,0)),MIN(AA54*(1-$C$5-IF(Y54&lt;3,$C$8,0)),Z54*(1-$C$6-IF(Y54&lt;3,$C$8,0))))&lt;100,$D$9,$E$9)))))</f>
        <v>7.5</v>
      </c>
      <c r="AE54" s="65" t="n">
        <f aca="false">IF(Y54=0,"—",FLOOR(AD54*Sources!$G$10,1))</f>
        <v>183</v>
      </c>
      <c r="AF54" s="60" t="str">
        <f aca="false">IF(ISNUMBER($D54),$D54,"n/a")</f>
        <v>n/a</v>
      </c>
      <c r="AG54" s="63" t="str">
        <f aca="false">IF(OR(Y54=0,NOT(ISNUMBER($D54))),"—",AD54/$D54-1)</f>
        <v>—</v>
      </c>
      <c r="AH54" s="64" t="n">
        <f aca="false">IF(Y54=0,"—",AD54/Z54-1)</f>
        <v>-0.0528097703556232</v>
      </c>
      <c r="AI54" s="64" t="n">
        <f aca="false">IF(Y54=0,"—",AD54/AA54-1)</f>
        <v>-0.267291552995092</v>
      </c>
      <c r="AJ54" s="59" t="n">
        <f aca="false">COUNTIFS(Offers!$B$7:$B$3000,$B54,Offers!$C$7:$C$3000,"Slovakia",Offers!$AI$7:$AI$3000,"yes")</f>
        <v>5</v>
      </c>
      <c r="AK54" s="60" t="n">
        <f aca="false">IF(AJ54=0,"—",SUMIFS(Review!$I$7:$I$600,Review!$B$7:$B$600,$B54,Review!$C$7:$C$600,"Slovakia"))</f>
        <v>7.51</v>
      </c>
      <c r="AL54" s="60" t="n">
        <f aca="false">IF(AJ54=0,"—",SUMIFS(Review!$J$7:$J$600,Review!$B$7:$B$600,$B54,Review!$C$7:$C$600,"Slovakia"))</f>
        <v>10.68</v>
      </c>
      <c r="AM54" s="60" t="n">
        <f aca="false">IF(AJ54=0,"—",SUMIFS(Review!$K$7:$K$600,Review!$B$7:$B$600,$B54,Review!$C$7:$C$600,"Slovakia"))</f>
        <v>21.37</v>
      </c>
      <c r="AN54" s="61" t="str">
        <f aca="false">IF(AJ54=0,"—",IF(AK54&lt;AL54*(1-$C$7),"median (cheapest is an outlier)",IF(AK54*(1-$C$6)&lt;AL54*(1-$C$5),"undercut cheapest","median")))</f>
        <v>undercut cheapest</v>
      </c>
      <c r="AO54" s="62" t="n">
        <f aca="false">IF(AJ54=0,"—",IF(AND(ISNUMBER($D54),$D54*(1+$C$10)&gt;FLOOR(IF(AK54&lt;AL54*(1-$C$7),AL54*(1-$C$5-IF(AJ54&lt;3,$C$8,0)),MIN(AL54*(1-$C$5-IF(AJ54&lt;3,$C$8,0)),AK54*(1-$C$6-IF(AJ54&lt;3,$C$8,0)))),IF(IF(AK54&lt;AL54*(1-$C$7),AL54*(1-$C$5-IF(AJ54&lt;3,$C$8,0)),MIN(AL54*(1-$C$5-IF(AJ54&lt;3,$C$8,0)),AK54*(1-$C$6-IF(AJ54&lt;3,$C$8,0))))&lt;10,$C$9,IF(IF(AK54&lt;AL54*(1-$C$7),AL54*(1-$C$5-IF(AJ54&lt;3,$C$8,0)),MIN(AL54*(1-$C$5-IF(AJ54&lt;3,$C$8,0)),AK54*(1-$C$6-IF(AJ54&lt;3,$C$8,0))))&lt;100,$D$9,$E$9)))),ROUND($D54*(1+$C$10),2),FLOOR(IF(AK54&lt;AL54*(1-$C$7),AL54*(1-$C$5-IF(AJ54&lt;3,$C$8,0)),MIN(AL54*(1-$C$5-IF(AJ54&lt;3,$C$8,0)),AK54*(1-$C$6-IF(AJ54&lt;3,$C$8,0)))),IF(IF(AK54&lt;AL54*(1-$C$7),AL54*(1-$C$5-IF(AJ54&lt;3,$C$8,0)),MIN(AL54*(1-$C$5-IF(AJ54&lt;3,$C$8,0)),AK54*(1-$C$6-IF(AJ54&lt;3,$C$8,0))))&lt;10,$C$9,IF(IF(AK54&lt;AL54*(1-$C$7),AL54*(1-$C$5-IF(AJ54&lt;3,$C$8,0)),MIN(AL54*(1-$C$5-IF(AJ54&lt;3,$C$8,0)),AK54*(1-$C$6-IF(AJ54&lt;3,$C$8,0))))&lt;100,$D$9,$E$9)))))</f>
        <v>7.1</v>
      </c>
      <c r="AP54" s="60" t="str">
        <f aca="false">IF(ISNUMBER($D54),$D54,"n/a")</f>
        <v>n/a</v>
      </c>
      <c r="AQ54" s="63" t="str">
        <f aca="false">IF(OR(AJ54=0,NOT(ISNUMBER($D54))),"—",AO54/$D54-1)</f>
        <v>—</v>
      </c>
      <c r="AR54" s="64" t="n">
        <f aca="false">IF(AJ54=0,"—",AO54/AK54-1)</f>
        <v>-0.0545938748335552</v>
      </c>
      <c r="AS54" s="64" t="n">
        <f aca="false">IF(AJ54=0,"—",AO54/AL54-1)</f>
        <v>-0.335205992509363</v>
      </c>
      <c r="AT54" s="59" t="n">
        <f aca="false">COUNTIFS(Offers!$B$7:$B$3000,$B54,Offers!$C$7:$C$3000,"Romania",Offers!$AI$7:$AI$3000,"yes")</f>
        <v>5</v>
      </c>
      <c r="AU54" s="60" t="n">
        <f aca="false">IF(AT54=0,"—",SUMIFS(Review!$I$7:$I$600,Review!$B$7:$B$600,$B54,Review!$C$7:$C$600,"Romania"))</f>
        <v>5.9</v>
      </c>
      <c r="AV54" s="60" t="n">
        <f aca="false">IF(AT54=0,"—",SUMIFS(Review!$J$7:$J$600,Review!$B$7:$B$600,$B54,Review!$C$7:$C$600,"Romania"))</f>
        <v>10.724487</v>
      </c>
      <c r="AW54" s="60" t="n">
        <f aca="false">IF(AT54=0,"—",SUMIFS(Review!$K$7:$K$600,Review!$B$7:$B$600,$B54,Review!$C$7:$C$600,"Romania"))</f>
        <v>19.427238</v>
      </c>
      <c r="AX54" s="61" t="str">
        <f aca="false">IF(AT54=0,"—",IF(AU54&lt;AV54*(1-$C$7),"median (cheapest is an outlier)",IF(AU54*(1-$C$6)&lt;AV54*(1-$C$5),"undercut cheapest","median")))</f>
        <v>median (cheapest is an outlier)</v>
      </c>
      <c r="AY54" s="62" t="n">
        <f aca="false">IF(AT54=0,"—",IF(AND(ISNUMBER($D54),$D54*(1+$C$10)&gt;FLOOR(IF(AU54&lt;AV54*(1-$C$7),AV54*(1-$C$5-IF(AT54&lt;3,$C$8,0)),MIN(AV54*(1-$C$5-IF(AT54&lt;3,$C$8,0)),AU54*(1-$C$6-IF(AT54&lt;3,$C$8,0)))),IF(IF(AU54&lt;AV54*(1-$C$7),AV54*(1-$C$5-IF(AT54&lt;3,$C$8,0)),MIN(AV54*(1-$C$5-IF(AT54&lt;3,$C$8,0)),AU54*(1-$C$6-IF(AT54&lt;3,$C$8,0))))&lt;10,$C$9,IF(IF(AU54&lt;AV54*(1-$C$7),AV54*(1-$C$5-IF(AT54&lt;3,$C$8,0)),MIN(AV54*(1-$C$5-IF(AT54&lt;3,$C$8,0)),AU54*(1-$C$6-IF(AT54&lt;3,$C$8,0))))&lt;100,$D$9,$E$9)))),ROUND($D54*(1+$C$10),2),FLOOR(IF(AU54&lt;AV54*(1-$C$7),AV54*(1-$C$5-IF(AT54&lt;3,$C$8,0)),MIN(AV54*(1-$C$5-IF(AT54&lt;3,$C$8,0)),AU54*(1-$C$6-IF(AT54&lt;3,$C$8,0)))),IF(IF(AU54&lt;AV54*(1-$C$7),AV54*(1-$C$5-IF(AT54&lt;3,$C$8,0)),MIN(AV54*(1-$C$5-IF(AT54&lt;3,$C$8,0)),AU54*(1-$C$6-IF(AT54&lt;3,$C$8,0))))&lt;10,$C$9,IF(IF(AU54&lt;AV54*(1-$C$7),AV54*(1-$C$5-IF(AT54&lt;3,$C$8,0)),MIN(AV54*(1-$C$5-IF(AT54&lt;3,$C$8,0)),AU54*(1-$C$6-IF(AT54&lt;3,$C$8,0))))&lt;100,$D$9,$E$9)))))</f>
        <v>8</v>
      </c>
      <c r="AZ54" s="62" t="n">
        <f aca="false">IF(AT54=0,"—",FLOOR(AY54*Sources!$G$9,0.1))</f>
        <v>42.2</v>
      </c>
      <c r="BA54" s="60" t="str">
        <f aca="false">IF(ISNUMBER($D54),$D54,"n/a")</f>
        <v>n/a</v>
      </c>
      <c r="BB54" s="63" t="str">
        <f aca="false">IF(OR(AT54=0,NOT(ISNUMBER($D54))),"—",AY54/$D54-1)</f>
        <v>—</v>
      </c>
      <c r="BC54" s="64" t="n">
        <f aca="false">IF(AT54=0,"—",AY54/AU54-1)</f>
        <v>0.35593220338983</v>
      </c>
      <c r="BD54" s="64" t="n">
        <f aca="false">IF(AT54=0,"—",AY54/AV54-1)</f>
        <v>-0.25404357336626</v>
      </c>
      <c r="BE54" s="59" t="n">
        <f aca="false">COUNTIFS(Offers!$B$7:$B$3000,$B54,Offers!$C$7:$C$3000,"Hungary",Offers!$AI$7:$AI$3000,"yes")</f>
        <v>0</v>
      </c>
      <c r="BF54" s="60" t="str">
        <f aca="false">IF(BE54=0,"—",SUMIFS(Review!$I$7:$I$600,Review!$B$7:$B$600,$B54,Review!$C$7:$C$600,"Hungary"))</f>
        <v>—</v>
      </c>
      <c r="BG54" s="60" t="str">
        <f aca="false">IF(BE54=0,"—",SUMIFS(Review!$J$7:$J$600,Review!$B$7:$B$600,$B54,Review!$C$7:$C$600,"Hungary"))</f>
        <v>—</v>
      </c>
      <c r="BH54" s="60" t="str">
        <f aca="false">IF(BE54=0,"—",SUMIFS(Review!$K$7:$K$600,Review!$B$7:$B$600,$B54,Review!$C$7:$C$600,"Hungary"))</f>
        <v>—</v>
      </c>
      <c r="BI54" s="61" t="str">
        <f aca="false">IF(BE54=0,"—",IF(BF54&lt;BG54*(1-$C$7),"median (cheapest is an outlier)",IF(BF54*(1-$C$6)&lt;BG54*(1-$C$5),"undercut cheapest","median")))</f>
        <v>—</v>
      </c>
      <c r="BJ54" s="62" t="str">
        <f aca="false">IF(BE54=0,"—",IF(AND(ISNUMBER($D54),$D54*(1+$C$10)&gt;FLOOR(IF(BF54&lt;BG54*(1-$C$7),BG54*(1-$C$5-IF(BE54&lt;3,$C$8,0)),MIN(BG54*(1-$C$5-IF(BE54&lt;3,$C$8,0)),BF54*(1-$C$6-IF(BE54&lt;3,$C$8,0)))),IF(IF(BF54&lt;BG54*(1-$C$7),BG54*(1-$C$5-IF(BE54&lt;3,$C$8,0)),MIN(BG54*(1-$C$5-IF(BE54&lt;3,$C$8,0)),BF54*(1-$C$6-IF(BE54&lt;3,$C$8,0))))&lt;10,$C$9,IF(IF(BF54&lt;BG54*(1-$C$7),BG54*(1-$C$5-IF(BE54&lt;3,$C$8,0)),MIN(BG54*(1-$C$5-IF(BE54&lt;3,$C$8,0)),BF54*(1-$C$6-IF(BE54&lt;3,$C$8,0))))&lt;100,$D$9,$E$9)))),ROUND($D54*(1+$C$10),2),FLOOR(IF(BF54&lt;BG54*(1-$C$7),BG54*(1-$C$5-IF(BE54&lt;3,$C$8,0)),MIN(BG54*(1-$C$5-IF(BE54&lt;3,$C$8,0)),BF54*(1-$C$6-IF(BE54&lt;3,$C$8,0)))),IF(IF(BF54&lt;BG54*(1-$C$7),BG54*(1-$C$5-IF(BE54&lt;3,$C$8,0)),MIN(BG54*(1-$C$5-IF(BE54&lt;3,$C$8,0)),BF54*(1-$C$6-IF(BE54&lt;3,$C$8,0))))&lt;10,$C$9,IF(IF(BF54&lt;BG54*(1-$C$7),BG54*(1-$C$5-IF(BE54&lt;3,$C$8,0)),MIN(BG54*(1-$C$5-IF(BE54&lt;3,$C$8,0)),BF54*(1-$C$6-IF(BE54&lt;3,$C$8,0))))&lt;100,$D$9,$E$9)))))</f>
        <v>—</v>
      </c>
      <c r="BK54" s="65" t="str">
        <f aca="false">IF(BE54=0,"—",FLOOR(BJ54*Sources!$G$8,10))</f>
        <v>—</v>
      </c>
      <c r="BL54" s="60" t="str">
        <f aca="false">IF(ISNUMBER($D54),$D54,"n/a")</f>
        <v>n/a</v>
      </c>
      <c r="BM54" s="63" t="str">
        <f aca="false">IF(OR(BE54=0,NOT(ISNUMBER($D54))),"—",BJ54/$D54-1)</f>
        <v>—</v>
      </c>
      <c r="BN54" s="64" t="str">
        <f aca="false">IF(BE54=0,"—",BJ54/BF54-1)</f>
        <v>—</v>
      </c>
      <c r="BO54" s="64" t="str">
        <f aca="false">IF(BE54=0,"—",BJ54/BG54-1)</f>
        <v>—</v>
      </c>
    </row>
    <row r="55" customFormat="false" ht="31.5" hidden="false" customHeight="true" outlineLevel="0" collapsed="false">
      <c r="B55" s="1" t="s">
        <v>71</v>
      </c>
      <c r="C55" s="1" t="s">
        <v>180</v>
      </c>
      <c r="D55" s="58"/>
      <c r="E55" s="59" t="n">
        <f aca="false">COUNTIFS(Offers!$B$7:$B$3000,$B55,Offers!$C$7:$C$3000,"Austria",Offers!$AI$7:$AI$3000,"yes")</f>
        <v>7</v>
      </c>
      <c r="F55" s="60" t="n">
        <f aca="false">IF(E55=0,"—",SUMIFS(Review!$I$7:$I$600,Review!$B$7:$B$600,$B55,Review!$C$7:$C$600,"Austria"))</f>
        <v>2.91</v>
      </c>
      <c r="G55" s="60" t="n">
        <f aca="false">IF(E55=0,"—",SUMIFS(Review!$J$7:$J$600,Review!$B$7:$B$600,$B55,Review!$C$7:$C$600,"Austria"))</f>
        <v>5.66</v>
      </c>
      <c r="H55" s="60" t="n">
        <f aca="false">IF(E55=0,"—",SUMIFS(Review!$K$7:$K$600,Review!$B$7:$B$600,$B55,Review!$C$7:$C$600,"Austria"))</f>
        <v>13</v>
      </c>
      <c r="I55" s="61" t="str">
        <f aca="false">IF(E55=0,"—",IF(F55&lt;G55*(1-$C$7),"median (cheapest is an outlier)",IF(F55*(1-$C$6)&lt;G55*(1-$C$5),"undercut cheapest","median")))</f>
        <v>median (cheapest is an outlier)</v>
      </c>
      <c r="J55" s="62" t="n">
        <f aca="false">IF(E55=0,"—",IF(AND(ISNUMBER($D55),$D55*(1+$C$10)&gt;FLOOR(IF(F55&lt;G55*(1-$C$7),G55*(1-$C$5-IF(E55&lt;3,$C$8,0)),MIN(G55*(1-$C$5-IF(E55&lt;3,$C$8,0)),F55*(1-$C$6-IF(E55&lt;3,$C$8,0)))),IF(IF(F55&lt;G55*(1-$C$7),G55*(1-$C$5-IF(E55&lt;3,$C$8,0)),MIN(G55*(1-$C$5-IF(E55&lt;3,$C$8,0)),F55*(1-$C$6-IF(E55&lt;3,$C$8,0))))&lt;10,$C$9,IF(IF(F55&lt;G55*(1-$C$7),G55*(1-$C$5-IF(E55&lt;3,$C$8,0)),MIN(G55*(1-$C$5-IF(E55&lt;3,$C$8,0)),F55*(1-$C$6-IF(E55&lt;3,$C$8,0))))&lt;100,$D$9,$E$9)))),ROUND($D55*(1+$C$10),2),FLOOR(IF(F55&lt;G55*(1-$C$7),G55*(1-$C$5-IF(E55&lt;3,$C$8,0)),MIN(G55*(1-$C$5-IF(E55&lt;3,$C$8,0)),F55*(1-$C$6-IF(E55&lt;3,$C$8,0)))),IF(IF(F55&lt;G55*(1-$C$7),G55*(1-$C$5-IF(E55&lt;3,$C$8,0)),MIN(G55*(1-$C$5-IF(E55&lt;3,$C$8,0)),F55*(1-$C$6-IF(E55&lt;3,$C$8,0))))&lt;10,$C$9,IF(IF(F55&lt;G55*(1-$C$7),G55*(1-$C$5-IF(E55&lt;3,$C$8,0)),MIN(G55*(1-$C$5-IF(E55&lt;3,$C$8,0)),F55*(1-$C$6-IF(E55&lt;3,$C$8,0))))&lt;100,$D$9,$E$9)))))</f>
        <v>4.2</v>
      </c>
      <c r="K55" s="60" t="str">
        <f aca="false">IF(ISNUMBER($D55),$D55,"n/a")</f>
        <v>n/a</v>
      </c>
      <c r="L55" s="63" t="str">
        <f aca="false">IF(OR(E55=0,NOT(ISNUMBER($D55))),"—",J55/$D55-1)</f>
        <v>—</v>
      </c>
      <c r="M55" s="64" t="n">
        <f aca="false">IF(E55=0,"—",J55/F55-1)</f>
        <v>0.443298969072165</v>
      </c>
      <c r="N55" s="64" t="n">
        <f aca="false">IF(E55=0,"—",J55/G55-1)</f>
        <v>-0.257950530035336</v>
      </c>
      <c r="O55" s="59" t="n">
        <f aca="false">COUNTIFS(Offers!$B$7:$B$3000,$B55,Offers!$C$7:$C$3000,"Germany",Offers!$AI$7:$AI$3000,"yes")</f>
        <v>7</v>
      </c>
      <c r="P55" s="60" t="n">
        <f aca="false">IF(O55=0,"—",SUMIFS(Review!$I$7:$I$600,Review!$B$7:$B$600,$B55,Review!$C$7:$C$600,"Germany"))</f>
        <v>1.6</v>
      </c>
      <c r="Q55" s="60" t="n">
        <f aca="false">IF(O55=0,"—",SUMIFS(Review!$J$7:$J$600,Review!$B$7:$B$600,$B55,Review!$C$7:$C$600,"Germany"))</f>
        <v>4.92</v>
      </c>
      <c r="R55" s="60" t="n">
        <f aca="false">IF(O55=0,"—",SUMIFS(Review!$K$7:$K$600,Review!$B$7:$B$600,$B55,Review!$C$7:$C$600,"Germany"))</f>
        <v>13</v>
      </c>
      <c r="S55" s="61" t="str">
        <f aca="false">IF(O55=0,"—",IF(P55&lt;Q55*(1-$C$7),"median (cheapest is an outlier)",IF(P55*(1-$C$6)&lt;Q55*(1-$C$5),"undercut cheapest","median")))</f>
        <v>median (cheapest is an outlier)</v>
      </c>
      <c r="T55" s="62" t="n">
        <f aca="false">IF(O55=0,"—",IF(AND(ISNUMBER($D55),$D55*(1+$C$10)&gt;FLOOR(IF(P55&lt;Q55*(1-$C$7),Q55*(1-$C$5-IF(O55&lt;3,$C$8,0)),MIN(Q55*(1-$C$5-IF(O55&lt;3,$C$8,0)),P55*(1-$C$6-IF(O55&lt;3,$C$8,0)))),IF(IF(P55&lt;Q55*(1-$C$7),Q55*(1-$C$5-IF(O55&lt;3,$C$8,0)),MIN(Q55*(1-$C$5-IF(O55&lt;3,$C$8,0)),P55*(1-$C$6-IF(O55&lt;3,$C$8,0))))&lt;10,$C$9,IF(IF(P55&lt;Q55*(1-$C$7),Q55*(1-$C$5-IF(O55&lt;3,$C$8,0)),MIN(Q55*(1-$C$5-IF(O55&lt;3,$C$8,0)),P55*(1-$C$6-IF(O55&lt;3,$C$8,0))))&lt;100,$D$9,$E$9)))),ROUND($D55*(1+$C$10),2),FLOOR(IF(P55&lt;Q55*(1-$C$7),Q55*(1-$C$5-IF(O55&lt;3,$C$8,0)),MIN(Q55*(1-$C$5-IF(O55&lt;3,$C$8,0)),P55*(1-$C$6-IF(O55&lt;3,$C$8,0)))),IF(IF(P55&lt;Q55*(1-$C$7),Q55*(1-$C$5-IF(O55&lt;3,$C$8,0)),MIN(Q55*(1-$C$5-IF(O55&lt;3,$C$8,0)),P55*(1-$C$6-IF(O55&lt;3,$C$8,0))))&lt;10,$C$9,IF(IF(P55&lt;Q55*(1-$C$7),Q55*(1-$C$5-IF(O55&lt;3,$C$8,0)),MIN(Q55*(1-$C$5-IF(O55&lt;3,$C$8,0)),P55*(1-$C$6-IF(O55&lt;3,$C$8,0))))&lt;100,$D$9,$E$9)))))</f>
        <v>3.65</v>
      </c>
      <c r="U55" s="60" t="str">
        <f aca="false">IF(ISNUMBER($D55),$D55,"n/a")</f>
        <v>n/a</v>
      </c>
      <c r="V55" s="63" t="str">
        <f aca="false">IF(OR(O55=0,NOT(ISNUMBER($D55))),"—",T55/$D55-1)</f>
        <v>—</v>
      </c>
      <c r="W55" s="64" t="n">
        <f aca="false">IF(O55=0,"—",T55/P55-1)</f>
        <v>1.28125</v>
      </c>
      <c r="X55" s="64" t="n">
        <f aca="false">IF(O55=0,"—",T55/Q55-1)</f>
        <v>-0.258130081300813</v>
      </c>
      <c r="Y55" s="59" t="n">
        <f aca="false">COUNTIFS(Offers!$B$7:$B$3000,$B55,Offers!$C$7:$C$3000,"Czech",Offers!$AI$7:$AI$3000,"yes")</f>
        <v>5</v>
      </c>
      <c r="Z55" s="60" t="n">
        <f aca="false">IF(Y55=0,"—",SUMIFS(Review!$I$7:$I$600,Review!$B$7:$B$600,$B55,Review!$C$7:$C$600,"Czech"))</f>
        <v>3.282479</v>
      </c>
      <c r="AA55" s="60" t="n">
        <f aca="false">IF(Y55=0,"—",SUMIFS(Review!$J$7:$J$600,Review!$B$7:$B$600,$B55,Review!$C$7:$C$600,"Czech"))</f>
        <v>4.585726</v>
      </c>
      <c r="AB55" s="60" t="n">
        <f aca="false">IF(Y55=0,"—",SUMIFS(Review!$K$7:$K$600,Review!$B$7:$B$600,$B55,Review!$C$7:$C$600,"Czech"))</f>
        <v>7.41086</v>
      </c>
      <c r="AC55" s="61" t="str">
        <f aca="false">IF(Y55=0,"—",IF(Z55&lt;AA55*(1-$C$7),"median (cheapest is an outlier)",IF(Z55*(1-$C$6)&lt;AA55*(1-$C$5),"undercut cheapest","median")))</f>
        <v>undercut cheapest</v>
      </c>
      <c r="AD55" s="62" t="n">
        <f aca="false">IF(Y55=0,"—",IF(AND(ISNUMBER($D55),$D55*(1+$C$10)&gt;FLOOR(IF(Z55&lt;AA55*(1-$C$7),AA55*(1-$C$5-IF(Y55&lt;3,$C$8,0)),MIN(AA55*(1-$C$5-IF(Y55&lt;3,$C$8,0)),Z55*(1-$C$6-IF(Y55&lt;3,$C$8,0)))),IF(IF(Z55&lt;AA55*(1-$C$7),AA55*(1-$C$5-IF(Y55&lt;3,$C$8,0)),MIN(AA55*(1-$C$5-IF(Y55&lt;3,$C$8,0)),Z55*(1-$C$6-IF(Y55&lt;3,$C$8,0))))&lt;10,$C$9,IF(IF(Z55&lt;AA55*(1-$C$7),AA55*(1-$C$5-IF(Y55&lt;3,$C$8,0)),MIN(AA55*(1-$C$5-IF(Y55&lt;3,$C$8,0)),Z55*(1-$C$6-IF(Y55&lt;3,$C$8,0))))&lt;100,$D$9,$E$9)))),ROUND($D55*(1+$C$10),2),FLOOR(IF(Z55&lt;AA55*(1-$C$7),AA55*(1-$C$5-IF(Y55&lt;3,$C$8,0)),MIN(AA55*(1-$C$5-IF(Y55&lt;3,$C$8,0)),Z55*(1-$C$6-IF(Y55&lt;3,$C$8,0)))),IF(IF(Z55&lt;AA55*(1-$C$7),AA55*(1-$C$5-IF(Y55&lt;3,$C$8,0)),MIN(AA55*(1-$C$5-IF(Y55&lt;3,$C$8,0)),Z55*(1-$C$6-IF(Y55&lt;3,$C$8,0))))&lt;10,$C$9,IF(IF(Z55&lt;AA55*(1-$C$7),AA55*(1-$C$5-IF(Y55&lt;3,$C$8,0)),MIN(AA55*(1-$C$5-IF(Y55&lt;3,$C$8,0)),Z55*(1-$C$6-IF(Y55&lt;3,$C$8,0))))&lt;100,$D$9,$E$9)))))</f>
        <v>3.1</v>
      </c>
      <c r="AE55" s="65" t="n">
        <f aca="false">IF(Y55=0,"—",FLOOR(AD55*Sources!$G$10,1))</f>
        <v>75</v>
      </c>
      <c r="AF55" s="60" t="str">
        <f aca="false">IF(ISNUMBER($D55),$D55,"n/a")</f>
        <v>n/a</v>
      </c>
      <c r="AG55" s="63" t="str">
        <f aca="false">IF(OR(Y55=0,NOT(ISNUMBER($D55))),"—",AD55/$D55-1)</f>
        <v>—</v>
      </c>
      <c r="AH55" s="64" t="n">
        <f aca="false">IF(Y55=0,"—",AD55/Z55-1)</f>
        <v>-0.0555918255684195</v>
      </c>
      <c r="AI55" s="64" t="n">
        <f aca="false">IF(Y55=0,"—",AD55/AA55-1)</f>
        <v>-0.323989265821813</v>
      </c>
      <c r="AJ55" s="59" t="n">
        <f aca="false">COUNTIFS(Offers!$B$7:$B$3000,$B55,Offers!$C$7:$C$3000,"Slovakia",Offers!$AI$7:$AI$3000,"yes")</f>
        <v>5</v>
      </c>
      <c r="AK55" s="60" t="n">
        <f aca="false">IF(AJ55=0,"—",SUMIFS(Review!$I$7:$I$600,Review!$B$7:$B$600,$B55,Review!$C$7:$C$600,"Slovakia"))</f>
        <v>4.43</v>
      </c>
      <c r="AL55" s="60" t="n">
        <f aca="false">IF(AJ55=0,"—",SUMIFS(Review!$J$7:$J$600,Review!$B$7:$B$600,$B55,Review!$C$7:$C$600,"Slovakia"))</f>
        <v>4.71</v>
      </c>
      <c r="AM55" s="60" t="n">
        <f aca="false">IF(AJ55=0,"—",SUMIFS(Review!$K$7:$K$600,Review!$B$7:$B$600,$B55,Review!$C$7:$C$600,"Slovakia"))</f>
        <v>13.3</v>
      </c>
      <c r="AN55" s="61" t="str">
        <f aca="false">IF(AJ55=0,"—",IF(AK55&lt;AL55*(1-$C$7),"median (cheapest is an outlier)",IF(AK55*(1-$C$6)&lt;AL55*(1-$C$5),"undercut cheapest","median")))</f>
        <v>median</v>
      </c>
      <c r="AO55" s="62" t="n">
        <f aca="false">IF(AJ55=0,"—",IF(AND(ISNUMBER($D55),$D55*(1+$C$10)&gt;FLOOR(IF(AK55&lt;AL55*(1-$C$7),AL55*(1-$C$5-IF(AJ55&lt;3,$C$8,0)),MIN(AL55*(1-$C$5-IF(AJ55&lt;3,$C$8,0)),AK55*(1-$C$6-IF(AJ55&lt;3,$C$8,0)))),IF(IF(AK55&lt;AL55*(1-$C$7),AL55*(1-$C$5-IF(AJ55&lt;3,$C$8,0)),MIN(AL55*(1-$C$5-IF(AJ55&lt;3,$C$8,0)),AK55*(1-$C$6-IF(AJ55&lt;3,$C$8,0))))&lt;10,$C$9,IF(IF(AK55&lt;AL55*(1-$C$7),AL55*(1-$C$5-IF(AJ55&lt;3,$C$8,0)),MIN(AL55*(1-$C$5-IF(AJ55&lt;3,$C$8,0)),AK55*(1-$C$6-IF(AJ55&lt;3,$C$8,0))))&lt;100,$D$9,$E$9)))),ROUND($D55*(1+$C$10),2),FLOOR(IF(AK55&lt;AL55*(1-$C$7),AL55*(1-$C$5-IF(AJ55&lt;3,$C$8,0)),MIN(AL55*(1-$C$5-IF(AJ55&lt;3,$C$8,0)),AK55*(1-$C$6-IF(AJ55&lt;3,$C$8,0)))),IF(IF(AK55&lt;AL55*(1-$C$7),AL55*(1-$C$5-IF(AJ55&lt;3,$C$8,0)),MIN(AL55*(1-$C$5-IF(AJ55&lt;3,$C$8,0)),AK55*(1-$C$6-IF(AJ55&lt;3,$C$8,0))))&lt;10,$C$9,IF(IF(AK55&lt;AL55*(1-$C$7),AL55*(1-$C$5-IF(AJ55&lt;3,$C$8,0)),MIN(AL55*(1-$C$5-IF(AJ55&lt;3,$C$8,0)),AK55*(1-$C$6-IF(AJ55&lt;3,$C$8,0))))&lt;100,$D$9,$E$9)))))</f>
        <v>3.5</v>
      </c>
      <c r="AP55" s="60" t="str">
        <f aca="false">IF(ISNUMBER($D55),$D55,"n/a")</f>
        <v>n/a</v>
      </c>
      <c r="AQ55" s="63" t="str">
        <f aca="false">IF(OR(AJ55=0,NOT(ISNUMBER($D55))),"—",AO55/$D55-1)</f>
        <v>—</v>
      </c>
      <c r="AR55" s="64" t="n">
        <f aca="false">IF(AJ55=0,"—",AO55/AK55-1)</f>
        <v>-0.209932279909707</v>
      </c>
      <c r="AS55" s="64" t="n">
        <f aca="false">IF(AJ55=0,"—",AO55/AL55-1)</f>
        <v>-0.256900212314225</v>
      </c>
      <c r="AT55" s="59" t="n">
        <f aca="false">COUNTIFS(Offers!$B$7:$B$3000,$B55,Offers!$C$7:$C$3000,"Romania",Offers!$AI$7:$AI$3000,"yes")</f>
        <v>5</v>
      </c>
      <c r="AU55" s="60" t="n">
        <f aca="false">IF(AT55=0,"—",SUMIFS(Review!$I$7:$I$600,Review!$B$7:$B$600,$B55,Review!$C$7:$C$600,"Romania"))</f>
        <v>2.4</v>
      </c>
      <c r="AV55" s="60" t="n">
        <f aca="false">IF(AT55=0,"—",SUMIFS(Review!$J$7:$J$600,Review!$B$7:$B$600,$B55,Review!$C$7:$C$600,"Romania"))</f>
        <v>4.755912</v>
      </c>
      <c r="AW55" s="60" t="n">
        <f aca="false">IF(AT55=0,"—",SUMIFS(Review!$K$7:$K$600,Review!$B$7:$B$600,$B55,Review!$C$7:$C$600,"Romania"))</f>
        <v>7.554511</v>
      </c>
      <c r="AX55" s="61" t="str">
        <f aca="false">IF(AT55=0,"—",IF(AU55&lt;AV55*(1-$C$7),"median (cheapest is an outlier)",IF(AU55*(1-$C$6)&lt;AV55*(1-$C$5),"undercut cheapest","median")))</f>
        <v>median (cheapest is an outlier)</v>
      </c>
      <c r="AY55" s="62" t="n">
        <f aca="false">IF(AT55=0,"—",IF(AND(ISNUMBER($D55),$D55*(1+$C$10)&gt;FLOOR(IF(AU55&lt;AV55*(1-$C$7),AV55*(1-$C$5-IF(AT55&lt;3,$C$8,0)),MIN(AV55*(1-$C$5-IF(AT55&lt;3,$C$8,0)),AU55*(1-$C$6-IF(AT55&lt;3,$C$8,0)))),IF(IF(AU55&lt;AV55*(1-$C$7),AV55*(1-$C$5-IF(AT55&lt;3,$C$8,0)),MIN(AV55*(1-$C$5-IF(AT55&lt;3,$C$8,0)),AU55*(1-$C$6-IF(AT55&lt;3,$C$8,0))))&lt;10,$C$9,IF(IF(AU55&lt;AV55*(1-$C$7),AV55*(1-$C$5-IF(AT55&lt;3,$C$8,0)),MIN(AV55*(1-$C$5-IF(AT55&lt;3,$C$8,0)),AU55*(1-$C$6-IF(AT55&lt;3,$C$8,0))))&lt;100,$D$9,$E$9)))),ROUND($D55*(1+$C$10),2),FLOOR(IF(AU55&lt;AV55*(1-$C$7),AV55*(1-$C$5-IF(AT55&lt;3,$C$8,0)),MIN(AV55*(1-$C$5-IF(AT55&lt;3,$C$8,0)),AU55*(1-$C$6-IF(AT55&lt;3,$C$8,0)))),IF(IF(AU55&lt;AV55*(1-$C$7),AV55*(1-$C$5-IF(AT55&lt;3,$C$8,0)),MIN(AV55*(1-$C$5-IF(AT55&lt;3,$C$8,0)),AU55*(1-$C$6-IF(AT55&lt;3,$C$8,0))))&lt;10,$C$9,IF(IF(AU55&lt;AV55*(1-$C$7),AV55*(1-$C$5-IF(AT55&lt;3,$C$8,0)),MIN(AV55*(1-$C$5-IF(AT55&lt;3,$C$8,0)),AU55*(1-$C$6-IF(AT55&lt;3,$C$8,0))))&lt;100,$D$9,$E$9)))))</f>
        <v>3.55</v>
      </c>
      <c r="AZ55" s="62" t="n">
        <f aca="false">IF(AT55=0,"—",FLOOR(AY55*Sources!$G$9,0.1))</f>
        <v>18.7</v>
      </c>
      <c r="BA55" s="60" t="str">
        <f aca="false">IF(ISNUMBER($D55),$D55,"n/a")</f>
        <v>n/a</v>
      </c>
      <c r="BB55" s="63" t="str">
        <f aca="false">IF(OR(AT55=0,NOT(ISNUMBER($D55))),"—",AY55/$D55-1)</f>
        <v>—</v>
      </c>
      <c r="BC55" s="64" t="n">
        <f aca="false">IF(AT55=0,"—",AY55/AU55-1)</f>
        <v>0.479166666666667</v>
      </c>
      <c r="BD55" s="64" t="n">
        <f aca="false">IF(AT55=0,"—",AY55/AV55-1)</f>
        <v>-0.253560620970279</v>
      </c>
      <c r="BE55" s="59" t="n">
        <f aca="false">COUNTIFS(Offers!$B$7:$B$3000,$B55,Offers!$C$7:$C$3000,"Hungary",Offers!$AI$7:$AI$3000,"yes")</f>
        <v>0</v>
      </c>
      <c r="BF55" s="60" t="str">
        <f aca="false">IF(BE55=0,"—",SUMIFS(Review!$I$7:$I$600,Review!$B$7:$B$600,$B55,Review!$C$7:$C$600,"Hungary"))</f>
        <v>—</v>
      </c>
      <c r="BG55" s="60" t="str">
        <f aca="false">IF(BE55=0,"—",SUMIFS(Review!$J$7:$J$600,Review!$B$7:$B$600,$B55,Review!$C$7:$C$600,"Hungary"))</f>
        <v>—</v>
      </c>
      <c r="BH55" s="60" t="str">
        <f aca="false">IF(BE55=0,"—",SUMIFS(Review!$K$7:$K$600,Review!$B$7:$B$600,$B55,Review!$C$7:$C$600,"Hungary"))</f>
        <v>—</v>
      </c>
      <c r="BI55" s="61" t="str">
        <f aca="false">IF(BE55=0,"—",IF(BF55&lt;BG55*(1-$C$7),"median (cheapest is an outlier)",IF(BF55*(1-$C$6)&lt;BG55*(1-$C$5),"undercut cheapest","median")))</f>
        <v>—</v>
      </c>
      <c r="BJ55" s="62" t="str">
        <f aca="false">IF(BE55=0,"—",IF(AND(ISNUMBER($D55),$D55*(1+$C$10)&gt;FLOOR(IF(BF55&lt;BG55*(1-$C$7),BG55*(1-$C$5-IF(BE55&lt;3,$C$8,0)),MIN(BG55*(1-$C$5-IF(BE55&lt;3,$C$8,0)),BF55*(1-$C$6-IF(BE55&lt;3,$C$8,0)))),IF(IF(BF55&lt;BG55*(1-$C$7),BG55*(1-$C$5-IF(BE55&lt;3,$C$8,0)),MIN(BG55*(1-$C$5-IF(BE55&lt;3,$C$8,0)),BF55*(1-$C$6-IF(BE55&lt;3,$C$8,0))))&lt;10,$C$9,IF(IF(BF55&lt;BG55*(1-$C$7),BG55*(1-$C$5-IF(BE55&lt;3,$C$8,0)),MIN(BG55*(1-$C$5-IF(BE55&lt;3,$C$8,0)),BF55*(1-$C$6-IF(BE55&lt;3,$C$8,0))))&lt;100,$D$9,$E$9)))),ROUND($D55*(1+$C$10),2),FLOOR(IF(BF55&lt;BG55*(1-$C$7),BG55*(1-$C$5-IF(BE55&lt;3,$C$8,0)),MIN(BG55*(1-$C$5-IF(BE55&lt;3,$C$8,0)),BF55*(1-$C$6-IF(BE55&lt;3,$C$8,0)))),IF(IF(BF55&lt;BG55*(1-$C$7),BG55*(1-$C$5-IF(BE55&lt;3,$C$8,0)),MIN(BG55*(1-$C$5-IF(BE55&lt;3,$C$8,0)),BF55*(1-$C$6-IF(BE55&lt;3,$C$8,0))))&lt;10,$C$9,IF(IF(BF55&lt;BG55*(1-$C$7),BG55*(1-$C$5-IF(BE55&lt;3,$C$8,0)),MIN(BG55*(1-$C$5-IF(BE55&lt;3,$C$8,0)),BF55*(1-$C$6-IF(BE55&lt;3,$C$8,0))))&lt;100,$D$9,$E$9)))))</f>
        <v>—</v>
      </c>
      <c r="BK55" s="65" t="str">
        <f aca="false">IF(BE55=0,"—",FLOOR(BJ55*Sources!$G$8,10))</f>
        <v>—</v>
      </c>
      <c r="BL55" s="60" t="str">
        <f aca="false">IF(ISNUMBER($D55),$D55,"n/a")</f>
        <v>n/a</v>
      </c>
      <c r="BM55" s="63" t="str">
        <f aca="false">IF(OR(BE55=0,NOT(ISNUMBER($D55))),"—",BJ55/$D55-1)</f>
        <v>—</v>
      </c>
      <c r="BN55" s="64" t="str">
        <f aca="false">IF(BE55=0,"—",BJ55/BF55-1)</f>
        <v>—</v>
      </c>
      <c r="BO55" s="64" t="str">
        <f aca="false">IF(BE55=0,"—",BJ55/BG55-1)</f>
        <v>—</v>
      </c>
    </row>
    <row r="56" customFormat="false" ht="31.5" hidden="false" customHeight="true" outlineLevel="0" collapsed="false">
      <c r="B56" s="1" t="s">
        <v>72</v>
      </c>
      <c r="C56" s="1" t="s">
        <v>181</v>
      </c>
      <c r="D56" s="58"/>
      <c r="E56" s="59" t="n">
        <f aca="false">COUNTIFS(Offers!$B$7:$B$3000,$B56,Offers!$C$7:$C$3000,"Austria",Offers!$AI$7:$AI$3000,"yes")</f>
        <v>7</v>
      </c>
      <c r="F56" s="60" t="n">
        <f aca="false">IF(E56=0,"—",SUMIFS(Review!$I$7:$I$600,Review!$B$7:$B$600,$B56,Review!$C$7:$C$600,"Austria"))</f>
        <v>5.49</v>
      </c>
      <c r="G56" s="60" t="n">
        <f aca="false">IF(E56=0,"—",SUMIFS(Review!$J$7:$J$600,Review!$B$7:$B$600,$B56,Review!$C$7:$C$600,"Austria"))</f>
        <v>8.1</v>
      </c>
      <c r="H56" s="60" t="n">
        <f aca="false">IF(E56=0,"—",SUMIFS(Review!$K$7:$K$600,Review!$B$7:$B$600,$B56,Review!$C$7:$C$600,"Austria"))</f>
        <v>14.63</v>
      </c>
      <c r="I56" s="61" t="str">
        <f aca="false">IF(E56=0,"—",IF(F56&lt;G56*(1-$C$7),"median (cheapest is an outlier)",IF(F56*(1-$C$6)&lt;G56*(1-$C$5),"undercut cheapest","median")))</f>
        <v>undercut cheapest</v>
      </c>
      <c r="J56" s="62" t="n">
        <f aca="false">IF(E56=0,"—",IF(AND(ISNUMBER($D56),$D56*(1+$C$10)&gt;FLOOR(IF(F56&lt;G56*(1-$C$7),G56*(1-$C$5-IF(E56&lt;3,$C$8,0)),MIN(G56*(1-$C$5-IF(E56&lt;3,$C$8,0)),F56*(1-$C$6-IF(E56&lt;3,$C$8,0)))),IF(IF(F56&lt;G56*(1-$C$7),G56*(1-$C$5-IF(E56&lt;3,$C$8,0)),MIN(G56*(1-$C$5-IF(E56&lt;3,$C$8,0)),F56*(1-$C$6-IF(E56&lt;3,$C$8,0))))&lt;10,$C$9,IF(IF(F56&lt;G56*(1-$C$7),G56*(1-$C$5-IF(E56&lt;3,$C$8,0)),MIN(G56*(1-$C$5-IF(E56&lt;3,$C$8,0)),F56*(1-$C$6-IF(E56&lt;3,$C$8,0))))&lt;100,$D$9,$E$9)))),ROUND($D56*(1+$C$10),2),FLOOR(IF(F56&lt;G56*(1-$C$7),G56*(1-$C$5-IF(E56&lt;3,$C$8,0)),MIN(G56*(1-$C$5-IF(E56&lt;3,$C$8,0)),F56*(1-$C$6-IF(E56&lt;3,$C$8,0)))),IF(IF(F56&lt;G56*(1-$C$7),G56*(1-$C$5-IF(E56&lt;3,$C$8,0)),MIN(G56*(1-$C$5-IF(E56&lt;3,$C$8,0)),F56*(1-$C$6-IF(E56&lt;3,$C$8,0))))&lt;10,$C$9,IF(IF(F56&lt;G56*(1-$C$7),G56*(1-$C$5-IF(E56&lt;3,$C$8,0)),MIN(G56*(1-$C$5-IF(E56&lt;3,$C$8,0)),F56*(1-$C$6-IF(E56&lt;3,$C$8,0))))&lt;100,$D$9,$E$9)))))</f>
        <v>5.2</v>
      </c>
      <c r="K56" s="60" t="str">
        <f aca="false">IF(ISNUMBER($D56),$D56,"n/a")</f>
        <v>n/a</v>
      </c>
      <c r="L56" s="63" t="str">
        <f aca="false">IF(OR(E56=0,NOT(ISNUMBER($D56))),"—",J56/$D56-1)</f>
        <v>—</v>
      </c>
      <c r="M56" s="64" t="n">
        <f aca="false">IF(E56=0,"—",J56/F56-1)</f>
        <v>-0.0528233151183971</v>
      </c>
      <c r="N56" s="64" t="n">
        <f aca="false">IF(E56=0,"—",J56/G56-1)</f>
        <v>-0.358024691358025</v>
      </c>
      <c r="O56" s="59" t="n">
        <f aca="false">COUNTIFS(Offers!$B$7:$B$3000,$B56,Offers!$C$7:$C$3000,"Germany",Offers!$AI$7:$AI$3000,"yes")</f>
        <v>7</v>
      </c>
      <c r="P56" s="60" t="n">
        <f aca="false">IF(O56=0,"—",SUMIFS(Review!$I$7:$I$600,Review!$B$7:$B$600,$B56,Review!$C$7:$C$600,"Germany"))</f>
        <v>4.43</v>
      </c>
      <c r="Q56" s="60" t="n">
        <f aca="false">IF(O56=0,"—",SUMIFS(Review!$J$7:$J$600,Review!$B$7:$B$600,$B56,Review!$C$7:$C$600,"Germany"))</f>
        <v>6.87</v>
      </c>
      <c r="R56" s="60" t="n">
        <f aca="false">IF(O56=0,"—",SUMIFS(Review!$K$7:$K$600,Review!$B$7:$B$600,$B56,Review!$C$7:$C$600,"Germany"))</f>
        <v>14.63</v>
      </c>
      <c r="S56" s="61" t="str">
        <f aca="false">IF(O56=0,"—",IF(P56&lt;Q56*(1-$C$7),"median (cheapest is an outlier)",IF(P56*(1-$C$6)&lt;Q56*(1-$C$5),"undercut cheapest","median")))</f>
        <v>median (cheapest is an outlier)</v>
      </c>
      <c r="T56" s="62" t="n">
        <f aca="false">IF(O56=0,"—",IF(AND(ISNUMBER($D56),$D56*(1+$C$10)&gt;FLOOR(IF(P56&lt;Q56*(1-$C$7),Q56*(1-$C$5-IF(O56&lt;3,$C$8,0)),MIN(Q56*(1-$C$5-IF(O56&lt;3,$C$8,0)),P56*(1-$C$6-IF(O56&lt;3,$C$8,0)))),IF(IF(P56&lt;Q56*(1-$C$7),Q56*(1-$C$5-IF(O56&lt;3,$C$8,0)),MIN(Q56*(1-$C$5-IF(O56&lt;3,$C$8,0)),P56*(1-$C$6-IF(O56&lt;3,$C$8,0))))&lt;10,$C$9,IF(IF(P56&lt;Q56*(1-$C$7),Q56*(1-$C$5-IF(O56&lt;3,$C$8,0)),MIN(Q56*(1-$C$5-IF(O56&lt;3,$C$8,0)),P56*(1-$C$6-IF(O56&lt;3,$C$8,0))))&lt;100,$D$9,$E$9)))),ROUND($D56*(1+$C$10),2),FLOOR(IF(P56&lt;Q56*(1-$C$7),Q56*(1-$C$5-IF(O56&lt;3,$C$8,0)),MIN(Q56*(1-$C$5-IF(O56&lt;3,$C$8,0)),P56*(1-$C$6-IF(O56&lt;3,$C$8,0)))),IF(IF(P56&lt;Q56*(1-$C$7),Q56*(1-$C$5-IF(O56&lt;3,$C$8,0)),MIN(Q56*(1-$C$5-IF(O56&lt;3,$C$8,0)),P56*(1-$C$6-IF(O56&lt;3,$C$8,0))))&lt;10,$C$9,IF(IF(P56&lt;Q56*(1-$C$7),Q56*(1-$C$5-IF(O56&lt;3,$C$8,0)),MIN(Q56*(1-$C$5-IF(O56&lt;3,$C$8,0)),P56*(1-$C$6-IF(O56&lt;3,$C$8,0))))&lt;100,$D$9,$E$9)))))</f>
        <v>5.15</v>
      </c>
      <c r="U56" s="60" t="str">
        <f aca="false">IF(ISNUMBER($D56),$D56,"n/a")</f>
        <v>n/a</v>
      </c>
      <c r="V56" s="63" t="str">
        <f aca="false">IF(OR(O56=0,NOT(ISNUMBER($D56))),"—",T56/$D56-1)</f>
        <v>—</v>
      </c>
      <c r="W56" s="64" t="n">
        <f aca="false">IF(O56=0,"—",T56/P56-1)</f>
        <v>0.162528216704289</v>
      </c>
      <c r="X56" s="64" t="n">
        <f aca="false">IF(O56=0,"—",T56/Q56-1)</f>
        <v>-0.250363901018923</v>
      </c>
      <c r="Y56" s="59" t="n">
        <f aca="false">COUNTIFS(Offers!$B$7:$B$3000,$B56,Offers!$C$7:$C$3000,"Czech",Offers!$AI$7:$AI$3000,"yes")</f>
        <v>5</v>
      </c>
      <c r="Z56" s="60" t="n">
        <f aca="false">IF(Y56=0,"—",SUMIFS(Review!$I$7:$I$600,Review!$B$7:$B$600,$B56,Review!$C$7:$C$600,"Czech"))</f>
        <v>5.583121</v>
      </c>
      <c r="AA56" s="60" t="n">
        <f aca="false">IF(Y56=0,"—",SUMIFS(Review!$J$7:$J$600,Review!$B$7:$B$600,$B56,Review!$C$7:$C$600,"Czech"))</f>
        <v>8.721067</v>
      </c>
      <c r="AB56" s="60" t="n">
        <f aca="false">IF(Y56=0,"—",SUMIFS(Review!$K$7:$K$600,Review!$B$7:$B$600,$B56,Review!$C$7:$C$600,"Czech"))</f>
        <v>12.03753</v>
      </c>
      <c r="AC56" s="61" t="str">
        <f aca="false">IF(Y56=0,"—",IF(Z56&lt;AA56*(1-$C$7),"median (cheapest is an outlier)",IF(Z56*(1-$C$6)&lt;AA56*(1-$C$5),"undercut cheapest","median")))</f>
        <v>median (cheapest is an outlier)</v>
      </c>
      <c r="AD56" s="62" t="n">
        <f aca="false">IF(Y56=0,"—",IF(AND(ISNUMBER($D56),$D56*(1+$C$10)&gt;FLOOR(IF(Z56&lt;AA56*(1-$C$7),AA56*(1-$C$5-IF(Y56&lt;3,$C$8,0)),MIN(AA56*(1-$C$5-IF(Y56&lt;3,$C$8,0)),Z56*(1-$C$6-IF(Y56&lt;3,$C$8,0)))),IF(IF(Z56&lt;AA56*(1-$C$7),AA56*(1-$C$5-IF(Y56&lt;3,$C$8,0)),MIN(AA56*(1-$C$5-IF(Y56&lt;3,$C$8,0)),Z56*(1-$C$6-IF(Y56&lt;3,$C$8,0))))&lt;10,$C$9,IF(IF(Z56&lt;AA56*(1-$C$7),AA56*(1-$C$5-IF(Y56&lt;3,$C$8,0)),MIN(AA56*(1-$C$5-IF(Y56&lt;3,$C$8,0)),Z56*(1-$C$6-IF(Y56&lt;3,$C$8,0))))&lt;100,$D$9,$E$9)))),ROUND($D56*(1+$C$10),2),FLOOR(IF(Z56&lt;AA56*(1-$C$7),AA56*(1-$C$5-IF(Y56&lt;3,$C$8,0)),MIN(AA56*(1-$C$5-IF(Y56&lt;3,$C$8,0)),Z56*(1-$C$6-IF(Y56&lt;3,$C$8,0)))),IF(IF(Z56&lt;AA56*(1-$C$7),AA56*(1-$C$5-IF(Y56&lt;3,$C$8,0)),MIN(AA56*(1-$C$5-IF(Y56&lt;3,$C$8,0)),Z56*(1-$C$6-IF(Y56&lt;3,$C$8,0))))&lt;10,$C$9,IF(IF(Z56&lt;AA56*(1-$C$7),AA56*(1-$C$5-IF(Y56&lt;3,$C$8,0)),MIN(AA56*(1-$C$5-IF(Y56&lt;3,$C$8,0)),Z56*(1-$C$6-IF(Y56&lt;3,$C$8,0))))&lt;100,$D$9,$E$9)))))</f>
        <v>6.5</v>
      </c>
      <c r="AE56" s="65" t="n">
        <f aca="false">IF(Y56=0,"—",FLOOR(AD56*Sources!$G$10,1))</f>
        <v>158</v>
      </c>
      <c r="AF56" s="60" t="str">
        <f aca="false">IF(ISNUMBER($D56),$D56,"n/a")</f>
        <v>n/a</v>
      </c>
      <c r="AG56" s="63" t="str">
        <f aca="false">IF(OR(Y56=0,NOT(ISNUMBER($D56))),"—",AD56/$D56-1)</f>
        <v>—</v>
      </c>
      <c r="AH56" s="64" t="n">
        <f aca="false">IF(Y56=0,"—",AD56/Z56-1)</f>
        <v>0.164223379718978</v>
      </c>
      <c r="AI56" s="64" t="n">
        <f aca="false">IF(Y56=0,"—",AD56/AA56-1)</f>
        <v>-0.25467835529758</v>
      </c>
      <c r="AJ56" s="59" t="n">
        <f aca="false">COUNTIFS(Offers!$B$7:$B$3000,$B56,Offers!$C$7:$C$3000,"Slovakia",Offers!$AI$7:$AI$3000,"yes")</f>
        <v>5</v>
      </c>
      <c r="AK56" s="60" t="n">
        <f aca="false">IF(AJ56=0,"—",SUMIFS(Review!$I$7:$I$600,Review!$B$7:$B$600,$B56,Review!$C$7:$C$600,"Slovakia"))</f>
        <v>4.43</v>
      </c>
      <c r="AL56" s="60" t="n">
        <f aca="false">IF(AJ56=0,"—",SUMIFS(Review!$J$7:$J$600,Review!$B$7:$B$600,$B56,Review!$C$7:$C$600,"Slovakia"))</f>
        <v>6.75</v>
      </c>
      <c r="AM56" s="60" t="n">
        <f aca="false">IF(AJ56=0,"—",SUMIFS(Review!$K$7:$K$600,Review!$B$7:$B$600,$B56,Review!$C$7:$C$600,"Slovakia"))</f>
        <v>15.56</v>
      </c>
      <c r="AN56" s="61" t="str">
        <f aca="false">IF(AJ56=0,"—",IF(AK56&lt;AL56*(1-$C$7),"median (cheapest is an outlier)",IF(AK56*(1-$C$6)&lt;AL56*(1-$C$5),"undercut cheapest","median")))</f>
        <v>undercut cheapest</v>
      </c>
      <c r="AO56" s="62" t="n">
        <f aca="false">IF(AJ56=0,"—",IF(AND(ISNUMBER($D56),$D56*(1+$C$10)&gt;FLOOR(IF(AK56&lt;AL56*(1-$C$7),AL56*(1-$C$5-IF(AJ56&lt;3,$C$8,0)),MIN(AL56*(1-$C$5-IF(AJ56&lt;3,$C$8,0)),AK56*(1-$C$6-IF(AJ56&lt;3,$C$8,0)))),IF(IF(AK56&lt;AL56*(1-$C$7),AL56*(1-$C$5-IF(AJ56&lt;3,$C$8,0)),MIN(AL56*(1-$C$5-IF(AJ56&lt;3,$C$8,0)),AK56*(1-$C$6-IF(AJ56&lt;3,$C$8,0))))&lt;10,$C$9,IF(IF(AK56&lt;AL56*(1-$C$7),AL56*(1-$C$5-IF(AJ56&lt;3,$C$8,0)),MIN(AL56*(1-$C$5-IF(AJ56&lt;3,$C$8,0)),AK56*(1-$C$6-IF(AJ56&lt;3,$C$8,0))))&lt;100,$D$9,$E$9)))),ROUND($D56*(1+$C$10),2),FLOOR(IF(AK56&lt;AL56*(1-$C$7),AL56*(1-$C$5-IF(AJ56&lt;3,$C$8,0)),MIN(AL56*(1-$C$5-IF(AJ56&lt;3,$C$8,0)),AK56*(1-$C$6-IF(AJ56&lt;3,$C$8,0)))),IF(IF(AK56&lt;AL56*(1-$C$7),AL56*(1-$C$5-IF(AJ56&lt;3,$C$8,0)),MIN(AL56*(1-$C$5-IF(AJ56&lt;3,$C$8,0)),AK56*(1-$C$6-IF(AJ56&lt;3,$C$8,0))))&lt;10,$C$9,IF(IF(AK56&lt;AL56*(1-$C$7),AL56*(1-$C$5-IF(AJ56&lt;3,$C$8,0)),MIN(AL56*(1-$C$5-IF(AJ56&lt;3,$C$8,0)),AK56*(1-$C$6-IF(AJ56&lt;3,$C$8,0))))&lt;100,$D$9,$E$9)))))</f>
        <v>4.2</v>
      </c>
      <c r="AP56" s="60" t="str">
        <f aca="false">IF(ISNUMBER($D56),$D56,"n/a")</f>
        <v>n/a</v>
      </c>
      <c r="AQ56" s="63" t="str">
        <f aca="false">IF(OR(AJ56=0,NOT(ISNUMBER($D56))),"—",AO56/$D56-1)</f>
        <v>—</v>
      </c>
      <c r="AR56" s="64" t="n">
        <f aca="false">IF(AJ56=0,"—",AO56/AK56-1)</f>
        <v>-0.0519187358916478</v>
      </c>
      <c r="AS56" s="64" t="n">
        <f aca="false">IF(AJ56=0,"—",AO56/AL56-1)</f>
        <v>-0.377777777777778</v>
      </c>
      <c r="AT56" s="59" t="n">
        <f aca="false">COUNTIFS(Offers!$B$7:$B$3000,$B56,Offers!$C$7:$C$3000,"Romania",Offers!$AI$7:$AI$3000,"yes")</f>
        <v>5</v>
      </c>
      <c r="AU56" s="60" t="n">
        <f aca="false">IF(AT56=0,"—",SUMIFS(Review!$I$7:$I$600,Review!$B$7:$B$600,$B56,Review!$C$7:$C$600,"Romania"))</f>
        <v>4.57</v>
      </c>
      <c r="AV56" s="60" t="n">
        <f aca="false">IF(AT56=0,"—",SUMIFS(Review!$J$7:$J$600,Review!$B$7:$B$600,$B56,Review!$C$7:$C$600,"Romania"))</f>
        <v>7.285451</v>
      </c>
      <c r="AW56" s="60" t="n">
        <f aca="false">IF(AT56=0,"—",SUMIFS(Review!$K$7:$K$600,Review!$B$7:$B$600,$B56,Review!$C$7:$C$600,"Romania"))</f>
        <v>12.156945</v>
      </c>
      <c r="AX56" s="61" t="str">
        <f aca="false">IF(AT56=0,"—",IF(AU56&lt;AV56*(1-$C$7),"median (cheapest is an outlier)",IF(AU56*(1-$C$6)&lt;AV56*(1-$C$5),"undercut cheapest","median")))</f>
        <v>median (cheapest is an outlier)</v>
      </c>
      <c r="AY56" s="62" t="n">
        <f aca="false">IF(AT56=0,"—",IF(AND(ISNUMBER($D56),$D56*(1+$C$10)&gt;FLOOR(IF(AU56&lt;AV56*(1-$C$7),AV56*(1-$C$5-IF(AT56&lt;3,$C$8,0)),MIN(AV56*(1-$C$5-IF(AT56&lt;3,$C$8,0)),AU56*(1-$C$6-IF(AT56&lt;3,$C$8,0)))),IF(IF(AU56&lt;AV56*(1-$C$7),AV56*(1-$C$5-IF(AT56&lt;3,$C$8,0)),MIN(AV56*(1-$C$5-IF(AT56&lt;3,$C$8,0)),AU56*(1-$C$6-IF(AT56&lt;3,$C$8,0))))&lt;10,$C$9,IF(IF(AU56&lt;AV56*(1-$C$7),AV56*(1-$C$5-IF(AT56&lt;3,$C$8,0)),MIN(AV56*(1-$C$5-IF(AT56&lt;3,$C$8,0)),AU56*(1-$C$6-IF(AT56&lt;3,$C$8,0))))&lt;100,$D$9,$E$9)))),ROUND($D56*(1+$C$10),2),FLOOR(IF(AU56&lt;AV56*(1-$C$7),AV56*(1-$C$5-IF(AT56&lt;3,$C$8,0)),MIN(AV56*(1-$C$5-IF(AT56&lt;3,$C$8,0)),AU56*(1-$C$6-IF(AT56&lt;3,$C$8,0)))),IF(IF(AU56&lt;AV56*(1-$C$7),AV56*(1-$C$5-IF(AT56&lt;3,$C$8,0)),MIN(AV56*(1-$C$5-IF(AT56&lt;3,$C$8,0)),AU56*(1-$C$6-IF(AT56&lt;3,$C$8,0))))&lt;10,$C$9,IF(IF(AU56&lt;AV56*(1-$C$7),AV56*(1-$C$5-IF(AT56&lt;3,$C$8,0)),MIN(AV56*(1-$C$5-IF(AT56&lt;3,$C$8,0)),AU56*(1-$C$6-IF(AT56&lt;3,$C$8,0))))&lt;100,$D$9,$E$9)))))</f>
        <v>5.45</v>
      </c>
      <c r="AZ56" s="62" t="n">
        <f aca="false">IF(AT56=0,"—",FLOOR(AY56*Sources!$G$9,0.1))</f>
        <v>28.7</v>
      </c>
      <c r="BA56" s="60" t="str">
        <f aca="false">IF(ISNUMBER($D56),$D56,"n/a")</f>
        <v>n/a</v>
      </c>
      <c r="BB56" s="63" t="str">
        <f aca="false">IF(OR(AT56=0,NOT(ISNUMBER($D56))),"—",AY56/$D56-1)</f>
        <v>—</v>
      </c>
      <c r="BC56" s="64" t="n">
        <f aca="false">IF(AT56=0,"—",AY56/AU56-1)</f>
        <v>0.192560175054705</v>
      </c>
      <c r="BD56" s="64" t="n">
        <f aca="false">IF(AT56=0,"—",AY56/AV56-1)</f>
        <v>-0.251933751253011</v>
      </c>
      <c r="BE56" s="59" t="n">
        <f aca="false">COUNTIFS(Offers!$B$7:$B$3000,$B56,Offers!$C$7:$C$3000,"Hungary",Offers!$AI$7:$AI$3000,"yes")</f>
        <v>0</v>
      </c>
      <c r="BF56" s="60" t="str">
        <f aca="false">IF(BE56=0,"—",SUMIFS(Review!$I$7:$I$600,Review!$B$7:$B$600,$B56,Review!$C$7:$C$600,"Hungary"))</f>
        <v>—</v>
      </c>
      <c r="BG56" s="60" t="str">
        <f aca="false">IF(BE56=0,"—",SUMIFS(Review!$J$7:$J$600,Review!$B$7:$B$600,$B56,Review!$C$7:$C$600,"Hungary"))</f>
        <v>—</v>
      </c>
      <c r="BH56" s="60" t="str">
        <f aca="false">IF(BE56=0,"—",SUMIFS(Review!$K$7:$K$600,Review!$B$7:$B$600,$B56,Review!$C$7:$C$600,"Hungary"))</f>
        <v>—</v>
      </c>
      <c r="BI56" s="61" t="str">
        <f aca="false">IF(BE56=0,"—",IF(BF56&lt;BG56*(1-$C$7),"median (cheapest is an outlier)",IF(BF56*(1-$C$6)&lt;BG56*(1-$C$5),"undercut cheapest","median")))</f>
        <v>—</v>
      </c>
      <c r="BJ56" s="62" t="str">
        <f aca="false">IF(BE56=0,"—",IF(AND(ISNUMBER($D56),$D56*(1+$C$10)&gt;FLOOR(IF(BF56&lt;BG56*(1-$C$7),BG56*(1-$C$5-IF(BE56&lt;3,$C$8,0)),MIN(BG56*(1-$C$5-IF(BE56&lt;3,$C$8,0)),BF56*(1-$C$6-IF(BE56&lt;3,$C$8,0)))),IF(IF(BF56&lt;BG56*(1-$C$7),BG56*(1-$C$5-IF(BE56&lt;3,$C$8,0)),MIN(BG56*(1-$C$5-IF(BE56&lt;3,$C$8,0)),BF56*(1-$C$6-IF(BE56&lt;3,$C$8,0))))&lt;10,$C$9,IF(IF(BF56&lt;BG56*(1-$C$7),BG56*(1-$C$5-IF(BE56&lt;3,$C$8,0)),MIN(BG56*(1-$C$5-IF(BE56&lt;3,$C$8,0)),BF56*(1-$C$6-IF(BE56&lt;3,$C$8,0))))&lt;100,$D$9,$E$9)))),ROUND($D56*(1+$C$10),2),FLOOR(IF(BF56&lt;BG56*(1-$C$7),BG56*(1-$C$5-IF(BE56&lt;3,$C$8,0)),MIN(BG56*(1-$C$5-IF(BE56&lt;3,$C$8,0)),BF56*(1-$C$6-IF(BE56&lt;3,$C$8,0)))),IF(IF(BF56&lt;BG56*(1-$C$7),BG56*(1-$C$5-IF(BE56&lt;3,$C$8,0)),MIN(BG56*(1-$C$5-IF(BE56&lt;3,$C$8,0)),BF56*(1-$C$6-IF(BE56&lt;3,$C$8,0))))&lt;10,$C$9,IF(IF(BF56&lt;BG56*(1-$C$7),BG56*(1-$C$5-IF(BE56&lt;3,$C$8,0)),MIN(BG56*(1-$C$5-IF(BE56&lt;3,$C$8,0)),BF56*(1-$C$6-IF(BE56&lt;3,$C$8,0))))&lt;100,$D$9,$E$9)))))</f>
        <v>—</v>
      </c>
      <c r="BK56" s="65" t="str">
        <f aca="false">IF(BE56=0,"—",FLOOR(BJ56*Sources!$G$8,10))</f>
        <v>—</v>
      </c>
      <c r="BL56" s="60" t="str">
        <f aca="false">IF(ISNUMBER($D56),$D56,"n/a")</f>
        <v>n/a</v>
      </c>
      <c r="BM56" s="63" t="str">
        <f aca="false">IF(OR(BE56=0,NOT(ISNUMBER($D56))),"—",BJ56/$D56-1)</f>
        <v>—</v>
      </c>
      <c r="BN56" s="64" t="str">
        <f aca="false">IF(BE56=0,"—",BJ56/BF56-1)</f>
        <v>—</v>
      </c>
      <c r="BO56" s="64" t="str">
        <f aca="false">IF(BE56=0,"—",BJ56/BG56-1)</f>
        <v>—</v>
      </c>
    </row>
    <row r="57" customFormat="false" ht="31.5" hidden="false" customHeight="true" outlineLevel="0" collapsed="false">
      <c r="B57" s="1" t="s">
        <v>73</v>
      </c>
      <c r="C57" s="1" t="s">
        <v>182</v>
      </c>
      <c r="D57" s="58"/>
      <c r="E57" s="59" t="n">
        <f aca="false">COUNTIFS(Offers!$B$7:$B$3000,$B57,Offers!$C$7:$C$3000,"Austria",Offers!$AI$7:$AI$3000,"yes")</f>
        <v>7</v>
      </c>
      <c r="F57" s="60" t="n">
        <f aca="false">IF(E57=0,"—",SUMIFS(Review!$I$7:$I$600,Review!$B$7:$B$600,$B57,Review!$C$7:$C$600,"Austria"))</f>
        <v>8.39</v>
      </c>
      <c r="G57" s="60" t="n">
        <f aca="false">IF(E57=0,"—",SUMIFS(Review!$J$7:$J$600,Review!$B$7:$B$600,$B57,Review!$C$7:$C$600,"Austria"))</f>
        <v>9.99</v>
      </c>
      <c r="H57" s="60" t="n">
        <f aca="false">IF(E57=0,"—",SUMIFS(Review!$K$7:$K$600,Review!$B$7:$B$600,$B57,Review!$C$7:$C$600,"Austria"))</f>
        <v>23.2</v>
      </c>
      <c r="I57" s="61" t="str">
        <f aca="false">IF(E57=0,"—",IF(F57&lt;G57*(1-$C$7),"median (cheapest is an outlier)",IF(F57*(1-$C$6)&lt;G57*(1-$C$5),"undercut cheapest","median")))</f>
        <v>median</v>
      </c>
      <c r="J57" s="62" t="n">
        <f aca="false">IF(E57=0,"—",IF(AND(ISNUMBER($D57),$D57*(1+$C$10)&gt;FLOOR(IF(F57&lt;G57*(1-$C$7),G57*(1-$C$5-IF(E57&lt;3,$C$8,0)),MIN(G57*(1-$C$5-IF(E57&lt;3,$C$8,0)),F57*(1-$C$6-IF(E57&lt;3,$C$8,0)))),IF(IF(F57&lt;G57*(1-$C$7),G57*(1-$C$5-IF(E57&lt;3,$C$8,0)),MIN(G57*(1-$C$5-IF(E57&lt;3,$C$8,0)),F57*(1-$C$6-IF(E57&lt;3,$C$8,0))))&lt;10,$C$9,IF(IF(F57&lt;G57*(1-$C$7),G57*(1-$C$5-IF(E57&lt;3,$C$8,0)),MIN(G57*(1-$C$5-IF(E57&lt;3,$C$8,0)),F57*(1-$C$6-IF(E57&lt;3,$C$8,0))))&lt;100,$D$9,$E$9)))),ROUND($D57*(1+$C$10),2),FLOOR(IF(F57&lt;G57*(1-$C$7),G57*(1-$C$5-IF(E57&lt;3,$C$8,0)),MIN(G57*(1-$C$5-IF(E57&lt;3,$C$8,0)),F57*(1-$C$6-IF(E57&lt;3,$C$8,0)))),IF(IF(F57&lt;G57*(1-$C$7),G57*(1-$C$5-IF(E57&lt;3,$C$8,0)),MIN(G57*(1-$C$5-IF(E57&lt;3,$C$8,0)),F57*(1-$C$6-IF(E57&lt;3,$C$8,0))))&lt;10,$C$9,IF(IF(F57&lt;G57*(1-$C$7),G57*(1-$C$5-IF(E57&lt;3,$C$8,0)),MIN(G57*(1-$C$5-IF(E57&lt;3,$C$8,0)),F57*(1-$C$6-IF(E57&lt;3,$C$8,0))))&lt;100,$D$9,$E$9)))))</f>
        <v>7.45</v>
      </c>
      <c r="K57" s="60" t="str">
        <f aca="false">IF(ISNUMBER($D57),$D57,"n/a")</f>
        <v>n/a</v>
      </c>
      <c r="L57" s="63" t="str">
        <f aca="false">IF(OR(E57=0,NOT(ISNUMBER($D57))),"—",J57/$D57-1)</f>
        <v>—</v>
      </c>
      <c r="M57" s="64" t="n">
        <f aca="false">IF(E57=0,"—",J57/F57-1)</f>
        <v>-0.112038140643623</v>
      </c>
      <c r="N57" s="64" t="n">
        <f aca="false">IF(E57=0,"—",J57/G57-1)</f>
        <v>-0.254254254254254</v>
      </c>
      <c r="O57" s="59" t="n">
        <f aca="false">COUNTIFS(Offers!$B$7:$B$3000,$B57,Offers!$C$7:$C$3000,"Germany",Offers!$AI$7:$AI$3000,"yes")</f>
        <v>7</v>
      </c>
      <c r="P57" s="60" t="n">
        <f aca="false">IF(O57=0,"—",SUMIFS(Review!$I$7:$I$600,Review!$B$7:$B$600,$B57,Review!$C$7:$C$600,"Germany"))</f>
        <v>5.78</v>
      </c>
      <c r="Q57" s="60" t="n">
        <f aca="false">IF(O57=0,"—",SUMIFS(Review!$J$7:$J$600,Review!$B$7:$B$600,$B57,Review!$C$7:$C$600,"Germany"))</f>
        <v>8.83</v>
      </c>
      <c r="R57" s="60" t="n">
        <f aca="false">IF(O57=0,"—",SUMIFS(Review!$K$7:$K$600,Review!$B$7:$B$600,$B57,Review!$C$7:$C$600,"Germany"))</f>
        <v>17.93</v>
      </c>
      <c r="S57" s="61" t="str">
        <f aca="false">IF(O57=0,"—",IF(P57&lt;Q57*(1-$C$7),"median (cheapest is an outlier)",IF(P57*(1-$C$6)&lt;Q57*(1-$C$5),"undercut cheapest","median")))</f>
        <v>undercut cheapest</v>
      </c>
      <c r="T57" s="62" t="n">
        <f aca="false">IF(O57=0,"—",IF(AND(ISNUMBER($D57),$D57*(1+$C$10)&gt;FLOOR(IF(P57&lt;Q57*(1-$C$7),Q57*(1-$C$5-IF(O57&lt;3,$C$8,0)),MIN(Q57*(1-$C$5-IF(O57&lt;3,$C$8,0)),P57*(1-$C$6-IF(O57&lt;3,$C$8,0)))),IF(IF(P57&lt;Q57*(1-$C$7),Q57*(1-$C$5-IF(O57&lt;3,$C$8,0)),MIN(Q57*(1-$C$5-IF(O57&lt;3,$C$8,0)),P57*(1-$C$6-IF(O57&lt;3,$C$8,0))))&lt;10,$C$9,IF(IF(P57&lt;Q57*(1-$C$7),Q57*(1-$C$5-IF(O57&lt;3,$C$8,0)),MIN(Q57*(1-$C$5-IF(O57&lt;3,$C$8,0)),P57*(1-$C$6-IF(O57&lt;3,$C$8,0))))&lt;100,$D$9,$E$9)))),ROUND($D57*(1+$C$10),2),FLOOR(IF(P57&lt;Q57*(1-$C$7),Q57*(1-$C$5-IF(O57&lt;3,$C$8,0)),MIN(Q57*(1-$C$5-IF(O57&lt;3,$C$8,0)),P57*(1-$C$6-IF(O57&lt;3,$C$8,0)))),IF(IF(P57&lt;Q57*(1-$C$7),Q57*(1-$C$5-IF(O57&lt;3,$C$8,0)),MIN(Q57*(1-$C$5-IF(O57&lt;3,$C$8,0)),P57*(1-$C$6-IF(O57&lt;3,$C$8,0))))&lt;10,$C$9,IF(IF(P57&lt;Q57*(1-$C$7),Q57*(1-$C$5-IF(O57&lt;3,$C$8,0)),MIN(Q57*(1-$C$5-IF(O57&lt;3,$C$8,0)),P57*(1-$C$6-IF(O57&lt;3,$C$8,0))))&lt;100,$D$9,$E$9)))))</f>
        <v>5.45</v>
      </c>
      <c r="U57" s="60" t="str">
        <f aca="false">IF(ISNUMBER($D57),$D57,"n/a")</f>
        <v>n/a</v>
      </c>
      <c r="V57" s="63" t="str">
        <f aca="false">IF(OR(O57=0,NOT(ISNUMBER($D57))),"—",T57/$D57-1)</f>
        <v>—</v>
      </c>
      <c r="W57" s="64" t="n">
        <f aca="false">IF(O57=0,"—",T57/P57-1)</f>
        <v>-0.0570934256055363</v>
      </c>
      <c r="X57" s="64" t="n">
        <f aca="false">IF(O57=0,"—",T57/Q57-1)</f>
        <v>-0.382785956964892</v>
      </c>
      <c r="Y57" s="59" t="n">
        <f aca="false">COUNTIFS(Offers!$B$7:$B$3000,$B57,Offers!$C$7:$C$3000,"Czech",Offers!$AI$7:$AI$3000,"yes")</f>
        <v>5</v>
      </c>
      <c r="Z57" s="60" t="n">
        <f aca="false">IF(Y57=0,"—",SUMIFS(Review!$I$7:$I$600,Review!$B$7:$B$600,$B57,Review!$C$7:$C$600,"Czech"))</f>
        <v>7.492748</v>
      </c>
      <c r="AA57" s="60" t="n">
        <f aca="false">IF(Y57=0,"—",SUMIFS(Review!$J$7:$J$600,Review!$B$7:$B$600,$B57,Review!$C$7:$C$600,"Czech"))</f>
        <v>10.235995</v>
      </c>
      <c r="AB57" s="60" t="n">
        <f aca="false">IF(Y57=0,"—",SUMIFS(Review!$K$7:$K$600,Review!$B$7:$B$600,$B57,Review!$C$7:$C$600,"Czech"))</f>
        <v>11.054874</v>
      </c>
      <c r="AC57" s="61" t="str">
        <f aca="false">IF(Y57=0,"—",IF(Z57&lt;AA57*(1-$C$7),"median (cheapest is an outlier)",IF(Z57*(1-$C$6)&lt;AA57*(1-$C$5),"undercut cheapest","median")))</f>
        <v>undercut cheapest</v>
      </c>
      <c r="AD57" s="62" t="n">
        <f aca="false">IF(Y57=0,"—",IF(AND(ISNUMBER($D57),$D57*(1+$C$10)&gt;FLOOR(IF(Z57&lt;AA57*(1-$C$7),AA57*(1-$C$5-IF(Y57&lt;3,$C$8,0)),MIN(AA57*(1-$C$5-IF(Y57&lt;3,$C$8,0)),Z57*(1-$C$6-IF(Y57&lt;3,$C$8,0)))),IF(IF(Z57&lt;AA57*(1-$C$7),AA57*(1-$C$5-IF(Y57&lt;3,$C$8,0)),MIN(AA57*(1-$C$5-IF(Y57&lt;3,$C$8,0)),Z57*(1-$C$6-IF(Y57&lt;3,$C$8,0))))&lt;10,$C$9,IF(IF(Z57&lt;AA57*(1-$C$7),AA57*(1-$C$5-IF(Y57&lt;3,$C$8,0)),MIN(AA57*(1-$C$5-IF(Y57&lt;3,$C$8,0)),Z57*(1-$C$6-IF(Y57&lt;3,$C$8,0))))&lt;100,$D$9,$E$9)))),ROUND($D57*(1+$C$10),2),FLOOR(IF(Z57&lt;AA57*(1-$C$7),AA57*(1-$C$5-IF(Y57&lt;3,$C$8,0)),MIN(AA57*(1-$C$5-IF(Y57&lt;3,$C$8,0)),Z57*(1-$C$6-IF(Y57&lt;3,$C$8,0)))),IF(IF(Z57&lt;AA57*(1-$C$7),AA57*(1-$C$5-IF(Y57&lt;3,$C$8,0)),MIN(AA57*(1-$C$5-IF(Y57&lt;3,$C$8,0)),Z57*(1-$C$6-IF(Y57&lt;3,$C$8,0))))&lt;10,$C$9,IF(IF(Z57&lt;AA57*(1-$C$7),AA57*(1-$C$5-IF(Y57&lt;3,$C$8,0)),MIN(AA57*(1-$C$5-IF(Y57&lt;3,$C$8,0)),Z57*(1-$C$6-IF(Y57&lt;3,$C$8,0))))&lt;100,$D$9,$E$9)))))</f>
        <v>7.1</v>
      </c>
      <c r="AE57" s="65" t="n">
        <f aca="false">IF(Y57=0,"—",FLOOR(AD57*Sources!$G$10,1))</f>
        <v>173</v>
      </c>
      <c r="AF57" s="60" t="str">
        <f aca="false">IF(ISNUMBER($D57),$D57,"n/a")</f>
        <v>n/a</v>
      </c>
      <c r="AG57" s="63" t="str">
        <f aca="false">IF(OR(Y57=0,NOT(ISNUMBER($D57))),"—",AD57/$D57-1)</f>
        <v>—</v>
      </c>
      <c r="AH57" s="64" t="n">
        <f aca="false">IF(Y57=0,"—",AD57/Z57-1)</f>
        <v>-0.052417083825587</v>
      </c>
      <c r="AI57" s="64" t="n">
        <f aca="false">IF(Y57=0,"—",AD57/AA57-1)</f>
        <v>-0.306369336835354</v>
      </c>
      <c r="AJ57" s="59" t="n">
        <f aca="false">COUNTIFS(Offers!$B$7:$B$3000,$B57,Offers!$C$7:$C$3000,"Slovakia",Offers!$AI$7:$AI$3000,"yes")</f>
        <v>5</v>
      </c>
      <c r="AK57" s="60" t="n">
        <f aca="false">IF(AJ57=0,"—",SUMIFS(Review!$I$7:$I$600,Review!$B$7:$B$600,$B57,Review!$C$7:$C$600,"Slovakia"))</f>
        <v>7.16</v>
      </c>
      <c r="AL57" s="60" t="n">
        <f aca="false">IF(AJ57=0,"—",SUMIFS(Review!$J$7:$J$600,Review!$B$7:$B$600,$B57,Review!$C$7:$C$600,"Slovakia"))</f>
        <v>10</v>
      </c>
      <c r="AM57" s="60" t="n">
        <f aca="false">IF(AJ57=0,"—",SUMIFS(Review!$K$7:$K$600,Review!$B$7:$B$600,$B57,Review!$C$7:$C$600,"Slovakia"))</f>
        <v>17.81</v>
      </c>
      <c r="AN57" s="61" t="str">
        <f aca="false">IF(AJ57=0,"—",IF(AK57&lt;AL57*(1-$C$7),"median (cheapest is an outlier)",IF(AK57*(1-$C$6)&lt;AL57*(1-$C$5),"undercut cheapest","median")))</f>
        <v>undercut cheapest</v>
      </c>
      <c r="AO57" s="62" t="n">
        <f aca="false">IF(AJ57=0,"—",IF(AND(ISNUMBER($D57),$D57*(1+$C$10)&gt;FLOOR(IF(AK57&lt;AL57*(1-$C$7),AL57*(1-$C$5-IF(AJ57&lt;3,$C$8,0)),MIN(AL57*(1-$C$5-IF(AJ57&lt;3,$C$8,0)),AK57*(1-$C$6-IF(AJ57&lt;3,$C$8,0)))),IF(IF(AK57&lt;AL57*(1-$C$7),AL57*(1-$C$5-IF(AJ57&lt;3,$C$8,0)),MIN(AL57*(1-$C$5-IF(AJ57&lt;3,$C$8,0)),AK57*(1-$C$6-IF(AJ57&lt;3,$C$8,0))))&lt;10,$C$9,IF(IF(AK57&lt;AL57*(1-$C$7),AL57*(1-$C$5-IF(AJ57&lt;3,$C$8,0)),MIN(AL57*(1-$C$5-IF(AJ57&lt;3,$C$8,0)),AK57*(1-$C$6-IF(AJ57&lt;3,$C$8,0))))&lt;100,$D$9,$E$9)))),ROUND($D57*(1+$C$10),2),FLOOR(IF(AK57&lt;AL57*(1-$C$7),AL57*(1-$C$5-IF(AJ57&lt;3,$C$8,0)),MIN(AL57*(1-$C$5-IF(AJ57&lt;3,$C$8,0)),AK57*(1-$C$6-IF(AJ57&lt;3,$C$8,0)))),IF(IF(AK57&lt;AL57*(1-$C$7),AL57*(1-$C$5-IF(AJ57&lt;3,$C$8,0)),MIN(AL57*(1-$C$5-IF(AJ57&lt;3,$C$8,0)),AK57*(1-$C$6-IF(AJ57&lt;3,$C$8,0))))&lt;10,$C$9,IF(IF(AK57&lt;AL57*(1-$C$7),AL57*(1-$C$5-IF(AJ57&lt;3,$C$8,0)),MIN(AL57*(1-$C$5-IF(AJ57&lt;3,$C$8,0)),AK57*(1-$C$6-IF(AJ57&lt;3,$C$8,0))))&lt;100,$D$9,$E$9)))))</f>
        <v>6.8</v>
      </c>
      <c r="AP57" s="60" t="str">
        <f aca="false">IF(ISNUMBER($D57),$D57,"n/a")</f>
        <v>n/a</v>
      </c>
      <c r="AQ57" s="63" t="str">
        <f aca="false">IF(OR(AJ57=0,NOT(ISNUMBER($D57))),"—",AO57/$D57-1)</f>
        <v>—</v>
      </c>
      <c r="AR57" s="64" t="n">
        <f aca="false">IF(AJ57=0,"—",AO57/AK57-1)</f>
        <v>-0.0502793296089384</v>
      </c>
      <c r="AS57" s="64" t="n">
        <f aca="false">IF(AJ57=0,"—",AO57/AL57-1)</f>
        <v>-0.32</v>
      </c>
      <c r="AT57" s="59" t="n">
        <f aca="false">COUNTIFS(Offers!$B$7:$B$3000,$B57,Offers!$C$7:$C$3000,"Romania",Offers!$AI$7:$AI$3000,"yes")</f>
        <v>5</v>
      </c>
      <c r="AU57" s="60" t="n">
        <f aca="false">IF(AT57=0,"—",SUMIFS(Review!$I$7:$I$600,Review!$B$7:$B$600,$B57,Review!$C$7:$C$600,"Romania"))</f>
        <v>3.8</v>
      </c>
      <c r="AV57" s="60" t="n">
        <f aca="false">IF(AT57=0,"—",SUMIFS(Review!$J$7:$J$600,Review!$B$7:$B$600,$B57,Review!$C$7:$C$600,"Romania"))</f>
        <v>8.655381</v>
      </c>
      <c r="AW57" s="60" t="n">
        <f aca="false">IF(AT57=0,"—",SUMIFS(Review!$K$7:$K$600,Review!$B$7:$B$600,$B57,Review!$C$7:$C$600,"Romania"))</f>
        <v>18.74322</v>
      </c>
      <c r="AX57" s="61" t="str">
        <f aca="false">IF(AT57=0,"—",IF(AU57&lt;AV57*(1-$C$7),"median (cheapest is an outlier)",IF(AU57*(1-$C$6)&lt;AV57*(1-$C$5),"undercut cheapest","median")))</f>
        <v>median (cheapest is an outlier)</v>
      </c>
      <c r="AY57" s="62" t="n">
        <f aca="false">IF(AT57=0,"—",IF(AND(ISNUMBER($D57),$D57*(1+$C$10)&gt;FLOOR(IF(AU57&lt;AV57*(1-$C$7),AV57*(1-$C$5-IF(AT57&lt;3,$C$8,0)),MIN(AV57*(1-$C$5-IF(AT57&lt;3,$C$8,0)),AU57*(1-$C$6-IF(AT57&lt;3,$C$8,0)))),IF(IF(AU57&lt;AV57*(1-$C$7),AV57*(1-$C$5-IF(AT57&lt;3,$C$8,0)),MIN(AV57*(1-$C$5-IF(AT57&lt;3,$C$8,0)),AU57*(1-$C$6-IF(AT57&lt;3,$C$8,0))))&lt;10,$C$9,IF(IF(AU57&lt;AV57*(1-$C$7),AV57*(1-$C$5-IF(AT57&lt;3,$C$8,0)),MIN(AV57*(1-$C$5-IF(AT57&lt;3,$C$8,0)),AU57*(1-$C$6-IF(AT57&lt;3,$C$8,0))))&lt;100,$D$9,$E$9)))),ROUND($D57*(1+$C$10),2),FLOOR(IF(AU57&lt;AV57*(1-$C$7),AV57*(1-$C$5-IF(AT57&lt;3,$C$8,0)),MIN(AV57*(1-$C$5-IF(AT57&lt;3,$C$8,0)),AU57*(1-$C$6-IF(AT57&lt;3,$C$8,0)))),IF(IF(AU57&lt;AV57*(1-$C$7),AV57*(1-$C$5-IF(AT57&lt;3,$C$8,0)),MIN(AV57*(1-$C$5-IF(AT57&lt;3,$C$8,0)),AU57*(1-$C$6-IF(AT57&lt;3,$C$8,0))))&lt;10,$C$9,IF(IF(AU57&lt;AV57*(1-$C$7),AV57*(1-$C$5-IF(AT57&lt;3,$C$8,0)),MIN(AV57*(1-$C$5-IF(AT57&lt;3,$C$8,0)),AU57*(1-$C$6-IF(AT57&lt;3,$C$8,0))))&lt;100,$D$9,$E$9)))))</f>
        <v>6.45</v>
      </c>
      <c r="AZ57" s="62" t="n">
        <f aca="false">IF(AT57=0,"—",FLOOR(AY57*Sources!$G$9,0.1))</f>
        <v>34</v>
      </c>
      <c r="BA57" s="60" t="str">
        <f aca="false">IF(ISNUMBER($D57),$D57,"n/a")</f>
        <v>n/a</v>
      </c>
      <c r="BB57" s="63" t="str">
        <f aca="false">IF(OR(AT57=0,NOT(ISNUMBER($D57))),"—",AY57/$D57-1)</f>
        <v>—</v>
      </c>
      <c r="BC57" s="64" t="n">
        <f aca="false">IF(AT57=0,"—",AY57/AU57-1)</f>
        <v>0.697368421052632</v>
      </c>
      <c r="BD57" s="64" t="n">
        <f aca="false">IF(AT57=0,"—",AY57/AV57-1)</f>
        <v>-0.254798835545194</v>
      </c>
      <c r="BE57" s="59" t="n">
        <f aca="false">COUNTIFS(Offers!$B$7:$B$3000,$B57,Offers!$C$7:$C$3000,"Hungary",Offers!$AI$7:$AI$3000,"yes")</f>
        <v>0</v>
      </c>
      <c r="BF57" s="60" t="str">
        <f aca="false">IF(BE57=0,"—",SUMIFS(Review!$I$7:$I$600,Review!$B$7:$B$600,$B57,Review!$C$7:$C$600,"Hungary"))</f>
        <v>—</v>
      </c>
      <c r="BG57" s="60" t="str">
        <f aca="false">IF(BE57=0,"—",SUMIFS(Review!$J$7:$J$600,Review!$B$7:$B$600,$B57,Review!$C$7:$C$600,"Hungary"))</f>
        <v>—</v>
      </c>
      <c r="BH57" s="60" t="str">
        <f aca="false">IF(BE57=0,"—",SUMIFS(Review!$K$7:$K$600,Review!$B$7:$B$600,$B57,Review!$C$7:$C$600,"Hungary"))</f>
        <v>—</v>
      </c>
      <c r="BI57" s="61" t="str">
        <f aca="false">IF(BE57=0,"—",IF(BF57&lt;BG57*(1-$C$7),"median (cheapest is an outlier)",IF(BF57*(1-$C$6)&lt;BG57*(1-$C$5),"undercut cheapest","median")))</f>
        <v>—</v>
      </c>
      <c r="BJ57" s="62" t="str">
        <f aca="false">IF(BE57=0,"—",IF(AND(ISNUMBER($D57),$D57*(1+$C$10)&gt;FLOOR(IF(BF57&lt;BG57*(1-$C$7),BG57*(1-$C$5-IF(BE57&lt;3,$C$8,0)),MIN(BG57*(1-$C$5-IF(BE57&lt;3,$C$8,0)),BF57*(1-$C$6-IF(BE57&lt;3,$C$8,0)))),IF(IF(BF57&lt;BG57*(1-$C$7),BG57*(1-$C$5-IF(BE57&lt;3,$C$8,0)),MIN(BG57*(1-$C$5-IF(BE57&lt;3,$C$8,0)),BF57*(1-$C$6-IF(BE57&lt;3,$C$8,0))))&lt;10,$C$9,IF(IF(BF57&lt;BG57*(1-$C$7),BG57*(1-$C$5-IF(BE57&lt;3,$C$8,0)),MIN(BG57*(1-$C$5-IF(BE57&lt;3,$C$8,0)),BF57*(1-$C$6-IF(BE57&lt;3,$C$8,0))))&lt;100,$D$9,$E$9)))),ROUND($D57*(1+$C$10),2),FLOOR(IF(BF57&lt;BG57*(1-$C$7),BG57*(1-$C$5-IF(BE57&lt;3,$C$8,0)),MIN(BG57*(1-$C$5-IF(BE57&lt;3,$C$8,0)),BF57*(1-$C$6-IF(BE57&lt;3,$C$8,0)))),IF(IF(BF57&lt;BG57*(1-$C$7),BG57*(1-$C$5-IF(BE57&lt;3,$C$8,0)),MIN(BG57*(1-$C$5-IF(BE57&lt;3,$C$8,0)),BF57*(1-$C$6-IF(BE57&lt;3,$C$8,0))))&lt;10,$C$9,IF(IF(BF57&lt;BG57*(1-$C$7),BG57*(1-$C$5-IF(BE57&lt;3,$C$8,0)),MIN(BG57*(1-$C$5-IF(BE57&lt;3,$C$8,0)),BF57*(1-$C$6-IF(BE57&lt;3,$C$8,0))))&lt;100,$D$9,$E$9)))))</f>
        <v>—</v>
      </c>
      <c r="BK57" s="65" t="str">
        <f aca="false">IF(BE57=0,"—",FLOOR(BJ57*Sources!$G$8,10))</f>
        <v>—</v>
      </c>
      <c r="BL57" s="60" t="str">
        <f aca="false">IF(ISNUMBER($D57),$D57,"n/a")</f>
        <v>n/a</v>
      </c>
      <c r="BM57" s="63" t="str">
        <f aca="false">IF(OR(BE57=0,NOT(ISNUMBER($D57))),"—",BJ57/$D57-1)</f>
        <v>—</v>
      </c>
      <c r="BN57" s="64" t="str">
        <f aca="false">IF(BE57=0,"—",BJ57/BF57-1)</f>
        <v>—</v>
      </c>
      <c r="BO57" s="64" t="str">
        <f aca="false">IF(BE57=0,"—",BJ57/BG57-1)</f>
        <v>—</v>
      </c>
    </row>
    <row r="58" customFormat="false" ht="31.5" hidden="false" customHeight="true" outlineLevel="0" collapsed="false">
      <c r="B58" s="1" t="s">
        <v>74</v>
      </c>
      <c r="C58" s="1" t="s">
        <v>183</v>
      </c>
      <c r="D58" s="58"/>
      <c r="E58" s="59" t="n">
        <f aca="false">COUNTIFS(Offers!$B$7:$B$3000,$B58,Offers!$C$7:$C$3000,"Austria",Offers!$AI$7:$AI$3000,"yes")</f>
        <v>7</v>
      </c>
      <c r="F58" s="60" t="n">
        <f aca="false">IF(E58=0,"—",SUMIFS(Review!$I$7:$I$600,Review!$B$7:$B$600,$B58,Review!$C$7:$C$600,"Austria"))</f>
        <v>1.6</v>
      </c>
      <c r="G58" s="60" t="n">
        <f aca="false">IF(E58=0,"—",SUMIFS(Review!$J$7:$J$600,Review!$B$7:$B$600,$B58,Review!$C$7:$C$600,"Austria"))</f>
        <v>5.66</v>
      </c>
      <c r="H58" s="60" t="n">
        <f aca="false">IF(E58=0,"—",SUMIFS(Review!$K$7:$K$600,Review!$B$7:$B$600,$B58,Review!$C$7:$C$600,"Austria"))</f>
        <v>15.6</v>
      </c>
      <c r="I58" s="61" t="str">
        <f aca="false">IF(E58=0,"—",IF(F58&lt;G58*(1-$C$7),"median (cheapest is an outlier)",IF(F58*(1-$C$6)&lt;G58*(1-$C$5),"undercut cheapest","median")))</f>
        <v>median (cheapest is an outlier)</v>
      </c>
      <c r="J58" s="62" t="n">
        <f aca="false">IF(E58=0,"—",IF(AND(ISNUMBER($D58),$D58*(1+$C$10)&gt;FLOOR(IF(F58&lt;G58*(1-$C$7),G58*(1-$C$5-IF(E58&lt;3,$C$8,0)),MIN(G58*(1-$C$5-IF(E58&lt;3,$C$8,0)),F58*(1-$C$6-IF(E58&lt;3,$C$8,0)))),IF(IF(F58&lt;G58*(1-$C$7),G58*(1-$C$5-IF(E58&lt;3,$C$8,0)),MIN(G58*(1-$C$5-IF(E58&lt;3,$C$8,0)),F58*(1-$C$6-IF(E58&lt;3,$C$8,0))))&lt;10,$C$9,IF(IF(F58&lt;G58*(1-$C$7),G58*(1-$C$5-IF(E58&lt;3,$C$8,0)),MIN(G58*(1-$C$5-IF(E58&lt;3,$C$8,0)),F58*(1-$C$6-IF(E58&lt;3,$C$8,0))))&lt;100,$D$9,$E$9)))),ROUND($D58*(1+$C$10),2),FLOOR(IF(F58&lt;G58*(1-$C$7),G58*(1-$C$5-IF(E58&lt;3,$C$8,0)),MIN(G58*(1-$C$5-IF(E58&lt;3,$C$8,0)),F58*(1-$C$6-IF(E58&lt;3,$C$8,0)))),IF(IF(F58&lt;G58*(1-$C$7),G58*(1-$C$5-IF(E58&lt;3,$C$8,0)),MIN(G58*(1-$C$5-IF(E58&lt;3,$C$8,0)),F58*(1-$C$6-IF(E58&lt;3,$C$8,0))))&lt;10,$C$9,IF(IF(F58&lt;G58*(1-$C$7),G58*(1-$C$5-IF(E58&lt;3,$C$8,0)),MIN(G58*(1-$C$5-IF(E58&lt;3,$C$8,0)),F58*(1-$C$6-IF(E58&lt;3,$C$8,0))))&lt;100,$D$9,$E$9)))))</f>
        <v>4.2</v>
      </c>
      <c r="K58" s="60" t="str">
        <f aca="false">IF(ISNUMBER($D58),$D58,"n/a")</f>
        <v>n/a</v>
      </c>
      <c r="L58" s="63" t="str">
        <f aca="false">IF(OR(E58=0,NOT(ISNUMBER($D58))),"—",J58/$D58-1)</f>
        <v>—</v>
      </c>
      <c r="M58" s="64" t="n">
        <f aca="false">IF(E58=0,"—",J58/F58-1)</f>
        <v>1.625</v>
      </c>
      <c r="N58" s="64" t="n">
        <f aca="false">IF(E58=0,"—",J58/G58-1)</f>
        <v>-0.257950530035336</v>
      </c>
      <c r="O58" s="59" t="n">
        <f aca="false">COUNTIFS(Offers!$B$7:$B$3000,$B58,Offers!$C$7:$C$3000,"Germany",Offers!$AI$7:$AI$3000,"yes")</f>
        <v>7</v>
      </c>
      <c r="P58" s="60" t="n">
        <f aca="false">IF(O58=0,"—",SUMIFS(Review!$I$7:$I$600,Review!$B$7:$B$600,$B58,Review!$C$7:$C$600,"Germany"))</f>
        <v>1.6</v>
      </c>
      <c r="Q58" s="60" t="n">
        <f aca="false">IF(O58=0,"—",SUMIFS(Review!$J$7:$J$600,Review!$B$7:$B$600,$B58,Review!$C$7:$C$600,"Germany"))</f>
        <v>4.4</v>
      </c>
      <c r="R58" s="60" t="n">
        <f aca="false">IF(O58=0,"—",SUMIFS(Review!$K$7:$K$600,Review!$B$7:$B$600,$B58,Review!$C$7:$C$600,"Germany"))</f>
        <v>15.6</v>
      </c>
      <c r="S58" s="61" t="str">
        <f aca="false">IF(O58=0,"—",IF(P58&lt;Q58*(1-$C$7),"median (cheapest is an outlier)",IF(P58*(1-$C$6)&lt;Q58*(1-$C$5),"undercut cheapest","median")))</f>
        <v>median (cheapest is an outlier)</v>
      </c>
      <c r="T58" s="62" t="n">
        <f aca="false">IF(O58=0,"—",IF(AND(ISNUMBER($D58),$D58*(1+$C$10)&gt;FLOOR(IF(P58&lt;Q58*(1-$C$7),Q58*(1-$C$5-IF(O58&lt;3,$C$8,0)),MIN(Q58*(1-$C$5-IF(O58&lt;3,$C$8,0)),P58*(1-$C$6-IF(O58&lt;3,$C$8,0)))),IF(IF(P58&lt;Q58*(1-$C$7),Q58*(1-$C$5-IF(O58&lt;3,$C$8,0)),MIN(Q58*(1-$C$5-IF(O58&lt;3,$C$8,0)),P58*(1-$C$6-IF(O58&lt;3,$C$8,0))))&lt;10,$C$9,IF(IF(P58&lt;Q58*(1-$C$7),Q58*(1-$C$5-IF(O58&lt;3,$C$8,0)),MIN(Q58*(1-$C$5-IF(O58&lt;3,$C$8,0)),P58*(1-$C$6-IF(O58&lt;3,$C$8,0))))&lt;100,$D$9,$E$9)))),ROUND($D58*(1+$C$10),2),FLOOR(IF(P58&lt;Q58*(1-$C$7),Q58*(1-$C$5-IF(O58&lt;3,$C$8,0)),MIN(Q58*(1-$C$5-IF(O58&lt;3,$C$8,0)),P58*(1-$C$6-IF(O58&lt;3,$C$8,0)))),IF(IF(P58&lt;Q58*(1-$C$7),Q58*(1-$C$5-IF(O58&lt;3,$C$8,0)),MIN(Q58*(1-$C$5-IF(O58&lt;3,$C$8,0)),P58*(1-$C$6-IF(O58&lt;3,$C$8,0))))&lt;10,$C$9,IF(IF(P58&lt;Q58*(1-$C$7),Q58*(1-$C$5-IF(O58&lt;3,$C$8,0)),MIN(Q58*(1-$C$5-IF(O58&lt;3,$C$8,0)),P58*(1-$C$6-IF(O58&lt;3,$C$8,0))))&lt;100,$D$9,$E$9)))))</f>
        <v>3.3</v>
      </c>
      <c r="U58" s="60" t="str">
        <f aca="false">IF(ISNUMBER($D58),$D58,"n/a")</f>
        <v>n/a</v>
      </c>
      <c r="V58" s="63" t="str">
        <f aca="false">IF(OR(O58=0,NOT(ISNUMBER($D58))),"—",T58/$D58-1)</f>
        <v>—</v>
      </c>
      <c r="W58" s="64" t="n">
        <f aca="false">IF(O58=0,"—",T58/P58-1)</f>
        <v>1.0625</v>
      </c>
      <c r="X58" s="64" t="n">
        <f aca="false">IF(O58=0,"—",T58/Q58-1)</f>
        <v>-0.25</v>
      </c>
      <c r="Y58" s="59" t="n">
        <f aca="false">COUNTIFS(Offers!$B$7:$B$3000,$B58,Offers!$C$7:$C$3000,"Czech",Offers!$AI$7:$AI$3000,"yes")</f>
        <v>5</v>
      </c>
      <c r="Z58" s="60" t="n">
        <f aca="false">IF(Y58=0,"—",SUMIFS(Review!$I$7:$I$600,Review!$B$7:$B$600,$B58,Review!$C$7:$C$600,"Czech"))</f>
        <v>2.876314</v>
      </c>
      <c r="AA58" s="60" t="n">
        <f aca="false">IF(Y58=0,"—",SUMIFS(Review!$J$7:$J$600,Review!$B$7:$B$600,$B58,Review!$C$7:$C$600,"Czech"))</f>
        <v>4.176286</v>
      </c>
      <c r="AB58" s="60" t="n">
        <f aca="false">IF(Y58=0,"—",SUMIFS(Review!$K$7:$K$600,Review!$B$7:$B$600,$B58,Review!$C$7:$C$600,"Czech"))</f>
        <v>7.492748</v>
      </c>
      <c r="AC58" s="61" t="str">
        <f aca="false">IF(Y58=0,"—",IF(Z58&lt;AA58*(1-$C$7),"median (cheapest is an outlier)",IF(Z58*(1-$C$6)&lt;AA58*(1-$C$5),"undercut cheapest","median")))</f>
        <v>undercut cheapest</v>
      </c>
      <c r="AD58" s="62" t="n">
        <f aca="false">IF(Y58=0,"—",IF(AND(ISNUMBER($D58),$D58*(1+$C$10)&gt;FLOOR(IF(Z58&lt;AA58*(1-$C$7),AA58*(1-$C$5-IF(Y58&lt;3,$C$8,0)),MIN(AA58*(1-$C$5-IF(Y58&lt;3,$C$8,0)),Z58*(1-$C$6-IF(Y58&lt;3,$C$8,0)))),IF(IF(Z58&lt;AA58*(1-$C$7),AA58*(1-$C$5-IF(Y58&lt;3,$C$8,0)),MIN(AA58*(1-$C$5-IF(Y58&lt;3,$C$8,0)),Z58*(1-$C$6-IF(Y58&lt;3,$C$8,0))))&lt;10,$C$9,IF(IF(Z58&lt;AA58*(1-$C$7),AA58*(1-$C$5-IF(Y58&lt;3,$C$8,0)),MIN(AA58*(1-$C$5-IF(Y58&lt;3,$C$8,0)),Z58*(1-$C$6-IF(Y58&lt;3,$C$8,0))))&lt;100,$D$9,$E$9)))),ROUND($D58*(1+$C$10),2),FLOOR(IF(Z58&lt;AA58*(1-$C$7),AA58*(1-$C$5-IF(Y58&lt;3,$C$8,0)),MIN(AA58*(1-$C$5-IF(Y58&lt;3,$C$8,0)),Z58*(1-$C$6-IF(Y58&lt;3,$C$8,0)))),IF(IF(Z58&lt;AA58*(1-$C$7),AA58*(1-$C$5-IF(Y58&lt;3,$C$8,0)),MIN(AA58*(1-$C$5-IF(Y58&lt;3,$C$8,0)),Z58*(1-$C$6-IF(Y58&lt;3,$C$8,0))))&lt;10,$C$9,IF(IF(Z58&lt;AA58*(1-$C$7),AA58*(1-$C$5-IF(Y58&lt;3,$C$8,0)),MIN(AA58*(1-$C$5-IF(Y58&lt;3,$C$8,0)),Z58*(1-$C$6-IF(Y58&lt;3,$C$8,0))))&lt;100,$D$9,$E$9)))))</f>
        <v>2.7</v>
      </c>
      <c r="AE58" s="65" t="n">
        <f aca="false">IF(Y58=0,"—",FLOOR(AD58*Sources!$G$10,1))</f>
        <v>65</v>
      </c>
      <c r="AF58" s="60" t="str">
        <f aca="false">IF(ISNUMBER($D58),$D58,"n/a")</f>
        <v>n/a</v>
      </c>
      <c r="AG58" s="63" t="str">
        <f aca="false">IF(OR(Y58=0,NOT(ISNUMBER($D58))),"—",AD58/$D58-1)</f>
        <v>—</v>
      </c>
      <c r="AH58" s="64" t="n">
        <f aca="false">IF(Y58=0,"—",AD58/Z58-1)</f>
        <v>-0.0612985925736896</v>
      </c>
      <c r="AI58" s="64" t="n">
        <f aca="false">IF(Y58=0,"—",AD58/AA58-1)</f>
        <v>-0.353492552952552</v>
      </c>
      <c r="AJ58" s="59" t="n">
        <f aca="false">COUNTIFS(Offers!$B$7:$B$3000,$B58,Offers!$C$7:$C$3000,"Slovakia",Offers!$AI$7:$AI$3000,"yes")</f>
        <v>5</v>
      </c>
      <c r="AK58" s="60" t="n">
        <f aca="false">IF(AJ58=0,"—",SUMIFS(Review!$I$7:$I$600,Review!$B$7:$B$600,$B58,Review!$C$7:$C$600,"Slovakia"))</f>
        <v>2.51</v>
      </c>
      <c r="AL58" s="60" t="n">
        <f aca="false">IF(AJ58=0,"—",SUMIFS(Review!$J$7:$J$600,Review!$B$7:$B$600,$B58,Review!$C$7:$C$600,"Slovakia"))</f>
        <v>3.68</v>
      </c>
      <c r="AM58" s="60" t="n">
        <f aca="false">IF(AJ58=0,"—",SUMIFS(Review!$K$7:$K$600,Review!$B$7:$B$600,$B58,Review!$C$7:$C$600,"Slovakia"))</f>
        <v>10.76</v>
      </c>
      <c r="AN58" s="61" t="str">
        <f aca="false">IF(AJ58=0,"—",IF(AK58&lt;AL58*(1-$C$7),"median (cheapest is an outlier)",IF(AK58*(1-$C$6)&lt;AL58*(1-$C$5),"undercut cheapest","median")))</f>
        <v>undercut cheapest</v>
      </c>
      <c r="AO58" s="62" t="n">
        <f aca="false">IF(AJ58=0,"—",IF(AND(ISNUMBER($D58),$D58*(1+$C$10)&gt;FLOOR(IF(AK58&lt;AL58*(1-$C$7),AL58*(1-$C$5-IF(AJ58&lt;3,$C$8,0)),MIN(AL58*(1-$C$5-IF(AJ58&lt;3,$C$8,0)),AK58*(1-$C$6-IF(AJ58&lt;3,$C$8,0)))),IF(IF(AK58&lt;AL58*(1-$C$7),AL58*(1-$C$5-IF(AJ58&lt;3,$C$8,0)),MIN(AL58*(1-$C$5-IF(AJ58&lt;3,$C$8,0)),AK58*(1-$C$6-IF(AJ58&lt;3,$C$8,0))))&lt;10,$C$9,IF(IF(AK58&lt;AL58*(1-$C$7),AL58*(1-$C$5-IF(AJ58&lt;3,$C$8,0)),MIN(AL58*(1-$C$5-IF(AJ58&lt;3,$C$8,0)),AK58*(1-$C$6-IF(AJ58&lt;3,$C$8,0))))&lt;100,$D$9,$E$9)))),ROUND($D58*(1+$C$10),2),FLOOR(IF(AK58&lt;AL58*(1-$C$7),AL58*(1-$C$5-IF(AJ58&lt;3,$C$8,0)),MIN(AL58*(1-$C$5-IF(AJ58&lt;3,$C$8,0)),AK58*(1-$C$6-IF(AJ58&lt;3,$C$8,0)))),IF(IF(AK58&lt;AL58*(1-$C$7),AL58*(1-$C$5-IF(AJ58&lt;3,$C$8,0)),MIN(AL58*(1-$C$5-IF(AJ58&lt;3,$C$8,0)),AK58*(1-$C$6-IF(AJ58&lt;3,$C$8,0))))&lt;10,$C$9,IF(IF(AK58&lt;AL58*(1-$C$7),AL58*(1-$C$5-IF(AJ58&lt;3,$C$8,0)),MIN(AL58*(1-$C$5-IF(AJ58&lt;3,$C$8,0)),AK58*(1-$C$6-IF(AJ58&lt;3,$C$8,0))))&lt;100,$D$9,$E$9)))))</f>
        <v>2.35</v>
      </c>
      <c r="AP58" s="60" t="str">
        <f aca="false">IF(ISNUMBER($D58),$D58,"n/a")</f>
        <v>n/a</v>
      </c>
      <c r="AQ58" s="63" t="str">
        <f aca="false">IF(OR(AJ58=0,NOT(ISNUMBER($D58))),"—",AO58/$D58-1)</f>
        <v>—</v>
      </c>
      <c r="AR58" s="64" t="n">
        <f aca="false">IF(AJ58=0,"—",AO58/AK58-1)</f>
        <v>-0.0637450199203186</v>
      </c>
      <c r="AS58" s="64" t="n">
        <f aca="false">IF(AJ58=0,"—",AO58/AL58-1)</f>
        <v>-0.361413043478261</v>
      </c>
      <c r="AT58" s="59" t="n">
        <f aca="false">COUNTIFS(Offers!$B$7:$B$3000,$B58,Offers!$C$7:$C$3000,"Romania",Offers!$AI$7:$AI$3000,"yes")</f>
        <v>5</v>
      </c>
      <c r="AU58" s="60" t="n">
        <f aca="false">IF(AT58=0,"—",SUMIFS(Review!$I$7:$I$600,Review!$B$7:$B$600,$B58,Review!$C$7:$C$600,"Romania"))</f>
        <v>1.9</v>
      </c>
      <c r="AV58" s="60" t="n">
        <f aca="false">IF(AT58=0,"—",SUMIFS(Review!$J$7:$J$600,Review!$B$7:$B$600,$B58,Review!$C$7:$C$600,"Romania"))</f>
        <v>3.867258</v>
      </c>
      <c r="AW58" s="60" t="n">
        <f aca="false">IF(AT58=0,"—",SUMIFS(Review!$K$7:$K$600,Review!$B$7:$B$600,$B58,Review!$C$7:$C$600,"Romania"))</f>
        <v>7.647355</v>
      </c>
      <c r="AX58" s="61" t="str">
        <f aca="false">IF(AT58=0,"—",IF(AU58&lt;AV58*(1-$C$7),"median (cheapest is an outlier)",IF(AU58*(1-$C$6)&lt;AV58*(1-$C$5),"undercut cheapest","median")))</f>
        <v>median (cheapest is an outlier)</v>
      </c>
      <c r="AY58" s="62" t="n">
        <f aca="false">IF(AT58=0,"—",IF(AND(ISNUMBER($D58),$D58*(1+$C$10)&gt;FLOOR(IF(AU58&lt;AV58*(1-$C$7),AV58*(1-$C$5-IF(AT58&lt;3,$C$8,0)),MIN(AV58*(1-$C$5-IF(AT58&lt;3,$C$8,0)),AU58*(1-$C$6-IF(AT58&lt;3,$C$8,0)))),IF(IF(AU58&lt;AV58*(1-$C$7),AV58*(1-$C$5-IF(AT58&lt;3,$C$8,0)),MIN(AV58*(1-$C$5-IF(AT58&lt;3,$C$8,0)),AU58*(1-$C$6-IF(AT58&lt;3,$C$8,0))))&lt;10,$C$9,IF(IF(AU58&lt;AV58*(1-$C$7),AV58*(1-$C$5-IF(AT58&lt;3,$C$8,0)),MIN(AV58*(1-$C$5-IF(AT58&lt;3,$C$8,0)),AU58*(1-$C$6-IF(AT58&lt;3,$C$8,0))))&lt;100,$D$9,$E$9)))),ROUND($D58*(1+$C$10),2),FLOOR(IF(AU58&lt;AV58*(1-$C$7),AV58*(1-$C$5-IF(AT58&lt;3,$C$8,0)),MIN(AV58*(1-$C$5-IF(AT58&lt;3,$C$8,0)),AU58*(1-$C$6-IF(AT58&lt;3,$C$8,0)))),IF(IF(AU58&lt;AV58*(1-$C$7),AV58*(1-$C$5-IF(AT58&lt;3,$C$8,0)),MIN(AV58*(1-$C$5-IF(AT58&lt;3,$C$8,0)),AU58*(1-$C$6-IF(AT58&lt;3,$C$8,0))))&lt;10,$C$9,IF(IF(AU58&lt;AV58*(1-$C$7),AV58*(1-$C$5-IF(AT58&lt;3,$C$8,0)),MIN(AV58*(1-$C$5-IF(AT58&lt;3,$C$8,0)),AU58*(1-$C$6-IF(AT58&lt;3,$C$8,0))))&lt;100,$D$9,$E$9)))))</f>
        <v>2.9</v>
      </c>
      <c r="AZ58" s="62" t="n">
        <f aca="false">IF(AT58=0,"—",FLOOR(AY58*Sources!$G$9,0.1))</f>
        <v>15.3</v>
      </c>
      <c r="BA58" s="60" t="str">
        <f aca="false">IF(ISNUMBER($D58),$D58,"n/a")</f>
        <v>n/a</v>
      </c>
      <c r="BB58" s="63" t="str">
        <f aca="false">IF(OR(AT58=0,NOT(ISNUMBER($D58))),"—",AY58/$D58-1)</f>
        <v>—</v>
      </c>
      <c r="BC58" s="64" t="n">
        <f aca="false">IF(AT58=0,"—",AY58/AU58-1)</f>
        <v>0.526315789473685</v>
      </c>
      <c r="BD58" s="64" t="n">
        <f aca="false">IF(AT58=0,"—",AY58/AV58-1)</f>
        <v>-0.250114680737618</v>
      </c>
      <c r="BE58" s="59" t="n">
        <f aca="false">COUNTIFS(Offers!$B$7:$B$3000,$B58,Offers!$C$7:$C$3000,"Hungary",Offers!$AI$7:$AI$3000,"yes")</f>
        <v>0</v>
      </c>
      <c r="BF58" s="60" t="str">
        <f aca="false">IF(BE58=0,"—",SUMIFS(Review!$I$7:$I$600,Review!$B$7:$B$600,$B58,Review!$C$7:$C$600,"Hungary"))</f>
        <v>—</v>
      </c>
      <c r="BG58" s="60" t="str">
        <f aca="false">IF(BE58=0,"—",SUMIFS(Review!$J$7:$J$600,Review!$B$7:$B$600,$B58,Review!$C$7:$C$600,"Hungary"))</f>
        <v>—</v>
      </c>
      <c r="BH58" s="60" t="str">
        <f aca="false">IF(BE58=0,"—",SUMIFS(Review!$K$7:$K$600,Review!$B$7:$B$600,$B58,Review!$C$7:$C$600,"Hungary"))</f>
        <v>—</v>
      </c>
      <c r="BI58" s="61" t="str">
        <f aca="false">IF(BE58=0,"—",IF(BF58&lt;BG58*(1-$C$7),"median (cheapest is an outlier)",IF(BF58*(1-$C$6)&lt;BG58*(1-$C$5),"undercut cheapest","median")))</f>
        <v>—</v>
      </c>
      <c r="BJ58" s="62" t="str">
        <f aca="false">IF(BE58=0,"—",IF(AND(ISNUMBER($D58),$D58*(1+$C$10)&gt;FLOOR(IF(BF58&lt;BG58*(1-$C$7),BG58*(1-$C$5-IF(BE58&lt;3,$C$8,0)),MIN(BG58*(1-$C$5-IF(BE58&lt;3,$C$8,0)),BF58*(1-$C$6-IF(BE58&lt;3,$C$8,0)))),IF(IF(BF58&lt;BG58*(1-$C$7),BG58*(1-$C$5-IF(BE58&lt;3,$C$8,0)),MIN(BG58*(1-$C$5-IF(BE58&lt;3,$C$8,0)),BF58*(1-$C$6-IF(BE58&lt;3,$C$8,0))))&lt;10,$C$9,IF(IF(BF58&lt;BG58*(1-$C$7),BG58*(1-$C$5-IF(BE58&lt;3,$C$8,0)),MIN(BG58*(1-$C$5-IF(BE58&lt;3,$C$8,0)),BF58*(1-$C$6-IF(BE58&lt;3,$C$8,0))))&lt;100,$D$9,$E$9)))),ROUND($D58*(1+$C$10),2),FLOOR(IF(BF58&lt;BG58*(1-$C$7),BG58*(1-$C$5-IF(BE58&lt;3,$C$8,0)),MIN(BG58*(1-$C$5-IF(BE58&lt;3,$C$8,0)),BF58*(1-$C$6-IF(BE58&lt;3,$C$8,0)))),IF(IF(BF58&lt;BG58*(1-$C$7),BG58*(1-$C$5-IF(BE58&lt;3,$C$8,0)),MIN(BG58*(1-$C$5-IF(BE58&lt;3,$C$8,0)),BF58*(1-$C$6-IF(BE58&lt;3,$C$8,0))))&lt;10,$C$9,IF(IF(BF58&lt;BG58*(1-$C$7),BG58*(1-$C$5-IF(BE58&lt;3,$C$8,0)),MIN(BG58*(1-$C$5-IF(BE58&lt;3,$C$8,0)),BF58*(1-$C$6-IF(BE58&lt;3,$C$8,0))))&lt;100,$D$9,$E$9)))))</f>
        <v>—</v>
      </c>
      <c r="BK58" s="65" t="str">
        <f aca="false">IF(BE58=0,"—",FLOOR(BJ58*Sources!$G$8,10))</f>
        <v>—</v>
      </c>
      <c r="BL58" s="60" t="str">
        <f aca="false">IF(ISNUMBER($D58),$D58,"n/a")</f>
        <v>n/a</v>
      </c>
      <c r="BM58" s="63" t="str">
        <f aca="false">IF(OR(BE58=0,NOT(ISNUMBER($D58))),"—",BJ58/$D58-1)</f>
        <v>—</v>
      </c>
      <c r="BN58" s="64" t="str">
        <f aca="false">IF(BE58=0,"—",BJ58/BF58-1)</f>
        <v>—</v>
      </c>
      <c r="BO58" s="64" t="str">
        <f aca="false">IF(BE58=0,"—",BJ58/BG58-1)</f>
        <v>—</v>
      </c>
    </row>
    <row r="59" customFormat="false" ht="15" hidden="false" customHeight="false" outlineLevel="0" collapsed="false">
      <c r="B59" s="1" t="s">
        <v>75</v>
      </c>
      <c r="C59" s="1" t="s">
        <v>184</v>
      </c>
      <c r="D59" s="58"/>
      <c r="E59" s="59" t="n">
        <f aca="false">COUNTIFS(Offers!$B$7:$B$3000,$B59,Offers!$C$7:$C$3000,"Austria",Offers!$AI$7:$AI$3000,"yes")</f>
        <v>7</v>
      </c>
      <c r="F59" s="60" t="n">
        <f aca="false">IF(E59=0,"—",SUMIFS(Review!$I$7:$I$600,Review!$B$7:$B$600,$B59,Review!$C$7:$C$600,"Austria"))</f>
        <v>2.9</v>
      </c>
      <c r="G59" s="60" t="n">
        <f aca="false">IF(E59=0,"—",SUMIFS(Review!$J$7:$J$600,Review!$B$7:$B$600,$B59,Review!$C$7:$C$600,"Austria"))</f>
        <v>4.79</v>
      </c>
      <c r="H59" s="60" t="n">
        <f aca="false">IF(E59=0,"—",SUMIFS(Review!$K$7:$K$600,Review!$B$7:$B$600,$B59,Review!$C$7:$C$600,"Austria"))</f>
        <v>12</v>
      </c>
      <c r="I59" s="61" t="str">
        <f aca="false">IF(E59=0,"—",IF(F59&lt;G59*(1-$C$7),"median (cheapest is an outlier)",IF(F59*(1-$C$6)&lt;G59*(1-$C$5),"undercut cheapest","median")))</f>
        <v>median (cheapest is an outlier)</v>
      </c>
      <c r="J59" s="62" t="n">
        <f aca="false">IF(E59=0,"—",IF(AND(ISNUMBER($D59),$D59*(1+$C$10)&gt;FLOOR(IF(F59&lt;G59*(1-$C$7),G59*(1-$C$5-IF(E59&lt;3,$C$8,0)),MIN(G59*(1-$C$5-IF(E59&lt;3,$C$8,0)),F59*(1-$C$6-IF(E59&lt;3,$C$8,0)))),IF(IF(F59&lt;G59*(1-$C$7),G59*(1-$C$5-IF(E59&lt;3,$C$8,0)),MIN(G59*(1-$C$5-IF(E59&lt;3,$C$8,0)),F59*(1-$C$6-IF(E59&lt;3,$C$8,0))))&lt;10,$C$9,IF(IF(F59&lt;G59*(1-$C$7),G59*(1-$C$5-IF(E59&lt;3,$C$8,0)),MIN(G59*(1-$C$5-IF(E59&lt;3,$C$8,0)),F59*(1-$C$6-IF(E59&lt;3,$C$8,0))))&lt;100,$D$9,$E$9)))),ROUND($D59*(1+$C$10),2),FLOOR(IF(F59&lt;G59*(1-$C$7),G59*(1-$C$5-IF(E59&lt;3,$C$8,0)),MIN(G59*(1-$C$5-IF(E59&lt;3,$C$8,0)),F59*(1-$C$6-IF(E59&lt;3,$C$8,0)))),IF(IF(F59&lt;G59*(1-$C$7),G59*(1-$C$5-IF(E59&lt;3,$C$8,0)),MIN(G59*(1-$C$5-IF(E59&lt;3,$C$8,0)),F59*(1-$C$6-IF(E59&lt;3,$C$8,0))))&lt;10,$C$9,IF(IF(F59&lt;G59*(1-$C$7),G59*(1-$C$5-IF(E59&lt;3,$C$8,0)),MIN(G59*(1-$C$5-IF(E59&lt;3,$C$8,0)),F59*(1-$C$6-IF(E59&lt;3,$C$8,0))))&lt;100,$D$9,$E$9)))))</f>
        <v>3.55</v>
      </c>
      <c r="K59" s="60" t="str">
        <f aca="false">IF(ISNUMBER($D59),$D59,"n/a")</f>
        <v>n/a</v>
      </c>
      <c r="L59" s="63" t="str">
        <f aca="false">IF(OR(E59=0,NOT(ISNUMBER($D59))),"—",J59/$D59-1)</f>
        <v>—</v>
      </c>
      <c r="M59" s="64" t="n">
        <f aca="false">IF(E59=0,"—",J59/F59-1)</f>
        <v>0.224137931034483</v>
      </c>
      <c r="N59" s="64" t="n">
        <f aca="false">IF(E59=0,"—",J59/G59-1)</f>
        <v>-0.258872651356994</v>
      </c>
      <c r="O59" s="59" t="n">
        <f aca="false">COUNTIFS(Offers!$B$7:$B$3000,$B59,Offers!$C$7:$C$3000,"Germany",Offers!$AI$7:$AI$3000,"yes")</f>
        <v>7</v>
      </c>
      <c r="P59" s="60" t="n">
        <f aca="false">IF(O59=0,"—",SUMIFS(Review!$I$7:$I$600,Review!$B$7:$B$600,$B59,Review!$C$7:$C$600,"Germany"))</f>
        <v>2.58</v>
      </c>
      <c r="Q59" s="60" t="n">
        <f aca="false">IF(O59=0,"—",SUMIFS(Review!$J$7:$J$600,Review!$B$7:$B$600,$B59,Review!$C$7:$C$600,"Germany"))</f>
        <v>4.59</v>
      </c>
      <c r="R59" s="60" t="n">
        <f aca="false">IF(O59=0,"—",SUMIFS(Review!$K$7:$K$600,Review!$B$7:$B$600,$B59,Review!$C$7:$C$600,"Germany"))</f>
        <v>12</v>
      </c>
      <c r="S59" s="61" t="str">
        <f aca="false">IF(O59=0,"—",IF(P59&lt;Q59*(1-$C$7),"median (cheapest is an outlier)",IF(P59*(1-$C$6)&lt;Q59*(1-$C$5),"undercut cheapest","median")))</f>
        <v>median (cheapest is an outlier)</v>
      </c>
      <c r="T59" s="62" t="n">
        <f aca="false">IF(O59=0,"—",IF(AND(ISNUMBER($D59),$D59*(1+$C$10)&gt;FLOOR(IF(P59&lt;Q59*(1-$C$7),Q59*(1-$C$5-IF(O59&lt;3,$C$8,0)),MIN(Q59*(1-$C$5-IF(O59&lt;3,$C$8,0)),P59*(1-$C$6-IF(O59&lt;3,$C$8,0)))),IF(IF(P59&lt;Q59*(1-$C$7),Q59*(1-$C$5-IF(O59&lt;3,$C$8,0)),MIN(Q59*(1-$C$5-IF(O59&lt;3,$C$8,0)),P59*(1-$C$6-IF(O59&lt;3,$C$8,0))))&lt;10,$C$9,IF(IF(P59&lt;Q59*(1-$C$7),Q59*(1-$C$5-IF(O59&lt;3,$C$8,0)),MIN(Q59*(1-$C$5-IF(O59&lt;3,$C$8,0)),P59*(1-$C$6-IF(O59&lt;3,$C$8,0))))&lt;100,$D$9,$E$9)))),ROUND($D59*(1+$C$10),2),FLOOR(IF(P59&lt;Q59*(1-$C$7),Q59*(1-$C$5-IF(O59&lt;3,$C$8,0)),MIN(Q59*(1-$C$5-IF(O59&lt;3,$C$8,0)),P59*(1-$C$6-IF(O59&lt;3,$C$8,0)))),IF(IF(P59&lt;Q59*(1-$C$7),Q59*(1-$C$5-IF(O59&lt;3,$C$8,0)),MIN(Q59*(1-$C$5-IF(O59&lt;3,$C$8,0)),P59*(1-$C$6-IF(O59&lt;3,$C$8,0))))&lt;10,$C$9,IF(IF(P59&lt;Q59*(1-$C$7),Q59*(1-$C$5-IF(O59&lt;3,$C$8,0)),MIN(Q59*(1-$C$5-IF(O59&lt;3,$C$8,0)),P59*(1-$C$6-IF(O59&lt;3,$C$8,0))))&lt;100,$D$9,$E$9)))))</f>
        <v>3.4</v>
      </c>
      <c r="U59" s="60" t="str">
        <f aca="false">IF(ISNUMBER($D59),$D59,"n/a")</f>
        <v>n/a</v>
      </c>
      <c r="V59" s="63" t="str">
        <f aca="false">IF(OR(O59=0,NOT(ISNUMBER($D59))),"—",T59/$D59-1)</f>
        <v>—</v>
      </c>
      <c r="W59" s="64" t="n">
        <f aca="false">IF(O59=0,"—",T59/P59-1)</f>
        <v>0.317829457364341</v>
      </c>
      <c r="X59" s="64" t="n">
        <f aca="false">IF(O59=0,"—",T59/Q59-1)</f>
        <v>-0.259259259259259</v>
      </c>
      <c r="Y59" s="59" t="n">
        <f aca="false">COUNTIFS(Offers!$B$7:$B$3000,$B59,Offers!$C$7:$C$3000,"Czech",Offers!$AI$7:$AI$3000,"yes")</f>
        <v>5</v>
      </c>
      <c r="Z59" s="60" t="n">
        <f aca="false">IF(Y59=0,"—",SUMIFS(Review!$I$7:$I$600,Review!$B$7:$B$600,$B59,Review!$C$7:$C$600,"Czech"))</f>
        <v>3.112971</v>
      </c>
      <c r="AA59" s="60" t="n">
        <f aca="false">IF(Y59=0,"—",SUMIFS(Review!$J$7:$J$600,Review!$B$7:$B$600,$B59,Review!$C$7:$C$600,"Czech"))</f>
        <v>4.381006</v>
      </c>
      <c r="AB59" s="60" t="n">
        <f aca="false">IF(Y59=0,"—",SUMIFS(Review!$K$7:$K$600,Review!$B$7:$B$600,$B59,Review!$C$7:$C$600,"Czech"))</f>
        <v>8.762011</v>
      </c>
      <c r="AC59" s="61" t="str">
        <f aca="false">IF(Y59=0,"—",IF(Z59&lt;AA59*(1-$C$7),"median (cheapest is an outlier)",IF(Z59*(1-$C$6)&lt;AA59*(1-$C$5),"undercut cheapest","median")))</f>
        <v>undercut cheapest</v>
      </c>
      <c r="AD59" s="62" t="n">
        <f aca="false">IF(Y59=0,"—",IF(AND(ISNUMBER($D59),$D59*(1+$C$10)&gt;FLOOR(IF(Z59&lt;AA59*(1-$C$7),AA59*(1-$C$5-IF(Y59&lt;3,$C$8,0)),MIN(AA59*(1-$C$5-IF(Y59&lt;3,$C$8,0)),Z59*(1-$C$6-IF(Y59&lt;3,$C$8,0)))),IF(IF(Z59&lt;AA59*(1-$C$7),AA59*(1-$C$5-IF(Y59&lt;3,$C$8,0)),MIN(AA59*(1-$C$5-IF(Y59&lt;3,$C$8,0)),Z59*(1-$C$6-IF(Y59&lt;3,$C$8,0))))&lt;10,$C$9,IF(IF(Z59&lt;AA59*(1-$C$7),AA59*(1-$C$5-IF(Y59&lt;3,$C$8,0)),MIN(AA59*(1-$C$5-IF(Y59&lt;3,$C$8,0)),Z59*(1-$C$6-IF(Y59&lt;3,$C$8,0))))&lt;100,$D$9,$E$9)))),ROUND($D59*(1+$C$10),2),FLOOR(IF(Z59&lt;AA59*(1-$C$7),AA59*(1-$C$5-IF(Y59&lt;3,$C$8,0)),MIN(AA59*(1-$C$5-IF(Y59&lt;3,$C$8,0)),Z59*(1-$C$6-IF(Y59&lt;3,$C$8,0)))),IF(IF(Z59&lt;AA59*(1-$C$7),AA59*(1-$C$5-IF(Y59&lt;3,$C$8,0)),MIN(AA59*(1-$C$5-IF(Y59&lt;3,$C$8,0)),Z59*(1-$C$6-IF(Y59&lt;3,$C$8,0))))&lt;10,$C$9,IF(IF(Z59&lt;AA59*(1-$C$7),AA59*(1-$C$5-IF(Y59&lt;3,$C$8,0)),MIN(AA59*(1-$C$5-IF(Y59&lt;3,$C$8,0)),Z59*(1-$C$6-IF(Y59&lt;3,$C$8,0))))&lt;100,$D$9,$E$9)))))</f>
        <v>2.95</v>
      </c>
      <c r="AE59" s="65" t="n">
        <f aca="false">IF(Y59=0,"—",FLOOR(AD59*Sources!$G$10,1))</f>
        <v>72</v>
      </c>
      <c r="AF59" s="60" t="str">
        <f aca="false">IF(ISNUMBER($D59),$D59,"n/a")</f>
        <v>n/a</v>
      </c>
      <c r="AG59" s="63" t="str">
        <f aca="false">IF(OR(Y59=0,NOT(ISNUMBER($D59))),"—",AD59/$D59-1)</f>
        <v>—</v>
      </c>
      <c r="AH59" s="64" t="n">
        <f aca="false">IF(Y59=0,"—",AD59/Z59-1)</f>
        <v>-0.0523522384243219</v>
      </c>
      <c r="AI59" s="64" t="n">
        <f aca="false">IF(Y59=0,"—",AD59/AA59-1)</f>
        <v>-0.326638676139681</v>
      </c>
      <c r="AJ59" s="59" t="n">
        <f aca="false">COUNTIFS(Offers!$B$7:$B$3000,$B59,Offers!$C$7:$C$3000,"Slovakia",Offers!$AI$7:$AI$3000,"yes")</f>
        <v>5</v>
      </c>
      <c r="AK59" s="60" t="n">
        <f aca="false">IF(AJ59=0,"—",SUMIFS(Review!$I$7:$I$600,Review!$B$7:$B$600,$B59,Review!$C$7:$C$600,"Slovakia"))</f>
        <v>3.24</v>
      </c>
      <c r="AL59" s="60" t="n">
        <f aca="false">IF(AJ59=0,"—",SUMIFS(Review!$J$7:$J$600,Review!$B$7:$B$600,$B59,Review!$C$7:$C$600,"Slovakia"))</f>
        <v>4.35</v>
      </c>
      <c r="AM59" s="60" t="n">
        <f aca="false">IF(AJ59=0,"—",SUMIFS(Review!$K$7:$K$600,Review!$B$7:$B$600,$B59,Review!$C$7:$C$600,"Slovakia"))</f>
        <v>11.73</v>
      </c>
      <c r="AN59" s="61" t="str">
        <f aca="false">IF(AJ59=0,"—",IF(AK59&lt;AL59*(1-$C$7),"median (cheapest is an outlier)",IF(AK59*(1-$C$6)&lt;AL59*(1-$C$5),"undercut cheapest","median")))</f>
        <v>undercut cheapest</v>
      </c>
      <c r="AO59" s="62" t="n">
        <f aca="false">IF(AJ59=0,"—",IF(AND(ISNUMBER($D59),$D59*(1+$C$10)&gt;FLOOR(IF(AK59&lt;AL59*(1-$C$7),AL59*(1-$C$5-IF(AJ59&lt;3,$C$8,0)),MIN(AL59*(1-$C$5-IF(AJ59&lt;3,$C$8,0)),AK59*(1-$C$6-IF(AJ59&lt;3,$C$8,0)))),IF(IF(AK59&lt;AL59*(1-$C$7),AL59*(1-$C$5-IF(AJ59&lt;3,$C$8,0)),MIN(AL59*(1-$C$5-IF(AJ59&lt;3,$C$8,0)),AK59*(1-$C$6-IF(AJ59&lt;3,$C$8,0))))&lt;10,$C$9,IF(IF(AK59&lt;AL59*(1-$C$7),AL59*(1-$C$5-IF(AJ59&lt;3,$C$8,0)),MIN(AL59*(1-$C$5-IF(AJ59&lt;3,$C$8,0)),AK59*(1-$C$6-IF(AJ59&lt;3,$C$8,0))))&lt;100,$D$9,$E$9)))),ROUND($D59*(1+$C$10),2),FLOOR(IF(AK59&lt;AL59*(1-$C$7),AL59*(1-$C$5-IF(AJ59&lt;3,$C$8,0)),MIN(AL59*(1-$C$5-IF(AJ59&lt;3,$C$8,0)),AK59*(1-$C$6-IF(AJ59&lt;3,$C$8,0)))),IF(IF(AK59&lt;AL59*(1-$C$7),AL59*(1-$C$5-IF(AJ59&lt;3,$C$8,0)),MIN(AL59*(1-$C$5-IF(AJ59&lt;3,$C$8,0)),AK59*(1-$C$6-IF(AJ59&lt;3,$C$8,0))))&lt;10,$C$9,IF(IF(AK59&lt;AL59*(1-$C$7),AL59*(1-$C$5-IF(AJ59&lt;3,$C$8,0)),MIN(AL59*(1-$C$5-IF(AJ59&lt;3,$C$8,0)),AK59*(1-$C$6-IF(AJ59&lt;3,$C$8,0))))&lt;100,$D$9,$E$9)))))</f>
        <v>3.05</v>
      </c>
      <c r="AP59" s="60" t="str">
        <f aca="false">IF(ISNUMBER($D59),$D59,"n/a")</f>
        <v>n/a</v>
      </c>
      <c r="AQ59" s="63" t="str">
        <f aca="false">IF(OR(AJ59=0,NOT(ISNUMBER($D59))),"—",AO59/$D59-1)</f>
        <v>—</v>
      </c>
      <c r="AR59" s="64" t="n">
        <f aca="false">IF(AJ59=0,"—",AO59/AK59-1)</f>
        <v>-0.0586419753086419</v>
      </c>
      <c r="AS59" s="64" t="n">
        <f aca="false">IF(AJ59=0,"—",AO59/AL59-1)</f>
        <v>-0.298850574712644</v>
      </c>
      <c r="AT59" s="59" t="n">
        <f aca="false">COUNTIFS(Offers!$B$7:$B$3000,$B59,Offers!$C$7:$C$3000,"Romania",Offers!$AI$7:$AI$3000,"yes")</f>
        <v>5</v>
      </c>
      <c r="AU59" s="60" t="n">
        <f aca="false">IF(AT59=0,"—",SUMIFS(Review!$I$7:$I$600,Review!$B$7:$B$600,$B59,Review!$C$7:$C$600,"Romania"))</f>
        <v>2.730386</v>
      </c>
      <c r="AV59" s="60" t="n">
        <f aca="false">IF(AT59=0,"—",SUMIFS(Review!$J$7:$J$600,Review!$B$7:$B$600,$B59,Review!$C$7:$C$600,"Romania"))</f>
        <v>4.318217</v>
      </c>
      <c r="AW59" s="60" t="n">
        <f aca="false">IF(AT59=0,"—",SUMIFS(Review!$K$7:$K$600,Review!$B$7:$B$600,$B59,Review!$C$7:$C$600,"Romania"))</f>
        <v>8.930125</v>
      </c>
      <c r="AX59" s="61" t="str">
        <f aca="false">IF(AT59=0,"—",IF(AU59&lt;AV59*(1-$C$7),"median (cheapest is an outlier)",IF(AU59*(1-$C$6)&lt;AV59*(1-$C$5),"undercut cheapest","median")))</f>
        <v>median (cheapest is an outlier)</v>
      </c>
      <c r="AY59" s="62" t="n">
        <f aca="false">IF(AT59=0,"—",IF(AND(ISNUMBER($D59),$D59*(1+$C$10)&gt;FLOOR(IF(AU59&lt;AV59*(1-$C$7),AV59*(1-$C$5-IF(AT59&lt;3,$C$8,0)),MIN(AV59*(1-$C$5-IF(AT59&lt;3,$C$8,0)),AU59*(1-$C$6-IF(AT59&lt;3,$C$8,0)))),IF(IF(AU59&lt;AV59*(1-$C$7),AV59*(1-$C$5-IF(AT59&lt;3,$C$8,0)),MIN(AV59*(1-$C$5-IF(AT59&lt;3,$C$8,0)),AU59*(1-$C$6-IF(AT59&lt;3,$C$8,0))))&lt;10,$C$9,IF(IF(AU59&lt;AV59*(1-$C$7),AV59*(1-$C$5-IF(AT59&lt;3,$C$8,0)),MIN(AV59*(1-$C$5-IF(AT59&lt;3,$C$8,0)),AU59*(1-$C$6-IF(AT59&lt;3,$C$8,0))))&lt;100,$D$9,$E$9)))),ROUND($D59*(1+$C$10),2),FLOOR(IF(AU59&lt;AV59*(1-$C$7),AV59*(1-$C$5-IF(AT59&lt;3,$C$8,0)),MIN(AV59*(1-$C$5-IF(AT59&lt;3,$C$8,0)),AU59*(1-$C$6-IF(AT59&lt;3,$C$8,0)))),IF(IF(AU59&lt;AV59*(1-$C$7),AV59*(1-$C$5-IF(AT59&lt;3,$C$8,0)),MIN(AV59*(1-$C$5-IF(AT59&lt;3,$C$8,0)),AU59*(1-$C$6-IF(AT59&lt;3,$C$8,0))))&lt;10,$C$9,IF(IF(AU59&lt;AV59*(1-$C$7),AV59*(1-$C$5-IF(AT59&lt;3,$C$8,0)),MIN(AV59*(1-$C$5-IF(AT59&lt;3,$C$8,0)),AU59*(1-$C$6-IF(AT59&lt;3,$C$8,0))))&lt;100,$D$9,$E$9)))))</f>
        <v>3.2</v>
      </c>
      <c r="AZ59" s="62" t="n">
        <f aca="false">IF(AT59=0,"—",FLOOR(AY59*Sources!$G$9,0.1))</f>
        <v>16.8</v>
      </c>
      <c r="BA59" s="60" t="str">
        <f aca="false">IF(ISNUMBER($D59),$D59,"n/a")</f>
        <v>n/a</v>
      </c>
      <c r="BB59" s="63" t="str">
        <f aca="false">IF(OR(AT59=0,NOT(ISNUMBER($D59))),"—",AY59/$D59-1)</f>
        <v>—</v>
      </c>
      <c r="BC59" s="64" t="n">
        <f aca="false">IF(AT59=0,"—",AY59/AU59-1)</f>
        <v>0.171995461447576</v>
      </c>
      <c r="BD59" s="64" t="n">
        <f aca="false">IF(AT59=0,"—",AY59/AV59-1)</f>
        <v>-0.258953406000671</v>
      </c>
      <c r="BE59" s="59" t="n">
        <f aca="false">COUNTIFS(Offers!$B$7:$B$3000,$B59,Offers!$C$7:$C$3000,"Hungary",Offers!$AI$7:$AI$3000,"yes")</f>
        <v>0</v>
      </c>
      <c r="BF59" s="60" t="str">
        <f aca="false">IF(BE59=0,"—",SUMIFS(Review!$I$7:$I$600,Review!$B$7:$B$600,$B59,Review!$C$7:$C$600,"Hungary"))</f>
        <v>—</v>
      </c>
      <c r="BG59" s="60" t="str">
        <f aca="false">IF(BE59=0,"—",SUMIFS(Review!$J$7:$J$600,Review!$B$7:$B$600,$B59,Review!$C$7:$C$600,"Hungary"))</f>
        <v>—</v>
      </c>
      <c r="BH59" s="60" t="str">
        <f aca="false">IF(BE59=0,"—",SUMIFS(Review!$K$7:$K$600,Review!$B$7:$B$600,$B59,Review!$C$7:$C$600,"Hungary"))</f>
        <v>—</v>
      </c>
      <c r="BI59" s="61" t="str">
        <f aca="false">IF(BE59=0,"—",IF(BF59&lt;BG59*(1-$C$7),"median (cheapest is an outlier)",IF(BF59*(1-$C$6)&lt;BG59*(1-$C$5),"undercut cheapest","median")))</f>
        <v>—</v>
      </c>
      <c r="BJ59" s="62" t="str">
        <f aca="false">IF(BE59=0,"—",IF(AND(ISNUMBER($D59),$D59*(1+$C$10)&gt;FLOOR(IF(BF59&lt;BG59*(1-$C$7),BG59*(1-$C$5-IF(BE59&lt;3,$C$8,0)),MIN(BG59*(1-$C$5-IF(BE59&lt;3,$C$8,0)),BF59*(1-$C$6-IF(BE59&lt;3,$C$8,0)))),IF(IF(BF59&lt;BG59*(1-$C$7),BG59*(1-$C$5-IF(BE59&lt;3,$C$8,0)),MIN(BG59*(1-$C$5-IF(BE59&lt;3,$C$8,0)),BF59*(1-$C$6-IF(BE59&lt;3,$C$8,0))))&lt;10,$C$9,IF(IF(BF59&lt;BG59*(1-$C$7),BG59*(1-$C$5-IF(BE59&lt;3,$C$8,0)),MIN(BG59*(1-$C$5-IF(BE59&lt;3,$C$8,0)),BF59*(1-$C$6-IF(BE59&lt;3,$C$8,0))))&lt;100,$D$9,$E$9)))),ROUND($D59*(1+$C$10),2),FLOOR(IF(BF59&lt;BG59*(1-$C$7),BG59*(1-$C$5-IF(BE59&lt;3,$C$8,0)),MIN(BG59*(1-$C$5-IF(BE59&lt;3,$C$8,0)),BF59*(1-$C$6-IF(BE59&lt;3,$C$8,0)))),IF(IF(BF59&lt;BG59*(1-$C$7),BG59*(1-$C$5-IF(BE59&lt;3,$C$8,0)),MIN(BG59*(1-$C$5-IF(BE59&lt;3,$C$8,0)),BF59*(1-$C$6-IF(BE59&lt;3,$C$8,0))))&lt;10,$C$9,IF(IF(BF59&lt;BG59*(1-$C$7),BG59*(1-$C$5-IF(BE59&lt;3,$C$8,0)),MIN(BG59*(1-$C$5-IF(BE59&lt;3,$C$8,0)),BF59*(1-$C$6-IF(BE59&lt;3,$C$8,0))))&lt;100,$D$9,$E$9)))))</f>
        <v>—</v>
      </c>
      <c r="BK59" s="65" t="str">
        <f aca="false">IF(BE59=0,"—",FLOOR(BJ59*Sources!$G$8,10))</f>
        <v>—</v>
      </c>
      <c r="BL59" s="60" t="str">
        <f aca="false">IF(ISNUMBER($D59),$D59,"n/a")</f>
        <v>n/a</v>
      </c>
      <c r="BM59" s="63" t="str">
        <f aca="false">IF(OR(BE59=0,NOT(ISNUMBER($D59))),"—",BJ59/$D59-1)</f>
        <v>—</v>
      </c>
      <c r="BN59" s="64" t="str">
        <f aca="false">IF(BE59=0,"—",BJ59/BF59-1)</f>
        <v>—</v>
      </c>
      <c r="BO59" s="64" t="str">
        <f aca="false">IF(BE59=0,"—",BJ59/BG59-1)</f>
        <v>—</v>
      </c>
    </row>
    <row r="60" customFormat="false" ht="15" hidden="false" customHeight="false" outlineLevel="0" collapsed="false">
      <c r="B60" s="1" t="s">
        <v>76</v>
      </c>
      <c r="C60" s="1" t="s">
        <v>185</v>
      </c>
      <c r="D60" s="58"/>
      <c r="E60" s="59" t="n">
        <f aca="false">COUNTIFS(Offers!$B$7:$B$3000,$B60,Offers!$C$7:$C$3000,"Austria",Offers!$AI$7:$AI$3000,"yes")</f>
        <v>7</v>
      </c>
      <c r="F60" s="60" t="n">
        <f aca="false">IF(E60=0,"—",SUMIFS(Review!$I$7:$I$600,Review!$B$7:$B$600,$B60,Review!$C$7:$C$600,"Austria"))</f>
        <v>4.06</v>
      </c>
      <c r="G60" s="60" t="n">
        <f aca="false">IF(E60=0,"—",SUMIFS(Review!$J$7:$J$600,Review!$B$7:$B$600,$B60,Review!$C$7:$C$600,"Austria"))</f>
        <v>6.28</v>
      </c>
      <c r="H60" s="60" t="n">
        <f aca="false">IF(E60=0,"—",SUMIFS(Review!$K$7:$K$600,Review!$B$7:$B$600,$B60,Review!$C$7:$C$600,"Austria"))</f>
        <v>17</v>
      </c>
      <c r="I60" s="61" t="str">
        <f aca="false">IF(E60=0,"—",IF(F60&lt;G60*(1-$C$7),"median (cheapest is an outlier)",IF(F60*(1-$C$6)&lt;G60*(1-$C$5),"undercut cheapest","median")))</f>
        <v>median (cheapest is an outlier)</v>
      </c>
      <c r="J60" s="62" t="n">
        <f aca="false">IF(E60=0,"—",IF(AND(ISNUMBER($D60),$D60*(1+$C$10)&gt;FLOOR(IF(F60&lt;G60*(1-$C$7),G60*(1-$C$5-IF(E60&lt;3,$C$8,0)),MIN(G60*(1-$C$5-IF(E60&lt;3,$C$8,0)),F60*(1-$C$6-IF(E60&lt;3,$C$8,0)))),IF(IF(F60&lt;G60*(1-$C$7),G60*(1-$C$5-IF(E60&lt;3,$C$8,0)),MIN(G60*(1-$C$5-IF(E60&lt;3,$C$8,0)),F60*(1-$C$6-IF(E60&lt;3,$C$8,0))))&lt;10,$C$9,IF(IF(F60&lt;G60*(1-$C$7),G60*(1-$C$5-IF(E60&lt;3,$C$8,0)),MIN(G60*(1-$C$5-IF(E60&lt;3,$C$8,0)),F60*(1-$C$6-IF(E60&lt;3,$C$8,0))))&lt;100,$D$9,$E$9)))),ROUND($D60*(1+$C$10),2),FLOOR(IF(F60&lt;G60*(1-$C$7),G60*(1-$C$5-IF(E60&lt;3,$C$8,0)),MIN(G60*(1-$C$5-IF(E60&lt;3,$C$8,0)),F60*(1-$C$6-IF(E60&lt;3,$C$8,0)))),IF(IF(F60&lt;G60*(1-$C$7),G60*(1-$C$5-IF(E60&lt;3,$C$8,0)),MIN(G60*(1-$C$5-IF(E60&lt;3,$C$8,0)),F60*(1-$C$6-IF(E60&lt;3,$C$8,0))))&lt;10,$C$9,IF(IF(F60&lt;G60*(1-$C$7),G60*(1-$C$5-IF(E60&lt;3,$C$8,0)),MIN(G60*(1-$C$5-IF(E60&lt;3,$C$8,0)),F60*(1-$C$6-IF(E60&lt;3,$C$8,0))))&lt;100,$D$9,$E$9)))))</f>
        <v>4.7</v>
      </c>
      <c r="K60" s="60" t="str">
        <f aca="false">IF(ISNUMBER($D60),$D60,"n/a")</f>
        <v>n/a</v>
      </c>
      <c r="L60" s="63" t="str">
        <f aca="false">IF(OR(E60=0,NOT(ISNUMBER($D60))),"—",J60/$D60-1)</f>
        <v>—</v>
      </c>
      <c r="M60" s="64" t="n">
        <f aca="false">IF(E60=0,"—",J60/F60-1)</f>
        <v>0.157635467980296</v>
      </c>
      <c r="N60" s="64" t="n">
        <f aca="false">IF(E60=0,"—",J60/G60-1)</f>
        <v>-0.251592356687898</v>
      </c>
      <c r="O60" s="59" t="n">
        <f aca="false">COUNTIFS(Offers!$B$7:$B$3000,$B60,Offers!$C$7:$C$3000,"Germany",Offers!$AI$7:$AI$3000,"yes")</f>
        <v>7</v>
      </c>
      <c r="P60" s="60" t="n">
        <f aca="false">IF(O60=0,"—",SUMIFS(Review!$I$7:$I$600,Review!$B$7:$B$600,$B60,Review!$C$7:$C$600,"Germany"))</f>
        <v>3.12</v>
      </c>
      <c r="Q60" s="60" t="n">
        <f aca="false">IF(O60=0,"—",SUMIFS(Review!$J$7:$J$600,Review!$B$7:$B$600,$B60,Review!$C$7:$C$600,"Germany"))</f>
        <v>5.49</v>
      </c>
      <c r="R60" s="60" t="n">
        <f aca="false">IF(O60=0,"—",SUMIFS(Review!$K$7:$K$600,Review!$B$7:$B$600,$B60,Review!$C$7:$C$600,"Germany"))</f>
        <v>17</v>
      </c>
      <c r="S60" s="61" t="str">
        <f aca="false">IF(O60=0,"—",IF(P60&lt;Q60*(1-$C$7),"median (cheapest is an outlier)",IF(P60*(1-$C$6)&lt;Q60*(1-$C$5),"undercut cheapest","median")))</f>
        <v>median (cheapest is an outlier)</v>
      </c>
      <c r="T60" s="62" t="n">
        <f aca="false">IF(O60=0,"—",IF(AND(ISNUMBER($D60),$D60*(1+$C$10)&gt;FLOOR(IF(P60&lt;Q60*(1-$C$7),Q60*(1-$C$5-IF(O60&lt;3,$C$8,0)),MIN(Q60*(1-$C$5-IF(O60&lt;3,$C$8,0)),P60*(1-$C$6-IF(O60&lt;3,$C$8,0)))),IF(IF(P60&lt;Q60*(1-$C$7),Q60*(1-$C$5-IF(O60&lt;3,$C$8,0)),MIN(Q60*(1-$C$5-IF(O60&lt;3,$C$8,0)),P60*(1-$C$6-IF(O60&lt;3,$C$8,0))))&lt;10,$C$9,IF(IF(P60&lt;Q60*(1-$C$7),Q60*(1-$C$5-IF(O60&lt;3,$C$8,0)),MIN(Q60*(1-$C$5-IF(O60&lt;3,$C$8,0)),P60*(1-$C$6-IF(O60&lt;3,$C$8,0))))&lt;100,$D$9,$E$9)))),ROUND($D60*(1+$C$10),2),FLOOR(IF(P60&lt;Q60*(1-$C$7),Q60*(1-$C$5-IF(O60&lt;3,$C$8,0)),MIN(Q60*(1-$C$5-IF(O60&lt;3,$C$8,0)),P60*(1-$C$6-IF(O60&lt;3,$C$8,0)))),IF(IF(P60&lt;Q60*(1-$C$7),Q60*(1-$C$5-IF(O60&lt;3,$C$8,0)),MIN(Q60*(1-$C$5-IF(O60&lt;3,$C$8,0)),P60*(1-$C$6-IF(O60&lt;3,$C$8,0))))&lt;10,$C$9,IF(IF(P60&lt;Q60*(1-$C$7),Q60*(1-$C$5-IF(O60&lt;3,$C$8,0)),MIN(Q60*(1-$C$5-IF(O60&lt;3,$C$8,0)),P60*(1-$C$6-IF(O60&lt;3,$C$8,0))))&lt;100,$D$9,$E$9)))))</f>
        <v>4.1</v>
      </c>
      <c r="U60" s="60" t="str">
        <f aca="false">IF(ISNUMBER($D60),$D60,"n/a")</f>
        <v>n/a</v>
      </c>
      <c r="V60" s="63" t="str">
        <f aca="false">IF(OR(O60=0,NOT(ISNUMBER($D60))),"—",T60/$D60-1)</f>
        <v>—</v>
      </c>
      <c r="W60" s="64" t="n">
        <f aca="false">IF(O60=0,"—",T60/P60-1)</f>
        <v>0.314102564102564</v>
      </c>
      <c r="X60" s="64" t="n">
        <f aca="false">IF(O60=0,"—",T60/Q60-1)</f>
        <v>-0.253187613843352</v>
      </c>
      <c r="Y60" s="59" t="n">
        <f aca="false">COUNTIFS(Offers!$B$7:$B$3000,$B60,Offers!$C$7:$C$3000,"Czech",Offers!$AI$7:$AI$3000,"yes")</f>
        <v>5</v>
      </c>
      <c r="Z60" s="60" t="n">
        <f aca="false">IF(Y60=0,"—",SUMIFS(Review!$I$7:$I$600,Review!$B$7:$B$600,$B60,Review!$C$7:$C$600,"Czech"))</f>
        <v>3.925299</v>
      </c>
      <c r="AA60" s="60" t="n">
        <f aca="false">IF(Y60=0,"—",SUMIFS(Review!$J$7:$J$600,Review!$B$7:$B$600,$B60,Review!$C$7:$C$600,"Czech"))</f>
        <v>6.018765</v>
      </c>
      <c r="AB60" s="60" t="n">
        <f aca="false">IF(Y60=0,"—",SUMIFS(Review!$K$7:$K$600,Review!$B$7:$B$600,$B60,Review!$C$7:$C$600,"Czech"))</f>
        <v>9.949387</v>
      </c>
      <c r="AC60" s="61" t="str">
        <f aca="false">IF(Y60=0,"—",IF(Z60&lt;AA60*(1-$C$7),"median (cheapest is an outlier)",IF(Z60*(1-$C$6)&lt;AA60*(1-$C$5),"undercut cheapest","median")))</f>
        <v>undercut cheapest</v>
      </c>
      <c r="AD60" s="62" t="n">
        <f aca="false">IF(Y60=0,"—",IF(AND(ISNUMBER($D60),$D60*(1+$C$10)&gt;FLOOR(IF(Z60&lt;AA60*(1-$C$7),AA60*(1-$C$5-IF(Y60&lt;3,$C$8,0)),MIN(AA60*(1-$C$5-IF(Y60&lt;3,$C$8,0)),Z60*(1-$C$6-IF(Y60&lt;3,$C$8,0)))),IF(IF(Z60&lt;AA60*(1-$C$7),AA60*(1-$C$5-IF(Y60&lt;3,$C$8,0)),MIN(AA60*(1-$C$5-IF(Y60&lt;3,$C$8,0)),Z60*(1-$C$6-IF(Y60&lt;3,$C$8,0))))&lt;10,$C$9,IF(IF(Z60&lt;AA60*(1-$C$7),AA60*(1-$C$5-IF(Y60&lt;3,$C$8,0)),MIN(AA60*(1-$C$5-IF(Y60&lt;3,$C$8,0)),Z60*(1-$C$6-IF(Y60&lt;3,$C$8,0))))&lt;100,$D$9,$E$9)))),ROUND($D60*(1+$C$10),2),FLOOR(IF(Z60&lt;AA60*(1-$C$7),AA60*(1-$C$5-IF(Y60&lt;3,$C$8,0)),MIN(AA60*(1-$C$5-IF(Y60&lt;3,$C$8,0)),Z60*(1-$C$6-IF(Y60&lt;3,$C$8,0)))),IF(IF(Z60&lt;AA60*(1-$C$7),AA60*(1-$C$5-IF(Y60&lt;3,$C$8,0)),MIN(AA60*(1-$C$5-IF(Y60&lt;3,$C$8,0)),Z60*(1-$C$6-IF(Y60&lt;3,$C$8,0))))&lt;10,$C$9,IF(IF(Z60&lt;AA60*(1-$C$7),AA60*(1-$C$5-IF(Y60&lt;3,$C$8,0)),MIN(AA60*(1-$C$5-IF(Y60&lt;3,$C$8,0)),Z60*(1-$C$6-IF(Y60&lt;3,$C$8,0))))&lt;100,$D$9,$E$9)))))</f>
        <v>3.7</v>
      </c>
      <c r="AE60" s="65" t="n">
        <f aca="false">IF(Y60=0,"—",FLOOR(AD60*Sources!$G$10,1))</f>
        <v>90</v>
      </c>
      <c r="AF60" s="60" t="str">
        <f aca="false">IF(ISNUMBER($D60),$D60,"n/a")</f>
        <v>n/a</v>
      </c>
      <c r="AG60" s="63" t="str">
        <f aca="false">IF(OR(Y60=0,NOT(ISNUMBER($D60))),"—",AD60/$D60-1)</f>
        <v>—</v>
      </c>
      <c r="AH60" s="64" t="n">
        <f aca="false">IF(Y60=0,"—",AD60/Z60-1)</f>
        <v>-0.0573966467267844</v>
      </c>
      <c r="AI60" s="64" t="n">
        <f aca="false">IF(Y60=0,"—",AD60/AA60-1)</f>
        <v>-0.385255945364207</v>
      </c>
      <c r="AJ60" s="59" t="n">
        <f aca="false">COUNTIFS(Offers!$B$7:$B$3000,$B60,Offers!$C$7:$C$3000,"Slovakia",Offers!$AI$7:$AI$3000,"yes")</f>
        <v>5</v>
      </c>
      <c r="AK60" s="60" t="n">
        <f aca="false">IF(AJ60=0,"—",SUMIFS(Review!$I$7:$I$600,Review!$B$7:$B$600,$B60,Review!$C$7:$C$600,"Slovakia"))</f>
        <v>3.75</v>
      </c>
      <c r="AL60" s="60" t="n">
        <f aca="false">IF(AJ60=0,"—",SUMIFS(Review!$J$7:$J$600,Review!$B$7:$B$600,$B60,Review!$C$7:$C$600,"Slovakia"))</f>
        <v>5.55</v>
      </c>
      <c r="AM60" s="60" t="n">
        <f aca="false">IF(AJ60=0,"—",SUMIFS(Review!$K$7:$K$600,Review!$B$7:$B$600,$B60,Review!$C$7:$C$600,"Slovakia"))</f>
        <v>14.44</v>
      </c>
      <c r="AN60" s="61" t="str">
        <f aca="false">IF(AJ60=0,"—",IF(AK60&lt;AL60*(1-$C$7),"median (cheapest is an outlier)",IF(AK60*(1-$C$6)&lt;AL60*(1-$C$5),"undercut cheapest","median")))</f>
        <v>undercut cheapest</v>
      </c>
      <c r="AO60" s="62" t="n">
        <f aca="false">IF(AJ60=0,"—",IF(AND(ISNUMBER($D60),$D60*(1+$C$10)&gt;FLOOR(IF(AK60&lt;AL60*(1-$C$7),AL60*(1-$C$5-IF(AJ60&lt;3,$C$8,0)),MIN(AL60*(1-$C$5-IF(AJ60&lt;3,$C$8,0)),AK60*(1-$C$6-IF(AJ60&lt;3,$C$8,0)))),IF(IF(AK60&lt;AL60*(1-$C$7),AL60*(1-$C$5-IF(AJ60&lt;3,$C$8,0)),MIN(AL60*(1-$C$5-IF(AJ60&lt;3,$C$8,0)),AK60*(1-$C$6-IF(AJ60&lt;3,$C$8,0))))&lt;10,$C$9,IF(IF(AK60&lt;AL60*(1-$C$7),AL60*(1-$C$5-IF(AJ60&lt;3,$C$8,0)),MIN(AL60*(1-$C$5-IF(AJ60&lt;3,$C$8,0)),AK60*(1-$C$6-IF(AJ60&lt;3,$C$8,0))))&lt;100,$D$9,$E$9)))),ROUND($D60*(1+$C$10),2),FLOOR(IF(AK60&lt;AL60*(1-$C$7),AL60*(1-$C$5-IF(AJ60&lt;3,$C$8,0)),MIN(AL60*(1-$C$5-IF(AJ60&lt;3,$C$8,0)),AK60*(1-$C$6-IF(AJ60&lt;3,$C$8,0)))),IF(IF(AK60&lt;AL60*(1-$C$7),AL60*(1-$C$5-IF(AJ60&lt;3,$C$8,0)),MIN(AL60*(1-$C$5-IF(AJ60&lt;3,$C$8,0)),AK60*(1-$C$6-IF(AJ60&lt;3,$C$8,0))))&lt;10,$C$9,IF(IF(AK60&lt;AL60*(1-$C$7),AL60*(1-$C$5-IF(AJ60&lt;3,$C$8,0)),MIN(AL60*(1-$C$5-IF(AJ60&lt;3,$C$8,0)),AK60*(1-$C$6-IF(AJ60&lt;3,$C$8,0))))&lt;100,$D$9,$E$9)))))</f>
        <v>3.55</v>
      </c>
      <c r="AP60" s="60" t="str">
        <f aca="false">IF(ISNUMBER($D60),$D60,"n/a")</f>
        <v>n/a</v>
      </c>
      <c r="AQ60" s="63" t="str">
        <f aca="false">IF(OR(AJ60=0,NOT(ISNUMBER($D60))),"—",AO60/$D60-1)</f>
        <v>—</v>
      </c>
      <c r="AR60" s="64" t="n">
        <f aca="false">IF(AJ60=0,"—",AO60/AK60-1)</f>
        <v>-0.0533333333333332</v>
      </c>
      <c r="AS60" s="64" t="n">
        <f aca="false">IF(AJ60=0,"—",AO60/AL60-1)</f>
        <v>-0.36036036036036</v>
      </c>
      <c r="AT60" s="59" t="n">
        <f aca="false">COUNTIFS(Offers!$B$7:$B$3000,$B60,Offers!$C$7:$C$3000,"Romania",Offers!$AI$7:$AI$3000,"yes")</f>
        <v>5</v>
      </c>
      <c r="AU60" s="60" t="n">
        <f aca="false">IF(AT60=0,"—",SUMIFS(Review!$I$7:$I$600,Review!$B$7:$B$600,$B60,Review!$C$7:$C$600,"Romania"))</f>
        <v>3.65</v>
      </c>
      <c r="AV60" s="60" t="n">
        <f aca="false">IF(AT60=0,"—",SUMIFS(Review!$J$7:$J$600,Review!$B$7:$B$600,$B60,Review!$C$7:$C$600,"Romania"))</f>
        <v>5.57446</v>
      </c>
      <c r="AW60" s="60" t="n">
        <f aca="false">IF(AT60=0,"—",SUMIFS(Review!$K$7:$K$600,Review!$B$7:$B$600,$B60,Review!$C$7:$C$600,"Romania"))</f>
        <v>10.12763</v>
      </c>
      <c r="AX60" s="61" t="str">
        <f aca="false">IF(AT60=0,"—",IF(AU60&lt;AV60*(1-$C$7),"median (cheapest is an outlier)",IF(AU60*(1-$C$6)&lt;AV60*(1-$C$5),"undercut cheapest","median")))</f>
        <v>undercut cheapest</v>
      </c>
      <c r="AY60" s="62" t="n">
        <f aca="false">IF(AT60=0,"—",IF(AND(ISNUMBER($D60),$D60*(1+$C$10)&gt;FLOOR(IF(AU60&lt;AV60*(1-$C$7),AV60*(1-$C$5-IF(AT60&lt;3,$C$8,0)),MIN(AV60*(1-$C$5-IF(AT60&lt;3,$C$8,0)),AU60*(1-$C$6-IF(AT60&lt;3,$C$8,0)))),IF(IF(AU60&lt;AV60*(1-$C$7),AV60*(1-$C$5-IF(AT60&lt;3,$C$8,0)),MIN(AV60*(1-$C$5-IF(AT60&lt;3,$C$8,0)),AU60*(1-$C$6-IF(AT60&lt;3,$C$8,0))))&lt;10,$C$9,IF(IF(AU60&lt;AV60*(1-$C$7),AV60*(1-$C$5-IF(AT60&lt;3,$C$8,0)),MIN(AV60*(1-$C$5-IF(AT60&lt;3,$C$8,0)),AU60*(1-$C$6-IF(AT60&lt;3,$C$8,0))))&lt;100,$D$9,$E$9)))),ROUND($D60*(1+$C$10),2),FLOOR(IF(AU60&lt;AV60*(1-$C$7),AV60*(1-$C$5-IF(AT60&lt;3,$C$8,0)),MIN(AV60*(1-$C$5-IF(AT60&lt;3,$C$8,0)),AU60*(1-$C$6-IF(AT60&lt;3,$C$8,0)))),IF(IF(AU60&lt;AV60*(1-$C$7),AV60*(1-$C$5-IF(AT60&lt;3,$C$8,0)),MIN(AV60*(1-$C$5-IF(AT60&lt;3,$C$8,0)),AU60*(1-$C$6-IF(AT60&lt;3,$C$8,0))))&lt;10,$C$9,IF(IF(AU60&lt;AV60*(1-$C$7),AV60*(1-$C$5-IF(AT60&lt;3,$C$8,0)),MIN(AV60*(1-$C$5-IF(AT60&lt;3,$C$8,0)),AU60*(1-$C$6-IF(AT60&lt;3,$C$8,0))))&lt;100,$D$9,$E$9)))))</f>
        <v>3.45</v>
      </c>
      <c r="AZ60" s="62" t="n">
        <f aca="false">IF(AT60=0,"—",FLOOR(AY60*Sources!$G$9,0.1))</f>
        <v>18.2</v>
      </c>
      <c r="BA60" s="60" t="str">
        <f aca="false">IF(ISNUMBER($D60),$D60,"n/a")</f>
        <v>n/a</v>
      </c>
      <c r="BB60" s="63" t="str">
        <f aca="false">IF(OR(AT60=0,NOT(ISNUMBER($D60))),"—",AY60/$D60-1)</f>
        <v>—</v>
      </c>
      <c r="BC60" s="64" t="n">
        <f aca="false">IF(AT60=0,"—",AY60/AU60-1)</f>
        <v>-0.0547945205479451</v>
      </c>
      <c r="BD60" s="64" t="n">
        <f aca="false">IF(AT60=0,"—",AY60/AV60-1)</f>
        <v>-0.381105972596449</v>
      </c>
      <c r="BE60" s="59" t="n">
        <f aca="false">COUNTIFS(Offers!$B$7:$B$3000,$B60,Offers!$C$7:$C$3000,"Hungary",Offers!$AI$7:$AI$3000,"yes")</f>
        <v>0</v>
      </c>
      <c r="BF60" s="60" t="str">
        <f aca="false">IF(BE60=0,"—",SUMIFS(Review!$I$7:$I$600,Review!$B$7:$B$600,$B60,Review!$C$7:$C$600,"Hungary"))</f>
        <v>—</v>
      </c>
      <c r="BG60" s="60" t="str">
        <f aca="false">IF(BE60=0,"—",SUMIFS(Review!$J$7:$J$600,Review!$B$7:$B$600,$B60,Review!$C$7:$C$600,"Hungary"))</f>
        <v>—</v>
      </c>
      <c r="BH60" s="60" t="str">
        <f aca="false">IF(BE60=0,"—",SUMIFS(Review!$K$7:$K$600,Review!$B$7:$B$600,$B60,Review!$C$7:$C$600,"Hungary"))</f>
        <v>—</v>
      </c>
      <c r="BI60" s="61" t="str">
        <f aca="false">IF(BE60=0,"—",IF(BF60&lt;BG60*(1-$C$7),"median (cheapest is an outlier)",IF(BF60*(1-$C$6)&lt;BG60*(1-$C$5),"undercut cheapest","median")))</f>
        <v>—</v>
      </c>
      <c r="BJ60" s="62" t="str">
        <f aca="false">IF(BE60=0,"—",IF(AND(ISNUMBER($D60),$D60*(1+$C$10)&gt;FLOOR(IF(BF60&lt;BG60*(1-$C$7),BG60*(1-$C$5-IF(BE60&lt;3,$C$8,0)),MIN(BG60*(1-$C$5-IF(BE60&lt;3,$C$8,0)),BF60*(1-$C$6-IF(BE60&lt;3,$C$8,0)))),IF(IF(BF60&lt;BG60*(1-$C$7),BG60*(1-$C$5-IF(BE60&lt;3,$C$8,0)),MIN(BG60*(1-$C$5-IF(BE60&lt;3,$C$8,0)),BF60*(1-$C$6-IF(BE60&lt;3,$C$8,0))))&lt;10,$C$9,IF(IF(BF60&lt;BG60*(1-$C$7),BG60*(1-$C$5-IF(BE60&lt;3,$C$8,0)),MIN(BG60*(1-$C$5-IF(BE60&lt;3,$C$8,0)),BF60*(1-$C$6-IF(BE60&lt;3,$C$8,0))))&lt;100,$D$9,$E$9)))),ROUND($D60*(1+$C$10),2),FLOOR(IF(BF60&lt;BG60*(1-$C$7),BG60*(1-$C$5-IF(BE60&lt;3,$C$8,0)),MIN(BG60*(1-$C$5-IF(BE60&lt;3,$C$8,0)),BF60*(1-$C$6-IF(BE60&lt;3,$C$8,0)))),IF(IF(BF60&lt;BG60*(1-$C$7),BG60*(1-$C$5-IF(BE60&lt;3,$C$8,0)),MIN(BG60*(1-$C$5-IF(BE60&lt;3,$C$8,0)),BF60*(1-$C$6-IF(BE60&lt;3,$C$8,0))))&lt;10,$C$9,IF(IF(BF60&lt;BG60*(1-$C$7),BG60*(1-$C$5-IF(BE60&lt;3,$C$8,0)),MIN(BG60*(1-$C$5-IF(BE60&lt;3,$C$8,0)),BF60*(1-$C$6-IF(BE60&lt;3,$C$8,0))))&lt;100,$D$9,$E$9)))))</f>
        <v>—</v>
      </c>
      <c r="BK60" s="65" t="str">
        <f aca="false">IF(BE60=0,"—",FLOOR(BJ60*Sources!$G$8,10))</f>
        <v>—</v>
      </c>
      <c r="BL60" s="60" t="str">
        <f aca="false">IF(ISNUMBER($D60),$D60,"n/a")</f>
        <v>n/a</v>
      </c>
      <c r="BM60" s="63" t="str">
        <f aca="false">IF(OR(BE60=0,NOT(ISNUMBER($D60))),"—",BJ60/$D60-1)</f>
        <v>—</v>
      </c>
      <c r="BN60" s="64" t="str">
        <f aca="false">IF(BE60=0,"—",BJ60/BF60-1)</f>
        <v>—</v>
      </c>
      <c r="BO60" s="64" t="str">
        <f aca="false">IF(BE60=0,"—",BJ60/BG60-1)</f>
        <v>—</v>
      </c>
    </row>
    <row r="61" customFormat="false" ht="15" hidden="false" customHeight="false" outlineLevel="0" collapsed="false">
      <c r="B61" s="1" t="s">
        <v>77</v>
      </c>
      <c r="C61" s="1" t="s">
        <v>186</v>
      </c>
      <c r="D61" s="58"/>
      <c r="E61" s="59" t="n">
        <f aca="false">COUNTIFS(Offers!$B$7:$B$3000,$B61,Offers!$C$7:$C$3000,"Austria",Offers!$AI$7:$AI$3000,"yes")</f>
        <v>7</v>
      </c>
      <c r="F61" s="60" t="n">
        <f aca="false">IF(E61=0,"—",SUMIFS(Review!$I$7:$I$600,Review!$B$7:$B$600,$B61,Review!$C$7:$C$600,"Austria"))</f>
        <v>7.8</v>
      </c>
      <c r="G61" s="60" t="n">
        <f aca="false">IF(E61=0,"—",SUMIFS(Review!$J$7:$J$600,Review!$B$7:$B$600,$B61,Review!$C$7:$C$600,"Austria"))</f>
        <v>12</v>
      </c>
      <c r="H61" s="60" t="n">
        <f aca="false">IF(E61=0,"—",SUMIFS(Review!$K$7:$K$600,Review!$B$7:$B$600,$B61,Review!$C$7:$C$600,"Austria"))</f>
        <v>21</v>
      </c>
      <c r="I61" s="61" t="str">
        <f aca="false">IF(E61=0,"—",IF(F61&lt;G61*(1-$C$7),"median (cheapest is an outlier)",IF(F61*(1-$C$6)&lt;G61*(1-$C$5),"undercut cheapest","median")))</f>
        <v>undercut cheapest</v>
      </c>
      <c r="J61" s="62" t="n">
        <f aca="false">IF(E61=0,"—",IF(AND(ISNUMBER($D61),$D61*(1+$C$10)&gt;FLOOR(IF(F61&lt;G61*(1-$C$7),G61*(1-$C$5-IF(E61&lt;3,$C$8,0)),MIN(G61*(1-$C$5-IF(E61&lt;3,$C$8,0)),F61*(1-$C$6-IF(E61&lt;3,$C$8,0)))),IF(IF(F61&lt;G61*(1-$C$7),G61*(1-$C$5-IF(E61&lt;3,$C$8,0)),MIN(G61*(1-$C$5-IF(E61&lt;3,$C$8,0)),F61*(1-$C$6-IF(E61&lt;3,$C$8,0))))&lt;10,$C$9,IF(IF(F61&lt;G61*(1-$C$7),G61*(1-$C$5-IF(E61&lt;3,$C$8,0)),MIN(G61*(1-$C$5-IF(E61&lt;3,$C$8,0)),F61*(1-$C$6-IF(E61&lt;3,$C$8,0))))&lt;100,$D$9,$E$9)))),ROUND($D61*(1+$C$10),2),FLOOR(IF(F61&lt;G61*(1-$C$7),G61*(1-$C$5-IF(E61&lt;3,$C$8,0)),MIN(G61*(1-$C$5-IF(E61&lt;3,$C$8,0)),F61*(1-$C$6-IF(E61&lt;3,$C$8,0)))),IF(IF(F61&lt;G61*(1-$C$7),G61*(1-$C$5-IF(E61&lt;3,$C$8,0)),MIN(G61*(1-$C$5-IF(E61&lt;3,$C$8,0)),F61*(1-$C$6-IF(E61&lt;3,$C$8,0))))&lt;10,$C$9,IF(IF(F61&lt;G61*(1-$C$7),G61*(1-$C$5-IF(E61&lt;3,$C$8,0)),MIN(G61*(1-$C$5-IF(E61&lt;3,$C$8,0)),F61*(1-$C$6-IF(E61&lt;3,$C$8,0))))&lt;100,$D$9,$E$9)))))</f>
        <v>7.4</v>
      </c>
      <c r="K61" s="60" t="str">
        <f aca="false">IF(ISNUMBER($D61),$D61,"n/a")</f>
        <v>n/a</v>
      </c>
      <c r="L61" s="63" t="str">
        <f aca="false">IF(OR(E61=0,NOT(ISNUMBER($D61))),"—",J61/$D61-1)</f>
        <v>—</v>
      </c>
      <c r="M61" s="64" t="n">
        <f aca="false">IF(E61=0,"—",J61/F61-1)</f>
        <v>-0.0512820512820512</v>
      </c>
      <c r="N61" s="64" t="n">
        <f aca="false">IF(E61=0,"—",J61/G61-1)</f>
        <v>-0.383333333333333</v>
      </c>
      <c r="O61" s="59" t="n">
        <f aca="false">COUNTIFS(Offers!$B$7:$B$3000,$B61,Offers!$C$7:$C$3000,"Germany",Offers!$AI$7:$AI$3000,"yes")</f>
        <v>7</v>
      </c>
      <c r="P61" s="60" t="n">
        <f aca="false">IF(O61=0,"—",SUMIFS(Review!$I$7:$I$600,Review!$B$7:$B$600,$B61,Review!$C$7:$C$600,"Germany"))</f>
        <v>8.59</v>
      </c>
      <c r="Q61" s="60" t="n">
        <f aca="false">IF(O61=0,"—",SUMIFS(Review!$J$7:$J$600,Review!$B$7:$B$600,$B61,Review!$C$7:$C$600,"Germany"))</f>
        <v>9.12</v>
      </c>
      <c r="R61" s="60" t="n">
        <f aca="false">IF(O61=0,"—",SUMIFS(Review!$K$7:$K$600,Review!$B$7:$B$600,$B61,Review!$C$7:$C$600,"Germany"))</f>
        <v>21</v>
      </c>
      <c r="S61" s="61" t="str">
        <f aca="false">IF(O61=0,"—",IF(P61&lt;Q61*(1-$C$7),"median (cheapest is an outlier)",IF(P61*(1-$C$6)&lt;Q61*(1-$C$5),"undercut cheapest","median")))</f>
        <v>median</v>
      </c>
      <c r="T61" s="62" t="n">
        <f aca="false">IF(O61=0,"—",IF(AND(ISNUMBER($D61),$D61*(1+$C$10)&gt;FLOOR(IF(P61&lt;Q61*(1-$C$7),Q61*(1-$C$5-IF(O61&lt;3,$C$8,0)),MIN(Q61*(1-$C$5-IF(O61&lt;3,$C$8,0)),P61*(1-$C$6-IF(O61&lt;3,$C$8,0)))),IF(IF(P61&lt;Q61*(1-$C$7),Q61*(1-$C$5-IF(O61&lt;3,$C$8,0)),MIN(Q61*(1-$C$5-IF(O61&lt;3,$C$8,0)),P61*(1-$C$6-IF(O61&lt;3,$C$8,0))))&lt;10,$C$9,IF(IF(P61&lt;Q61*(1-$C$7),Q61*(1-$C$5-IF(O61&lt;3,$C$8,0)),MIN(Q61*(1-$C$5-IF(O61&lt;3,$C$8,0)),P61*(1-$C$6-IF(O61&lt;3,$C$8,0))))&lt;100,$D$9,$E$9)))),ROUND($D61*(1+$C$10),2),FLOOR(IF(P61&lt;Q61*(1-$C$7),Q61*(1-$C$5-IF(O61&lt;3,$C$8,0)),MIN(Q61*(1-$C$5-IF(O61&lt;3,$C$8,0)),P61*(1-$C$6-IF(O61&lt;3,$C$8,0)))),IF(IF(P61&lt;Q61*(1-$C$7),Q61*(1-$C$5-IF(O61&lt;3,$C$8,0)),MIN(Q61*(1-$C$5-IF(O61&lt;3,$C$8,0)),P61*(1-$C$6-IF(O61&lt;3,$C$8,0))))&lt;10,$C$9,IF(IF(P61&lt;Q61*(1-$C$7),Q61*(1-$C$5-IF(O61&lt;3,$C$8,0)),MIN(Q61*(1-$C$5-IF(O61&lt;3,$C$8,0)),P61*(1-$C$6-IF(O61&lt;3,$C$8,0))))&lt;100,$D$9,$E$9)))))</f>
        <v>6.8</v>
      </c>
      <c r="U61" s="60" t="str">
        <f aca="false">IF(ISNUMBER($D61),$D61,"n/a")</f>
        <v>n/a</v>
      </c>
      <c r="V61" s="63" t="str">
        <f aca="false">IF(OR(O61=0,NOT(ISNUMBER($D61))),"—",T61/$D61-1)</f>
        <v>—</v>
      </c>
      <c r="W61" s="64" t="n">
        <f aca="false">IF(O61=0,"—",T61/P61-1)</f>
        <v>-0.208381839348079</v>
      </c>
      <c r="X61" s="64" t="n">
        <f aca="false">IF(O61=0,"—",T61/Q61-1)</f>
        <v>-0.254385964912281</v>
      </c>
      <c r="Y61" s="59" t="n">
        <f aca="false">COUNTIFS(Offers!$B$7:$B$3000,$B61,Offers!$C$7:$C$3000,"Czech",Offers!$AI$7:$AI$3000,"yes")</f>
        <v>3</v>
      </c>
      <c r="Z61" s="60" t="n">
        <f aca="false">IF(Y61=0,"—",SUMIFS(Review!$I$7:$I$600,Review!$B$7:$B$600,$B61,Review!$C$7:$C$600,"Czech"))</f>
        <v>4.737218</v>
      </c>
      <c r="AA61" s="60" t="n">
        <f aca="false">IF(Y61=0,"—",SUMIFS(Review!$J$7:$J$600,Review!$B$7:$B$600,$B61,Review!$C$7:$C$600,"Czech"))</f>
        <v>6.551037</v>
      </c>
      <c r="AB61" s="60" t="n">
        <f aca="false">IF(Y61=0,"—",SUMIFS(Review!$K$7:$K$600,Review!$B$7:$B$600,$B61,Review!$C$7:$C$600,"Czech"))</f>
        <v>14.780776</v>
      </c>
      <c r="AC61" s="61" t="str">
        <f aca="false">IF(Y61=0,"—",IF(Z61&lt;AA61*(1-$C$7),"median (cheapest is an outlier)",IF(Z61*(1-$C$6)&lt;AA61*(1-$C$5),"undercut cheapest","median")))</f>
        <v>undercut cheapest</v>
      </c>
      <c r="AD61" s="62" t="n">
        <f aca="false">IF(Y61=0,"—",IF(AND(ISNUMBER($D61),$D61*(1+$C$10)&gt;FLOOR(IF(Z61&lt;AA61*(1-$C$7),AA61*(1-$C$5-IF(Y61&lt;3,$C$8,0)),MIN(AA61*(1-$C$5-IF(Y61&lt;3,$C$8,0)),Z61*(1-$C$6-IF(Y61&lt;3,$C$8,0)))),IF(IF(Z61&lt;AA61*(1-$C$7),AA61*(1-$C$5-IF(Y61&lt;3,$C$8,0)),MIN(AA61*(1-$C$5-IF(Y61&lt;3,$C$8,0)),Z61*(1-$C$6-IF(Y61&lt;3,$C$8,0))))&lt;10,$C$9,IF(IF(Z61&lt;AA61*(1-$C$7),AA61*(1-$C$5-IF(Y61&lt;3,$C$8,0)),MIN(AA61*(1-$C$5-IF(Y61&lt;3,$C$8,0)),Z61*(1-$C$6-IF(Y61&lt;3,$C$8,0))))&lt;100,$D$9,$E$9)))),ROUND($D61*(1+$C$10),2),FLOOR(IF(Z61&lt;AA61*(1-$C$7),AA61*(1-$C$5-IF(Y61&lt;3,$C$8,0)),MIN(AA61*(1-$C$5-IF(Y61&lt;3,$C$8,0)),Z61*(1-$C$6-IF(Y61&lt;3,$C$8,0)))),IF(IF(Z61&lt;AA61*(1-$C$7),AA61*(1-$C$5-IF(Y61&lt;3,$C$8,0)),MIN(AA61*(1-$C$5-IF(Y61&lt;3,$C$8,0)),Z61*(1-$C$6-IF(Y61&lt;3,$C$8,0))))&lt;10,$C$9,IF(IF(Z61&lt;AA61*(1-$C$7),AA61*(1-$C$5-IF(Y61&lt;3,$C$8,0)),MIN(AA61*(1-$C$5-IF(Y61&lt;3,$C$8,0)),Z61*(1-$C$6-IF(Y61&lt;3,$C$8,0))))&lt;100,$D$9,$E$9)))))</f>
        <v>4.5</v>
      </c>
      <c r="AE61" s="65" t="n">
        <f aca="false">IF(Y61=0,"—",FLOOR(AD61*Sources!$G$10,1))</f>
        <v>109</v>
      </c>
      <c r="AF61" s="60" t="str">
        <f aca="false">IF(ISNUMBER($D61),$D61,"n/a")</f>
        <v>n/a</v>
      </c>
      <c r="AG61" s="63" t="str">
        <f aca="false">IF(OR(Y61=0,NOT(ISNUMBER($D61))),"—",AD61/$D61-1)</f>
        <v>—</v>
      </c>
      <c r="AH61" s="64" t="n">
        <f aca="false">IF(Y61=0,"—",AD61/Z61-1)</f>
        <v>-0.0500753817958136</v>
      </c>
      <c r="AI61" s="64" t="n">
        <f aca="false">IF(Y61=0,"—",AD61/AA61-1)</f>
        <v>-0.313085851904057</v>
      </c>
      <c r="AJ61" s="59" t="n">
        <f aca="false">COUNTIFS(Offers!$B$7:$B$3000,$B61,Offers!$C$7:$C$3000,"Slovakia",Offers!$AI$7:$AI$3000,"yes")</f>
        <v>4</v>
      </c>
      <c r="AK61" s="60" t="n">
        <f aca="false">IF(AJ61=0,"—",SUMIFS(Review!$I$7:$I$600,Review!$B$7:$B$600,$B61,Review!$C$7:$C$600,"Slovakia"))</f>
        <v>5.01</v>
      </c>
      <c r="AL61" s="60" t="n">
        <f aca="false">IF(AJ61=0,"—",SUMIFS(Review!$J$7:$J$600,Review!$B$7:$B$600,$B61,Review!$C$7:$C$600,"Slovakia"))</f>
        <v>7.74</v>
      </c>
      <c r="AM61" s="60" t="n">
        <f aca="false">IF(AJ61=0,"—",SUMIFS(Review!$K$7:$K$600,Review!$B$7:$B$600,$B61,Review!$C$7:$C$600,"Slovakia"))</f>
        <v>14.04</v>
      </c>
      <c r="AN61" s="61" t="str">
        <f aca="false">IF(AJ61=0,"—",IF(AK61&lt;AL61*(1-$C$7),"median (cheapest is an outlier)",IF(AK61*(1-$C$6)&lt;AL61*(1-$C$5),"undercut cheapest","median")))</f>
        <v>median (cheapest is an outlier)</v>
      </c>
      <c r="AO61" s="62" t="n">
        <f aca="false">IF(AJ61=0,"—",IF(AND(ISNUMBER($D61),$D61*(1+$C$10)&gt;FLOOR(IF(AK61&lt;AL61*(1-$C$7),AL61*(1-$C$5-IF(AJ61&lt;3,$C$8,0)),MIN(AL61*(1-$C$5-IF(AJ61&lt;3,$C$8,0)),AK61*(1-$C$6-IF(AJ61&lt;3,$C$8,0)))),IF(IF(AK61&lt;AL61*(1-$C$7),AL61*(1-$C$5-IF(AJ61&lt;3,$C$8,0)),MIN(AL61*(1-$C$5-IF(AJ61&lt;3,$C$8,0)),AK61*(1-$C$6-IF(AJ61&lt;3,$C$8,0))))&lt;10,$C$9,IF(IF(AK61&lt;AL61*(1-$C$7),AL61*(1-$C$5-IF(AJ61&lt;3,$C$8,0)),MIN(AL61*(1-$C$5-IF(AJ61&lt;3,$C$8,0)),AK61*(1-$C$6-IF(AJ61&lt;3,$C$8,0))))&lt;100,$D$9,$E$9)))),ROUND($D61*(1+$C$10),2),FLOOR(IF(AK61&lt;AL61*(1-$C$7),AL61*(1-$C$5-IF(AJ61&lt;3,$C$8,0)),MIN(AL61*(1-$C$5-IF(AJ61&lt;3,$C$8,0)),AK61*(1-$C$6-IF(AJ61&lt;3,$C$8,0)))),IF(IF(AK61&lt;AL61*(1-$C$7),AL61*(1-$C$5-IF(AJ61&lt;3,$C$8,0)),MIN(AL61*(1-$C$5-IF(AJ61&lt;3,$C$8,0)),AK61*(1-$C$6-IF(AJ61&lt;3,$C$8,0))))&lt;10,$C$9,IF(IF(AK61&lt;AL61*(1-$C$7),AL61*(1-$C$5-IF(AJ61&lt;3,$C$8,0)),MIN(AL61*(1-$C$5-IF(AJ61&lt;3,$C$8,0)),AK61*(1-$C$6-IF(AJ61&lt;3,$C$8,0))))&lt;100,$D$9,$E$9)))))</f>
        <v>5.8</v>
      </c>
      <c r="AP61" s="60" t="str">
        <f aca="false">IF(ISNUMBER($D61),$D61,"n/a")</f>
        <v>n/a</v>
      </c>
      <c r="AQ61" s="63" t="str">
        <f aca="false">IF(OR(AJ61=0,NOT(ISNUMBER($D61))),"—",AO61/$D61-1)</f>
        <v>—</v>
      </c>
      <c r="AR61" s="64" t="n">
        <f aca="false">IF(AJ61=0,"—",AO61/AK61-1)</f>
        <v>0.157684630738523</v>
      </c>
      <c r="AS61" s="64" t="n">
        <f aca="false">IF(AJ61=0,"—",AO61/AL61-1)</f>
        <v>-0.250645994832041</v>
      </c>
      <c r="AT61" s="59" t="n">
        <f aca="false">COUNTIFS(Offers!$B$7:$B$3000,$B61,Offers!$C$7:$C$3000,"Romania",Offers!$AI$7:$AI$3000,"yes")</f>
        <v>4</v>
      </c>
      <c r="AU61" s="60" t="n">
        <f aca="false">IF(AT61=0,"—",SUMIFS(Review!$I$7:$I$600,Review!$B$7:$B$600,$B61,Review!$C$7:$C$600,"Romania"))</f>
        <v>4</v>
      </c>
      <c r="AV61" s="60" t="n">
        <f aca="false">IF(AT61=0,"—",SUMIFS(Review!$J$7:$J$600,Review!$B$7:$B$600,$B61,Review!$C$7:$C$600,"Romania"))</f>
        <v>6.474483</v>
      </c>
      <c r="AW61" s="60" t="n">
        <f aca="false">IF(AT61=0,"—",SUMIFS(Review!$K$7:$K$600,Review!$B$7:$B$600,$B61,Review!$C$7:$C$600,"Romania"))</f>
        <v>8.424217</v>
      </c>
      <c r="AX61" s="61" t="str">
        <f aca="false">IF(AT61=0,"—",IF(AU61&lt;AV61*(1-$C$7),"median (cheapest is an outlier)",IF(AU61*(1-$C$6)&lt;AV61*(1-$C$5),"undercut cheapest","median")))</f>
        <v>median (cheapest is an outlier)</v>
      </c>
      <c r="AY61" s="62" t="n">
        <f aca="false">IF(AT61=0,"—",IF(AND(ISNUMBER($D61),$D61*(1+$C$10)&gt;FLOOR(IF(AU61&lt;AV61*(1-$C$7),AV61*(1-$C$5-IF(AT61&lt;3,$C$8,0)),MIN(AV61*(1-$C$5-IF(AT61&lt;3,$C$8,0)),AU61*(1-$C$6-IF(AT61&lt;3,$C$8,0)))),IF(IF(AU61&lt;AV61*(1-$C$7),AV61*(1-$C$5-IF(AT61&lt;3,$C$8,0)),MIN(AV61*(1-$C$5-IF(AT61&lt;3,$C$8,0)),AU61*(1-$C$6-IF(AT61&lt;3,$C$8,0))))&lt;10,$C$9,IF(IF(AU61&lt;AV61*(1-$C$7),AV61*(1-$C$5-IF(AT61&lt;3,$C$8,0)),MIN(AV61*(1-$C$5-IF(AT61&lt;3,$C$8,0)),AU61*(1-$C$6-IF(AT61&lt;3,$C$8,0))))&lt;100,$D$9,$E$9)))),ROUND($D61*(1+$C$10),2),FLOOR(IF(AU61&lt;AV61*(1-$C$7),AV61*(1-$C$5-IF(AT61&lt;3,$C$8,0)),MIN(AV61*(1-$C$5-IF(AT61&lt;3,$C$8,0)),AU61*(1-$C$6-IF(AT61&lt;3,$C$8,0)))),IF(IF(AU61&lt;AV61*(1-$C$7),AV61*(1-$C$5-IF(AT61&lt;3,$C$8,0)),MIN(AV61*(1-$C$5-IF(AT61&lt;3,$C$8,0)),AU61*(1-$C$6-IF(AT61&lt;3,$C$8,0))))&lt;10,$C$9,IF(IF(AU61&lt;AV61*(1-$C$7),AV61*(1-$C$5-IF(AT61&lt;3,$C$8,0)),MIN(AV61*(1-$C$5-IF(AT61&lt;3,$C$8,0)),AU61*(1-$C$6-IF(AT61&lt;3,$C$8,0))))&lt;100,$D$9,$E$9)))))</f>
        <v>4.85</v>
      </c>
      <c r="AZ61" s="62" t="n">
        <f aca="false">IF(AT61=0,"—",FLOOR(AY61*Sources!$G$9,0.1))</f>
        <v>25.5</v>
      </c>
      <c r="BA61" s="60" t="str">
        <f aca="false">IF(ISNUMBER($D61),$D61,"n/a")</f>
        <v>n/a</v>
      </c>
      <c r="BB61" s="63" t="str">
        <f aca="false">IF(OR(AT61=0,NOT(ISNUMBER($D61))),"—",AY61/$D61-1)</f>
        <v>—</v>
      </c>
      <c r="BC61" s="64" t="n">
        <f aca="false">IF(AT61=0,"—",AY61/AU61-1)</f>
        <v>0.2125</v>
      </c>
      <c r="BD61" s="64" t="n">
        <f aca="false">IF(AT61=0,"—",AY61/AV61-1)</f>
        <v>-0.250905439090658</v>
      </c>
      <c r="BE61" s="59" t="n">
        <f aca="false">COUNTIFS(Offers!$B$7:$B$3000,$B61,Offers!$C$7:$C$3000,"Hungary",Offers!$AI$7:$AI$3000,"yes")</f>
        <v>0</v>
      </c>
      <c r="BF61" s="60" t="str">
        <f aca="false">IF(BE61=0,"—",SUMIFS(Review!$I$7:$I$600,Review!$B$7:$B$600,$B61,Review!$C$7:$C$600,"Hungary"))</f>
        <v>—</v>
      </c>
      <c r="BG61" s="60" t="str">
        <f aca="false">IF(BE61=0,"—",SUMIFS(Review!$J$7:$J$600,Review!$B$7:$B$600,$B61,Review!$C$7:$C$600,"Hungary"))</f>
        <v>—</v>
      </c>
      <c r="BH61" s="60" t="str">
        <f aca="false">IF(BE61=0,"—",SUMIFS(Review!$K$7:$K$600,Review!$B$7:$B$600,$B61,Review!$C$7:$C$600,"Hungary"))</f>
        <v>—</v>
      </c>
      <c r="BI61" s="61" t="str">
        <f aca="false">IF(BE61=0,"—",IF(BF61&lt;BG61*(1-$C$7),"median (cheapest is an outlier)",IF(BF61*(1-$C$6)&lt;BG61*(1-$C$5),"undercut cheapest","median")))</f>
        <v>—</v>
      </c>
      <c r="BJ61" s="62" t="str">
        <f aca="false">IF(BE61=0,"—",IF(AND(ISNUMBER($D61),$D61*(1+$C$10)&gt;FLOOR(IF(BF61&lt;BG61*(1-$C$7),BG61*(1-$C$5-IF(BE61&lt;3,$C$8,0)),MIN(BG61*(1-$C$5-IF(BE61&lt;3,$C$8,0)),BF61*(1-$C$6-IF(BE61&lt;3,$C$8,0)))),IF(IF(BF61&lt;BG61*(1-$C$7),BG61*(1-$C$5-IF(BE61&lt;3,$C$8,0)),MIN(BG61*(1-$C$5-IF(BE61&lt;3,$C$8,0)),BF61*(1-$C$6-IF(BE61&lt;3,$C$8,0))))&lt;10,$C$9,IF(IF(BF61&lt;BG61*(1-$C$7),BG61*(1-$C$5-IF(BE61&lt;3,$C$8,0)),MIN(BG61*(1-$C$5-IF(BE61&lt;3,$C$8,0)),BF61*(1-$C$6-IF(BE61&lt;3,$C$8,0))))&lt;100,$D$9,$E$9)))),ROUND($D61*(1+$C$10),2),FLOOR(IF(BF61&lt;BG61*(1-$C$7),BG61*(1-$C$5-IF(BE61&lt;3,$C$8,0)),MIN(BG61*(1-$C$5-IF(BE61&lt;3,$C$8,0)),BF61*(1-$C$6-IF(BE61&lt;3,$C$8,0)))),IF(IF(BF61&lt;BG61*(1-$C$7),BG61*(1-$C$5-IF(BE61&lt;3,$C$8,0)),MIN(BG61*(1-$C$5-IF(BE61&lt;3,$C$8,0)),BF61*(1-$C$6-IF(BE61&lt;3,$C$8,0))))&lt;10,$C$9,IF(IF(BF61&lt;BG61*(1-$C$7),BG61*(1-$C$5-IF(BE61&lt;3,$C$8,0)),MIN(BG61*(1-$C$5-IF(BE61&lt;3,$C$8,0)),BF61*(1-$C$6-IF(BE61&lt;3,$C$8,0))))&lt;100,$D$9,$E$9)))))</f>
        <v>—</v>
      </c>
      <c r="BK61" s="65" t="str">
        <f aca="false">IF(BE61=0,"—",FLOOR(BJ61*Sources!$G$8,10))</f>
        <v>—</v>
      </c>
      <c r="BL61" s="60" t="str">
        <f aca="false">IF(ISNUMBER($D61),$D61,"n/a")</f>
        <v>n/a</v>
      </c>
      <c r="BM61" s="63" t="str">
        <f aca="false">IF(OR(BE61=0,NOT(ISNUMBER($D61))),"—",BJ61/$D61-1)</f>
        <v>—</v>
      </c>
      <c r="BN61" s="64" t="str">
        <f aca="false">IF(BE61=0,"—",BJ61/BF61-1)</f>
        <v>—</v>
      </c>
      <c r="BO61" s="64" t="str">
        <f aca="false">IF(BE61=0,"—",BJ61/BG61-1)</f>
        <v>—</v>
      </c>
    </row>
    <row r="62" customFormat="false" ht="15" hidden="false" customHeight="false" outlineLevel="0" collapsed="false">
      <c r="B62" s="1" t="s">
        <v>78</v>
      </c>
      <c r="C62" s="1" t="s">
        <v>187</v>
      </c>
      <c r="D62" s="58"/>
      <c r="E62" s="59" t="n">
        <f aca="false">COUNTIFS(Offers!$B$7:$B$3000,$B62,Offers!$C$7:$C$3000,"Austria",Offers!$AI$7:$AI$3000,"yes")</f>
        <v>7</v>
      </c>
      <c r="F62" s="60" t="n">
        <f aca="false">IF(E62=0,"—",SUMIFS(Review!$I$7:$I$600,Review!$B$7:$B$600,$B62,Review!$C$7:$C$600,"Austria"))</f>
        <v>2.67</v>
      </c>
      <c r="G62" s="60" t="n">
        <f aca="false">IF(E62=0,"—",SUMIFS(Review!$J$7:$J$600,Review!$B$7:$B$600,$B62,Review!$C$7:$C$600,"Austria"))</f>
        <v>3.69</v>
      </c>
      <c r="H62" s="60" t="n">
        <f aca="false">IF(E62=0,"—",SUMIFS(Review!$K$7:$K$600,Review!$B$7:$B$600,$B62,Review!$C$7:$C$600,"Austria"))</f>
        <v>12.6</v>
      </c>
      <c r="I62" s="61" t="str">
        <f aca="false">IF(E62=0,"—",IF(F62&lt;G62*(1-$C$7),"median (cheapest is an outlier)",IF(F62*(1-$C$6)&lt;G62*(1-$C$5),"undercut cheapest","median")))</f>
        <v>undercut cheapest</v>
      </c>
      <c r="J62" s="62" t="n">
        <f aca="false">IF(E62=0,"—",IF(AND(ISNUMBER($D62),$D62*(1+$C$10)&gt;FLOOR(IF(F62&lt;G62*(1-$C$7),G62*(1-$C$5-IF(E62&lt;3,$C$8,0)),MIN(G62*(1-$C$5-IF(E62&lt;3,$C$8,0)),F62*(1-$C$6-IF(E62&lt;3,$C$8,0)))),IF(IF(F62&lt;G62*(1-$C$7),G62*(1-$C$5-IF(E62&lt;3,$C$8,0)),MIN(G62*(1-$C$5-IF(E62&lt;3,$C$8,0)),F62*(1-$C$6-IF(E62&lt;3,$C$8,0))))&lt;10,$C$9,IF(IF(F62&lt;G62*(1-$C$7),G62*(1-$C$5-IF(E62&lt;3,$C$8,0)),MIN(G62*(1-$C$5-IF(E62&lt;3,$C$8,0)),F62*(1-$C$6-IF(E62&lt;3,$C$8,0))))&lt;100,$D$9,$E$9)))),ROUND($D62*(1+$C$10),2),FLOOR(IF(F62&lt;G62*(1-$C$7),G62*(1-$C$5-IF(E62&lt;3,$C$8,0)),MIN(G62*(1-$C$5-IF(E62&lt;3,$C$8,0)),F62*(1-$C$6-IF(E62&lt;3,$C$8,0)))),IF(IF(F62&lt;G62*(1-$C$7),G62*(1-$C$5-IF(E62&lt;3,$C$8,0)),MIN(G62*(1-$C$5-IF(E62&lt;3,$C$8,0)),F62*(1-$C$6-IF(E62&lt;3,$C$8,0))))&lt;10,$C$9,IF(IF(F62&lt;G62*(1-$C$7),G62*(1-$C$5-IF(E62&lt;3,$C$8,0)),MIN(G62*(1-$C$5-IF(E62&lt;3,$C$8,0)),F62*(1-$C$6-IF(E62&lt;3,$C$8,0))))&lt;100,$D$9,$E$9)))))</f>
        <v>2.5</v>
      </c>
      <c r="K62" s="60" t="str">
        <f aca="false">IF(ISNUMBER($D62),$D62,"n/a")</f>
        <v>n/a</v>
      </c>
      <c r="L62" s="63" t="str">
        <f aca="false">IF(OR(E62=0,NOT(ISNUMBER($D62))),"—",J62/$D62-1)</f>
        <v>—</v>
      </c>
      <c r="M62" s="64" t="n">
        <f aca="false">IF(E62=0,"—",J62/F62-1)</f>
        <v>-0.0636704119850187</v>
      </c>
      <c r="N62" s="64" t="n">
        <f aca="false">IF(E62=0,"—",J62/G62-1)</f>
        <v>-0.322493224932249</v>
      </c>
      <c r="O62" s="59" t="n">
        <f aca="false">COUNTIFS(Offers!$B$7:$B$3000,$B62,Offers!$C$7:$C$3000,"Germany",Offers!$AI$7:$AI$3000,"yes")</f>
        <v>7</v>
      </c>
      <c r="P62" s="60" t="n">
        <f aca="false">IF(O62=0,"—",SUMIFS(Review!$I$7:$I$600,Review!$B$7:$B$600,$B62,Review!$C$7:$C$600,"Germany"))</f>
        <v>2.5</v>
      </c>
      <c r="Q62" s="60" t="n">
        <f aca="false">IF(O62=0,"—",SUMIFS(Review!$J$7:$J$600,Review!$B$7:$B$600,$B62,Review!$C$7:$C$600,"Germany"))</f>
        <v>3.52</v>
      </c>
      <c r="R62" s="60" t="n">
        <f aca="false">IF(O62=0,"—",SUMIFS(Review!$K$7:$K$600,Review!$B$7:$B$600,$B62,Review!$C$7:$C$600,"Germany"))</f>
        <v>12.6</v>
      </c>
      <c r="S62" s="61" t="str">
        <f aca="false">IF(O62=0,"—",IF(P62&lt;Q62*(1-$C$7),"median (cheapest is an outlier)",IF(P62*(1-$C$6)&lt;Q62*(1-$C$5),"undercut cheapest","median")))</f>
        <v>undercut cheapest</v>
      </c>
      <c r="T62" s="62" t="n">
        <f aca="false">IF(O62=0,"—",IF(AND(ISNUMBER($D62),$D62*(1+$C$10)&gt;FLOOR(IF(P62&lt;Q62*(1-$C$7),Q62*(1-$C$5-IF(O62&lt;3,$C$8,0)),MIN(Q62*(1-$C$5-IF(O62&lt;3,$C$8,0)),P62*(1-$C$6-IF(O62&lt;3,$C$8,0)))),IF(IF(P62&lt;Q62*(1-$C$7),Q62*(1-$C$5-IF(O62&lt;3,$C$8,0)),MIN(Q62*(1-$C$5-IF(O62&lt;3,$C$8,0)),P62*(1-$C$6-IF(O62&lt;3,$C$8,0))))&lt;10,$C$9,IF(IF(P62&lt;Q62*(1-$C$7),Q62*(1-$C$5-IF(O62&lt;3,$C$8,0)),MIN(Q62*(1-$C$5-IF(O62&lt;3,$C$8,0)),P62*(1-$C$6-IF(O62&lt;3,$C$8,0))))&lt;100,$D$9,$E$9)))),ROUND($D62*(1+$C$10),2),FLOOR(IF(P62&lt;Q62*(1-$C$7),Q62*(1-$C$5-IF(O62&lt;3,$C$8,0)),MIN(Q62*(1-$C$5-IF(O62&lt;3,$C$8,0)),P62*(1-$C$6-IF(O62&lt;3,$C$8,0)))),IF(IF(P62&lt;Q62*(1-$C$7),Q62*(1-$C$5-IF(O62&lt;3,$C$8,0)),MIN(Q62*(1-$C$5-IF(O62&lt;3,$C$8,0)),P62*(1-$C$6-IF(O62&lt;3,$C$8,0))))&lt;10,$C$9,IF(IF(P62&lt;Q62*(1-$C$7),Q62*(1-$C$5-IF(O62&lt;3,$C$8,0)),MIN(Q62*(1-$C$5-IF(O62&lt;3,$C$8,0)),P62*(1-$C$6-IF(O62&lt;3,$C$8,0))))&lt;100,$D$9,$E$9)))))</f>
        <v>2.35</v>
      </c>
      <c r="U62" s="60" t="str">
        <f aca="false">IF(ISNUMBER($D62),$D62,"n/a")</f>
        <v>n/a</v>
      </c>
      <c r="V62" s="63" t="str">
        <f aca="false">IF(OR(O62=0,NOT(ISNUMBER($D62))),"—",T62/$D62-1)</f>
        <v>—</v>
      </c>
      <c r="W62" s="64" t="n">
        <f aca="false">IF(O62=0,"—",T62/P62-1)</f>
        <v>-0.0599999999999999</v>
      </c>
      <c r="X62" s="64" t="n">
        <f aca="false">IF(O62=0,"—",T62/Q62-1)</f>
        <v>-0.332386363636364</v>
      </c>
      <c r="Y62" s="59" t="n">
        <f aca="false">COUNTIFS(Offers!$B$7:$B$3000,$B62,Offers!$C$7:$C$3000,"Czech",Offers!$AI$7:$AI$3000,"yes")</f>
        <v>5</v>
      </c>
      <c r="Z62" s="60" t="n">
        <f aca="false">IF(Y62=0,"—",SUMIFS(Review!$I$7:$I$600,Review!$B$7:$B$600,$B62,Review!$C$7:$C$600,"Czech"))</f>
        <v>1.996428</v>
      </c>
      <c r="AA62" s="60" t="n">
        <f aca="false">IF(Y62=0,"—",SUMIFS(Review!$J$7:$J$600,Review!$B$7:$B$600,$B62,Review!$C$7:$C$600,"Czech"))</f>
        <v>2.415695</v>
      </c>
      <c r="AB62" s="60" t="n">
        <f aca="false">IF(Y62=0,"—",SUMIFS(Review!$K$7:$K$600,Review!$B$7:$B$600,$B62,Review!$C$7:$C$600,"Czech"))</f>
        <v>4.708558</v>
      </c>
      <c r="AC62" s="61" t="str">
        <f aca="false">IF(Y62=0,"—",IF(Z62&lt;AA62*(1-$C$7),"median (cheapest is an outlier)",IF(Z62*(1-$C$6)&lt;AA62*(1-$C$5),"undercut cheapest","median")))</f>
        <v>median</v>
      </c>
      <c r="AD62" s="62" t="n">
        <f aca="false">IF(Y62=0,"—",IF(AND(ISNUMBER($D62),$D62*(1+$C$10)&gt;FLOOR(IF(Z62&lt;AA62*(1-$C$7),AA62*(1-$C$5-IF(Y62&lt;3,$C$8,0)),MIN(AA62*(1-$C$5-IF(Y62&lt;3,$C$8,0)),Z62*(1-$C$6-IF(Y62&lt;3,$C$8,0)))),IF(IF(Z62&lt;AA62*(1-$C$7),AA62*(1-$C$5-IF(Y62&lt;3,$C$8,0)),MIN(AA62*(1-$C$5-IF(Y62&lt;3,$C$8,0)),Z62*(1-$C$6-IF(Y62&lt;3,$C$8,0))))&lt;10,$C$9,IF(IF(Z62&lt;AA62*(1-$C$7),AA62*(1-$C$5-IF(Y62&lt;3,$C$8,0)),MIN(AA62*(1-$C$5-IF(Y62&lt;3,$C$8,0)),Z62*(1-$C$6-IF(Y62&lt;3,$C$8,0))))&lt;100,$D$9,$E$9)))),ROUND($D62*(1+$C$10),2),FLOOR(IF(Z62&lt;AA62*(1-$C$7),AA62*(1-$C$5-IF(Y62&lt;3,$C$8,0)),MIN(AA62*(1-$C$5-IF(Y62&lt;3,$C$8,0)),Z62*(1-$C$6-IF(Y62&lt;3,$C$8,0)))),IF(IF(Z62&lt;AA62*(1-$C$7),AA62*(1-$C$5-IF(Y62&lt;3,$C$8,0)),MIN(AA62*(1-$C$5-IF(Y62&lt;3,$C$8,0)),Z62*(1-$C$6-IF(Y62&lt;3,$C$8,0))))&lt;10,$C$9,IF(IF(Z62&lt;AA62*(1-$C$7),AA62*(1-$C$5-IF(Y62&lt;3,$C$8,0)),MIN(AA62*(1-$C$5-IF(Y62&lt;3,$C$8,0)),Z62*(1-$C$6-IF(Y62&lt;3,$C$8,0))))&lt;100,$D$9,$E$9)))))</f>
        <v>1.8</v>
      </c>
      <c r="AE62" s="65" t="n">
        <f aca="false">IF(Y62=0,"—",FLOOR(AD62*Sources!$G$10,1))</f>
        <v>43</v>
      </c>
      <c r="AF62" s="60" t="str">
        <f aca="false">IF(ISNUMBER($D62),$D62,"n/a")</f>
        <v>n/a</v>
      </c>
      <c r="AG62" s="63" t="str">
        <f aca="false">IF(OR(Y62=0,NOT(ISNUMBER($D62))),"—",AD62/$D62-1)</f>
        <v>—</v>
      </c>
      <c r="AH62" s="64" t="n">
        <f aca="false">IF(Y62=0,"—",AD62/Z62-1)</f>
        <v>-0.0983897240471482</v>
      </c>
      <c r="AI62" s="64" t="n">
        <f aca="false">IF(Y62=0,"—",AD62/AA62-1)</f>
        <v>-0.254872821279176</v>
      </c>
      <c r="AJ62" s="59" t="n">
        <f aca="false">COUNTIFS(Offers!$B$7:$B$3000,$B62,Offers!$C$7:$C$3000,"Slovakia",Offers!$AI$7:$AI$3000,"yes")</f>
        <v>5</v>
      </c>
      <c r="AK62" s="60" t="n">
        <f aca="false">IF(AJ62=0,"—",SUMIFS(Review!$I$7:$I$600,Review!$B$7:$B$600,$B62,Review!$C$7:$C$600,"Slovakia"))</f>
        <v>1.91</v>
      </c>
      <c r="AL62" s="60" t="n">
        <f aca="false">IF(AJ62=0,"—",SUMIFS(Review!$J$7:$J$600,Review!$B$7:$B$600,$B62,Review!$C$7:$C$600,"Slovakia"))</f>
        <v>2.8</v>
      </c>
      <c r="AM62" s="60" t="n">
        <f aca="false">IF(AJ62=0,"—",SUMIFS(Review!$K$7:$K$600,Review!$B$7:$B$600,$B62,Review!$C$7:$C$600,"Slovakia"))</f>
        <v>8.93</v>
      </c>
      <c r="AN62" s="61" t="str">
        <f aca="false">IF(AJ62=0,"—",IF(AK62&lt;AL62*(1-$C$7),"median (cheapest is an outlier)",IF(AK62*(1-$C$6)&lt;AL62*(1-$C$5),"undercut cheapest","median")))</f>
        <v>undercut cheapest</v>
      </c>
      <c r="AO62" s="62" t="n">
        <f aca="false">IF(AJ62=0,"—",IF(AND(ISNUMBER($D62),$D62*(1+$C$10)&gt;FLOOR(IF(AK62&lt;AL62*(1-$C$7),AL62*(1-$C$5-IF(AJ62&lt;3,$C$8,0)),MIN(AL62*(1-$C$5-IF(AJ62&lt;3,$C$8,0)),AK62*(1-$C$6-IF(AJ62&lt;3,$C$8,0)))),IF(IF(AK62&lt;AL62*(1-$C$7),AL62*(1-$C$5-IF(AJ62&lt;3,$C$8,0)),MIN(AL62*(1-$C$5-IF(AJ62&lt;3,$C$8,0)),AK62*(1-$C$6-IF(AJ62&lt;3,$C$8,0))))&lt;10,$C$9,IF(IF(AK62&lt;AL62*(1-$C$7),AL62*(1-$C$5-IF(AJ62&lt;3,$C$8,0)),MIN(AL62*(1-$C$5-IF(AJ62&lt;3,$C$8,0)),AK62*(1-$C$6-IF(AJ62&lt;3,$C$8,0))))&lt;100,$D$9,$E$9)))),ROUND($D62*(1+$C$10),2),FLOOR(IF(AK62&lt;AL62*(1-$C$7),AL62*(1-$C$5-IF(AJ62&lt;3,$C$8,0)),MIN(AL62*(1-$C$5-IF(AJ62&lt;3,$C$8,0)),AK62*(1-$C$6-IF(AJ62&lt;3,$C$8,0)))),IF(IF(AK62&lt;AL62*(1-$C$7),AL62*(1-$C$5-IF(AJ62&lt;3,$C$8,0)),MIN(AL62*(1-$C$5-IF(AJ62&lt;3,$C$8,0)),AK62*(1-$C$6-IF(AJ62&lt;3,$C$8,0))))&lt;10,$C$9,IF(IF(AK62&lt;AL62*(1-$C$7),AL62*(1-$C$5-IF(AJ62&lt;3,$C$8,0)),MIN(AL62*(1-$C$5-IF(AJ62&lt;3,$C$8,0)),AK62*(1-$C$6-IF(AJ62&lt;3,$C$8,0))))&lt;100,$D$9,$E$9)))))</f>
        <v>1.8</v>
      </c>
      <c r="AP62" s="60" t="str">
        <f aca="false">IF(ISNUMBER($D62),$D62,"n/a")</f>
        <v>n/a</v>
      </c>
      <c r="AQ62" s="63" t="str">
        <f aca="false">IF(OR(AJ62=0,NOT(ISNUMBER($D62))),"—",AO62/$D62-1)</f>
        <v>—</v>
      </c>
      <c r="AR62" s="64" t="n">
        <f aca="false">IF(AJ62=0,"—",AO62/AK62-1)</f>
        <v>-0.0575916230366491</v>
      </c>
      <c r="AS62" s="64" t="n">
        <f aca="false">IF(AJ62=0,"—",AO62/AL62-1)</f>
        <v>-0.357142857142857</v>
      </c>
      <c r="AT62" s="59" t="n">
        <f aca="false">COUNTIFS(Offers!$B$7:$B$3000,$B62,Offers!$C$7:$C$3000,"Romania",Offers!$AI$7:$AI$3000,"yes")</f>
        <v>5</v>
      </c>
      <c r="AU62" s="60" t="n">
        <f aca="false">IF(AT62=0,"—",SUMIFS(Review!$I$7:$I$600,Review!$B$7:$B$600,$B62,Review!$C$7:$C$600,"Romania"))</f>
        <v>1.599199</v>
      </c>
      <c r="AV62" s="60" t="n">
        <f aca="false">IF(AT62=0,"—",SUMIFS(Review!$J$7:$J$600,Review!$B$7:$B$600,$B62,Review!$C$7:$C$600,"Romania"))</f>
        <v>2.374167</v>
      </c>
      <c r="AW62" s="60" t="n">
        <f aca="false">IF(AT62=0,"—",SUMIFS(Review!$K$7:$K$600,Review!$B$7:$B$600,$B62,Review!$C$7:$C$600,"Romania"))</f>
        <v>4.414851</v>
      </c>
      <c r="AX62" s="61" t="str">
        <f aca="false">IF(AT62=0,"—",IF(AU62&lt;AV62*(1-$C$7),"median (cheapest is an outlier)",IF(AU62*(1-$C$6)&lt;AV62*(1-$C$5),"undercut cheapest","median")))</f>
        <v>undercut cheapest</v>
      </c>
      <c r="AY62" s="62" t="n">
        <f aca="false">IF(AT62=0,"—",IF(AND(ISNUMBER($D62),$D62*(1+$C$10)&gt;FLOOR(IF(AU62&lt;AV62*(1-$C$7),AV62*(1-$C$5-IF(AT62&lt;3,$C$8,0)),MIN(AV62*(1-$C$5-IF(AT62&lt;3,$C$8,0)),AU62*(1-$C$6-IF(AT62&lt;3,$C$8,0)))),IF(IF(AU62&lt;AV62*(1-$C$7),AV62*(1-$C$5-IF(AT62&lt;3,$C$8,0)),MIN(AV62*(1-$C$5-IF(AT62&lt;3,$C$8,0)),AU62*(1-$C$6-IF(AT62&lt;3,$C$8,0))))&lt;10,$C$9,IF(IF(AU62&lt;AV62*(1-$C$7),AV62*(1-$C$5-IF(AT62&lt;3,$C$8,0)),MIN(AV62*(1-$C$5-IF(AT62&lt;3,$C$8,0)),AU62*(1-$C$6-IF(AT62&lt;3,$C$8,0))))&lt;100,$D$9,$E$9)))),ROUND($D62*(1+$C$10),2),FLOOR(IF(AU62&lt;AV62*(1-$C$7),AV62*(1-$C$5-IF(AT62&lt;3,$C$8,0)),MIN(AV62*(1-$C$5-IF(AT62&lt;3,$C$8,0)),AU62*(1-$C$6-IF(AT62&lt;3,$C$8,0)))),IF(IF(AU62&lt;AV62*(1-$C$7),AV62*(1-$C$5-IF(AT62&lt;3,$C$8,0)),MIN(AV62*(1-$C$5-IF(AT62&lt;3,$C$8,0)),AU62*(1-$C$6-IF(AT62&lt;3,$C$8,0))))&lt;10,$C$9,IF(IF(AU62&lt;AV62*(1-$C$7),AV62*(1-$C$5-IF(AT62&lt;3,$C$8,0)),MIN(AV62*(1-$C$5-IF(AT62&lt;3,$C$8,0)),AU62*(1-$C$6-IF(AT62&lt;3,$C$8,0))))&lt;100,$D$9,$E$9)))))</f>
        <v>1.5</v>
      </c>
      <c r="AZ62" s="62" t="n">
        <f aca="false">IF(AT62=0,"—",FLOOR(AY62*Sources!$G$9,0.1))</f>
        <v>7.9</v>
      </c>
      <c r="BA62" s="60" t="str">
        <f aca="false">IF(ISNUMBER($D62),$D62,"n/a")</f>
        <v>n/a</v>
      </c>
      <c r="BB62" s="63" t="str">
        <f aca="false">IF(OR(AT62=0,NOT(ISNUMBER($D62))),"—",AY62/$D62-1)</f>
        <v>—</v>
      </c>
      <c r="BC62" s="64" t="n">
        <f aca="false">IF(AT62=0,"—",AY62/AU62-1)</f>
        <v>-0.0620304289835099</v>
      </c>
      <c r="BD62" s="64" t="n">
        <f aca="false">IF(AT62=0,"—",AY62/AV62-1)</f>
        <v>-0.368199456904253</v>
      </c>
      <c r="BE62" s="59" t="n">
        <f aca="false">COUNTIFS(Offers!$B$7:$B$3000,$B62,Offers!$C$7:$C$3000,"Hungary",Offers!$AI$7:$AI$3000,"yes")</f>
        <v>0</v>
      </c>
      <c r="BF62" s="60" t="str">
        <f aca="false">IF(BE62=0,"—",SUMIFS(Review!$I$7:$I$600,Review!$B$7:$B$600,$B62,Review!$C$7:$C$600,"Hungary"))</f>
        <v>—</v>
      </c>
      <c r="BG62" s="60" t="str">
        <f aca="false">IF(BE62=0,"—",SUMIFS(Review!$J$7:$J$600,Review!$B$7:$B$600,$B62,Review!$C$7:$C$600,"Hungary"))</f>
        <v>—</v>
      </c>
      <c r="BH62" s="60" t="str">
        <f aca="false">IF(BE62=0,"—",SUMIFS(Review!$K$7:$K$600,Review!$B$7:$B$600,$B62,Review!$C$7:$C$600,"Hungary"))</f>
        <v>—</v>
      </c>
      <c r="BI62" s="61" t="str">
        <f aca="false">IF(BE62=0,"—",IF(BF62&lt;BG62*(1-$C$7),"median (cheapest is an outlier)",IF(BF62*(1-$C$6)&lt;BG62*(1-$C$5),"undercut cheapest","median")))</f>
        <v>—</v>
      </c>
      <c r="BJ62" s="62" t="str">
        <f aca="false">IF(BE62=0,"—",IF(AND(ISNUMBER($D62),$D62*(1+$C$10)&gt;FLOOR(IF(BF62&lt;BG62*(1-$C$7),BG62*(1-$C$5-IF(BE62&lt;3,$C$8,0)),MIN(BG62*(1-$C$5-IF(BE62&lt;3,$C$8,0)),BF62*(1-$C$6-IF(BE62&lt;3,$C$8,0)))),IF(IF(BF62&lt;BG62*(1-$C$7),BG62*(1-$C$5-IF(BE62&lt;3,$C$8,0)),MIN(BG62*(1-$C$5-IF(BE62&lt;3,$C$8,0)),BF62*(1-$C$6-IF(BE62&lt;3,$C$8,0))))&lt;10,$C$9,IF(IF(BF62&lt;BG62*(1-$C$7),BG62*(1-$C$5-IF(BE62&lt;3,$C$8,0)),MIN(BG62*(1-$C$5-IF(BE62&lt;3,$C$8,0)),BF62*(1-$C$6-IF(BE62&lt;3,$C$8,0))))&lt;100,$D$9,$E$9)))),ROUND($D62*(1+$C$10),2),FLOOR(IF(BF62&lt;BG62*(1-$C$7),BG62*(1-$C$5-IF(BE62&lt;3,$C$8,0)),MIN(BG62*(1-$C$5-IF(BE62&lt;3,$C$8,0)),BF62*(1-$C$6-IF(BE62&lt;3,$C$8,0)))),IF(IF(BF62&lt;BG62*(1-$C$7),BG62*(1-$C$5-IF(BE62&lt;3,$C$8,0)),MIN(BG62*(1-$C$5-IF(BE62&lt;3,$C$8,0)),BF62*(1-$C$6-IF(BE62&lt;3,$C$8,0))))&lt;10,$C$9,IF(IF(BF62&lt;BG62*(1-$C$7),BG62*(1-$C$5-IF(BE62&lt;3,$C$8,0)),MIN(BG62*(1-$C$5-IF(BE62&lt;3,$C$8,0)),BF62*(1-$C$6-IF(BE62&lt;3,$C$8,0))))&lt;100,$D$9,$E$9)))))</f>
        <v>—</v>
      </c>
      <c r="BK62" s="65" t="str">
        <f aca="false">IF(BE62=0,"—",FLOOR(BJ62*Sources!$G$8,10))</f>
        <v>—</v>
      </c>
      <c r="BL62" s="60" t="str">
        <f aca="false">IF(ISNUMBER($D62),$D62,"n/a")</f>
        <v>n/a</v>
      </c>
      <c r="BM62" s="63" t="str">
        <f aca="false">IF(OR(BE62=0,NOT(ISNUMBER($D62))),"—",BJ62/$D62-1)</f>
        <v>—</v>
      </c>
      <c r="BN62" s="64" t="str">
        <f aca="false">IF(BE62=0,"—",BJ62/BF62-1)</f>
        <v>—</v>
      </c>
      <c r="BO62" s="64" t="str">
        <f aca="false">IF(BE62=0,"—",BJ62/BG62-1)</f>
        <v>—</v>
      </c>
    </row>
    <row r="63" customFormat="false" ht="15" hidden="false" customHeight="false" outlineLevel="0" collapsed="false">
      <c r="B63" s="1" t="s">
        <v>79</v>
      </c>
      <c r="C63" s="1" t="s">
        <v>188</v>
      </c>
      <c r="D63" s="58"/>
      <c r="E63" s="59" t="n">
        <f aca="false">COUNTIFS(Offers!$B$7:$B$3000,$B63,Offers!$C$7:$C$3000,"Austria",Offers!$AI$7:$AI$3000,"yes")</f>
        <v>7</v>
      </c>
      <c r="F63" s="60" t="n">
        <f aca="false">IF(E63=0,"—",SUMIFS(Review!$I$7:$I$600,Review!$B$7:$B$600,$B63,Review!$C$7:$C$600,"Austria"))</f>
        <v>3.83</v>
      </c>
      <c r="G63" s="60" t="n">
        <f aca="false">IF(E63=0,"—",SUMIFS(Review!$J$7:$J$600,Review!$B$7:$B$600,$B63,Review!$C$7:$C$600,"Austria"))</f>
        <v>5.08</v>
      </c>
      <c r="H63" s="60" t="n">
        <f aca="false">IF(E63=0,"—",SUMIFS(Review!$K$7:$K$600,Review!$B$7:$B$600,$B63,Review!$C$7:$C$600,"Austria"))</f>
        <v>17.4</v>
      </c>
      <c r="I63" s="61" t="str">
        <f aca="false">IF(E63=0,"—",IF(F63&lt;G63*(1-$C$7),"median (cheapest is an outlier)",IF(F63*(1-$C$6)&lt;G63*(1-$C$5),"undercut cheapest","median")))</f>
        <v>undercut cheapest</v>
      </c>
      <c r="J63" s="62" t="n">
        <f aca="false">IF(E63=0,"—",IF(AND(ISNUMBER($D63),$D63*(1+$C$10)&gt;FLOOR(IF(F63&lt;G63*(1-$C$7),G63*(1-$C$5-IF(E63&lt;3,$C$8,0)),MIN(G63*(1-$C$5-IF(E63&lt;3,$C$8,0)),F63*(1-$C$6-IF(E63&lt;3,$C$8,0)))),IF(IF(F63&lt;G63*(1-$C$7),G63*(1-$C$5-IF(E63&lt;3,$C$8,0)),MIN(G63*(1-$C$5-IF(E63&lt;3,$C$8,0)),F63*(1-$C$6-IF(E63&lt;3,$C$8,0))))&lt;10,$C$9,IF(IF(F63&lt;G63*(1-$C$7),G63*(1-$C$5-IF(E63&lt;3,$C$8,0)),MIN(G63*(1-$C$5-IF(E63&lt;3,$C$8,0)),F63*(1-$C$6-IF(E63&lt;3,$C$8,0))))&lt;100,$D$9,$E$9)))),ROUND($D63*(1+$C$10),2),FLOOR(IF(F63&lt;G63*(1-$C$7),G63*(1-$C$5-IF(E63&lt;3,$C$8,0)),MIN(G63*(1-$C$5-IF(E63&lt;3,$C$8,0)),F63*(1-$C$6-IF(E63&lt;3,$C$8,0)))),IF(IF(F63&lt;G63*(1-$C$7),G63*(1-$C$5-IF(E63&lt;3,$C$8,0)),MIN(G63*(1-$C$5-IF(E63&lt;3,$C$8,0)),F63*(1-$C$6-IF(E63&lt;3,$C$8,0))))&lt;10,$C$9,IF(IF(F63&lt;G63*(1-$C$7),G63*(1-$C$5-IF(E63&lt;3,$C$8,0)),MIN(G63*(1-$C$5-IF(E63&lt;3,$C$8,0)),F63*(1-$C$6-IF(E63&lt;3,$C$8,0))))&lt;100,$D$9,$E$9)))))</f>
        <v>3.6</v>
      </c>
      <c r="K63" s="60" t="str">
        <f aca="false">IF(ISNUMBER($D63),$D63,"n/a")</f>
        <v>n/a</v>
      </c>
      <c r="L63" s="63" t="str">
        <f aca="false">IF(OR(E63=0,NOT(ISNUMBER($D63))),"—",J63/$D63-1)</f>
        <v>—</v>
      </c>
      <c r="M63" s="64" t="n">
        <f aca="false">IF(E63=0,"—",J63/F63-1)</f>
        <v>-0.0600522193211488</v>
      </c>
      <c r="N63" s="64" t="n">
        <f aca="false">IF(E63=0,"—",J63/G63-1)</f>
        <v>-0.291338582677165</v>
      </c>
      <c r="O63" s="59" t="n">
        <f aca="false">COUNTIFS(Offers!$B$7:$B$3000,$B63,Offers!$C$7:$C$3000,"Germany",Offers!$AI$7:$AI$3000,"yes")</f>
        <v>7</v>
      </c>
      <c r="P63" s="60" t="n">
        <f aca="false">IF(O63=0,"—",SUMIFS(Review!$I$7:$I$600,Review!$B$7:$B$600,$B63,Review!$C$7:$C$600,"Germany"))</f>
        <v>2.3</v>
      </c>
      <c r="Q63" s="60" t="n">
        <f aca="false">IF(O63=0,"—",SUMIFS(Review!$J$7:$J$600,Review!$B$7:$B$600,$B63,Review!$C$7:$C$600,"Germany"))</f>
        <v>4.34</v>
      </c>
      <c r="R63" s="60" t="n">
        <f aca="false">IF(O63=0,"—",SUMIFS(Review!$K$7:$K$600,Review!$B$7:$B$600,$B63,Review!$C$7:$C$600,"Germany"))</f>
        <v>17.4</v>
      </c>
      <c r="S63" s="61" t="str">
        <f aca="false">IF(O63=0,"—",IF(P63&lt;Q63*(1-$C$7),"median (cheapest is an outlier)",IF(P63*(1-$C$6)&lt;Q63*(1-$C$5),"undercut cheapest","median")))</f>
        <v>median (cheapest is an outlier)</v>
      </c>
      <c r="T63" s="62" t="n">
        <f aca="false">IF(O63=0,"—",IF(AND(ISNUMBER($D63),$D63*(1+$C$10)&gt;FLOOR(IF(P63&lt;Q63*(1-$C$7),Q63*(1-$C$5-IF(O63&lt;3,$C$8,0)),MIN(Q63*(1-$C$5-IF(O63&lt;3,$C$8,0)),P63*(1-$C$6-IF(O63&lt;3,$C$8,0)))),IF(IF(P63&lt;Q63*(1-$C$7),Q63*(1-$C$5-IF(O63&lt;3,$C$8,0)),MIN(Q63*(1-$C$5-IF(O63&lt;3,$C$8,0)),P63*(1-$C$6-IF(O63&lt;3,$C$8,0))))&lt;10,$C$9,IF(IF(P63&lt;Q63*(1-$C$7),Q63*(1-$C$5-IF(O63&lt;3,$C$8,0)),MIN(Q63*(1-$C$5-IF(O63&lt;3,$C$8,0)),P63*(1-$C$6-IF(O63&lt;3,$C$8,0))))&lt;100,$D$9,$E$9)))),ROUND($D63*(1+$C$10),2),FLOOR(IF(P63&lt;Q63*(1-$C$7),Q63*(1-$C$5-IF(O63&lt;3,$C$8,0)),MIN(Q63*(1-$C$5-IF(O63&lt;3,$C$8,0)),P63*(1-$C$6-IF(O63&lt;3,$C$8,0)))),IF(IF(P63&lt;Q63*(1-$C$7),Q63*(1-$C$5-IF(O63&lt;3,$C$8,0)),MIN(Q63*(1-$C$5-IF(O63&lt;3,$C$8,0)),P63*(1-$C$6-IF(O63&lt;3,$C$8,0))))&lt;10,$C$9,IF(IF(P63&lt;Q63*(1-$C$7),Q63*(1-$C$5-IF(O63&lt;3,$C$8,0)),MIN(Q63*(1-$C$5-IF(O63&lt;3,$C$8,0)),P63*(1-$C$6-IF(O63&lt;3,$C$8,0))))&lt;100,$D$9,$E$9)))))</f>
        <v>3.25</v>
      </c>
      <c r="U63" s="60" t="str">
        <f aca="false">IF(ISNUMBER($D63),$D63,"n/a")</f>
        <v>n/a</v>
      </c>
      <c r="V63" s="63" t="str">
        <f aca="false">IF(OR(O63=0,NOT(ISNUMBER($D63))),"—",T63/$D63-1)</f>
        <v>—</v>
      </c>
      <c r="W63" s="64" t="n">
        <f aca="false">IF(O63=0,"—",T63/P63-1)</f>
        <v>0.41304347826087</v>
      </c>
      <c r="X63" s="64" t="n">
        <f aca="false">IF(O63=0,"—",T63/Q63-1)</f>
        <v>-0.251152073732719</v>
      </c>
      <c r="Y63" s="59" t="n">
        <f aca="false">COUNTIFS(Offers!$B$7:$B$3000,$B63,Offers!$C$7:$C$3000,"Czech",Offers!$AI$7:$AI$3000,"yes")</f>
        <v>5</v>
      </c>
      <c r="Z63" s="60" t="n">
        <f aca="false">IF(Y63=0,"—",SUMIFS(Review!$I$7:$I$600,Review!$B$7:$B$600,$B63,Review!$C$7:$C$600,"Czech"))</f>
        <v>3.282479</v>
      </c>
      <c r="AA63" s="60" t="n">
        <f aca="false">IF(Y63=0,"—",SUMIFS(Review!$J$7:$J$600,Review!$B$7:$B$600,$B63,Review!$C$7:$C$600,"Czech"))</f>
        <v>4.585726</v>
      </c>
      <c r="AB63" s="60" t="n">
        <f aca="false">IF(Y63=0,"—",SUMIFS(Review!$K$7:$K$600,Review!$B$7:$B$600,$B63,Review!$C$7:$C$600,"Czech"))</f>
        <v>6.714812</v>
      </c>
      <c r="AC63" s="61" t="str">
        <f aca="false">IF(Y63=0,"—",IF(Z63&lt;AA63*(1-$C$7),"median (cheapest is an outlier)",IF(Z63*(1-$C$6)&lt;AA63*(1-$C$5),"undercut cheapest","median")))</f>
        <v>undercut cheapest</v>
      </c>
      <c r="AD63" s="62" t="n">
        <f aca="false">IF(Y63=0,"—",IF(AND(ISNUMBER($D63),$D63*(1+$C$10)&gt;FLOOR(IF(Z63&lt;AA63*(1-$C$7),AA63*(1-$C$5-IF(Y63&lt;3,$C$8,0)),MIN(AA63*(1-$C$5-IF(Y63&lt;3,$C$8,0)),Z63*(1-$C$6-IF(Y63&lt;3,$C$8,0)))),IF(IF(Z63&lt;AA63*(1-$C$7),AA63*(1-$C$5-IF(Y63&lt;3,$C$8,0)),MIN(AA63*(1-$C$5-IF(Y63&lt;3,$C$8,0)),Z63*(1-$C$6-IF(Y63&lt;3,$C$8,0))))&lt;10,$C$9,IF(IF(Z63&lt;AA63*(1-$C$7),AA63*(1-$C$5-IF(Y63&lt;3,$C$8,0)),MIN(AA63*(1-$C$5-IF(Y63&lt;3,$C$8,0)),Z63*(1-$C$6-IF(Y63&lt;3,$C$8,0))))&lt;100,$D$9,$E$9)))),ROUND($D63*(1+$C$10),2),FLOOR(IF(Z63&lt;AA63*(1-$C$7),AA63*(1-$C$5-IF(Y63&lt;3,$C$8,0)),MIN(AA63*(1-$C$5-IF(Y63&lt;3,$C$8,0)),Z63*(1-$C$6-IF(Y63&lt;3,$C$8,0)))),IF(IF(Z63&lt;AA63*(1-$C$7),AA63*(1-$C$5-IF(Y63&lt;3,$C$8,0)),MIN(AA63*(1-$C$5-IF(Y63&lt;3,$C$8,0)),Z63*(1-$C$6-IF(Y63&lt;3,$C$8,0))))&lt;10,$C$9,IF(IF(Z63&lt;AA63*(1-$C$7),AA63*(1-$C$5-IF(Y63&lt;3,$C$8,0)),MIN(AA63*(1-$C$5-IF(Y63&lt;3,$C$8,0)),Z63*(1-$C$6-IF(Y63&lt;3,$C$8,0))))&lt;100,$D$9,$E$9)))))</f>
        <v>3.1</v>
      </c>
      <c r="AE63" s="65" t="n">
        <f aca="false">IF(Y63=0,"—",FLOOR(AD63*Sources!$G$10,1))</f>
        <v>75</v>
      </c>
      <c r="AF63" s="60" t="str">
        <f aca="false">IF(ISNUMBER($D63),$D63,"n/a")</f>
        <v>n/a</v>
      </c>
      <c r="AG63" s="63" t="str">
        <f aca="false">IF(OR(Y63=0,NOT(ISNUMBER($D63))),"—",AD63/$D63-1)</f>
        <v>—</v>
      </c>
      <c r="AH63" s="64" t="n">
        <f aca="false">IF(Y63=0,"—",AD63/Z63-1)</f>
        <v>-0.0555918255684195</v>
      </c>
      <c r="AI63" s="64" t="n">
        <f aca="false">IF(Y63=0,"—",AD63/AA63-1)</f>
        <v>-0.323989265821813</v>
      </c>
      <c r="AJ63" s="59" t="n">
        <f aca="false">COUNTIFS(Offers!$B$7:$B$3000,$B63,Offers!$C$7:$C$3000,"Slovakia",Offers!$AI$7:$AI$3000,"yes")</f>
        <v>5</v>
      </c>
      <c r="AK63" s="60" t="n">
        <f aca="false">IF(AJ63=0,"—",SUMIFS(Review!$I$7:$I$600,Review!$B$7:$B$600,$B63,Review!$C$7:$C$600,"Slovakia"))</f>
        <v>2.76</v>
      </c>
      <c r="AL63" s="60" t="n">
        <f aca="false">IF(AJ63=0,"—",SUMIFS(Review!$J$7:$J$600,Review!$B$7:$B$600,$B63,Review!$C$7:$C$600,"Slovakia"))</f>
        <v>3.97</v>
      </c>
      <c r="AM63" s="60" t="n">
        <f aca="false">IF(AJ63=0,"—",SUMIFS(Review!$K$7:$K$600,Review!$B$7:$B$600,$B63,Review!$C$7:$C$600,"Slovakia"))</f>
        <v>9.09</v>
      </c>
      <c r="AN63" s="61" t="str">
        <f aca="false">IF(AJ63=0,"—",IF(AK63&lt;AL63*(1-$C$7),"median (cheapest is an outlier)",IF(AK63*(1-$C$6)&lt;AL63*(1-$C$5),"undercut cheapest","median")))</f>
        <v>undercut cheapest</v>
      </c>
      <c r="AO63" s="62" t="n">
        <f aca="false">IF(AJ63=0,"—",IF(AND(ISNUMBER($D63),$D63*(1+$C$10)&gt;FLOOR(IF(AK63&lt;AL63*(1-$C$7),AL63*(1-$C$5-IF(AJ63&lt;3,$C$8,0)),MIN(AL63*(1-$C$5-IF(AJ63&lt;3,$C$8,0)),AK63*(1-$C$6-IF(AJ63&lt;3,$C$8,0)))),IF(IF(AK63&lt;AL63*(1-$C$7),AL63*(1-$C$5-IF(AJ63&lt;3,$C$8,0)),MIN(AL63*(1-$C$5-IF(AJ63&lt;3,$C$8,0)),AK63*(1-$C$6-IF(AJ63&lt;3,$C$8,0))))&lt;10,$C$9,IF(IF(AK63&lt;AL63*(1-$C$7),AL63*(1-$C$5-IF(AJ63&lt;3,$C$8,0)),MIN(AL63*(1-$C$5-IF(AJ63&lt;3,$C$8,0)),AK63*(1-$C$6-IF(AJ63&lt;3,$C$8,0))))&lt;100,$D$9,$E$9)))),ROUND($D63*(1+$C$10),2),FLOOR(IF(AK63&lt;AL63*(1-$C$7),AL63*(1-$C$5-IF(AJ63&lt;3,$C$8,0)),MIN(AL63*(1-$C$5-IF(AJ63&lt;3,$C$8,0)),AK63*(1-$C$6-IF(AJ63&lt;3,$C$8,0)))),IF(IF(AK63&lt;AL63*(1-$C$7),AL63*(1-$C$5-IF(AJ63&lt;3,$C$8,0)),MIN(AL63*(1-$C$5-IF(AJ63&lt;3,$C$8,0)),AK63*(1-$C$6-IF(AJ63&lt;3,$C$8,0))))&lt;10,$C$9,IF(IF(AK63&lt;AL63*(1-$C$7),AL63*(1-$C$5-IF(AJ63&lt;3,$C$8,0)),MIN(AL63*(1-$C$5-IF(AJ63&lt;3,$C$8,0)),AK63*(1-$C$6-IF(AJ63&lt;3,$C$8,0))))&lt;100,$D$9,$E$9)))))</f>
        <v>2.6</v>
      </c>
      <c r="AP63" s="60" t="str">
        <f aca="false">IF(ISNUMBER($D63),$D63,"n/a")</f>
        <v>n/a</v>
      </c>
      <c r="AQ63" s="63" t="str">
        <f aca="false">IF(OR(AJ63=0,NOT(ISNUMBER($D63))),"—",AO63/$D63-1)</f>
        <v>—</v>
      </c>
      <c r="AR63" s="64" t="n">
        <f aca="false">IF(AJ63=0,"—",AO63/AK63-1)</f>
        <v>-0.0579710144927536</v>
      </c>
      <c r="AS63" s="64" t="n">
        <f aca="false">IF(AJ63=0,"—",AO63/AL63-1)</f>
        <v>-0.345088161209068</v>
      </c>
      <c r="AT63" s="59" t="n">
        <f aca="false">COUNTIFS(Offers!$B$7:$B$3000,$B63,Offers!$C$7:$C$3000,"Romania",Offers!$AI$7:$AI$3000,"yes")</f>
        <v>5</v>
      </c>
      <c r="AU63" s="60" t="n">
        <f aca="false">IF(AT63=0,"—",SUMIFS(Review!$I$7:$I$600,Review!$B$7:$B$600,$B63,Review!$C$7:$C$600,"Romania"))</f>
        <v>2</v>
      </c>
      <c r="AV63" s="60" t="n">
        <f aca="false">IF(AT63=0,"—",SUMIFS(Review!$J$7:$J$600,Review!$B$7:$B$600,$B63,Review!$C$7:$C$600,"Romania"))</f>
        <v>3.990419</v>
      </c>
      <c r="AW63" s="60" t="n">
        <f aca="false">IF(AT63=0,"—",SUMIFS(Review!$K$7:$K$600,Review!$B$7:$B$600,$B63,Review!$C$7:$C$600,"Romania"))</f>
        <v>6.807965</v>
      </c>
      <c r="AX63" s="61" t="str">
        <f aca="false">IF(AT63=0,"—",IF(AU63&lt;AV63*(1-$C$7),"median (cheapest is an outlier)",IF(AU63*(1-$C$6)&lt;AV63*(1-$C$5),"undercut cheapest","median")))</f>
        <v>median (cheapest is an outlier)</v>
      </c>
      <c r="AY63" s="62" t="n">
        <f aca="false">IF(AT63=0,"—",IF(AND(ISNUMBER($D63),$D63*(1+$C$10)&gt;FLOOR(IF(AU63&lt;AV63*(1-$C$7),AV63*(1-$C$5-IF(AT63&lt;3,$C$8,0)),MIN(AV63*(1-$C$5-IF(AT63&lt;3,$C$8,0)),AU63*(1-$C$6-IF(AT63&lt;3,$C$8,0)))),IF(IF(AU63&lt;AV63*(1-$C$7),AV63*(1-$C$5-IF(AT63&lt;3,$C$8,0)),MIN(AV63*(1-$C$5-IF(AT63&lt;3,$C$8,0)),AU63*(1-$C$6-IF(AT63&lt;3,$C$8,0))))&lt;10,$C$9,IF(IF(AU63&lt;AV63*(1-$C$7),AV63*(1-$C$5-IF(AT63&lt;3,$C$8,0)),MIN(AV63*(1-$C$5-IF(AT63&lt;3,$C$8,0)),AU63*(1-$C$6-IF(AT63&lt;3,$C$8,0))))&lt;100,$D$9,$E$9)))),ROUND($D63*(1+$C$10),2),FLOOR(IF(AU63&lt;AV63*(1-$C$7),AV63*(1-$C$5-IF(AT63&lt;3,$C$8,0)),MIN(AV63*(1-$C$5-IF(AT63&lt;3,$C$8,0)),AU63*(1-$C$6-IF(AT63&lt;3,$C$8,0)))),IF(IF(AU63&lt;AV63*(1-$C$7),AV63*(1-$C$5-IF(AT63&lt;3,$C$8,0)),MIN(AV63*(1-$C$5-IF(AT63&lt;3,$C$8,0)),AU63*(1-$C$6-IF(AT63&lt;3,$C$8,0))))&lt;10,$C$9,IF(IF(AU63&lt;AV63*(1-$C$7),AV63*(1-$C$5-IF(AT63&lt;3,$C$8,0)),MIN(AV63*(1-$C$5-IF(AT63&lt;3,$C$8,0)),AU63*(1-$C$6-IF(AT63&lt;3,$C$8,0))))&lt;100,$D$9,$E$9)))))</f>
        <v>2.95</v>
      </c>
      <c r="AZ63" s="62" t="n">
        <f aca="false">IF(AT63=0,"—",FLOOR(AY63*Sources!$G$9,0.1))</f>
        <v>15.5</v>
      </c>
      <c r="BA63" s="60" t="str">
        <f aca="false">IF(ISNUMBER($D63),$D63,"n/a")</f>
        <v>n/a</v>
      </c>
      <c r="BB63" s="63" t="str">
        <f aca="false">IF(OR(AT63=0,NOT(ISNUMBER($D63))),"—",AY63/$D63-1)</f>
        <v>—</v>
      </c>
      <c r="BC63" s="64" t="n">
        <f aca="false">IF(AT63=0,"—",AY63/AU63-1)</f>
        <v>0.475</v>
      </c>
      <c r="BD63" s="64" t="n">
        <f aca="false">IF(AT63=0,"—",AY63/AV63-1)</f>
        <v>-0.260729261764241</v>
      </c>
      <c r="BE63" s="59" t="n">
        <f aca="false">COUNTIFS(Offers!$B$7:$B$3000,$B63,Offers!$C$7:$C$3000,"Hungary",Offers!$AI$7:$AI$3000,"yes")</f>
        <v>0</v>
      </c>
      <c r="BF63" s="60" t="str">
        <f aca="false">IF(BE63=0,"—",SUMIFS(Review!$I$7:$I$600,Review!$B$7:$B$600,$B63,Review!$C$7:$C$600,"Hungary"))</f>
        <v>—</v>
      </c>
      <c r="BG63" s="60" t="str">
        <f aca="false">IF(BE63=0,"—",SUMIFS(Review!$J$7:$J$600,Review!$B$7:$B$600,$B63,Review!$C$7:$C$600,"Hungary"))</f>
        <v>—</v>
      </c>
      <c r="BH63" s="60" t="str">
        <f aca="false">IF(BE63=0,"—",SUMIFS(Review!$K$7:$K$600,Review!$B$7:$B$600,$B63,Review!$C$7:$C$600,"Hungary"))</f>
        <v>—</v>
      </c>
      <c r="BI63" s="61" t="str">
        <f aca="false">IF(BE63=0,"—",IF(BF63&lt;BG63*(1-$C$7),"median (cheapest is an outlier)",IF(BF63*(1-$C$6)&lt;BG63*(1-$C$5),"undercut cheapest","median")))</f>
        <v>—</v>
      </c>
      <c r="BJ63" s="62" t="str">
        <f aca="false">IF(BE63=0,"—",IF(AND(ISNUMBER($D63),$D63*(1+$C$10)&gt;FLOOR(IF(BF63&lt;BG63*(1-$C$7),BG63*(1-$C$5-IF(BE63&lt;3,$C$8,0)),MIN(BG63*(1-$C$5-IF(BE63&lt;3,$C$8,0)),BF63*(1-$C$6-IF(BE63&lt;3,$C$8,0)))),IF(IF(BF63&lt;BG63*(1-$C$7),BG63*(1-$C$5-IF(BE63&lt;3,$C$8,0)),MIN(BG63*(1-$C$5-IF(BE63&lt;3,$C$8,0)),BF63*(1-$C$6-IF(BE63&lt;3,$C$8,0))))&lt;10,$C$9,IF(IF(BF63&lt;BG63*(1-$C$7),BG63*(1-$C$5-IF(BE63&lt;3,$C$8,0)),MIN(BG63*(1-$C$5-IF(BE63&lt;3,$C$8,0)),BF63*(1-$C$6-IF(BE63&lt;3,$C$8,0))))&lt;100,$D$9,$E$9)))),ROUND($D63*(1+$C$10),2),FLOOR(IF(BF63&lt;BG63*(1-$C$7),BG63*(1-$C$5-IF(BE63&lt;3,$C$8,0)),MIN(BG63*(1-$C$5-IF(BE63&lt;3,$C$8,0)),BF63*(1-$C$6-IF(BE63&lt;3,$C$8,0)))),IF(IF(BF63&lt;BG63*(1-$C$7),BG63*(1-$C$5-IF(BE63&lt;3,$C$8,0)),MIN(BG63*(1-$C$5-IF(BE63&lt;3,$C$8,0)),BF63*(1-$C$6-IF(BE63&lt;3,$C$8,0))))&lt;10,$C$9,IF(IF(BF63&lt;BG63*(1-$C$7),BG63*(1-$C$5-IF(BE63&lt;3,$C$8,0)),MIN(BG63*(1-$C$5-IF(BE63&lt;3,$C$8,0)),BF63*(1-$C$6-IF(BE63&lt;3,$C$8,0))))&lt;100,$D$9,$E$9)))))</f>
        <v>—</v>
      </c>
      <c r="BK63" s="65" t="str">
        <f aca="false">IF(BE63=0,"—",FLOOR(BJ63*Sources!$G$8,10))</f>
        <v>—</v>
      </c>
      <c r="BL63" s="60" t="str">
        <f aca="false">IF(ISNUMBER($D63),$D63,"n/a")</f>
        <v>n/a</v>
      </c>
      <c r="BM63" s="63" t="str">
        <f aca="false">IF(OR(BE63=0,NOT(ISNUMBER($D63))),"—",BJ63/$D63-1)</f>
        <v>—</v>
      </c>
      <c r="BN63" s="64" t="str">
        <f aca="false">IF(BE63=0,"—",BJ63/BF63-1)</f>
        <v>—</v>
      </c>
      <c r="BO63" s="64" t="str">
        <f aca="false">IF(BE63=0,"—",BJ63/BG63-1)</f>
        <v>—</v>
      </c>
    </row>
    <row r="64" customFormat="false" ht="15" hidden="false" customHeight="false" outlineLevel="0" collapsed="false">
      <c r="B64" s="1" t="s">
        <v>80</v>
      </c>
      <c r="C64" s="1" t="s">
        <v>189</v>
      </c>
      <c r="D64" s="58"/>
      <c r="E64" s="59" t="n">
        <f aca="false">COUNTIFS(Offers!$B$7:$B$3000,$B64,Offers!$C$7:$C$3000,"Austria",Offers!$AI$7:$AI$3000,"yes")</f>
        <v>7</v>
      </c>
      <c r="F64" s="60" t="n">
        <f aca="false">IF(E64=0,"—",SUMIFS(Review!$I$7:$I$600,Review!$B$7:$B$600,$B64,Review!$C$7:$C$600,"Austria"))</f>
        <v>5.8</v>
      </c>
      <c r="G64" s="60" t="n">
        <f aca="false">IF(E64=0,"—",SUMIFS(Review!$J$7:$J$600,Review!$B$7:$B$600,$B64,Review!$C$7:$C$600,"Austria"))</f>
        <v>8.74</v>
      </c>
      <c r="H64" s="60" t="n">
        <f aca="false">IF(E64=0,"—",SUMIFS(Review!$K$7:$K$600,Review!$B$7:$B$600,$B64,Review!$C$7:$C$600,"Austria"))</f>
        <v>19.58</v>
      </c>
      <c r="I64" s="61" t="str">
        <f aca="false">IF(E64=0,"—",IF(F64&lt;G64*(1-$C$7),"median (cheapest is an outlier)",IF(F64*(1-$C$6)&lt;G64*(1-$C$5),"undercut cheapest","median")))</f>
        <v>undercut cheapest</v>
      </c>
      <c r="J64" s="62" t="n">
        <f aca="false">IF(E64=0,"—",IF(AND(ISNUMBER($D64),$D64*(1+$C$10)&gt;FLOOR(IF(F64&lt;G64*(1-$C$7),G64*(1-$C$5-IF(E64&lt;3,$C$8,0)),MIN(G64*(1-$C$5-IF(E64&lt;3,$C$8,0)),F64*(1-$C$6-IF(E64&lt;3,$C$8,0)))),IF(IF(F64&lt;G64*(1-$C$7),G64*(1-$C$5-IF(E64&lt;3,$C$8,0)),MIN(G64*(1-$C$5-IF(E64&lt;3,$C$8,0)),F64*(1-$C$6-IF(E64&lt;3,$C$8,0))))&lt;10,$C$9,IF(IF(F64&lt;G64*(1-$C$7),G64*(1-$C$5-IF(E64&lt;3,$C$8,0)),MIN(G64*(1-$C$5-IF(E64&lt;3,$C$8,0)),F64*(1-$C$6-IF(E64&lt;3,$C$8,0))))&lt;100,$D$9,$E$9)))),ROUND($D64*(1+$C$10),2),FLOOR(IF(F64&lt;G64*(1-$C$7),G64*(1-$C$5-IF(E64&lt;3,$C$8,0)),MIN(G64*(1-$C$5-IF(E64&lt;3,$C$8,0)),F64*(1-$C$6-IF(E64&lt;3,$C$8,0)))),IF(IF(F64&lt;G64*(1-$C$7),G64*(1-$C$5-IF(E64&lt;3,$C$8,0)),MIN(G64*(1-$C$5-IF(E64&lt;3,$C$8,0)),F64*(1-$C$6-IF(E64&lt;3,$C$8,0))))&lt;10,$C$9,IF(IF(F64&lt;G64*(1-$C$7),G64*(1-$C$5-IF(E64&lt;3,$C$8,0)),MIN(G64*(1-$C$5-IF(E64&lt;3,$C$8,0)),F64*(1-$C$6-IF(E64&lt;3,$C$8,0))))&lt;100,$D$9,$E$9)))))</f>
        <v>5.5</v>
      </c>
      <c r="K64" s="60" t="str">
        <f aca="false">IF(ISNUMBER($D64),$D64,"n/a")</f>
        <v>n/a</v>
      </c>
      <c r="L64" s="63" t="str">
        <f aca="false">IF(OR(E64=0,NOT(ISNUMBER($D64))),"—",J64/$D64-1)</f>
        <v>—</v>
      </c>
      <c r="M64" s="64" t="n">
        <f aca="false">IF(E64=0,"—",J64/F64-1)</f>
        <v>-0.0517241379310345</v>
      </c>
      <c r="N64" s="64" t="n">
        <f aca="false">IF(E64=0,"—",J64/G64-1)</f>
        <v>-0.37070938215103</v>
      </c>
      <c r="O64" s="59" t="n">
        <f aca="false">COUNTIFS(Offers!$B$7:$B$3000,$B64,Offers!$C$7:$C$3000,"Germany",Offers!$AI$7:$AI$3000,"yes")</f>
        <v>7</v>
      </c>
      <c r="P64" s="60" t="n">
        <f aca="false">IF(O64=0,"—",SUMIFS(Review!$I$7:$I$600,Review!$B$7:$B$600,$B64,Review!$C$7:$C$600,"Germany"))</f>
        <v>5.89</v>
      </c>
      <c r="Q64" s="60" t="n">
        <f aca="false">IF(O64=0,"—",SUMIFS(Review!$J$7:$J$600,Review!$B$7:$B$600,$B64,Review!$C$7:$C$600,"Germany"))</f>
        <v>7.08</v>
      </c>
      <c r="R64" s="60" t="n">
        <f aca="false">IF(O64=0,"—",SUMIFS(Review!$K$7:$K$600,Review!$B$7:$B$600,$B64,Review!$C$7:$C$600,"Germany"))</f>
        <v>19.58</v>
      </c>
      <c r="S64" s="61" t="str">
        <f aca="false">IF(O64=0,"—",IF(P64&lt;Q64*(1-$C$7),"median (cheapest is an outlier)",IF(P64*(1-$C$6)&lt;Q64*(1-$C$5),"undercut cheapest","median")))</f>
        <v>median</v>
      </c>
      <c r="T64" s="62" t="n">
        <f aca="false">IF(O64=0,"—",IF(AND(ISNUMBER($D64),$D64*(1+$C$10)&gt;FLOOR(IF(P64&lt;Q64*(1-$C$7),Q64*(1-$C$5-IF(O64&lt;3,$C$8,0)),MIN(Q64*(1-$C$5-IF(O64&lt;3,$C$8,0)),P64*(1-$C$6-IF(O64&lt;3,$C$8,0)))),IF(IF(P64&lt;Q64*(1-$C$7),Q64*(1-$C$5-IF(O64&lt;3,$C$8,0)),MIN(Q64*(1-$C$5-IF(O64&lt;3,$C$8,0)),P64*(1-$C$6-IF(O64&lt;3,$C$8,0))))&lt;10,$C$9,IF(IF(P64&lt;Q64*(1-$C$7),Q64*(1-$C$5-IF(O64&lt;3,$C$8,0)),MIN(Q64*(1-$C$5-IF(O64&lt;3,$C$8,0)),P64*(1-$C$6-IF(O64&lt;3,$C$8,0))))&lt;100,$D$9,$E$9)))),ROUND($D64*(1+$C$10),2),FLOOR(IF(P64&lt;Q64*(1-$C$7),Q64*(1-$C$5-IF(O64&lt;3,$C$8,0)),MIN(Q64*(1-$C$5-IF(O64&lt;3,$C$8,0)),P64*(1-$C$6-IF(O64&lt;3,$C$8,0)))),IF(IF(P64&lt;Q64*(1-$C$7),Q64*(1-$C$5-IF(O64&lt;3,$C$8,0)),MIN(Q64*(1-$C$5-IF(O64&lt;3,$C$8,0)),P64*(1-$C$6-IF(O64&lt;3,$C$8,0))))&lt;10,$C$9,IF(IF(P64&lt;Q64*(1-$C$7),Q64*(1-$C$5-IF(O64&lt;3,$C$8,0)),MIN(Q64*(1-$C$5-IF(O64&lt;3,$C$8,0)),P64*(1-$C$6-IF(O64&lt;3,$C$8,0))))&lt;100,$D$9,$E$9)))))</f>
        <v>5.3</v>
      </c>
      <c r="U64" s="60" t="str">
        <f aca="false">IF(ISNUMBER($D64),$D64,"n/a")</f>
        <v>n/a</v>
      </c>
      <c r="V64" s="63" t="str">
        <f aca="false">IF(OR(O64=0,NOT(ISNUMBER($D64))),"—",T64/$D64-1)</f>
        <v>—</v>
      </c>
      <c r="W64" s="64" t="n">
        <f aca="false">IF(O64=0,"—",T64/P64-1)</f>
        <v>-0.100169779286927</v>
      </c>
      <c r="X64" s="64" t="n">
        <f aca="false">IF(O64=0,"—",T64/Q64-1)</f>
        <v>-0.251412429378531</v>
      </c>
      <c r="Y64" s="59" t="n">
        <f aca="false">COUNTIFS(Offers!$B$7:$B$3000,$B64,Offers!$C$7:$C$3000,"Czech",Offers!$AI$7:$AI$3000,"yes")</f>
        <v>5</v>
      </c>
      <c r="Z64" s="60" t="n">
        <f aca="false">IF(Y64=0,"—",SUMIFS(Review!$I$7:$I$600,Review!$B$7:$B$600,$B64,Review!$C$7:$C$600,"Czech"))</f>
        <v>2.761262</v>
      </c>
      <c r="AA64" s="60" t="n">
        <f aca="false">IF(Y64=0,"—",SUMIFS(Review!$J$7:$J$600,Review!$B$7:$B$600,$B64,Review!$C$7:$C$600,"Czech"))</f>
        <v>3.756201</v>
      </c>
      <c r="AB64" s="60" t="n">
        <f aca="false">IF(Y64=0,"—",SUMIFS(Review!$K$7:$K$600,Review!$B$7:$B$600,$B64,Review!$C$7:$C$600,"Czech"))</f>
        <v>10.80921</v>
      </c>
      <c r="AC64" s="61" t="str">
        <f aca="false">IF(Y64=0,"—",IF(Z64&lt;AA64*(1-$C$7),"median (cheapest is an outlier)",IF(Z64*(1-$C$6)&lt;AA64*(1-$C$5),"undercut cheapest","median")))</f>
        <v>undercut cheapest</v>
      </c>
      <c r="AD64" s="62" t="n">
        <f aca="false">IF(Y64=0,"—",IF(AND(ISNUMBER($D64),$D64*(1+$C$10)&gt;FLOOR(IF(Z64&lt;AA64*(1-$C$7),AA64*(1-$C$5-IF(Y64&lt;3,$C$8,0)),MIN(AA64*(1-$C$5-IF(Y64&lt;3,$C$8,0)),Z64*(1-$C$6-IF(Y64&lt;3,$C$8,0)))),IF(IF(Z64&lt;AA64*(1-$C$7),AA64*(1-$C$5-IF(Y64&lt;3,$C$8,0)),MIN(AA64*(1-$C$5-IF(Y64&lt;3,$C$8,0)),Z64*(1-$C$6-IF(Y64&lt;3,$C$8,0))))&lt;10,$C$9,IF(IF(Z64&lt;AA64*(1-$C$7),AA64*(1-$C$5-IF(Y64&lt;3,$C$8,0)),MIN(AA64*(1-$C$5-IF(Y64&lt;3,$C$8,0)),Z64*(1-$C$6-IF(Y64&lt;3,$C$8,0))))&lt;100,$D$9,$E$9)))),ROUND($D64*(1+$C$10),2),FLOOR(IF(Z64&lt;AA64*(1-$C$7),AA64*(1-$C$5-IF(Y64&lt;3,$C$8,0)),MIN(AA64*(1-$C$5-IF(Y64&lt;3,$C$8,0)),Z64*(1-$C$6-IF(Y64&lt;3,$C$8,0)))),IF(IF(Z64&lt;AA64*(1-$C$7),AA64*(1-$C$5-IF(Y64&lt;3,$C$8,0)),MIN(AA64*(1-$C$5-IF(Y64&lt;3,$C$8,0)),Z64*(1-$C$6-IF(Y64&lt;3,$C$8,0))))&lt;10,$C$9,IF(IF(Z64&lt;AA64*(1-$C$7),AA64*(1-$C$5-IF(Y64&lt;3,$C$8,0)),MIN(AA64*(1-$C$5-IF(Y64&lt;3,$C$8,0)),Z64*(1-$C$6-IF(Y64&lt;3,$C$8,0))))&lt;100,$D$9,$E$9)))))</f>
        <v>2.6</v>
      </c>
      <c r="AE64" s="65" t="n">
        <f aca="false">IF(Y64=0,"—",FLOOR(AD64*Sources!$G$10,1))</f>
        <v>63</v>
      </c>
      <c r="AF64" s="60" t="str">
        <f aca="false">IF(ISNUMBER($D64),$D64,"n/a")</f>
        <v>n/a</v>
      </c>
      <c r="AG64" s="63" t="str">
        <f aca="false">IF(OR(Y64=0,NOT(ISNUMBER($D64))),"—",AD64/$D64-1)</f>
        <v>—</v>
      </c>
      <c r="AH64" s="64" t="n">
        <f aca="false">IF(Y64=0,"—",AD64/Z64-1)</f>
        <v>-0.0584015569692408</v>
      </c>
      <c r="AI64" s="64" t="n">
        <f aca="false">IF(Y64=0,"—",AD64/AA64-1)</f>
        <v>-0.307811269950676</v>
      </c>
      <c r="AJ64" s="59" t="n">
        <f aca="false">COUNTIFS(Offers!$B$7:$B$3000,$B64,Offers!$C$7:$C$3000,"Slovakia",Offers!$AI$7:$AI$3000,"yes")</f>
        <v>5</v>
      </c>
      <c r="AK64" s="60" t="n">
        <f aca="false">IF(AJ64=0,"—",SUMIFS(Review!$I$7:$I$600,Review!$B$7:$B$600,$B64,Review!$C$7:$C$600,"Slovakia"))</f>
        <v>3.18</v>
      </c>
      <c r="AL64" s="60" t="n">
        <f aca="false">IF(AJ64=0,"—",SUMIFS(Review!$J$7:$J$600,Review!$B$7:$B$600,$B64,Review!$C$7:$C$600,"Slovakia"))</f>
        <v>6.05</v>
      </c>
      <c r="AM64" s="60" t="n">
        <f aca="false">IF(AJ64=0,"—",SUMIFS(Review!$K$7:$K$600,Review!$B$7:$B$600,$B64,Review!$C$7:$C$600,"Slovakia"))</f>
        <v>10.28</v>
      </c>
      <c r="AN64" s="61" t="str">
        <f aca="false">IF(AJ64=0,"—",IF(AK64&lt;AL64*(1-$C$7),"median (cheapest is an outlier)",IF(AK64*(1-$C$6)&lt;AL64*(1-$C$5),"undercut cheapest","median")))</f>
        <v>median (cheapest is an outlier)</v>
      </c>
      <c r="AO64" s="62" t="n">
        <f aca="false">IF(AJ64=0,"—",IF(AND(ISNUMBER($D64),$D64*(1+$C$10)&gt;FLOOR(IF(AK64&lt;AL64*(1-$C$7),AL64*(1-$C$5-IF(AJ64&lt;3,$C$8,0)),MIN(AL64*(1-$C$5-IF(AJ64&lt;3,$C$8,0)),AK64*(1-$C$6-IF(AJ64&lt;3,$C$8,0)))),IF(IF(AK64&lt;AL64*(1-$C$7),AL64*(1-$C$5-IF(AJ64&lt;3,$C$8,0)),MIN(AL64*(1-$C$5-IF(AJ64&lt;3,$C$8,0)),AK64*(1-$C$6-IF(AJ64&lt;3,$C$8,0))))&lt;10,$C$9,IF(IF(AK64&lt;AL64*(1-$C$7),AL64*(1-$C$5-IF(AJ64&lt;3,$C$8,0)),MIN(AL64*(1-$C$5-IF(AJ64&lt;3,$C$8,0)),AK64*(1-$C$6-IF(AJ64&lt;3,$C$8,0))))&lt;100,$D$9,$E$9)))),ROUND($D64*(1+$C$10),2),FLOOR(IF(AK64&lt;AL64*(1-$C$7),AL64*(1-$C$5-IF(AJ64&lt;3,$C$8,0)),MIN(AL64*(1-$C$5-IF(AJ64&lt;3,$C$8,0)),AK64*(1-$C$6-IF(AJ64&lt;3,$C$8,0)))),IF(IF(AK64&lt;AL64*(1-$C$7),AL64*(1-$C$5-IF(AJ64&lt;3,$C$8,0)),MIN(AL64*(1-$C$5-IF(AJ64&lt;3,$C$8,0)),AK64*(1-$C$6-IF(AJ64&lt;3,$C$8,0))))&lt;10,$C$9,IF(IF(AK64&lt;AL64*(1-$C$7),AL64*(1-$C$5-IF(AJ64&lt;3,$C$8,0)),MIN(AL64*(1-$C$5-IF(AJ64&lt;3,$C$8,0)),AK64*(1-$C$6-IF(AJ64&lt;3,$C$8,0))))&lt;100,$D$9,$E$9)))))</f>
        <v>4.5</v>
      </c>
      <c r="AP64" s="60" t="str">
        <f aca="false">IF(ISNUMBER($D64),$D64,"n/a")</f>
        <v>n/a</v>
      </c>
      <c r="AQ64" s="63" t="str">
        <f aca="false">IF(OR(AJ64=0,NOT(ISNUMBER($D64))),"—",AO64/$D64-1)</f>
        <v>—</v>
      </c>
      <c r="AR64" s="64" t="n">
        <f aca="false">IF(AJ64=0,"—",AO64/AK64-1)</f>
        <v>0.415094339622641</v>
      </c>
      <c r="AS64" s="64" t="n">
        <f aca="false">IF(AJ64=0,"—",AO64/AL64-1)</f>
        <v>-0.256198347107438</v>
      </c>
      <c r="AT64" s="59" t="n">
        <f aca="false">COUNTIFS(Offers!$B$7:$B$3000,$B64,Offers!$C$7:$C$3000,"Romania",Offers!$AI$7:$AI$3000,"yes")</f>
        <v>5</v>
      </c>
      <c r="AU64" s="60" t="n">
        <f aca="false">IF(AT64=0,"—",SUMIFS(Review!$I$7:$I$600,Review!$B$7:$B$600,$B64,Review!$C$7:$C$600,"Romania"))</f>
        <v>2.79</v>
      </c>
      <c r="AV64" s="60" t="n">
        <f aca="false">IF(AT64=0,"—",SUMIFS(Review!$J$7:$J$600,Review!$B$7:$B$600,$B64,Review!$C$7:$C$600,"Romania"))</f>
        <v>5.551722</v>
      </c>
      <c r="AW64" s="60" t="n">
        <f aca="false">IF(AT64=0,"—",SUMIFS(Review!$K$7:$K$600,Review!$B$7:$B$600,$B64,Review!$C$7:$C$600,"Romania"))</f>
        <v>6.347532</v>
      </c>
      <c r="AX64" s="61" t="str">
        <f aca="false">IF(AT64=0,"—",IF(AU64&lt;AV64*(1-$C$7),"median (cheapest is an outlier)",IF(AU64*(1-$C$6)&lt;AV64*(1-$C$5),"undercut cheapest","median")))</f>
        <v>median (cheapest is an outlier)</v>
      </c>
      <c r="AY64" s="62" t="n">
        <f aca="false">IF(AT64=0,"—",IF(AND(ISNUMBER($D64),$D64*(1+$C$10)&gt;FLOOR(IF(AU64&lt;AV64*(1-$C$7),AV64*(1-$C$5-IF(AT64&lt;3,$C$8,0)),MIN(AV64*(1-$C$5-IF(AT64&lt;3,$C$8,0)),AU64*(1-$C$6-IF(AT64&lt;3,$C$8,0)))),IF(IF(AU64&lt;AV64*(1-$C$7),AV64*(1-$C$5-IF(AT64&lt;3,$C$8,0)),MIN(AV64*(1-$C$5-IF(AT64&lt;3,$C$8,0)),AU64*(1-$C$6-IF(AT64&lt;3,$C$8,0))))&lt;10,$C$9,IF(IF(AU64&lt;AV64*(1-$C$7),AV64*(1-$C$5-IF(AT64&lt;3,$C$8,0)),MIN(AV64*(1-$C$5-IF(AT64&lt;3,$C$8,0)),AU64*(1-$C$6-IF(AT64&lt;3,$C$8,0))))&lt;100,$D$9,$E$9)))),ROUND($D64*(1+$C$10),2),FLOOR(IF(AU64&lt;AV64*(1-$C$7),AV64*(1-$C$5-IF(AT64&lt;3,$C$8,0)),MIN(AV64*(1-$C$5-IF(AT64&lt;3,$C$8,0)),AU64*(1-$C$6-IF(AT64&lt;3,$C$8,0)))),IF(IF(AU64&lt;AV64*(1-$C$7),AV64*(1-$C$5-IF(AT64&lt;3,$C$8,0)),MIN(AV64*(1-$C$5-IF(AT64&lt;3,$C$8,0)),AU64*(1-$C$6-IF(AT64&lt;3,$C$8,0))))&lt;10,$C$9,IF(IF(AU64&lt;AV64*(1-$C$7),AV64*(1-$C$5-IF(AT64&lt;3,$C$8,0)),MIN(AV64*(1-$C$5-IF(AT64&lt;3,$C$8,0)),AU64*(1-$C$6-IF(AT64&lt;3,$C$8,0))))&lt;100,$D$9,$E$9)))))</f>
        <v>4.15</v>
      </c>
      <c r="AZ64" s="62" t="n">
        <f aca="false">IF(AT64=0,"—",FLOOR(AY64*Sources!$G$9,0.1))</f>
        <v>21.9</v>
      </c>
      <c r="BA64" s="60" t="str">
        <f aca="false">IF(ISNUMBER($D64),$D64,"n/a")</f>
        <v>n/a</v>
      </c>
      <c r="BB64" s="63" t="str">
        <f aca="false">IF(OR(AT64=0,NOT(ISNUMBER($D64))),"—",AY64/$D64-1)</f>
        <v>—</v>
      </c>
      <c r="BC64" s="64" t="n">
        <f aca="false">IF(AT64=0,"—",AY64/AU64-1)</f>
        <v>0.487455197132617</v>
      </c>
      <c r="BD64" s="64" t="n">
        <f aca="false">IF(AT64=0,"—",AY64/AV64-1)</f>
        <v>-0.252484184186456</v>
      </c>
      <c r="BE64" s="59" t="n">
        <f aca="false">COUNTIFS(Offers!$B$7:$B$3000,$B64,Offers!$C$7:$C$3000,"Hungary",Offers!$AI$7:$AI$3000,"yes")</f>
        <v>0</v>
      </c>
      <c r="BF64" s="60" t="str">
        <f aca="false">IF(BE64=0,"—",SUMIFS(Review!$I$7:$I$600,Review!$B$7:$B$600,$B64,Review!$C$7:$C$600,"Hungary"))</f>
        <v>—</v>
      </c>
      <c r="BG64" s="60" t="str">
        <f aca="false">IF(BE64=0,"—",SUMIFS(Review!$J$7:$J$600,Review!$B$7:$B$600,$B64,Review!$C$7:$C$600,"Hungary"))</f>
        <v>—</v>
      </c>
      <c r="BH64" s="60" t="str">
        <f aca="false">IF(BE64=0,"—",SUMIFS(Review!$K$7:$K$600,Review!$B$7:$B$600,$B64,Review!$C$7:$C$600,"Hungary"))</f>
        <v>—</v>
      </c>
      <c r="BI64" s="61" t="str">
        <f aca="false">IF(BE64=0,"—",IF(BF64&lt;BG64*(1-$C$7),"median (cheapest is an outlier)",IF(BF64*(1-$C$6)&lt;BG64*(1-$C$5),"undercut cheapest","median")))</f>
        <v>—</v>
      </c>
      <c r="BJ64" s="62" t="str">
        <f aca="false">IF(BE64=0,"—",IF(AND(ISNUMBER($D64),$D64*(1+$C$10)&gt;FLOOR(IF(BF64&lt;BG64*(1-$C$7),BG64*(1-$C$5-IF(BE64&lt;3,$C$8,0)),MIN(BG64*(1-$C$5-IF(BE64&lt;3,$C$8,0)),BF64*(1-$C$6-IF(BE64&lt;3,$C$8,0)))),IF(IF(BF64&lt;BG64*(1-$C$7),BG64*(1-$C$5-IF(BE64&lt;3,$C$8,0)),MIN(BG64*(1-$C$5-IF(BE64&lt;3,$C$8,0)),BF64*(1-$C$6-IF(BE64&lt;3,$C$8,0))))&lt;10,$C$9,IF(IF(BF64&lt;BG64*(1-$C$7),BG64*(1-$C$5-IF(BE64&lt;3,$C$8,0)),MIN(BG64*(1-$C$5-IF(BE64&lt;3,$C$8,0)),BF64*(1-$C$6-IF(BE64&lt;3,$C$8,0))))&lt;100,$D$9,$E$9)))),ROUND($D64*(1+$C$10),2),FLOOR(IF(BF64&lt;BG64*(1-$C$7),BG64*(1-$C$5-IF(BE64&lt;3,$C$8,0)),MIN(BG64*(1-$C$5-IF(BE64&lt;3,$C$8,0)),BF64*(1-$C$6-IF(BE64&lt;3,$C$8,0)))),IF(IF(BF64&lt;BG64*(1-$C$7),BG64*(1-$C$5-IF(BE64&lt;3,$C$8,0)),MIN(BG64*(1-$C$5-IF(BE64&lt;3,$C$8,0)),BF64*(1-$C$6-IF(BE64&lt;3,$C$8,0))))&lt;10,$C$9,IF(IF(BF64&lt;BG64*(1-$C$7),BG64*(1-$C$5-IF(BE64&lt;3,$C$8,0)),MIN(BG64*(1-$C$5-IF(BE64&lt;3,$C$8,0)),BF64*(1-$C$6-IF(BE64&lt;3,$C$8,0))))&lt;100,$D$9,$E$9)))))</f>
        <v>—</v>
      </c>
      <c r="BK64" s="65" t="str">
        <f aca="false">IF(BE64=0,"—",FLOOR(BJ64*Sources!$G$8,10))</f>
        <v>—</v>
      </c>
      <c r="BL64" s="60" t="str">
        <f aca="false">IF(ISNUMBER($D64),$D64,"n/a")</f>
        <v>n/a</v>
      </c>
      <c r="BM64" s="63" t="str">
        <f aca="false">IF(OR(BE64=0,NOT(ISNUMBER($D64))),"—",BJ64/$D64-1)</f>
        <v>—</v>
      </c>
      <c r="BN64" s="64" t="str">
        <f aca="false">IF(BE64=0,"—",BJ64/BF64-1)</f>
        <v>—</v>
      </c>
      <c r="BO64" s="64" t="str">
        <f aca="false">IF(BE64=0,"—",BJ64/BG64-1)</f>
        <v>—</v>
      </c>
    </row>
    <row r="65" customFormat="false" ht="15" hidden="false" customHeight="false" outlineLevel="0" collapsed="false">
      <c r="B65" s="1" t="s">
        <v>81</v>
      </c>
      <c r="C65" s="1" t="s">
        <v>190</v>
      </c>
      <c r="D65" s="58"/>
      <c r="E65" s="59" t="n">
        <f aca="false">COUNTIFS(Offers!$B$7:$B$3000,$B65,Offers!$C$7:$C$3000,"Austria",Offers!$AI$7:$AI$3000,"yes")</f>
        <v>7</v>
      </c>
      <c r="F65" s="60" t="n">
        <f aca="false">IF(E65=0,"—",SUMIFS(Review!$I$7:$I$600,Review!$B$7:$B$600,$B65,Review!$C$7:$C$600,"Austria"))</f>
        <v>1.87</v>
      </c>
      <c r="G65" s="60" t="n">
        <f aca="false">IF(E65=0,"—",SUMIFS(Review!$J$7:$J$600,Review!$B$7:$B$600,$B65,Review!$C$7:$C$600,"Austria"))</f>
        <v>3.65</v>
      </c>
      <c r="H65" s="60" t="n">
        <f aca="false">IF(E65=0,"—",SUMIFS(Review!$K$7:$K$600,Review!$B$7:$B$600,$B65,Review!$C$7:$C$600,"Austria"))</f>
        <v>9</v>
      </c>
      <c r="I65" s="61" t="str">
        <f aca="false">IF(E65=0,"—",IF(F65&lt;G65*(1-$C$7),"median (cheapest is an outlier)",IF(F65*(1-$C$6)&lt;G65*(1-$C$5),"undercut cheapest","median")))</f>
        <v>median (cheapest is an outlier)</v>
      </c>
      <c r="J65" s="62" t="n">
        <f aca="false">IF(E65=0,"—",IF(AND(ISNUMBER($D65),$D65*(1+$C$10)&gt;FLOOR(IF(F65&lt;G65*(1-$C$7),G65*(1-$C$5-IF(E65&lt;3,$C$8,0)),MIN(G65*(1-$C$5-IF(E65&lt;3,$C$8,0)),F65*(1-$C$6-IF(E65&lt;3,$C$8,0)))),IF(IF(F65&lt;G65*(1-$C$7),G65*(1-$C$5-IF(E65&lt;3,$C$8,0)),MIN(G65*(1-$C$5-IF(E65&lt;3,$C$8,0)),F65*(1-$C$6-IF(E65&lt;3,$C$8,0))))&lt;10,$C$9,IF(IF(F65&lt;G65*(1-$C$7),G65*(1-$C$5-IF(E65&lt;3,$C$8,0)),MIN(G65*(1-$C$5-IF(E65&lt;3,$C$8,0)),F65*(1-$C$6-IF(E65&lt;3,$C$8,0))))&lt;100,$D$9,$E$9)))),ROUND($D65*(1+$C$10),2),FLOOR(IF(F65&lt;G65*(1-$C$7),G65*(1-$C$5-IF(E65&lt;3,$C$8,0)),MIN(G65*(1-$C$5-IF(E65&lt;3,$C$8,0)),F65*(1-$C$6-IF(E65&lt;3,$C$8,0)))),IF(IF(F65&lt;G65*(1-$C$7),G65*(1-$C$5-IF(E65&lt;3,$C$8,0)),MIN(G65*(1-$C$5-IF(E65&lt;3,$C$8,0)),F65*(1-$C$6-IF(E65&lt;3,$C$8,0))))&lt;10,$C$9,IF(IF(F65&lt;G65*(1-$C$7),G65*(1-$C$5-IF(E65&lt;3,$C$8,0)),MIN(G65*(1-$C$5-IF(E65&lt;3,$C$8,0)),F65*(1-$C$6-IF(E65&lt;3,$C$8,0))))&lt;100,$D$9,$E$9)))))</f>
        <v>2.7</v>
      </c>
      <c r="K65" s="60" t="str">
        <f aca="false">IF(ISNUMBER($D65),$D65,"n/a")</f>
        <v>n/a</v>
      </c>
      <c r="L65" s="63" t="str">
        <f aca="false">IF(OR(E65=0,NOT(ISNUMBER($D65))),"—",J65/$D65-1)</f>
        <v>—</v>
      </c>
      <c r="M65" s="64" t="n">
        <f aca="false">IF(E65=0,"—",J65/F65-1)</f>
        <v>0.443850267379679</v>
      </c>
      <c r="N65" s="64" t="n">
        <f aca="false">IF(E65=0,"—",J65/G65-1)</f>
        <v>-0.26027397260274</v>
      </c>
      <c r="O65" s="59" t="n">
        <f aca="false">COUNTIFS(Offers!$B$7:$B$3000,$B65,Offers!$C$7:$C$3000,"Germany",Offers!$AI$7:$AI$3000,"yes")</f>
        <v>7</v>
      </c>
      <c r="P65" s="60" t="n">
        <f aca="false">IF(O65=0,"—",SUMIFS(Review!$I$7:$I$600,Review!$B$7:$B$600,$B65,Review!$C$7:$C$600,"Germany"))</f>
        <v>1.75</v>
      </c>
      <c r="Q65" s="60" t="n">
        <f aca="false">IF(O65=0,"—",SUMIFS(Review!$J$7:$J$600,Review!$B$7:$B$600,$B65,Review!$C$7:$C$600,"Germany"))</f>
        <v>2.28</v>
      </c>
      <c r="R65" s="60" t="n">
        <f aca="false">IF(O65=0,"—",SUMIFS(Review!$K$7:$K$600,Review!$B$7:$B$600,$B65,Review!$C$7:$C$600,"Germany"))</f>
        <v>9</v>
      </c>
      <c r="S65" s="61" t="str">
        <f aca="false">IF(O65=0,"—",IF(P65&lt;Q65*(1-$C$7),"median (cheapest is an outlier)",IF(P65*(1-$C$6)&lt;Q65*(1-$C$5),"undercut cheapest","median")))</f>
        <v>undercut cheapest</v>
      </c>
      <c r="T65" s="62" t="n">
        <f aca="false">IF(O65=0,"—",IF(AND(ISNUMBER($D65),$D65*(1+$C$10)&gt;FLOOR(IF(P65&lt;Q65*(1-$C$7),Q65*(1-$C$5-IF(O65&lt;3,$C$8,0)),MIN(Q65*(1-$C$5-IF(O65&lt;3,$C$8,0)),P65*(1-$C$6-IF(O65&lt;3,$C$8,0)))),IF(IF(P65&lt;Q65*(1-$C$7),Q65*(1-$C$5-IF(O65&lt;3,$C$8,0)),MIN(Q65*(1-$C$5-IF(O65&lt;3,$C$8,0)),P65*(1-$C$6-IF(O65&lt;3,$C$8,0))))&lt;10,$C$9,IF(IF(P65&lt;Q65*(1-$C$7),Q65*(1-$C$5-IF(O65&lt;3,$C$8,0)),MIN(Q65*(1-$C$5-IF(O65&lt;3,$C$8,0)),P65*(1-$C$6-IF(O65&lt;3,$C$8,0))))&lt;100,$D$9,$E$9)))),ROUND($D65*(1+$C$10),2),FLOOR(IF(P65&lt;Q65*(1-$C$7),Q65*(1-$C$5-IF(O65&lt;3,$C$8,0)),MIN(Q65*(1-$C$5-IF(O65&lt;3,$C$8,0)),P65*(1-$C$6-IF(O65&lt;3,$C$8,0)))),IF(IF(P65&lt;Q65*(1-$C$7),Q65*(1-$C$5-IF(O65&lt;3,$C$8,0)),MIN(Q65*(1-$C$5-IF(O65&lt;3,$C$8,0)),P65*(1-$C$6-IF(O65&lt;3,$C$8,0))))&lt;10,$C$9,IF(IF(P65&lt;Q65*(1-$C$7),Q65*(1-$C$5-IF(O65&lt;3,$C$8,0)),MIN(Q65*(1-$C$5-IF(O65&lt;3,$C$8,0)),P65*(1-$C$6-IF(O65&lt;3,$C$8,0))))&lt;100,$D$9,$E$9)))))</f>
        <v>1.65</v>
      </c>
      <c r="U65" s="60" t="str">
        <f aca="false">IF(ISNUMBER($D65),$D65,"n/a")</f>
        <v>n/a</v>
      </c>
      <c r="V65" s="63" t="str">
        <f aca="false">IF(OR(O65=0,NOT(ISNUMBER($D65))),"—",T65/$D65-1)</f>
        <v>—</v>
      </c>
      <c r="W65" s="64" t="n">
        <f aca="false">IF(O65=0,"—",T65/P65-1)</f>
        <v>-0.0571428571428571</v>
      </c>
      <c r="X65" s="64" t="n">
        <f aca="false">IF(O65=0,"—",T65/Q65-1)</f>
        <v>-0.276315789473684</v>
      </c>
      <c r="Y65" s="59" t="n">
        <f aca="false">COUNTIFS(Offers!$B$7:$B$3000,$B65,Offers!$C$7:$C$3000,"Czech",Offers!$AI$7:$AI$3000,"yes")</f>
        <v>5</v>
      </c>
      <c r="Z65" s="60" t="n">
        <f aca="false">IF(Y65=0,"—",SUMIFS(Review!$I$7:$I$600,Review!$B$7:$B$600,$B65,Review!$C$7:$C$600,"Czech"))</f>
        <v>1.319624</v>
      </c>
      <c r="AA65" s="60" t="n">
        <f aca="false">IF(Y65=0,"—",SUMIFS(Review!$J$7:$J$600,Review!$B$7:$B$600,$B65,Review!$C$7:$C$600,"Czech"))</f>
        <v>2.170031</v>
      </c>
      <c r="AB65" s="60" t="n">
        <f aca="false">IF(Y65=0,"—",SUMIFS(Review!$K$7:$K$600,Review!$B$7:$B$600,$B65,Review!$C$7:$C$600,"Czech"))</f>
        <v>4.21723</v>
      </c>
      <c r="AC65" s="61" t="str">
        <f aca="false">IF(Y65=0,"—",IF(Z65&lt;AA65*(1-$C$7),"median (cheapest is an outlier)",IF(Z65*(1-$C$6)&lt;AA65*(1-$C$5),"undercut cheapest","median")))</f>
        <v>median (cheapest is an outlier)</v>
      </c>
      <c r="AD65" s="62" t="n">
        <f aca="false">IF(Y65=0,"—",IF(AND(ISNUMBER($D65),$D65*(1+$C$10)&gt;FLOOR(IF(Z65&lt;AA65*(1-$C$7),AA65*(1-$C$5-IF(Y65&lt;3,$C$8,0)),MIN(AA65*(1-$C$5-IF(Y65&lt;3,$C$8,0)),Z65*(1-$C$6-IF(Y65&lt;3,$C$8,0)))),IF(IF(Z65&lt;AA65*(1-$C$7),AA65*(1-$C$5-IF(Y65&lt;3,$C$8,0)),MIN(AA65*(1-$C$5-IF(Y65&lt;3,$C$8,0)),Z65*(1-$C$6-IF(Y65&lt;3,$C$8,0))))&lt;10,$C$9,IF(IF(Z65&lt;AA65*(1-$C$7),AA65*(1-$C$5-IF(Y65&lt;3,$C$8,0)),MIN(AA65*(1-$C$5-IF(Y65&lt;3,$C$8,0)),Z65*(1-$C$6-IF(Y65&lt;3,$C$8,0))))&lt;100,$D$9,$E$9)))),ROUND($D65*(1+$C$10),2),FLOOR(IF(Z65&lt;AA65*(1-$C$7),AA65*(1-$C$5-IF(Y65&lt;3,$C$8,0)),MIN(AA65*(1-$C$5-IF(Y65&lt;3,$C$8,0)),Z65*(1-$C$6-IF(Y65&lt;3,$C$8,0)))),IF(IF(Z65&lt;AA65*(1-$C$7),AA65*(1-$C$5-IF(Y65&lt;3,$C$8,0)),MIN(AA65*(1-$C$5-IF(Y65&lt;3,$C$8,0)),Z65*(1-$C$6-IF(Y65&lt;3,$C$8,0))))&lt;10,$C$9,IF(IF(Z65&lt;AA65*(1-$C$7),AA65*(1-$C$5-IF(Y65&lt;3,$C$8,0)),MIN(AA65*(1-$C$5-IF(Y65&lt;3,$C$8,0)),Z65*(1-$C$6-IF(Y65&lt;3,$C$8,0))))&lt;100,$D$9,$E$9)))))</f>
        <v>1.6</v>
      </c>
      <c r="AE65" s="65" t="n">
        <f aca="false">IF(Y65=0,"—",FLOOR(AD65*Sources!$G$10,1))</f>
        <v>39</v>
      </c>
      <c r="AF65" s="60" t="str">
        <f aca="false">IF(ISNUMBER($D65),$D65,"n/a")</f>
        <v>n/a</v>
      </c>
      <c r="AG65" s="63" t="str">
        <f aca="false">IF(OR(Y65=0,NOT(ISNUMBER($D65))),"—",AD65/$D65-1)</f>
        <v>—</v>
      </c>
      <c r="AH65" s="64" t="n">
        <f aca="false">IF(Y65=0,"—",AD65/Z65-1)</f>
        <v>0.212466581389851</v>
      </c>
      <c r="AI65" s="64" t="n">
        <f aca="false">IF(Y65=0,"—",AD65/AA65-1)</f>
        <v>-0.262683344154991</v>
      </c>
      <c r="AJ65" s="59" t="n">
        <f aca="false">COUNTIFS(Offers!$B$7:$B$3000,$B65,Offers!$C$7:$C$3000,"Slovakia",Offers!$AI$7:$AI$3000,"yes")</f>
        <v>5</v>
      </c>
      <c r="AK65" s="60" t="n">
        <f aca="false">IF(AJ65=0,"—",SUMIFS(Review!$I$7:$I$600,Review!$B$7:$B$600,$B65,Review!$C$7:$C$600,"Slovakia"))</f>
        <v>1.35</v>
      </c>
      <c r="AL65" s="60" t="n">
        <f aca="false">IF(AJ65=0,"—",SUMIFS(Review!$J$7:$J$600,Review!$B$7:$B$600,$B65,Review!$C$7:$C$600,"Slovakia"))</f>
        <v>2.28</v>
      </c>
      <c r="AM65" s="60" t="n">
        <f aca="false">IF(AJ65=0,"—",SUMIFS(Review!$K$7:$K$600,Review!$B$7:$B$600,$B65,Review!$C$7:$C$600,"Slovakia"))</f>
        <v>2.98</v>
      </c>
      <c r="AN65" s="61" t="str">
        <f aca="false">IF(AJ65=0,"—",IF(AK65&lt;AL65*(1-$C$7),"median (cheapest is an outlier)",IF(AK65*(1-$C$6)&lt;AL65*(1-$C$5),"undercut cheapest","median")))</f>
        <v>median (cheapest is an outlier)</v>
      </c>
      <c r="AO65" s="62" t="n">
        <f aca="false">IF(AJ65=0,"—",IF(AND(ISNUMBER($D65),$D65*(1+$C$10)&gt;FLOOR(IF(AK65&lt;AL65*(1-$C$7),AL65*(1-$C$5-IF(AJ65&lt;3,$C$8,0)),MIN(AL65*(1-$C$5-IF(AJ65&lt;3,$C$8,0)),AK65*(1-$C$6-IF(AJ65&lt;3,$C$8,0)))),IF(IF(AK65&lt;AL65*(1-$C$7),AL65*(1-$C$5-IF(AJ65&lt;3,$C$8,0)),MIN(AL65*(1-$C$5-IF(AJ65&lt;3,$C$8,0)),AK65*(1-$C$6-IF(AJ65&lt;3,$C$8,0))))&lt;10,$C$9,IF(IF(AK65&lt;AL65*(1-$C$7),AL65*(1-$C$5-IF(AJ65&lt;3,$C$8,0)),MIN(AL65*(1-$C$5-IF(AJ65&lt;3,$C$8,0)),AK65*(1-$C$6-IF(AJ65&lt;3,$C$8,0))))&lt;100,$D$9,$E$9)))),ROUND($D65*(1+$C$10),2),FLOOR(IF(AK65&lt;AL65*(1-$C$7),AL65*(1-$C$5-IF(AJ65&lt;3,$C$8,0)),MIN(AL65*(1-$C$5-IF(AJ65&lt;3,$C$8,0)),AK65*(1-$C$6-IF(AJ65&lt;3,$C$8,0)))),IF(IF(AK65&lt;AL65*(1-$C$7),AL65*(1-$C$5-IF(AJ65&lt;3,$C$8,0)),MIN(AL65*(1-$C$5-IF(AJ65&lt;3,$C$8,0)),AK65*(1-$C$6-IF(AJ65&lt;3,$C$8,0))))&lt;10,$C$9,IF(IF(AK65&lt;AL65*(1-$C$7),AL65*(1-$C$5-IF(AJ65&lt;3,$C$8,0)),MIN(AL65*(1-$C$5-IF(AJ65&lt;3,$C$8,0)),AK65*(1-$C$6-IF(AJ65&lt;3,$C$8,0))))&lt;100,$D$9,$E$9)))))</f>
        <v>1.7</v>
      </c>
      <c r="AP65" s="60" t="str">
        <f aca="false">IF(ISNUMBER($D65),$D65,"n/a")</f>
        <v>n/a</v>
      </c>
      <c r="AQ65" s="63" t="str">
        <f aca="false">IF(OR(AJ65=0,NOT(ISNUMBER($D65))),"—",AO65/$D65-1)</f>
        <v>—</v>
      </c>
      <c r="AR65" s="64" t="n">
        <f aca="false">IF(AJ65=0,"—",AO65/AK65-1)</f>
        <v>0.259259259259259</v>
      </c>
      <c r="AS65" s="64" t="n">
        <f aca="false">IF(AJ65=0,"—",AO65/AL65-1)</f>
        <v>-0.254385964912281</v>
      </c>
      <c r="AT65" s="59" t="n">
        <f aca="false">COUNTIFS(Offers!$B$7:$B$3000,$B65,Offers!$C$7:$C$3000,"Romania",Offers!$AI$7:$AI$3000,"yes")</f>
        <v>5</v>
      </c>
      <c r="AU65" s="60" t="n">
        <f aca="false">IF(AT65=0,"—",SUMIFS(Review!$I$7:$I$600,Review!$B$7:$B$600,$B65,Review!$C$7:$C$600,"Romania"))</f>
        <v>0.985289</v>
      </c>
      <c r="AV65" s="60" t="n">
        <f aca="false">IF(AT65=0,"—",SUMIFS(Review!$J$7:$J$600,Review!$B$7:$B$600,$B65,Review!$C$7:$C$600,"Romania"))</f>
        <v>1.898575</v>
      </c>
      <c r="AW65" s="60" t="n">
        <f aca="false">IF(AT65=0,"—",SUMIFS(Review!$K$7:$K$600,Review!$B$7:$B$600,$B65,Review!$C$7:$C$600,"Romania"))</f>
        <v>3.130186</v>
      </c>
      <c r="AX65" s="61" t="str">
        <f aca="false">IF(AT65=0,"—",IF(AU65&lt;AV65*(1-$C$7),"median (cheapest is an outlier)",IF(AU65*(1-$C$6)&lt;AV65*(1-$C$5),"undercut cheapest","median")))</f>
        <v>median (cheapest is an outlier)</v>
      </c>
      <c r="AY65" s="62" t="n">
        <f aca="false">IF(AT65=0,"—",IF(AND(ISNUMBER($D65),$D65*(1+$C$10)&gt;FLOOR(IF(AU65&lt;AV65*(1-$C$7),AV65*(1-$C$5-IF(AT65&lt;3,$C$8,0)),MIN(AV65*(1-$C$5-IF(AT65&lt;3,$C$8,0)),AU65*(1-$C$6-IF(AT65&lt;3,$C$8,0)))),IF(IF(AU65&lt;AV65*(1-$C$7),AV65*(1-$C$5-IF(AT65&lt;3,$C$8,0)),MIN(AV65*(1-$C$5-IF(AT65&lt;3,$C$8,0)),AU65*(1-$C$6-IF(AT65&lt;3,$C$8,0))))&lt;10,$C$9,IF(IF(AU65&lt;AV65*(1-$C$7),AV65*(1-$C$5-IF(AT65&lt;3,$C$8,0)),MIN(AV65*(1-$C$5-IF(AT65&lt;3,$C$8,0)),AU65*(1-$C$6-IF(AT65&lt;3,$C$8,0))))&lt;100,$D$9,$E$9)))),ROUND($D65*(1+$C$10),2),FLOOR(IF(AU65&lt;AV65*(1-$C$7),AV65*(1-$C$5-IF(AT65&lt;3,$C$8,0)),MIN(AV65*(1-$C$5-IF(AT65&lt;3,$C$8,0)),AU65*(1-$C$6-IF(AT65&lt;3,$C$8,0)))),IF(IF(AU65&lt;AV65*(1-$C$7),AV65*(1-$C$5-IF(AT65&lt;3,$C$8,0)),MIN(AV65*(1-$C$5-IF(AT65&lt;3,$C$8,0)),AU65*(1-$C$6-IF(AT65&lt;3,$C$8,0))))&lt;10,$C$9,IF(IF(AU65&lt;AV65*(1-$C$7),AV65*(1-$C$5-IF(AT65&lt;3,$C$8,0)),MIN(AV65*(1-$C$5-IF(AT65&lt;3,$C$8,0)),AU65*(1-$C$6-IF(AT65&lt;3,$C$8,0))))&lt;100,$D$9,$E$9)))))</f>
        <v>1.4</v>
      </c>
      <c r="AZ65" s="62" t="n">
        <f aca="false">IF(AT65=0,"—",FLOOR(AY65*Sources!$G$9,0.1))</f>
        <v>7.3</v>
      </c>
      <c r="BA65" s="60" t="str">
        <f aca="false">IF(ISNUMBER($D65),$D65,"n/a")</f>
        <v>n/a</v>
      </c>
      <c r="BB65" s="63" t="str">
        <f aca="false">IF(OR(AT65=0,NOT(ISNUMBER($D65))),"—",AY65/$D65-1)</f>
        <v>—</v>
      </c>
      <c r="BC65" s="64" t="n">
        <f aca="false">IF(AT65=0,"—",AY65/AU65-1)</f>
        <v>0.420902902600151</v>
      </c>
      <c r="BD65" s="64" t="n">
        <f aca="false">IF(AT65=0,"—",AY65/AV65-1)</f>
        <v>-0.262604848373122</v>
      </c>
      <c r="BE65" s="59" t="n">
        <f aca="false">COUNTIFS(Offers!$B$7:$B$3000,$B65,Offers!$C$7:$C$3000,"Hungary",Offers!$AI$7:$AI$3000,"yes")</f>
        <v>0</v>
      </c>
      <c r="BF65" s="60" t="str">
        <f aca="false">IF(BE65=0,"—",SUMIFS(Review!$I$7:$I$600,Review!$B$7:$B$600,$B65,Review!$C$7:$C$600,"Hungary"))</f>
        <v>—</v>
      </c>
      <c r="BG65" s="60" t="str">
        <f aca="false">IF(BE65=0,"—",SUMIFS(Review!$J$7:$J$600,Review!$B$7:$B$600,$B65,Review!$C$7:$C$600,"Hungary"))</f>
        <v>—</v>
      </c>
      <c r="BH65" s="60" t="str">
        <f aca="false">IF(BE65=0,"—",SUMIFS(Review!$K$7:$K$600,Review!$B$7:$B$600,$B65,Review!$C$7:$C$600,"Hungary"))</f>
        <v>—</v>
      </c>
      <c r="BI65" s="61" t="str">
        <f aca="false">IF(BE65=0,"—",IF(BF65&lt;BG65*(1-$C$7),"median (cheapest is an outlier)",IF(BF65*(1-$C$6)&lt;BG65*(1-$C$5),"undercut cheapest","median")))</f>
        <v>—</v>
      </c>
      <c r="BJ65" s="62" t="str">
        <f aca="false">IF(BE65=0,"—",IF(AND(ISNUMBER($D65),$D65*(1+$C$10)&gt;FLOOR(IF(BF65&lt;BG65*(1-$C$7),BG65*(1-$C$5-IF(BE65&lt;3,$C$8,0)),MIN(BG65*(1-$C$5-IF(BE65&lt;3,$C$8,0)),BF65*(1-$C$6-IF(BE65&lt;3,$C$8,0)))),IF(IF(BF65&lt;BG65*(1-$C$7),BG65*(1-$C$5-IF(BE65&lt;3,$C$8,0)),MIN(BG65*(1-$C$5-IF(BE65&lt;3,$C$8,0)),BF65*(1-$C$6-IF(BE65&lt;3,$C$8,0))))&lt;10,$C$9,IF(IF(BF65&lt;BG65*(1-$C$7),BG65*(1-$C$5-IF(BE65&lt;3,$C$8,0)),MIN(BG65*(1-$C$5-IF(BE65&lt;3,$C$8,0)),BF65*(1-$C$6-IF(BE65&lt;3,$C$8,0))))&lt;100,$D$9,$E$9)))),ROUND($D65*(1+$C$10),2),FLOOR(IF(BF65&lt;BG65*(1-$C$7),BG65*(1-$C$5-IF(BE65&lt;3,$C$8,0)),MIN(BG65*(1-$C$5-IF(BE65&lt;3,$C$8,0)),BF65*(1-$C$6-IF(BE65&lt;3,$C$8,0)))),IF(IF(BF65&lt;BG65*(1-$C$7),BG65*(1-$C$5-IF(BE65&lt;3,$C$8,0)),MIN(BG65*(1-$C$5-IF(BE65&lt;3,$C$8,0)),BF65*(1-$C$6-IF(BE65&lt;3,$C$8,0))))&lt;10,$C$9,IF(IF(BF65&lt;BG65*(1-$C$7),BG65*(1-$C$5-IF(BE65&lt;3,$C$8,0)),MIN(BG65*(1-$C$5-IF(BE65&lt;3,$C$8,0)),BF65*(1-$C$6-IF(BE65&lt;3,$C$8,0))))&lt;100,$D$9,$E$9)))))</f>
        <v>—</v>
      </c>
      <c r="BK65" s="65" t="str">
        <f aca="false">IF(BE65=0,"—",FLOOR(BJ65*Sources!$G$8,10))</f>
        <v>—</v>
      </c>
      <c r="BL65" s="60" t="str">
        <f aca="false">IF(ISNUMBER($D65),$D65,"n/a")</f>
        <v>n/a</v>
      </c>
      <c r="BM65" s="63" t="str">
        <f aca="false">IF(OR(BE65=0,NOT(ISNUMBER($D65))),"—",BJ65/$D65-1)</f>
        <v>—</v>
      </c>
      <c r="BN65" s="64" t="str">
        <f aca="false">IF(BE65=0,"—",BJ65/BF65-1)</f>
        <v>—</v>
      </c>
      <c r="BO65" s="64" t="str">
        <f aca="false">IF(BE65=0,"—",BJ65/BG65-1)</f>
        <v>—</v>
      </c>
    </row>
    <row r="66" customFormat="false" ht="15" hidden="false" customHeight="false" outlineLevel="0" collapsed="false">
      <c r="B66" s="1" t="s">
        <v>82</v>
      </c>
      <c r="C66" s="1" t="s">
        <v>191</v>
      </c>
      <c r="D66" s="58"/>
      <c r="E66" s="59" t="n">
        <f aca="false">COUNTIFS(Offers!$B$7:$B$3000,$B66,Offers!$C$7:$C$3000,"Austria",Offers!$AI$7:$AI$3000,"yes")</f>
        <v>7</v>
      </c>
      <c r="F66" s="60" t="n">
        <f aca="false">IF(E66=0,"—",SUMIFS(Review!$I$7:$I$600,Review!$B$7:$B$600,$B66,Review!$C$7:$C$600,"Austria"))</f>
        <v>2.07</v>
      </c>
      <c r="G66" s="60" t="n">
        <f aca="false">IF(E66=0,"—",SUMIFS(Review!$J$7:$J$600,Review!$B$7:$B$600,$B66,Review!$C$7:$C$600,"Austria"))</f>
        <v>4</v>
      </c>
      <c r="H66" s="60" t="n">
        <f aca="false">IF(E66=0,"—",SUMIFS(Review!$K$7:$K$600,Review!$B$7:$B$600,$B66,Review!$C$7:$C$600,"Austria"))</f>
        <v>13.2</v>
      </c>
      <c r="I66" s="61" t="str">
        <f aca="false">IF(E66=0,"—",IF(F66&lt;G66*(1-$C$7),"median (cheapest is an outlier)",IF(F66*(1-$C$6)&lt;G66*(1-$C$5),"undercut cheapest","median")))</f>
        <v>median (cheapest is an outlier)</v>
      </c>
      <c r="J66" s="62" t="n">
        <f aca="false">IF(E66=0,"—",IF(AND(ISNUMBER($D66),$D66*(1+$C$10)&gt;FLOOR(IF(F66&lt;G66*(1-$C$7),G66*(1-$C$5-IF(E66&lt;3,$C$8,0)),MIN(G66*(1-$C$5-IF(E66&lt;3,$C$8,0)),F66*(1-$C$6-IF(E66&lt;3,$C$8,0)))),IF(IF(F66&lt;G66*(1-$C$7),G66*(1-$C$5-IF(E66&lt;3,$C$8,0)),MIN(G66*(1-$C$5-IF(E66&lt;3,$C$8,0)),F66*(1-$C$6-IF(E66&lt;3,$C$8,0))))&lt;10,$C$9,IF(IF(F66&lt;G66*(1-$C$7),G66*(1-$C$5-IF(E66&lt;3,$C$8,0)),MIN(G66*(1-$C$5-IF(E66&lt;3,$C$8,0)),F66*(1-$C$6-IF(E66&lt;3,$C$8,0))))&lt;100,$D$9,$E$9)))),ROUND($D66*(1+$C$10),2),FLOOR(IF(F66&lt;G66*(1-$C$7),G66*(1-$C$5-IF(E66&lt;3,$C$8,0)),MIN(G66*(1-$C$5-IF(E66&lt;3,$C$8,0)),F66*(1-$C$6-IF(E66&lt;3,$C$8,0)))),IF(IF(F66&lt;G66*(1-$C$7),G66*(1-$C$5-IF(E66&lt;3,$C$8,0)),MIN(G66*(1-$C$5-IF(E66&lt;3,$C$8,0)),F66*(1-$C$6-IF(E66&lt;3,$C$8,0))))&lt;10,$C$9,IF(IF(F66&lt;G66*(1-$C$7),G66*(1-$C$5-IF(E66&lt;3,$C$8,0)),MIN(G66*(1-$C$5-IF(E66&lt;3,$C$8,0)),F66*(1-$C$6-IF(E66&lt;3,$C$8,0))))&lt;100,$D$9,$E$9)))))</f>
        <v>3</v>
      </c>
      <c r="K66" s="60" t="str">
        <f aca="false">IF(ISNUMBER($D66),$D66,"n/a")</f>
        <v>n/a</v>
      </c>
      <c r="L66" s="63" t="str">
        <f aca="false">IF(OR(E66=0,NOT(ISNUMBER($D66))),"—",J66/$D66-1)</f>
        <v>—</v>
      </c>
      <c r="M66" s="64" t="n">
        <f aca="false">IF(E66=0,"—",J66/F66-1)</f>
        <v>0.449275362318841</v>
      </c>
      <c r="N66" s="64" t="n">
        <f aca="false">IF(E66=0,"—",J66/G66-1)</f>
        <v>-0.25</v>
      </c>
      <c r="O66" s="59" t="n">
        <f aca="false">COUNTIFS(Offers!$B$7:$B$3000,$B66,Offers!$C$7:$C$3000,"Germany",Offers!$AI$7:$AI$3000,"yes")</f>
        <v>7</v>
      </c>
      <c r="P66" s="60" t="n">
        <f aca="false">IF(O66=0,"—",SUMIFS(Review!$I$7:$I$600,Review!$B$7:$B$600,$B66,Review!$C$7:$C$600,"Germany"))</f>
        <v>2.07</v>
      </c>
      <c r="Q66" s="60" t="n">
        <f aca="false">IF(O66=0,"—",SUMIFS(Review!$J$7:$J$600,Review!$B$7:$B$600,$B66,Review!$C$7:$C$600,"Germany"))</f>
        <v>2.88</v>
      </c>
      <c r="R66" s="60" t="n">
        <f aca="false">IF(O66=0,"—",SUMIFS(Review!$K$7:$K$600,Review!$B$7:$B$600,$B66,Review!$C$7:$C$600,"Germany"))</f>
        <v>10.5</v>
      </c>
      <c r="S66" s="61" t="str">
        <f aca="false">IF(O66=0,"—",IF(P66&lt;Q66*(1-$C$7),"median (cheapest is an outlier)",IF(P66*(1-$C$6)&lt;Q66*(1-$C$5),"undercut cheapest","median")))</f>
        <v>undercut cheapest</v>
      </c>
      <c r="T66" s="62" t="n">
        <f aca="false">IF(O66=0,"—",IF(AND(ISNUMBER($D66),$D66*(1+$C$10)&gt;FLOOR(IF(P66&lt;Q66*(1-$C$7),Q66*(1-$C$5-IF(O66&lt;3,$C$8,0)),MIN(Q66*(1-$C$5-IF(O66&lt;3,$C$8,0)),P66*(1-$C$6-IF(O66&lt;3,$C$8,0)))),IF(IF(P66&lt;Q66*(1-$C$7),Q66*(1-$C$5-IF(O66&lt;3,$C$8,0)),MIN(Q66*(1-$C$5-IF(O66&lt;3,$C$8,0)),P66*(1-$C$6-IF(O66&lt;3,$C$8,0))))&lt;10,$C$9,IF(IF(P66&lt;Q66*(1-$C$7),Q66*(1-$C$5-IF(O66&lt;3,$C$8,0)),MIN(Q66*(1-$C$5-IF(O66&lt;3,$C$8,0)),P66*(1-$C$6-IF(O66&lt;3,$C$8,0))))&lt;100,$D$9,$E$9)))),ROUND($D66*(1+$C$10),2),FLOOR(IF(P66&lt;Q66*(1-$C$7),Q66*(1-$C$5-IF(O66&lt;3,$C$8,0)),MIN(Q66*(1-$C$5-IF(O66&lt;3,$C$8,0)),P66*(1-$C$6-IF(O66&lt;3,$C$8,0)))),IF(IF(P66&lt;Q66*(1-$C$7),Q66*(1-$C$5-IF(O66&lt;3,$C$8,0)),MIN(Q66*(1-$C$5-IF(O66&lt;3,$C$8,0)),P66*(1-$C$6-IF(O66&lt;3,$C$8,0))))&lt;10,$C$9,IF(IF(P66&lt;Q66*(1-$C$7),Q66*(1-$C$5-IF(O66&lt;3,$C$8,0)),MIN(Q66*(1-$C$5-IF(O66&lt;3,$C$8,0)),P66*(1-$C$6-IF(O66&lt;3,$C$8,0))))&lt;100,$D$9,$E$9)))))</f>
        <v>1.95</v>
      </c>
      <c r="U66" s="60" t="str">
        <f aca="false">IF(ISNUMBER($D66),$D66,"n/a")</f>
        <v>n/a</v>
      </c>
      <c r="V66" s="63" t="str">
        <f aca="false">IF(OR(O66=0,NOT(ISNUMBER($D66))),"—",T66/$D66-1)</f>
        <v>—</v>
      </c>
      <c r="W66" s="64" t="n">
        <f aca="false">IF(O66=0,"—",T66/P66-1)</f>
        <v>-0.0579710144927534</v>
      </c>
      <c r="X66" s="64" t="n">
        <f aca="false">IF(O66=0,"—",T66/Q66-1)</f>
        <v>-0.322916666666667</v>
      </c>
      <c r="Y66" s="59" t="n">
        <f aca="false">COUNTIFS(Offers!$B$7:$B$3000,$B66,Offers!$C$7:$C$3000,"Czech",Offers!$AI$7:$AI$3000,"yes")</f>
        <v>5</v>
      </c>
      <c r="Z66" s="60" t="n">
        <f aca="false">IF(Y66=0,"—",SUMIFS(Review!$I$7:$I$600,Review!$B$7:$B$600,$B66,Review!$C$7:$C$600,"Czech"))</f>
        <v>1.624248</v>
      </c>
      <c r="AA66" s="60" t="n">
        <f aca="false">IF(Y66=0,"—",SUMIFS(Review!$J$7:$J$600,Review!$B$7:$B$600,$B66,Review!$C$7:$C$600,"Czech"))</f>
        <v>4.176286</v>
      </c>
      <c r="AB66" s="60" t="n">
        <f aca="false">IF(Y66=0,"—",SUMIFS(Review!$K$7:$K$600,Review!$B$7:$B$600,$B66,Review!$C$7:$C$600,"Czech"))</f>
        <v>5.117997</v>
      </c>
      <c r="AC66" s="61" t="str">
        <f aca="false">IF(Y66=0,"—",IF(Z66&lt;AA66*(1-$C$7),"median (cheapest is an outlier)",IF(Z66*(1-$C$6)&lt;AA66*(1-$C$5),"undercut cheapest","median")))</f>
        <v>median (cheapest is an outlier)</v>
      </c>
      <c r="AD66" s="62" t="n">
        <f aca="false">IF(Y66=0,"—",IF(AND(ISNUMBER($D66),$D66*(1+$C$10)&gt;FLOOR(IF(Z66&lt;AA66*(1-$C$7),AA66*(1-$C$5-IF(Y66&lt;3,$C$8,0)),MIN(AA66*(1-$C$5-IF(Y66&lt;3,$C$8,0)),Z66*(1-$C$6-IF(Y66&lt;3,$C$8,0)))),IF(IF(Z66&lt;AA66*(1-$C$7),AA66*(1-$C$5-IF(Y66&lt;3,$C$8,0)),MIN(AA66*(1-$C$5-IF(Y66&lt;3,$C$8,0)),Z66*(1-$C$6-IF(Y66&lt;3,$C$8,0))))&lt;10,$C$9,IF(IF(Z66&lt;AA66*(1-$C$7),AA66*(1-$C$5-IF(Y66&lt;3,$C$8,0)),MIN(AA66*(1-$C$5-IF(Y66&lt;3,$C$8,0)),Z66*(1-$C$6-IF(Y66&lt;3,$C$8,0))))&lt;100,$D$9,$E$9)))),ROUND($D66*(1+$C$10),2),FLOOR(IF(Z66&lt;AA66*(1-$C$7),AA66*(1-$C$5-IF(Y66&lt;3,$C$8,0)),MIN(AA66*(1-$C$5-IF(Y66&lt;3,$C$8,0)),Z66*(1-$C$6-IF(Y66&lt;3,$C$8,0)))),IF(IF(Z66&lt;AA66*(1-$C$7),AA66*(1-$C$5-IF(Y66&lt;3,$C$8,0)),MIN(AA66*(1-$C$5-IF(Y66&lt;3,$C$8,0)),Z66*(1-$C$6-IF(Y66&lt;3,$C$8,0))))&lt;10,$C$9,IF(IF(Z66&lt;AA66*(1-$C$7),AA66*(1-$C$5-IF(Y66&lt;3,$C$8,0)),MIN(AA66*(1-$C$5-IF(Y66&lt;3,$C$8,0)),Z66*(1-$C$6-IF(Y66&lt;3,$C$8,0))))&lt;100,$D$9,$E$9)))))</f>
        <v>3.1</v>
      </c>
      <c r="AE66" s="65" t="n">
        <f aca="false">IF(Y66=0,"—",FLOOR(AD66*Sources!$G$10,1))</f>
        <v>75</v>
      </c>
      <c r="AF66" s="60" t="str">
        <f aca="false">IF(ISNUMBER($D66),$D66,"n/a")</f>
        <v>n/a</v>
      </c>
      <c r="AG66" s="63" t="str">
        <f aca="false">IF(OR(Y66=0,NOT(ISNUMBER($D66))),"—",AD66/$D66-1)</f>
        <v>—</v>
      </c>
      <c r="AH66" s="64" t="n">
        <f aca="false">IF(Y66=0,"—",AD66/Z66-1)</f>
        <v>0.908575537725766</v>
      </c>
      <c r="AI66" s="64" t="n">
        <f aca="false">IF(Y66=0,"—",AD66/AA66-1)</f>
        <v>-0.257713671908485</v>
      </c>
      <c r="AJ66" s="59" t="n">
        <f aca="false">COUNTIFS(Offers!$B$7:$B$3000,$B66,Offers!$C$7:$C$3000,"Slovakia",Offers!$AI$7:$AI$3000,"yes")</f>
        <v>5</v>
      </c>
      <c r="AK66" s="60" t="n">
        <f aca="false">IF(AJ66=0,"—",SUMIFS(Review!$I$7:$I$600,Review!$B$7:$B$600,$B66,Review!$C$7:$C$600,"Slovakia"))</f>
        <v>1.72</v>
      </c>
      <c r="AL66" s="60" t="n">
        <f aca="false">IF(AJ66=0,"—",SUMIFS(Review!$J$7:$J$600,Review!$B$7:$B$600,$B66,Review!$C$7:$C$600,"Slovakia"))</f>
        <v>2.48</v>
      </c>
      <c r="AM66" s="60" t="n">
        <f aca="false">IF(AJ66=0,"—",SUMIFS(Review!$K$7:$K$600,Review!$B$7:$B$600,$B66,Review!$C$7:$C$600,"Slovakia"))</f>
        <v>6.94</v>
      </c>
      <c r="AN66" s="61" t="str">
        <f aca="false">IF(AJ66=0,"—",IF(AK66&lt;AL66*(1-$C$7),"median (cheapest is an outlier)",IF(AK66*(1-$C$6)&lt;AL66*(1-$C$5),"undercut cheapest","median")))</f>
        <v>undercut cheapest</v>
      </c>
      <c r="AO66" s="62" t="n">
        <f aca="false">IF(AJ66=0,"—",IF(AND(ISNUMBER($D66),$D66*(1+$C$10)&gt;FLOOR(IF(AK66&lt;AL66*(1-$C$7),AL66*(1-$C$5-IF(AJ66&lt;3,$C$8,0)),MIN(AL66*(1-$C$5-IF(AJ66&lt;3,$C$8,0)),AK66*(1-$C$6-IF(AJ66&lt;3,$C$8,0)))),IF(IF(AK66&lt;AL66*(1-$C$7),AL66*(1-$C$5-IF(AJ66&lt;3,$C$8,0)),MIN(AL66*(1-$C$5-IF(AJ66&lt;3,$C$8,0)),AK66*(1-$C$6-IF(AJ66&lt;3,$C$8,0))))&lt;10,$C$9,IF(IF(AK66&lt;AL66*(1-$C$7),AL66*(1-$C$5-IF(AJ66&lt;3,$C$8,0)),MIN(AL66*(1-$C$5-IF(AJ66&lt;3,$C$8,0)),AK66*(1-$C$6-IF(AJ66&lt;3,$C$8,0))))&lt;100,$D$9,$E$9)))),ROUND($D66*(1+$C$10),2),FLOOR(IF(AK66&lt;AL66*(1-$C$7),AL66*(1-$C$5-IF(AJ66&lt;3,$C$8,0)),MIN(AL66*(1-$C$5-IF(AJ66&lt;3,$C$8,0)),AK66*(1-$C$6-IF(AJ66&lt;3,$C$8,0)))),IF(IF(AK66&lt;AL66*(1-$C$7),AL66*(1-$C$5-IF(AJ66&lt;3,$C$8,0)),MIN(AL66*(1-$C$5-IF(AJ66&lt;3,$C$8,0)),AK66*(1-$C$6-IF(AJ66&lt;3,$C$8,0))))&lt;10,$C$9,IF(IF(AK66&lt;AL66*(1-$C$7),AL66*(1-$C$5-IF(AJ66&lt;3,$C$8,0)),MIN(AL66*(1-$C$5-IF(AJ66&lt;3,$C$8,0)),AK66*(1-$C$6-IF(AJ66&lt;3,$C$8,0))))&lt;100,$D$9,$E$9)))))</f>
        <v>1.6</v>
      </c>
      <c r="AP66" s="60" t="str">
        <f aca="false">IF(ISNUMBER($D66),$D66,"n/a")</f>
        <v>n/a</v>
      </c>
      <c r="AQ66" s="63" t="str">
        <f aca="false">IF(OR(AJ66=0,NOT(ISNUMBER($D66))),"—",AO66/$D66-1)</f>
        <v>—</v>
      </c>
      <c r="AR66" s="64" t="n">
        <f aca="false">IF(AJ66=0,"—",AO66/AK66-1)</f>
        <v>-0.069767441860465</v>
      </c>
      <c r="AS66" s="64" t="n">
        <f aca="false">IF(AJ66=0,"—",AO66/AL66-1)</f>
        <v>-0.354838709677419</v>
      </c>
      <c r="AT66" s="59" t="n">
        <f aca="false">COUNTIFS(Offers!$B$7:$B$3000,$B66,Offers!$C$7:$C$3000,"Romania",Offers!$AI$7:$AI$3000,"yes")</f>
        <v>5</v>
      </c>
      <c r="AU66" s="60" t="n">
        <f aca="false">IF(AT66=0,"—",SUMIFS(Review!$I$7:$I$600,Review!$B$7:$B$600,$B66,Review!$C$7:$C$600,"Romania"))</f>
        <v>1.28277</v>
      </c>
      <c r="AV66" s="60" t="n">
        <f aca="false">IF(AT66=0,"—",SUMIFS(Review!$J$7:$J$600,Review!$B$7:$B$600,$B66,Review!$C$7:$C$600,"Romania"))</f>
        <v>2.046369</v>
      </c>
      <c r="AW66" s="60" t="n">
        <f aca="false">IF(AT66=0,"—",SUMIFS(Review!$K$7:$K$600,Review!$B$7:$B$600,$B66,Review!$C$7:$C$600,"Romania"))</f>
        <v>3.677779</v>
      </c>
      <c r="AX66" s="61" t="str">
        <f aca="false">IF(AT66=0,"—",IF(AU66&lt;AV66*(1-$C$7),"median (cheapest is an outlier)",IF(AU66*(1-$C$6)&lt;AV66*(1-$C$5),"undercut cheapest","median")))</f>
        <v>median (cheapest is an outlier)</v>
      </c>
      <c r="AY66" s="62" t="n">
        <f aca="false">IF(AT66=0,"—",IF(AND(ISNUMBER($D66),$D66*(1+$C$10)&gt;FLOOR(IF(AU66&lt;AV66*(1-$C$7),AV66*(1-$C$5-IF(AT66&lt;3,$C$8,0)),MIN(AV66*(1-$C$5-IF(AT66&lt;3,$C$8,0)),AU66*(1-$C$6-IF(AT66&lt;3,$C$8,0)))),IF(IF(AU66&lt;AV66*(1-$C$7),AV66*(1-$C$5-IF(AT66&lt;3,$C$8,0)),MIN(AV66*(1-$C$5-IF(AT66&lt;3,$C$8,0)),AU66*(1-$C$6-IF(AT66&lt;3,$C$8,0))))&lt;10,$C$9,IF(IF(AU66&lt;AV66*(1-$C$7),AV66*(1-$C$5-IF(AT66&lt;3,$C$8,0)),MIN(AV66*(1-$C$5-IF(AT66&lt;3,$C$8,0)),AU66*(1-$C$6-IF(AT66&lt;3,$C$8,0))))&lt;100,$D$9,$E$9)))),ROUND($D66*(1+$C$10),2),FLOOR(IF(AU66&lt;AV66*(1-$C$7),AV66*(1-$C$5-IF(AT66&lt;3,$C$8,0)),MIN(AV66*(1-$C$5-IF(AT66&lt;3,$C$8,0)),AU66*(1-$C$6-IF(AT66&lt;3,$C$8,0)))),IF(IF(AU66&lt;AV66*(1-$C$7),AV66*(1-$C$5-IF(AT66&lt;3,$C$8,0)),MIN(AV66*(1-$C$5-IF(AT66&lt;3,$C$8,0)),AU66*(1-$C$6-IF(AT66&lt;3,$C$8,0))))&lt;10,$C$9,IF(IF(AU66&lt;AV66*(1-$C$7),AV66*(1-$C$5-IF(AT66&lt;3,$C$8,0)),MIN(AV66*(1-$C$5-IF(AT66&lt;3,$C$8,0)),AU66*(1-$C$6-IF(AT66&lt;3,$C$8,0))))&lt;100,$D$9,$E$9)))))</f>
        <v>1.5</v>
      </c>
      <c r="AZ66" s="62" t="n">
        <f aca="false">IF(AT66=0,"—",FLOOR(AY66*Sources!$G$9,0.1))</f>
        <v>7.9</v>
      </c>
      <c r="BA66" s="60" t="str">
        <f aca="false">IF(ISNUMBER($D66),$D66,"n/a")</f>
        <v>n/a</v>
      </c>
      <c r="BB66" s="63" t="str">
        <f aca="false">IF(OR(AT66=0,NOT(ISNUMBER($D66))),"—",AY66/$D66-1)</f>
        <v>—</v>
      </c>
      <c r="BC66" s="64" t="n">
        <f aca="false">IF(AT66=0,"—",AY66/AU66-1)</f>
        <v>0.169344465492645</v>
      </c>
      <c r="BD66" s="64" t="n">
        <f aca="false">IF(AT66=0,"—",AY66/AV66-1)</f>
        <v>-0.266994369050743</v>
      </c>
      <c r="BE66" s="59" t="n">
        <f aca="false">COUNTIFS(Offers!$B$7:$B$3000,$B66,Offers!$C$7:$C$3000,"Hungary",Offers!$AI$7:$AI$3000,"yes")</f>
        <v>0</v>
      </c>
      <c r="BF66" s="60" t="str">
        <f aca="false">IF(BE66=0,"—",SUMIFS(Review!$I$7:$I$600,Review!$B$7:$B$600,$B66,Review!$C$7:$C$600,"Hungary"))</f>
        <v>—</v>
      </c>
      <c r="BG66" s="60" t="str">
        <f aca="false">IF(BE66=0,"—",SUMIFS(Review!$J$7:$J$600,Review!$B$7:$B$600,$B66,Review!$C$7:$C$600,"Hungary"))</f>
        <v>—</v>
      </c>
      <c r="BH66" s="60" t="str">
        <f aca="false">IF(BE66=0,"—",SUMIFS(Review!$K$7:$K$600,Review!$B$7:$B$600,$B66,Review!$C$7:$C$600,"Hungary"))</f>
        <v>—</v>
      </c>
      <c r="BI66" s="61" t="str">
        <f aca="false">IF(BE66=0,"—",IF(BF66&lt;BG66*(1-$C$7),"median (cheapest is an outlier)",IF(BF66*(1-$C$6)&lt;BG66*(1-$C$5),"undercut cheapest","median")))</f>
        <v>—</v>
      </c>
      <c r="BJ66" s="62" t="str">
        <f aca="false">IF(BE66=0,"—",IF(AND(ISNUMBER($D66),$D66*(1+$C$10)&gt;FLOOR(IF(BF66&lt;BG66*(1-$C$7),BG66*(1-$C$5-IF(BE66&lt;3,$C$8,0)),MIN(BG66*(1-$C$5-IF(BE66&lt;3,$C$8,0)),BF66*(1-$C$6-IF(BE66&lt;3,$C$8,0)))),IF(IF(BF66&lt;BG66*(1-$C$7),BG66*(1-$C$5-IF(BE66&lt;3,$C$8,0)),MIN(BG66*(1-$C$5-IF(BE66&lt;3,$C$8,0)),BF66*(1-$C$6-IF(BE66&lt;3,$C$8,0))))&lt;10,$C$9,IF(IF(BF66&lt;BG66*(1-$C$7),BG66*(1-$C$5-IF(BE66&lt;3,$C$8,0)),MIN(BG66*(1-$C$5-IF(BE66&lt;3,$C$8,0)),BF66*(1-$C$6-IF(BE66&lt;3,$C$8,0))))&lt;100,$D$9,$E$9)))),ROUND($D66*(1+$C$10),2),FLOOR(IF(BF66&lt;BG66*(1-$C$7),BG66*(1-$C$5-IF(BE66&lt;3,$C$8,0)),MIN(BG66*(1-$C$5-IF(BE66&lt;3,$C$8,0)),BF66*(1-$C$6-IF(BE66&lt;3,$C$8,0)))),IF(IF(BF66&lt;BG66*(1-$C$7),BG66*(1-$C$5-IF(BE66&lt;3,$C$8,0)),MIN(BG66*(1-$C$5-IF(BE66&lt;3,$C$8,0)),BF66*(1-$C$6-IF(BE66&lt;3,$C$8,0))))&lt;10,$C$9,IF(IF(BF66&lt;BG66*(1-$C$7),BG66*(1-$C$5-IF(BE66&lt;3,$C$8,0)),MIN(BG66*(1-$C$5-IF(BE66&lt;3,$C$8,0)),BF66*(1-$C$6-IF(BE66&lt;3,$C$8,0))))&lt;100,$D$9,$E$9)))))</f>
        <v>—</v>
      </c>
      <c r="BK66" s="65" t="str">
        <f aca="false">IF(BE66=0,"—",FLOOR(BJ66*Sources!$G$8,10))</f>
        <v>—</v>
      </c>
      <c r="BL66" s="60" t="str">
        <f aca="false">IF(ISNUMBER($D66),$D66,"n/a")</f>
        <v>n/a</v>
      </c>
      <c r="BM66" s="63" t="str">
        <f aca="false">IF(OR(BE66=0,NOT(ISNUMBER($D66))),"—",BJ66/$D66-1)</f>
        <v>—</v>
      </c>
      <c r="BN66" s="64" t="str">
        <f aca="false">IF(BE66=0,"—",BJ66/BF66-1)</f>
        <v>—</v>
      </c>
      <c r="BO66" s="64" t="str">
        <f aca="false">IF(BE66=0,"—",BJ66/BG66-1)</f>
        <v>—</v>
      </c>
    </row>
    <row r="67" customFormat="false" ht="15" hidden="false" customHeight="false" outlineLevel="0" collapsed="false">
      <c r="B67" s="1" t="s">
        <v>83</v>
      </c>
      <c r="C67" s="1" t="s">
        <v>192</v>
      </c>
      <c r="D67" s="58"/>
      <c r="E67" s="59" t="n">
        <f aca="false">COUNTIFS(Offers!$B$7:$B$3000,$B67,Offers!$C$7:$C$3000,"Austria",Offers!$AI$7:$AI$3000,"yes")</f>
        <v>0</v>
      </c>
      <c r="F67" s="60" t="str">
        <f aca="false">IF(E67=0,"—",SUMIFS(Review!$I$7:$I$600,Review!$B$7:$B$600,$B67,Review!$C$7:$C$600,"Austria"))</f>
        <v>—</v>
      </c>
      <c r="G67" s="60" t="str">
        <f aca="false">IF(E67=0,"—",SUMIFS(Review!$J$7:$J$600,Review!$B$7:$B$600,$B67,Review!$C$7:$C$600,"Austria"))</f>
        <v>—</v>
      </c>
      <c r="H67" s="60" t="str">
        <f aca="false">IF(E67=0,"—",SUMIFS(Review!$K$7:$K$600,Review!$B$7:$B$600,$B67,Review!$C$7:$C$600,"Austria"))</f>
        <v>—</v>
      </c>
      <c r="I67" s="61" t="str">
        <f aca="false">IF(E67=0,"—",IF(F67&lt;G67*(1-$C$7),"median (cheapest is an outlier)",IF(F67*(1-$C$6)&lt;G67*(1-$C$5),"undercut cheapest","median")))</f>
        <v>—</v>
      </c>
      <c r="J67" s="62" t="str">
        <f aca="false">IF(E67=0,"—",IF(AND(ISNUMBER($D67),$D67*(1+$C$10)&gt;FLOOR(IF(F67&lt;G67*(1-$C$7),G67*(1-$C$5-IF(E67&lt;3,$C$8,0)),MIN(G67*(1-$C$5-IF(E67&lt;3,$C$8,0)),F67*(1-$C$6-IF(E67&lt;3,$C$8,0)))),IF(IF(F67&lt;G67*(1-$C$7),G67*(1-$C$5-IF(E67&lt;3,$C$8,0)),MIN(G67*(1-$C$5-IF(E67&lt;3,$C$8,0)),F67*(1-$C$6-IF(E67&lt;3,$C$8,0))))&lt;10,$C$9,IF(IF(F67&lt;G67*(1-$C$7),G67*(1-$C$5-IF(E67&lt;3,$C$8,0)),MIN(G67*(1-$C$5-IF(E67&lt;3,$C$8,0)),F67*(1-$C$6-IF(E67&lt;3,$C$8,0))))&lt;100,$D$9,$E$9)))),ROUND($D67*(1+$C$10),2),FLOOR(IF(F67&lt;G67*(1-$C$7),G67*(1-$C$5-IF(E67&lt;3,$C$8,0)),MIN(G67*(1-$C$5-IF(E67&lt;3,$C$8,0)),F67*(1-$C$6-IF(E67&lt;3,$C$8,0)))),IF(IF(F67&lt;G67*(1-$C$7),G67*(1-$C$5-IF(E67&lt;3,$C$8,0)),MIN(G67*(1-$C$5-IF(E67&lt;3,$C$8,0)),F67*(1-$C$6-IF(E67&lt;3,$C$8,0))))&lt;10,$C$9,IF(IF(F67&lt;G67*(1-$C$7),G67*(1-$C$5-IF(E67&lt;3,$C$8,0)),MIN(G67*(1-$C$5-IF(E67&lt;3,$C$8,0)),F67*(1-$C$6-IF(E67&lt;3,$C$8,0))))&lt;100,$D$9,$E$9)))))</f>
        <v>—</v>
      </c>
      <c r="K67" s="60" t="str">
        <f aca="false">IF(ISNUMBER($D67),$D67,"n/a")</f>
        <v>n/a</v>
      </c>
      <c r="L67" s="63" t="str">
        <f aca="false">IF(OR(E67=0,NOT(ISNUMBER($D67))),"—",J67/$D67-1)</f>
        <v>—</v>
      </c>
      <c r="M67" s="64" t="str">
        <f aca="false">IF(E67=0,"—",J67/F67-1)</f>
        <v>—</v>
      </c>
      <c r="N67" s="64" t="str">
        <f aca="false">IF(E67=0,"—",J67/G67-1)</f>
        <v>—</v>
      </c>
      <c r="O67" s="59" t="n">
        <f aca="false">COUNTIFS(Offers!$B$7:$B$3000,$B67,Offers!$C$7:$C$3000,"Germany",Offers!$AI$7:$AI$3000,"yes")</f>
        <v>0</v>
      </c>
      <c r="P67" s="60" t="str">
        <f aca="false">IF(O67=0,"—",SUMIFS(Review!$I$7:$I$600,Review!$B$7:$B$600,$B67,Review!$C$7:$C$600,"Germany"))</f>
        <v>—</v>
      </c>
      <c r="Q67" s="60" t="str">
        <f aca="false">IF(O67=0,"—",SUMIFS(Review!$J$7:$J$600,Review!$B$7:$B$600,$B67,Review!$C$7:$C$600,"Germany"))</f>
        <v>—</v>
      </c>
      <c r="R67" s="60" t="str">
        <f aca="false">IF(O67=0,"—",SUMIFS(Review!$K$7:$K$600,Review!$B$7:$B$600,$B67,Review!$C$7:$C$600,"Germany"))</f>
        <v>—</v>
      </c>
      <c r="S67" s="61" t="str">
        <f aca="false">IF(O67=0,"—",IF(P67&lt;Q67*(1-$C$7),"median (cheapest is an outlier)",IF(P67*(1-$C$6)&lt;Q67*(1-$C$5),"undercut cheapest","median")))</f>
        <v>—</v>
      </c>
      <c r="T67" s="62" t="str">
        <f aca="false">IF(O67=0,"—",IF(AND(ISNUMBER($D67),$D67*(1+$C$10)&gt;FLOOR(IF(P67&lt;Q67*(1-$C$7),Q67*(1-$C$5-IF(O67&lt;3,$C$8,0)),MIN(Q67*(1-$C$5-IF(O67&lt;3,$C$8,0)),P67*(1-$C$6-IF(O67&lt;3,$C$8,0)))),IF(IF(P67&lt;Q67*(1-$C$7),Q67*(1-$C$5-IF(O67&lt;3,$C$8,0)),MIN(Q67*(1-$C$5-IF(O67&lt;3,$C$8,0)),P67*(1-$C$6-IF(O67&lt;3,$C$8,0))))&lt;10,$C$9,IF(IF(P67&lt;Q67*(1-$C$7),Q67*(1-$C$5-IF(O67&lt;3,$C$8,0)),MIN(Q67*(1-$C$5-IF(O67&lt;3,$C$8,0)),P67*(1-$C$6-IF(O67&lt;3,$C$8,0))))&lt;100,$D$9,$E$9)))),ROUND($D67*(1+$C$10),2),FLOOR(IF(P67&lt;Q67*(1-$C$7),Q67*(1-$C$5-IF(O67&lt;3,$C$8,0)),MIN(Q67*(1-$C$5-IF(O67&lt;3,$C$8,0)),P67*(1-$C$6-IF(O67&lt;3,$C$8,0)))),IF(IF(P67&lt;Q67*(1-$C$7),Q67*(1-$C$5-IF(O67&lt;3,$C$8,0)),MIN(Q67*(1-$C$5-IF(O67&lt;3,$C$8,0)),P67*(1-$C$6-IF(O67&lt;3,$C$8,0))))&lt;10,$C$9,IF(IF(P67&lt;Q67*(1-$C$7),Q67*(1-$C$5-IF(O67&lt;3,$C$8,0)),MIN(Q67*(1-$C$5-IF(O67&lt;3,$C$8,0)),P67*(1-$C$6-IF(O67&lt;3,$C$8,0))))&lt;100,$D$9,$E$9)))))</f>
        <v>—</v>
      </c>
      <c r="U67" s="60" t="str">
        <f aca="false">IF(ISNUMBER($D67),$D67,"n/a")</f>
        <v>n/a</v>
      </c>
      <c r="V67" s="63" t="str">
        <f aca="false">IF(OR(O67=0,NOT(ISNUMBER($D67))),"—",T67/$D67-1)</f>
        <v>—</v>
      </c>
      <c r="W67" s="64" t="str">
        <f aca="false">IF(O67=0,"—",T67/P67-1)</f>
        <v>—</v>
      </c>
      <c r="X67" s="64" t="str">
        <f aca="false">IF(O67=0,"—",T67/Q67-1)</f>
        <v>—</v>
      </c>
      <c r="Y67" s="59" t="n">
        <f aca="false">COUNTIFS(Offers!$B$7:$B$3000,$B67,Offers!$C$7:$C$3000,"Czech",Offers!$AI$7:$AI$3000,"yes")</f>
        <v>2</v>
      </c>
      <c r="Z67" s="60" t="n">
        <f aca="false">IF(Y67=0,"—",SUMIFS(Review!$I$7:$I$600,Review!$B$7:$B$600,$B67,Review!$C$7:$C$600,"Czech"))</f>
        <v>4.913277</v>
      </c>
      <c r="AA67" s="60" t="n">
        <f aca="false">IF(Y67=0,"—",SUMIFS(Review!$J$7:$J$600,Review!$B$7:$B$600,$B67,Review!$C$7:$C$600,"Czech"))</f>
        <v>7.062836</v>
      </c>
      <c r="AB67" s="60" t="n">
        <f aca="false">IF(Y67=0,"—",SUMIFS(Review!$K$7:$K$600,Review!$B$7:$B$600,$B67,Review!$C$7:$C$600,"Czech"))</f>
        <v>9.212395</v>
      </c>
      <c r="AC67" s="61" t="str">
        <f aca="false">IF(Y67=0,"—",IF(Z67&lt;AA67*(1-$C$7),"median (cheapest is an outlier)",IF(Z67*(1-$C$6)&lt;AA67*(1-$C$5),"undercut cheapest","median")))</f>
        <v>undercut cheapest</v>
      </c>
      <c r="AD67" s="62" t="n">
        <f aca="false">IF(Y67=0,"—",IF(AND(ISNUMBER($D67),$D67*(1+$C$10)&gt;FLOOR(IF(Z67&lt;AA67*(1-$C$7),AA67*(1-$C$5-IF(Y67&lt;3,$C$8,0)),MIN(AA67*(1-$C$5-IF(Y67&lt;3,$C$8,0)),Z67*(1-$C$6-IF(Y67&lt;3,$C$8,0)))),IF(IF(Z67&lt;AA67*(1-$C$7),AA67*(1-$C$5-IF(Y67&lt;3,$C$8,0)),MIN(AA67*(1-$C$5-IF(Y67&lt;3,$C$8,0)),Z67*(1-$C$6-IF(Y67&lt;3,$C$8,0))))&lt;10,$C$9,IF(IF(Z67&lt;AA67*(1-$C$7),AA67*(1-$C$5-IF(Y67&lt;3,$C$8,0)),MIN(AA67*(1-$C$5-IF(Y67&lt;3,$C$8,0)),Z67*(1-$C$6-IF(Y67&lt;3,$C$8,0))))&lt;100,$D$9,$E$9)))),ROUND($D67*(1+$C$10),2),FLOOR(IF(Z67&lt;AA67*(1-$C$7),AA67*(1-$C$5-IF(Y67&lt;3,$C$8,0)),MIN(AA67*(1-$C$5-IF(Y67&lt;3,$C$8,0)),Z67*(1-$C$6-IF(Y67&lt;3,$C$8,0)))),IF(IF(Z67&lt;AA67*(1-$C$7),AA67*(1-$C$5-IF(Y67&lt;3,$C$8,0)),MIN(AA67*(1-$C$5-IF(Y67&lt;3,$C$8,0)),Z67*(1-$C$6-IF(Y67&lt;3,$C$8,0))))&lt;10,$C$9,IF(IF(Z67&lt;AA67*(1-$C$7),AA67*(1-$C$5-IF(Y67&lt;3,$C$8,0)),MIN(AA67*(1-$C$5-IF(Y67&lt;3,$C$8,0)),Z67*(1-$C$6-IF(Y67&lt;3,$C$8,0))))&lt;100,$D$9,$E$9)))))</f>
        <v>4.4</v>
      </c>
      <c r="AE67" s="65" t="n">
        <f aca="false">IF(Y67=0,"—",FLOOR(AD67*Sources!$G$10,1))</f>
        <v>107</v>
      </c>
      <c r="AF67" s="60" t="str">
        <f aca="false">IF(ISNUMBER($D67),$D67,"n/a")</f>
        <v>n/a</v>
      </c>
      <c r="AG67" s="63" t="str">
        <f aca="false">IF(OR(Y67=0,NOT(ISNUMBER($D67))),"—",AD67/$D67-1)</f>
        <v>—</v>
      </c>
      <c r="AH67" s="64" t="n">
        <f aca="false">IF(Y67=0,"—",AD67/Z67-1)</f>
        <v>-0.104467344299945</v>
      </c>
      <c r="AI67" s="64" t="n">
        <f aca="false">IF(Y67=0,"—",AD67/AA67-1)</f>
        <v>-0.377020788816277</v>
      </c>
      <c r="AJ67" s="59" t="n">
        <f aca="false">COUNTIFS(Offers!$B$7:$B$3000,$B67,Offers!$C$7:$C$3000,"Slovakia",Offers!$AI$7:$AI$3000,"yes")</f>
        <v>2</v>
      </c>
      <c r="AK67" s="60" t="n">
        <f aca="false">IF(AJ67=0,"—",SUMIFS(Review!$I$7:$I$600,Review!$B$7:$B$600,$B67,Review!$C$7:$C$600,"Slovakia"))</f>
        <v>4.46</v>
      </c>
      <c r="AL67" s="60" t="n">
        <f aca="false">IF(AJ67=0,"—",SUMIFS(Review!$J$7:$J$600,Review!$B$7:$B$600,$B67,Review!$C$7:$C$600,"Slovakia"))</f>
        <v>6.53</v>
      </c>
      <c r="AM67" s="60" t="n">
        <f aca="false">IF(AJ67=0,"—",SUMIFS(Review!$K$7:$K$600,Review!$B$7:$B$600,$B67,Review!$C$7:$C$600,"Slovakia"))</f>
        <v>8.6</v>
      </c>
      <c r="AN67" s="61" t="str">
        <f aca="false">IF(AJ67=0,"—",IF(AK67&lt;AL67*(1-$C$7),"median (cheapest is an outlier)",IF(AK67*(1-$C$6)&lt;AL67*(1-$C$5),"undercut cheapest","median")))</f>
        <v>undercut cheapest</v>
      </c>
      <c r="AO67" s="62" t="n">
        <f aca="false">IF(AJ67=0,"—",IF(AND(ISNUMBER($D67),$D67*(1+$C$10)&gt;FLOOR(IF(AK67&lt;AL67*(1-$C$7),AL67*(1-$C$5-IF(AJ67&lt;3,$C$8,0)),MIN(AL67*(1-$C$5-IF(AJ67&lt;3,$C$8,0)),AK67*(1-$C$6-IF(AJ67&lt;3,$C$8,0)))),IF(IF(AK67&lt;AL67*(1-$C$7),AL67*(1-$C$5-IF(AJ67&lt;3,$C$8,0)),MIN(AL67*(1-$C$5-IF(AJ67&lt;3,$C$8,0)),AK67*(1-$C$6-IF(AJ67&lt;3,$C$8,0))))&lt;10,$C$9,IF(IF(AK67&lt;AL67*(1-$C$7),AL67*(1-$C$5-IF(AJ67&lt;3,$C$8,0)),MIN(AL67*(1-$C$5-IF(AJ67&lt;3,$C$8,0)),AK67*(1-$C$6-IF(AJ67&lt;3,$C$8,0))))&lt;100,$D$9,$E$9)))),ROUND($D67*(1+$C$10),2),FLOOR(IF(AK67&lt;AL67*(1-$C$7),AL67*(1-$C$5-IF(AJ67&lt;3,$C$8,0)),MIN(AL67*(1-$C$5-IF(AJ67&lt;3,$C$8,0)),AK67*(1-$C$6-IF(AJ67&lt;3,$C$8,0)))),IF(IF(AK67&lt;AL67*(1-$C$7),AL67*(1-$C$5-IF(AJ67&lt;3,$C$8,0)),MIN(AL67*(1-$C$5-IF(AJ67&lt;3,$C$8,0)),AK67*(1-$C$6-IF(AJ67&lt;3,$C$8,0))))&lt;10,$C$9,IF(IF(AK67&lt;AL67*(1-$C$7),AL67*(1-$C$5-IF(AJ67&lt;3,$C$8,0)),MIN(AL67*(1-$C$5-IF(AJ67&lt;3,$C$8,0)),AK67*(1-$C$6-IF(AJ67&lt;3,$C$8,0))))&lt;100,$D$9,$E$9)))))</f>
        <v>4</v>
      </c>
      <c r="AP67" s="60" t="str">
        <f aca="false">IF(ISNUMBER($D67),$D67,"n/a")</f>
        <v>n/a</v>
      </c>
      <c r="AQ67" s="63" t="str">
        <f aca="false">IF(OR(AJ67=0,NOT(ISNUMBER($D67))),"—",AO67/$D67-1)</f>
        <v>—</v>
      </c>
      <c r="AR67" s="64" t="n">
        <f aca="false">IF(AJ67=0,"—",AO67/AK67-1)</f>
        <v>-0.103139013452915</v>
      </c>
      <c r="AS67" s="64" t="n">
        <f aca="false">IF(AJ67=0,"—",AO67/AL67-1)</f>
        <v>-0.387442572741194</v>
      </c>
      <c r="AT67" s="59" t="n">
        <f aca="false">COUNTIFS(Offers!$B$7:$B$3000,$B67,Offers!$C$7:$C$3000,"Romania",Offers!$AI$7:$AI$3000,"yes")</f>
        <v>2</v>
      </c>
      <c r="AU67" s="60" t="n">
        <f aca="false">IF(AT67=0,"—",SUMIFS(Review!$I$7:$I$600,Review!$B$7:$B$600,$B67,Review!$C$7:$C$600,"Romania"))</f>
        <v>2.69</v>
      </c>
      <c r="AV67" s="60" t="n">
        <f aca="false">IF(AT67=0,"—",SUMIFS(Review!$J$7:$J$600,Review!$B$7:$B$600,$B67,Review!$C$7:$C$600,"Romania"))</f>
        <v>3.693587</v>
      </c>
      <c r="AW67" s="60" t="n">
        <f aca="false">IF(AT67=0,"—",SUMIFS(Review!$K$7:$K$600,Review!$B$7:$B$600,$B67,Review!$C$7:$C$600,"Romania"))</f>
        <v>4.697174</v>
      </c>
      <c r="AX67" s="61" t="str">
        <f aca="false">IF(AT67=0,"—",IF(AU67&lt;AV67*(1-$C$7),"median (cheapest is an outlier)",IF(AU67*(1-$C$6)&lt;AV67*(1-$C$5),"undercut cheapest","median")))</f>
        <v>undercut cheapest</v>
      </c>
      <c r="AY67" s="62" t="n">
        <f aca="false">IF(AT67=0,"—",IF(AND(ISNUMBER($D67),$D67*(1+$C$10)&gt;FLOOR(IF(AU67&lt;AV67*(1-$C$7),AV67*(1-$C$5-IF(AT67&lt;3,$C$8,0)),MIN(AV67*(1-$C$5-IF(AT67&lt;3,$C$8,0)),AU67*(1-$C$6-IF(AT67&lt;3,$C$8,0)))),IF(IF(AU67&lt;AV67*(1-$C$7),AV67*(1-$C$5-IF(AT67&lt;3,$C$8,0)),MIN(AV67*(1-$C$5-IF(AT67&lt;3,$C$8,0)),AU67*(1-$C$6-IF(AT67&lt;3,$C$8,0))))&lt;10,$C$9,IF(IF(AU67&lt;AV67*(1-$C$7),AV67*(1-$C$5-IF(AT67&lt;3,$C$8,0)),MIN(AV67*(1-$C$5-IF(AT67&lt;3,$C$8,0)),AU67*(1-$C$6-IF(AT67&lt;3,$C$8,0))))&lt;100,$D$9,$E$9)))),ROUND($D67*(1+$C$10),2),FLOOR(IF(AU67&lt;AV67*(1-$C$7),AV67*(1-$C$5-IF(AT67&lt;3,$C$8,0)),MIN(AV67*(1-$C$5-IF(AT67&lt;3,$C$8,0)),AU67*(1-$C$6-IF(AT67&lt;3,$C$8,0)))),IF(IF(AU67&lt;AV67*(1-$C$7),AV67*(1-$C$5-IF(AT67&lt;3,$C$8,0)),MIN(AV67*(1-$C$5-IF(AT67&lt;3,$C$8,0)),AU67*(1-$C$6-IF(AT67&lt;3,$C$8,0))))&lt;10,$C$9,IF(IF(AU67&lt;AV67*(1-$C$7),AV67*(1-$C$5-IF(AT67&lt;3,$C$8,0)),MIN(AV67*(1-$C$5-IF(AT67&lt;3,$C$8,0)),AU67*(1-$C$6-IF(AT67&lt;3,$C$8,0))))&lt;100,$D$9,$E$9)))))</f>
        <v>2.4</v>
      </c>
      <c r="AZ67" s="62" t="n">
        <f aca="false">IF(AT67=0,"—",FLOOR(AY67*Sources!$G$9,0.1))</f>
        <v>12.6</v>
      </c>
      <c r="BA67" s="60" t="str">
        <f aca="false">IF(ISNUMBER($D67),$D67,"n/a")</f>
        <v>n/a</v>
      </c>
      <c r="BB67" s="63" t="str">
        <f aca="false">IF(OR(AT67=0,NOT(ISNUMBER($D67))),"—",AY67/$D67-1)</f>
        <v>—</v>
      </c>
      <c r="BC67" s="64" t="n">
        <f aca="false">IF(AT67=0,"—",AY67/AU67-1)</f>
        <v>-0.107806691449814</v>
      </c>
      <c r="BD67" s="64" t="n">
        <f aca="false">IF(AT67=0,"—",AY67/AV67-1)</f>
        <v>-0.350225133454282</v>
      </c>
      <c r="BE67" s="59" t="n">
        <f aca="false">COUNTIFS(Offers!$B$7:$B$3000,$B67,Offers!$C$7:$C$3000,"Hungary",Offers!$AI$7:$AI$3000,"yes")</f>
        <v>0</v>
      </c>
      <c r="BF67" s="60" t="str">
        <f aca="false">IF(BE67=0,"—",SUMIFS(Review!$I$7:$I$600,Review!$B$7:$B$600,$B67,Review!$C$7:$C$600,"Hungary"))</f>
        <v>—</v>
      </c>
      <c r="BG67" s="60" t="str">
        <f aca="false">IF(BE67=0,"—",SUMIFS(Review!$J$7:$J$600,Review!$B$7:$B$600,$B67,Review!$C$7:$C$600,"Hungary"))</f>
        <v>—</v>
      </c>
      <c r="BH67" s="60" t="str">
        <f aca="false">IF(BE67=0,"—",SUMIFS(Review!$K$7:$K$600,Review!$B$7:$B$600,$B67,Review!$C$7:$C$600,"Hungary"))</f>
        <v>—</v>
      </c>
      <c r="BI67" s="61" t="str">
        <f aca="false">IF(BE67=0,"—",IF(BF67&lt;BG67*(1-$C$7),"median (cheapest is an outlier)",IF(BF67*(1-$C$6)&lt;BG67*(1-$C$5),"undercut cheapest","median")))</f>
        <v>—</v>
      </c>
      <c r="BJ67" s="62" t="str">
        <f aca="false">IF(BE67=0,"—",IF(AND(ISNUMBER($D67),$D67*(1+$C$10)&gt;FLOOR(IF(BF67&lt;BG67*(1-$C$7),BG67*(1-$C$5-IF(BE67&lt;3,$C$8,0)),MIN(BG67*(1-$C$5-IF(BE67&lt;3,$C$8,0)),BF67*(1-$C$6-IF(BE67&lt;3,$C$8,0)))),IF(IF(BF67&lt;BG67*(1-$C$7),BG67*(1-$C$5-IF(BE67&lt;3,$C$8,0)),MIN(BG67*(1-$C$5-IF(BE67&lt;3,$C$8,0)),BF67*(1-$C$6-IF(BE67&lt;3,$C$8,0))))&lt;10,$C$9,IF(IF(BF67&lt;BG67*(1-$C$7),BG67*(1-$C$5-IF(BE67&lt;3,$C$8,0)),MIN(BG67*(1-$C$5-IF(BE67&lt;3,$C$8,0)),BF67*(1-$C$6-IF(BE67&lt;3,$C$8,0))))&lt;100,$D$9,$E$9)))),ROUND($D67*(1+$C$10),2),FLOOR(IF(BF67&lt;BG67*(1-$C$7),BG67*(1-$C$5-IF(BE67&lt;3,$C$8,0)),MIN(BG67*(1-$C$5-IF(BE67&lt;3,$C$8,0)),BF67*(1-$C$6-IF(BE67&lt;3,$C$8,0)))),IF(IF(BF67&lt;BG67*(1-$C$7),BG67*(1-$C$5-IF(BE67&lt;3,$C$8,0)),MIN(BG67*(1-$C$5-IF(BE67&lt;3,$C$8,0)),BF67*(1-$C$6-IF(BE67&lt;3,$C$8,0))))&lt;10,$C$9,IF(IF(BF67&lt;BG67*(1-$C$7),BG67*(1-$C$5-IF(BE67&lt;3,$C$8,0)),MIN(BG67*(1-$C$5-IF(BE67&lt;3,$C$8,0)),BF67*(1-$C$6-IF(BE67&lt;3,$C$8,0))))&lt;100,$D$9,$E$9)))))</f>
        <v>—</v>
      </c>
      <c r="BK67" s="65" t="str">
        <f aca="false">IF(BE67=0,"—",FLOOR(BJ67*Sources!$G$8,10))</f>
        <v>—</v>
      </c>
      <c r="BL67" s="60" t="str">
        <f aca="false">IF(ISNUMBER($D67),$D67,"n/a")</f>
        <v>n/a</v>
      </c>
      <c r="BM67" s="63" t="str">
        <f aca="false">IF(OR(BE67=0,NOT(ISNUMBER($D67))),"—",BJ67/$D67-1)</f>
        <v>—</v>
      </c>
      <c r="BN67" s="64" t="str">
        <f aca="false">IF(BE67=0,"—",BJ67/BF67-1)</f>
        <v>—</v>
      </c>
      <c r="BO67" s="64" t="str">
        <f aca="false">IF(BE67=0,"—",BJ67/BG67-1)</f>
        <v>—</v>
      </c>
    </row>
    <row r="68" customFormat="false" ht="15" hidden="false" customHeight="false" outlineLevel="0" collapsed="false">
      <c r="B68" s="1" t="s">
        <v>84</v>
      </c>
      <c r="C68" s="1" t="s">
        <v>193</v>
      </c>
      <c r="D68" s="58"/>
      <c r="E68" s="59" t="n">
        <f aca="false">COUNTIFS(Offers!$B$7:$B$3000,$B68,Offers!$C$7:$C$3000,"Austria",Offers!$AI$7:$AI$3000,"yes")</f>
        <v>7</v>
      </c>
      <c r="F68" s="60" t="n">
        <f aca="false">IF(E68=0,"—",SUMIFS(Review!$I$7:$I$600,Review!$B$7:$B$600,$B68,Review!$C$7:$C$600,"Austria"))</f>
        <v>8.4</v>
      </c>
      <c r="G68" s="60" t="n">
        <f aca="false">IF(E68=0,"—",SUMIFS(Review!$J$7:$J$600,Review!$B$7:$B$600,$B68,Review!$C$7:$C$600,"Austria"))</f>
        <v>14.48</v>
      </c>
      <c r="H68" s="60" t="n">
        <f aca="false">IF(E68=0,"—",SUMIFS(Review!$K$7:$K$600,Review!$B$7:$B$600,$B68,Review!$C$7:$C$600,"Austria"))</f>
        <v>21.09</v>
      </c>
      <c r="I68" s="61" t="str">
        <f aca="false">IF(E68=0,"—",IF(F68&lt;G68*(1-$C$7),"median (cheapest is an outlier)",IF(F68*(1-$C$6)&lt;G68*(1-$C$5),"undercut cheapest","median")))</f>
        <v>median (cheapest is an outlier)</v>
      </c>
      <c r="J68" s="62" t="n">
        <f aca="false">IF(E68=0,"—",IF(AND(ISNUMBER($D68),$D68*(1+$C$10)&gt;FLOOR(IF(F68&lt;G68*(1-$C$7),G68*(1-$C$5-IF(E68&lt;3,$C$8,0)),MIN(G68*(1-$C$5-IF(E68&lt;3,$C$8,0)),F68*(1-$C$6-IF(E68&lt;3,$C$8,0)))),IF(IF(F68&lt;G68*(1-$C$7),G68*(1-$C$5-IF(E68&lt;3,$C$8,0)),MIN(G68*(1-$C$5-IF(E68&lt;3,$C$8,0)),F68*(1-$C$6-IF(E68&lt;3,$C$8,0))))&lt;10,$C$9,IF(IF(F68&lt;G68*(1-$C$7),G68*(1-$C$5-IF(E68&lt;3,$C$8,0)),MIN(G68*(1-$C$5-IF(E68&lt;3,$C$8,0)),F68*(1-$C$6-IF(E68&lt;3,$C$8,0))))&lt;100,$D$9,$E$9)))),ROUND($D68*(1+$C$10),2),FLOOR(IF(F68&lt;G68*(1-$C$7),G68*(1-$C$5-IF(E68&lt;3,$C$8,0)),MIN(G68*(1-$C$5-IF(E68&lt;3,$C$8,0)),F68*(1-$C$6-IF(E68&lt;3,$C$8,0)))),IF(IF(F68&lt;G68*(1-$C$7),G68*(1-$C$5-IF(E68&lt;3,$C$8,0)),MIN(G68*(1-$C$5-IF(E68&lt;3,$C$8,0)),F68*(1-$C$6-IF(E68&lt;3,$C$8,0))))&lt;10,$C$9,IF(IF(F68&lt;G68*(1-$C$7),G68*(1-$C$5-IF(E68&lt;3,$C$8,0)),MIN(G68*(1-$C$5-IF(E68&lt;3,$C$8,0)),F68*(1-$C$6-IF(E68&lt;3,$C$8,0))))&lt;100,$D$9,$E$9)))))</f>
        <v>10.8</v>
      </c>
      <c r="K68" s="60" t="str">
        <f aca="false">IF(ISNUMBER($D68),$D68,"n/a")</f>
        <v>n/a</v>
      </c>
      <c r="L68" s="63" t="str">
        <f aca="false">IF(OR(E68=0,NOT(ISNUMBER($D68))),"—",J68/$D68-1)</f>
        <v>—</v>
      </c>
      <c r="M68" s="64" t="n">
        <f aca="false">IF(E68=0,"—",J68/F68-1)</f>
        <v>0.285714285714286</v>
      </c>
      <c r="N68" s="64" t="n">
        <f aca="false">IF(E68=0,"—",J68/G68-1)</f>
        <v>-0.25414364640884</v>
      </c>
      <c r="O68" s="59" t="n">
        <f aca="false">COUNTIFS(Offers!$B$7:$B$3000,$B68,Offers!$C$7:$C$3000,"Germany",Offers!$AI$7:$AI$3000,"yes")</f>
        <v>7</v>
      </c>
      <c r="P68" s="60" t="n">
        <f aca="false">IF(O68=0,"—",SUMIFS(Review!$I$7:$I$600,Review!$B$7:$B$600,$B68,Review!$C$7:$C$600,"Germany"))</f>
        <v>5.99</v>
      </c>
      <c r="Q68" s="60" t="n">
        <f aca="false">IF(O68=0,"—",SUMIFS(Review!$J$7:$J$600,Review!$B$7:$B$600,$B68,Review!$C$7:$C$600,"Germany"))</f>
        <v>11.09</v>
      </c>
      <c r="R68" s="60" t="n">
        <f aca="false">IF(O68=0,"—",SUMIFS(Review!$K$7:$K$600,Review!$B$7:$B$600,$B68,Review!$C$7:$C$600,"Germany"))</f>
        <v>33</v>
      </c>
      <c r="S68" s="61" t="str">
        <f aca="false">IF(O68=0,"—",IF(P68&lt;Q68*(1-$C$7),"median (cheapest is an outlier)",IF(P68*(1-$C$6)&lt;Q68*(1-$C$5),"undercut cheapest","median")))</f>
        <v>median (cheapest is an outlier)</v>
      </c>
      <c r="T68" s="62" t="n">
        <f aca="false">IF(O68=0,"—",IF(AND(ISNUMBER($D68),$D68*(1+$C$10)&gt;FLOOR(IF(P68&lt;Q68*(1-$C$7),Q68*(1-$C$5-IF(O68&lt;3,$C$8,0)),MIN(Q68*(1-$C$5-IF(O68&lt;3,$C$8,0)),P68*(1-$C$6-IF(O68&lt;3,$C$8,0)))),IF(IF(P68&lt;Q68*(1-$C$7),Q68*(1-$C$5-IF(O68&lt;3,$C$8,0)),MIN(Q68*(1-$C$5-IF(O68&lt;3,$C$8,0)),P68*(1-$C$6-IF(O68&lt;3,$C$8,0))))&lt;10,$C$9,IF(IF(P68&lt;Q68*(1-$C$7),Q68*(1-$C$5-IF(O68&lt;3,$C$8,0)),MIN(Q68*(1-$C$5-IF(O68&lt;3,$C$8,0)),P68*(1-$C$6-IF(O68&lt;3,$C$8,0))))&lt;100,$D$9,$E$9)))),ROUND($D68*(1+$C$10),2),FLOOR(IF(P68&lt;Q68*(1-$C$7),Q68*(1-$C$5-IF(O68&lt;3,$C$8,0)),MIN(Q68*(1-$C$5-IF(O68&lt;3,$C$8,0)),P68*(1-$C$6-IF(O68&lt;3,$C$8,0)))),IF(IF(P68&lt;Q68*(1-$C$7),Q68*(1-$C$5-IF(O68&lt;3,$C$8,0)),MIN(Q68*(1-$C$5-IF(O68&lt;3,$C$8,0)),P68*(1-$C$6-IF(O68&lt;3,$C$8,0))))&lt;10,$C$9,IF(IF(P68&lt;Q68*(1-$C$7),Q68*(1-$C$5-IF(O68&lt;3,$C$8,0)),MIN(Q68*(1-$C$5-IF(O68&lt;3,$C$8,0)),P68*(1-$C$6-IF(O68&lt;3,$C$8,0))))&lt;100,$D$9,$E$9)))))</f>
        <v>8.3</v>
      </c>
      <c r="U68" s="60" t="str">
        <f aca="false">IF(ISNUMBER($D68),$D68,"n/a")</f>
        <v>n/a</v>
      </c>
      <c r="V68" s="63" t="str">
        <f aca="false">IF(OR(O68=0,NOT(ISNUMBER($D68))),"—",T68/$D68-1)</f>
        <v>—</v>
      </c>
      <c r="W68" s="64" t="n">
        <f aca="false">IF(O68=0,"—",T68/P68-1)</f>
        <v>0.385642737896494</v>
      </c>
      <c r="X68" s="64" t="n">
        <f aca="false">IF(O68=0,"—",T68/Q68-1)</f>
        <v>-0.251577998196573</v>
      </c>
      <c r="Y68" s="59" t="n">
        <f aca="false">COUNTIFS(Offers!$B$7:$B$3000,$B68,Offers!$C$7:$C$3000,"Czech",Offers!$AI$7:$AI$3000,"yes")</f>
        <v>5</v>
      </c>
      <c r="Z68" s="60" t="n">
        <f aca="false">IF(Y68=0,"—",SUMIFS(Review!$I$7:$I$600,Review!$B$7:$B$600,$B68,Review!$C$7:$C$600,"Czech"))</f>
        <v>8.459435</v>
      </c>
      <c r="AA68" s="60" t="n">
        <f aca="false">IF(Y68=0,"—",SUMIFS(Review!$J$7:$J$600,Review!$B$7:$B$600,$B68,Review!$C$7:$C$600,"Czech"))</f>
        <v>12.621391</v>
      </c>
      <c r="AB68" s="60" t="n">
        <f aca="false">IF(Y68=0,"—",SUMIFS(Review!$K$7:$K$600,Review!$B$7:$B$600,$B68,Review!$C$7:$C$600,"Czech"))</f>
        <v>15.6406</v>
      </c>
      <c r="AC68" s="61" t="str">
        <f aca="false">IF(Y68=0,"—",IF(Z68&lt;AA68*(1-$C$7),"median (cheapest is an outlier)",IF(Z68*(1-$C$6)&lt;AA68*(1-$C$5),"undercut cheapest","median")))</f>
        <v>undercut cheapest</v>
      </c>
      <c r="AD68" s="62" t="n">
        <f aca="false">IF(Y68=0,"—",IF(AND(ISNUMBER($D68),$D68*(1+$C$10)&gt;FLOOR(IF(Z68&lt;AA68*(1-$C$7),AA68*(1-$C$5-IF(Y68&lt;3,$C$8,0)),MIN(AA68*(1-$C$5-IF(Y68&lt;3,$C$8,0)),Z68*(1-$C$6-IF(Y68&lt;3,$C$8,0)))),IF(IF(Z68&lt;AA68*(1-$C$7),AA68*(1-$C$5-IF(Y68&lt;3,$C$8,0)),MIN(AA68*(1-$C$5-IF(Y68&lt;3,$C$8,0)),Z68*(1-$C$6-IF(Y68&lt;3,$C$8,0))))&lt;10,$C$9,IF(IF(Z68&lt;AA68*(1-$C$7),AA68*(1-$C$5-IF(Y68&lt;3,$C$8,0)),MIN(AA68*(1-$C$5-IF(Y68&lt;3,$C$8,0)),Z68*(1-$C$6-IF(Y68&lt;3,$C$8,0))))&lt;100,$D$9,$E$9)))),ROUND($D68*(1+$C$10),2),FLOOR(IF(Z68&lt;AA68*(1-$C$7),AA68*(1-$C$5-IF(Y68&lt;3,$C$8,0)),MIN(AA68*(1-$C$5-IF(Y68&lt;3,$C$8,0)),Z68*(1-$C$6-IF(Y68&lt;3,$C$8,0)))),IF(IF(Z68&lt;AA68*(1-$C$7),AA68*(1-$C$5-IF(Y68&lt;3,$C$8,0)),MIN(AA68*(1-$C$5-IF(Y68&lt;3,$C$8,0)),Z68*(1-$C$6-IF(Y68&lt;3,$C$8,0))))&lt;10,$C$9,IF(IF(Z68&lt;AA68*(1-$C$7),AA68*(1-$C$5-IF(Y68&lt;3,$C$8,0)),MIN(AA68*(1-$C$5-IF(Y68&lt;3,$C$8,0)),Z68*(1-$C$6-IF(Y68&lt;3,$C$8,0))))&lt;100,$D$9,$E$9)))))</f>
        <v>8</v>
      </c>
      <c r="AE68" s="65" t="n">
        <f aca="false">IF(Y68=0,"—",FLOOR(AD68*Sources!$G$10,1))</f>
        <v>195</v>
      </c>
      <c r="AF68" s="60" t="str">
        <f aca="false">IF(ISNUMBER($D68),$D68,"n/a")</f>
        <v>n/a</v>
      </c>
      <c r="AG68" s="63" t="str">
        <f aca="false">IF(OR(Y68=0,NOT(ISNUMBER($D68))),"—",AD68/$D68-1)</f>
        <v>—</v>
      </c>
      <c r="AH68" s="64" t="n">
        <f aca="false">IF(Y68=0,"—",AD68/Z68-1)</f>
        <v>-0.0543103646992972</v>
      </c>
      <c r="AI68" s="64" t="n">
        <f aca="false">IF(Y68=0,"—",AD68/AA68-1)</f>
        <v>-0.366155441979414</v>
      </c>
      <c r="AJ68" s="59" t="n">
        <f aca="false">COUNTIFS(Offers!$B$7:$B$3000,$B68,Offers!$C$7:$C$3000,"Slovakia",Offers!$AI$7:$AI$3000,"yes")</f>
        <v>5</v>
      </c>
      <c r="AK68" s="60" t="n">
        <f aca="false">IF(AJ68=0,"—",SUMIFS(Review!$I$7:$I$600,Review!$B$7:$B$600,$B68,Review!$C$7:$C$600,"Slovakia"))</f>
        <v>7.51</v>
      </c>
      <c r="AL68" s="60" t="n">
        <f aca="false">IF(AJ68=0,"—",SUMIFS(Review!$J$7:$J$600,Review!$B$7:$B$600,$B68,Review!$C$7:$C$600,"Slovakia"))</f>
        <v>12</v>
      </c>
      <c r="AM68" s="60" t="n">
        <f aca="false">IF(AJ68=0,"—",SUMIFS(Review!$K$7:$K$600,Review!$B$7:$B$600,$B68,Review!$C$7:$C$600,"Slovakia"))</f>
        <v>18.62</v>
      </c>
      <c r="AN68" s="61" t="str">
        <f aca="false">IF(AJ68=0,"—",IF(AK68&lt;AL68*(1-$C$7),"median (cheapest is an outlier)",IF(AK68*(1-$C$6)&lt;AL68*(1-$C$5),"undercut cheapest","median")))</f>
        <v>median (cheapest is an outlier)</v>
      </c>
      <c r="AO68" s="62" t="n">
        <f aca="false">IF(AJ68=0,"—",IF(AND(ISNUMBER($D68),$D68*(1+$C$10)&gt;FLOOR(IF(AK68&lt;AL68*(1-$C$7),AL68*(1-$C$5-IF(AJ68&lt;3,$C$8,0)),MIN(AL68*(1-$C$5-IF(AJ68&lt;3,$C$8,0)),AK68*(1-$C$6-IF(AJ68&lt;3,$C$8,0)))),IF(IF(AK68&lt;AL68*(1-$C$7),AL68*(1-$C$5-IF(AJ68&lt;3,$C$8,0)),MIN(AL68*(1-$C$5-IF(AJ68&lt;3,$C$8,0)),AK68*(1-$C$6-IF(AJ68&lt;3,$C$8,0))))&lt;10,$C$9,IF(IF(AK68&lt;AL68*(1-$C$7),AL68*(1-$C$5-IF(AJ68&lt;3,$C$8,0)),MIN(AL68*(1-$C$5-IF(AJ68&lt;3,$C$8,0)),AK68*(1-$C$6-IF(AJ68&lt;3,$C$8,0))))&lt;100,$D$9,$E$9)))),ROUND($D68*(1+$C$10),2),FLOOR(IF(AK68&lt;AL68*(1-$C$7),AL68*(1-$C$5-IF(AJ68&lt;3,$C$8,0)),MIN(AL68*(1-$C$5-IF(AJ68&lt;3,$C$8,0)),AK68*(1-$C$6-IF(AJ68&lt;3,$C$8,0)))),IF(IF(AK68&lt;AL68*(1-$C$7),AL68*(1-$C$5-IF(AJ68&lt;3,$C$8,0)),MIN(AL68*(1-$C$5-IF(AJ68&lt;3,$C$8,0)),AK68*(1-$C$6-IF(AJ68&lt;3,$C$8,0))))&lt;10,$C$9,IF(IF(AK68&lt;AL68*(1-$C$7),AL68*(1-$C$5-IF(AJ68&lt;3,$C$8,0)),MIN(AL68*(1-$C$5-IF(AJ68&lt;3,$C$8,0)),AK68*(1-$C$6-IF(AJ68&lt;3,$C$8,0))))&lt;100,$D$9,$E$9)))))</f>
        <v>9</v>
      </c>
      <c r="AP68" s="60" t="str">
        <f aca="false">IF(ISNUMBER($D68),$D68,"n/a")</f>
        <v>n/a</v>
      </c>
      <c r="AQ68" s="63" t="str">
        <f aca="false">IF(OR(AJ68=0,NOT(ISNUMBER($D68))),"—",AO68/$D68-1)</f>
        <v>—</v>
      </c>
      <c r="AR68" s="64" t="n">
        <f aca="false">IF(AJ68=0,"—",AO68/AK68-1)</f>
        <v>0.198402130492676</v>
      </c>
      <c r="AS68" s="64" t="n">
        <f aca="false">IF(AJ68=0,"—",AO68/AL68-1)</f>
        <v>-0.25</v>
      </c>
      <c r="AT68" s="59" t="n">
        <f aca="false">COUNTIFS(Offers!$B$7:$B$3000,$B68,Offers!$C$7:$C$3000,"Romania",Offers!$AI$7:$AI$3000,"yes")</f>
        <v>5</v>
      </c>
      <c r="AU68" s="60" t="n">
        <f aca="false">IF(AT68=0,"—",SUMIFS(Review!$I$7:$I$600,Review!$B$7:$B$600,$B68,Review!$C$7:$C$600,"Romania"))</f>
        <v>5</v>
      </c>
      <c r="AV68" s="60" t="n">
        <f aca="false">IF(AT68=0,"—",SUMIFS(Review!$J$7:$J$600,Review!$B$7:$B$600,$B68,Review!$C$7:$C$600,"Romania"))</f>
        <v>9.220027</v>
      </c>
      <c r="AW68" s="60" t="n">
        <f aca="false">IF(AT68=0,"—",SUMIFS(Review!$K$7:$K$600,Review!$B$7:$B$600,$B68,Review!$C$7:$C$600,"Romania"))</f>
        <v>13.814883</v>
      </c>
      <c r="AX68" s="61" t="str">
        <f aca="false">IF(AT68=0,"—",IF(AU68&lt;AV68*(1-$C$7),"median (cheapest is an outlier)",IF(AU68*(1-$C$6)&lt;AV68*(1-$C$5),"undercut cheapest","median")))</f>
        <v>median (cheapest is an outlier)</v>
      </c>
      <c r="AY68" s="62" t="n">
        <f aca="false">IF(AT68=0,"—",IF(AND(ISNUMBER($D68),$D68*(1+$C$10)&gt;FLOOR(IF(AU68&lt;AV68*(1-$C$7),AV68*(1-$C$5-IF(AT68&lt;3,$C$8,0)),MIN(AV68*(1-$C$5-IF(AT68&lt;3,$C$8,0)),AU68*(1-$C$6-IF(AT68&lt;3,$C$8,0)))),IF(IF(AU68&lt;AV68*(1-$C$7),AV68*(1-$C$5-IF(AT68&lt;3,$C$8,0)),MIN(AV68*(1-$C$5-IF(AT68&lt;3,$C$8,0)),AU68*(1-$C$6-IF(AT68&lt;3,$C$8,0))))&lt;10,$C$9,IF(IF(AU68&lt;AV68*(1-$C$7),AV68*(1-$C$5-IF(AT68&lt;3,$C$8,0)),MIN(AV68*(1-$C$5-IF(AT68&lt;3,$C$8,0)),AU68*(1-$C$6-IF(AT68&lt;3,$C$8,0))))&lt;100,$D$9,$E$9)))),ROUND($D68*(1+$C$10),2),FLOOR(IF(AU68&lt;AV68*(1-$C$7),AV68*(1-$C$5-IF(AT68&lt;3,$C$8,0)),MIN(AV68*(1-$C$5-IF(AT68&lt;3,$C$8,0)),AU68*(1-$C$6-IF(AT68&lt;3,$C$8,0)))),IF(IF(AU68&lt;AV68*(1-$C$7),AV68*(1-$C$5-IF(AT68&lt;3,$C$8,0)),MIN(AV68*(1-$C$5-IF(AT68&lt;3,$C$8,0)),AU68*(1-$C$6-IF(AT68&lt;3,$C$8,0))))&lt;10,$C$9,IF(IF(AU68&lt;AV68*(1-$C$7),AV68*(1-$C$5-IF(AT68&lt;3,$C$8,0)),MIN(AV68*(1-$C$5-IF(AT68&lt;3,$C$8,0)),AU68*(1-$C$6-IF(AT68&lt;3,$C$8,0))))&lt;100,$D$9,$E$9)))))</f>
        <v>6.9</v>
      </c>
      <c r="AZ68" s="62" t="n">
        <f aca="false">IF(AT68=0,"—",FLOOR(AY68*Sources!$G$9,0.1))</f>
        <v>36.4</v>
      </c>
      <c r="BA68" s="60" t="str">
        <f aca="false">IF(ISNUMBER($D68),$D68,"n/a")</f>
        <v>n/a</v>
      </c>
      <c r="BB68" s="63" t="str">
        <f aca="false">IF(OR(AT68=0,NOT(ISNUMBER($D68))),"—",AY68/$D68-1)</f>
        <v>—</v>
      </c>
      <c r="BC68" s="64" t="n">
        <f aca="false">IF(AT68=0,"—",AY68/AU68-1)</f>
        <v>0.38</v>
      </c>
      <c r="BD68" s="64" t="n">
        <f aca="false">IF(AT68=0,"—",AY68/AV68-1)</f>
        <v>-0.251629089589434</v>
      </c>
      <c r="BE68" s="59" t="n">
        <f aca="false">COUNTIFS(Offers!$B$7:$B$3000,$B68,Offers!$C$7:$C$3000,"Hungary",Offers!$AI$7:$AI$3000,"yes")</f>
        <v>0</v>
      </c>
      <c r="BF68" s="60" t="str">
        <f aca="false">IF(BE68=0,"—",SUMIFS(Review!$I$7:$I$600,Review!$B$7:$B$600,$B68,Review!$C$7:$C$600,"Hungary"))</f>
        <v>—</v>
      </c>
      <c r="BG68" s="60" t="str">
        <f aca="false">IF(BE68=0,"—",SUMIFS(Review!$J$7:$J$600,Review!$B$7:$B$600,$B68,Review!$C$7:$C$600,"Hungary"))</f>
        <v>—</v>
      </c>
      <c r="BH68" s="60" t="str">
        <f aca="false">IF(BE68=0,"—",SUMIFS(Review!$K$7:$K$600,Review!$B$7:$B$600,$B68,Review!$C$7:$C$600,"Hungary"))</f>
        <v>—</v>
      </c>
      <c r="BI68" s="61" t="str">
        <f aca="false">IF(BE68=0,"—",IF(BF68&lt;BG68*(1-$C$7),"median (cheapest is an outlier)",IF(BF68*(1-$C$6)&lt;BG68*(1-$C$5),"undercut cheapest","median")))</f>
        <v>—</v>
      </c>
      <c r="BJ68" s="62" t="str">
        <f aca="false">IF(BE68=0,"—",IF(AND(ISNUMBER($D68),$D68*(1+$C$10)&gt;FLOOR(IF(BF68&lt;BG68*(1-$C$7),BG68*(1-$C$5-IF(BE68&lt;3,$C$8,0)),MIN(BG68*(1-$C$5-IF(BE68&lt;3,$C$8,0)),BF68*(1-$C$6-IF(BE68&lt;3,$C$8,0)))),IF(IF(BF68&lt;BG68*(1-$C$7),BG68*(1-$C$5-IF(BE68&lt;3,$C$8,0)),MIN(BG68*(1-$C$5-IF(BE68&lt;3,$C$8,0)),BF68*(1-$C$6-IF(BE68&lt;3,$C$8,0))))&lt;10,$C$9,IF(IF(BF68&lt;BG68*(1-$C$7),BG68*(1-$C$5-IF(BE68&lt;3,$C$8,0)),MIN(BG68*(1-$C$5-IF(BE68&lt;3,$C$8,0)),BF68*(1-$C$6-IF(BE68&lt;3,$C$8,0))))&lt;100,$D$9,$E$9)))),ROUND($D68*(1+$C$10),2),FLOOR(IF(BF68&lt;BG68*(1-$C$7),BG68*(1-$C$5-IF(BE68&lt;3,$C$8,0)),MIN(BG68*(1-$C$5-IF(BE68&lt;3,$C$8,0)),BF68*(1-$C$6-IF(BE68&lt;3,$C$8,0)))),IF(IF(BF68&lt;BG68*(1-$C$7),BG68*(1-$C$5-IF(BE68&lt;3,$C$8,0)),MIN(BG68*(1-$C$5-IF(BE68&lt;3,$C$8,0)),BF68*(1-$C$6-IF(BE68&lt;3,$C$8,0))))&lt;10,$C$9,IF(IF(BF68&lt;BG68*(1-$C$7),BG68*(1-$C$5-IF(BE68&lt;3,$C$8,0)),MIN(BG68*(1-$C$5-IF(BE68&lt;3,$C$8,0)),BF68*(1-$C$6-IF(BE68&lt;3,$C$8,0))))&lt;100,$D$9,$E$9)))))</f>
        <v>—</v>
      </c>
      <c r="BK68" s="65" t="str">
        <f aca="false">IF(BE68=0,"—",FLOOR(BJ68*Sources!$G$8,10))</f>
        <v>—</v>
      </c>
      <c r="BL68" s="60" t="str">
        <f aca="false">IF(ISNUMBER($D68),$D68,"n/a")</f>
        <v>n/a</v>
      </c>
      <c r="BM68" s="63" t="str">
        <f aca="false">IF(OR(BE68=0,NOT(ISNUMBER($D68))),"—",BJ68/$D68-1)</f>
        <v>—</v>
      </c>
      <c r="BN68" s="64" t="str">
        <f aca="false">IF(BE68=0,"—",BJ68/BF68-1)</f>
        <v>—</v>
      </c>
      <c r="BO68" s="64" t="str">
        <f aca="false">IF(BE68=0,"—",BJ68/BG68-1)</f>
        <v>—</v>
      </c>
    </row>
    <row r="69" customFormat="false" ht="15" hidden="false" customHeight="false" outlineLevel="0" collapsed="false">
      <c r="B69" s="1" t="s">
        <v>85</v>
      </c>
      <c r="C69" s="1" t="s">
        <v>194</v>
      </c>
      <c r="D69" s="58"/>
      <c r="E69" s="59" t="n">
        <f aca="false">COUNTIFS(Offers!$B$7:$B$3000,$B69,Offers!$C$7:$C$3000,"Austria",Offers!$AI$7:$AI$3000,"yes")</f>
        <v>7</v>
      </c>
      <c r="F69" s="60" t="n">
        <f aca="false">IF(E69=0,"—",SUMIFS(Review!$I$7:$I$600,Review!$B$7:$B$600,$B69,Review!$C$7:$C$600,"Austria"))</f>
        <v>8.7</v>
      </c>
      <c r="G69" s="60" t="n">
        <f aca="false">IF(E69=0,"—",SUMIFS(Review!$J$7:$J$600,Review!$B$7:$B$600,$B69,Review!$C$7:$C$600,"Austria"))</f>
        <v>14.66</v>
      </c>
      <c r="H69" s="60" t="n">
        <f aca="false">IF(E69=0,"—",SUMIFS(Review!$K$7:$K$600,Review!$B$7:$B$600,$B69,Review!$C$7:$C$600,"Austria"))</f>
        <v>21.38</v>
      </c>
      <c r="I69" s="61" t="str">
        <f aca="false">IF(E69=0,"—",IF(F69&lt;G69*(1-$C$7),"median (cheapest is an outlier)",IF(F69*(1-$C$6)&lt;G69*(1-$C$5),"undercut cheapest","median")))</f>
        <v>median (cheapest is an outlier)</v>
      </c>
      <c r="J69" s="62" t="n">
        <f aca="false">IF(E69=0,"—",IF(AND(ISNUMBER($D69),$D69*(1+$C$10)&gt;FLOOR(IF(F69&lt;G69*(1-$C$7),G69*(1-$C$5-IF(E69&lt;3,$C$8,0)),MIN(G69*(1-$C$5-IF(E69&lt;3,$C$8,0)),F69*(1-$C$6-IF(E69&lt;3,$C$8,0)))),IF(IF(F69&lt;G69*(1-$C$7),G69*(1-$C$5-IF(E69&lt;3,$C$8,0)),MIN(G69*(1-$C$5-IF(E69&lt;3,$C$8,0)),F69*(1-$C$6-IF(E69&lt;3,$C$8,0))))&lt;10,$C$9,IF(IF(F69&lt;G69*(1-$C$7),G69*(1-$C$5-IF(E69&lt;3,$C$8,0)),MIN(G69*(1-$C$5-IF(E69&lt;3,$C$8,0)),F69*(1-$C$6-IF(E69&lt;3,$C$8,0))))&lt;100,$D$9,$E$9)))),ROUND($D69*(1+$C$10),2),FLOOR(IF(F69&lt;G69*(1-$C$7),G69*(1-$C$5-IF(E69&lt;3,$C$8,0)),MIN(G69*(1-$C$5-IF(E69&lt;3,$C$8,0)),F69*(1-$C$6-IF(E69&lt;3,$C$8,0)))),IF(IF(F69&lt;G69*(1-$C$7),G69*(1-$C$5-IF(E69&lt;3,$C$8,0)),MIN(G69*(1-$C$5-IF(E69&lt;3,$C$8,0)),F69*(1-$C$6-IF(E69&lt;3,$C$8,0))))&lt;10,$C$9,IF(IF(F69&lt;G69*(1-$C$7),G69*(1-$C$5-IF(E69&lt;3,$C$8,0)),MIN(G69*(1-$C$5-IF(E69&lt;3,$C$8,0)),F69*(1-$C$6-IF(E69&lt;3,$C$8,0))))&lt;100,$D$9,$E$9)))))</f>
        <v>10.9</v>
      </c>
      <c r="K69" s="60" t="str">
        <f aca="false">IF(ISNUMBER($D69),$D69,"n/a")</f>
        <v>n/a</v>
      </c>
      <c r="L69" s="63" t="str">
        <f aca="false">IF(OR(E69=0,NOT(ISNUMBER($D69))),"—",J69/$D69-1)</f>
        <v>—</v>
      </c>
      <c r="M69" s="64" t="n">
        <f aca="false">IF(E69=0,"—",J69/F69-1)</f>
        <v>0.252873563218391</v>
      </c>
      <c r="N69" s="64" t="n">
        <f aca="false">IF(E69=0,"—",J69/G69-1)</f>
        <v>-0.256480218281037</v>
      </c>
      <c r="O69" s="59" t="n">
        <f aca="false">COUNTIFS(Offers!$B$7:$B$3000,$B69,Offers!$C$7:$C$3000,"Germany",Offers!$AI$7:$AI$3000,"yes")</f>
        <v>7</v>
      </c>
      <c r="P69" s="60" t="n">
        <f aca="false">IF(O69=0,"—",SUMIFS(Review!$I$7:$I$600,Review!$B$7:$B$600,$B69,Review!$C$7:$C$600,"Germany"))</f>
        <v>8.9</v>
      </c>
      <c r="Q69" s="60" t="n">
        <f aca="false">IF(O69=0,"—",SUMIFS(Review!$J$7:$J$600,Review!$B$7:$B$600,$B69,Review!$C$7:$C$600,"Germany"))</f>
        <v>10.6</v>
      </c>
      <c r="R69" s="60" t="n">
        <f aca="false">IF(O69=0,"—",SUMIFS(Review!$K$7:$K$600,Review!$B$7:$B$600,$B69,Review!$C$7:$C$600,"Germany"))</f>
        <v>33.6</v>
      </c>
      <c r="S69" s="61" t="str">
        <f aca="false">IF(O69=0,"—",IF(P69&lt;Q69*(1-$C$7),"median (cheapest is an outlier)",IF(P69*(1-$C$6)&lt;Q69*(1-$C$5),"undercut cheapest","median")))</f>
        <v>median</v>
      </c>
      <c r="T69" s="62" t="n">
        <f aca="false">IF(O69=0,"—",IF(AND(ISNUMBER($D69),$D69*(1+$C$10)&gt;FLOOR(IF(P69&lt;Q69*(1-$C$7),Q69*(1-$C$5-IF(O69&lt;3,$C$8,0)),MIN(Q69*(1-$C$5-IF(O69&lt;3,$C$8,0)),P69*(1-$C$6-IF(O69&lt;3,$C$8,0)))),IF(IF(P69&lt;Q69*(1-$C$7),Q69*(1-$C$5-IF(O69&lt;3,$C$8,0)),MIN(Q69*(1-$C$5-IF(O69&lt;3,$C$8,0)),P69*(1-$C$6-IF(O69&lt;3,$C$8,0))))&lt;10,$C$9,IF(IF(P69&lt;Q69*(1-$C$7),Q69*(1-$C$5-IF(O69&lt;3,$C$8,0)),MIN(Q69*(1-$C$5-IF(O69&lt;3,$C$8,0)),P69*(1-$C$6-IF(O69&lt;3,$C$8,0))))&lt;100,$D$9,$E$9)))),ROUND($D69*(1+$C$10),2),FLOOR(IF(P69&lt;Q69*(1-$C$7),Q69*(1-$C$5-IF(O69&lt;3,$C$8,0)),MIN(Q69*(1-$C$5-IF(O69&lt;3,$C$8,0)),P69*(1-$C$6-IF(O69&lt;3,$C$8,0)))),IF(IF(P69&lt;Q69*(1-$C$7),Q69*(1-$C$5-IF(O69&lt;3,$C$8,0)),MIN(Q69*(1-$C$5-IF(O69&lt;3,$C$8,0)),P69*(1-$C$6-IF(O69&lt;3,$C$8,0))))&lt;10,$C$9,IF(IF(P69&lt;Q69*(1-$C$7),Q69*(1-$C$5-IF(O69&lt;3,$C$8,0)),MIN(Q69*(1-$C$5-IF(O69&lt;3,$C$8,0)),P69*(1-$C$6-IF(O69&lt;3,$C$8,0))))&lt;100,$D$9,$E$9)))))</f>
        <v>7.95</v>
      </c>
      <c r="U69" s="60" t="str">
        <f aca="false">IF(ISNUMBER($D69),$D69,"n/a")</f>
        <v>n/a</v>
      </c>
      <c r="V69" s="63" t="str">
        <f aca="false">IF(OR(O69=0,NOT(ISNUMBER($D69))),"—",T69/$D69-1)</f>
        <v>—</v>
      </c>
      <c r="W69" s="64" t="n">
        <f aca="false">IF(O69=0,"—",T69/P69-1)</f>
        <v>-0.106741573033708</v>
      </c>
      <c r="X69" s="64" t="n">
        <f aca="false">IF(O69=0,"—",T69/Q69-1)</f>
        <v>-0.25</v>
      </c>
      <c r="Y69" s="59" t="n">
        <f aca="false">COUNTIFS(Offers!$B$7:$B$3000,$B69,Offers!$C$7:$C$3000,"Czech",Offers!$AI$7:$AI$3000,"yes")</f>
        <v>5</v>
      </c>
      <c r="Z69" s="60" t="n">
        <f aca="false">IF(Y69=0,"—",SUMIFS(Review!$I$7:$I$600,Review!$B$7:$B$600,$B69,Review!$C$7:$C$600,"Czech"))</f>
        <v>7.918156</v>
      </c>
      <c r="AA69" s="60" t="n">
        <f aca="false">IF(Y69=0,"—",SUMIFS(Review!$J$7:$J$600,Review!$B$7:$B$600,$B69,Review!$C$7:$C$600,"Czech"))</f>
        <v>14.415147</v>
      </c>
      <c r="AB69" s="60" t="n">
        <f aca="false">IF(Y69=0,"—",SUMIFS(Review!$K$7:$K$600,Review!$B$7:$B$600,$B69,Review!$C$7:$C$600,"Czech"))</f>
        <v>16.787031</v>
      </c>
      <c r="AC69" s="61" t="str">
        <f aca="false">IF(Y69=0,"—",IF(Z69&lt;AA69*(1-$C$7),"median (cheapest is an outlier)",IF(Z69*(1-$C$6)&lt;AA69*(1-$C$5),"undercut cheapest","median")))</f>
        <v>median (cheapest is an outlier)</v>
      </c>
      <c r="AD69" s="62" t="n">
        <f aca="false">IF(Y69=0,"—",IF(AND(ISNUMBER($D69),$D69*(1+$C$10)&gt;FLOOR(IF(Z69&lt;AA69*(1-$C$7),AA69*(1-$C$5-IF(Y69&lt;3,$C$8,0)),MIN(AA69*(1-$C$5-IF(Y69&lt;3,$C$8,0)),Z69*(1-$C$6-IF(Y69&lt;3,$C$8,0)))),IF(IF(Z69&lt;AA69*(1-$C$7),AA69*(1-$C$5-IF(Y69&lt;3,$C$8,0)),MIN(AA69*(1-$C$5-IF(Y69&lt;3,$C$8,0)),Z69*(1-$C$6-IF(Y69&lt;3,$C$8,0))))&lt;10,$C$9,IF(IF(Z69&lt;AA69*(1-$C$7),AA69*(1-$C$5-IF(Y69&lt;3,$C$8,0)),MIN(AA69*(1-$C$5-IF(Y69&lt;3,$C$8,0)),Z69*(1-$C$6-IF(Y69&lt;3,$C$8,0))))&lt;100,$D$9,$E$9)))),ROUND($D69*(1+$C$10),2),FLOOR(IF(Z69&lt;AA69*(1-$C$7),AA69*(1-$C$5-IF(Y69&lt;3,$C$8,0)),MIN(AA69*(1-$C$5-IF(Y69&lt;3,$C$8,0)),Z69*(1-$C$6-IF(Y69&lt;3,$C$8,0)))),IF(IF(Z69&lt;AA69*(1-$C$7),AA69*(1-$C$5-IF(Y69&lt;3,$C$8,0)),MIN(AA69*(1-$C$5-IF(Y69&lt;3,$C$8,0)),Z69*(1-$C$6-IF(Y69&lt;3,$C$8,0))))&lt;10,$C$9,IF(IF(Z69&lt;AA69*(1-$C$7),AA69*(1-$C$5-IF(Y69&lt;3,$C$8,0)),MIN(AA69*(1-$C$5-IF(Y69&lt;3,$C$8,0)),Z69*(1-$C$6-IF(Y69&lt;3,$C$8,0))))&lt;100,$D$9,$E$9)))))</f>
        <v>10.8</v>
      </c>
      <c r="AE69" s="65" t="n">
        <f aca="false">IF(Y69=0,"—",FLOOR(AD69*Sources!$G$10,1))</f>
        <v>263</v>
      </c>
      <c r="AF69" s="60" t="str">
        <f aca="false">IF(ISNUMBER($D69),$D69,"n/a")</f>
        <v>n/a</v>
      </c>
      <c r="AG69" s="63" t="str">
        <f aca="false">IF(OR(Y69=0,NOT(ISNUMBER($D69))),"—",AD69/$D69-1)</f>
        <v>—</v>
      </c>
      <c r="AH69" s="64" t="n">
        <f aca="false">IF(Y69=0,"—",AD69/Z69-1)</f>
        <v>0.363953930687903</v>
      </c>
      <c r="AI69" s="64" t="n">
        <f aca="false">IF(Y69=0,"—",AD69/AA69-1)</f>
        <v>-0.250788077291199</v>
      </c>
      <c r="AJ69" s="59" t="n">
        <f aca="false">COUNTIFS(Offers!$B$7:$B$3000,$B69,Offers!$C$7:$C$3000,"Slovakia",Offers!$AI$7:$AI$3000,"yes")</f>
        <v>5</v>
      </c>
      <c r="AK69" s="60" t="n">
        <f aca="false">IF(AJ69=0,"—",SUMIFS(Review!$I$7:$I$600,Review!$B$7:$B$600,$B69,Review!$C$7:$C$600,"Slovakia"))</f>
        <v>8.93</v>
      </c>
      <c r="AL69" s="60" t="n">
        <f aca="false">IF(AJ69=0,"—",SUMIFS(Review!$J$7:$J$600,Review!$B$7:$B$600,$B69,Review!$C$7:$C$600,"Slovakia"))</f>
        <v>13.5</v>
      </c>
      <c r="AM69" s="60" t="n">
        <f aca="false">IF(AJ69=0,"—",SUMIFS(Review!$K$7:$K$600,Review!$B$7:$B$600,$B69,Review!$C$7:$C$600,"Slovakia"))</f>
        <v>18.09</v>
      </c>
      <c r="AN69" s="61" t="str">
        <f aca="false">IF(AJ69=0,"—",IF(AK69&lt;AL69*(1-$C$7),"median (cheapest is an outlier)",IF(AK69*(1-$C$6)&lt;AL69*(1-$C$5),"undercut cheapest","median")))</f>
        <v>undercut cheapest</v>
      </c>
      <c r="AO69" s="62" t="n">
        <f aca="false">IF(AJ69=0,"—",IF(AND(ISNUMBER($D69),$D69*(1+$C$10)&gt;FLOOR(IF(AK69&lt;AL69*(1-$C$7),AL69*(1-$C$5-IF(AJ69&lt;3,$C$8,0)),MIN(AL69*(1-$C$5-IF(AJ69&lt;3,$C$8,0)),AK69*(1-$C$6-IF(AJ69&lt;3,$C$8,0)))),IF(IF(AK69&lt;AL69*(1-$C$7),AL69*(1-$C$5-IF(AJ69&lt;3,$C$8,0)),MIN(AL69*(1-$C$5-IF(AJ69&lt;3,$C$8,0)),AK69*(1-$C$6-IF(AJ69&lt;3,$C$8,0))))&lt;10,$C$9,IF(IF(AK69&lt;AL69*(1-$C$7),AL69*(1-$C$5-IF(AJ69&lt;3,$C$8,0)),MIN(AL69*(1-$C$5-IF(AJ69&lt;3,$C$8,0)),AK69*(1-$C$6-IF(AJ69&lt;3,$C$8,0))))&lt;100,$D$9,$E$9)))),ROUND($D69*(1+$C$10),2),FLOOR(IF(AK69&lt;AL69*(1-$C$7),AL69*(1-$C$5-IF(AJ69&lt;3,$C$8,0)),MIN(AL69*(1-$C$5-IF(AJ69&lt;3,$C$8,0)),AK69*(1-$C$6-IF(AJ69&lt;3,$C$8,0)))),IF(IF(AK69&lt;AL69*(1-$C$7),AL69*(1-$C$5-IF(AJ69&lt;3,$C$8,0)),MIN(AL69*(1-$C$5-IF(AJ69&lt;3,$C$8,0)),AK69*(1-$C$6-IF(AJ69&lt;3,$C$8,0))))&lt;10,$C$9,IF(IF(AK69&lt;AL69*(1-$C$7),AL69*(1-$C$5-IF(AJ69&lt;3,$C$8,0)),MIN(AL69*(1-$C$5-IF(AJ69&lt;3,$C$8,0)),AK69*(1-$C$6-IF(AJ69&lt;3,$C$8,0))))&lt;100,$D$9,$E$9)))))</f>
        <v>8.45</v>
      </c>
      <c r="AP69" s="60" t="str">
        <f aca="false">IF(ISNUMBER($D69),$D69,"n/a")</f>
        <v>n/a</v>
      </c>
      <c r="AQ69" s="63" t="str">
        <f aca="false">IF(OR(AJ69=0,NOT(ISNUMBER($D69))),"—",AO69/$D69-1)</f>
        <v>—</v>
      </c>
      <c r="AR69" s="64" t="n">
        <f aca="false">IF(AJ69=0,"—",AO69/AK69-1)</f>
        <v>-0.0537513997760357</v>
      </c>
      <c r="AS69" s="64" t="n">
        <f aca="false">IF(AJ69=0,"—",AO69/AL69-1)</f>
        <v>-0.374074074074074</v>
      </c>
      <c r="AT69" s="59" t="n">
        <f aca="false">COUNTIFS(Offers!$B$7:$B$3000,$B69,Offers!$C$7:$C$3000,"Romania",Offers!$AI$7:$AI$3000,"yes")</f>
        <v>5</v>
      </c>
      <c r="AU69" s="60" t="n">
        <f aca="false">IF(AT69=0,"—",SUMIFS(Review!$I$7:$I$600,Review!$B$7:$B$600,$B69,Review!$C$7:$C$600,"Romania"))</f>
        <v>10.140893</v>
      </c>
      <c r="AV69" s="60" t="n">
        <f aca="false">IF(AT69=0,"—",SUMIFS(Review!$J$7:$J$600,Review!$B$7:$B$600,$B69,Review!$C$7:$C$600,"Romania"))</f>
        <v>12.204315</v>
      </c>
      <c r="AW69" s="60" t="n">
        <f aca="false">IF(AT69=0,"—",SUMIFS(Review!$K$7:$K$600,Review!$B$7:$B$600,$B69,Review!$C$7:$C$600,"Romania"))</f>
        <v>15.679352</v>
      </c>
      <c r="AX69" s="61" t="str">
        <f aca="false">IF(AT69=0,"—",IF(AU69&lt;AV69*(1-$C$7),"median (cheapest is an outlier)",IF(AU69*(1-$C$6)&lt;AV69*(1-$C$5),"undercut cheapest","median")))</f>
        <v>median</v>
      </c>
      <c r="AY69" s="62" t="n">
        <f aca="false">IF(AT69=0,"—",IF(AND(ISNUMBER($D69),$D69*(1+$C$10)&gt;FLOOR(IF(AU69&lt;AV69*(1-$C$7),AV69*(1-$C$5-IF(AT69&lt;3,$C$8,0)),MIN(AV69*(1-$C$5-IF(AT69&lt;3,$C$8,0)),AU69*(1-$C$6-IF(AT69&lt;3,$C$8,0)))),IF(IF(AU69&lt;AV69*(1-$C$7),AV69*(1-$C$5-IF(AT69&lt;3,$C$8,0)),MIN(AV69*(1-$C$5-IF(AT69&lt;3,$C$8,0)),AU69*(1-$C$6-IF(AT69&lt;3,$C$8,0))))&lt;10,$C$9,IF(IF(AU69&lt;AV69*(1-$C$7),AV69*(1-$C$5-IF(AT69&lt;3,$C$8,0)),MIN(AV69*(1-$C$5-IF(AT69&lt;3,$C$8,0)),AU69*(1-$C$6-IF(AT69&lt;3,$C$8,0))))&lt;100,$D$9,$E$9)))),ROUND($D69*(1+$C$10),2),FLOOR(IF(AU69&lt;AV69*(1-$C$7),AV69*(1-$C$5-IF(AT69&lt;3,$C$8,0)),MIN(AV69*(1-$C$5-IF(AT69&lt;3,$C$8,0)),AU69*(1-$C$6-IF(AT69&lt;3,$C$8,0)))),IF(IF(AU69&lt;AV69*(1-$C$7),AV69*(1-$C$5-IF(AT69&lt;3,$C$8,0)),MIN(AV69*(1-$C$5-IF(AT69&lt;3,$C$8,0)),AU69*(1-$C$6-IF(AT69&lt;3,$C$8,0))))&lt;10,$C$9,IF(IF(AU69&lt;AV69*(1-$C$7),AV69*(1-$C$5-IF(AT69&lt;3,$C$8,0)),MIN(AV69*(1-$C$5-IF(AT69&lt;3,$C$8,0)),AU69*(1-$C$6-IF(AT69&lt;3,$C$8,0))))&lt;100,$D$9,$E$9)))))</f>
        <v>9.15</v>
      </c>
      <c r="AZ69" s="62" t="n">
        <f aca="false">IF(AT69=0,"—",FLOOR(AY69*Sources!$G$9,0.1))</f>
        <v>48.2</v>
      </c>
      <c r="BA69" s="60" t="str">
        <f aca="false">IF(ISNUMBER($D69),$D69,"n/a")</f>
        <v>n/a</v>
      </c>
      <c r="BB69" s="63" t="str">
        <f aca="false">IF(OR(AT69=0,NOT(ISNUMBER($D69))),"—",AY69/$D69-1)</f>
        <v>—</v>
      </c>
      <c r="BC69" s="64" t="n">
        <f aca="false">IF(AT69=0,"—",AY69/AU69-1)</f>
        <v>-0.0977125978944852</v>
      </c>
      <c r="BD69" s="64" t="n">
        <f aca="false">IF(AT69=0,"—",AY69/AV69-1)</f>
        <v>-0.250265172604935</v>
      </c>
      <c r="BE69" s="59" t="n">
        <f aca="false">COUNTIFS(Offers!$B$7:$B$3000,$B69,Offers!$C$7:$C$3000,"Hungary",Offers!$AI$7:$AI$3000,"yes")</f>
        <v>0</v>
      </c>
      <c r="BF69" s="60" t="str">
        <f aca="false">IF(BE69=0,"—",SUMIFS(Review!$I$7:$I$600,Review!$B$7:$B$600,$B69,Review!$C$7:$C$600,"Hungary"))</f>
        <v>—</v>
      </c>
      <c r="BG69" s="60" t="str">
        <f aca="false">IF(BE69=0,"—",SUMIFS(Review!$J$7:$J$600,Review!$B$7:$B$600,$B69,Review!$C$7:$C$600,"Hungary"))</f>
        <v>—</v>
      </c>
      <c r="BH69" s="60" t="str">
        <f aca="false">IF(BE69=0,"—",SUMIFS(Review!$K$7:$K$600,Review!$B$7:$B$600,$B69,Review!$C$7:$C$600,"Hungary"))</f>
        <v>—</v>
      </c>
      <c r="BI69" s="61" t="str">
        <f aca="false">IF(BE69=0,"—",IF(BF69&lt;BG69*(1-$C$7),"median (cheapest is an outlier)",IF(BF69*(1-$C$6)&lt;BG69*(1-$C$5),"undercut cheapest","median")))</f>
        <v>—</v>
      </c>
      <c r="BJ69" s="62" t="str">
        <f aca="false">IF(BE69=0,"—",IF(AND(ISNUMBER($D69),$D69*(1+$C$10)&gt;FLOOR(IF(BF69&lt;BG69*(1-$C$7),BG69*(1-$C$5-IF(BE69&lt;3,$C$8,0)),MIN(BG69*(1-$C$5-IF(BE69&lt;3,$C$8,0)),BF69*(1-$C$6-IF(BE69&lt;3,$C$8,0)))),IF(IF(BF69&lt;BG69*(1-$C$7),BG69*(1-$C$5-IF(BE69&lt;3,$C$8,0)),MIN(BG69*(1-$C$5-IF(BE69&lt;3,$C$8,0)),BF69*(1-$C$6-IF(BE69&lt;3,$C$8,0))))&lt;10,$C$9,IF(IF(BF69&lt;BG69*(1-$C$7),BG69*(1-$C$5-IF(BE69&lt;3,$C$8,0)),MIN(BG69*(1-$C$5-IF(BE69&lt;3,$C$8,0)),BF69*(1-$C$6-IF(BE69&lt;3,$C$8,0))))&lt;100,$D$9,$E$9)))),ROUND($D69*(1+$C$10),2),FLOOR(IF(BF69&lt;BG69*(1-$C$7),BG69*(1-$C$5-IF(BE69&lt;3,$C$8,0)),MIN(BG69*(1-$C$5-IF(BE69&lt;3,$C$8,0)),BF69*(1-$C$6-IF(BE69&lt;3,$C$8,0)))),IF(IF(BF69&lt;BG69*(1-$C$7),BG69*(1-$C$5-IF(BE69&lt;3,$C$8,0)),MIN(BG69*(1-$C$5-IF(BE69&lt;3,$C$8,0)),BF69*(1-$C$6-IF(BE69&lt;3,$C$8,0))))&lt;10,$C$9,IF(IF(BF69&lt;BG69*(1-$C$7),BG69*(1-$C$5-IF(BE69&lt;3,$C$8,0)),MIN(BG69*(1-$C$5-IF(BE69&lt;3,$C$8,0)),BF69*(1-$C$6-IF(BE69&lt;3,$C$8,0))))&lt;100,$D$9,$E$9)))))</f>
        <v>—</v>
      </c>
      <c r="BK69" s="65" t="str">
        <f aca="false">IF(BE69=0,"—",FLOOR(BJ69*Sources!$G$8,10))</f>
        <v>—</v>
      </c>
      <c r="BL69" s="60" t="str">
        <f aca="false">IF(ISNUMBER($D69),$D69,"n/a")</f>
        <v>n/a</v>
      </c>
      <c r="BM69" s="63" t="str">
        <f aca="false">IF(OR(BE69=0,NOT(ISNUMBER($D69))),"—",BJ69/$D69-1)</f>
        <v>—</v>
      </c>
      <c r="BN69" s="64" t="str">
        <f aca="false">IF(BE69=0,"—",BJ69/BF69-1)</f>
        <v>—</v>
      </c>
      <c r="BO69" s="64" t="str">
        <f aca="false">IF(BE69=0,"—",BJ69/BG69-1)</f>
        <v>—</v>
      </c>
    </row>
    <row r="70" customFormat="false" ht="15" hidden="false" customHeight="false" outlineLevel="0" collapsed="false">
      <c r="B70" s="1" t="s">
        <v>86</v>
      </c>
      <c r="C70" s="1" t="s">
        <v>195</v>
      </c>
      <c r="D70" s="58"/>
      <c r="E70" s="59" t="n">
        <f aca="false">COUNTIFS(Offers!$B$7:$B$3000,$B70,Offers!$C$7:$C$3000,"Austria",Offers!$AI$7:$AI$3000,"yes")</f>
        <v>7</v>
      </c>
      <c r="F70" s="60" t="n">
        <f aca="false">IF(E70=0,"—",SUMIFS(Review!$I$7:$I$600,Review!$B$7:$B$600,$B70,Review!$C$7:$C$600,"Austria"))</f>
        <v>11</v>
      </c>
      <c r="G70" s="60" t="n">
        <f aca="false">IF(E70=0,"—",SUMIFS(Review!$J$7:$J$600,Review!$B$7:$B$600,$B70,Review!$C$7:$C$600,"Austria"))</f>
        <v>17.5</v>
      </c>
      <c r="H70" s="60" t="n">
        <f aca="false">IF(E70=0,"—",SUMIFS(Review!$K$7:$K$600,Review!$B$7:$B$600,$B70,Review!$C$7:$C$600,"Austria"))</f>
        <v>27.38</v>
      </c>
      <c r="I70" s="61" t="str">
        <f aca="false">IF(E70=0,"—",IF(F70&lt;G70*(1-$C$7),"median (cheapest is an outlier)",IF(F70*(1-$C$6)&lt;G70*(1-$C$5),"undercut cheapest","median")))</f>
        <v>median (cheapest is an outlier)</v>
      </c>
      <c r="J70" s="62" t="n">
        <f aca="false">IF(E70=0,"—",IF(AND(ISNUMBER($D70),$D70*(1+$C$10)&gt;FLOOR(IF(F70&lt;G70*(1-$C$7),G70*(1-$C$5-IF(E70&lt;3,$C$8,0)),MIN(G70*(1-$C$5-IF(E70&lt;3,$C$8,0)),F70*(1-$C$6-IF(E70&lt;3,$C$8,0)))),IF(IF(F70&lt;G70*(1-$C$7),G70*(1-$C$5-IF(E70&lt;3,$C$8,0)),MIN(G70*(1-$C$5-IF(E70&lt;3,$C$8,0)),F70*(1-$C$6-IF(E70&lt;3,$C$8,0))))&lt;10,$C$9,IF(IF(F70&lt;G70*(1-$C$7),G70*(1-$C$5-IF(E70&lt;3,$C$8,0)),MIN(G70*(1-$C$5-IF(E70&lt;3,$C$8,0)),F70*(1-$C$6-IF(E70&lt;3,$C$8,0))))&lt;100,$D$9,$E$9)))),ROUND($D70*(1+$C$10),2),FLOOR(IF(F70&lt;G70*(1-$C$7),G70*(1-$C$5-IF(E70&lt;3,$C$8,0)),MIN(G70*(1-$C$5-IF(E70&lt;3,$C$8,0)),F70*(1-$C$6-IF(E70&lt;3,$C$8,0)))),IF(IF(F70&lt;G70*(1-$C$7),G70*(1-$C$5-IF(E70&lt;3,$C$8,0)),MIN(G70*(1-$C$5-IF(E70&lt;3,$C$8,0)),F70*(1-$C$6-IF(E70&lt;3,$C$8,0))))&lt;10,$C$9,IF(IF(F70&lt;G70*(1-$C$7),G70*(1-$C$5-IF(E70&lt;3,$C$8,0)),MIN(G70*(1-$C$5-IF(E70&lt;3,$C$8,0)),F70*(1-$C$6-IF(E70&lt;3,$C$8,0))))&lt;100,$D$9,$E$9)))))</f>
        <v>13.1</v>
      </c>
      <c r="K70" s="60" t="str">
        <f aca="false">IF(ISNUMBER($D70),$D70,"n/a")</f>
        <v>n/a</v>
      </c>
      <c r="L70" s="63" t="str">
        <f aca="false">IF(OR(E70=0,NOT(ISNUMBER($D70))),"—",J70/$D70-1)</f>
        <v>—</v>
      </c>
      <c r="M70" s="64" t="n">
        <f aca="false">IF(E70=0,"—",J70/F70-1)</f>
        <v>0.190909090909091</v>
      </c>
      <c r="N70" s="64" t="n">
        <f aca="false">IF(E70=0,"—",J70/G70-1)</f>
        <v>-0.251428571428571</v>
      </c>
      <c r="O70" s="59" t="n">
        <f aca="false">COUNTIFS(Offers!$B$7:$B$3000,$B70,Offers!$C$7:$C$3000,"Germany",Offers!$AI$7:$AI$3000,"yes")</f>
        <v>7</v>
      </c>
      <c r="P70" s="60" t="n">
        <f aca="false">IF(O70=0,"—",SUMIFS(Review!$I$7:$I$600,Review!$B$7:$B$600,$B70,Review!$C$7:$C$600,"Germany"))</f>
        <v>11.58</v>
      </c>
      <c r="Q70" s="60" t="n">
        <f aca="false">IF(O70=0,"—",SUMIFS(Review!$J$7:$J$600,Review!$B$7:$B$600,$B70,Review!$C$7:$C$600,"Germany"))</f>
        <v>15.79</v>
      </c>
      <c r="R70" s="60" t="n">
        <f aca="false">IF(O70=0,"—",SUMIFS(Review!$K$7:$K$600,Review!$B$7:$B$600,$B70,Review!$C$7:$C$600,"Germany"))</f>
        <v>36</v>
      </c>
      <c r="S70" s="61" t="str">
        <f aca="false">IF(O70=0,"—",IF(P70&lt;Q70*(1-$C$7),"median (cheapest is an outlier)",IF(P70*(1-$C$6)&lt;Q70*(1-$C$5),"undercut cheapest","median")))</f>
        <v>undercut cheapest</v>
      </c>
      <c r="T70" s="62" t="n">
        <f aca="false">IF(O70=0,"—",IF(AND(ISNUMBER($D70),$D70*(1+$C$10)&gt;FLOOR(IF(P70&lt;Q70*(1-$C$7),Q70*(1-$C$5-IF(O70&lt;3,$C$8,0)),MIN(Q70*(1-$C$5-IF(O70&lt;3,$C$8,0)),P70*(1-$C$6-IF(O70&lt;3,$C$8,0)))),IF(IF(P70&lt;Q70*(1-$C$7),Q70*(1-$C$5-IF(O70&lt;3,$C$8,0)),MIN(Q70*(1-$C$5-IF(O70&lt;3,$C$8,0)),P70*(1-$C$6-IF(O70&lt;3,$C$8,0))))&lt;10,$C$9,IF(IF(P70&lt;Q70*(1-$C$7),Q70*(1-$C$5-IF(O70&lt;3,$C$8,0)),MIN(Q70*(1-$C$5-IF(O70&lt;3,$C$8,0)),P70*(1-$C$6-IF(O70&lt;3,$C$8,0))))&lt;100,$D$9,$E$9)))),ROUND($D70*(1+$C$10),2),FLOOR(IF(P70&lt;Q70*(1-$C$7),Q70*(1-$C$5-IF(O70&lt;3,$C$8,0)),MIN(Q70*(1-$C$5-IF(O70&lt;3,$C$8,0)),P70*(1-$C$6-IF(O70&lt;3,$C$8,0)))),IF(IF(P70&lt;Q70*(1-$C$7),Q70*(1-$C$5-IF(O70&lt;3,$C$8,0)),MIN(Q70*(1-$C$5-IF(O70&lt;3,$C$8,0)),P70*(1-$C$6-IF(O70&lt;3,$C$8,0))))&lt;10,$C$9,IF(IF(P70&lt;Q70*(1-$C$7),Q70*(1-$C$5-IF(O70&lt;3,$C$8,0)),MIN(Q70*(1-$C$5-IF(O70&lt;3,$C$8,0)),P70*(1-$C$6-IF(O70&lt;3,$C$8,0))))&lt;100,$D$9,$E$9)))))</f>
        <v>11</v>
      </c>
      <c r="U70" s="60" t="str">
        <f aca="false">IF(ISNUMBER($D70),$D70,"n/a")</f>
        <v>n/a</v>
      </c>
      <c r="V70" s="63" t="str">
        <f aca="false">IF(OR(O70=0,NOT(ISNUMBER($D70))),"—",T70/$D70-1)</f>
        <v>—</v>
      </c>
      <c r="W70" s="64" t="n">
        <f aca="false">IF(O70=0,"—",T70/P70-1)</f>
        <v>-0.0500863557858376</v>
      </c>
      <c r="X70" s="64" t="n">
        <f aca="false">IF(O70=0,"—",T70/Q70-1)</f>
        <v>-0.303356554781507</v>
      </c>
      <c r="Y70" s="59" t="n">
        <f aca="false">COUNTIFS(Offers!$B$7:$B$3000,$B70,Offers!$C$7:$C$3000,"Czech",Offers!$AI$7:$AI$3000,"yes")</f>
        <v>5</v>
      </c>
      <c r="Z70" s="60" t="n">
        <f aca="false">IF(Y70=0,"—",SUMIFS(Review!$I$7:$I$600,Review!$B$7:$B$600,$B70,Review!$C$7:$C$600,"Czech"))</f>
        <v>12.621391</v>
      </c>
      <c r="AA70" s="60" t="n">
        <f aca="false">IF(Y70=0,"—",SUMIFS(Review!$J$7:$J$600,Review!$B$7:$B$600,$B70,Review!$C$7:$C$600,"Czech"))</f>
        <v>18.001839</v>
      </c>
      <c r="AB70" s="60" t="n">
        <f aca="false">IF(Y70=0,"—",SUMIFS(Review!$K$7:$K$600,Review!$B$7:$B$600,$B70,Review!$C$7:$C$600,"Czech"))</f>
        <v>29.111169</v>
      </c>
      <c r="AC70" s="61" t="str">
        <f aca="false">IF(Y70=0,"—",IF(Z70&lt;AA70*(1-$C$7),"median (cheapest is an outlier)",IF(Z70*(1-$C$6)&lt;AA70*(1-$C$5),"undercut cheapest","median")))</f>
        <v>undercut cheapest</v>
      </c>
      <c r="AD70" s="62" t="n">
        <f aca="false">IF(Y70=0,"—",IF(AND(ISNUMBER($D70),$D70*(1+$C$10)&gt;FLOOR(IF(Z70&lt;AA70*(1-$C$7),AA70*(1-$C$5-IF(Y70&lt;3,$C$8,0)),MIN(AA70*(1-$C$5-IF(Y70&lt;3,$C$8,0)),Z70*(1-$C$6-IF(Y70&lt;3,$C$8,0)))),IF(IF(Z70&lt;AA70*(1-$C$7),AA70*(1-$C$5-IF(Y70&lt;3,$C$8,0)),MIN(AA70*(1-$C$5-IF(Y70&lt;3,$C$8,0)),Z70*(1-$C$6-IF(Y70&lt;3,$C$8,0))))&lt;10,$C$9,IF(IF(Z70&lt;AA70*(1-$C$7),AA70*(1-$C$5-IF(Y70&lt;3,$C$8,0)),MIN(AA70*(1-$C$5-IF(Y70&lt;3,$C$8,0)),Z70*(1-$C$6-IF(Y70&lt;3,$C$8,0))))&lt;100,$D$9,$E$9)))),ROUND($D70*(1+$C$10),2),FLOOR(IF(Z70&lt;AA70*(1-$C$7),AA70*(1-$C$5-IF(Y70&lt;3,$C$8,0)),MIN(AA70*(1-$C$5-IF(Y70&lt;3,$C$8,0)),Z70*(1-$C$6-IF(Y70&lt;3,$C$8,0)))),IF(IF(Z70&lt;AA70*(1-$C$7),AA70*(1-$C$5-IF(Y70&lt;3,$C$8,0)),MIN(AA70*(1-$C$5-IF(Y70&lt;3,$C$8,0)),Z70*(1-$C$6-IF(Y70&lt;3,$C$8,0))))&lt;10,$C$9,IF(IF(Z70&lt;AA70*(1-$C$7),AA70*(1-$C$5-IF(Y70&lt;3,$C$8,0)),MIN(AA70*(1-$C$5-IF(Y70&lt;3,$C$8,0)),Z70*(1-$C$6-IF(Y70&lt;3,$C$8,0))))&lt;100,$D$9,$E$9)))))</f>
        <v>11.9</v>
      </c>
      <c r="AE70" s="65" t="n">
        <f aca="false">IF(Y70=0,"—",FLOOR(AD70*Sources!$G$10,1))</f>
        <v>290</v>
      </c>
      <c r="AF70" s="60" t="str">
        <f aca="false">IF(ISNUMBER($D70),$D70,"n/a")</f>
        <v>n/a</v>
      </c>
      <c r="AG70" s="63" t="str">
        <f aca="false">IF(OR(Y70=0,NOT(ISNUMBER($D70))),"—",AD70/$D70-1)</f>
        <v>—</v>
      </c>
      <c r="AH70" s="64" t="n">
        <f aca="false">IF(Y70=0,"—",AD70/Z70-1)</f>
        <v>-0.0571562199443785</v>
      </c>
      <c r="AI70" s="64" t="n">
        <f aca="false">IF(Y70=0,"—",AD70/AA70-1)</f>
        <v>-0.338956425507416</v>
      </c>
      <c r="AJ70" s="59" t="n">
        <f aca="false">COUNTIFS(Offers!$B$7:$B$3000,$B70,Offers!$C$7:$C$3000,"Slovakia",Offers!$AI$7:$AI$3000,"yes")</f>
        <v>5</v>
      </c>
      <c r="AK70" s="60" t="n">
        <f aca="false">IF(AJ70=0,"—",SUMIFS(Review!$I$7:$I$600,Review!$B$7:$B$600,$B70,Review!$C$7:$C$600,"Slovakia"))</f>
        <v>10.61</v>
      </c>
      <c r="AL70" s="60" t="n">
        <f aca="false">IF(AJ70=0,"—",SUMIFS(Review!$J$7:$J$600,Review!$B$7:$B$600,$B70,Review!$C$7:$C$600,"Slovakia"))</f>
        <v>15.63</v>
      </c>
      <c r="AM70" s="60" t="n">
        <f aca="false">IF(AJ70=0,"—",SUMIFS(Review!$K$7:$K$600,Review!$B$7:$B$600,$B70,Review!$C$7:$C$600,"Slovakia"))</f>
        <v>22.68</v>
      </c>
      <c r="AN70" s="61" t="str">
        <f aca="false">IF(AJ70=0,"—",IF(AK70&lt;AL70*(1-$C$7),"median (cheapest is an outlier)",IF(AK70*(1-$C$6)&lt;AL70*(1-$C$5),"undercut cheapest","median")))</f>
        <v>undercut cheapest</v>
      </c>
      <c r="AO70" s="62" t="n">
        <f aca="false">IF(AJ70=0,"—",IF(AND(ISNUMBER($D70),$D70*(1+$C$10)&gt;FLOOR(IF(AK70&lt;AL70*(1-$C$7),AL70*(1-$C$5-IF(AJ70&lt;3,$C$8,0)),MIN(AL70*(1-$C$5-IF(AJ70&lt;3,$C$8,0)),AK70*(1-$C$6-IF(AJ70&lt;3,$C$8,0)))),IF(IF(AK70&lt;AL70*(1-$C$7),AL70*(1-$C$5-IF(AJ70&lt;3,$C$8,0)),MIN(AL70*(1-$C$5-IF(AJ70&lt;3,$C$8,0)),AK70*(1-$C$6-IF(AJ70&lt;3,$C$8,0))))&lt;10,$C$9,IF(IF(AK70&lt;AL70*(1-$C$7),AL70*(1-$C$5-IF(AJ70&lt;3,$C$8,0)),MIN(AL70*(1-$C$5-IF(AJ70&lt;3,$C$8,0)),AK70*(1-$C$6-IF(AJ70&lt;3,$C$8,0))))&lt;100,$D$9,$E$9)))),ROUND($D70*(1+$C$10),2),FLOOR(IF(AK70&lt;AL70*(1-$C$7),AL70*(1-$C$5-IF(AJ70&lt;3,$C$8,0)),MIN(AL70*(1-$C$5-IF(AJ70&lt;3,$C$8,0)),AK70*(1-$C$6-IF(AJ70&lt;3,$C$8,0)))),IF(IF(AK70&lt;AL70*(1-$C$7),AL70*(1-$C$5-IF(AJ70&lt;3,$C$8,0)),MIN(AL70*(1-$C$5-IF(AJ70&lt;3,$C$8,0)),AK70*(1-$C$6-IF(AJ70&lt;3,$C$8,0))))&lt;10,$C$9,IF(IF(AK70&lt;AL70*(1-$C$7),AL70*(1-$C$5-IF(AJ70&lt;3,$C$8,0)),MIN(AL70*(1-$C$5-IF(AJ70&lt;3,$C$8,0)),AK70*(1-$C$6-IF(AJ70&lt;3,$C$8,0))))&lt;100,$D$9,$E$9)))))</f>
        <v>10</v>
      </c>
      <c r="AP70" s="60" t="str">
        <f aca="false">IF(ISNUMBER($D70),$D70,"n/a")</f>
        <v>n/a</v>
      </c>
      <c r="AQ70" s="63" t="str">
        <f aca="false">IF(OR(AJ70=0,NOT(ISNUMBER($D70))),"—",AO70/$D70-1)</f>
        <v>—</v>
      </c>
      <c r="AR70" s="64" t="n">
        <f aca="false">IF(AJ70=0,"—",AO70/AK70-1)</f>
        <v>-0.057492931196984</v>
      </c>
      <c r="AS70" s="64" t="n">
        <f aca="false">IF(AJ70=0,"—",AO70/AL70-1)</f>
        <v>-0.360204734484965</v>
      </c>
      <c r="AT70" s="59" t="n">
        <f aca="false">COUNTIFS(Offers!$B$7:$B$3000,$B70,Offers!$C$7:$C$3000,"Romania",Offers!$AI$7:$AI$3000,"yes")</f>
        <v>5</v>
      </c>
      <c r="AU70" s="60" t="n">
        <f aca="false">IF(AT70=0,"—",SUMIFS(Review!$I$7:$I$600,Review!$B$7:$B$600,$B70,Review!$C$7:$C$600,"Romania"))</f>
        <v>11.128077</v>
      </c>
      <c r="AV70" s="60" t="n">
        <f aca="false">IF(AT70=0,"—",SUMIFS(Review!$J$7:$J$600,Review!$B$7:$B$600,$B70,Review!$C$7:$C$600,"Romania"))</f>
        <v>14.821014</v>
      </c>
      <c r="AW70" s="60" t="n">
        <f aca="false">IF(AT70=0,"—",SUMIFS(Review!$K$7:$K$600,Review!$B$7:$B$600,$B70,Review!$C$7:$C$600,"Romania"))</f>
        <v>23.866721</v>
      </c>
      <c r="AX70" s="61" t="str">
        <f aca="false">IF(AT70=0,"—",IF(AU70&lt;AV70*(1-$C$7),"median (cheapest is an outlier)",IF(AU70*(1-$C$6)&lt;AV70*(1-$C$5),"undercut cheapest","median")))</f>
        <v>undercut cheapest</v>
      </c>
      <c r="AY70" s="62" t="n">
        <f aca="false">IF(AT70=0,"—",IF(AND(ISNUMBER($D70),$D70*(1+$C$10)&gt;FLOOR(IF(AU70&lt;AV70*(1-$C$7),AV70*(1-$C$5-IF(AT70&lt;3,$C$8,0)),MIN(AV70*(1-$C$5-IF(AT70&lt;3,$C$8,0)),AU70*(1-$C$6-IF(AT70&lt;3,$C$8,0)))),IF(IF(AU70&lt;AV70*(1-$C$7),AV70*(1-$C$5-IF(AT70&lt;3,$C$8,0)),MIN(AV70*(1-$C$5-IF(AT70&lt;3,$C$8,0)),AU70*(1-$C$6-IF(AT70&lt;3,$C$8,0))))&lt;10,$C$9,IF(IF(AU70&lt;AV70*(1-$C$7),AV70*(1-$C$5-IF(AT70&lt;3,$C$8,0)),MIN(AV70*(1-$C$5-IF(AT70&lt;3,$C$8,0)),AU70*(1-$C$6-IF(AT70&lt;3,$C$8,0))))&lt;100,$D$9,$E$9)))),ROUND($D70*(1+$C$10),2),FLOOR(IF(AU70&lt;AV70*(1-$C$7),AV70*(1-$C$5-IF(AT70&lt;3,$C$8,0)),MIN(AV70*(1-$C$5-IF(AT70&lt;3,$C$8,0)),AU70*(1-$C$6-IF(AT70&lt;3,$C$8,0)))),IF(IF(AU70&lt;AV70*(1-$C$7),AV70*(1-$C$5-IF(AT70&lt;3,$C$8,0)),MIN(AV70*(1-$C$5-IF(AT70&lt;3,$C$8,0)),AU70*(1-$C$6-IF(AT70&lt;3,$C$8,0))))&lt;10,$C$9,IF(IF(AU70&lt;AV70*(1-$C$7),AV70*(1-$C$5-IF(AT70&lt;3,$C$8,0)),MIN(AV70*(1-$C$5-IF(AT70&lt;3,$C$8,0)),AU70*(1-$C$6-IF(AT70&lt;3,$C$8,0))))&lt;100,$D$9,$E$9)))))</f>
        <v>10.5</v>
      </c>
      <c r="AZ70" s="62" t="n">
        <f aca="false">IF(AT70=0,"—",FLOOR(AY70*Sources!$G$9,0.1))</f>
        <v>55.4</v>
      </c>
      <c r="BA70" s="60" t="str">
        <f aca="false">IF(ISNUMBER($D70),$D70,"n/a")</f>
        <v>n/a</v>
      </c>
      <c r="BB70" s="63" t="str">
        <f aca="false">IF(OR(AT70=0,NOT(ISNUMBER($D70))),"—",AY70/$D70-1)</f>
        <v>—</v>
      </c>
      <c r="BC70" s="64" t="n">
        <f aca="false">IF(AT70=0,"—",AY70/AU70-1)</f>
        <v>-0.0564407489272405</v>
      </c>
      <c r="BD70" s="64" t="n">
        <f aca="false">IF(AT70=0,"—",AY70/AV70-1)</f>
        <v>-0.291546448846213</v>
      </c>
      <c r="BE70" s="59" t="n">
        <f aca="false">COUNTIFS(Offers!$B$7:$B$3000,$B70,Offers!$C$7:$C$3000,"Hungary",Offers!$AI$7:$AI$3000,"yes")</f>
        <v>0</v>
      </c>
      <c r="BF70" s="60" t="str">
        <f aca="false">IF(BE70=0,"—",SUMIFS(Review!$I$7:$I$600,Review!$B$7:$B$600,$B70,Review!$C$7:$C$600,"Hungary"))</f>
        <v>—</v>
      </c>
      <c r="BG70" s="60" t="str">
        <f aca="false">IF(BE70=0,"—",SUMIFS(Review!$J$7:$J$600,Review!$B$7:$B$600,$B70,Review!$C$7:$C$600,"Hungary"))</f>
        <v>—</v>
      </c>
      <c r="BH70" s="60" t="str">
        <f aca="false">IF(BE70=0,"—",SUMIFS(Review!$K$7:$K$600,Review!$B$7:$B$600,$B70,Review!$C$7:$C$600,"Hungary"))</f>
        <v>—</v>
      </c>
      <c r="BI70" s="61" t="str">
        <f aca="false">IF(BE70=0,"—",IF(BF70&lt;BG70*(1-$C$7),"median (cheapest is an outlier)",IF(BF70*(1-$C$6)&lt;BG70*(1-$C$5),"undercut cheapest","median")))</f>
        <v>—</v>
      </c>
      <c r="BJ70" s="62" t="str">
        <f aca="false">IF(BE70=0,"—",IF(AND(ISNUMBER($D70),$D70*(1+$C$10)&gt;FLOOR(IF(BF70&lt;BG70*(1-$C$7),BG70*(1-$C$5-IF(BE70&lt;3,$C$8,0)),MIN(BG70*(1-$C$5-IF(BE70&lt;3,$C$8,0)),BF70*(1-$C$6-IF(BE70&lt;3,$C$8,0)))),IF(IF(BF70&lt;BG70*(1-$C$7),BG70*(1-$C$5-IF(BE70&lt;3,$C$8,0)),MIN(BG70*(1-$C$5-IF(BE70&lt;3,$C$8,0)),BF70*(1-$C$6-IF(BE70&lt;3,$C$8,0))))&lt;10,$C$9,IF(IF(BF70&lt;BG70*(1-$C$7),BG70*(1-$C$5-IF(BE70&lt;3,$C$8,0)),MIN(BG70*(1-$C$5-IF(BE70&lt;3,$C$8,0)),BF70*(1-$C$6-IF(BE70&lt;3,$C$8,0))))&lt;100,$D$9,$E$9)))),ROUND($D70*(1+$C$10),2),FLOOR(IF(BF70&lt;BG70*(1-$C$7),BG70*(1-$C$5-IF(BE70&lt;3,$C$8,0)),MIN(BG70*(1-$C$5-IF(BE70&lt;3,$C$8,0)),BF70*(1-$C$6-IF(BE70&lt;3,$C$8,0)))),IF(IF(BF70&lt;BG70*(1-$C$7),BG70*(1-$C$5-IF(BE70&lt;3,$C$8,0)),MIN(BG70*(1-$C$5-IF(BE70&lt;3,$C$8,0)),BF70*(1-$C$6-IF(BE70&lt;3,$C$8,0))))&lt;10,$C$9,IF(IF(BF70&lt;BG70*(1-$C$7),BG70*(1-$C$5-IF(BE70&lt;3,$C$8,0)),MIN(BG70*(1-$C$5-IF(BE70&lt;3,$C$8,0)),BF70*(1-$C$6-IF(BE70&lt;3,$C$8,0))))&lt;100,$D$9,$E$9)))))</f>
        <v>—</v>
      </c>
      <c r="BK70" s="65" t="str">
        <f aca="false">IF(BE70=0,"—",FLOOR(BJ70*Sources!$G$8,10))</f>
        <v>—</v>
      </c>
      <c r="BL70" s="60" t="str">
        <f aca="false">IF(ISNUMBER($D70),$D70,"n/a")</f>
        <v>n/a</v>
      </c>
      <c r="BM70" s="63" t="str">
        <f aca="false">IF(OR(BE70=0,NOT(ISNUMBER($D70))),"—",BJ70/$D70-1)</f>
        <v>—</v>
      </c>
      <c r="BN70" s="64" t="str">
        <f aca="false">IF(BE70=0,"—",BJ70/BF70-1)</f>
        <v>—</v>
      </c>
      <c r="BO70" s="64" t="str">
        <f aca="false">IF(BE70=0,"—",BJ70/BG70-1)</f>
        <v>—</v>
      </c>
    </row>
    <row r="71" customFormat="false" ht="15" hidden="false" customHeight="false" outlineLevel="0" collapsed="false">
      <c r="B71" s="1" t="s">
        <v>87</v>
      </c>
      <c r="C71" s="1" t="s">
        <v>196</v>
      </c>
      <c r="D71" s="58"/>
      <c r="E71" s="59" t="n">
        <f aca="false">COUNTIFS(Offers!$B$7:$B$3000,$B71,Offers!$C$7:$C$3000,"Austria",Offers!$AI$7:$AI$3000,"yes")</f>
        <v>4</v>
      </c>
      <c r="F71" s="60" t="n">
        <f aca="false">IF(E71=0,"—",SUMIFS(Review!$I$7:$I$600,Review!$B$7:$B$600,$B71,Review!$C$7:$C$600,"Austria"))</f>
        <v>3.7</v>
      </c>
      <c r="G71" s="60" t="n">
        <f aca="false">IF(E71=0,"—",SUMIFS(Review!$J$7:$J$600,Review!$B$7:$B$600,$B71,Review!$C$7:$C$600,"Austria"))</f>
        <v>4.29</v>
      </c>
      <c r="H71" s="60" t="n">
        <f aca="false">IF(E71=0,"—",SUMIFS(Review!$K$7:$K$600,Review!$B$7:$B$600,$B71,Review!$C$7:$C$600,"Austria"))</f>
        <v>7.99</v>
      </c>
      <c r="I71" s="61" t="str">
        <f aca="false">IF(E71=0,"—",IF(F71&lt;G71*(1-$C$7),"median (cheapest is an outlier)",IF(F71*(1-$C$6)&lt;G71*(1-$C$5),"undercut cheapest","median")))</f>
        <v>median</v>
      </c>
      <c r="J71" s="62" t="n">
        <f aca="false">IF(E71=0,"—",IF(AND(ISNUMBER($D71),$D71*(1+$C$10)&gt;FLOOR(IF(F71&lt;G71*(1-$C$7),G71*(1-$C$5-IF(E71&lt;3,$C$8,0)),MIN(G71*(1-$C$5-IF(E71&lt;3,$C$8,0)),F71*(1-$C$6-IF(E71&lt;3,$C$8,0)))),IF(IF(F71&lt;G71*(1-$C$7),G71*(1-$C$5-IF(E71&lt;3,$C$8,0)),MIN(G71*(1-$C$5-IF(E71&lt;3,$C$8,0)),F71*(1-$C$6-IF(E71&lt;3,$C$8,0))))&lt;10,$C$9,IF(IF(F71&lt;G71*(1-$C$7),G71*(1-$C$5-IF(E71&lt;3,$C$8,0)),MIN(G71*(1-$C$5-IF(E71&lt;3,$C$8,0)),F71*(1-$C$6-IF(E71&lt;3,$C$8,0))))&lt;100,$D$9,$E$9)))),ROUND($D71*(1+$C$10),2),FLOOR(IF(F71&lt;G71*(1-$C$7),G71*(1-$C$5-IF(E71&lt;3,$C$8,0)),MIN(G71*(1-$C$5-IF(E71&lt;3,$C$8,0)),F71*(1-$C$6-IF(E71&lt;3,$C$8,0)))),IF(IF(F71&lt;G71*(1-$C$7),G71*(1-$C$5-IF(E71&lt;3,$C$8,0)),MIN(G71*(1-$C$5-IF(E71&lt;3,$C$8,0)),F71*(1-$C$6-IF(E71&lt;3,$C$8,0))))&lt;10,$C$9,IF(IF(F71&lt;G71*(1-$C$7),G71*(1-$C$5-IF(E71&lt;3,$C$8,0)),MIN(G71*(1-$C$5-IF(E71&lt;3,$C$8,0)),F71*(1-$C$6-IF(E71&lt;3,$C$8,0))))&lt;100,$D$9,$E$9)))))</f>
        <v>3.2</v>
      </c>
      <c r="K71" s="60" t="str">
        <f aca="false">IF(ISNUMBER($D71),$D71,"n/a")</f>
        <v>n/a</v>
      </c>
      <c r="L71" s="63" t="str">
        <f aca="false">IF(OR(E71=0,NOT(ISNUMBER($D71))),"—",J71/$D71-1)</f>
        <v>—</v>
      </c>
      <c r="M71" s="64" t="n">
        <f aca="false">IF(E71=0,"—",J71/F71-1)</f>
        <v>-0.135135135135135</v>
      </c>
      <c r="N71" s="64" t="n">
        <f aca="false">IF(E71=0,"—",J71/G71-1)</f>
        <v>-0.254079254079254</v>
      </c>
      <c r="O71" s="59" t="n">
        <f aca="false">COUNTIFS(Offers!$B$7:$B$3000,$B71,Offers!$C$7:$C$3000,"Germany",Offers!$AI$7:$AI$3000,"yes")</f>
        <v>7</v>
      </c>
      <c r="P71" s="60" t="n">
        <f aca="false">IF(O71=0,"—",SUMIFS(Review!$I$7:$I$600,Review!$B$7:$B$600,$B71,Review!$C$7:$C$600,"Germany"))</f>
        <v>2.9</v>
      </c>
      <c r="Q71" s="60" t="n">
        <f aca="false">IF(O71=0,"—",SUMIFS(Review!$J$7:$J$600,Review!$B$7:$B$600,$B71,Review!$C$7:$C$600,"Germany"))</f>
        <v>4.33</v>
      </c>
      <c r="R71" s="60" t="n">
        <f aca="false">IF(O71=0,"—",SUMIFS(Review!$K$7:$K$600,Review!$B$7:$B$600,$B71,Review!$C$7:$C$600,"Germany"))</f>
        <v>14</v>
      </c>
      <c r="S71" s="61" t="str">
        <f aca="false">IF(O71=0,"—",IF(P71&lt;Q71*(1-$C$7),"median (cheapest is an outlier)",IF(P71*(1-$C$6)&lt;Q71*(1-$C$5),"undercut cheapest","median")))</f>
        <v>undercut cheapest</v>
      </c>
      <c r="T71" s="62" t="n">
        <f aca="false">IF(O71=0,"—",IF(AND(ISNUMBER($D71),$D71*(1+$C$10)&gt;FLOOR(IF(P71&lt;Q71*(1-$C$7),Q71*(1-$C$5-IF(O71&lt;3,$C$8,0)),MIN(Q71*(1-$C$5-IF(O71&lt;3,$C$8,0)),P71*(1-$C$6-IF(O71&lt;3,$C$8,0)))),IF(IF(P71&lt;Q71*(1-$C$7),Q71*(1-$C$5-IF(O71&lt;3,$C$8,0)),MIN(Q71*(1-$C$5-IF(O71&lt;3,$C$8,0)),P71*(1-$C$6-IF(O71&lt;3,$C$8,0))))&lt;10,$C$9,IF(IF(P71&lt;Q71*(1-$C$7),Q71*(1-$C$5-IF(O71&lt;3,$C$8,0)),MIN(Q71*(1-$C$5-IF(O71&lt;3,$C$8,0)),P71*(1-$C$6-IF(O71&lt;3,$C$8,0))))&lt;100,$D$9,$E$9)))),ROUND($D71*(1+$C$10),2),FLOOR(IF(P71&lt;Q71*(1-$C$7),Q71*(1-$C$5-IF(O71&lt;3,$C$8,0)),MIN(Q71*(1-$C$5-IF(O71&lt;3,$C$8,0)),P71*(1-$C$6-IF(O71&lt;3,$C$8,0)))),IF(IF(P71&lt;Q71*(1-$C$7),Q71*(1-$C$5-IF(O71&lt;3,$C$8,0)),MIN(Q71*(1-$C$5-IF(O71&lt;3,$C$8,0)),P71*(1-$C$6-IF(O71&lt;3,$C$8,0))))&lt;10,$C$9,IF(IF(P71&lt;Q71*(1-$C$7),Q71*(1-$C$5-IF(O71&lt;3,$C$8,0)),MIN(Q71*(1-$C$5-IF(O71&lt;3,$C$8,0)),P71*(1-$C$6-IF(O71&lt;3,$C$8,0))))&lt;100,$D$9,$E$9)))))</f>
        <v>2.75</v>
      </c>
      <c r="U71" s="60" t="str">
        <f aca="false">IF(ISNUMBER($D71),$D71,"n/a")</f>
        <v>n/a</v>
      </c>
      <c r="V71" s="63" t="str">
        <f aca="false">IF(OR(O71=0,NOT(ISNUMBER($D71))),"—",T71/$D71-1)</f>
        <v>—</v>
      </c>
      <c r="W71" s="64" t="n">
        <f aca="false">IF(O71=0,"—",T71/P71-1)</f>
        <v>-0.0517241379310345</v>
      </c>
      <c r="X71" s="64" t="n">
        <f aca="false">IF(O71=0,"—",T71/Q71-1)</f>
        <v>-0.364896073903002</v>
      </c>
      <c r="Y71" s="59" t="n">
        <f aca="false">COUNTIFS(Offers!$B$7:$B$3000,$B71,Offers!$C$7:$C$3000,"Czech",Offers!$AI$7:$AI$3000,"yes")</f>
        <v>5</v>
      </c>
      <c r="Z71" s="60" t="n">
        <f aca="false">IF(Y71=0,"—",SUMIFS(Review!$I$7:$I$600,Review!$B$7:$B$600,$B71,Review!$C$7:$C$600,"Czech"))</f>
        <v>3.248495</v>
      </c>
      <c r="AA71" s="60" t="n">
        <f aca="false">IF(Y71=0,"—",SUMIFS(Review!$J$7:$J$600,Review!$B$7:$B$600,$B71,Review!$C$7:$C$600,"Czech"))</f>
        <v>4.838759</v>
      </c>
      <c r="AB71" s="60" t="n">
        <f aca="false">IF(Y71=0,"—",SUMIFS(Review!$K$7:$K$600,Review!$B$7:$B$600,$B71,Review!$C$7:$C$600,"Czech"))</f>
        <v>11.471274</v>
      </c>
      <c r="AC71" s="61" t="str">
        <f aca="false">IF(Y71=0,"—",IF(Z71&lt;AA71*(1-$C$7),"median (cheapest is an outlier)",IF(Z71*(1-$C$6)&lt;AA71*(1-$C$5),"undercut cheapest","median")))</f>
        <v>undercut cheapest</v>
      </c>
      <c r="AD71" s="62" t="n">
        <f aca="false">IF(Y71=0,"—",IF(AND(ISNUMBER($D71),$D71*(1+$C$10)&gt;FLOOR(IF(Z71&lt;AA71*(1-$C$7),AA71*(1-$C$5-IF(Y71&lt;3,$C$8,0)),MIN(AA71*(1-$C$5-IF(Y71&lt;3,$C$8,0)),Z71*(1-$C$6-IF(Y71&lt;3,$C$8,0)))),IF(IF(Z71&lt;AA71*(1-$C$7),AA71*(1-$C$5-IF(Y71&lt;3,$C$8,0)),MIN(AA71*(1-$C$5-IF(Y71&lt;3,$C$8,0)),Z71*(1-$C$6-IF(Y71&lt;3,$C$8,0))))&lt;10,$C$9,IF(IF(Z71&lt;AA71*(1-$C$7),AA71*(1-$C$5-IF(Y71&lt;3,$C$8,0)),MIN(AA71*(1-$C$5-IF(Y71&lt;3,$C$8,0)),Z71*(1-$C$6-IF(Y71&lt;3,$C$8,0))))&lt;100,$D$9,$E$9)))),ROUND($D71*(1+$C$10),2),FLOOR(IF(Z71&lt;AA71*(1-$C$7),AA71*(1-$C$5-IF(Y71&lt;3,$C$8,0)),MIN(AA71*(1-$C$5-IF(Y71&lt;3,$C$8,0)),Z71*(1-$C$6-IF(Y71&lt;3,$C$8,0)))),IF(IF(Z71&lt;AA71*(1-$C$7),AA71*(1-$C$5-IF(Y71&lt;3,$C$8,0)),MIN(AA71*(1-$C$5-IF(Y71&lt;3,$C$8,0)),Z71*(1-$C$6-IF(Y71&lt;3,$C$8,0))))&lt;10,$C$9,IF(IF(Z71&lt;AA71*(1-$C$7),AA71*(1-$C$5-IF(Y71&lt;3,$C$8,0)),MIN(AA71*(1-$C$5-IF(Y71&lt;3,$C$8,0)),Z71*(1-$C$6-IF(Y71&lt;3,$C$8,0))))&lt;100,$D$9,$E$9)))))</f>
        <v>3.05</v>
      </c>
      <c r="AE71" s="65" t="n">
        <f aca="false">IF(Y71=0,"—",FLOOR(AD71*Sources!$G$10,1))</f>
        <v>74</v>
      </c>
      <c r="AF71" s="60" t="str">
        <f aca="false">IF(ISNUMBER($D71),$D71,"n/a")</f>
        <v>n/a</v>
      </c>
      <c r="AG71" s="63" t="str">
        <f aca="false">IF(OR(Y71=0,NOT(ISNUMBER($D71))),"—",AD71/$D71-1)</f>
        <v>—</v>
      </c>
      <c r="AH71" s="64" t="n">
        <f aca="false">IF(Y71=0,"—",AD71/Z71-1)</f>
        <v>-0.0611036803196556</v>
      </c>
      <c r="AI71" s="64" t="n">
        <f aca="false">IF(Y71=0,"—",AD71/AA71-1)</f>
        <v>-0.369673091798951</v>
      </c>
      <c r="AJ71" s="59" t="n">
        <f aca="false">COUNTIFS(Offers!$B$7:$B$3000,$B71,Offers!$C$7:$C$3000,"Slovakia",Offers!$AI$7:$AI$3000,"yes")</f>
        <v>4</v>
      </c>
      <c r="AK71" s="60" t="n">
        <f aca="false">IF(AJ71=0,"—",SUMIFS(Review!$I$7:$I$600,Review!$B$7:$B$600,$B71,Review!$C$7:$C$600,"Slovakia"))</f>
        <v>2.45</v>
      </c>
      <c r="AL71" s="60" t="n">
        <f aca="false">IF(AJ71=0,"—",SUMIFS(Review!$J$7:$J$600,Review!$B$7:$B$600,$B71,Review!$C$7:$C$600,"Slovakia"))</f>
        <v>3.96</v>
      </c>
      <c r="AM71" s="60" t="n">
        <f aca="false">IF(AJ71=0,"—",SUMIFS(Review!$K$7:$K$600,Review!$B$7:$B$600,$B71,Review!$C$7:$C$600,"Slovakia"))</f>
        <v>8.71</v>
      </c>
      <c r="AN71" s="61" t="str">
        <f aca="false">IF(AJ71=0,"—",IF(AK71&lt;AL71*(1-$C$7),"median (cheapest is an outlier)",IF(AK71*(1-$C$6)&lt;AL71*(1-$C$5),"undercut cheapest","median")))</f>
        <v>median (cheapest is an outlier)</v>
      </c>
      <c r="AO71" s="62" t="n">
        <f aca="false">IF(AJ71=0,"—",IF(AND(ISNUMBER($D71),$D71*(1+$C$10)&gt;FLOOR(IF(AK71&lt;AL71*(1-$C$7),AL71*(1-$C$5-IF(AJ71&lt;3,$C$8,0)),MIN(AL71*(1-$C$5-IF(AJ71&lt;3,$C$8,0)),AK71*(1-$C$6-IF(AJ71&lt;3,$C$8,0)))),IF(IF(AK71&lt;AL71*(1-$C$7),AL71*(1-$C$5-IF(AJ71&lt;3,$C$8,0)),MIN(AL71*(1-$C$5-IF(AJ71&lt;3,$C$8,0)),AK71*(1-$C$6-IF(AJ71&lt;3,$C$8,0))))&lt;10,$C$9,IF(IF(AK71&lt;AL71*(1-$C$7),AL71*(1-$C$5-IF(AJ71&lt;3,$C$8,0)),MIN(AL71*(1-$C$5-IF(AJ71&lt;3,$C$8,0)),AK71*(1-$C$6-IF(AJ71&lt;3,$C$8,0))))&lt;100,$D$9,$E$9)))),ROUND($D71*(1+$C$10),2),FLOOR(IF(AK71&lt;AL71*(1-$C$7),AL71*(1-$C$5-IF(AJ71&lt;3,$C$8,0)),MIN(AL71*(1-$C$5-IF(AJ71&lt;3,$C$8,0)),AK71*(1-$C$6-IF(AJ71&lt;3,$C$8,0)))),IF(IF(AK71&lt;AL71*(1-$C$7),AL71*(1-$C$5-IF(AJ71&lt;3,$C$8,0)),MIN(AL71*(1-$C$5-IF(AJ71&lt;3,$C$8,0)),AK71*(1-$C$6-IF(AJ71&lt;3,$C$8,0))))&lt;10,$C$9,IF(IF(AK71&lt;AL71*(1-$C$7),AL71*(1-$C$5-IF(AJ71&lt;3,$C$8,0)),MIN(AL71*(1-$C$5-IF(AJ71&lt;3,$C$8,0)),AK71*(1-$C$6-IF(AJ71&lt;3,$C$8,0))))&lt;100,$D$9,$E$9)))))</f>
        <v>2.95</v>
      </c>
      <c r="AP71" s="60" t="str">
        <f aca="false">IF(ISNUMBER($D71),$D71,"n/a")</f>
        <v>n/a</v>
      </c>
      <c r="AQ71" s="63" t="str">
        <f aca="false">IF(OR(AJ71=0,NOT(ISNUMBER($D71))),"—",AO71/$D71-1)</f>
        <v>—</v>
      </c>
      <c r="AR71" s="64" t="n">
        <f aca="false">IF(AJ71=0,"—",AO71/AK71-1)</f>
        <v>0.204081632653061</v>
      </c>
      <c r="AS71" s="64" t="n">
        <f aca="false">IF(AJ71=0,"—",AO71/AL71-1)</f>
        <v>-0.255050505050505</v>
      </c>
      <c r="AT71" s="59" t="n">
        <f aca="false">COUNTIFS(Offers!$B$7:$B$3000,$B71,Offers!$C$7:$C$3000,"Romania",Offers!$AI$7:$AI$3000,"yes")</f>
        <v>5</v>
      </c>
      <c r="AU71" s="60" t="n">
        <f aca="false">IF(AT71=0,"—",SUMIFS(Review!$I$7:$I$600,Review!$B$7:$B$600,$B71,Review!$C$7:$C$600,"Romania"))</f>
        <v>2</v>
      </c>
      <c r="AV71" s="60" t="n">
        <f aca="false">IF(AT71=0,"—",SUMIFS(Review!$J$7:$J$600,Review!$B$7:$B$600,$B71,Review!$C$7:$C$600,"Romania"))</f>
        <v>4.653594</v>
      </c>
      <c r="AW71" s="60" t="n">
        <f aca="false">IF(AT71=0,"—",SUMIFS(Review!$K$7:$K$600,Review!$B$7:$B$600,$B71,Review!$C$7:$C$600,"Romania"))</f>
        <v>6.408165</v>
      </c>
      <c r="AX71" s="61" t="str">
        <f aca="false">IF(AT71=0,"—",IF(AU71&lt;AV71*(1-$C$7),"median (cheapest is an outlier)",IF(AU71*(1-$C$6)&lt;AV71*(1-$C$5),"undercut cheapest","median")))</f>
        <v>median (cheapest is an outlier)</v>
      </c>
      <c r="AY71" s="62" t="n">
        <f aca="false">IF(AT71=0,"—",IF(AND(ISNUMBER($D71),$D71*(1+$C$10)&gt;FLOOR(IF(AU71&lt;AV71*(1-$C$7),AV71*(1-$C$5-IF(AT71&lt;3,$C$8,0)),MIN(AV71*(1-$C$5-IF(AT71&lt;3,$C$8,0)),AU71*(1-$C$6-IF(AT71&lt;3,$C$8,0)))),IF(IF(AU71&lt;AV71*(1-$C$7),AV71*(1-$C$5-IF(AT71&lt;3,$C$8,0)),MIN(AV71*(1-$C$5-IF(AT71&lt;3,$C$8,0)),AU71*(1-$C$6-IF(AT71&lt;3,$C$8,0))))&lt;10,$C$9,IF(IF(AU71&lt;AV71*(1-$C$7),AV71*(1-$C$5-IF(AT71&lt;3,$C$8,0)),MIN(AV71*(1-$C$5-IF(AT71&lt;3,$C$8,0)),AU71*(1-$C$6-IF(AT71&lt;3,$C$8,0))))&lt;100,$D$9,$E$9)))),ROUND($D71*(1+$C$10),2),FLOOR(IF(AU71&lt;AV71*(1-$C$7),AV71*(1-$C$5-IF(AT71&lt;3,$C$8,0)),MIN(AV71*(1-$C$5-IF(AT71&lt;3,$C$8,0)),AU71*(1-$C$6-IF(AT71&lt;3,$C$8,0)))),IF(IF(AU71&lt;AV71*(1-$C$7),AV71*(1-$C$5-IF(AT71&lt;3,$C$8,0)),MIN(AV71*(1-$C$5-IF(AT71&lt;3,$C$8,0)),AU71*(1-$C$6-IF(AT71&lt;3,$C$8,0))))&lt;10,$C$9,IF(IF(AU71&lt;AV71*(1-$C$7),AV71*(1-$C$5-IF(AT71&lt;3,$C$8,0)),MIN(AV71*(1-$C$5-IF(AT71&lt;3,$C$8,0)),AU71*(1-$C$6-IF(AT71&lt;3,$C$8,0))))&lt;100,$D$9,$E$9)))))</f>
        <v>3.45</v>
      </c>
      <c r="AZ71" s="62" t="n">
        <f aca="false">IF(AT71=0,"—",FLOOR(AY71*Sources!$G$9,0.1))</f>
        <v>18.2</v>
      </c>
      <c r="BA71" s="60" t="str">
        <f aca="false">IF(ISNUMBER($D71),$D71,"n/a")</f>
        <v>n/a</v>
      </c>
      <c r="BB71" s="63" t="str">
        <f aca="false">IF(OR(AT71=0,NOT(ISNUMBER($D71))),"—",AY71/$D71-1)</f>
        <v>—</v>
      </c>
      <c r="BC71" s="64" t="n">
        <f aca="false">IF(AT71=0,"—",AY71/AU71-1)</f>
        <v>0.725</v>
      </c>
      <c r="BD71" s="64" t="n">
        <f aca="false">IF(AT71=0,"—",AY71/AV71-1)</f>
        <v>-0.258637517583184</v>
      </c>
      <c r="BE71" s="59" t="n">
        <f aca="false">COUNTIFS(Offers!$B$7:$B$3000,$B71,Offers!$C$7:$C$3000,"Hungary",Offers!$AI$7:$AI$3000,"yes")</f>
        <v>0</v>
      </c>
      <c r="BF71" s="60" t="str">
        <f aca="false">IF(BE71=0,"—",SUMIFS(Review!$I$7:$I$600,Review!$B$7:$B$600,$B71,Review!$C$7:$C$600,"Hungary"))</f>
        <v>—</v>
      </c>
      <c r="BG71" s="60" t="str">
        <f aca="false">IF(BE71=0,"—",SUMIFS(Review!$J$7:$J$600,Review!$B$7:$B$600,$B71,Review!$C$7:$C$600,"Hungary"))</f>
        <v>—</v>
      </c>
      <c r="BH71" s="60" t="str">
        <f aca="false">IF(BE71=0,"—",SUMIFS(Review!$K$7:$K$600,Review!$B$7:$B$600,$B71,Review!$C$7:$C$600,"Hungary"))</f>
        <v>—</v>
      </c>
      <c r="BI71" s="61" t="str">
        <f aca="false">IF(BE71=0,"—",IF(BF71&lt;BG71*(1-$C$7),"median (cheapest is an outlier)",IF(BF71*(1-$C$6)&lt;BG71*(1-$C$5),"undercut cheapest","median")))</f>
        <v>—</v>
      </c>
      <c r="BJ71" s="62" t="str">
        <f aca="false">IF(BE71=0,"—",IF(AND(ISNUMBER($D71),$D71*(1+$C$10)&gt;FLOOR(IF(BF71&lt;BG71*(1-$C$7),BG71*(1-$C$5-IF(BE71&lt;3,$C$8,0)),MIN(BG71*(1-$C$5-IF(BE71&lt;3,$C$8,0)),BF71*(1-$C$6-IF(BE71&lt;3,$C$8,0)))),IF(IF(BF71&lt;BG71*(1-$C$7),BG71*(1-$C$5-IF(BE71&lt;3,$C$8,0)),MIN(BG71*(1-$C$5-IF(BE71&lt;3,$C$8,0)),BF71*(1-$C$6-IF(BE71&lt;3,$C$8,0))))&lt;10,$C$9,IF(IF(BF71&lt;BG71*(1-$C$7),BG71*(1-$C$5-IF(BE71&lt;3,$C$8,0)),MIN(BG71*(1-$C$5-IF(BE71&lt;3,$C$8,0)),BF71*(1-$C$6-IF(BE71&lt;3,$C$8,0))))&lt;100,$D$9,$E$9)))),ROUND($D71*(1+$C$10),2),FLOOR(IF(BF71&lt;BG71*(1-$C$7),BG71*(1-$C$5-IF(BE71&lt;3,$C$8,0)),MIN(BG71*(1-$C$5-IF(BE71&lt;3,$C$8,0)),BF71*(1-$C$6-IF(BE71&lt;3,$C$8,0)))),IF(IF(BF71&lt;BG71*(1-$C$7),BG71*(1-$C$5-IF(BE71&lt;3,$C$8,0)),MIN(BG71*(1-$C$5-IF(BE71&lt;3,$C$8,0)),BF71*(1-$C$6-IF(BE71&lt;3,$C$8,0))))&lt;10,$C$9,IF(IF(BF71&lt;BG71*(1-$C$7),BG71*(1-$C$5-IF(BE71&lt;3,$C$8,0)),MIN(BG71*(1-$C$5-IF(BE71&lt;3,$C$8,0)),BF71*(1-$C$6-IF(BE71&lt;3,$C$8,0))))&lt;100,$D$9,$E$9)))))</f>
        <v>—</v>
      </c>
      <c r="BK71" s="65" t="str">
        <f aca="false">IF(BE71=0,"—",FLOOR(BJ71*Sources!$G$8,10))</f>
        <v>—</v>
      </c>
      <c r="BL71" s="60" t="str">
        <f aca="false">IF(ISNUMBER($D71),$D71,"n/a")</f>
        <v>n/a</v>
      </c>
      <c r="BM71" s="63" t="str">
        <f aca="false">IF(OR(BE71=0,NOT(ISNUMBER($D71))),"—",BJ71/$D71-1)</f>
        <v>—</v>
      </c>
      <c r="BN71" s="64" t="str">
        <f aca="false">IF(BE71=0,"—",BJ71/BF71-1)</f>
        <v>—</v>
      </c>
      <c r="BO71" s="64" t="str">
        <f aca="false">IF(BE71=0,"—",BJ71/BG71-1)</f>
        <v>—</v>
      </c>
    </row>
    <row r="72" customFormat="false" ht="15" hidden="false" customHeight="false" outlineLevel="0" collapsed="false">
      <c r="B72" s="1" t="s">
        <v>88</v>
      </c>
      <c r="C72" s="1" t="s">
        <v>197</v>
      </c>
      <c r="D72" s="58"/>
      <c r="E72" s="59" t="n">
        <f aca="false">COUNTIFS(Offers!$B$7:$B$3000,$B72,Offers!$C$7:$C$3000,"Austria",Offers!$AI$7:$AI$3000,"yes")</f>
        <v>7</v>
      </c>
      <c r="F72" s="60" t="n">
        <f aca="false">IF(E72=0,"—",SUMIFS(Review!$I$7:$I$600,Review!$B$7:$B$600,$B72,Review!$C$7:$C$600,"Austria"))</f>
        <v>4.2</v>
      </c>
      <c r="G72" s="60" t="n">
        <f aca="false">IF(E72=0,"—",SUMIFS(Review!$J$7:$J$600,Review!$B$7:$B$600,$B72,Review!$C$7:$C$600,"Austria"))</f>
        <v>7.08</v>
      </c>
      <c r="H72" s="60" t="n">
        <f aca="false">IF(E72=0,"—",SUMIFS(Review!$K$7:$K$600,Review!$B$7:$B$600,$B72,Review!$C$7:$C$600,"Austria"))</f>
        <v>18.77</v>
      </c>
      <c r="I72" s="61" t="str">
        <f aca="false">IF(E72=0,"—",IF(F72&lt;G72*(1-$C$7),"median (cheapest is an outlier)",IF(F72*(1-$C$6)&lt;G72*(1-$C$5),"undercut cheapest","median")))</f>
        <v>median (cheapest is an outlier)</v>
      </c>
      <c r="J72" s="62" t="n">
        <f aca="false">IF(E72=0,"—",IF(AND(ISNUMBER($D72),$D72*(1+$C$10)&gt;FLOOR(IF(F72&lt;G72*(1-$C$7),G72*(1-$C$5-IF(E72&lt;3,$C$8,0)),MIN(G72*(1-$C$5-IF(E72&lt;3,$C$8,0)),F72*(1-$C$6-IF(E72&lt;3,$C$8,0)))),IF(IF(F72&lt;G72*(1-$C$7),G72*(1-$C$5-IF(E72&lt;3,$C$8,0)),MIN(G72*(1-$C$5-IF(E72&lt;3,$C$8,0)),F72*(1-$C$6-IF(E72&lt;3,$C$8,0))))&lt;10,$C$9,IF(IF(F72&lt;G72*(1-$C$7),G72*(1-$C$5-IF(E72&lt;3,$C$8,0)),MIN(G72*(1-$C$5-IF(E72&lt;3,$C$8,0)),F72*(1-$C$6-IF(E72&lt;3,$C$8,0))))&lt;100,$D$9,$E$9)))),ROUND($D72*(1+$C$10),2),FLOOR(IF(F72&lt;G72*(1-$C$7),G72*(1-$C$5-IF(E72&lt;3,$C$8,0)),MIN(G72*(1-$C$5-IF(E72&lt;3,$C$8,0)),F72*(1-$C$6-IF(E72&lt;3,$C$8,0)))),IF(IF(F72&lt;G72*(1-$C$7),G72*(1-$C$5-IF(E72&lt;3,$C$8,0)),MIN(G72*(1-$C$5-IF(E72&lt;3,$C$8,0)),F72*(1-$C$6-IF(E72&lt;3,$C$8,0))))&lt;10,$C$9,IF(IF(F72&lt;G72*(1-$C$7),G72*(1-$C$5-IF(E72&lt;3,$C$8,0)),MIN(G72*(1-$C$5-IF(E72&lt;3,$C$8,0)),F72*(1-$C$6-IF(E72&lt;3,$C$8,0))))&lt;100,$D$9,$E$9)))))</f>
        <v>5.3</v>
      </c>
      <c r="K72" s="60" t="str">
        <f aca="false">IF(ISNUMBER($D72),$D72,"n/a")</f>
        <v>n/a</v>
      </c>
      <c r="L72" s="63" t="str">
        <f aca="false">IF(OR(E72=0,NOT(ISNUMBER($D72))),"—",J72/$D72-1)</f>
        <v>—</v>
      </c>
      <c r="M72" s="64" t="n">
        <f aca="false">IF(E72=0,"—",J72/F72-1)</f>
        <v>0.261904761904762</v>
      </c>
      <c r="N72" s="64" t="n">
        <f aca="false">IF(E72=0,"—",J72/G72-1)</f>
        <v>-0.251412429378531</v>
      </c>
      <c r="O72" s="59" t="n">
        <f aca="false">COUNTIFS(Offers!$B$7:$B$3000,$B72,Offers!$C$7:$C$3000,"Germany",Offers!$AI$7:$AI$3000,"yes")</f>
        <v>7</v>
      </c>
      <c r="P72" s="60" t="n">
        <f aca="false">IF(O72=0,"—",SUMIFS(Review!$I$7:$I$600,Review!$B$7:$B$600,$B72,Review!$C$7:$C$600,"Germany"))</f>
        <v>3.99</v>
      </c>
      <c r="Q72" s="60" t="n">
        <f aca="false">IF(O72=0,"—",SUMIFS(Review!$J$7:$J$600,Review!$B$7:$B$600,$B72,Review!$C$7:$C$600,"Germany"))</f>
        <v>5.79</v>
      </c>
      <c r="R72" s="60" t="n">
        <f aca="false">IF(O72=0,"—",SUMIFS(Review!$K$7:$K$600,Review!$B$7:$B$600,$B72,Review!$C$7:$C$600,"Germany"))</f>
        <v>20</v>
      </c>
      <c r="S72" s="61" t="str">
        <f aca="false">IF(O72=0,"—",IF(P72&lt;Q72*(1-$C$7),"median (cheapest is an outlier)",IF(P72*(1-$C$6)&lt;Q72*(1-$C$5),"undercut cheapest","median")))</f>
        <v>undercut cheapest</v>
      </c>
      <c r="T72" s="62" t="n">
        <f aca="false">IF(O72=0,"—",IF(AND(ISNUMBER($D72),$D72*(1+$C$10)&gt;FLOOR(IF(P72&lt;Q72*(1-$C$7),Q72*(1-$C$5-IF(O72&lt;3,$C$8,0)),MIN(Q72*(1-$C$5-IF(O72&lt;3,$C$8,0)),P72*(1-$C$6-IF(O72&lt;3,$C$8,0)))),IF(IF(P72&lt;Q72*(1-$C$7),Q72*(1-$C$5-IF(O72&lt;3,$C$8,0)),MIN(Q72*(1-$C$5-IF(O72&lt;3,$C$8,0)),P72*(1-$C$6-IF(O72&lt;3,$C$8,0))))&lt;10,$C$9,IF(IF(P72&lt;Q72*(1-$C$7),Q72*(1-$C$5-IF(O72&lt;3,$C$8,0)),MIN(Q72*(1-$C$5-IF(O72&lt;3,$C$8,0)),P72*(1-$C$6-IF(O72&lt;3,$C$8,0))))&lt;100,$D$9,$E$9)))),ROUND($D72*(1+$C$10),2),FLOOR(IF(P72&lt;Q72*(1-$C$7),Q72*(1-$C$5-IF(O72&lt;3,$C$8,0)),MIN(Q72*(1-$C$5-IF(O72&lt;3,$C$8,0)),P72*(1-$C$6-IF(O72&lt;3,$C$8,0)))),IF(IF(P72&lt;Q72*(1-$C$7),Q72*(1-$C$5-IF(O72&lt;3,$C$8,0)),MIN(Q72*(1-$C$5-IF(O72&lt;3,$C$8,0)),P72*(1-$C$6-IF(O72&lt;3,$C$8,0))))&lt;10,$C$9,IF(IF(P72&lt;Q72*(1-$C$7),Q72*(1-$C$5-IF(O72&lt;3,$C$8,0)),MIN(Q72*(1-$C$5-IF(O72&lt;3,$C$8,0)),P72*(1-$C$6-IF(O72&lt;3,$C$8,0))))&lt;100,$D$9,$E$9)))))</f>
        <v>3.75</v>
      </c>
      <c r="U72" s="60" t="str">
        <f aca="false">IF(ISNUMBER($D72),$D72,"n/a")</f>
        <v>n/a</v>
      </c>
      <c r="V72" s="63" t="str">
        <f aca="false">IF(OR(O72=0,NOT(ISNUMBER($D72))),"—",T72/$D72-1)</f>
        <v>—</v>
      </c>
      <c r="W72" s="64" t="n">
        <f aca="false">IF(O72=0,"—",T72/P72-1)</f>
        <v>-0.0601503759398496</v>
      </c>
      <c r="X72" s="64" t="n">
        <f aca="false">IF(O72=0,"—",T72/Q72-1)</f>
        <v>-0.352331606217617</v>
      </c>
      <c r="Y72" s="59" t="n">
        <f aca="false">COUNTIFS(Offers!$B$7:$B$3000,$B72,Offers!$C$7:$C$3000,"Czech",Offers!$AI$7:$AI$3000,"yes")</f>
        <v>5</v>
      </c>
      <c r="Z72" s="60" t="n">
        <f aca="false">IF(Y72=0,"—",SUMIFS(Review!$I$7:$I$600,Review!$B$7:$B$600,$B72,Review!$C$7:$C$600,"Czech"))</f>
        <v>4.128381</v>
      </c>
      <c r="AA72" s="60" t="n">
        <f aca="false">IF(Y72=0,"—",SUMIFS(Review!$J$7:$J$600,Review!$B$7:$B$600,$B72,Review!$C$7:$C$600,"Czech"))</f>
        <v>6.192367</v>
      </c>
      <c r="AB72" s="60" t="n">
        <f aca="false">IF(Y72=0,"—",SUMIFS(Review!$K$7:$K$600,Review!$B$7:$B$600,$B72,Review!$C$7:$C$600,"Czech"))</f>
        <v>8.516348</v>
      </c>
      <c r="AC72" s="61" t="str">
        <f aca="false">IF(Y72=0,"—",IF(Z72&lt;AA72*(1-$C$7),"median (cheapest is an outlier)",IF(Z72*(1-$C$6)&lt;AA72*(1-$C$5),"undercut cheapest","median")))</f>
        <v>undercut cheapest</v>
      </c>
      <c r="AD72" s="62" t="n">
        <f aca="false">IF(Y72=0,"—",IF(AND(ISNUMBER($D72),$D72*(1+$C$10)&gt;FLOOR(IF(Z72&lt;AA72*(1-$C$7),AA72*(1-$C$5-IF(Y72&lt;3,$C$8,0)),MIN(AA72*(1-$C$5-IF(Y72&lt;3,$C$8,0)),Z72*(1-$C$6-IF(Y72&lt;3,$C$8,0)))),IF(IF(Z72&lt;AA72*(1-$C$7),AA72*(1-$C$5-IF(Y72&lt;3,$C$8,0)),MIN(AA72*(1-$C$5-IF(Y72&lt;3,$C$8,0)),Z72*(1-$C$6-IF(Y72&lt;3,$C$8,0))))&lt;10,$C$9,IF(IF(Z72&lt;AA72*(1-$C$7),AA72*(1-$C$5-IF(Y72&lt;3,$C$8,0)),MIN(AA72*(1-$C$5-IF(Y72&lt;3,$C$8,0)),Z72*(1-$C$6-IF(Y72&lt;3,$C$8,0))))&lt;100,$D$9,$E$9)))),ROUND($D72*(1+$C$10),2),FLOOR(IF(Z72&lt;AA72*(1-$C$7),AA72*(1-$C$5-IF(Y72&lt;3,$C$8,0)),MIN(AA72*(1-$C$5-IF(Y72&lt;3,$C$8,0)),Z72*(1-$C$6-IF(Y72&lt;3,$C$8,0)))),IF(IF(Z72&lt;AA72*(1-$C$7),AA72*(1-$C$5-IF(Y72&lt;3,$C$8,0)),MIN(AA72*(1-$C$5-IF(Y72&lt;3,$C$8,0)),Z72*(1-$C$6-IF(Y72&lt;3,$C$8,0))))&lt;10,$C$9,IF(IF(Z72&lt;AA72*(1-$C$7),AA72*(1-$C$5-IF(Y72&lt;3,$C$8,0)),MIN(AA72*(1-$C$5-IF(Y72&lt;3,$C$8,0)),Z72*(1-$C$6-IF(Y72&lt;3,$C$8,0))))&lt;100,$D$9,$E$9)))))</f>
        <v>3.9</v>
      </c>
      <c r="AE72" s="65" t="n">
        <f aca="false">IF(Y72=0,"—",FLOOR(AD72*Sources!$G$10,1))</f>
        <v>95</v>
      </c>
      <c r="AF72" s="60" t="str">
        <f aca="false">IF(ISNUMBER($D72),$D72,"n/a")</f>
        <v>n/a</v>
      </c>
      <c r="AG72" s="63" t="str">
        <f aca="false">IF(OR(Y72=0,NOT(ISNUMBER($D72))),"—",AD72/$D72-1)</f>
        <v>—</v>
      </c>
      <c r="AH72" s="64" t="n">
        <f aca="false">IF(Y72=0,"—",AD72/Z72-1)</f>
        <v>-0.0553197488313215</v>
      </c>
      <c r="AI72" s="64" t="n">
        <f aca="false">IF(Y72=0,"—",AD72/AA72-1)</f>
        <v>-0.370192367474344</v>
      </c>
      <c r="AJ72" s="59" t="n">
        <f aca="false">COUNTIFS(Offers!$B$7:$B$3000,$B72,Offers!$C$7:$C$3000,"Slovakia",Offers!$AI$7:$AI$3000,"yes")</f>
        <v>5</v>
      </c>
      <c r="AK72" s="60" t="n">
        <f aca="false">IF(AJ72=0,"—",SUMIFS(Review!$I$7:$I$600,Review!$B$7:$B$600,$B72,Review!$C$7:$C$600,"Slovakia"))</f>
        <v>3.43</v>
      </c>
      <c r="AL72" s="60" t="n">
        <f aca="false">IF(AJ72=0,"—",SUMIFS(Review!$J$7:$J$600,Review!$B$7:$B$600,$B72,Review!$C$7:$C$600,"Slovakia"))</f>
        <v>6.05</v>
      </c>
      <c r="AM72" s="60" t="n">
        <f aca="false">IF(AJ72=0,"—",SUMIFS(Review!$K$7:$K$600,Review!$B$7:$B$600,$B72,Review!$C$7:$C$600,"Slovakia"))</f>
        <v>9.01</v>
      </c>
      <c r="AN72" s="61" t="str">
        <f aca="false">IF(AJ72=0,"—",IF(AK72&lt;AL72*(1-$C$7),"median (cheapest is an outlier)",IF(AK72*(1-$C$6)&lt;AL72*(1-$C$5),"undercut cheapest","median")))</f>
        <v>median (cheapest is an outlier)</v>
      </c>
      <c r="AO72" s="62" t="n">
        <f aca="false">IF(AJ72=0,"—",IF(AND(ISNUMBER($D72),$D72*(1+$C$10)&gt;FLOOR(IF(AK72&lt;AL72*(1-$C$7),AL72*(1-$C$5-IF(AJ72&lt;3,$C$8,0)),MIN(AL72*(1-$C$5-IF(AJ72&lt;3,$C$8,0)),AK72*(1-$C$6-IF(AJ72&lt;3,$C$8,0)))),IF(IF(AK72&lt;AL72*(1-$C$7),AL72*(1-$C$5-IF(AJ72&lt;3,$C$8,0)),MIN(AL72*(1-$C$5-IF(AJ72&lt;3,$C$8,0)),AK72*(1-$C$6-IF(AJ72&lt;3,$C$8,0))))&lt;10,$C$9,IF(IF(AK72&lt;AL72*(1-$C$7),AL72*(1-$C$5-IF(AJ72&lt;3,$C$8,0)),MIN(AL72*(1-$C$5-IF(AJ72&lt;3,$C$8,0)),AK72*(1-$C$6-IF(AJ72&lt;3,$C$8,0))))&lt;100,$D$9,$E$9)))),ROUND($D72*(1+$C$10),2),FLOOR(IF(AK72&lt;AL72*(1-$C$7),AL72*(1-$C$5-IF(AJ72&lt;3,$C$8,0)),MIN(AL72*(1-$C$5-IF(AJ72&lt;3,$C$8,0)),AK72*(1-$C$6-IF(AJ72&lt;3,$C$8,0)))),IF(IF(AK72&lt;AL72*(1-$C$7),AL72*(1-$C$5-IF(AJ72&lt;3,$C$8,0)),MIN(AL72*(1-$C$5-IF(AJ72&lt;3,$C$8,0)),AK72*(1-$C$6-IF(AJ72&lt;3,$C$8,0))))&lt;10,$C$9,IF(IF(AK72&lt;AL72*(1-$C$7),AL72*(1-$C$5-IF(AJ72&lt;3,$C$8,0)),MIN(AL72*(1-$C$5-IF(AJ72&lt;3,$C$8,0)),AK72*(1-$C$6-IF(AJ72&lt;3,$C$8,0))))&lt;100,$D$9,$E$9)))))</f>
        <v>4.5</v>
      </c>
      <c r="AP72" s="60" t="str">
        <f aca="false">IF(ISNUMBER($D72),$D72,"n/a")</f>
        <v>n/a</v>
      </c>
      <c r="AQ72" s="63" t="str">
        <f aca="false">IF(OR(AJ72=0,NOT(ISNUMBER($D72))),"—",AO72/$D72-1)</f>
        <v>—</v>
      </c>
      <c r="AR72" s="64" t="n">
        <f aca="false">IF(AJ72=0,"—",AO72/AK72-1)</f>
        <v>0.311953352769679</v>
      </c>
      <c r="AS72" s="64" t="n">
        <f aca="false">IF(AJ72=0,"—",AO72/AL72-1)</f>
        <v>-0.256198347107438</v>
      </c>
      <c r="AT72" s="59" t="n">
        <f aca="false">COUNTIFS(Offers!$B$7:$B$3000,$B72,Offers!$C$7:$C$3000,"Romania",Offers!$AI$7:$AI$3000,"yes")</f>
        <v>5</v>
      </c>
      <c r="AU72" s="60" t="n">
        <f aca="false">IF(AT72=0,"—",SUMIFS(Review!$I$7:$I$600,Review!$B$7:$B$600,$B72,Review!$C$7:$C$600,"Romania"))</f>
        <v>3.918417</v>
      </c>
      <c r="AV72" s="60" t="n">
        <f aca="false">IF(AT72=0,"—",SUMIFS(Review!$J$7:$J$600,Review!$B$7:$B$600,$B72,Review!$C$7:$C$600,"Romania"))</f>
        <v>6.815544</v>
      </c>
      <c r="AW72" s="60" t="n">
        <f aca="false">IF(AT72=0,"—",SUMIFS(Review!$K$7:$K$600,Review!$B$7:$B$600,$B72,Review!$C$7:$C$600,"Romania"))</f>
        <v>17.473714</v>
      </c>
      <c r="AX72" s="61" t="str">
        <f aca="false">IF(AT72=0,"—",IF(AU72&lt;AV72*(1-$C$7),"median (cheapest is an outlier)",IF(AU72*(1-$C$6)&lt;AV72*(1-$C$5),"undercut cheapest","median")))</f>
        <v>median (cheapest is an outlier)</v>
      </c>
      <c r="AY72" s="62" t="n">
        <f aca="false">IF(AT72=0,"—",IF(AND(ISNUMBER($D72),$D72*(1+$C$10)&gt;FLOOR(IF(AU72&lt;AV72*(1-$C$7),AV72*(1-$C$5-IF(AT72&lt;3,$C$8,0)),MIN(AV72*(1-$C$5-IF(AT72&lt;3,$C$8,0)),AU72*(1-$C$6-IF(AT72&lt;3,$C$8,0)))),IF(IF(AU72&lt;AV72*(1-$C$7),AV72*(1-$C$5-IF(AT72&lt;3,$C$8,0)),MIN(AV72*(1-$C$5-IF(AT72&lt;3,$C$8,0)),AU72*(1-$C$6-IF(AT72&lt;3,$C$8,0))))&lt;10,$C$9,IF(IF(AU72&lt;AV72*(1-$C$7),AV72*(1-$C$5-IF(AT72&lt;3,$C$8,0)),MIN(AV72*(1-$C$5-IF(AT72&lt;3,$C$8,0)),AU72*(1-$C$6-IF(AT72&lt;3,$C$8,0))))&lt;100,$D$9,$E$9)))),ROUND($D72*(1+$C$10),2),FLOOR(IF(AU72&lt;AV72*(1-$C$7),AV72*(1-$C$5-IF(AT72&lt;3,$C$8,0)),MIN(AV72*(1-$C$5-IF(AT72&lt;3,$C$8,0)),AU72*(1-$C$6-IF(AT72&lt;3,$C$8,0)))),IF(IF(AU72&lt;AV72*(1-$C$7),AV72*(1-$C$5-IF(AT72&lt;3,$C$8,0)),MIN(AV72*(1-$C$5-IF(AT72&lt;3,$C$8,0)),AU72*(1-$C$6-IF(AT72&lt;3,$C$8,0))))&lt;10,$C$9,IF(IF(AU72&lt;AV72*(1-$C$7),AV72*(1-$C$5-IF(AT72&lt;3,$C$8,0)),MIN(AV72*(1-$C$5-IF(AT72&lt;3,$C$8,0)),AU72*(1-$C$6-IF(AT72&lt;3,$C$8,0))))&lt;100,$D$9,$E$9)))))</f>
        <v>5.1</v>
      </c>
      <c r="AZ72" s="62" t="n">
        <f aca="false">IF(AT72=0,"—",FLOOR(AY72*Sources!$G$9,0.1))</f>
        <v>26.9</v>
      </c>
      <c r="BA72" s="60" t="str">
        <f aca="false">IF(ISNUMBER($D72),$D72,"n/a")</f>
        <v>n/a</v>
      </c>
      <c r="BB72" s="63" t="str">
        <f aca="false">IF(OR(AT72=0,NOT(ISNUMBER($D72))),"—",AY72/$D72-1)</f>
        <v>—</v>
      </c>
      <c r="BC72" s="64" t="n">
        <f aca="false">IF(AT72=0,"—",AY72/AU72-1)</f>
        <v>0.301546006971693</v>
      </c>
      <c r="BD72" s="64" t="n">
        <f aca="false">IF(AT72=0,"—",AY72/AV72-1)</f>
        <v>-0.25171050175892</v>
      </c>
      <c r="BE72" s="59" t="n">
        <f aca="false">COUNTIFS(Offers!$B$7:$B$3000,$B72,Offers!$C$7:$C$3000,"Hungary",Offers!$AI$7:$AI$3000,"yes")</f>
        <v>0</v>
      </c>
      <c r="BF72" s="60" t="str">
        <f aca="false">IF(BE72=0,"—",SUMIFS(Review!$I$7:$I$600,Review!$B$7:$B$600,$B72,Review!$C$7:$C$600,"Hungary"))</f>
        <v>—</v>
      </c>
      <c r="BG72" s="60" t="str">
        <f aca="false">IF(BE72=0,"—",SUMIFS(Review!$J$7:$J$600,Review!$B$7:$B$600,$B72,Review!$C$7:$C$600,"Hungary"))</f>
        <v>—</v>
      </c>
      <c r="BH72" s="60" t="str">
        <f aca="false">IF(BE72=0,"—",SUMIFS(Review!$K$7:$K$600,Review!$B$7:$B$600,$B72,Review!$C$7:$C$600,"Hungary"))</f>
        <v>—</v>
      </c>
      <c r="BI72" s="61" t="str">
        <f aca="false">IF(BE72=0,"—",IF(BF72&lt;BG72*(1-$C$7),"median (cheapest is an outlier)",IF(BF72*(1-$C$6)&lt;BG72*(1-$C$5),"undercut cheapest","median")))</f>
        <v>—</v>
      </c>
      <c r="BJ72" s="62" t="str">
        <f aca="false">IF(BE72=0,"—",IF(AND(ISNUMBER($D72),$D72*(1+$C$10)&gt;FLOOR(IF(BF72&lt;BG72*(1-$C$7),BG72*(1-$C$5-IF(BE72&lt;3,$C$8,0)),MIN(BG72*(1-$C$5-IF(BE72&lt;3,$C$8,0)),BF72*(1-$C$6-IF(BE72&lt;3,$C$8,0)))),IF(IF(BF72&lt;BG72*(1-$C$7),BG72*(1-$C$5-IF(BE72&lt;3,$C$8,0)),MIN(BG72*(1-$C$5-IF(BE72&lt;3,$C$8,0)),BF72*(1-$C$6-IF(BE72&lt;3,$C$8,0))))&lt;10,$C$9,IF(IF(BF72&lt;BG72*(1-$C$7),BG72*(1-$C$5-IF(BE72&lt;3,$C$8,0)),MIN(BG72*(1-$C$5-IF(BE72&lt;3,$C$8,0)),BF72*(1-$C$6-IF(BE72&lt;3,$C$8,0))))&lt;100,$D$9,$E$9)))),ROUND($D72*(1+$C$10),2),FLOOR(IF(BF72&lt;BG72*(1-$C$7),BG72*(1-$C$5-IF(BE72&lt;3,$C$8,0)),MIN(BG72*(1-$C$5-IF(BE72&lt;3,$C$8,0)),BF72*(1-$C$6-IF(BE72&lt;3,$C$8,0)))),IF(IF(BF72&lt;BG72*(1-$C$7),BG72*(1-$C$5-IF(BE72&lt;3,$C$8,0)),MIN(BG72*(1-$C$5-IF(BE72&lt;3,$C$8,0)),BF72*(1-$C$6-IF(BE72&lt;3,$C$8,0))))&lt;10,$C$9,IF(IF(BF72&lt;BG72*(1-$C$7),BG72*(1-$C$5-IF(BE72&lt;3,$C$8,0)),MIN(BG72*(1-$C$5-IF(BE72&lt;3,$C$8,0)),BF72*(1-$C$6-IF(BE72&lt;3,$C$8,0))))&lt;100,$D$9,$E$9)))))</f>
        <v>—</v>
      </c>
      <c r="BK72" s="65" t="str">
        <f aca="false">IF(BE72=0,"—",FLOOR(BJ72*Sources!$G$8,10))</f>
        <v>—</v>
      </c>
      <c r="BL72" s="60" t="str">
        <f aca="false">IF(ISNUMBER($D72),$D72,"n/a")</f>
        <v>n/a</v>
      </c>
      <c r="BM72" s="63" t="str">
        <f aca="false">IF(OR(BE72=0,NOT(ISNUMBER($D72))),"—",BJ72/$D72-1)</f>
        <v>—</v>
      </c>
      <c r="BN72" s="64" t="str">
        <f aca="false">IF(BE72=0,"—",BJ72/BF72-1)</f>
        <v>—</v>
      </c>
      <c r="BO72" s="64" t="str">
        <f aca="false">IF(BE72=0,"—",BJ72/BG72-1)</f>
        <v>—</v>
      </c>
    </row>
    <row r="73" customFormat="false" ht="15" hidden="false" customHeight="false" outlineLevel="0" collapsed="false">
      <c r="B73" s="1" t="s">
        <v>89</v>
      </c>
      <c r="C73" s="1" t="s">
        <v>198</v>
      </c>
      <c r="D73" s="58"/>
      <c r="E73" s="59" t="n">
        <f aca="false">COUNTIFS(Offers!$B$7:$B$3000,$B73,Offers!$C$7:$C$3000,"Austria",Offers!$AI$7:$AI$3000,"yes")</f>
        <v>7</v>
      </c>
      <c r="F73" s="60" t="n">
        <f aca="false">IF(E73=0,"—",SUMIFS(Review!$I$7:$I$600,Review!$B$7:$B$600,$B73,Review!$C$7:$C$600,"Austria"))</f>
        <v>6</v>
      </c>
      <c r="G73" s="60" t="n">
        <f aca="false">IF(E73=0,"—",SUMIFS(Review!$J$7:$J$600,Review!$B$7:$B$600,$B73,Review!$C$7:$C$600,"Austria"))</f>
        <v>8.95</v>
      </c>
      <c r="H73" s="60" t="n">
        <f aca="false">IF(E73=0,"—",SUMIFS(Review!$K$7:$K$600,Review!$B$7:$B$600,$B73,Review!$C$7:$C$600,"Austria"))</f>
        <v>15.38</v>
      </c>
      <c r="I73" s="61" t="str">
        <f aca="false">IF(E73=0,"—",IF(F73&lt;G73*(1-$C$7),"median (cheapest is an outlier)",IF(F73*(1-$C$6)&lt;G73*(1-$C$5),"undercut cheapest","median")))</f>
        <v>undercut cheapest</v>
      </c>
      <c r="J73" s="62" t="n">
        <f aca="false">IF(E73=0,"—",IF(AND(ISNUMBER($D73),$D73*(1+$C$10)&gt;FLOOR(IF(F73&lt;G73*(1-$C$7),G73*(1-$C$5-IF(E73&lt;3,$C$8,0)),MIN(G73*(1-$C$5-IF(E73&lt;3,$C$8,0)),F73*(1-$C$6-IF(E73&lt;3,$C$8,0)))),IF(IF(F73&lt;G73*(1-$C$7),G73*(1-$C$5-IF(E73&lt;3,$C$8,0)),MIN(G73*(1-$C$5-IF(E73&lt;3,$C$8,0)),F73*(1-$C$6-IF(E73&lt;3,$C$8,0))))&lt;10,$C$9,IF(IF(F73&lt;G73*(1-$C$7),G73*(1-$C$5-IF(E73&lt;3,$C$8,0)),MIN(G73*(1-$C$5-IF(E73&lt;3,$C$8,0)),F73*(1-$C$6-IF(E73&lt;3,$C$8,0))))&lt;100,$D$9,$E$9)))),ROUND($D73*(1+$C$10),2),FLOOR(IF(F73&lt;G73*(1-$C$7),G73*(1-$C$5-IF(E73&lt;3,$C$8,0)),MIN(G73*(1-$C$5-IF(E73&lt;3,$C$8,0)),F73*(1-$C$6-IF(E73&lt;3,$C$8,0)))),IF(IF(F73&lt;G73*(1-$C$7),G73*(1-$C$5-IF(E73&lt;3,$C$8,0)),MIN(G73*(1-$C$5-IF(E73&lt;3,$C$8,0)),F73*(1-$C$6-IF(E73&lt;3,$C$8,0))))&lt;10,$C$9,IF(IF(F73&lt;G73*(1-$C$7),G73*(1-$C$5-IF(E73&lt;3,$C$8,0)),MIN(G73*(1-$C$5-IF(E73&lt;3,$C$8,0)),F73*(1-$C$6-IF(E73&lt;3,$C$8,0))))&lt;100,$D$9,$E$9)))))</f>
        <v>5.7</v>
      </c>
      <c r="K73" s="60" t="str">
        <f aca="false">IF(ISNUMBER($D73),$D73,"n/a")</f>
        <v>n/a</v>
      </c>
      <c r="L73" s="63" t="str">
        <f aca="false">IF(OR(E73=0,NOT(ISNUMBER($D73))),"—",J73/$D73-1)</f>
        <v>—</v>
      </c>
      <c r="M73" s="64" t="n">
        <f aca="false">IF(E73=0,"—",J73/F73-1)</f>
        <v>-0.0499999999999999</v>
      </c>
      <c r="N73" s="64" t="n">
        <f aca="false">IF(E73=0,"—",J73/G73-1)</f>
        <v>-0.363128491620112</v>
      </c>
      <c r="O73" s="59" t="n">
        <f aca="false">COUNTIFS(Offers!$B$7:$B$3000,$B73,Offers!$C$7:$C$3000,"Germany",Offers!$AI$7:$AI$3000,"yes")</f>
        <v>7</v>
      </c>
      <c r="P73" s="60" t="n">
        <f aca="false">IF(O73=0,"—",SUMIFS(Review!$I$7:$I$600,Review!$B$7:$B$600,$B73,Review!$C$7:$C$600,"Germany"))</f>
        <v>5.9</v>
      </c>
      <c r="Q73" s="60" t="n">
        <f aca="false">IF(O73=0,"—",SUMIFS(Review!$J$7:$J$600,Review!$B$7:$B$600,$B73,Review!$C$7:$C$600,"Germany"))</f>
        <v>7.14</v>
      </c>
      <c r="R73" s="60" t="n">
        <f aca="false">IF(O73=0,"—",SUMIFS(Review!$K$7:$K$600,Review!$B$7:$B$600,$B73,Review!$C$7:$C$600,"Germany"))</f>
        <v>28</v>
      </c>
      <c r="S73" s="61" t="str">
        <f aca="false">IF(O73=0,"—",IF(P73&lt;Q73*(1-$C$7),"median (cheapest is an outlier)",IF(P73*(1-$C$6)&lt;Q73*(1-$C$5),"undercut cheapest","median")))</f>
        <v>median</v>
      </c>
      <c r="T73" s="62" t="n">
        <f aca="false">IF(O73=0,"—",IF(AND(ISNUMBER($D73),$D73*(1+$C$10)&gt;FLOOR(IF(P73&lt;Q73*(1-$C$7),Q73*(1-$C$5-IF(O73&lt;3,$C$8,0)),MIN(Q73*(1-$C$5-IF(O73&lt;3,$C$8,0)),P73*(1-$C$6-IF(O73&lt;3,$C$8,0)))),IF(IF(P73&lt;Q73*(1-$C$7),Q73*(1-$C$5-IF(O73&lt;3,$C$8,0)),MIN(Q73*(1-$C$5-IF(O73&lt;3,$C$8,0)),P73*(1-$C$6-IF(O73&lt;3,$C$8,0))))&lt;10,$C$9,IF(IF(P73&lt;Q73*(1-$C$7),Q73*(1-$C$5-IF(O73&lt;3,$C$8,0)),MIN(Q73*(1-$C$5-IF(O73&lt;3,$C$8,0)),P73*(1-$C$6-IF(O73&lt;3,$C$8,0))))&lt;100,$D$9,$E$9)))),ROUND($D73*(1+$C$10),2),FLOOR(IF(P73&lt;Q73*(1-$C$7),Q73*(1-$C$5-IF(O73&lt;3,$C$8,0)),MIN(Q73*(1-$C$5-IF(O73&lt;3,$C$8,0)),P73*(1-$C$6-IF(O73&lt;3,$C$8,0)))),IF(IF(P73&lt;Q73*(1-$C$7),Q73*(1-$C$5-IF(O73&lt;3,$C$8,0)),MIN(Q73*(1-$C$5-IF(O73&lt;3,$C$8,0)),P73*(1-$C$6-IF(O73&lt;3,$C$8,0))))&lt;10,$C$9,IF(IF(P73&lt;Q73*(1-$C$7),Q73*(1-$C$5-IF(O73&lt;3,$C$8,0)),MIN(Q73*(1-$C$5-IF(O73&lt;3,$C$8,0)),P73*(1-$C$6-IF(O73&lt;3,$C$8,0))))&lt;100,$D$9,$E$9)))))</f>
        <v>5.35</v>
      </c>
      <c r="U73" s="60" t="str">
        <f aca="false">IF(ISNUMBER($D73),$D73,"n/a")</f>
        <v>n/a</v>
      </c>
      <c r="V73" s="63" t="str">
        <f aca="false">IF(OR(O73=0,NOT(ISNUMBER($D73))),"—",T73/$D73-1)</f>
        <v>—</v>
      </c>
      <c r="W73" s="64" t="n">
        <f aca="false">IF(O73=0,"—",T73/P73-1)</f>
        <v>-0.0932203389830508</v>
      </c>
      <c r="X73" s="64" t="n">
        <f aca="false">IF(O73=0,"—",T73/Q73-1)</f>
        <v>-0.250700280112045</v>
      </c>
      <c r="Y73" s="59" t="n">
        <f aca="false">COUNTIFS(Offers!$B$7:$B$3000,$B73,Offers!$C$7:$C$3000,"Czech",Offers!$AI$7:$AI$3000,"yes")</f>
        <v>5</v>
      </c>
      <c r="Z73" s="60" t="n">
        <f aca="false">IF(Y73=0,"—",SUMIFS(Review!$I$7:$I$600,Review!$B$7:$B$600,$B73,Review!$C$7:$C$600,"Czech"))</f>
        <v>5.955302</v>
      </c>
      <c r="AA73" s="60" t="n">
        <f aca="false">IF(Y73=0,"—",SUMIFS(Review!$J$7:$J$600,Review!$B$7:$B$600,$B73,Review!$C$7:$C$600,"Czech"))</f>
        <v>10.252782</v>
      </c>
      <c r="AB73" s="60" t="n">
        <f aca="false">IF(Y73=0,"—",SUMIFS(Review!$K$7:$K$600,Review!$B$7:$B$600,$B73,Review!$C$7:$C$600,"Czech"))</f>
        <v>13.265849</v>
      </c>
      <c r="AC73" s="61" t="str">
        <f aca="false">IF(Y73=0,"—",IF(Z73&lt;AA73*(1-$C$7),"median (cheapest is an outlier)",IF(Z73*(1-$C$6)&lt;AA73*(1-$C$5),"undercut cheapest","median")))</f>
        <v>median (cheapest is an outlier)</v>
      </c>
      <c r="AD73" s="62" t="n">
        <f aca="false">IF(Y73=0,"—",IF(AND(ISNUMBER($D73),$D73*(1+$C$10)&gt;FLOOR(IF(Z73&lt;AA73*(1-$C$7),AA73*(1-$C$5-IF(Y73&lt;3,$C$8,0)),MIN(AA73*(1-$C$5-IF(Y73&lt;3,$C$8,0)),Z73*(1-$C$6-IF(Y73&lt;3,$C$8,0)))),IF(IF(Z73&lt;AA73*(1-$C$7),AA73*(1-$C$5-IF(Y73&lt;3,$C$8,0)),MIN(AA73*(1-$C$5-IF(Y73&lt;3,$C$8,0)),Z73*(1-$C$6-IF(Y73&lt;3,$C$8,0))))&lt;10,$C$9,IF(IF(Z73&lt;AA73*(1-$C$7),AA73*(1-$C$5-IF(Y73&lt;3,$C$8,0)),MIN(AA73*(1-$C$5-IF(Y73&lt;3,$C$8,0)),Z73*(1-$C$6-IF(Y73&lt;3,$C$8,0))))&lt;100,$D$9,$E$9)))),ROUND($D73*(1+$C$10),2),FLOOR(IF(Z73&lt;AA73*(1-$C$7),AA73*(1-$C$5-IF(Y73&lt;3,$C$8,0)),MIN(AA73*(1-$C$5-IF(Y73&lt;3,$C$8,0)),Z73*(1-$C$6-IF(Y73&lt;3,$C$8,0)))),IF(IF(Z73&lt;AA73*(1-$C$7),AA73*(1-$C$5-IF(Y73&lt;3,$C$8,0)),MIN(AA73*(1-$C$5-IF(Y73&lt;3,$C$8,0)),Z73*(1-$C$6-IF(Y73&lt;3,$C$8,0))))&lt;10,$C$9,IF(IF(Z73&lt;AA73*(1-$C$7),AA73*(1-$C$5-IF(Y73&lt;3,$C$8,0)),MIN(AA73*(1-$C$5-IF(Y73&lt;3,$C$8,0)),Z73*(1-$C$6-IF(Y73&lt;3,$C$8,0))))&lt;100,$D$9,$E$9)))))</f>
        <v>7.65</v>
      </c>
      <c r="AE73" s="65" t="n">
        <f aca="false">IF(Y73=0,"—",FLOOR(AD73*Sources!$G$10,1))</f>
        <v>186</v>
      </c>
      <c r="AF73" s="60" t="str">
        <f aca="false">IF(ISNUMBER($D73),$D73,"n/a")</f>
        <v>n/a</v>
      </c>
      <c r="AG73" s="63" t="str">
        <f aca="false">IF(OR(Y73=0,NOT(ISNUMBER($D73))),"—",AD73/$D73-1)</f>
        <v>—</v>
      </c>
      <c r="AH73" s="64" t="n">
        <f aca="false">IF(Y73=0,"—",AD73/Z73-1)</f>
        <v>0.284569615445195</v>
      </c>
      <c r="AI73" s="64" t="n">
        <f aca="false">IF(Y73=0,"—",AD73/AA73-1)</f>
        <v>-0.253861049615607</v>
      </c>
      <c r="AJ73" s="59" t="n">
        <f aca="false">COUNTIFS(Offers!$B$7:$B$3000,$B73,Offers!$C$7:$C$3000,"Slovakia",Offers!$AI$7:$AI$3000,"yes")</f>
        <v>5</v>
      </c>
      <c r="AK73" s="60" t="n">
        <f aca="false">IF(AJ73=0,"—",SUMIFS(Review!$I$7:$I$600,Review!$B$7:$B$600,$B73,Review!$C$7:$C$600,"Slovakia"))</f>
        <v>5.83</v>
      </c>
      <c r="AL73" s="60" t="n">
        <f aca="false">IF(AJ73=0,"—",SUMIFS(Review!$J$7:$J$600,Review!$B$7:$B$600,$B73,Review!$C$7:$C$600,"Slovakia"))</f>
        <v>8.5</v>
      </c>
      <c r="AM73" s="60" t="n">
        <f aca="false">IF(AJ73=0,"—",SUMIFS(Review!$K$7:$K$600,Review!$B$7:$B$600,$B73,Review!$C$7:$C$600,"Slovakia"))</f>
        <v>12.46</v>
      </c>
      <c r="AN73" s="61" t="str">
        <f aca="false">IF(AJ73=0,"—",IF(AK73&lt;AL73*(1-$C$7),"median (cheapest is an outlier)",IF(AK73*(1-$C$6)&lt;AL73*(1-$C$5),"undercut cheapest","median")))</f>
        <v>undercut cheapest</v>
      </c>
      <c r="AO73" s="62" t="n">
        <f aca="false">IF(AJ73=0,"—",IF(AND(ISNUMBER($D73),$D73*(1+$C$10)&gt;FLOOR(IF(AK73&lt;AL73*(1-$C$7),AL73*(1-$C$5-IF(AJ73&lt;3,$C$8,0)),MIN(AL73*(1-$C$5-IF(AJ73&lt;3,$C$8,0)),AK73*(1-$C$6-IF(AJ73&lt;3,$C$8,0)))),IF(IF(AK73&lt;AL73*(1-$C$7),AL73*(1-$C$5-IF(AJ73&lt;3,$C$8,0)),MIN(AL73*(1-$C$5-IF(AJ73&lt;3,$C$8,0)),AK73*(1-$C$6-IF(AJ73&lt;3,$C$8,0))))&lt;10,$C$9,IF(IF(AK73&lt;AL73*(1-$C$7),AL73*(1-$C$5-IF(AJ73&lt;3,$C$8,0)),MIN(AL73*(1-$C$5-IF(AJ73&lt;3,$C$8,0)),AK73*(1-$C$6-IF(AJ73&lt;3,$C$8,0))))&lt;100,$D$9,$E$9)))),ROUND($D73*(1+$C$10),2),FLOOR(IF(AK73&lt;AL73*(1-$C$7),AL73*(1-$C$5-IF(AJ73&lt;3,$C$8,0)),MIN(AL73*(1-$C$5-IF(AJ73&lt;3,$C$8,0)),AK73*(1-$C$6-IF(AJ73&lt;3,$C$8,0)))),IF(IF(AK73&lt;AL73*(1-$C$7),AL73*(1-$C$5-IF(AJ73&lt;3,$C$8,0)),MIN(AL73*(1-$C$5-IF(AJ73&lt;3,$C$8,0)),AK73*(1-$C$6-IF(AJ73&lt;3,$C$8,0))))&lt;10,$C$9,IF(IF(AK73&lt;AL73*(1-$C$7),AL73*(1-$C$5-IF(AJ73&lt;3,$C$8,0)),MIN(AL73*(1-$C$5-IF(AJ73&lt;3,$C$8,0)),AK73*(1-$C$6-IF(AJ73&lt;3,$C$8,0))))&lt;100,$D$9,$E$9)))))</f>
        <v>5.5</v>
      </c>
      <c r="AP73" s="60" t="str">
        <f aca="false">IF(ISNUMBER($D73),$D73,"n/a")</f>
        <v>n/a</v>
      </c>
      <c r="AQ73" s="63" t="str">
        <f aca="false">IF(OR(AJ73=0,NOT(ISNUMBER($D73))),"—",AO73/$D73-1)</f>
        <v>—</v>
      </c>
      <c r="AR73" s="64" t="n">
        <f aca="false">IF(AJ73=0,"—",AO73/AK73-1)</f>
        <v>-0.0566037735849057</v>
      </c>
      <c r="AS73" s="64" t="n">
        <f aca="false">IF(AJ73=0,"—",AO73/AL73-1)</f>
        <v>-0.352941176470588</v>
      </c>
      <c r="AT73" s="59" t="n">
        <f aca="false">COUNTIFS(Offers!$B$7:$B$3000,$B73,Offers!$C$7:$C$3000,"Romania",Offers!$AI$7:$AI$3000,"yes")</f>
        <v>5</v>
      </c>
      <c r="AU73" s="60" t="n">
        <f aca="false">IF(AT73=0,"—",SUMIFS(Review!$I$7:$I$600,Review!$B$7:$B$600,$B73,Review!$C$7:$C$600,"Romania"))</f>
        <v>5.953417</v>
      </c>
      <c r="AV73" s="60" t="n">
        <f aca="false">IF(AT73=0,"—",SUMIFS(Review!$J$7:$J$600,Review!$B$7:$B$600,$B73,Review!$C$7:$C$600,"Romania"))</f>
        <v>7.959995</v>
      </c>
      <c r="AW73" s="60" t="n">
        <f aca="false">IF(AT73=0,"—",SUMIFS(Review!$K$7:$K$600,Review!$B$7:$B$600,$B73,Review!$C$7:$C$600,"Romania"))</f>
        <v>22.614268</v>
      </c>
      <c r="AX73" s="61" t="str">
        <f aca="false">IF(AT73=0,"—",IF(AU73&lt;AV73*(1-$C$7),"median (cheapest is an outlier)",IF(AU73*(1-$C$6)&lt;AV73*(1-$C$5),"undercut cheapest","median")))</f>
        <v>undercut cheapest</v>
      </c>
      <c r="AY73" s="62" t="n">
        <f aca="false">IF(AT73=0,"—",IF(AND(ISNUMBER($D73),$D73*(1+$C$10)&gt;FLOOR(IF(AU73&lt;AV73*(1-$C$7),AV73*(1-$C$5-IF(AT73&lt;3,$C$8,0)),MIN(AV73*(1-$C$5-IF(AT73&lt;3,$C$8,0)),AU73*(1-$C$6-IF(AT73&lt;3,$C$8,0)))),IF(IF(AU73&lt;AV73*(1-$C$7),AV73*(1-$C$5-IF(AT73&lt;3,$C$8,0)),MIN(AV73*(1-$C$5-IF(AT73&lt;3,$C$8,0)),AU73*(1-$C$6-IF(AT73&lt;3,$C$8,0))))&lt;10,$C$9,IF(IF(AU73&lt;AV73*(1-$C$7),AV73*(1-$C$5-IF(AT73&lt;3,$C$8,0)),MIN(AV73*(1-$C$5-IF(AT73&lt;3,$C$8,0)),AU73*(1-$C$6-IF(AT73&lt;3,$C$8,0))))&lt;100,$D$9,$E$9)))),ROUND($D73*(1+$C$10),2),FLOOR(IF(AU73&lt;AV73*(1-$C$7),AV73*(1-$C$5-IF(AT73&lt;3,$C$8,0)),MIN(AV73*(1-$C$5-IF(AT73&lt;3,$C$8,0)),AU73*(1-$C$6-IF(AT73&lt;3,$C$8,0)))),IF(IF(AU73&lt;AV73*(1-$C$7),AV73*(1-$C$5-IF(AT73&lt;3,$C$8,0)),MIN(AV73*(1-$C$5-IF(AT73&lt;3,$C$8,0)),AU73*(1-$C$6-IF(AT73&lt;3,$C$8,0))))&lt;10,$C$9,IF(IF(AU73&lt;AV73*(1-$C$7),AV73*(1-$C$5-IF(AT73&lt;3,$C$8,0)),MIN(AV73*(1-$C$5-IF(AT73&lt;3,$C$8,0)),AU73*(1-$C$6-IF(AT73&lt;3,$C$8,0))))&lt;100,$D$9,$E$9)))))</f>
        <v>5.65</v>
      </c>
      <c r="AZ73" s="62" t="n">
        <f aca="false">IF(AT73=0,"—",FLOOR(AY73*Sources!$G$9,0.1))</f>
        <v>29.8</v>
      </c>
      <c r="BA73" s="60" t="str">
        <f aca="false">IF(ISNUMBER($D73),$D73,"n/a")</f>
        <v>n/a</v>
      </c>
      <c r="BB73" s="63" t="str">
        <f aca="false">IF(OR(AT73=0,NOT(ISNUMBER($D73))),"—",AY73/$D73-1)</f>
        <v>—</v>
      </c>
      <c r="BC73" s="64" t="n">
        <f aca="false">IF(AT73=0,"—",AY73/AU73-1)</f>
        <v>-0.0509651852037241</v>
      </c>
      <c r="BD73" s="64" t="n">
        <f aca="false">IF(AT73=0,"—",AY73/AV73-1)</f>
        <v>-0.290200559171205</v>
      </c>
      <c r="BE73" s="59" t="n">
        <f aca="false">COUNTIFS(Offers!$B$7:$B$3000,$B73,Offers!$C$7:$C$3000,"Hungary",Offers!$AI$7:$AI$3000,"yes")</f>
        <v>0</v>
      </c>
      <c r="BF73" s="60" t="str">
        <f aca="false">IF(BE73=0,"—",SUMIFS(Review!$I$7:$I$600,Review!$B$7:$B$600,$B73,Review!$C$7:$C$600,"Hungary"))</f>
        <v>—</v>
      </c>
      <c r="BG73" s="60" t="str">
        <f aca="false">IF(BE73=0,"—",SUMIFS(Review!$J$7:$J$600,Review!$B$7:$B$600,$B73,Review!$C$7:$C$600,"Hungary"))</f>
        <v>—</v>
      </c>
      <c r="BH73" s="60" t="str">
        <f aca="false">IF(BE73=0,"—",SUMIFS(Review!$K$7:$K$600,Review!$B$7:$B$600,$B73,Review!$C$7:$C$600,"Hungary"))</f>
        <v>—</v>
      </c>
      <c r="BI73" s="61" t="str">
        <f aca="false">IF(BE73=0,"—",IF(BF73&lt;BG73*(1-$C$7),"median (cheapest is an outlier)",IF(BF73*(1-$C$6)&lt;BG73*(1-$C$5),"undercut cheapest","median")))</f>
        <v>—</v>
      </c>
      <c r="BJ73" s="62" t="str">
        <f aca="false">IF(BE73=0,"—",IF(AND(ISNUMBER($D73),$D73*(1+$C$10)&gt;FLOOR(IF(BF73&lt;BG73*(1-$C$7),BG73*(1-$C$5-IF(BE73&lt;3,$C$8,0)),MIN(BG73*(1-$C$5-IF(BE73&lt;3,$C$8,0)),BF73*(1-$C$6-IF(BE73&lt;3,$C$8,0)))),IF(IF(BF73&lt;BG73*(1-$C$7),BG73*(1-$C$5-IF(BE73&lt;3,$C$8,0)),MIN(BG73*(1-$C$5-IF(BE73&lt;3,$C$8,0)),BF73*(1-$C$6-IF(BE73&lt;3,$C$8,0))))&lt;10,$C$9,IF(IF(BF73&lt;BG73*(1-$C$7),BG73*(1-$C$5-IF(BE73&lt;3,$C$8,0)),MIN(BG73*(1-$C$5-IF(BE73&lt;3,$C$8,0)),BF73*(1-$C$6-IF(BE73&lt;3,$C$8,0))))&lt;100,$D$9,$E$9)))),ROUND($D73*(1+$C$10),2),FLOOR(IF(BF73&lt;BG73*(1-$C$7),BG73*(1-$C$5-IF(BE73&lt;3,$C$8,0)),MIN(BG73*(1-$C$5-IF(BE73&lt;3,$C$8,0)),BF73*(1-$C$6-IF(BE73&lt;3,$C$8,0)))),IF(IF(BF73&lt;BG73*(1-$C$7),BG73*(1-$C$5-IF(BE73&lt;3,$C$8,0)),MIN(BG73*(1-$C$5-IF(BE73&lt;3,$C$8,0)),BF73*(1-$C$6-IF(BE73&lt;3,$C$8,0))))&lt;10,$C$9,IF(IF(BF73&lt;BG73*(1-$C$7),BG73*(1-$C$5-IF(BE73&lt;3,$C$8,0)),MIN(BG73*(1-$C$5-IF(BE73&lt;3,$C$8,0)),BF73*(1-$C$6-IF(BE73&lt;3,$C$8,0))))&lt;100,$D$9,$E$9)))))</f>
        <v>—</v>
      </c>
      <c r="BK73" s="65" t="str">
        <f aca="false">IF(BE73=0,"—",FLOOR(BJ73*Sources!$G$8,10))</f>
        <v>—</v>
      </c>
      <c r="BL73" s="60" t="str">
        <f aca="false">IF(ISNUMBER($D73),$D73,"n/a")</f>
        <v>n/a</v>
      </c>
      <c r="BM73" s="63" t="str">
        <f aca="false">IF(OR(BE73=0,NOT(ISNUMBER($D73))),"—",BJ73/$D73-1)</f>
        <v>—</v>
      </c>
      <c r="BN73" s="64" t="str">
        <f aca="false">IF(BE73=0,"—",BJ73/BF73-1)</f>
        <v>—</v>
      </c>
      <c r="BO73" s="64" t="str">
        <f aca="false">IF(BE73=0,"—",BJ73/BG73-1)</f>
        <v>—</v>
      </c>
    </row>
    <row r="74" customFormat="false" ht="15" hidden="false" customHeight="false" outlineLevel="0" collapsed="false">
      <c r="B74" s="1" t="s">
        <v>90</v>
      </c>
      <c r="C74" s="1" t="s">
        <v>199</v>
      </c>
      <c r="D74" s="58"/>
      <c r="E74" s="59" t="n">
        <f aca="false">COUNTIFS(Offers!$B$7:$B$3000,$B74,Offers!$C$7:$C$3000,"Austria",Offers!$AI$7:$AI$3000,"yes")</f>
        <v>6</v>
      </c>
      <c r="F74" s="60" t="n">
        <f aca="false">IF(E74=0,"—",SUMIFS(Review!$I$7:$I$600,Review!$B$7:$B$600,$B74,Review!$C$7:$C$600,"Austria"))</f>
        <v>3.1</v>
      </c>
      <c r="G74" s="60" t="n">
        <f aca="false">IF(E74=0,"—",SUMIFS(Review!$J$7:$J$600,Review!$B$7:$B$600,$B74,Review!$C$7:$C$600,"Austria"))</f>
        <v>5.15</v>
      </c>
      <c r="H74" s="60" t="n">
        <f aca="false">IF(E74=0,"—",SUMIFS(Review!$K$7:$K$600,Review!$B$7:$B$600,$B74,Review!$C$7:$C$600,"Austria"))</f>
        <v>15.3</v>
      </c>
      <c r="I74" s="61" t="str">
        <f aca="false">IF(E74=0,"—",IF(F74&lt;G74*(1-$C$7),"median (cheapest is an outlier)",IF(F74*(1-$C$6)&lt;G74*(1-$C$5),"undercut cheapest","median")))</f>
        <v>median (cheapest is an outlier)</v>
      </c>
      <c r="J74" s="62" t="n">
        <f aca="false">IF(E74=0,"—",IF(AND(ISNUMBER($D74),$D74*(1+$C$10)&gt;FLOOR(IF(F74&lt;G74*(1-$C$7),G74*(1-$C$5-IF(E74&lt;3,$C$8,0)),MIN(G74*(1-$C$5-IF(E74&lt;3,$C$8,0)),F74*(1-$C$6-IF(E74&lt;3,$C$8,0)))),IF(IF(F74&lt;G74*(1-$C$7),G74*(1-$C$5-IF(E74&lt;3,$C$8,0)),MIN(G74*(1-$C$5-IF(E74&lt;3,$C$8,0)),F74*(1-$C$6-IF(E74&lt;3,$C$8,0))))&lt;10,$C$9,IF(IF(F74&lt;G74*(1-$C$7),G74*(1-$C$5-IF(E74&lt;3,$C$8,0)),MIN(G74*(1-$C$5-IF(E74&lt;3,$C$8,0)),F74*(1-$C$6-IF(E74&lt;3,$C$8,0))))&lt;100,$D$9,$E$9)))),ROUND($D74*(1+$C$10),2),FLOOR(IF(F74&lt;G74*(1-$C$7),G74*(1-$C$5-IF(E74&lt;3,$C$8,0)),MIN(G74*(1-$C$5-IF(E74&lt;3,$C$8,0)),F74*(1-$C$6-IF(E74&lt;3,$C$8,0)))),IF(IF(F74&lt;G74*(1-$C$7),G74*(1-$C$5-IF(E74&lt;3,$C$8,0)),MIN(G74*(1-$C$5-IF(E74&lt;3,$C$8,0)),F74*(1-$C$6-IF(E74&lt;3,$C$8,0))))&lt;10,$C$9,IF(IF(F74&lt;G74*(1-$C$7),G74*(1-$C$5-IF(E74&lt;3,$C$8,0)),MIN(G74*(1-$C$5-IF(E74&lt;3,$C$8,0)),F74*(1-$C$6-IF(E74&lt;3,$C$8,0))))&lt;100,$D$9,$E$9)))))</f>
        <v>3.85</v>
      </c>
      <c r="K74" s="60" t="str">
        <f aca="false">IF(ISNUMBER($D74),$D74,"n/a")</f>
        <v>n/a</v>
      </c>
      <c r="L74" s="63" t="str">
        <f aca="false">IF(OR(E74=0,NOT(ISNUMBER($D74))),"—",J74/$D74-1)</f>
        <v>—</v>
      </c>
      <c r="M74" s="64" t="n">
        <f aca="false">IF(E74=0,"—",J74/F74-1)</f>
        <v>0.241935483870968</v>
      </c>
      <c r="N74" s="64" t="n">
        <f aca="false">IF(E74=0,"—",J74/G74-1)</f>
        <v>-0.252427184466019</v>
      </c>
      <c r="O74" s="59" t="n">
        <f aca="false">COUNTIFS(Offers!$B$7:$B$3000,$B74,Offers!$C$7:$C$3000,"Germany",Offers!$AI$7:$AI$3000,"yes")</f>
        <v>7</v>
      </c>
      <c r="P74" s="60" t="n">
        <f aca="false">IF(O74=0,"—",SUMIFS(Review!$I$7:$I$600,Review!$B$7:$B$600,$B74,Review!$C$7:$C$600,"Germany"))</f>
        <v>2.9</v>
      </c>
      <c r="Q74" s="60" t="n">
        <f aca="false">IF(O74=0,"—",SUMIFS(Review!$J$7:$J$600,Review!$B$7:$B$600,$B74,Review!$C$7:$C$600,"Germany"))</f>
        <v>4.19</v>
      </c>
      <c r="R74" s="60" t="n">
        <f aca="false">IF(O74=0,"—",SUMIFS(Review!$K$7:$K$600,Review!$B$7:$B$600,$B74,Review!$C$7:$C$600,"Germany"))</f>
        <v>5.72</v>
      </c>
      <c r="S74" s="61" t="str">
        <f aca="false">IF(O74=0,"—",IF(P74&lt;Q74*(1-$C$7),"median (cheapest is an outlier)",IF(P74*(1-$C$6)&lt;Q74*(1-$C$5),"undercut cheapest","median")))</f>
        <v>undercut cheapest</v>
      </c>
      <c r="T74" s="62" t="n">
        <f aca="false">IF(O74=0,"—",IF(AND(ISNUMBER($D74),$D74*(1+$C$10)&gt;FLOOR(IF(P74&lt;Q74*(1-$C$7),Q74*(1-$C$5-IF(O74&lt;3,$C$8,0)),MIN(Q74*(1-$C$5-IF(O74&lt;3,$C$8,0)),P74*(1-$C$6-IF(O74&lt;3,$C$8,0)))),IF(IF(P74&lt;Q74*(1-$C$7),Q74*(1-$C$5-IF(O74&lt;3,$C$8,0)),MIN(Q74*(1-$C$5-IF(O74&lt;3,$C$8,0)),P74*(1-$C$6-IF(O74&lt;3,$C$8,0))))&lt;10,$C$9,IF(IF(P74&lt;Q74*(1-$C$7),Q74*(1-$C$5-IF(O74&lt;3,$C$8,0)),MIN(Q74*(1-$C$5-IF(O74&lt;3,$C$8,0)),P74*(1-$C$6-IF(O74&lt;3,$C$8,0))))&lt;100,$D$9,$E$9)))),ROUND($D74*(1+$C$10),2),FLOOR(IF(P74&lt;Q74*(1-$C$7),Q74*(1-$C$5-IF(O74&lt;3,$C$8,0)),MIN(Q74*(1-$C$5-IF(O74&lt;3,$C$8,0)),P74*(1-$C$6-IF(O74&lt;3,$C$8,0)))),IF(IF(P74&lt;Q74*(1-$C$7),Q74*(1-$C$5-IF(O74&lt;3,$C$8,0)),MIN(Q74*(1-$C$5-IF(O74&lt;3,$C$8,0)),P74*(1-$C$6-IF(O74&lt;3,$C$8,0))))&lt;10,$C$9,IF(IF(P74&lt;Q74*(1-$C$7),Q74*(1-$C$5-IF(O74&lt;3,$C$8,0)),MIN(Q74*(1-$C$5-IF(O74&lt;3,$C$8,0)),P74*(1-$C$6-IF(O74&lt;3,$C$8,0))))&lt;100,$D$9,$E$9)))))</f>
        <v>2.75</v>
      </c>
      <c r="U74" s="60" t="str">
        <f aca="false">IF(ISNUMBER($D74),$D74,"n/a")</f>
        <v>n/a</v>
      </c>
      <c r="V74" s="63" t="str">
        <f aca="false">IF(OR(O74=0,NOT(ISNUMBER($D74))),"—",T74/$D74-1)</f>
        <v>—</v>
      </c>
      <c r="W74" s="64" t="n">
        <f aca="false">IF(O74=0,"—",T74/P74-1)</f>
        <v>-0.0517241379310345</v>
      </c>
      <c r="X74" s="64" t="n">
        <f aca="false">IF(O74=0,"—",T74/Q74-1)</f>
        <v>-0.343675417661098</v>
      </c>
      <c r="Y74" s="59" t="n">
        <f aca="false">COUNTIFS(Offers!$B$7:$B$3000,$B74,Offers!$C$7:$C$3000,"Czech",Offers!$AI$7:$AI$3000,"yes")</f>
        <v>5</v>
      </c>
      <c r="Z74" s="60" t="n">
        <f aca="false">IF(Y74=0,"—",SUMIFS(Review!$I$7:$I$600,Review!$B$7:$B$600,$B74,Review!$C$7:$C$600,"Czech"))</f>
        <v>2.876314</v>
      </c>
      <c r="AA74" s="60" t="n">
        <f aca="false">IF(Y74=0,"—",SUMIFS(Review!$J$7:$J$600,Review!$B$7:$B$600,$B74,Review!$C$7:$C$600,"Czech"))</f>
        <v>3.65466</v>
      </c>
      <c r="AB74" s="60" t="n">
        <f aca="false">IF(Y74=0,"—",SUMIFS(Review!$K$7:$K$600,Review!$B$7:$B$600,$B74,Review!$C$7:$C$600,"Czech"))</f>
        <v>7.042364</v>
      </c>
      <c r="AC74" s="61" t="str">
        <f aca="false">IF(Y74=0,"—",IF(Z74&lt;AA74*(1-$C$7),"median (cheapest is an outlier)",IF(Z74*(1-$C$6)&lt;AA74*(1-$C$5),"undercut cheapest","median")))</f>
        <v>undercut cheapest</v>
      </c>
      <c r="AD74" s="62" t="n">
        <f aca="false">IF(Y74=0,"—",IF(AND(ISNUMBER($D74),$D74*(1+$C$10)&gt;FLOOR(IF(Z74&lt;AA74*(1-$C$7),AA74*(1-$C$5-IF(Y74&lt;3,$C$8,0)),MIN(AA74*(1-$C$5-IF(Y74&lt;3,$C$8,0)),Z74*(1-$C$6-IF(Y74&lt;3,$C$8,0)))),IF(IF(Z74&lt;AA74*(1-$C$7),AA74*(1-$C$5-IF(Y74&lt;3,$C$8,0)),MIN(AA74*(1-$C$5-IF(Y74&lt;3,$C$8,0)),Z74*(1-$C$6-IF(Y74&lt;3,$C$8,0))))&lt;10,$C$9,IF(IF(Z74&lt;AA74*(1-$C$7),AA74*(1-$C$5-IF(Y74&lt;3,$C$8,0)),MIN(AA74*(1-$C$5-IF(Y74&lt;3,$C$8,0)),Z74*(1-$C$6-IF(Y74&lt;3,$C$8,0))))&lt;100,$D$9,$E$9)))),ROUND($D74*(1+$C$10),2),FLOOR(IF(Z74&lt;AA74*(1-$C$7),AA74*(1-$C$5-IF(Y74&lt;3,$C$8,0)),MIN(AA74*(1-$C$5-IF(Y74&lt;3,$C$8,0)),Z74*(1-$C$6-IF(Y74&lt;3,$C$8,0)))),IF(IF(Z74&lt;AA74*(1-$C$7),AA74*(1-$C$5-IF(Y74&lt;3,$C$8,0)),MIN(AA74*(1-$C$5-IF(Y74&lt;3,$C$8,0)),Z74*(1-$C$6-IF(Y74&lt;3,$C$8,0))))&lt;10,$C$9,IF(IF(Z74&lt;AA74*(1-$C$7),AA74*(1-$C$5-IF(Y74&lt;3,$C$8,0)),MIN(AA74*(1-$C$5-IF(Y74&lt;3,$C$8,0)),Z74*(1-$C$6-IF(Y74&lt;3,$C$8,0))))&lt;100,$D$9,$E$9)))))</f>
        <v>2.7</v>
      </c>
      <c r="AE74" s="65" t="n">
        <f aca="false">IF(Y74=0,"—",FLOOR(AD74*Sources!$G$10,1))</f>
        <v>65</v>
      </c>
      <c r="AF74" s="60" t="str">
        <f aca="false">IF(ISNUMBER($D74),$D74,"n/a")</f>
        <v>n/a</v>
      </c>
      <c r="AG74" s="63" t="str">
        <f aca="false">IF(OR(Y74=0,NOT(ISNUMBER($D74))),"—",AD74/$D74-1)</f>
        <v>—</v>
      </c>
      <c r="AH74" s="64" t="n">
        <f aca="false">IF(Y74=0,"—",AD74/Z74-1)</f>
        <v>-0.0612985925736896</v>
      </c>
      <c r="AI74" s="64" t="n">
        <f aca="false">IF(Y74=0,"—",AD74/AA74-1)</f>
        <v>-0.261217185729999</v>
      </c>
      <c r="AJ74" s="59" t="n">
        <f aca="false">COUNTIFS(Offers!$B$7:$B$3000,$B74,Offers!$C$7:$C$3000,"Slovakia",Offers!$AI$7:$AI$3000,"yes")</f>
        <v>5</v>
      </c>
      <c r="AK74" s="60" t="n">
        <f aca="false">IF(AJ74=0,"—",SUMIFS(Review!$I$7:$I$600,Review!$B$7:$B$600,$B74,Review!$C$7:$C$600,"Slovakia"))</f>
        <v>2.78</v>
      </c>
      <c r="AL74" s="60" t="n">
        <f aca="false">IF(AJ74=0,"—",SUMIFS(Review!$J$7:$J$600,Review!$B$7:$B$600,$B74,Review!$C$7:$C$600,"Slovakia"))</f>
        <v>4.45</v>
      </c>
      <c r="AM74" s="60" t="n">
        <f aca="false">IF(AJ74=0,"—",SUMIFS(Review!$K$7:$K$600,Review!$B$7:$B$600,$B74,Review!$C$7:$C$600,"Slovakia"))</f>
        <v>9.54</v>
      </c>
      <c r="AN74" s="61" t="str">
        <f aca="false">IF(AJ74=0,"—",IF(AK74&lt;AL74*(1-$C$7),"median (cheapest is an outlier)",IF(AK74*(1-$C$6)&lt;AL74*(1-$C$5),"undercut cheapest","median")))</f>
        <v>median (cheapest is an outlier)</v>
      </c>
      <c r="AO74" s="62" t="n">
        <f aca="false">IF(AJ74=0,"—",IF(AND(ISNUMBER($D74),$D74*(1+$C$10)&gt;FLOOR(IF(AK74&lt;AL74*(1-$C$7),AL74*(1-$C$5-IF(AJ74&lt;3,$C$8,0)),MIN(AL74*(1-$C$5-IF(AJ74&lt;3,$C$8,0)),AK74*(1-$C$6-IF(AJ74&lt;3,$C$8,0)))),IF(IF(AK74&lt;AL74*(1-$C$7),AL74*(1-$C$5-IF(AJ74&lt;3,$C$8,0)),MIN(AL74*(1-$C$5-IF(AJ74&lt;3,$C$8,0)),AK74*(1-$C$6-IF(AJ74&lt;3,$C$8,0))))&lt;10,$C$9,IF(IF(AK74&lt;AL74*(1-$C$7),AL74*(1-$C$5-IF(AJ74&lt;3,$C$8,0)),MIN(AL74*(1-$C$5-IF(AJ74&lt;3,$C$8,0)),AK74*(1-$C$6-IF(AJ74&lt;3,$C$8,0))))&lt;100,$D$9,$E$9)))),ROUND($D74*(1+$C$10),2),FLOOR(IF(AK74&lt;AL74*(1-$C$7),AL74*(1-$C$5-IF(AJ74&lt;3,$C$8,0)),MIN(AL74*(1-$C$5-IF(AJ74&lt;3,$C$8,0)),AK74*(1-$C$6-IF(AJ74&lt;3,$C$8,0)))),IF(IF(AK74&lt;AL74*(1-$C$7),AL74*(1-$C$5-IF(AJ74&lt;3,$C$8,0)),MIN(AL74*(1-$C$5-IF(AJ74&lt;3,$C$8,0)),AK74*(1-$C$6-IF(AJ74&lt;3,$C$8,0))))&lt;10,$C$9,IF(IF(AK74&lt;AL74*(1-$C$7),AL74*(1-$C$5-IF(AJ74&lt;3,$C$8,0)),MIN(AL74*(1-$C$5-IF(AJ74&lt;3,$C$8,0)),AK74*(1-$C$6-IF(AJ74&lt;3,$C$8,0))))&lt;100,$D$9,$E$9)))))</f>
        <v>3.3</v>
      </c>
      <c r="AP74" s="60" t="str">
        <f aca="false">IF(ISNUMBER($D74),$D74,"n/a")</f>
        <v>n/a</v>
      </c>
      <c r="AQ74" s="63" t="str">
        <f aca="false">IF(OR(AJ74=0,NOT(ISNUMBER($D74))),"—",AO74/$D74-1)</f>
        <v>—</v>
      </c>
      <c r="AR74" s="64" t="n">
        <f aca="false">IF(AJ74=0,"—",AO74/AK74-1)</f>
        <v>0.18705035971223</v>
      </c>
      <c r="AS74" s="64" t="n">
        <f aca="false">IF(AJ74=0,"—",AO74/AL74-1)</f>
        <v>-0.258426966292135</v>
      </c>
      <c r="AT74" s="59" t="n">
        <f aca="false">COUNTIFS(Offers!$B$7:$B$3000,$B74,Offers!$C$7:$C$3000,"Romania",Offers!$AI$7:$AI$3000,"yes")</f>
        <v>5</v>
      </c>
      <c r="AU74" s="60" t="n">
        <f aca="false">IF(AT74=0,"—",SUMIFS(Review!$I$7:$I$600,Review!$B$7:$B$600,$B74,Review!$C$7:$C$600,"Romania"))</f>
        <v>2.614804</v>
      </c>
      <c r="AV74" s="60" t="n">
        <f aca="false">IF(AT74=0,"—",SUMIFS(Review!$J$7:$J$600,Review!$B$7:$B$600,$B74,Review!$C$7:$C$600,"Romania"))</f>
        <v>4.068105</v>
      </c>
      <c r="AW74" s="60" t="n">
        <f aca="false">IF(AT74=0,"—",SUMIFS(Review!$K$7:$K$600,Review!$B$7:$B$600,$B74,Review!$C$7:$C$600,"Romania"))</f>
        <v>6.211108</v>
      </c>
      <c r="AX74" s="61" t="str">
        <f aca="false">IF(AT74=0,"—",IF(AU74&lt;AV74*(1-$C$7),"median (cheapest is an outlier)",IF(AU74*(1-$C$6)&lt;AV74*(1-$C$5),"undercut cheapest","median")))</f>
        <v>median (cheapest is an outlier)</v>
      </c>
      <c r="AY74" s="62" t="n">
        <f aca="false">IF(AT74=0,"—",IF(AND(ISNUMBER($D74),$D74*(1+$C$10)&gt;FLOOR(IF(AU74&lt;AV74*(1-$C$7),AV74*(1-$C$5-IF(AT74&lt;3,$C$8,0)),MIN(AV74*(1-$C$5-IF(AT74&lt;3,$C$8,0)),AU74*(1-$C$6-IF(AT74&lt;3,$C$8,0)))),IF(IF(AU74&lt;AV74*(1-$C$7),AV74*(1-$C$5-IF(AT74&lt;3,$C$8,0)),MIN(AV74*(1-$C$5-IF(AT74&lt;3,$C$8,0)),AU74*(1-$C$6-IF(AT74&lt;3,$C$8,0))))&lt;10,$C$9,IF(IF(AU74&lt;AV74*(1-$C$7),AV74*(1-$C$5-IF(AT74&lt;3,$C$8,0)),MIN(AV74*(1-$C$5-IF(AT74&lt;3,$C$8,0)),AU74*(1-$C$6-IF(AT74&lt;3,$C$8,0))))&lt;100,$D$9,$E$9)))),ROUND($D74*(1+$C$10),2),FLOOR(IF(AU74&lt;AV74*(1-$C$7),AV74*(1-$C$5-IF(AT74&lt;3,$C$8,0)),MIN(AV74*(1-$C$5-IF(AT74&lt;3,$C$8,0)),AU74*(1-$C$6-IF(AT74&lt;3,$C$8,0)))),IF(IF(AU74&lt;AV74*(1-$C$7),AV74*(1-$C$5-IF(AT74&lt;3,$C$8,0)),MIN(AV74*(1-$C$5-IF(AT74&lt;3,$C$8,0)),AU74*(1-$C$6-IF(AT74&lt;3,$C$8,0))))&lt;10,$C$9,IF(IF(AU74&lt;AV74*(1-$C$7),AV74*(1-$C$5-IF(AT74&lt;3,$C$8,0)),MIN(AV74*(1-$C$5-IF(AT74&lt;3,$C$8,0)),AU74*(1-$C$6-IF(AT74&lt;3,$C$8,0))))&lt;100,$D$9,$E$9)))))</f>
        <v>3.05</v>
      </c>
      <c r="AZ74" s="62" t="n">
        <f aca="false">IF(AT74=0,"—",FLOOR(AY74*Sources!$G$9,0.1))</f>
        <v>16</v>
      </c>
      <c r="BA74" s="60" t="str">
        <f aca="false">IF(ISNUMBER($D74),$D74,"n/a")</f>
        <v>n/a</v>
      </c>
      <c r="BB74" s="63" t="str">
        <f aca="false">IF(OR(AT74=0,NOT(ISNUMBER($D74))),"—",AY74/$D74-1)</f>
        <v>—</v>
      </c>
      <c r="BC74" s="64" t="n">
        <f aca="false">IF(AT74=0,"—",AY74/AU74-1)</f>
        <v>0.166435419251309</v>
      </c>
      <c r="BD74" s="64" t="n">
        <f aca="false">IF(AT74=0,"—",AY74/AV74-1)</f>
        <v>-0.250265172604935</v>
      </c>
      <c r="BE74" s="59" t="n">
        <f aca="false">COUNTIFS(Offers!$B$7:$B$3000,$B74,Offers!$C$7:$C$3000,"Hungary",Offers!$AI$7:$AI$3000,"yes")</f>
        <v>0</v>
      </c>
      <c r="BF74" s="60" t="str">
        <f aca="false">IF(BE74=0,"—",SUMIFS(Review!$I$7:$I$600,Review!$B$7:$B$600,$B74,Review!$C$7:$C$600,"Hungary"))</f>
        <v>—</v>
      </c>
      <c r="BG74" s="60" t="str">
        <f aca="false">IF(BE74=0,"—",SUMIFS(Review!$J$7:$J$600,Review!$B$7:$B$600,$B74,Review!$C$7:$C$600,"Hungary"))</f>
        <v>—</v>
      </c>
      <c r="BH74" s="60" t="str">
        <f aca="false">IF(BE74=0,"—",SUMIFS(Review!$K$7:$K$600,Review!$B$7:$B$600,$B74,Review!$C$7:$C$600,"Hungary"))</f>
        <v>—</v>
      </c>
      <c r="BI74" s="61" t="str">
        <f aca="false">IF(BE74=0,"—",IF(BF74&lt;BG74*(1-$C$7),"median (cheapest is an outlier)",IF(BF74*(1-$C$6)&lt;BG74*(1-$C$5),"undercut cheapest","median")))</f>
        <v>—</v>
      </c>
      <c r="BJ74" s="62" t="str">
        <f aca="false">IF(BE74=0,"—",IF(AND(ISNUMBER($D74),$D74*(1+$C$10)&gt;FLOOR(IF(BF74&lt;BG74*(1-$C$7),BG74*(1-$C$5-IF(BE74&lt;3,$C$8,0)),MIN(BG74*(1-$C$5-IF(BE74&lt;3,$C$8,0)),BF74*(1-$C$6-IF(BE74&lt;3,$C$8,0)))),IF(IF(BF74&lt;BG74*(1-$C$7),BG74*(1-$C$5-IF(BE74&lt;3,$C$8,0)),MIN(BG74*(1-$C$5-IF(BE74&lt;3,$C$8,0)),BF74*(1-$C$6-IF(BE74&lt;3,$C$8,0))))&lt;10,$C$9,IF(IF(BF74&lt;BG74*(1-$C$7),BG74*(1-$C$5-IF(BE74&lt;3,$C$8,0)),MIN(BG74*(1-$C$5-IF(BE74&lt;3,$C$8,0)),BF74*(1-$C$6-IF(BE74&lt;3,$C$8,0))))&lt;100,$D$9,$E$9)))),ROUND($D74*(1+$C$10),2),FLOOR(IF(BF74&lt;BG74*(1-$C$7),BG74*(1-$C$5-IF(BE74&lt;3,$C$8,0)),MIN(BG74*(1-$C$5-IF(BE74&lt;3,$C$8,0)),BF74*(1-$C$6-IF(BE74&lt;3,$C$8,0)))),IF(IF(BF74&lt;BG74*(1-$C$7),BG74*(1-$C$5-IF(BE74&lt;3,$C$8,0)),MIN(BG74*(1-$C$5-IF(BE74&lt;3,$C$8,0)),BF74*(1-$C$6-IF(BE74&lt;3,$C$8,0))))&lt;10,$C$9,IF(IF(BF74&lt;BG74*(1-$C$7),BG74*(1-$C$5-IF(BE74&lt;3,$C$8,0)),MIN(BG74*(1-$C$5-IF(BE74&lt;3,$C$8,0)),BF74*(1-$C$6-IF(BE74&lt;3,$C$8,0))))&lt;100,$D$9,$E$9)))))</f>
        <v>—</v>
      </c>
      <c r="BK74" s="65" t="str">
        <f aca="false">IF(BE74=0,"—",FLOOR(BJ74*Sources!$G$8,10))</f>
        <v>—</v>
      </c>
      <c r="BL74" s="60" t="str">
        <f aca="false">IF(ISNUMBER($D74),$D74,"n/a")</f>
        <v>n/a</v>
      </c>
      <c r="BM74" s="63" t="str">
        <f aca="false">IF(OR(BE74=0,NOT(ISNUMBER($D74))),"—",BJ74/$D74-1)</f>
        <v>—</v>
      </c>
      <c r="BN74" s="64" t="str">
        <f aca="false">IF(BE74=0,"—",BJ74/BF74-1)</f>
        <v>—</v>
      </c>
      <c r="BO74" s="64" t="str">
        <f aca="false">IF(BE74=0,"—",BJ74/BG74-1)</f>
        <v>—</v>
      </c>
    </row>
    <row r="75" customFormat="false" ht="15" hidden="false" customHeight="false" outlineLevel="0" collapsed="false">
      <c r="B75" s="1" t="s">
        <v>91</v>
      </c>
      <c r="C75" s="1" t="s">
        <v>200</v>
      </c>
      <c r="D75" s="58"/>
      <c r="E75" s="59" t="n">
        <f aca="false">COUNTIFS(Offers!$B$7:$B$3000,$B75,Offers!$C$7:$C$3000,"Austria",Offers!$AI$7:$AI$3000,"yes")</f>
        <v>7</v>
      </c>
      <c r="F75" s="60" t="n">
        <f aca="false">IF(E75=0,"—",SUMIFS(Review!$I$7:$I$600,Review!$B$7:$B$600,$B75,Review!$C$7:$C$600,"Austria"))</f>
        <v>4.6</v>
      </c>
      <c r="G75" s="60" t="n">
        <f aca="false">IF(E75=0,"—",SUMIFS(Review!$J$7:$J$600,Review!$B$7:$B$600,$B75,Review!$C$7:$C$600,"Austria"))</f>
        <v>6.99</v>
      </c>
      <c r="H75" s="60" t="n">
        <f aca="false">IF(E75=0,"—",SUMIFS(Review!$K$7:$K$600,Review!$B$7:$B$600,$B75,Review!$C$7:$C$600,"Austria"))</f>
        <v>19.71</v>
      </c>
      <c r="I75" s="61" t="str">
        <f aca="false">IF(E75=0,"—",IF(F75&lt;G75*(1-$C$7),"median (cheapest is an outlier)",IF(F75*(1-$C$6)&lt;G75*(1-$C$5),"undercut cheapest","median")))</f>
        <v>undercut cheapest</v>
      </c>
      <c r="J75" s="62" t="n">
        <f aca="false">IF(E75=0,"—",IF(AND(ISNUMBER($D75),$D75*(1+$C$10)&gt;FLOOR(IF(F75&lt;G75*(1-$C$7),G75*(1-$C$5-IF(E75&lt;3,$C$8,0)),MIN(G75*(1-$C$5-IF(E75&lt;3,$C$8,0)),F75*(1-$C$6-IF(E75&lt;3,$C$8,0)))),IF(IF(F75&lt;G75*(1-$C$7),G75*(1-$C$5-IF(E75&lt;3,$C$8,0)),MIN(G75*(1-$C$5-IF(E75&lt;3,$C$8,0)),F75*(1-$C$6-IF(E75&lt;3,$C$8,0))))&lt;10,$C$9,IF(IF(F75&lt;G75*(1-$C$7),G75*(1-$C$5-IF(E75&lt;3,$C$8,0)),MIN(G75*(1-$C$5-IF(E75&lt;3,$C$8,0)),F75*(1-$C$6-IF(E75&lt;3,$C$8,0))))&lt;100,$D$9,$E$9)))),ROUND($D75*(1+$C$10),2),FLOOR(IF(F75&lt;G75*(1-$C$7),G75*(1-$C$5-IF(E75&lt;3,$C$8,0)),MIN(G75*(1-$C$5-IF(E75&lt;3,$C$8,0)),F75*(1-$C$6-IF(E75&lt;3,$C$8,0)))),IF(IF(F75&lt;G75*(1-$C$7),G75*(1-$C$5-IF(E75&lt;3,$C$8,0)),MIN(G75*(1-$C$5-IF(E75&lt;3,$C$8,0)),F75*(1-$C$6-IF(E75&lt;3,$C$8,0))))&lt;10,$C$9,IF(IF(F75&lt;G75*(1-$C$7),G75*(1-$C$5-IF(E75&lt;3,$C$8,0)),MIN(G75*(1-$C$5-IF(E75&lt;3,$C$8,0)),F75*(1-$C$6-IF(E75&lt;3,$C$8,0))))&lt;100,$D$9,$E$9)))))</f>
        <v>4.35</v>
      </c>
      <c r="K75" s="60" t="str">
        <f aca="false">IF(ISNUMBER($D75),$D75,"n/a")</f>
        <v>n/a</v>
      </c>
      <c r="L75" s="63" t="str">
        <f aca="false">IF(OR(E75=0,NOT(ISNUMBER($D75))),"—",J75/$D75-1)</f>
        <v>—</v>
      </c>
      <c r="M75" s="64" t="n">
        <f aca="false">IF(E75=0,"—",J75/F75-1)</f>
        <v>-0.0543478260869563</v>
      </c>
      <c r="N75" s="64" t="n">
        <f aca="false">IF(E75=0,"—",J75/G75-1)</f>
        <v>-0.377682403433476</v>
      </c>
      <c r="O75" s="59" t="n">
        <f aca="false">COUNTIFS(Offers!$B$7:$B$3000,$B75,Offers!$C$7:$C$3000,"Germany",Offers!$AI$7:$AI$3000,"yes")</f>
        <v>7</v>
      </c>
      <c r="P75" s="60" t="n">
        <f aca="false">IF(O75=0,"—",SUMIFS(Review!$I$7:$I$600,Review!$B$7:$B$600,$B75,Review!$C$7:$C$600,"Germany"))</f>
        <v>3.49</v>
      </c>
      <c r="Q75" s="60" t="n">
        <f aca="false">IF(O75=0,"—",SUMIFS(Review!$J$7:$J$600,Review!$B$7:$B$600,$B75,Review!$C$7:$C$600,"Germany"))</f>
        <v>5.75</v>
      </c>
      <c r="R75" s="60" t="n">
        <f aca="false">IF(O75=0,"—",SUMIFS(Review!$K$7:$K$600,Review!$B$7:$B$600,$B75,Review!$C$7:$C$600,"Germany"))</f>
        <v>7.05</v>
      </c>
      <c r="S75" s="61" t="str">
        <f aca="false">IF(O75=0,"—",IF(P75&lt;Q75*(1-$C$7),"median (cheapest is an outlier)",IF(P75*(1-$C$6)&lt;Q75*(1-$C$5),"undercut cheapest","median")))</f>
        <v>median (cheapest is an outlier)</v>
      </c>
      <c r="T75" s="62" t="n">
        <f aca="false">IF(O75=0,"—",IF(AND(ISNUMBER($D75),$D75*(1+$C$10)&gt;FLOOR(IF(P75&lt;Q75*(1-$C$7),Q75*(1-$C$5-IF(O75&lt;3,$C$8,0)),MIN(Q75*(1-$C$5-IF(O75&lt;3,$C$8,0)),P75*(1-$C$6-IF(O75&lt;3,$C$8,0)))),IF(IF(P75&lt;Q75*(1-$C$7),Q75*(1-$C$5-IF(O75&lt;3,$C$8,0)),MIN(Q75*(1-$C$5-IF(O75&lt;3,$C$8,0)),P75*(1-$C$6-IF(O75&lt;3,$C$8,0))))&lt;10,$C$9,IF(IF(P75&lt;Q75*(1-$C$7),Q75*(1-$C$5-IF(O75&lt;3,$C$8,0)),MIN(Q75*(1-$C$5-IF(O75&lt;3,$C$8,0)),P75*(1-$C$6-IF(O75&lt;3,$C$8,0))))&lt;100,$D$9,$E$9)))),ROUND($D75*(1+$C$10),2),FLOOR(IF(P75&lt;Q75*(1-$C$7),Q75*(1-$C$5-IF(O75&lt;3,$C$8,0)),MIN(Q75*(1-$C$5-IF(O75&lt;3,$C$8,0)),P75*(1-$C$6-IF(O75&lt;3,$C$8,0)))),IF(IF(P75&lt;Q75*(1-$C$7),Q75*(1-$C$5-IF(O75&lt;3,$C$8,0)),MIN(Q75*(1-$C$5-IF(O75&lt;3,$C$8,0)),P75*(1-$C$6-IF(O75&lt;3,$C$8,0))))&lt;10,$C$9,IF(IF(P75&lt;Q75*(1-$C$7),Q75*(1-$C$5-IF(O75&lt;3,$C$8,0)),MIN(Q75*(1-$C$5-IF(O75&lt;3,$C$8,0)),P75*(1-$C$6-IF(O75&lt;3,$C$8,0))))&lt;100,$D$9,$E$9)))))</f>
        <v>4.3</v>
      </c>
      <c r="U75" s="60" t="str">
        <f aca="false">IF(ISNUMBER($D75),$D75,"n/a")</f>
        <v>n/a</v>
      </c>
      <c r="V75" s="63" t="str">
        <f aca="false">IF(OR(O75=0,NOT(ISNUMBER($D75))),"—",T75/$D75-1)</f>
        <v>—</v>
      </c>
      <c r="W75" s="64" t="n">
        <f aca="false">IF(O75=0,"—",T75/P75-1)</f>
        <v>0.232091690544413</v>
      </c>
      <c r="X75" s="64" t="n">
        <f aca="false">IF(O75=0,"—",T75/Q75-1)</f>
        <v>-0.252173913043478</v>
      </c>
      <c r="Y75" s="59" t="n">
        <f aca="false">COUNTIFS(Offers!$B$7:$B$3000,$B75,Offers!$C$7:$C$3000,"Czech",Offers!$AI$7:$AI$3000,"yes")</f>
        <v>5</v>
      </c>
      <c r="Z75" s="60" t="n">
        <f aca="false">IF(Y75=0,"—",SUMIFS(Review!$I$7:$I$600,Review!$B$7:$B$600,$B75,Review!$C$7:$C$600,"Czech"))</f>
        <v>4.128381</v>
      </c>
      <c r="AA75" s="60" t="n">
        <f aca="false">IF(Y75=0,"—",SUMIFS(Review!$J$7:$J$600,Review!$B$7:$B$600,$B75,Review!$C$7:$C$600,"Czech"))</f>
        <v>5.718645</v>
      </c>
      <c r="AB75" s="60" t="n">
        <f aca="false">IF(Y75=0,"—",SUMIFS(Review!$K$7:$K$600,Review!$B$7:$B$600,$B75,Review!$C$7:$C$600,"Czech"))</f>
        <v>9.417115</v>
      </c>
      <c r="AC75" s="61" t="str">
        <f aca="false">IF(Y75=0,"—",IF(Z75&lt;AA75*(1-$C$7),"median (cheapest is an outlier)",IF(Z75*(1-$C$6)&lt;AA75*(1-$C$5),"undercut cheapest","median")))</f>
        <v>undercut cheapest</v>
      </c>
      <c r="AD75" s="62" t="n">
        <f aca="false">IF(Y75=0,"—",IF(AND(ISNUMBER($D75),$D75*(1+$C$10)&gt;FLOOR(IF(Z75&lt;AA75*(1-$C$7),AA75*(1-$C$5-IF(Y75&lt;3,$C$8,0)),MIN(AA75*(1-$C$5-IF(Y75&lt;3,$C$8,0)),Z75*(1-$C$6-IF(Y75&lt;3,$C$8,0)))),IF(IF(Z75&lt;AA75*(1-$C$7),AA75*(1-$C$5-IF(Y75&lt;3,$C$8,0)),MIN(AA75*(1-$C$5-IF(Y75&lt;3,$C$8,0)),Z75*(1-$C$6-IF(Y75&lt;3,$C$8,0))))&lt;10,$C$9,IF(IF(Z75&lt;AA75*(1-$C$7),AA75*(1-$C$5-IF(Y75&lt;3,$C$8,0)),MIN(AA75*(1-$C$5-IF(Y75&lt;3,$C$8,0)),Z75*(1-$C$6-IF(Y75&lt;3,$C$8,0))))&lt;100,$D$9,$E$9)))),ROUND($D75*(1+$C$10),2),FLOOR(IF(Z75&lt;AA75*(1-$C$7),AA75*(1-$C$5-IF(Y75&lt;3,$C$8,0)),MIN(AA75*(1-$C$5-IF(Y75&lt;3,$C$8,0)),Z75*(1-$C$6-IF(Y75&lt;3,$C$8,0)))),IF(IF(Z75&lt;AA75*(1-$C$7),AA75*(1-$C$5-IF(Y75&lt;3,$C$8,0)),MIN(AA75*(1-$C$5-IF(Y75&lt;3,$C$8,0)),Z75*(1-$C$6-IF(Y75&lt;3,$C$8,0))))&lt;10,$C$9,IF(IF(Z75&lt;AA75*(1-$C$7),AA75*(1-$C$5-IF(Y75&lt;3,$C$8,0)),MIN(AA75*(1-$C$5-IF(Y75&lt;3,$C$8,0)),Z75*(1-$C$6-IF(Y75&lt;3,$C$8,0))))&lt;100,$D$9,$E$9)))))</f>
        <v>3.9</v>
      </c>
      <c r="AE75" s="65" t="n">
        <f aca="false">IF(Y75=0,"—",FLOOR(AD75*Sources!$G$10,1))</f>
        <v>95</v>
      </c>
      <c r="AF75" s="60" t="str">
        <f aca="false">IF(ISNUMBER($D75),$D75,"n/a")</f>
        <v>n/a</v>
      </c>
      <c r="AG75" s="63" t="str">
        <f aca="false">IF(OR(Y75=0,NOT(ISNUMBER($D75))),"—",AD75/$D75-1)</f>
        <v>—</v>
      </c>
      <c r="AH75" s="64" t="n">
        <f aca="false">IF(Y75=0,"—",AD75/Z75-1)</f>
        <v>-0.0553197488313215</v>
      </c>
      <c r="AI75" s="64" t="n">
        <f aca="false">IF(Y75=0,"—",AD75/AA75-1)</f>
        <v>-0.318020265290117</v>
      </c>
      <c r="AJ75" s="59" t="n">
        <f aca="false">COUNTIFS(Offers!$B$7:$B$3000,$B75,Offers!$C$7:$C$3000,"Slovakia",Offers!$AI$7:$AI$3000,"yes")</f>
        <v>5</v>
      </c>
      <c r="AK75" s="60" t="n">
        <f aca="false">IF(AJ75=0,"—",SUMIFS(Review!$I$7:$I$600,Review!$B$7:$B$600,$B75,Review!$C$7:$C$600,"Slovakia"))</f>
        <v>4.03</v>
      </c>
      <c r="AL75" s="60" t="n">
        <f aca="false">IF(AJ75=0,"—",SUMIFS(Review!$J$7:$J$600,Review!$B$7:$B$600,$B75,Review!$C$7:$C$600,"Slovakia"))</f>
        <v>6.38</v>
      </c>
      <c r="AM75" s="60" t="n">
        <f aca="false">IF(AJ75=0,"—",SUMIFS(Review!$K$7:$K$600,Review!$B$7:$B$600,$B75,Review!$C$7:$C$600,"Slovakia"))</f>
        <v>7.4</v>
      </c>
      <c r="AN75" s="61" t="str">
        <f aca="false">IF(AJ75=0,"—",IF(AK75&lt;AL75*(1-$C$7),"median (cheapest is an outlier)",IF(AK75*(1-$C$6)&lt;AL75*(1-$C$5),"undercut cheapest","median")))</f>
        <v>median (cheapest is an outlier)</v>
      </c>
      <c r="AO75" s="62" t="n">
        <f aca="false">IF(AJ75=0,"—",IF(AND(ISNUMBER($D75),$D75*(1+$C$10)&gt;FLOOR(IF(AK75&lt;AL75*(1-$C$7),AL75*(1-$C$5-IF(AJ75&lt;3,$C$8,0)),MIN(AL75*(1-$C$5-IF(AJ75&lt;3,$C$8,0)),AK75*(1-$C$6-IF(AJ75&lt;3,$C$8,0)))),IF(IF(AK75&lt;AL75*(1-$C$7),AL75*(1-$C$5-IF(AJ75&lt;3,$C$8,0)),MIN(AL75*(1-$C$5-IF(AJ75&lt;3,$C$8,0)),AK75*(1-$C$6-IF(AJ75&lt;3,$C$8,0))))&lt;10,$C$9,IF(IF(AK75&lt;AL75*(1-$C$7),AL75*(1-$C$5-IF(AJ75&lt;3,$C$8,0)),MIN(AL75*(1-$C$5-IF(AJ75&lt;3,$C$8,0)),AK75*(1-$C$6-IF(AJ75&lt;3,$C$8,0))))&lt;100,$D$9,$E$9)))),ROUND($D75*(1+$C$10),2),FLOOR(IF(AK75&lt;AL75*(1-$C$7),AL75*(1-$C$5-IF(AJ75&lt;3,$C$8,0)),MIN(AL75*(1-$C$5-IF(AJ75&lt;3,$C$8,0)),AK75*(1-$C$6-IF(AJ75&lt;3,$C$8,0)))),IF(IF(AK75&lt;AL75*(1-$C$7),AL75*(1-$C$5-IF(AJ75&lt;3,$C$8,0)),MIN(AL75*(1-$C$5-IF(AJ75&lt;3,$C$8,0)),AK75*(1-$C$6-IF(AJ75&lt;3,$C$8,0))))&lt;10,$C$9,IF(IF(AK75&lt;AL75*(1-$C$7),AL75*(1-$C$5-IF(AJ75&lt;3,$C$8,0)),MIN(AL75*(1-$C$5-IF(AJ75&lt;3,$C$8,0)),AK75*(1-$C$6-IF(AJ75&lt;3,$C$8,0))))&lt;100,$D$9,$E$9)))))</f>
        <v>4.75</v>
      </c>
      <c r="AP75" s="60" t="str">
        <f aca="false">IF(ISNUMBER($D75),$D75,"n/a")</f>
        <v>n/a</v>
      </c>
      <c r="AQ75" s="63" t="str">
        <f aca="false">IF(OR(AJ75=0,NOT(ISNUMBER($D75))),"—",AO75/$D75-1)</f>
        <v>—</v>
      </c>
      <c r="AR75" s="64" t="n">
        <f aca="false">IF(AJ75=0,"—",AO75/AK75-1)</f>
        <v>0.178660049627791</v>
      </c>
      <c r="AS75" s="64" t="n">
        <f aca="false">IF(AJ75=0,"—",AO75/AL75-1)</f>
        <v>-0.255485893416928</v>
      </c>
      <c r="AT75" s="59" t="n">
        <f aca="false">COUNTIFS(Offers!$B$7:$B$3000,$B75,Offers!$C$7:$C$3000,"Romania",Offers!$AI$7:$AI$3000,"yes")</f>
        <v>5</v>
      </c>
      <c r="AU75" s="60" t="n">
        <f aca="false">IF(AT75=0,"—",SUMIFS(Review!$I$7:$I$600,Review!$B$7:$B$600,$B75,Review!$C$7:$C$600,"Romania"))</f>
        <v>4.359902</v>
      </c>
      <c r="AV75" s="60" t="n">
        <f aca="false">IF(AT75=0,"—",SUMIFS(Review!$J$7:$J$600,Review!$B$7:$B$600,$B75,Review!$C$7:$C$600,"Romania"))</f>
        <v>5.900363</v>
      </c>
      <c r="AW75" s="60" t="n">
        <f aca="false">IF(AT75=0,"—",SUMIFS(Review!$K$7:$K$600,Review!$B$7:$B$600,$B75,Review!$C$7:$C$600,"Romania"))</f>
        <v>7.78378</v>
      </c>
      <c r="AX75" s="61" t="str">
        <f aca="false">IF(AT75=0,"—",IF(AU75&lt;AV75*(1-$C$7),"median (cheapest is an outlier)",IF(AU75*(1-$C$6)&lt;AV75*(1-$C$5),"undercut cheapest","median")))</f>
        <v>undercut cheapest</v>
      </c>
      <c r="AY75" s="62" t="n">
        <f aca="false">IF(AT75=0,"—",IF(AND(ISNUMBER($D75),$D75*(1+$C$10)&gt;FLOOR(IF(AU75&lt;AV75*(1-$C$7),AV75*(1-$C$5-IF(AT75&lt;3,$C$8,0)),MIN(AV75*(1-$C$5-IF(AT75&lt;3,$C$8,0)),AU75*(1-$C$6-IF(AT75&lt;3,$C$8,0)))),IF(IF(AU75&lt;AV75*(1-$C$7),AV75*(1-$C$5-IF(AT75&lt;3,$C$8,0)),MIN(AV75*(1-$C$5-IF(AT75&lt;3,$C$8,0)),AU75*(1-$C$6-IF(AT75&lt;3,$C$8,0))))&lt;10,$C$9,IF(IF(AU75&lt;AV75*(1-$C$7),AV75*(1-$C$5-IF(AT75&lt;3,$C$8,0)),MIN(AV75*(1-$C$5-IF(AT75&lt;3,$C$8,0)),AU75*(1-$C$6-IF(AT75&lt;3,$C$8,0))))&lt;100,$D$9,$E$9)))),ROUND($D75*(1+$C$10),2),FLOOR(IF(AU75&lt;AV75*(1-$C$7),AV75*(1-$C$5-IF(AT75&lt;3,$C$8,0)),MIN(AV75*(1-$C$5-IF(AT75&lt;3,$C$8,0)),AU75*(1-$C$6-IF(AT75&lt;3,$C$8,0)))),IF(IF(AU75&lt;AV75*(1-$C$7),AV75*(1-$C$5-IF(AT75&lt;3,$C$8,0)),MIN(AV75*(1-$C$5-IF(AT75&lt;3,$C$8,0)),AU75*(1-$C$6-IF(AT75&lt;3,$C$8,0))))&lt;10,$C$9,IF(IF(AU75&lt;AV75*(1-$C$7),AV75*(1-$C$5-IF(AT75&lt;3,$C$8,0)),MIN(AV75*(1-$C$5-IF(AT75&lt;3,$C$8,0)),AU75*(1-$C$6-IF(AT75&lt;3,$C$8,0))))&lt;100,$D$9,$E$9)))))</f>
        <v>4.1</v>
      </c>
      <c r="AZ75" s="62" t="n">
        <f aca="false">IF(AT75=0,"—",FLOOR(AY75*Sources!$G$9,0.1))</f>
        <v>21.6</v>
      </c>
      <c r="BA75" s="60" t="str">
        <f aca="false">IF(ISNUMBER($D75),$D75,"n/a")</f>
        <v>n/a</v>
      </c>
      <c r="BB75" s="63" t="str">
        <f aca="false">IF(OR(AT75=0,NOT(ISNUMBER($D75))),"—",AY75/$D75-1)</f>
        <v>—</v>
      </c>
      <c r="BC75" s="64" t="n">
        <f aca="false">IF(AT75=0,"—",AY75/AU75-1)</f>
        <v>-0.0596118903590034</v>
      </c>
      <c r="BD75" s="64" t="n">
        <f aca="false">IF(AT75=0,"—",AY75/AV75-1)</f>
        <v>-0.305127498087829</v>
      </c>
      <c r="BE75" s="59" t="n">
        <f aca="false">COUNTIFS(Offers!$B$7:$B$3000,$B75,Offers!$C$7:$C$3000,"Hungary",Offers!$AI$7:$AI$3000,"yes")</f>
        <v>0</v>
      </c>
      <c r="BF75" s="60" t="str">
        <f aca="false">IF(BE75=0,"—",SUMIFS(Review!$I$7:$I$600,Review!$B$7:$B$600,$B75,Review!$C$7:$C$600,"Hungary"))</f>
        <v>—</v>
      </c>
      <c r="BG75" s="60" t="str">
        <f aca="false">IF(BE75=0,"—",SUMIFS(Review!$J$7:$J$600,Review!$B$7:$B$600,$B75,Review!$C$7:$C$600,"Hungary"))</f>
        <v>—</v>
      </c>
      <c r="BH75" s="60" t="str">
        <f aca="false">IF(BE75=0,"—",SUMIFS(Review!$K$7:$K$600,Review!$B$7:$B$600,$B75,Review!$C$7:$C$600,"Hungary"))</f>
        <v>—</v>
      </c>
      <c r="BI75" s="61" t="str">
        <f aca="false">IF(BE75=0,"—",IF(BF75&lt;BG75*(1-$C$7),"median (cheapest is an outlier)",IF(BF75*(1-$C$6)&lt;BG75*(1-$C$5),"undercut cheapest","median")))</f>
        <v>—</v>
      </c>
      <c r="BJ75" s="62" t="str">
        <f aca="false">IF(BE75=0,"—",IF(AND(ISNUMBER($D75),$D75*(1+$C$10)&gt;FLOOR(IF(BF75&lt;BG75*(1-$C$7),BG75*(1-$C$5-IF(BE75&lt;3,$C$8,0)),MIN(BG75*(1-$C$5-IF(BE75&lt;3,$C$8,0)),BF75*(1-$C$6-IF(BE75&lt;3,$C$8,0)))),IF(IF(BF75&lt;BG75*(1-$C$7),BG75*(1-$C$5-IF(BE75&lt;3,$C$8,0)),MIN(BG75*(1-$C$5-IF(BE75&lt;3,$C$8,0)),BF75*(1-$C$6-IF(BE75&lt;3,$C$8,0))))&lt;10,$C$9,IF(IF(BF75&lt;BG75*(1-$C$7),BG75*(1-$C$5-IF(BE75&lt;3,$C$8,0)),MIN(BG75*(1-$C$5-IF(BE75&lt;3,$C$8,0)),BF75*(1-$C$6-IF(BE75&lt;3,$C$8,0))))&lt;100,$D$9,$E$9)))),ROUND($D75*(1+$C$10),2),FLOOR(IF(BF75&lt;BG75*(1-$C$7),BG75*(1-$C$5-IF(BE75&lt;3,$C$8,0)),MIN(BG75*(1-$C$5-IF(BE75&lt;3,$C$8,0)),BF75*(1-$C$6-IF(BE75&lt;3,$C$8,0)))),IF(IF(BF75&lt;BG75*(1-$C$7),BG75*(1-$C$5-IF(BE75&lt;3,$C$8,0)),MIN(BG75*(1-$C$5-IF(BE75&lt;3,$C$8,0)),BF75*(1-$C$6-IF(BE75&lt;3,$C$8,0))))&lt;10,$C$9,IF(IF(BF75&lt;BG75*(1-$C$7),BG75*(1-$C$5-IF(BE75&lt;3,$C$8,0)),MIN(BG75*(1-$C$5-IF(BE75&lt;3,$C$8,0)),BF75*(1-$C$6-IF(BE75&lt;3,$C$8,0))))&lt;100,$D$9,$E$9)))))</f>
        <v>—</v>
      </c>
      <c r="BK75" s="65" t="str">
        <f aca="false">IF(BE75=0,"—",FLOOR(BJ75*Sources!$G$8,10))</f>
        <v>—</v>
      </c>
      <c r="BL75" s="60" t="str">
        <f aca="false">IF(ISNUMBER($D75),$D75,"n/a")</f>
        <v>n/a</v>
      </c>
      <c r="BM75" s="63" t="str">
        <f aca="false">IF(OR(BE75=0,NOT(ISNUMBER($D75))),"—",BJ75/$D75-1)</f>
        <v>—</v>
      </c>
      <c r="BN75" s="64" t="str">
        <f aca="false">IF(BE75=0,"—",BJ75/BF75-1)</f>
        <v>—</v>
      </c>
      <c r="BO75" s="64" t="str">
        <f aca="false">IF(BE75=0,"—",BJ75/BG75-1)</f>
        <v>—</v>
      </c>
    </row>
    <row r="76" customFormat="false" ht="15" hidden="false" customHeight="false" outlineLevel="0" collapsed="false">
      <c r="B76" s="1" t="s">
        <v>92</v>
      </c>
      <c r="C76" s="1" t="s">
        <v>201</v>
      </c>
      <c r="D76" s="58"/>
      <c r="E76" s="59" t="n">
        <f aca="false">COUNTIFS(Offers!$B$7:$B$3000,$B76,Offers!$C$7:$C$3000,"Austria",Offers!$AI$7:$AI$3000,"yes")</f>
        <v>6</v>
      </c>
      <c r="F76" s="60" t="n">
        <f aca="false">IF(E76=0,"—",SUMIFS(Review!$I$7:$I$600,Review!$B$7:$B$600,$B76,Review!$C$7:$C$600,"Austria"))</f>
        <v>5.3</v>
      </c>
      <c r="G76" s="60" t="n">
        <f aca="false">IF(E76=0,"—",SUMIFS(Review!$J$7:$J$600,Review!$B$7:$B$600,$B76,Review!$C$7:$C$600,"Austria"))</f>
        <v>6.85</v>
      </c>
      <c r="H76" s="60" t="n">
        <f aca="false">IF(E76=0,"—",SUMIFS(Review!$K$7:$K$600,Review!$B$7:$B$600,$B76,Review!$C$7:$C$600,"Austria"))</f>
        <v>12.75</v>
      </c>
      <c r="I76" s="61" t="str">
        <f aca="false">IF(E76=0,"—",IF(F76&lt;G76*(1-$C$7),"median (cheapest is an outlier)",IF(F76*(1-$C$6)&lt;G76*(1-$C$5),"undercut cheapest","median")))</f>
        <v>undercut cheapest</v>
      </c>
      <c r="J76" s="62" t="n">
        <f aca="false">IF(E76=0,"—",IF(AND(ISNUMBER($D76),$D76*(1+$C$10)&gt;FLOOR(IF(F76&lt;G76*(1-$C$7),G76*(1-$C$5-IF(E76&lt;3,$C$8,0)),MIN(G76*(1-$C$5-IF(E76&lt;3,$C$8,0)),F76*(1-$C$6-IF(E76&lt;3,$C$8,0)))),IF(IF(F76&lt;G76*(1-$C$7),G76*(1-$C$5-IF(E76&lt;3,$C$8,0)),MIN(G76*(1-$C$5-IF(E76&lt;3,$C$8,0)),F76*(1-$C$6-IF(E76&lt;3,$C$8,0))))&lt;10,$C$9,IF(IF(F76&lt;G76*(1-$C$7),G76*(1-$C$5-IF(E76&lt;3,$C$8,0)),MIN(G76*(1-$C$5-IF(E76&lt;3,$C$8,0)),F76*(1-$C$6-IF(E76&lt;3,$C$8,0))))&lt;100,$D$9,$E$9)))),ROUND($D76*(1+$C$10),2),FLOOR(IF(F76&lt;G76*(1-$C$7),G76*(1-$C$5-IF(E76&lt;3,$C$8,0)),MIN(G76*(1-$C$5-IF(E76&lt;3,$C$8,0)),F76*(1-$C$6-IF(E76&lt;3,$C$8,0)))),IF(IF(F76&lt;G76*(1-$C$7),G76*(1-$C$5-IF(E76&lt;3,$C$8,0)),MIN(G76*(1-$C$5-IF(E76&lt;3,$C$8,0)),F76*(1-$C$6-IF(E76&lt;3,$C$8,0))))&lt;10,$C$9,IF(IF(F76&lt;G76*(1-$C$7),G76*(1-$C$5-IF(E76&lt;3,$C$8,0)),MIN(G76*(1-$C$5-IF(E76&lt;3,$C$8,0)),F76*(1-$C$6-IF(E76&lt;3,$C$8,0))))&lt;100,$D$9,$E$9)))))</f>
        <v>5</v>
      </c>
      <c r="K76" s="60" t="str">
        <f aca="false">IF(ISNUMBER($D76),$D76,"n/a")</f>
        <v>n/a</v>
      </c>
      <c r="L76" s="63" t="str">
        <f aca="false">IF(OR(E76=0,NOT(ISNUMBER($D76))),"—",J76/$D76-1)</f>
        <v>—</v>
      </c>
      <c r="M76" s="64" t="n">
        <f aca="false">IF(E76=0,"—",J76/F76-1)</f>
        <v>-0.0566037735849057</v>
      </c>
      <c r="N76" s="64" t="n">
        <f aca="false">IF(E76=0,"—",J76/G76-1)</f>
        <v>-0.27007299270073</v>
      </c>
      <c r="O76" s="59" t="n">
        <f aca="false">COUNTIFS(Offers!$B$7:$B$3000,$B76,Offers!$C$7:$C$3000,"Germany",Offers!$AI$7:$AI$3000,"yes")</f>
        <v>4</v>
      </c>
      <c r="P76" s="60" t="n">
        <f aca="false">IF(O76=0,"—",SUMIFS(Review!$I$7:$I$600,Review!$B$7:$B$600,$B76,Review!$C$7:$C$600,"Germany"))</f>
        <v>5.43</v>
      </c>
      <c r="Q76" s="60" t="n">
        <f aca="false">IF(O76=0,"—",SUMIFS(Review!$J$7:$J$600,Review!$B$7:$B$600,$B76,Review!$C$7:$C$600,"Germany"))</f>
        <v>7.245</v>
      </c>
      <c r="R76" s="60" t="n">
        <f aca="false">IF(O76=0,"—",SUMIFS(Review!$K$7:$K$600,Review!$B$7:$B$600,$B76,Review!$C$7:$C$600,"Germany"))</f>
        <v>9.64</v>
      </c>
      <c r="S76" s="61" t="str">
        <f aca="false">IF(O76=0,"—",IF(P76&lt;Q76*(1-$C$7),"median (cheapest is an outlier)",IF(P76*(1-$C$6)&lt;Q76*(1-$C$5),"undercut cheapest","median")))</f>
        <v>undercut cheapest</v>
      </c>
      <c r="T76" s="62" t="n">
        <f aca="false">IF(O76=0,"—",IF(AND(ISNUMBER($D76),$D76*(1+$C$10)&gt;FLOOR(IF(P76&lt;Q76*(1-$C$7),Q76*(1-$C$5-IF(O76&lt;3,$C$8,0)),MIN(Q76*(1-$C$5-IF(O76&lt;3,$C$8,0)),P76*(1-$C$6-IF(O76&lt;3,$C$8,0)))),IF(IF(P76&lt;Q76*(1-$C$7),Q76*(1-$C$5-IF(O76&lt;3,$C$8,0)),MIN(Q76*(1-$C$5-IF(O76&lt;3,$C$8,0)),P76*(1-$C$6-IF(O76&lt;3,$C$8,0))))&lt;10,$C$9,IF(IF(P76&lt;Q76*(1-$C$7),Q76*(1-$C$5-IF(O76&lt;3,$C$8,0)),MIN(Q76*(1-$C$5-IF(O76&lt;3,$C$8,0)),P76*(1-$C$6-IF(O76&lt;3,$C$8,0))))&lt;100,$D$9,$E$9)))),ROUND($D76*(1+$C$10),2),FLOOR(IF(P76&lt;Q76*(1-$C$7),Q76*(1-$C$5-IF(O76&lt;3,$C$8,0)),MIN(Q76*(1-$C$5-IF(O76&lt;3,$C$8,0)),P76*(1-$C$6-IF(O76&lt;3,$C$8,0)))),IF(IF(P76&lt;Q76*(1-$C$7),Q76*(1-$C$5-IF(O76&lt;3,$C$8,0)),MIN(Q76*(1-$C$5-IF(O76&lt;3,$C$8,0)),P76*(1-$C$6-IF(O76&lt;3,$C$8,0))))&lt;10,$C$9,IF(IF(P76&lt;Q76*(1-$C$7),Q76*(1-$C$5-IF(O76&lt;3,$C$8,0)),MIN(Q76*(1-$C$5-IF(O76&lt;3,$C$8,0)),P76*(1-$C$6-IF(O76&lt;3,$C$8,0))))&lt;100,$D$9,$E$9)))))</f>
        <v>5.15</v>
      </c>
      <c r="U76" s="60" t="str">
        <f aca="false">IF(ISNUMBER($D76),$D76,"n/a")</f>
        <v>n/a</v>
      </c>
      <c r="V76" s="63" t="str">
        <f aca="false">IF(OR(O76=0,NOT(ISNUMBER($D76))),"—",T76/$D76-1)</f>
        <v>—</v>
      </c>
      <c r="W76" s="64" t="n">
        <f aca="false">IF(O76=0,"—",T76/P76-1)</f>
        <v>-0.0515653775322282</v>
      </c>
      <c r="X76" s="64" t="n">
        <f aca="false">IF(O76=0,"—",T76/Q76-1)</f>
        <v>-0.289164941338854</v>
      </c>
      <c r="Y76" s="59" t="n">
        <f aca="false">COUNTIFS(Offers!$B$7:$B$3000,$B76,Offers!$C$7:$C$3000,"Czech",Offers!$AI$7:$AI$3000,"yes")</f>
        <v>5</v>
      </c>
      <c r="Z76" s="60" t="n">
        <f aca="false">IF(Y76=0,"—",SUMIFS(Review!$I$7:$I$600,Review!$B$7:$B$600,$B76,Review!$C$7:$C$600,"Czech"))</f>
        <v>4.500562</v>
      </c>
      <c r="AA76" s="60" t="n">
        <f aca="false">IF(Y76=0,"—",SUMIFS(Review!$J$7:$J$600,Review!$B$7:$B$600,$B76,Review!$C$7:$C$600,"Czech"))</f>
        <v>8.628534</v>
      </c>
      <c r="AB76" s="60" t="n">
        <f aca="false">IF(Y76=0,"—",SUMIFS(Review!$K$7:$K$600,Review!$B$7:$B$600,$B76,Review!$C$7:$C$600,"Czech"))</f>
        <v>10.932042</v>
      </c>
      <c r="AC76" s="61" t="str">
        <f aca="false">IF(Y76=0,"—",IF(Z76&lt;AA76*(1-$C$7),"median (cheapest is an outlier)",IF(Z76*(1-$C$6)&lt;AA76*(1-$C$5),"undercut cheapest","median")))</f>
        <v>median (cheapest is an outlier)</v>
      </c>
      <c r="AD76" s="62" t="n">
        <f aca="false">IF(Y76=0,"—",IF(AND(ISNUMBER($D76),$D76*(1+$C$10)&gt;FLOOR(IF(Z76&lt;AA76*(1-$C$7),AA76*(1-$C$5-IF(Y76&lt;3,$C$8,0)),MIN(AA76*(1-$C$5-IF(Y76&lt;3,$C$8,0)),Z76*(1-$C$6-IF(Y76&lt;3,$C$8,0)))),IF(IF(Z76&lt;AA76*(1-$C$7),AA76*(1-$C$5-IF(Y76&lt;3,$C$8,0)),MIN(AA76*(1-$C$5-IF(Y76&lt;3,$C$8,0)),Z76*(1-$C$6-IF(Y76&lt;3,$C$8,0))))&lt;10,$C$9,IF(IF(Z76&lt;AA76*(1-$C$7),AA76*(1-$C$5-IF(Y76&lt;3,$C$8,0)),MIN(AA76*(1-$C$5-IF(Y76&lt;3,$C$8,0)),Z76*(1-$C$6-IF(Y76&lt;3,$C$8,0))))&lt;100,$D$9,$E$9)))),ROUND($D76*(1+$C$10),2),FLOOR(IF(Z76&lt;AA76*(1-$C$7),AA76*(1-$C$5-IF(Y76&lt;3,$C$8,0)),MIN(AA76*(1-$C$5-IF(Y76&lt;3,$C$8,0)),Z76*(1-$C$6-IF(Y76&lt;3,$C$8,0)))),IF(IF(Z76&lt;AA76*(1-$C$7),AA76*(1-$C$5-IF(Y76&lt;3,$C$8,0)),MIN(AA76*(1-$C$5-IF(Y76&lt;3,$C$8,0)),Z76*(1-$C$6-IF(Y76&lt;3,$C$8,0))))&lt;10,$C$9,IF(IF(Z76&lt;AA76*(1-$C$7),AA76*(1-$C$5-IF(Y76&lt;3,$C$8,0)),MIN(AA76*(1-$C$5-IF(Y76&lt;3,$C$8,0)),Z76*(1-$C$6-IF(Y76&lt;3,$C$8,0))))&lt;100,$D$9,$E$9)))))</f>
        <v>6.45</v>
      </c>
      <c r="AE76" s="65" t="n">
        <f aca="false">IF(Y76=0,"—",FLOOR(AD76*Sources!$G$10,1))</f>
        <v>157</v>
      </c>
      <c r="AF76" s="60" t="str">
        <f aca="false">IF(ISNUMBER($D76),$D76,"n/a")</f>
        <v>n/a</v>
      </c>
      <c r="AG76" s="63" t="str">
        <f aca="false">IF(OR(Y76=0,NOT(ISNUMBER($D76))),"—",AD76/$D76-1)</f>
        <v>—</v>
      </c>
      <c r="AH76" s="64" t="n">
        <f aca="false">IF(Y76=0,"—",AD76/Z76-1)</f>
        <v>0.43315434827917</v>
      </c>
      <c r="AI76" s="64" t="n">
        <f aca="false">IF(Y76=0,"—",AD76/AA76-1)</f>
        <v>-0.252480201155839</v>
      </c>
      <c r="AJ76" s="59" t="n">
        <f aca="false">COUNTIFS(Offers!$B$7:$B$3000,$B76,Offers!$C$7:$C$3000,"Slovakia",Offers!$AI$7:$AI$3000,"yes")</f>
        <v>5</v>
      </c>
      <c r="AK76" s="60" t="n">
        <f aca="false">IF(AJ76=0,"—",SUMIFS(Review!$I$7:$I$600,Review!$B$7:$B$600,$B76,Review!$C$7:$C$600,"Slovakia"))</f>
        <v>4.91</v>
      </c>
      <c r="AL76" s="60" t="n">
        <f aca="false">IF(AJ76=0,"—",SUMIFS(Review!$J$7:$J$600,Review!$B$7:$B$600,$B76,Review!$C$7:$C$600,"Slovakia"))</f>
        <v>7.5</v>
      </c>
      <c r="AM76" s="60" t="n">
        <f aca="false">IF(AJ76=0,"—",SUMIFS(Review!$K$7:$K$600,Review!$B$7:$B$600,$B76,Review!$C$7:$C$600,"Slovakia"))</f>
        <v>9.38</v>
      </c>
      <c r="AN76" s="61" t="str">
        <f aca="false">IF(AJ76=0,"—",IF(AK76&lt;AL76*(1-$C$7),"median (cheapest is an outlier)",IF(AK76*(1-$C$6)&lt;AL76*(1-$C$5),"undercut cheapest","median")))</f>
        <v>undercut cheapest</v>
      </c>
      <c r="AO76" s="62" t="n">
        <f aca="false">IF(AJ76=0,"—",IF(AND(ISNUMBER($D76),$D76*(1+$C$10)&gt;FLOOR(IF(AK76&lt;AL76*(1-$C$7),AL76*(1-$C$5-IF(AJ76&lt;3,$C$8,0)),MIN(AL76*(1-$C$5-IF(AJ76&lt;3,$C$8,0)),AK76*(1-$C$6-IF(AJ76&lt;3,$C$8,0)))),IF(IF(AK76&lt;AL76*(1-$C$7),AL76*(1-$C$5-IF(AJ76&lt;3,$C$8,0)),MIN(AL76*(1-$C$5-IF(AJ76&lt;3,$C$8,0)),AK76*(1-$C$6-IF(AJ76&lt;3,$C$8,0))))&lt;10,$C$9,IF(IF(AK76&lt;AL76*(1-$C$7),AL76*(1-$C$5-IF(AJ76&lt;3,$C$8,0)),MIN(AL76*(1-$C$5-IF(AJ76&lt;3,$C$8,0)),AK76*(1-$C$6-IF(AJ76&lt;3,$C$8,0))))&lt;100,$D$9,$E$9)))),ROUND($D76*(1+$C$10),2),FLOOR(IF(AK76&lt;AL76*(1-$C$7),AL76*(1-$C$5-IF(AJ76&lt;3,$C$8,0)),MIN(AL76*(1-$C$5-IF(AJ76&lt;3,$C$8,0)),AK76*(1-$C$6-IF(AJ76&lt;3,$C$8,0)))),IF(IF(AK76&lt;AL76*(1-$C$7),AL76*(1-$C$5-IF(AJ76&lt;3,$C$8,0)),MIN(AL76*(1-$C$5-IF(AJ76&lt;3,$C$8,0)),AK76*(1-$C$6-IF(AJ76&lt;3,$C$8,0))))&lt;10,$C$9,IF(IF(AK76&lt;AL76*(1-$C$7),AL76*(1-$C$5-IF(AJ76&lt;3,$C$8,0)),MIN(AL76*(1-$C$5-IF(AJ76&lt;3,$C$8,0)),AK76*(1-$C$6-IF(AJ76&lt;3,$C$8,0))))&lt;100,$D$9,$E$9)))))</f>
        <v>4.65</v>
      </c>
      <c r="AP76" s="60" t="str">
        <f aca="false">IF(ISNUMBER($D76),$D76,"n/a")</f>
        <v>n/a</v>
      </c>
      <c r="AQ76" s="63" t="str">
        <f aca="false">IF(OR(AJ76=0,NOT(ISNUMBER($D76))),"—",AO76/$D76-1)</f>
        <v>—</v>
      </c>
      <c r="AR76" s="64" t="n">
        <f aca="false">IF(AJ76=0,"—",AO76/AK76-1)</f>
        <v>-0.0529531568228105</v>
      </c>
      <c r="AS76" s="64" t="n">
        <f aca="false">IF(AJ76=0,"—",AO76/AL76-1)</f>
        <v>-0.38</v>
      </c>
      <c r="AT76" s="59" t="n">
        <f aca="false">COUNTIFS(Offers!$B$7:$B$3000,$B76,Offers!$C$7:$C$3000,"Romania",Offers!$AI$7:$AI$3000,"yes")</f>
        <v>5</v>
      </c>
      <c r="AU76" s="60" t="n">
        <f aca="false">IF(AT76=0,"—",SUMIFS(Review!$I$7:$I$600,Review!$B$7:$B$600,$B76,Review!$C$7:$C$600,"Romania"))</f>
        <v>5.231503</v>
      </c>
      <c r="AV76" s="60" t="n">
        <f aca="false">IF(AT76=0,"—",SUMIFS(Review!$J$7:$J$600,Review!$B$7:$B$600,$B76,Review!$C$7:$C$600,"Romania"))</f>
        <v>6.821229</v>
      </c>
      <c r="AW76" s="60" t="n">
        <f aca="false">IF(AT76=0,"—",SUMIFS(Review!$K$7:$K$600,Review!$B$7:$B$600,$B76,Review!$C$7:$C$600,"Romania"))</f>
        <v>9.273081</v>
      </c>
      <c r="AX76" s="61" t="str">
        <f aca="false">IF(AT76=0,"—",IF(AU76&lt;AV76*(1-$C$7),"median (cheapest is an outlier)",IF(AU76*(1-$C$6)&lt;AV76*(1-$C$5),"undercut cheapest","median")))</f>
        <v>undercut cheapest</v>
      </c>
      <c r="AY76" s="62" t="n">
        <f aca="false">IF(AT76=0,"—",IF(AND(ISNUMBER($D76),$D76*(1+$C$10)&gt;FLOOR(IF(AU76&lt;AV76*(1-$C$7),AV76*(1-$C$5-IF(AT76&lt;3,$C$8,0)),MIN(AV76*(1-$C$5-IF(AT76&lt;3,$C$8,0)),AU76*(1-$C$6-IF(AT76&lt;3,$C$8,0)))),IF(IF(AU76&lt;AV76*(1-$C$7),AV76*(1-$C$5-IF(AT76&lt;3,$C$8,0)),MIN(AV76*(1-$C$5-IF(AT76&lt;3,$C$8,0)),AU76*(1-$C$6-IF(AT76&lt;3,$C$8,0))))&lt;10,$C$9,IF(IF(AU76&lt;AV76*(1-$C$7),AV76*(1-$C$5-IF(AT76&lt;3,$C$8,0)),MIN(AV76*(1-$C$5-IF(AT76&lt;3,$C$8,0)),AU76*(1-$C$6-IF(AT76&lt;3,$C$8,0))))&lt;100,$D$9,$E$9)))),ROUND($D76*(1+$C$10),2),FLOOR(IF(AU76&lt;AV76*(1-$C$7),AV76*(1-$C$5-IF(AT76&lt;3,$C$8,0)),MIN(AV76*(1-$C$5-IF(AT76&lt;3,$C$8,0)),AU76*(1-$C$6-IF(AT76&lt;3,$C$8,0)))),IF(IF(AU76&lt;AV76*(1-$C$7),AV76*(1-$C$5-IF(AT76&lt;3,$C$8,0)),MIN(AV76*(1-$C$5-IF(AT76&lt;3,$C$8,0)),AU76*(1-$C$6-IF(AT76&lt;3,$C$8,0))))&lt;10,$C$9,IF(IF(AU76&lt;AV76*(1-$C$7),AV76*(1-$C$5-IF(AT76&lt;3,$C$8,0)),MIN(AV76*(1-$C$5-IF(AT76&lt;3,$C$8,0)),AU76*(1-$C$6-IF(AT76&lt;3,$C$8,0))))&lt;100,$D$9,$E$9)))))</f>
        <v>4.95</v>
      </c>
      <c r="AZ76" s="62" t="n">
        <f aca="false">IF(AT76=0,"—",FLOOR(AY76*Sources!$G$9,0.1))</f>
        <v>26.1</v>
      </c>
      <c r="BA76" s="60" t="str">
        <f aca="false">IF(ISNUMBER($D76),$D76,"n/a")</f>
        <v>n/a</v>
      </c>
      <c r="BB76" s="63" t="str">
        <f aca="false">IF(OR(AT76=0,NOT(ISNUMBER($D76))),"—",AY76/$D76-1)</f>
        <v>—</v>
      </c>
      <c r="BC76" s="64" t="n">
        <f aca="false">IF(AT76=0,"—",AY76/AU76-1)</f>
        <v>-0.0538092016768412</v>
      </c>
      <c r="BD76" s="64" t="n">
        <f aca="false">IF(AT76=0,"—",AY76/AV76-1)</f>
        <v>-0.274324318975363</v>
      </c>
      <c r="BE76" s="59" t="n">
        <f aca="false">COUNTIFS(Offers!$B$7:$B$3000,$B76,Offers!$C$7:$C$3000,"Hungary",Offers!$AI$7:$AI$3000,"yes")</f>
        <v>0</v>
      </c>
      <c r="BF76" s="60" t="str">
        <f aca="false">IF(BE76=0,"—",SUMIFS(Review!$I$7:$I$600,Review!$B$7:$B$600,$B76,Review!$C$7:$C$600,"Hungary"))</f>
        <v>—</v>
      </c>
      <c r="BG76" s="60" t="str">
        <f aca="false">IF(BE76=0,"—",SUMIFS(Review!$J$7:$J$600,Review!$B$7:$B$600,$B76,Review!$C$7:$C$600,"Hungary"))</f>
        <v>—</v>
      </c>
      <c r="BH76" s="60" t="str">
        <f aca="false">IF(BE76=0,"—",SUMIFS(Review!$K$7:$K$600,Review!$B$7:$B$600,$B76,Review!$C$7:$C$600,"Hungary"))</f>
        <v>—</v>
      </c>
      <c r="BI76" s="61" t="str">
        <f aca="false">IF(BE76=0,"—",IF(BF76&lt;BG76*(1-$C$7),"median (cheapest is an outlier)",IF(BF76*(1-$C$6)&lt;BG76*(1-$C$5),"undercut cheapest","median")))</f>
        <v>—</v>
      </c>
      <c r="BJ76" s="62" t="str">
        <f aca="false">IF(BE76=0,"—",IF(AND(ISNUMBER($D76),$D76*(1+$C$10)&gt;FLOOR(IF(BF76&lt;BG76*(1-$C$7),BG76*(1-$C$5-IF(BE76&lt;3,$C$8,0)),MIN(BG76*(1-$C$5-IF(BE76&lt;3,$C$8,0)),BF76*(1-$C$6-IF(BE76&lt;3,$C$8,0)))),IF(IF(BF76&lt;BG76*(1-$C$7),BG76*(1-$C$5-IF(BE76&lt;3,$C$8,0)),MIN(BG76*(1-$C$5-IF(BE76&lt;3,$C$8,0)),BF76*(1-$C$6-IF(BE76&lt;3,$C$8,0))))&lt;10,$C$9,IF(IF(BF76&lt;BG76*(1-$C$7),BG76*(1-$C$5-IF(BE76&lt;3,$C$8,0)),MIN(BG76*(1-$C$5-IF(BE76&lt;3,$C$8,0)),BF76*(1-$C$6-IF(BE76&lt;3,$C$8,0))))&lt;100,$D$9,$E$9)))),ROUND($D76*(1+$C$10),2),FLOOR(IF(BF76&lt;BG76*(1-$C$7),BG76*(1-$C$5-IF(BE76&lt;3,$C$8,0)),MIN(BG76*(1-$C$5-IF(BE76&lt;3,$C$8,0)),BF76*(1-$C$6-IF(BE76&lt;3,$C$8,0)))),IF(IF(BF76&lt;BG76*(1-$C$7),BG76*(1-$C$5-IF(BE76&lt;3,$C$8,0)),MIN(BG76*(1-$C$5-IF(BE76&lt;3,$C$8,0)),BF76*(1-$C$6-IF(BE76&lt;3,$C$8,0))))&lt;10,$C$9,IF(IF(BF76&lt;BG76*(1-$C$7),BG76*(1-$C$5-IF(BE76&lt;3,$C$8,0)),MIN(BG76*(1-$C$5-IF(BE76&lt;3,$C$8,0)),BF76*(1-$C$6-IF(BE76&lt;3,$C$8,0))))&lt;100,$D$9,$E$9)))))</f>
        <v>—</v>
      </c>
      <c r="BK76" s="65" t="str">
        <f aca="false">IF(BE76=0,"—",FLOOR(BJ76*Sources!$G$8,10))</f>
        <v>—</v>
      </c>
      <c r="BL76" s="60" t="str">
        <f aca="false">IF(ISNUMBER($D76),$D76,"n/a")</f>
        <v>n/a</v>
      </c>
      <c r="BM76" s="63" t="str">
        <f aca="false">IF(OR(BE76=0,NOT(ISNUMBER($D76))),"—",BJ76/$D76-1)</f>
        <v>—</v>
      </c>
      <c r="BN76" s="64" t="str">
        <f aca="false">IF(BE76=0,"—",BJ76/BF76-1)</f>
        <v>—</v>
      </c>
      <c r="BO76" s="64" t="str">
        <f aca="false">IF(BE76=0,"—",BJ76/BG76-1)</f>
        <v>—</v>
      </c>
    </row>
    <row r="77" customFormat="false" ht="15" hidden="false" customHeight="false" outlineLevel="0" collapsed="false">
      <c r="B77" s="1" t="s">
        <v>93</v>
      </c>
      <c r="C77" s="1" t="s">
        <v>202</v>
      </c>
      <c r="D77" s="58"/>
      <c r="E77" s="59" t="n">
        <f aca="false">COUNTIFS(Offers!$B$7:$B$3000,$B77,Offers!$C$7:$C$3000,"Austria",Offers!$AI$7:$AI$3000,"yes")</f>
        <v>4</v>
      </c>
      <c r="F77" s="60" t="n">
        <f aca="false">IF(E77=0,"—",SUMIFS(Review!$I$7:$I$600,Review!$B$7:$B$600,$B77,Review!$C$7:$C$600,"Austria"))</f>
        <v>2.8</v>
      </c>
      <c r="G77" s="60" t="n">
        <f aca="false">IF(E77=0,"—",SUMIFS(Review!$J$7:$J$600,Review!$B$7:$B$600,$B77,Review!$C$7:$C$600,"Austria"))</f>
        <v>5.66</v>
      </c>
      <c r="H77" s="60" t="n">
        <f aca="false">IF(E77=0,"—",SUMIFS(Review!$K$7:$K$600,Review!$B$7:$B$600,$B77,Review!$C$7:$C$600,"Austria"))</f>
        <v>12.46</v>
      </c>
      <c r="I77" s="61" t="str">
        <f aca="false">IF(E77=0,"—",IF(F77&lt;G77*(1-$C$7),"median (cheapest is an outlier)",IF(F77*(1-$C$6)&lt;G77*(1-$C$5),"undercut cheapest","median")))</f>
        <v>median (cheapest is an outlier)</v>
      </c>
      <c r="J77" s="62" t="n">
        <f aca="false">IF(E77=0,"—",IF(AND(ISNUMBER($D77),$D77*(1+$C$10)&gt;FLOOR(IF(F77&lt;G77*(1-$C$7),G77*(1-$C$5-IF(E77&lt;3,$C$8,0)),MIN(G77*(1-$C$5-IF(E77&lt;3,$C$8,0)),F77*(1-$C$6-IF(E77&lt;3,$C$8,0)))),IF(IF(F77&lt;G77*(1-$C$7),G77*(1-$C$5-IF(E77&lt;3,$C$8,0)),MIN(G77*(1-$C$5-IF(E77&lt;3,$C$8,0)),F77*(1-$C$6-IF(E77&lt;3,$C$8,0))))&lt;10,$C$9,IF(IF(F77&lt;G77*(1-$C$7),G77*(1-$C$5-IF(E77&lt;3,$C$8,0)),MIN(G77*(1-$C$5-IF(E77&lt;3,$C$8,0)),F77*(1-$C$6-IF(E77&lt;3,$C$8,0))))&lt;100,$D$9,$E$9)))),ROUND($D77*(1+$C$10),2),FLOOR(IF(F77&lt;G77*(1-$C$7),G77*(1-$C$5-IF(E77&lt;3,$C$8,0)),MIN(G77*(1-$C$5-IF(E77&lt;3,$C$8,0)),F77*(1-$C$6-IF(E77&lt;3,$C$8,0)))),IF(IF(F77&lt;G77*(1-$C$7),G77*(1-$C$5-IF(E77&lt;3,$C$8,0)),MIN(G77*(1-$C$5-IF(E77&lt;3,$C$8,0)),F77*(1-$C$6-IF(E77&lt;3,$C$8,0))))&lt;10,$C$9,IF(IF(F77&lt;G77*(1-$C$7),G77*(1-$C$5-IF(E77&lt;3,$C$8,0)),MIN(G77*(1-$C$5-IF(E77&lt;3,$C$8,0)),F77*(1-$C$6-IF(E77&lt;3,$C$8,0))))&lt;100,$D$9,$E$9)))))</f>
        <v>4.2</v>
      </c>
      <c r="K77" s="60" t="str">
        <f aca="false">IF(ISNUMBER($D77),$D77,"n/a")</f>
        <v>n/a</v>
      </c>
      <c r="L77" s="63" t="str">
        <f aca="false">IF(OR(E77=0,NOT(ISNUMBER($D77))),"—",J77/$D77-1)</f>
        <v>—</v>
      </c>
      <c r="M77" s="64" t="n">
        <f aca="false">IF(E77=0,"—",J77/F77-1)</f>
        <v>0.5</v>
      </c>
      <c r="N77" s="64" t="n">
        <f aca="false">IF(E77=0,"—",J77/G77-1)</f>
        <v>-0.257950530035336</v>
      </c>
      <c r="O77" s="59" t="n">
        <f aca="false">COUNTIFS(Offers!$B$7:$B$3000,$B77,Offers!$C$7:$C$3000,"Germany",Offers!$AI$7:$AI$3000,"yes")</f>
        <v>6</v>
      </c>
      <c r="P77" s="60" t="n">
        <f aca="false">IF(O77=0,"—",SUMIFS(Review!$I$7:$I$600,Review!$B$7:$B$600,$B77,Review!$C$7:$C$600,"Germany"))</f>
        <v>2.85</v>
      </c>
      <c r="Q77" s="60" t="n">
        <f aca="false">IF(O77=0,"—",SUMIFS(Review!$J$7:$J$600,Review!$B$7:$B$600,$B77,Review!$C$7:$C$600,"Germany"))</f>
        <v>3.615</v>
      </c>
      <c r="R77" s="60" t="n">
        <f aca="false">IF(O77=0,"—",SUMIFS(Review!$K$7:$K$600,Review!$B$7:$B$600,$B77,Review!$C$7:$C$600,"Germany"))</f>
        <v>7.09</v>
      </c>
      <c r="S77" s="61" t="str">
        <f aca="false">IF(O77=0,"—",IF(P77&lt;Q77*(1-$C$7),"median (cheapest is an outlier)",IF(P77*(1-$C$6)&lt;Q77*(1-$C$5),"undercut cheapest","median")))</f>
        <v>undercut cheapest</v>
      </c>
      <c r="T77" s="62" t="n">
        <f aca="false">IF(O77=0,"—",IF(AND(ISNUMBER($D77),$D77*(1+$C$10)&gt;FLOOR(IF(P77&lt;Q77*(1-$C$7),Q77*(1-$C$5-IF(O77&lt;3,$C$8,0)),MIN(Q77*(1-$C$5-IF(O77&lt;3,$C$8,0)),P77*(1-$C$6-IF(O77&lt;3,$C$8,0)))),IF(IF(P77&lt;Q77*(1-$C$7),Q77*(1-$C$5-IF(O77&lt;3,$C$8,0)),MIN(Q77*(1-$C$5-IF(O77&lt;3,$C$8,0)),P77*(1-$C$6-IF(O77&lt;3,$C$8,0))))&lt;10,$C$9,IF(IF(P77&lt;Q77*(1-$C$7),Q77*(1-$C$5-IF(O77&lt;3,$C$8,0)),MIN(Q77*(1-$C$5-IF(O77&lt;3,$C$8,0)),P77*(1-$C$6-IF(O77&lt;3,$C$8,0))))&lt;100,$D$9,$E$9)))),ROUND($D77*(1+$C$10),2),FLOOR(IF(P77&lt;Q77*(1-$C$7),Q77*(1-$C$5-IF(O77&lt;3,$C$8,0)),MIN(Q77*(1-$C$5-IF(O77&lt;3,$C$8,0)),P77*(1-$C$6-IF(O77&lt;3,$C$8,0)))),IF(IF(P77&lt;Q77*(1-$C$7),Q77*(1-$C$5-IF(O77&lt;3,$C$8,0)),MIN(Q77*(1-$C$5-IF(O77&lt;3,$C$8,0)),P77*(1-$C$6-IF(O77&lt;3,$C$8,0))))&lt;10,$C$9,IF(IF(P77&lt;Q77*(1-$C$7),Q77*(1-$C$5-IF(O77&lt;3,$C$8,0)),MIN(Q77*(1-$C$5-IF(O77&lt;3,$C$8,0)),P77*(1-$C$6-IF(O77&lt;3,$C$8,0))))&lt;100,$D$9,$E$9)))))</f>
        <v>2.7</v>
      </c>
      <c r="U77" s="60" t="str">
        <f aca="false">IF(ISNUMBER($D77),$D77,"n/a")</f>
        <v>n/a</v>
      </c>
      <c r="V77" s="63" t="str">
        <f aca="false">IF(OR(O77=0,NOT(ISNUMBER($D77))),"—",T77/$D77-1)</f>
        <v>—</v>
      </c>
      <c r="W77" s="64" t="n">
        <f aca="false">IF(O77=0,"—",T77/P77-1)</f>
        <v>-0.0526315789473684</v>
      </c>
      <c r="X77" s="64" t="n">
        <f aca="false">IF(O77=0,"—",T77/Q77-1)</f>
        <v>-0.253112033195021</v>
      </c>
      <c r="Y77" s="59" t="n">
        <f aca="false">COUNTIFS(Offers!$B$7:$B$3000,$B77,Offers!$C$7:$C$3000,"Czech",Offers!$AI$7:$AI$3000,"yes")</f>
        <v>5</v>
      </c>
      <c r="Z77" s="60" t="n">
        <f aca="false">IF(Y77=0,"—",SUMIFS(Review!$I$7:$I$600,Review!$B$7:$B$600,$B77,Review!$C$7:$C$600,"Czech"))</f>
        <v>2.165527</v>
      </c>
      <c r="AA77" s="60" t="n">
        <f aca="false">IF(Y77=0,"—",SUMIFS(Review!$J$7:$J$600,Review!$B$7:$B$600,$B77,Review!$C$7:$C$600,"Czech"))</f>
        <v>3.553118</v>
      </c>
      <c r="AB77" s="60" t="n">
        <f aca="false">IF(Y77=0,"—",SUMIFS(Review!$K$7:$K$600,Review!$B$7:$B$600,$B77,Review!$C$7:$C$600,"Czech"))</f>
        <v>6.100653</v>
      </c>
      <c r="AC77" s="61" t="str">
        <f aca="false">IF(Y77=0,"—",IF(Z77&lt;AA77*(1-$C$7),"median (cheapest is an outlier)",IF(Z77*(1-$C$6)&lt;AA77*(1-$C$5),"undercut cheapest","median")))</f>
        <v>median (cheapest is an outlier)</v>
      </c>
      <c r="AD77" s="62" t="n">
        <f aca="false">IF(Y77=0,"—",IF(AND(ISNUMBER($D77),$D77*(1+$C$10)&gt;FLOOR(IF(Z77&lt;AA77*(1-$C$7),AA77*(1-$C$5-IF(Y77&lt;3,$C$8,0)),MIN(AA77*(1-$C$5-IF(Y77&lt;3,$C$8,0)),Z77*(1-$C$6-IF(Y77&lt;3,$C$8,0)))),IF(IF(Z77&lt;AA77*(1-$C$7),AA77*(1-$C$5-IF(Y77&lt;3,$C$8,0)),MIN(AA77*(1-$C$5-IF(Y77&lt;3,$C$8,0)),Z77*(1-$C$6-IF(Y77&lt;3,$C$8,0))))&lt;10,$C$9,IF(IF(Z77&lt;AA77*(1-$C$7),AA77*(1-$C$5-IF(Y77&lt;3,$C$8,0)),MIN(AA77*(1-$C$5-IF(Y77&lt;3,$C$8,0)),Z77*(1-$C$6-IF(Y77&lt;3,$C$8,0))))&lt;100,$D$9,$E$9)))),ROUND($D77*(1+$C$10),2),FLOOR(IF(Z77&lt;AA77*(1-$C$7),AA77*(1-$C$5-IF(Y77&lt;3,$C$8,0)),MIN(AA77*(1-$C$5-IF(Y77&lt;3,$C$8,0)),Z77*(1-$C$6-IF(Y77&lt;3,$C$8,0)))),IF(IF(Z77&lt;AA77*(1-$C$7),AA77*(1-$C$5-IF(Y77&lt;3,$C$8,0)),MIN(AA77*(1-$C$5-IF(Y77&lt;3,$C$8,0)),Z77*(1-$C$6-IF(Y77&lt;3,$C$8,0))))&lt;10,$C$9,IF(IF(Z77&lt;AA77*(1-$C$7),AA77*(1-$C$5-IF(Y77&lt;3,$C$8,0)),MIN(AA77*(1-$C$5-IF(Y77&lt;3,$C$8,0)),Z77*(1-$C$6-IF(Y77&lt;3,$C$8,0))))&lt;100,$D$9,$E$9)))))</f>
        <v>2.65</v>
      </c>
      <c r="AE77" s="65" t="n">
        <f aca="false">IF(Y77=0,"—",FLOOR(AD77*Sources!$G$10,1))</f>
        <v>64</v>
      </c>
      <c r="AF77" s="60" t="str">
        <f aca="false">IF(ISNUMBER($D77),$D77,"n/a")</f>
        <v>n/a</v>
      </c>
      <c r="AG77" s="63" t="str">
        <f aca="false">IF(OR(Y77=0,NOT(ISNUMBER($D77))),"—",AD77/$D77-1)</f>
        <v>—</v>
      </c>
      <c r="AH77" s="64" t="n">
        <f aca="false">IF(Y77=0,"—",AD77/Z77-1)</f>
        <v>0.223720600112582</v>
      </c>
      <c r="AI77" s="64" t="n">
        <f aca="false">IF(Y77=0,"—",AD77/AA77-1)</f>
        <v>-0.254176191165056</v>
      </c>
      <c r="AJ77" s="59" t="n">
        <f aca="false">COUNTIFS(Offers!$B$7:$B$3000,$B77,Offers!$C$7:$C$3000,"Slovakia",Offers!$AI$7:$AI$3000,"yes")</f>
        <v>5</v>
      </c>
      <c r="AK77" s="60" t="n">
        <f aca="false">IF(AJ77=0,"—",SUMIFS(Review!$I$7:$I$600,Review!$B$7:$B$600,$B77,Review!$C$7:$C$600,"Slovakia"))</f>
        <v>2.16</v>
      </c>
      <c r="AL77" s="60" t="n">
        <f aca="false">IF(AJ77=0,"—",SUMIFS(Review!$J$7:$J$600,Review!$B$7:$B$600,$B77,Review!$C$7:$C$600,"Slovakia"))</f>
        <v>3.63</v>
      </c>
      <c r="AM77" s="60" t="n">
        <f aca="false">IF(AJ77=0,"—",SUMIFS(Review!$K$7:$K$600,Review!$B$7:$B$600,$B77,Review!$C$7:$C$600,"Slovakia"))</f>
        <v>4.96</v>
      </c>
      <c r="AN77" s="61" t="str">
        <f aca="false">IF(AJ77=0,"—",IF(AK77&lt;AL77*(1-$C$7),"median (cheapest is an outlier)",IF(AK77*(1-$C$6)&lt;AL77*(1-$C$5),"undercut cheapest","median")))</f>
        <v>median (cheapest is an outlier)</v>
      </c>
      <c r="AO77" s="62" t="n">
        <f aca="false">IF(AJ77=0,"—",IF(AND(ISNUMBER($D77),$D77*(1+$C$10)&gt;FLOOR(IF(AK77&lt;AL77*(1-$C$7),AL77*(1-$C$5-IF(AJ77&lt;3,$C$8,0)),MIN(AL77*(1-$C$5-IF(AJ77&lt;3,$C$8,0)),AK77*(1-$C$6-IF(AJ77&lt;3,$C$8,0)))),IF(IF(AK77&lt;AL77*(1-$C$7),AL77*(1-$C$5-IF(AJ77&lt;3,$C$8,0)),MIN(AL77*(1-$C$5-IF(AJ77&lt;3,$C$8,0)),AK77*(1-$C$6-IF(AJ77&lt;3,$C$8,0))))&lt;10,$C$9,IF(IF(AK77&lt;AL77*(1-$C$7),AL77*(1-$C$5-IF(AJ77&lt;3,$C$8,0)),MIN(AL77*(1-$C$5-IF(AJ77&lt;3,$C$8,0)),AK77*(1-$C$6-IF(AJ77&lt;3,$C$8,0))))&lt;100,$D$9,$E$9)))),ROUND($D77*(1+$C$10),2),FLOOR(IF(AK77&lt;AL77*(1-$C$7),AL77*(1-$C$5-IF(AJ77&lt;3,$C$8,0)),MIN(AL77*(1-$C$5-IF(AJ77&lt;3,$C$8,0)),AK77*(1-$C$6-IF(AJ77&lt;3,$C$8,0)))),IF(IF(AK77&lt;AL77*(1-$C$7),AL77*(1-$C$5-IF(AJ77&lt;3,$C$8,0)),MIN(AL77*(1-$C$5-IF(AJ77&lt;3,$C$8,0)),AK77*(1-$C$6-IF(AJ77&lt;3,$C$8,0))))&lt;10,$C$9,IF(IF(AK77&lt;AL77*(1-$C$7),AL77*(1-$C$5-IF(AJ77&lt;3,$C$8,0)),MIN(AL77*(1-$C$5-IF(AJ77&lt;3,$C$8,0)),AK77*(1-$C$6-IF(AJ77&lt;3,$C$8,0))))&lt;100,$D$9,$E$9)))))</f>
        <v>2.7</v>
      </c>
      <c r="AP77" s="60" t="str">
        <f aca="false">IF(ISNUMBER($D77),$D77,"n/a")</f>
        <v>n/a</v>
      </c>
      <c r="AQ77" s="63" t="str">
        <f aca="false">IF(OR(AJ77=0,NOT(ISNUMBER($D77))),"—",AO77/$D77-1)</f>
        <v>—</v>
      </c>
      <c r="AR77" s="64" t="n">
        <f aca="false">IF(AJ77=0,"—",AO77/AK77-1)</f>
        <v>0.25</v>
      </c>
      <c r="AS77" s="64" t="n">
        <f aca="false">IF(AJ77=0,"—",AO77/AL77-1)</f>
        <v>-0.256198347107438</v>
      </c>
      <c r="AT77" s="59" t="n">
        <f aca="false">COUNTIFS(Offers!$B$7:$B$3000,$B77,Offers!$C$7:$C$3000,"Romania",Offers!$AI$7:$AI$3000,"yes")</f>
        <v>5</v>
      </c>
      <c r="AU77" s="60" t="n">
        <f aca="false">IF(AT77=0,"—",SUMIFS(Review!$I$7:$I$600,Review!$B$7:$B$600,$B77,Review!$C$7:$C$600,"Romania"))</f>
        <v>2.006578</v>
      </c>
      <c r="AV77" s="60" t="n">
        <f aca="false">IF(AT77=0,"—",SUMIFS(Review!$J$7:$J$600,Review!$B$7:$B$600,$B77,Review!$C$7:$C$600,"Romania"))</f>
        <v>3.505354</v>
      </c>
      <c r="AW77" s="60" t="n">
        <f aca="false">IF(AT77=0,"—",SUMIFS(Review!$K$7:$K$600,Review!$B$7:$B$600,$B77,Review!$C$7:$C$600,"Romania"))</f>
        <v>5.21824</v>
      </c>
      <c r="AX77" s="61" t="str">
        <f aca="false">IF(AT77=0,"—",IF(AU77&lt;AV77*(1-$C$7),"median (cheapest is an outlier)",IF(AU77*(1-$C$6)&lt;AV77*(1-$C$5),"undercut cheapest","median")))</f>
        <v>median (cheapest is an outlier)</v>
      </c>
      <c r="AY77" s="62" t="n">
        <f aca="false">IF(AT77=0,"—",IF(AND(ISNUMBER($D77),$D77*(1+$C$10)&gt;FLOOR(IF(AU77&lt;AV77*(1-$C$7),AV77*(1-$C$5-IF(AT77&lt;3,$C$8,0)),MIN(AV77*(1-$C$5-IF(AT77&lt;3,$C$8,0)),AU77*(1-$C$6-IF(AT77&lt;3,$C$8,0)))),IF(IF(AU77&lt;AV77*(1-$C$7),AV77*(1-$C$5-IF(AT77&lt;3,$C$8,0)),MIN(AV77*(1-$C$5-IF(AT77&lt;3,$C$8,0)),AU77*(1-$C$6-IF(AT77&lt;3,$C$8,0))))&lt;10,$C$9,IF(IF(AU77&lt;AV77*(1-$C$7),AV77*(1-$C$5-IF(AT77&lt;3,$C$8,0)),MIN(AV77*(1-$C$5-IF(AT77&lt;3,$C$8,0)),AU77*(1-$C$6-IF(AT77&lt;3,$C$8,0))))&lt;100,$D$9,$E$9)))),ROUND($D77*(1+$C$10),2),FLOOR(IF(AU77&lt;AV77*(1-$C$7),AV77*(1-$C$5-IF(AT77&lt;3,$C$8,0)),MIN(AV77*(1-$C$5-IF(AT77&lt;3,$C$8,0)),AU77*(1-$C$6-IF(AT77&lt;3,$C$8,0)))),IF(IF(AU77&lt;AV77*(1-$C$7),AV77*(1-$C$5-IF(AT77&lt;3,$C$8,0)),MIN(AV77*(1-$C$5-IF(AT77&lt;3,$C$8,0)),AU77*(1-$C$6-IF(AT77&lt;3,$C$8,0))))&lt;10,$C$9,IF(IF(AU77&lt;AV77*(1-$C$7),AV77*(1-$C$5-IF(AT77&lt;3,$C$8,0)),MIN(AV77*(1-$C$5-IF(AT77&lt;3,$C$8,0)),AU77*(1-$C$6-IF(AT77&lt;3,$C$8,0))))&lt;100,$D$9,$E$9)))))</f>
        <v>2.6</v>
      </c>
      <c r="AZ77" s="62" t="n">
        <f aca="false">IF(AT77=0,"—",FLOOR(AY77*Sources!$G$9,0.1))</f>
        <v>13.7</v>
      </c>
      <c r="BA77" s="60" t="str">
        <f aca="false">IF(ISNUMBER($D77),$D77,"n/a")</f>
        <v>n/a</v>
      </c>
      <c r="BB77" s="63" t="str">
        <f aca="false">IF(OR(AT77=0,NOT(ISNUMBER($D77))),"—",AY77/$D77-1)</f>
        <v>—</v>
      </c>
      <c r="BC77" s="64" t="n">
        <f aca="false">IF(AT77=0,"—",AY77/AU77-1)</f>
        <v>0.295738316676451</v>
      </c>
      <c r="BD77" s="64" t="n">
        <f aca="false">IF(AT77=0,"—",AY77/AV77-1)</f>
        <v>-0.258277480676702</v>
      </c>
      <c r="BE77" s="59" t="n">
        <f aca="false">COUNTIFS(Offers!$B$7:$B$3000,$B77,Offers!$C$7:$C$3000,"Hungary",Offers!$AI$7:$AI$3000,"yes")</f>
        <v>0</v>
      </c>
      <c r="BF77" s="60" t="str">
        <f aca="false">IF(BE77=0,"—",SUMIFS(Review!$I$7:$I$600,Review!$B$7:$B$600,$B77,Review!$C$7:$C$600,"Hungary"))</f>
        <v>—</v>
      </c>
      <c r="BG77" s="60" t="str">
        <f aca="false">IF(BE77=0,"—",SUMIFS(Review!$J$7:$J$600,Review!$B$7:$B$600,$B77,Review!$C$7:$C$600,"Hungary"))</f>
        <v>—</v>
      </c>
      <c r="BH77" s="60" t="str">
        <f aca="false">IF(BE77=0,"—",SUMIFS(Review!$K$7:$K$600,Review!$B$7:$B$600,$B77,Review!$C$7:$C$600,"Hungary"))</f>
        <v>—</v>
      </c>
      <c r="BI77" s="61" t="str">
        <f aca="false">IF(BE77=0,"—",IF(BF77&lt;BG77*(1-$C$7),"median (cheapest is an outlier)",IF(BF77*(1-$C$6)&lt;BG77*(1-$C$5),"undercut cheapest","median")))</f>
        <v>—</v>
      </c>
      <c r="BJ77" s="62" t="str">
        <f aca="false">IF(BE77=0,"—",IF(AND(ISNUMBER($D77),$D77*(1+$C$10)&gt;FLOOR(IF(BF77&lt;BG77*(1-$C$7),BG77*(1-$C$5-IF(BE77&lt;3,$C$8,0)),MIN(BG77*(1-$C$5-IF(BE77&lt;3,$C$8,0)),BF77*(1-$C$6-IF(BE77&lt;3,$C$8,0)))),IF(IF(BF77&lt;BG77*(1-$C$7),BG77*(1-$C$5-IF(BE77&lt;3,$C$8,0)),MIN(BG77*(1-$C$5-IF(BE77&lt;3,$C$8,0)),BF77*(1-$C$6-IF(BE77&lt;3,$C$8,0))))&lt;10,$C$9,IF(IF(BF77&lt;BG77*(1-$C$7),BG77*(1-$C$5-IF(BE77&lt;3,$C$8,0)),MIN(BG77*(1-$C$5-IF(BE77&lt;3,$C$8,0)),BF77*(1-$C$6-IF(BE77&lt;3,$C$8,0))))&lt;100,$D$9,$E$9)))),ROUND($D77*(1+$C$10),2),FLOOR(IF(BF77&lt;BG77*(1-$C$7),BG77*(1-$C$5-IF(BE77&lt;3,$C$8,0)),MIN(BG77*(1-$C$5-IF(BE77&lt;3,$C$8,0)),BF77*(1-$C$6-IF(BE77&lt;3,$C$8,0)))),IF(IF(BF77&lt;BG77*(1-$C$7),BG77*(1-$C$5-IF(BE77&lt;3,$C$8,0)),MIN(BG77*(1-$C$5-IF(BE77&lt;3,$C$8,0)),BF77*(1-$C$6-IF(BE77&lt;3,$C$8,0))))&lt;10,$C$9,IF(IF(BF77&lt;BG77*(1-$C$7),BG77*(1-$C$5-IF(BE77&lt;3,$C$8,0)),MIN(BG77*(1-$C$5-IF(BE77&lt;3,$C$8,0)),BF77*(1-$C$6-IF(BE77&lt;3,$C$8,0))))&lt;100,$D$9,$E$9)))))</f>
        <v>—</v>
      </c>
      <c r="BK77" s="65" t="str">
        <f aca="false">IF(BE77=0,"—",FLOOR(BJ77*Sources!$G$8,10))</f>
        <v>—</v>
      </c>
      <c r="BL77" s="60" t="str">
        <f aca="false">IF(ISNUMBER($D77),$D77,"n/a")</f>
        <v>n/a</v>
      </c>
      <c r="BM77" s="63" t="str">
        <f aca="false">IF(OR(BE77=0,NOT(ISNUMBER($D77))),"—",BJ77/$D77-1)</f>
        <v>—</v>
      </c>
      <c r="BN77" s="64" t="str">
        <f aca="false">IF(BE77=0,"—",BJ77/BF77-1)</f>
        <v>—</v>
      </c>
      <c r="BO77" s="64" t="str">
        <f aca="false">IF(BE77=0,"—",BJ77/BG77-1)</f>
        <v>—</v>
      </c>
    </row>
    <row r="78" customFormat="false" ht="15" hidden="false" customHeight="false" outlineLevel="0" collapsed="false">
      <c r="B78" s="1" t="s">
        <v>94</v>
      </c>
      <c r="C78" s="1" t="s">
        <v>203</v>
      </c>
      <c r="D78" s="58"/>
      <c r="E78" s="59" t="n">
        <f aca="false">COUNTIFS(Offers!$B$7:$B$3000,$B78,Offers!$C$7:$C$3000,"Austria",Offers!$AI$7:$AI$3000,"yes")</f>
        <v>7</v>
      </c>
      <c r="F78" s="60" t="n">
        <f aca="false">IF(E78=0,"—",SUMIFS(Review!$I$7:$I$600,Review!$B$7:$B$600,$B78,Review!$C$7:$C$600,"Austria"))</f>
        <v>2.8</v>
      </c>
      <c r="G78" s="60" t="n">
        <f aca="false">IF(E78=0,"—",SUMIFS(Review!$J$7:$J$600,Review!$B$7:$B$600,$B78,Review!$C$7:$C$600,"Austria"))</f>
        <v>4.25</v>
      </c>
      <c r="H78" s="60" t="n">
        <f aca="false">IF(E78=0,"—",SUMIFS(Review!$K$7:$K$600,Review!$B$7:$B$600,$B78,Review!$C$7:$C$600,"Austria"))</f>
        <v>13.5</v>
      </c>
      <c r="I78" s="61" t="str">
        <f aca="false">IF(E78=0,"—",IF(F78&lt;G78*(1-$C$7),"median (cheapest is an outlier)",IF(F78*(1-$C$6)&lt;G78*(1-$C$5),"undercut cheapest","median")))</f>
        <v>undercut cheapest</v>
      </c>
      <c r="J78" s="62" t="n">
        <f aca="false">IF(E78=0,"—",IF(AND(ISNUMBER($D78),$D78*(1+$C$10)&gt;FLOOR(IF(F78&lt;G78*(1-$C$7),G78*(1-$C$5-IF(E78&lt;3,$C$8,0)),MIN(G78*(1-$C$5-IF(E78&lt;3,$C$8,0)),F78*(1-$C$6-IF(E78&lt;3,$C$8,0)))),IF(IF(F78&lt;G78*(1-$C$7),G78*(1-$C$5-IF(E78&lt;3,$C$8,0)),MIN(G78*(1-$C$5-IF(E78&lt;3,$C$8,0)),F78*(1-$C$6-IF(E78&lt;3,$C$8,0))))&lt;10,$C$9,IF(IF(F78&lt;G78*(1-$C$7),G78*(1-$C$5-IF(E78&lt;3,$C$8,0)),MIN(G78*(1-$C$5-IF(E78&lt;3,$C$8,0)),F78*(1-$C$6-IF(E78&lt;3,$C$8,0))))&lt;100,$D$9,$E$9)))),ROUND($D78*(1+$C$10),2),FLOOR(IF(F78&lt;G78*(1-$C$7),G78*(1-$C$5-IF(E78&lt;3,$C$8,0)),MIN(G78*(1-$C$5-IF(E78&lt;3,$C$8,0)),F78*(1-$C$6-IF(E78&lt;3,$C$8,0)))),IF(IF(F78&lt;G78*(1-$C$7),G78*(1-$C$5-IF(E78&lt;3,$C$8,0)),MIN(G78*(1-$C$5-IF(E78&lt;3,$C$8,0)),F78*(1-$C$6-IF(E78&lt;3,$C$8,0))))&lt;10,$C$9,IF(IF(F78&lt;G78*(1-$C$7),G78*(1-$C$5-IF(E78&lt;3,$C$8,0)),MIN(G78*(1-$C$5-IF(E78&lt;3,$C$8,0)),F78*(1-$C$6-IF(E78&lt;3,$C$8,0))))&lt;100,$D$9,$E$9)))))</f>
        <v>2.65</v>
      </c>
      <c r="K78" s="60" t="str">
        <f aca="false">IF(ISNUMBER($D78),$D78,"n/a")</f>
        <v>n/a</v>
      </c>
      <c r="L78" s="63" t="str">
        <f aca="false">IF(OR(E78=0,NOT(ISNUMBER($D78))),"—",J78/$D78-1)</f>
        <v>—</v>
      </c>
      <c r="M78" s="64" t="n">
        <f aca="false">IF(E78=0,"—",J78/F78-1)</f>
        <v>-0.0535714285714284</v>
      </c>
      <c r="N78" s="64" t="n">
        <f aca="false">IF(E78=0,"—",J78/G78-1)</f>
        <v>-0.376470588235294</v>
      </c>
      <c r="O78" s="59" t="n">
        <f aca="false">COUNTIFS(Offers!$B$7:$B$3000,$B78,Offers!$C$7:$C$3000,"Germany",Offers!$AI$7:$AI$3000,"yes")</f>
        <v>7</v>
      </c>
      <c r="P78" s="60" t="n">
        <f aca="false">IF(O78=0,"—",SUMIFS(Review!$I$7:$I$600,Review!$B$7:$B$600,$B78,Review!$C$7:$C$600,"Germany"))</f>
        <v>2.9</v>
      </c>
      <c r="Q78" s="60" t="n">
        <f aca="false">IF(O78=0,"—",SUMIFS(Review!$J$7:$J$600,Review!$B$7:$B$600,$B78,Review!$C$7:$C$600,"Germany"))</f>
        <v>3.92</v>
      </c>
      <c r="R78" s="60" t="n">
        <f aca="false">IF(O78=0,"—",SUMIFS(Review!$K$7:$K$600,Review!$B$7:$B$600,$B78,Review!$C$7:$C$600,"Germany"))</f>
        <v>12.9</v>
      </c>
      <c r="S78" s="61" t="str">
        <f aca="false">IF(O78=0,"—",IF(P78&lt;Q78*(1-$C$7),"median (cheapest is an outlier)",IF(P78*(1-$C$6)&lt;Q78*(1-$C$5),"undercut cheapest","median")))</f>
        <v>undercut cheapest</v>
      </c>
      <c r="T78" s="62" t="n">
        <f aca="false">IF(O78=0,"—",IF(AND(ISNUMBER($D78),$D78*(1+$C$10)&gt;FLOOR(IF(P78&lt;Q78*(1-$C$7),Q78*(1-$C$5-IF(O78&lt;3,$C$8,0)),MIN(Q78*(1-$C$5-IF(O78&lt;3,$C$8,0)),P78*(1-$C$6-IF(O78&lt;3,$C$8,0)))),IF(IF(P78&lt;Q78*(1-$C$7),Q78*(1-$C$5-IF(O78&lt;3,$C$8,0)),MIN(Q78*(1-$C$5-IF(O78&lt;3,$C$8,0)),P78*(1-$C$6-IF(O78&lt;3,$C$8,0))))&lt;10,$C$9,IF(IF(P78&lt;Q78*(1-$C$7),Q78*(1-$C$5-IF(O78&lt;3,$C$8,0)),MIN(Q78*(1-$C$5-IF(O78&lt;3,$C$8,0)),P78*(1-$C$6-IF(O78&lt;3,$C$8,0))))&lt;100,$D$9,$E$9)))),ROUND($D78*(1+$C$10),2),FLOOR(IF(P78&lt;Q78*(1-$C$7),Q78*(1-$C$5-IF(O78&lt;3,$C$8,0)),MIN(Q78*(1-$C$5-IF(O78&lt;3,$C$8,0)),P78*(1-$C$6-IF(O78&lt;3,$C$8,0)))),IF(IF(P78&lt;Q78*(1-$C$7),Q78*(1-$C$5-IF(O78&lt;3,$C$8,0)),MIN(Q78*(1-$C$5-IF(O78&lt;3,$C$8,0)),P78*(1-$C$6-IF(O78&lt;3,$C$8,0))))&lt;10,$C$9,IF(IF(P78&lt;Q78*(1-$C$7),Q78*(1-$C$5-IF(O78&lt;3,$C$8,0)),MIN(Q78*(1-$C$5-IF(O78&lt;3,$C$8,0)),P78*(1-$C$6-IF(O78&lt;3,$C$8,0))))&lt;100,$D$9,$E$9)))))</f>
        <v>2.75</v>
      </c>
      <c r="U78" s="60" t="str">
        <f aca="false">IF(ISNUMBER($D78),$D78,"n/a")</f>
        <v>n/a</v>
      </c>
      <c r="V78" s="63" t="str">
        <f aca="false">IF(OR(O78=0,NOT(ISNUMBER($D78))),"—",T78/$D78-1)</f>
        <v>—</v>
      </c>
      <c r="W78" s="64" t="n">
        <f aca="false">IF(O78=0,"—",T78/P78-1)</f>
        <v>-0.0517241379310345</v>
      </c>
      <c r="X78" s="64" t="n">
        <f aca="false">IF(O78=0,"—",T78/Q78-1)</f>
        <v>-0.298469387755102</v>
      </c>
      <c r="Y78" s="59" t="n">
        <f aca="false">COUNTIFS(Offers!$B$7:$B$3000,$B78,Offers!$C$7:$C$3000,"Czech",Offers!$AI$7:$AI$3000,"yes")</f>
        <v>5</v>
      </c>
      <c r="Z78" s="60" t="n">
        <f aca="false">IF(Y78=0,"—",SUMIFS(Review!$I$7:$I$600,Review!$B$7:$B$600,$B78,Review!$C$7:$C$600,"Czech"))</f>
        <v>2.537708</v>
      </c>
      <c r="AA78" s="60" t="n">
        <f aca="false">IF(Y78=0,"—",SUMIFS(Review!$J$7:$J$600,Review!$B$7:$B$600,$B78,Review!$C$7:$C$600,"Czech"))</f>
        <v>4.500562</v>
      </c>
      <c r="AB78" s="60" t="n">
        <f aca="false">IF(Y78=0,"—",SUMIFS(Review!$K$7:$K$600,Review!$B$7:$B$600,$B78,Review!$C$7:$C$600,"Czech"))</f>
        <v>6.714812</v>
      </c>
      <c r="AC78" s="61" t="str">
        <f aca="false">IF(Y78=0,"—",IF(Z78&lt;AA78*(1-$C$7),"median (cheapest is an outlier)",IF(Z78*(1-$C$6)&lt;AA78*(1-$C$5),"undercut cheapest","median")))</f>
        <v>median (cheapest is an outlier)</v>
      </c>
      <c r="AD78" s="62" t="n">
        <f aca="false">IF(Y78=0,"—",IF(AND(ISNUMBER($D78),$D78*(1+$C$10)&gt;FLOOR(IF(Z78&lt;AA78*(1-$C$7),AA78*(1-$C$5-IF(Y78&lt;3,$C$8,0)),MIN(AA78*(1-$C$5-IF(Y78&lt;3,$C$8,0)),Z78*(1-$C$6-IF(Y78&lt;3,$C$8,0)))),IF(IF(Z78&lt;AA78*(1-$C$7),AA78*(1-$C$5-IF(Y78&lt;3,$C$8,0)),MIN(AA78*(1-$C$5-IF(Y78&lt;3,$C$8,0)),Z78*(1-$C$6-IF(Y78&lt;3,$C$8,0))))&lt;10,$C$9,IF(IF(Z78&lt;AA78*(1-$C$7),AA78*(1-$C$5-IF(Y78&lt;3,$C$8,0)),MIN(AA78*(1-$C$5-IF(Y78&lt;3,$C$8,0)),Z78*(1-$C$6-IF(Y78&lt;3,$C$8,0))))&lt;100,$D$9,$E$9)))),ROUND($D78*(1+$C$10),2),FLOOR(IF(Z78&lt;AA78*(1-$C$7),AA78*(1-$C$5-IF(Y78&lt;3,$C$8,0)),MIN(AA78*(1-$C$5-IF(Y78&lt;3,$C$8,0)),Z78*(1-$C$6-IF(Y78&lt;3,$C$8,0)))),IF(IF(Z78&lt;AA78*(1-$C$7),AA78*(1-$C$5-IF(Y78&lt;3,$C$8,0)),MIN(AA78*(1-$C$5-IF(Y78&lt;3,$C$8,0)),Z78*(1-$C$6-IF(Y78&lt;3,$C$8,0))))&lt;10,$C$9,IF(IF(Z78&lt;AA78*(1-$C$7),AA78*(1-$C$5-IF(Y78&lt;3,$C$8,0)),MIN(AA78*(1-$C$5-IF(Y78&lt;3,$C$8,0)),Z78*(1-$C$6-IF(Y78&lt;3,$C$8,0))))&lt;100,$D$9,$E$9)))))</f>
        <v>3.35</v>
      </c>
      <c r="AE78" s="65" t="n">
        <f aca="false">IF(Y78=0,"—",FLOOR(AD78*Sources!$G$10,1))</f>
        <v>81</v>
      </c>
      <c r="AF78" s="60" t="str">
        <f aca="false">IF(ISNUMBER($D78),$D78,"n/a")</f>
        <v>n/a</v>
      </c>
      <c r="AG78" s="63" t="str">
        <f aca="false">IF(OR(Y78=0,NOT(ISNUMBER($D78))),"—",AD78/$D78-1)</f>
        <v>—</v>
      </c>
      <c r="AH78" s="64" t="n">
        <f aca="false">IF(Y78=0,"—",AD78/Z78-1)</f>
        <v>0.320088836067822</v>
      </c>
      <c r="AI78" s="64" t="n">
        <f aca="false">IF(Y78=0,"—",AD78/AA78-1)</f>
        <v>-0.255648516785237</v>
      </c>
      <c r="AJ78" s="59" t="n">
        <f aca="false">COUNTIFS(Offers!$B$7:$B$3000,$B78,Offers!$C$7:$C$3000,"Slovakia",Offers!$AI$7:$AI$3000,"yes")</f>
        <v>5</v>
      </c>
      <c r="AK78" s="60" t="n">
        <f aca="false">IF(AJ78=0,"—",SUMIFS(Review!$I$7:$I$600,Review!$B$7:$B$600,$B78,Review!$C$7:$C$600,"Slovakia"))</f>
        <v>2.46</v>
      </c>
      <c r="AL78" s="60" t="n">
        <f aca="false">IF(AJ78=0,"—",SUMIFS(Review!$J$7:$J$600,Review!$B$7:$B$600,$B78,Review!$C$7:$C$600,"Slovakia"))</f>
        <v>4.01</v>
      </c>
      <c r="AM78" s="60" t="n">
        <f aca="false">IF(AJ78=0,"—",SUMIFS(Review!$K$7:$K$600,Review!$B$7:$B$600,$B78,Review!$C$7:$C$600,"Slovakia"))</f>
        <v>4.96</v>
      </c>
      <c r="AN78" s="61" t="str">
        <f aca="false">IF(AJ78=0,"—",IF(AK78&lt;AL78*(1-$C$7),"median (cheapest is an outlier)",IF(AK78*(1-$C$6)&lt;AL78*(1-$C$5),"undercut cheapest","median")))</f>
        <v>median (cheapest is an outlier)</v>
      </c>
      <c r="AO78" s="62" t="n">
        <f aca="false">IF(AJ78=0,"—",IF(AND(ISNUMBER($D78),$D78*(1+$C$10)&gt;FLOOR(IF(AK78&lt;AL78*(1-$C$7),AL78*(1-$C$5-IF(AJ78&lt;3,$C$8,0)),MIN(AL78*(1-$C$5-IF(AJ78&lt;3,$C$8,0)),AK78*(1-$C$6-IF(AJ78&lt;3,$C$8,0)))),IF(IF(AK78&lt;AL78*(1-$C$7),AL78*(1-$C$5-IF(AJ78&lt;3,$C$8,0)),MIN(AL78*(1-$C$5-IF(AJ78&lt;3,$C$8,0)),AK78*(1-$C$6-IF(AJ78&lt;3,$C$8,0))))&lt;10,$C$9,IF(IF(AK78&lt;AL78*(1-$C$7),AL78*(1-$C$5-IF(AJ78&lt;3,$C$8,0)),MIN(AL78*(1-$C$5-IF(AJ78&lt;3,$C$8,0)),AK78*(1-$C$6-IF(AJ78&lt;3,$C$8,0))))&lt;100,$D$9,$E$9)))),ROUND($D78*(1+$C$10),2),FLOOR(IF(AK78&lt;AL78*(1-$C$7),AL78*(1-$C$5-IF(AJ78&lt;3,$C$8,0)),MIN(AL78*(1-$C$5-IF(AJ78&lt;3,$C$8,0)),AK78*(1-$C$6-IF(AJ78&lt;3,$C$8,0)))),IF(IF(AK78&lt;AL78*(1-$C$7),AL78*(1-$C$5-IF(AJ78&lt;3,$C$8,0)),MIN(AL78*(1-$C$5-IF(AJ78&lt;3,$C$8,0)),AK78*(1-$C$6-IF(AJ78&lt;3,$C$8,0))))&lt;10,$C$9,IF(IF(AK78&lt;AL78*(1-$C$7),AL78*(1-$C$5-IF(AJ78&lt;3,$C$8,0)),MIN(AL78*(1-$C$5-IF(AJ78&lt;3,$C$8,0)),AK78*(1-$C$6-IF(AJ78&lt;3,$C$8,0))))&lt;100,$D$9,$E$9)))))</f>
        <v>3</v>
      </c>
      <c r="AP78" s="60" t="str">
        <f aca="false">IF(ISNUMBER($D78),$D78,"n/a")</f>
        <v>n/a</v>
      </c>
      <c r="AQ78" s="63" t="str">
        <f aca="false">IF(OR(AJ78=0,NOT(ISNUMBER($D78))),"—",AO78/$D78-1)</f>
        <v>—</v>
      </c>
      <c r="AR78" s="64" t="n">
        <f aca="false">IF(AJ78=0,"—",AO78/AK78-1)</f>
        <v>0.219512195121951</v>
      </c>
      <c r="AS78" s="64" t="n">
        <f aca="false">IF(AJ78=0,"—",AO78/AL78-1)</f>
        <v>-0.251870324189526</v>
      </c>
      <c r="AT78" s="59" t="n">
        <f aca="false">COUNTIFS(Offers!$B$7:$B$3000,$B78,Offers!$C$7:$C$3000,"Romania",Offers!$AI$7:$AI$3000,"yes")</f>
        <v>5</v>
      </c>
      <c r="AU78" s="60" t="n">
        <f aca="false">IF(AT78=0,"—",SUMIFS(Review!$I$7:$I$600,Review!$B$7:$B$600,$B78,Review!$C$7:$C$600,"Romania"))</f>
        <v>2.432905</v>
      </c>
      <c r="AV78" s="60" t="n">
        <f aca="false">IF(AT78=0,"—",SUMIFS(Review!$J$7:$J$600,Review!$B$7:$B$600,$B78,Review!$C$7:$C$600,"Romania"))</f>
        <v>3.869152</v>
      </c>
      <c r="AW78" s="60" t="n">
        <f aca="false">IF(AT78=0,"—",SUMIFS(Review!$K$7:$K$600,Review!$B$7:$B$600,$B78,Review!$C$7:$C$600,"Romania"))</f>
        <v>5.21824</v>
      </c>
      <c r="AX78" s="61" t="str">
        <f aca="false">IF(AT78=0,"—",IF(AU78&lt;AV78*(1-$C$7),"median (cheapest is an outlier)",IF(AU78*(1-$C$6)&lt;AV78*(1-$C$5),"undercut cheapest","median")))</f>
        <v>median (cheapest is an outlier)</v>
      </c>
      <c r="AY78" s="62" t="n">
        <f aca="false">IF(AT78=0,"—",IF(AND(ISNUMBER($D78),$D78*(1+$C$10)&gt;FLOOR(IF(AU78&lt;AV78*(1-$C$7),AV78*(1-$C$5-IF(AT78&lt;3,$C$8,0)),MIN(AV78*(1-$C$5-IF(AT78&lt;3,$C$8,0)),AU78*(1-$C$6-IF(AT78&lt;3,$C$8,0)))),IF(IF(AU78&lt;AV78*(1-$C$7),AV78*(1-$C$5-IF(AT78&lt;3,$C$8,0)),MIN(AV78*(1-$C$5-IF(AT78&lt;3,$C$8,0)),AU78*(1-$C$6-IF(AT78&lt;3,$C$8,0))))&lt;10,$C$9,IF(IF(AU78&lt;AV78*(1-$C$7),AV78*(1-$C$5-IF(AT78&lt;3,$C$8,0)),MIN(AV78*(1-$C$5-IF(AT78&lt;3,$C$8,0)),AU78*(1-$C$6-IF(AT78&lt;3,$C$8,0))))&lt;100,$D$9,$E$9)))),ROUND($D78*(1+$C$10),2),FLOOR(IF(AU78&lt;AV78*(1-$C$7),AV78*(1-$C$5-IF(AT78&lt;3,$C$8,0)),MIN(AV78*(1-$C$5-IF(AT78&lt;3,$C$8,0)),AU78*(1-$C$6-IF(AT78&lt;3,$C$8,0)))),IF(IF(AU78&lt;AV78*(1-$C$7),AV78*(1-$C$5-IF(AT78&lt;3,$C$8,0)),MIN(AV78*(1-$C$5-IF(AT78&lt;3,$C$8,0)),AU78*(1-$C$6-IF(AT78&lt;3,$C$8,0))))&lt;10,$C$9,IF(IF(AU78&lt;AV78*(1-$C$7),AV78*(1-$C$5-IF(AT78&lt;3,$C$8,0)),MIN(AV78*(1-$C$5-IF(AT78&lt;3,$C$8,0)),AU78*(1-$C$6-IF(AT78&lt;3,$C$8,0))))&lt;100,$D$9,$E$9)))))</f>
        <v>2.9</v>
      </c>
      <c r="AZ78" s="62" t="n">
        <f aca="false">IF(AT78=0,"—",FLOOR(AY78*Sources!$G$9,0.1))</f>
        <v>15.3</v>
      </c>
      <c r="BA78" s="60" t="str">
        <f aca="false">IF(ISNUMBER($D78),$D78,"n/a")</f>
        <v>n/a</v>
      </c>
      <c r="BB78" s="63" t="str">
        <f aca="false">IF(OR(AT78=0,NOT(ISNUMBER($D78))),"—",AY78/$D78-1)</f>
        <v>—</v>
      </c>
      <c r="BC78" s="64" t="n">
        <f aca="false">IF(AT78=0,"—",AY78/AU78-1)</f>
        <v>0.191990644928594</v>
      </c>
      <c r="BD78" s="64" t="n">
        <f aca="false">IF(AT78=0,"—",AY78/AV78-1)</f>
        <v>-0.250481759310567</v>
      </c>
      <c r="BE78" s="59" t="n">
        <f aca="false">COUNTIFS(Offers!$B$7:$B$3000,$B78,Offers!$C$7:$C$3000,"Hungary",Offers!$AI$7:$AI$3000,"yes")</f>
        <v>0</v>
      </c>
      <c r="BF78" s="60" t="str">
        <f aca="false">IF(BE78=0,"—",SUMIFS(Review!$I$7:$I$600,Review!$B$7:$B$600,$B78,Review!$C$7:$C$600,"Hungary"))</f>
        <v>—</v>
      </c>
      <c r="BG78" s="60" t="str">
        <f aca="false">IF(BE78=0,"—",SUMIFS(Review!$J$7:$J$600,Review!$B$7:$B$600,$B78,Review!$C$7:$C$600,"Hungary"))</f>
        <v>—</v>
      </c>
      <c r="BH78" s="60" t="str">
        <f aca="false">IF(BE78=0,"—",SUMIFS(Review!$K$7:$K$600,Review!$B$7:$B$600,$B78,Review!$C$7:$C$600,"Hungary"))</f>
        <v>—</v>
      </c>
      <c r="BI78" s="61" t="str">
        <f aca="false">IF(BE78=0,"—",IF(BF78&lt;BG78*(1-$C$7),"median (cheapest is an outlier)",IF(BF78*(1-$C$6)&lt;BG78*(1-$C$5),"undercut cheapest","median")))</f>
        <v>—</v>
      </c>
      <c r="BJ78" s="62" t="str">
        <f aca="false">IF(BE78=0,"—",IF(AND(ISNUMBER($D78),$D78*(1+$C$10)&gt;FLOOR(IF(BF78&lt;BG78*(1-$C$7),BG78*(1-$C$5-IF(BE78&lt;3,$C$8,0)),MIN(BG78*(1-$C$5-IF(BE78&lt;3,$C$8,0)),BF78*(1-$C$6-IF(BE78&lt;3,$C$8,0)))),IF(IF(BF78&lt;BG78*(1-$C$7),BG78*(1-$C$5-IF(BE78&lt;3,$C$8,0)),MIN(BG78*(1-$C$5-IF(BE78&lt;3,$C$8,0)),BF78*(1-$C$6-IF(BE78&lt;3,$C$8,0))))&lt;10,$C$9,IF(IF(BF78&lt;BG78*(1-$C$7),BG78*(1-$C$5-IF(BE78&lt;3,$C$8,0)),MIN(BG78*(1-$C$5-IF(BE78&lt;3,$C$8,0)),BF78*(1-$C$6-IF(BE78&lt;3,$C$8,0))))&lt;100,$D$9,$E$9)))),ROUND($D78*(1+$C$10),2),FLOOR(IF(BF78&lt;BG78*(1-$C$7),BG78*(1-$C$5-IF(BE78&lt;3,$C$8,0)),MIN(BG78*(1-$C$5-IF(BE78&lt;3,$C$8,0)),BF78*(1-$C$6-IF(BE78&lt;3,$C$8,0)))),IF(IF(BF78&lt;BG78*(1-$C$7),BG78*(1-$C$5-IF(BE78&lt;3,$C$8,0)),MIN(BG78*(1-$C$5-IF(BE78&lt;3,$C$8,0)),BF78*(1-$C$6-IF(BE78&lt;3,$C$8,0))))&lt;10,$C$9,IF(IF(BF78&lt;BG78*(1-$C$7),BG78*(1-$C$5-IF(BE78&lt;3,$C$8,0)),MIN(BG78*(1-$C$5-IF(BE78&lt;3,$C$8,0)),BF78*(1-$C$6-IF(BE78&lt;3,$C$8,0))))&lt;100,$D$9,$E$9)))))</f>
        <v>—</v>
      </c>
      <c r="BK78" s="65" t="str">
        <f aca="false">IF(BE78=0,"—",FLOOR(BJ78*Sources!$G$8,10))</f>
        <v>—</v>
      </c>
      <c r="BL78" s="60" t="str">
        <f aca="false">IF(ISNUMBER($D78),$D78,"n/a")</f>
        <v>n/a</v>
      </c>
      <c r="BM78" s="63" t="str">
        <f aca="false">IF(OR(BE78=0,NOT(ISNUMBER($D78))),"—",BJ78/$D78-1)</f>
        <v>—</v>
      </c>
      <c r="BN78" s="64" t="str">
        <f aca="false">IF(BE78=0,"—",BJ78/BF78-1)</f>
        <v>—</v>
      </c>
      <c r="BO78" s="64" t="str">
        <f aca="false">IF(BE78=0,"—",BJ78/BG78-1)</f>
        <v>—</v>
      </c>
    </row>
    <row r="79" customFormat="false" ht="15" hidden="false" customHeight="false" outlineLevel="0" collapsed="false">
      <c r="B79" s="1" t="s">
        <v>95</v>
      </c>
      <c r="C79" s="1" t="s">
        <v>204</v>
      </c>
      <c r="D79" s="58"/>
      <c r="E79" s="59" t="n">
        <f aca="false">COUNTIFS(Offers!$B$7:$B$3000,$B79,Offers!$C$7:$C$3000,"Austria",Offers!$AI$7:$AI$3000,"yes")</f>
        <v>7</v>
      </c>
      <c r="F79" s="60" t="n">
        <f aca="false">IF(E79=0,"—",SUMIFS(Review!$I$7:$I$600,Review!$B$7:$B$600,$B79,Review!$C$7:$C$600,"Austria"))</f>
        <v>2.83</v>
      </c>
      <c r="G79" s="60" t="n">
        <f aca="false">IF(E79=0,"—",SUMIFS(Review!$J$7:$J$600,Review!$B$7:$B$600,$B79,Review!$C$7:$C$600,"Austria"))</f>
        <v>5.25</v>
      </c>
      <c r="H79" s="60" t="n">
        <f aca="false">IF(E79=0,"—",SUMIFS(Review!$K$7:$K$600,Review!$B$7:$B$600,$B79,Review!$C$7:$C$600,"Austria"))</f>
        <v>19.36</v>
      </c>
      <c r="I79" s="61" t="str">
        <f aca="false">IF(E79=0,"—",IF(F79&lt;G79*(1-$C$7),"median (cheapest is an outlier)",IF(F79*(1-$C$6)&lt;G79*(1-$C$5),"undercut cheapest","median")))</f>
        <v>median (cheapest is an outlier)</v>
      </c>
      <c r="J79" s="62" t="n">
        <f aca="false">IF(E79=0,"—",IF(AND(ISNUMBER($D79),$D79*(1+$C$10)&gt;FLOOR(IF(F79&lt;G79*(1-$C$7),G79*(1-$C$5-IF(E79&lt;3,$C$8,0)),MIN(G79*(1-$C$5-IF(E79&lt;3,$C$8,0)),F79*(1-$C$6-IF(E79&lt;3,$C$8,0)))),IF(IF(F79&lt;G79*(1-$C$7),G79*(1-$C$5-IF(E79&lt;3,$C$8,0)),MIN(G79*(1-$C$5-IF(E79&lt;3,$C$8,0)),F79*(1-$C$6-IF(E79&lt;3,$C$8,0))))&lt;10,$C$9,IF(IF(F79&lt;G79*(1-$C$7),G79*(1-$C$5-IF(E79&lt;3,$C$8,0)),MIN(G79*(1-$C$5-IF(E79&lt;3,$C$8,0)),F79*(1-$C$6-IF(E79&lt;3,$C$8,0))))&lt;100,$D$9,$E$9)))),ROUND($D79*(1+$C$10),2),FLOOR(IF(F79&lt;G79*(1-$C$7),G79*(1-$C$5-IF(E79&lt;3,$C$8,0)),MIN(G79*(1-$C$5-IF(E79&lt;3,$C$8,0)),F79*(1-$C$6-IF(E79&lt;3,$C$8,0)))),IF(IF(F79&lt;G79*(1-$C$7),G79*(1-$C$5-IF(E79&lt;3,$C$8,0)),MIN(G79*(1-$C$5-IF(E79&lt;3,$C$8,0)),F79*(1-$C$6-IF(E79&lt;3,$C$8,0))))&lt;10,$C$9,IF(IF(F79&lt;G79*(1-$C$7),G79*(1-$C$5-IF(E79&lt;3,$C$8,0)),MIN(G79*(1-$C$5-IF(E79&lt;3,$C$8,0)),F79*(1-$C$6-IF(E79&lt;3,$C$8,0))))&lt;100,$D$9,$E$9)))))</f>
        <v>3.9</v>
      </c>
      <c r="K79" s="60" t="str">
        <f aca="false">IF(ISNUMBER($D79),$D79,"n/a")</f>
        <v>n/a</v>
      </c>
      <c r="L79" s="63" t="str">
        <f aca="false">IF(OR(E79=0,NOT(ISNUMBER($D79))),"—",J79/$D79-1)</f>
        <v>—</v>
      </c>
      <c r="M79" s="64" t="n">
        <f aca="false">IF(E79=0,"—",J79/F79-1)</f>
        <v>0.378091872791519</v>
      </c>
      <c r="N79" s="64" t="n">
        <f aca="false">IF(E79=0,"—",J79/G79-1)</f>
        <v>-0.257142857142857</v>
      </c>
      <c r="O79" s="59" t="n">
        <f aca="false">COUNTIFS(Offers!$B$7:$B$3000,$B79,Offers!$C$7:$C$3000,"Germany",Offers!$AI$7:$AI$3000,"yes")</f>
        <v>7</v>
      </c>
      <c r="P79" s="60" t="n">
        <f aca="false">IF(O79=0,"—",SUMIFS(Review!$I$7:$I$600,Review!$B$7:$B$600,$B79,Review!$C$7:$C$600,"Germany"))</f>
        <v>2.67</v>
      </c>
      <c r="Q79" s="60" t="n">
        <f aca="false">IF(O79=0,"—",SUMIFS(Review!$J$7:$J$600,Review!$B$7:$B$600,$B79,Review!$C$7:$C$600,"Germany"))</f>
        <v>4.56</v>
      </c>
      <c r="R79" s="60" t="n">
        <f aca="false">IF(O79=0,"—",SUMIFS(Review!$K$7:$K$600,Review!$B$7:$B$600,$B79,Review!$C$7:$C$600,"Germany"))</f>
        <v>15.9</v>
      </c>
      <c r="S79" s="61" t="str">
        <f aca="false">IF(O79=0,"—",IF(P79&lt;Q79*(1-$C$7),"median (cheapest is an outlier)",IF(P79*(1-$C$6)&lt;Q79*(1-$C$5),"undercut cheapest","median")))</f>
        <v>median (cheapest is an outlier)</v>
      </c>
      <c r="T79" s="62" t="n">
        <f aca="false">IF(O79=0,"—",IF(AND(ISNUMBER($D79),$D79*(1+$C$10)&gt;FLOOR(IF(P79&lt;Q79*(1-$C$7),Q79*(1-$C$5-IF(O79&lt;3,$C$8,0)),MIN(Q79*(1-$C$5-IF(O79&lt;3,$C$8,0)),P79*(1-$C$6-IF(O79&lt;3,$C$8,0)))),IF(IF(P79&lt;Q79*(1-$C$7),Q79*(1-$C$5-IF(O79&lt;3,$C$8,0)),MIN(Q79*(1-$C$5-IF(O79&lt;3,$C$8,0)),P79*(1-$C$6-IF(O79&lt;3,$C$8,0))))&lt;10,$C$9,IF(IF(P79&lt;Q79*(1-$C$7),Q79*(1-$C$5-IF(O79&lt;3,$C$8,0)),MIN(Q79*(1-$C$5-IF(O79&lt;3,$C$8,0)),P79*(1-$C$6-IF(O79&lt;3,$C$8,0))))&lt;100,$D$9,$E$9)))),ROUND($D79*(1+$C$10),2),FLOOR(IF(P79&lt;Q79*(1-$C$7),Q79*(1-$C$5-IF(O79&lt;3,$C$8,0)),MIN(Q79*(1-$C$5-IF(O79&lt;3,$C$8,0)),P79*(1-$C$6-IF(O79&lt;3,$C$8,0)))),IF(IF(P79&lt;Q79*(1-$C$7),Q79*(1-$C$5-IF(O79&lt;3,$C$8,0)),MIN(Q79*(1-$C$5-IF(O79&lt;3,$C$8,0)),P79*(1-$C$6-IF(O79&lt;3,$C$8,0))))&lt;10,$C$9,IF(IF(P79&lt;Q79*(1-$C$7),Q79*(1-$C$5-IF(O79&lt;3,$C$8,0)),MIN(Q79*(1-$C$5-IF(O79&lt;3,$C$8,0)),P79*(1-$C$6-IF(O79&lt;3,$C$8,0))))&lt;100,$D$9,$E$9)))))</f>
        <v>3.4</v>
      </c>
      <c r="U79" s="60" t="str">
        <f aca="false">IF(ISNUMBER($D79),$D79,"n/a")</f>
        <v>n/a</v>
      </c>
      <c r="V79" s="63" t="str">
        <f aca="false">IF(OR(O79=0,NOT(ISNUMBER($D79))),"—",T79/$D79-1)</f>
        <v>—</v>
      </c>
      <c r="W79" s="64" t="n">
        <f aca="false">IF(O79=0,"—",T79/P79-1)</f>
        <v>0.273408239700375</v>
      </c>
      <c r="X79" s="64" t="n">
        <f aca="false">IF(O79=0,"—",T79/Q79-1)</f>
        <v>-0.254385964912281</v>
      </c>
      <c r="Y79" s="59" t="n">
        <f aca="false">COUNTIFS(Offers!$B$7:$B$3000,$B79,Offers!$C$7:$C$3000,"Czech",Offers!$AI$7:$AI$3000,"yes")</f>
        <v>5</v>
      </c>
      <c r="Z79" s="60" t="n">
        <f aca="false">IF(Y79=0,"—",SUMIFS(Review!$I$7:$I$600,Review!$B$7:$B$600,$B79,Review!$C$7:$C$600,"Czech"))</f>
        <v>3.417594</v>
      </c>
      <c r="AA79" s="60" t="n">
        <f aca="false">IF(Y79=0,"—",SUMIFS(Review!$J$7:$J$600,Review!$B$7:$B$600,$B79,Review!$C$7:$C$600,"Czech"))</f>
        <v>5.312481</v>
      </c>
      <c r="AB79" s="60" t="n">
        <f aca="false">IF(Y79=0,"—",SUMIFS(Review!$K$7:$K$600,Review!$B$7:$B$600,$B79,Review!$C$7:$C$600,"Czech"))</f>
        <v>8.516348</v>
      </c>
      <c r="AC79" s="61" t="str">
        <f aca="false">IF(Y79=0,"—",IF(Z79&lt;AA79*(1-$C$7),"median (cheapest is an outlier)",IF(Z79*(1-$C$6)&lt;AA79*(1-$C$5),"undercut cheapest","median")))</f>
        <v>median (cheapest is an outlier)</v>
      </c>
      <c r="AD79" s="62" t="n">
        <f aca="false">IF(Y79=0,"—",IF(AND(ISNUMBER($D79),$D79*(1+$C$10)&gt;FLOOR(IF(Z79&lt;AA79*(1-$C$7),AA79*(1-$C$5-IF(Y79&lt;3,$C$8,0)),MIN(AA79*(1-$C$5-IF(Y79&lt;3,$C$8,0)),Z79*(1-$C$6-IF(Y79&lt;3,$C$8,0)))),IF(IF(Z79&lt;AA79*(1-$C$7),AA79*(1-$C$5-IF(Y79&lt;3,$C$8,0)),MIN(AA79*(1-$C$5-IF(Y79&lt;3,$C$8,0)),Z79*(1-$C$6-IF(Y79&lt;3,$C$8,0))))&lt;10,$C$9,IF(IF(Z79&lt;AA79*(1-$C$7),AA79*(1-$C$5-IF(Y79&lt;3,$C$8,0)),MIN(AA79*(1-$C$5-IF(Y79&lt;3,$C$8,0)),Z79*(1-$C$6-IF(Y79&lt;3,$C$8,0))))&lt;100,$D$9,$E$9)))),ROUND($D79*(1+$C$10),2),FLOOR(IF(Z79&lt;AA79*(1-$C$7),AA79*(1-$C$5-IF(Y79&lt;3,$C$8,0)),MIN(AA79*(1-$C$5-IF(Y79&lt;3,$C$8,0)),Z79*(1-$C$6-IF(Y79&lt;3,$C$8,0)))),IF(IF(Z79&lt;AA79*(1-$C$7),AA79*(1-$C$5-IF(Y79&lt;3,$C$8,0)),MIN(AA79*(1-$C$5-IF(Y79&lt;3,$C$8,0)),Z79*(1-$C$6-IF(Y79&lt;3,$C$8,0))))&lt;10,$C$9,IF(IF(Z79&lt;AA79*(1-$C$7),AA79*(1-$C$5-IF(Y79&lt;3,$C$8,0)),MIN(AA79*(1-$C$5-IF(Y79&lt;3,$C$8,0)),Z79*(1-$C$6-IF(Y79&lt;3,$C$8,0))))&lt;100,$D$9,$E$9)))))</f>
        <v>3.95</v>
      </c>
      <c r="AE79" s="65" t="n">
        <f aca="false">IF(Y79=0,"—",FLOOR(AD79*Sources!$G$10,1))</f>
        <v>96</v>
      </c>
      <c r="AF79" s="60" t="str">
        <f aca="false">IF(ISNUMBER($D79),$D79,"n/a")</f>
        <v>n/a</v>
      </c>
      <c r="AG79" s="63" t="str">
        <f aca="false">IF(OR(Y79=0,NOT(ISNUMBER($D79))),"—",AD79/$D79-1)</f>
        <v>—</v>
      </c>
      <c r="AH79" s="64" t="n">
        <f aca="false">IF(Y79=0,"—",AD79/Z79-1)</f>
        <v>0.155783864320923</v>
      </c>
      <c r="AI79" s="64" t="n">
        <f aca="false">IF(Y79=0,"—",AD79/AA79-1)</f>
        <v>-0.256467929014711</v>
      </c>
      <c r="AJ79" s="59" t="n">
        <f aca="false">COUNTIFS(Offers!$B$7:$B$3000,$B79,Offers!$C$7:$C$3000,"Slovakia",Offers!$AI$7:$AI$3000,"yes")</f>
        <v>5</v>
      </c>
      <c r="AK79" s="60" t="n">
        <f aca="false">IF(AJ79=0,"—",SUMIFS(Review!$I$7:$I$600,Review!$B$7:$B$600,$B79,Review!$C$7:$C$600,"Slovakia"))</f>
        <v>3.4</v>
      </c>
      <c r="AL79" s="60" t="n">
        <f aca="false">IF(AJ79=0,"—",SUMIFS(Review!$J$7:$J$600,Review!$B$7:$B$600,$B79,Review!$C$7:$C$600,"Slovakia"))</f>
        <v>5.51</v>
      </c>
      <c r="AM79" s="60" t="n">
        <f aca="false">IF(AJ79=0,"—",SUMIFS(Review!$K$7:$K$600,Review!$B$7:$B$600,$B79,Review!$C$7:$C$600,"Slovakia"))</f>
        <v>6.05</v>
      </c>
      <c r="AN79" s="61" t="str">
        <f aca="false">IF(AJ79=0,"—",IF(AK79&lt;AL79*(1-$C$7),"median (cheapest is an outlier)",IF(AK79*(1-$C$6)&lt;AL79*(1-$C$5),"undercut cheapest","median")))</f>
        <v>median (cheapest is an outlier)</v>
      </c>
      <c r="AO79" s="62" t="n">
        <f aca="false">IF(AJ79=0,"—",IF(AND(ISNUMBER($D79),$D79*(1+$C$10)&gt;FLOOR(IF(AK79&lt;AL79*(1-$C$7),AL79*(1-$C$5-IF(AJ79&lt;3,$C$8,0)),MIN(AL79*(1-$C$5-IF(AJ79&lt;3,$C$8,0)),AK79*(1-$C$6-IF(AJ79&lt;3,$C$8,0)))),IF(IF(AK79&lt;AL79*(1-$C$7),AL79*(1-$C$5-IF(AJ79&lt;3,$C$8,0)),MIN(AL79*(1-$C$5-IF(AJ79&lt;3,$C$8,0)),AK79*(1-$C$6-IF(AJ79&lt;3,$C$8,0))))&lt;10,$C$9,IF(IF(AK79&lt;AL79*(1-$C$7),AL79*(1-$C$5-IF(AJ79&lt;3,$C$8,0)),MIN(AL79*(1-$C$5-IF(AJ79&lt;3,$C$8,0)),AK79*(1-$C$6-IF(AJ79&lt;3,$C$8,0))))&lt;100,$D$9,$E$9)))),ROUND($D79*(1+$C$10),2),FLOOR(IF(AK79&lt;AL79*(1-$C$7),AL79*(1-$C$5-IF(AJ79&lt;3,$C$8,0)),MIN(AL79*(1-$C$5-IF(AJ79&lt;3,$C$8,0)),AK79*(1-$C$6-IF(AJ79&lt;3,$C$8,0)))),IF(IF(AK79&lt;AL79*(1-$C$7),AL79*(1-$C$5-IF(AJ79&lt;3,$C$8,0)),MIN(AL79*(1-$C$5-IF(AJ79&lt;3,$C$8,0)),AK79*(1-$C$6-IF(AJ79&lt;3,$C$8,0))))&lt;10,$C$9,IF(IF(AK79&lt;AL79*(1-$C$7),AL79*(1-$C$5-IF(AJ79&lt;3,$C$8,0)),MIN(AL79*(1-$C$5-IF(AJ79&lt;3,$C$8,0)),AK79*(1-$C$6-IF(AJ79&lt;3,$C$8,0))))&lt;100,$D$9,$E$9)))))</f>
        <v>4.1</v>
      </c>
      <c r="AP79" s="60" t="str">
        <f aca="false">IF(ISNUMBER($D79),$D79,"n/a")</f>
        <v>n/a</v>
      </c>
      <c r="AQ79" s="63" t="str">
        <f aca="false">IF(OR(AJ79=0,NOT(ISNUMBER($D79))),"—",AO79/$D79-1)</f>
        <v>—</v>
      </c>
      <c r="AR79" s="64" t="n">
        <f aca="false">IF(AJ79=0,"—",AO79/AK79-1)</f>
        <v>0.205882352941177</v>
      </c>
      <c r="AS79" s="64" t="n">
        <f aca="false">IF(AJ79=0,"—",AO79/AL79-1)</f>
        <v>-0.255898366606171</v>
      </c>
      <c r="AT79" s="59" t="n">
        <f aca="false">COUNTIFS(Offers!$B$7:$B$3000,$B79,Offers!$C$7:$C$3000,"Romania",Offers!$AI$7:$AI$3000,"yes")</f>
        <v>5</v>
      </c>
      <c r="AU79" s="60" t="n">
        <f aca="false">IF(AT79=0,"—",SUMIFS(Review!$I$7:$I$600,Review!$B$7:$B$600,$B79,Review!$C$7:$C$600,"Romania"))</f>
        <v>3.061974</v>
      </c>
      <c r="AV79" s="60" t="n">
        <f aca="false">IF(AT79=0,"—",SUMIFS(Review!$J$7:$J$600,Review!$B$7:$B$600,$B79,Review!$C$7:$C$600,"Romania"))</f>
        <v>3.965787</v>
      </c>
      <c r="AW79" s="60" t="n">
        <f aca="false">IF(AT79=0,"—",SUMIFS(Review!$K$7:$K$600,Review!$B$7:$B$600,$B79,Review!$C$7:$C$600,"Romania"))</f>
        <v>9.250344</v>
      </c>
      <c r="AX79" s="61" t="str">
        <f aca="false">IF(AT79=0,"—",IF(AU79&lt;AV79*(1-$C$7),"median (cheapest is an outlier)",IF(AU79*(1-$C$6)&lt;AV79*(1-$C$5),"undercut cheapest","median")))</f>
        <v>undercut cheapest</v>
      </c>
      <c r="AY79" s="62" t="n">
        <f aca="false">IF(AT79=0,"—",IF(AND(ISNUMBER($D79),$D79*(1+$C$10)&gt;FLOOR(IF(AU79&lt;AV79*(1-$C$7),AV79*(1-$C$5-IF(AT79&lt;3,$C$8,0)),MIN(AV79*(1-$C$5-IF(AT79&lt;3,$C$8,0)),AU79*(1-$C$6-IF(AT79&lt;3,$C$8,0)))),IF(IF(AU79&lt;AV79*(1-$C$7),AV79*(1-$C$5-IF(AT79&lt;3,$C$8,0)),MIN(AV79*(1-$C$5-IF(AT79&lt;3,$C$8,0)),AU79*(1-$C$6-IF(AT79&lt;3,$C$8,0))))&lt;10,$C$9,IF(IF(AU79&lt;AV79*(1-$C$7),AV79*(1-$C$5-IF(AT79&lt;3,$C$8,0)),MIN(AV79*(1-$C$5-IF(AT79&lt;3,$C$8,0)),AU79*(1-$C$6-IF(AT79&lt;3,$C$8,0))))&lt;100,$D$9,$E$9)))),ROUND($D79*(1+$C$10),2),FLOOR(IF(AU79&lt;AV79*(1-$C$7),AV79*(1-$C$5-IF(AT79&lt;3,$C$8,0)),MIN(AV79*(1-$C$5-IF(AT79&lt;3,$C$8,0)),AU79*(1-$C$6-IF(AT79&lt;3,$C$8,0)))),IF(IF(AU79&lt;AV79*(1-$C$7),AV79*(1-$C$5-IF(AT79&lt;3,$C$8,0)),MIN(AV79*(1-$C$5-IF(AT79&lt;3,$C$8,0)),AU79*(1-$C$6-IF(AT79&lt;3,$C$8,0))))&lt;10,$C$9,IF(IF(AU79&lt;AV79*(1-$C$7),AV79*(1-$C$5-IF(AT79&lt;3,$C$8,0)),MIN(AV79*(1-$C$5-IF(AT79&lt;3,$C$8,0)),AU79*(1-$C$6-IF(AT79&lt;3,$C$8,0))))&lt;100,$D$9,$E$9)))))</f>
        <v>2.9</v>
      </c>
      <c r="AZ79" s="62" t="n">
        <f aca="false">IF(AT79=0,"—",FLOOR(AY79*Sources!$G$9,0.1))</f>
        <v>15.3</v>
      </c>
      <c r="BA79" s="60" t="str">
        <f aca="false">IF(ISNUMBER($D79),$D79,"n/a")</f>
        <v>n/a</v>
      </c>
      <c r="BB79" s="63" t="str">
        <f aca="false">IF(OR(AT79=0,NOT(ISNUMBER($D79))),"—",AY79/$D79-1)</f>
        <v>—</v>
      </c>
      <c r="BC79" s="64" t="n">
        <f aca="false">IF(AT79=0,"—",AY79/AU79-1)</f>
        <v>-0.0528985549844642</v>
      </c>
      <c r="BD79" s="64" t="n">
        <f aca="false">IF(AT79=0,"—",AY79/AV79-1)</f>
        <v>-0.268745396563154</v>
      </c>
      <c r="BE79" s="59" t="n">
        <f aca="false">COUNTIFS(Offers!$B$7:$B$3000,$B79,Offers!$C$7:$C$3000,"Hungary",Offers!$AI$7:$AI$3000,"yes")</f>
        <v>0</v>
      </c>
      <c r="BF79" s="60" t="str">
        <f aca="false">IF(BE79=0,"—",SUMIFS(Review!$I$7:$I$600,Review!$B$7:$B$600,$B79,Review!$C$7:$C$600,"Hungary"))</f>
        <v>—</v>
      </c>
      <c r="BG79" s="60" t="str">
        <f aca="false">IF(BE79=0,"—",SUMIFS(Review!$J$7:$J$600,Review!$B$7:$B$600,$B79,Review!$C$7:$C$600,"Hungary"))</f>
        <v>—</v>
      </c>
      <c r="BH79" s="60" t="str">
        <f aca="false">IF(BE79=0,"—",SUMIFS(Review!$K$7:$K$600,Review!$B$7:$B$600,$B79,Review!$C$7:$C$600,"Hungary"))</f>
        <v>—</v>
      </c>
      <c r="BI79" s="61" t="str">
        <f aca="false">IF(BE79=0,"—",IF(BF79&lt;BG79*(1-$C$7),"median (cheapest is an outlier)",IF(BF79*(1-$C$6)&lt;BG79*(1-$C$5),"undercut cheapest","median")))</f>
        <v>—</v>
      </c>
      <c r="BJ79" s="62" t="str">
        <f aca="false">IF(BE79=0,"—",IF(AND(ISNUMBER($D79),$D79*(1+$C$10)&gt;FLOOR(IF(BF79&lt;BG79*(1-$C$7),BG79*(1-$C$5-IF(BE79&lt;3,$C$8,0)),MIN(BG79*(1-$C$5-IF(BE79&lt;3,$C$8,0)),BF79*(1-$C$6-IF(BE79&lt;3,$C$8,0)))),IF(IF(BF79&lt;BG79*(1-$C$7),BG79*(1-$C$5-IF(BE79&lt;3,$C$8,0)),MIN(BG79*(1-$C$5-IF(BE79&lt;3,$C$8,0)),BF79*(1-$C$6-IF(BE79&lt;3,$C$8,0))))&lt;10,$C$9,IF(IF(BF79&lt;BG79*(1-$C$7),BG79*(1-$C$5-IF(BE79&lt;3,$C$8,0)),MIN(BG79*(1-$C$5-IF(BE79&lt;3,$C$8,0)),BF79*(1-$C$6-IF(BE79&lt;3,$C$8,0))))&lt;100,$D$9,$E$9)))),ROUND($D79*(1+$C$10),2),FLOOR(IF(BF79&lt;BG79*(1-$C$7),BG79*(1-$C$5-IF(BE79&lt;3,$C$8,0)),MIN(BG79*(1-$C$5-IF(BE79&lt;3,$C$8,0)),BF79*(1-$C$6-IF(BE79&lt;3,$C$8,0)))),IF(IF(BF79&lt;BG79*(1-$C$7),BG79*(1-$C$5-IF(BE79&lt;3,$C$8,0)),MIN(BG79*(1-$C$5-IF(BE79&lt;3,$C$8,0)),BF79*(1-$C$6-IF(BE79&lt;3,$C$8,0))))&lt;10,$C$9,IF(IF(BF79&lt;BG79*(1-$C$7),BG79*(1-$C$5-IF(BE79&lt;3,$C$8,0)),MIN(BG79*(1-$C$5-IF(BE79&lt;3,$C$8,0)),BF79*(1-$C$6-IF(BE79&lt;3,$C$8,0))))&lt;100,$D$9,$E$9)))))</f>
        <v>—</v>
      </c>
      <c r="BK79" s="65" t="str">
        <f aca="false">IF(BE79=0,"—",FLOOR(BJ79*Sources!$G$8,10))</f>
        <v>—</v>
      </c>
      <c r="BL79" s="60" t="str">
        <f aca="false">IF(ISNUMBER($D79),$D79,"n/a")</f>
        <v>n/a</v>
      </c>
      <c r="BM79" s="63" t="str">
        <f aca="false">IF(OR(BE79=0,NOT(ISNUMBER($D79))),"—",BJ79/$D79-1)</f>
        <v>—</v>
      </c>
      <c r="BN79" s="64" t="str">
        <f aca="false">IF(BE79=0,"—",BJ79/BF79-1)</f>
        <v>—</v>
      </c>
      <c r="BO79" s="64" t="str">
        <f aca="false">IF(BE79=0,"—",BJ79/BG79-1)</f>
        <v>—</v>
      </c>
    </row>
    <row r="80" customFormat="false" ht="15" hidden="false" customHeight="false" outlineLevel="0" collapsed="false">
      <c r="B80" s="1" t="s">
        <v>96</v>
      </c>
      <c r="C80" s="1" t="s">
        <v>205</v>
      </c>
      <c r="D80" s="58"/>
      <c r="E80" s="59" t="n">
        <f aca="false">COUNTIFS(Offers!$B$7:$B$3000,$B80,Offers!$C$7:$C$3000,"Austria",Offers!$AI$7:$AI$3000,"yes")</f>
        <v>7</v>
      </c>
      <c r="F80" s="60" t="n">
        <f aca="false">IF(E80=0,"—",SUMIFS(Review!$I$7:$I$600,Review!$B$7:$B$600,$B80,Review!$C$7:$C$600,"Austria"))</f>
        <v>4.9</v>
      </c>
      <c r="G80" s="60" t="n">
        <f aca="false">IF(E80=0,"—",SUMIFS(Review!$J$7:$J$600,Review!$B$7:$B$600,$B80,Review!$C$7:$C$600,"Austria"))</f>
        <v>6</v>
      </c>
      <c r="H80" s="60" t="n">
        <f aca="false">IF(E80=0,"—",SUMIFS(Review!$K$7:$K$600,Review!$B$7:$B$600,$B80,Review!$C$7:$C$600,"Austria"))</f>
        <v>21.06</v>
      </c>
      <c r="I80" s="61" t="str">
        <f aca="false">IF(E80=0,"—",IF(F80&lt;G80*(1-$C$7),"median (cheapest is an outlier)",IF(F80*(1-$C$6)&lt;G80*(1-$C$5),"undercut cheapest","median")))</f>
        <v>median</v>
      </c>
      <c r="J80" s="62" t="n">
        <f aca="false">IF(E80=0,"—",IF(AND(ISNUMBER($D80),$D80*(1+$C$10)&gt;FLOOR(IF(F80&lt;G80*(1-$C$7),G80*(1-$C$5-IF(E80&lt;3,$C$8,0)),MIN(G80*(1-$C$5-IF(E80&lt;3,$C$8,0)),F80*(1-$C$6-IF(E80&lt;3,$C$8,0)))),IF(IF(F80&lt;G80*(1-$C$7),G80*(1-$C$5-IF(E80&lt;3,$C$8,0)),MIN(G80*(1-$C$5-IF(E80&lt;3,$C$8,0)),F80*(1-$C$6-IF(E80&lt;3,$C$8,0))))&lt;10,$C$9,IF(IF(F80&lt;G80*(1-$C$7),G80*(1-$C$5-IF(E80&lt;3,$C$8,0)),MIN(G80*(1-$C$5-IF(E80&lt;3,$C$8,0)),F80*(1-$C$6-IF(E80&lt;3,$C$8,0))))&lt;100,$D$9,$E$9)))),ROUND($D80*(1+$C$10),2),FLOOR(IF(F80&lt;G80*(1-$C$7),G80*(1-$C$5-IF(E80&lt;3,$C$8,0)),MIN(G80*(1-$C$5-IF(E80&lt;3,$C$8,0)),F80*(1-$C$6-IF(E80&lt;3,$C$8,0)))),IF(IF(F80&lt;G80*(1-$C$7),G80*(1-$C$5-IF(E80&lt;3,$C$8,0)),MIN(G80*(1-$C$5-IF(E80&lt;3,$C$8,0)),F80*(1-$C$6-IF(E80&lt;3,$C$8,0))))&lt;10,$C$9,IF(IF(F80&lt;G80*(1-$C$7),G80*(1-$C$5-IF(E80&lt;3,$C$8,0)),MIN(G80*(1-$C$5-IF(E80&lt;3,$C$8,0)),F80*(1-$C$6-IF(E80&lt;3,$C$8,0))))&lt;100,$D$9,$E$9)))))</f>
        <v>4.5</v>
      </c>
      <c r="K80" s="60" t="str">
        <f aca="false">IF(ISNUMBER($D80),$D80,"n/a")</f>
        <v>n/a</v>
      </c>
      <c r="L80" s="63" t="str">
        <f aca="false">IF(OR(E80=0,NOT(ISNUMBER($D80))),"—",J80/$D80-1)</f>
        <v>—</v>
      </c>
      <c r="M80" s="64" t="n">
        <f aca="false">IF(E80=0,"—",J80/F80-1)</f>
        <v>-0.0816326530612246</v>
      </c>
      <c r="N80" s="64" t="n">
        <f aca="false">IF(E80=0,"—",J80/G80-1)</f>
        <v>-0.25</v>
      </c>
      <c r="O80" s="59" t="n">
        <f aca="false">COUNTIFS(Offers!$B$7:$B$3000,$B80,Offers!$C$7:$C$3000,"Germany",Offers!$AI$7:$AI$3000,"yes")</f>
        <v>6</v>
      </c>
      <c r="P80" s="60" t="n">
        <f aca="false">IF(O80=0,"—",SUMIFS(Review!$I$7:$I$600,Review!$B$7:$B$600,$B80,Review!$C$7:$C$600,"Germany"))</f>
        <v>5.07</v>
      </c>
      <c r="Q80" s="60" t="n">
        <f aca="false">IF(O80=0,"—",SUMIFS(Review!$J$7:$J$600,Review!$B$7:$B$600,$B80,Review!$C$7:$C$600,"Germany"))</f>
        <v>5.89</v>
      </c>
      <c r="R80" s="60" t="n">
        <f aca="false">IF(O80=0,"—",SUMIFS(Review!$K$7:$K$600,Review!$B$7:$B$600,$B80,Review!$C$7:$C$600,"Germany"))</f>
        <v>14.4</v>
      </c>
      <c r="S80" s="61" t="str">
        <f aca="false">IF(O80=0,"—",IF(P80&lt;Q80*(1-$C$7),"median (cheapest is an outlier)",IF(P80*(1-$C$6)&lt;Q80*(1-$C$5),"undercut cheapest","median")))</f>
        <v>median</v>
      </c>
      <c r="T80" s="62" t="n">
        <f aca="false">IF(O80=0,"—",IF(AND(ISNUMBER($D80),$D80*(1+$C$10)&gt;FLOOR(IF(P80&lt;Q80*(1-$C$7),Q80*(1-$C$5-IF(O80&lt;3,$C$8,0)),MIN(Q80*(1-$C$5-IF(O80&lt;3,$C$8,0)),P80*(1-$C$6-IF(O80&lt;3,$C$8,0)))),IF(IF(P80&lt;Q80*(1-$C$7),Q80*(1-$C$5-IF(O80&lt;3,$C$8,0)),MIN(Q80*(1-$C$5-IF(O80&lt;3,$C$8,0)),P80*(1-$C$6-IF(O80&lt;3,$C$8,0))))&lt;10,$C$9,IF(IF(P80&lt;Q80*(1-$C$7),Q80*(1-$C$5-IF(O80&lt;3,$C$8,0)),MIN(Q80*(1-$C$5-IF(O80&lt;3,$C$8,0)),P80*(1-$C$6-IF(O80&lt;3,$C$8,0))))&lt;100,$D$9,$E$9)))),ROUND($D80*(1+$C$10),2),FLOOR(IF(P80&lt;Q80*(1-$C$7),Q80*(1-$C$5-IF(O80&lt;3,$C$8,0)),MIN(Q80*(1-$C$5-IF(O80&lt;3,$C$8,0)),P80*(1-$C$6-IF(O80&lt;3,$C$8,0)))),IF(IF(P80&lt;Q80*(1-$C$7),Q80*(1-$C$5-IF(O80&lt;3,$C$8,0)),MIN(Q80*(1-$C$5-IF(O80&lt;3,$C$8,0)),P80*(1-$C$6-IF(O80&lt;3,$C$8,0))))&lt;10,$C$9,IF(IF(P80&lt;Q80*(1-$C$7),Q80*(1-$C$5-IF(O80&lt;3,$C$8,0)),MIN(Q80*(1-$C$5-IF(O80&lt;3,$C$8,0)),P80*(1-$C$6-IF(O80&lt;3,$C$8,0))))&lt;100,$D$9,$E$9)))))</f>
        <v>4.4</v>
      </c>
      <c r="U80" s="60" t="str">
        <f aca="false">IF(ISNUMBER($D80),$D80,"n/a")</f>
        <v>n/a</v>
      </c>
      <c r="V80" s="63" t="str">
        <f aca="false">IF(OR(O80=0,NOT(ISNUMBER($D80))),"—",T80/$D80-1)</f>
        <v>—</v>
      </c>
      <c r="W80" s="64" t="n">
        <f aca="false">IF(O80=0,"—",T80/P80-1)</f>
        <v>-0.132149901380671</v>
      </c>
      <c r="X80" s="64" t="n">
        <f aca="false">IF(O80=0,"—",T80/Q80-1)</f>
        <v>-0.252971137521222</v>
      </c>
      <c r="Y80" s="59" t="n">
        <f aca="false">COUNTIFS(Offers!$B$7:$B$3000,$B80,Offers!$C$7:$C$3000,"Czech",Offers!$AI$7:$AI$3000,"yes")</f>
        <v>5</v>
      </c>
      <c r="Z80" s="60" t="n">
        <f aca="false">IF(Y80=0,"—",SUMIFS(Review!$I$7:$I$600,Review!$B$7:$B$600,$B80,Review!$C$7:$C$600,"Czech"))</f>
        <v>3.586693</v>
      </c>
      <c r="AA80" s="60" t="n">
        <f aca="false">IF(Y80=0,"—",SUMIFS(Review!$J$7:$J$600,Review!$B$7:$B$600,$B80,Review!$C$7:$C$600,"Czech"))</f>
        <v>6.429024</v>
      </c>
      <c r="AB80" s="60" t="n">
        <f aca="false">IF(Y80=0,"—",SUMIFS(Review!$K$7:$K$600,Review!$B$7:$B$600,$B80,Review!$C$7:$C$600,"Czech"))</f>
        <v>10.645434</v>
      </c>
      <c r="AC80" s="61" t="str">
        <f aca="false">IF(Y80=0,"—",IF(Z80&lt;AA80*(1-$C$7),"median (cheapest is an outlier)",IF(Z80*(1-$C$6)&lt;AA80*(1-$C$5),"undercut cheapest","median")))</f>
        <v>median (cheapest is an outlier)</v>
      </c>
      <c r="AD80" s="62" t="n">
        <f aca="false">IF(Y80=0,"—",IF(AND(ISNUMBER($D80),$D80*(1+$C$10)&gt;FLOOR(IF(Z80&lt;AA80*(1-$C$7),AA80*(1-$C$5-IF(Y80&lt;3,$C$8,0)),MIN(AA80*(1-$C$5-IF(Y80&lt;3,$C$8,0)),Z80*(1-$C$6-IF(Y80&lt;3,$C$8,0)))),IF(IF(Z80&lt;AA80*(1-$C$7),AA80*(1-$C$5-IF(Y80&lt;3,$C$8,0)),MIN(AA80*(1-$C$5-IF(Y80&lt;3,$C$8,0)),Z80*(1-$C$6-IF(Y80&lt;3,$C$8,0))))&lt;10,$C$9,IF(IF(Z80&lt;AA80*(1-$C$7),AA80*(1-$C$5-IF(Y80&lt;3,$C$8,0)),MIN(AA80*(1-$C$5-IF(Y80&lt;3,$C$8,0)),Z80*(1-$C$6-IF(Y80&lt;3,$C$8,0))))&lt;100,$D$9,$E$9)))),ROUND($D80*(1+$C$10),2),FLOOR(IF(Z80&lt;AA80*(1-$C$7),AA80*(1-$C$5-IF(Y80&lt;3,$C$8,0)),MIN(AA80*(1-$C$5-IF(Y80&lt;3,$C$8,0)),Z80*(1-$C$6-IF(Y80&lt;3,$C$8,0)))),IF(IF(Z80&lt;AA80*(1-$C$7),AA80*(1-$C$5-IF(Y80&lt;3,$C$8,0)),MIN(AA80*(1-$C$5-IF(Y80&lt;3,$C$8,0)),Z80*(1-$C$6-IF(Y80&lt;3,$C$8,0))))&lt;10,$C$9,IF(IF(Z80&lt;AA80*(1-$C$7),AA80*(1-$C$5-IF(Y80&lt;3,$C$8,0)),MIN(AA80*(1-$C$5-IF(Y80&lt;3,$C$8,0)),Z80*(1-$C$6-IF(Y80&lt;3,$C$8,0))))&lt;100,$D$9,$E$9)))))</f>
        <v>4.8</v>
      </c>
      <c r="AE80" s="65" t="n">
        <f aca="false">IF(Y80=0,"—",FLOOR(AD80*Sources!$G$10,1))</f>
        <v>117</v>
      </c>
      <c r="AF80" s="60" t="str">
        <f aca="false">IF(ISNUMBER($D80),$D80,"n/a")</f>
        <v>n/a</v>
      </c>
      <c r="AG80" s="63" t="str">
        <f aca="false">IF(OR(Y80=0,NOT(ISNUMBER($D80))),"—",AD80/$D80-1)</f>
        <v>—</v>
      </c>
      <c r="AH80" s="64" t="n">
        <f aca="false">IF(Y80=0,"—",AD80/Z80-1)</f>
        <v>0.338280137162562</v>
      </c>
      <c r="AI80" s="64" t="n">
        <f aca="false">IF(Y80=0,"—",AD80/AA80-1)</f>
        <v>-0.253385894966328</v>
      </c>
      <c r="AJ80" s="59" t="n">
        <f aca="false">COUNTIFS(Offers!$B$7:$B$3000,$B80,Offers!$C$7:$C$3000,"Slovakia",Offers!$AI$7:$AI$3000,"yes")</f>
        <v>5</v>
      </c>
      <c r="AK80" s="60" t="n">
        <f aca="false">IF(AJ80=0,"—",SUMIFS(Review!$I$7:$I$600,Review!$B$7:$B$600,$B80,Review!$C$7:$C$600,"Slovakia"))</f>
        <v>4.64</v>
      </c>
      <c r="AL80" s="60" t="n">
        <f aca="false">IF(AJ80=0,"—",SUMIFS(Review!$J$7:$J$600,Review!$B$7:$B$600,$B80,Review!$C$7:$C$600,"Slovakia"))</f>
        <v>7.14</v>
      </c>
      <c r="AM80" s="60" t="n">
        <f aca="false">IF(AJ80=0,"—",SUMIFS(Review!$K$7:$K$600,Review!$B$7:$B$600,$B80,Review!$C$7:$C$600,"Slovakia"))</f>
        <v>10.32</v>
      </c>
      <c r="AN80" s="61" t="str">
        <f aca="false">IF(AJ80=0,"—",IF(AK80&lt;AL80*(1-$C$7),"median (cheapest is an outlier)",IF(AK80*(1-$C$6)&lt;AL80*(1-$C$5),"undercut cheapest","median")))</f>
        <v>median (cheapest is an outlier)</v>
      </c>
      <c r="AO80" s="62" t="n">
        <f aca="false">IF(AJ80=0,"—",IF(AND(ISNUMBER($D80),$D80*(1+$C$10)&gt;FLOOR(IF(AK80&lt;AL80*(1-$C$7),AL80*(1-$C$5-IF(AJ80&lt;3,$C$8,0)),MIN(AL80*(1-$C$5-IF(AJ80&lt;3,$C$8,0)),AK80*(1-$C$6-IF(AJ80&lt;3,$C$8,0)))),IF(IF(AK80&lt;AL80*(1-$C$7),AL80*(1-$C$5-IF(AJ80&lt;3,$C$8,0)),MIN(AL80*(1-$C$5-IF(AJ80&lt;3,$C$8,0)),AK80*(1-$C$6-IF(AJ80&lt;3,$C$8,0))))&lt;10,$C$9,IF(IF(AK80&lt;AL80*(1-$C$7),AL80*(1-$C$5-IF(AJ80&lt;3,$C$8,0)),MIN(AL80*(1-$C$5-IF(AJ80&lt;3,$C$8,0)),AK80*(1-$C$6-IF(AJ80&lt;3,$C$8,0))))&lt;100,$D$9,$E$9)))),ROUND($D80*(1+$C$10),2),FLOOR(IF(AK80&lt;AL80*(1-$C$7),AL80*(1-$C$5-IF(AJ80&lt;3,$C$8,0)),MIN(AL80*(1-$C$5-IF(AJ80&lt;3,$C$8,0)),AK80*(1-$C$6-IF(AJ80&lt;3,$C$8,0)))),IF(IF(AK80&lt;AL80*(1-$C$7),AL80*(1-$C$5-IF(AJ80&lt;3,$C$8,0)),MIN(AL80*(1-$C$5-IF(AJ80&lt;3,$C$8,0)),AK80*(1-$C$6-IF(AJ80&lt;3,$C$8,0))))&lt;10,$C$9,IF(IF(AK80&lt;AL80*(1-$C$7),AL80*(1-$C$5-IF(AJ80&lt;3,$C$8,0)),MIN(AL80*(1-$C$5-IF(AJ80&lt;3,$C$8,0)),AK80*(1-$C$6-IF(AJ80&lt;3,$C$8,0))))&lt;100,$D$9,$E$9)))))</f>
        <v>5.35</v>
      </c>
      <c r="AP80" s="60" t="str">
        <f aca="false">IF(ISNUMBER($D80),$D80,"n/a")</f>
        <v>n/a</v>
      </c>
      <c r="AQ80" s="63" t="str">
        <f aca="false">IF(OR(AJ80=0,NOT(ISNUMBER($D80))),"—",AO80/$D80-1)</f>
        <v>—</v>
      </c>
      <c r="AR80" s="64" t="n">
        <f aca="false">IF(AJ80=0,"—",AO80/AK80-1)</f>
        <v>0.153017241379311</v>
      </c>
      <c r="AS80" s="64" t="n">
        <f aca="false">IF(AJ80=0,"—",AO80/AL80-1)</f>
        <v>-0.250700280112045</v>
      </c>
      <c r="AT80" s="59" t="n">
        <f aca="false">COUNTIFS(Offers!$B$7:$B$3000,$B80,Offers!$C$7:$C$3000,"Romania",Offers!$AI$7:$AI$3000,"yes")</f>
        <v>4</v>
      </c>
      <c r="AU80" s="60" t="n">
        <f aca="false">IF(AT80=0,"—",SUMIFS(Review!$I$7:$I$600,Review!$B$7:$B$600,$B80,Review!$C$7:$C$600,"Romania"))</f>
        <v>4.704753</v>
      </c>
      <c r="AV80" s="60" t="n">
        <f aca="false">IF(AT80=0,"—",SUMIFS(Review!$J$7:$J$600,Review!$B$7:$B$600,$B80,Review!$C$7:$C$600,"Romania"))</f>
        <v>7.1101835</v>
      </c>
      <c r="AW80" s="60" t="n">
        <f aca="false">IF(AT80=0,"—",SUMIFS(Review!$K$7:$K$600,Review!$B$7:$B$600,$B80,Review!$C$7:$C$600,"Romania"))</f>
        <v>10.855227</v>
      </c>
      <c r="AX80" s="61" t="str">
        <f aca="false">IF(AT80=0,"—",IF(AU80&lt;AV80*(1-$C$7),"median (cheapest is an outlier)",IF(AU80*(1-$C$6)&lt;AV80*(1-$C$5),"undercut cheapest","median")))</f>
        <v>undercut cheapest</v>
      </c>
      <c r="AY80" s="62" t="n">
        <f aca="false">IF(AT80=0,"—",IF(AND(ISNUMBER($D80),$D80*(1+$C$10)&gt;FLOOR(IF(AU80&lt;AV80*(1-$C$7),AV80*(1-$C$5-IF(AT80&lt;3,$C$8,0)),MIN(AV80*(1-$C$5-IF(AT80&lt;3,$C$8,0)),AU80*(1-$C$6-IF(AT80&lt;3,$C$8,0)))),IF(IF(AU80&lt;AV80*(1-$C$7),AV80*(1-$C$5-IF(AT80&lt;3,$C$8,0)),MIN(AV80*(1-$C$5-IF(AT80&lt;3,$C$8,0)),AU80*(1-$C$6-IF(AT80&lt;3,$C$8,0))))&lt;10,$C$9,IF(IF(AU80&lt;AV80*(1-$C$7),AV80*(1-$C$5-IF(AT80&lt;3,$C$8,0)),MIN(AV80*(1-$C$5-IF(AT80&lt;3,$C$8,0)),AU80*(1-$C$6-IF(AT80&lt;3,$C$8,0))))&lt;100,$D$9,$E$9)))),ROUND($D80*(1+$C$10),2),FLOOR(IF(AU80&lt;AV80*(1-$C$7),AV80*(1-$C$5-IF(AT80&lt;3,$C$8,0)),MIN(AV80*(1-$C$5-IF(AT80&lt;3,$C$8,0)),AU80*(1-$C$6-IF(AT80&lt;3,$C$8,0)))),IF(IF(AU80&lt;AV80*(1-$C$7),AV80*(1-$C$5-IF(AT80&lt;3,$C$8,0)),MIN(AV80*(1-$C$5-IF(AT80&lt;3,$C$8,0)),AU80*(1-$C$6-IF(AT80&lt;3,$C$8,0))))&lt;10,$C$9,IF(IF(AU80&lt;AV80*(1-$C$7),AV80*(1-$C$5-IF(AT80&lt;3,$C$8,0)),MIN(AV80*(1-$C$5-IF(AT80&lt;3,$C$8,0)),AU80*(1-$C$6-IF(AT80&lt;3,$C$8,0))))&lt;100,$D$9,$E$9)))))</f>
        <v>4.45</v>
      </c>
      <c r="AZ80" s="62" t="n">
        <f aca="false">IF(AT80=0,"—",FLOOR(AY80*Sources!$G$9,0.1))</f>
        <v>23.4</v>
      </c>
      <c r="BA80" s="60" t="str">
        <f aca="false">IF(ISNUMBER($D80),$D80,"n/a")</f>
        <v>n/a</v>
      </c>
      <c r="BB80" s="63" t="str">
        <f aca="false">IF(OR(AT80=0,NOT(ISNUMBER($D80))),"—",AY80/$D80-1)</f>
        <v>—</v>
      </c>
      <c r="BC80" s="64" t="n">
        <f aca="false">IF(AT80=0,"—",AY80/AU80-1)</f>
        <v>-0.0541480073449127</v>
      </c>
      <c r="BD80" s="64" t="n">
        <f aca="false">IF(AT80=0,"—",AY80/AV80-1)</f>
        <v>-0.374137109119617</v>
      </c>
      <c r="BE80" s="59" t="n">
        <f aca="false">COUNTIFS(Offers!$B$7:$B$3000,$B80,Offers!$C$7:$C$3000,"Hungary",Offers!$AI$7:$AI$3000,"yes")</f>
        <v>0</v>
      </c>
      <c r="BF80" s="60" t="str">
        <f aca="false">IF(BE80=0,"—",SUMIFS(Review!$I$7:$I$600,Review!$B$7:$B$600,$B80,Review!$C$7:$C$600,"Hungary"))</f>
        <v>—</v>
      </c>
      <c r="BG80" s="60" t="str">
        <f aca="false">IF(BE80=0,"—",SUMIFS(Review!$J$7:$J$600,Review!$B$7:$B$600,$B80,Review!$C$7:$C$600,"Hungary"))</f>
        <v>—</v>
      </c>
      <c r="BH80" s="60" t="str">
        <f aca="false">IF(BE80=0,"—",SUMIFS(Review!$K$7:$K$600,Review!$B$7:$B$600,$B80,Review!$C$7:$C$600,"Hungary"))</f>
        <v>—</v>
      </c>
      <c r="BI80" s="61" t="str">
        <f aca="false">IF(BE80=0,"—",IF(BF80&lt;BG80*(1-$C$7),"median (cheapest is an outlier)",IF(BF80*(1-$C$6)&lt;BG80*(1-$C$5),"undercut cheapest","median")))</f>
        <v>—</v>
      </c>
      <c r="BJ80" s="62" t="str">
        <f aca="false">IF(BE80=0,"—",IF(AND(ISNUMBER($D80),$D80*(1+$C$10)&gt;FLOOR(IF(BF80&lt;BG80*(1-$C$7),BG80*(1-$C$5-IF(BE80&lt;3,$C$8,0)),MIN(BG80*(1-$C$5-IF(BE80&lt;3,$C$8,0)),BF80*(1-$C$6-IF(BE80&lt;3,$C$8,0)))),IF(IF(BF80&lt;BG80*(1-$C$7),BG80*(1-$C$5-IF(BE80&lt;3,$C$8,0)),MIN(BG80*(1-$C$5-IF(BE80&lt;3,$C$8,0)),BF80*(1-$C$6-IF(BE80&lt;3,$C$8,0))))&lt;10,$C$9,IF(IF(BF80&lt;BG80*(1-$C$7),BG80*(1-$C$5-IF(BE80&lt;3,$C$8,0)),MIN(BG80*(1-$C$5-IF(BE80&lt;3,$C$8,0)),BF80*(1-$C$6-IF(BE80&lt;3,$C$8,0))))&lt;100,$D$9,$E$9)))),ROUND($D80*(1+$C$10),2),FLOOR(IF(BF80&lt;BG80*(1-$C$7),BG80*(1-$C$5-IF(BE80&lt;3,$C$8,0)),MIN(BG80*(1-$C$5-IF(BE80&lt;3,$C$8,0)),BF80*(1-$C$6-IF(BE80&lt;3,$C$8,0)))),IF(IF(BF80&lt;BG80*(1-$C$7),BG80*(1-$C$5-IF(BE80&lt;3,$C$8,0)),MIN(BG80*(1-$C$5-IF(BE80&lt;3,$C$8,0)),BF80*(1-$C$6-IF(BE80&lt;3,$C$8,0))))&lt;10,$C$9,IF(IF(BF80&lt;BG80*(1-$C$7),BG80*(1-$C$5-IF(BE80&lt;3,$C$8,0)),MIN(BG80*(1-$C$5-IF(BE80&lt;3,$C$8,0)),BF80*(1-$C$6-IF(BE80&lt;3,$C$8,0))))&lt;100,$D$9,$E$9)))))</f>
        <v>—</v>
      </c>
      <c r="BK80" s="65" t="str">
        <f aca="false">IF(BE80=0,"—",FLOOR(BJ80*Sources!$G$8,10))</f>
        <v>—</v>
      </c>
      <c r="BL80" s="60" t="str">
        <f aca="false">IF(ISNUMBER($D80),$D80,"n/a")</f>
        <v>n/a</v>
      </c>
      <c r="BM80" s="63" t="str">
        <f aca="false">IF(OR(BE80=0,NOT(ISNUMBER($D80))),"—",BJ80/$D80-1)</f>
        <v>—</v>
      </c>
      <c r="BN80" s="64" t="str">
        <f aca="false">IF(BE80=0,"—",BJ80/BF80-1)</f>
        <v>—</v>
      </c>
      <c r="BO80" s="64" t="str">
        <f aca="false">IF(BE80=0,"—",BJ80/BG80-1)</f>
        <v>—</v>
      </c>
    </row>
    <row r="81" customFormat="false" ht="15" hidden="false" customHeight="false" outlineLevel="0" collapsed="false">
      <c r="B81" s="1" t="s">
        <v>97</v>
      </c>
      <c r="C81" s="1" t="s">
        <v>206</v>
      </c>
      <c r="D81" s="58"/>
      <c r="E81" s="59" t="n">
        <f aca="false">COUNTIFS(Offers!$B$7:$B$3000,$B81,Offers!$C$7:$C$3000,"Austria",Offers!$AI$7:$AI$3000,"yes")</f>
        <v>6</v>
      </c>
      <c r="F81" s="60" t="n">
        <f aca="false">IF(E81=0,"—",SUMIFS(Review!$I$7:$I$600,Review!$B$7:$B$600,$B81,Review!$C$7:$C$600,"Austria"))</f>
        <v>1.96</v>
      </c>
      <c r="G81" s="60" t="n">
        <f aca="false">IF(E81=0,"—",SUMIFS(Review!$J$7:$J$600,Review!$B$7:$B$600,$B81,Review!$C$7:$C$600,"Austria"))</f>
        <v>3.34</v>
      </c>
      <c r="H81" s="60" t="n">
        <f aca="false">IF(E81=0,"—",SUMIFS(Review!$K$7:$K$600,Review!$B$7:$B$600,$B81,Review!$C$7:$C$600,"Austria"))</f>
        <v>10.36</v>
      </c>
      <c r="I81" s="61" t="str">
        <f aca="false">IF(E81=0,"—",IF(F81&lt;G81*(1-$C$7),"median (cheapest is an outlier)",IF(F81*(1-$C$6)&lt;G81*(1-$C$5),"undercut cheapest","median")))</f>
        <v>median (cheapest is an outlier)</v>
      </c>
      <c r="J81" s="62" t="n">
        <f aca="false">IF(E81=0,"—",IF(AND(ISNUMBER($D81),$D81*(1+$C$10)&gt;FLOOR(IF(F81&lt;G81*(1-$C$7),G81*(1-$C$5-IF(E81&lt;3,$C$8,0)),MIN(G81*(1-$C$5-IF(E81&lt;3,$C$8,0)),F81*(1-$C$6-IF(E81&lt;3,$C$8,0)))),IF(IF(F81&lt;G81*(1-$C$7),G81*(1-$C$5-IF(E81&lt;3,$C$8,0)),MIN(G81*(1-$C$5-IF(E81&lt;3,$C$8,0)),F81*(1-$C$6-IF(E81&lt;3,$C$8,0))))&lt;10,$C$9,IF(IF(F81&lt;G81*(1-$C$7),G81*(1-$C$5-IF(E81&lt;3,$C$8,0)),MIN(G81*(1-$C$5-IF(E81&lt;3,$C$8,0)),F81*(1-$C$6-IF(E81&lt;3,$C$8,0))))&lt;100,$D$9,$E$9)))),ROUND($D81*(1+$C$10),2),FLOOR(IF(F81&lt;G81*(1-$C$7),G81*(1-$C$5-IF(E81&lt;3,$C$8,0)),MIN(G81*(1-$C$5-IF(E81&lt;3,$C$8,0)),F81*(1-$C$6-IF(E81&lt;3,$C$8,0)))),IF(IF(F81&lt;G81*(1-$C$7),G81*(1-$C$5-IF(E81&lt;3,$C$8,0)),MIN(G81*(1-$C$5-IF(E81&lt;3,$C$8,0)),F81*(1-$C$6-IF(E81&lt;3,$C$8,0))))&lt;10,$C$9,IF(IF(F81&lt;G81*(1-$C$7),G81*(1-$C$5-IF(E81&lt;3,$C$8,0)),MIN(G81*(1-$C$5-IF(E81&lt;3,$C$8,0)),F81*(1-$C$6-IF(E81&lt;3,$C$8,0))))&lt;100,$D$9,$E$9)))))</f>
        <v>2.5</v>
      </c>
      <c r="K81" s="60" t="str">
        <f aca="false">IF(ISNUMBER($D81),$D81,"n/a")</f>
        <v>n/a</v>
      </c>
      <c r="L81" s="63" t="str">
        <f aca="false">IF(OR(E81=0,NOT(ISNUMBER($D81))),"—",J81/$D81-1)</f>
        <v>—</v>
      </c>
      <c r="M81" s="64" t="n">
        <f aca="false">IF(E81=0,"—",J81/F81-1)</f>
        <v>0.275510204081633</v>
      </c>
      <c r="N81" s="64" t="n">
        <f aca="false">IF(E81=0,"—",J81/G81-1)</f>
        <v>-0.251497005988024</v>
      </c>
      <c r="O81" s="59" t="n">
        <f aca="false">COUNTIFS(Offers!$B$7:$B$3000,$B81,Offers!$C$7:$C$3000,"Germany",Offers!$AI$7:$AI$3000,"yes")</f>
        <v>7</v>
      </c>
      <c r="P81" s="60" t="n">
        <f aca="false">IF(O81=0,"—",SUMIFS(Review!$I$7:$I$600,Review!$B$7:$B$600,$B81,Review!$C$7:$C$600,"Germany"))</f>
        <v>1.83</v>
      </c>
      <c r="Q81" s="60" t="n">
        <f aca="false">IF(O81=0,"—",SUMIFS(Review!$J$7:$J$600,Review!$B$7:$B$600,$B81,Review!$C$7:$C$600,"Germany"))</f>
        <v>2.59</v>
      </c>
      <c r="R81" s="60" t="n">
        <f aca="false">IF(O81=0,"—",SUMIFS(Review!$K$7:$K$600,Review!$B$7:$B$600,$B81,Review!$C$7:$C$600,"Germany"))</f>
        <v>12.9</v>
      </c>
      <c r="S81" s="61" t="str">
        <f aca="false">IF(O81=0,"—",IF(P81&lt;Q81*(1-$C$7),"median (cheapest is an outlier)",IF(P81*(1-$C$6)&lt;Q81*(1-$C$5),"undercut cheapest","median")))</f>
        <v>undercut cheapest</v>
      </c>
      <c r="T81" s="62" t="n">
        <f aca="false">IF(O81=0,"—",IF(AND(ISNUMBER($D81),$D81*(1+$C$10)&gt;FLOOR(IF(P81&lt;Q81*(1-$C$7),Q81*(1-$C$5-IF(O81&lt;3,$C$8,0)),MIN(Q81*(1-$C$5-IF(O81&lt;3,$C$8,0)),P81*(1-$C$6-IF(O81&lt;3,$C$8,0)))),IF(IF(P81&lt;Q81*(1-$C$7),Q81*(1-$C$5-IF(O81&lt;3,$C$8,0)),MIN(Q81*(1-$C$5-IF(O81&lt;3,$C$8,0)),P81*(1-$C$6-IF(O81&lt;3,$C$8,0))))&lt;10,$C$9,IF(IF(P81&lt;Q81*(1-$C$7),Q81*(1-$C$5-IF(O81&lt;3,$C$8,0)),MIN(Q81*(1-$C$5-IF(O81&lt;3,$C$8,0)),P81*(1-$C$6-IF(O81&lt;3,$C$8,0))))&lt;100,$D$9,$E$9)))),ROUND($D81*(1+$C$10),2),FLOOR(IF(P81&lt;Q81*(1-$C$7),Q81*(1-$C$5-IF(O81&lt;3,$C$8,0)),MIN(Q81*(1-$C$5-IF(O81&lt;3,$C$8,0)),P81*(1-$C$6-IF(O81&lt;3,$C$8,0)))),IF(IF(P81&lt;Q81*(1-$C$7),Q81*(1-$C$5-IF(O81&lt;3,$C$8,0)),MIN(Q81*(1-$C$5-IF(O81&lt;3,$C$8,0)),P81*(1-$C$6-IF(O81&lt;3,$C$8,0))))&lt;10,$C$9,IF(IF(P81&lt;Q81*(1-$C$7),Q81*(1-$C$5-IF(O81&lt;3,$C$8,0)),MIN(Q81*(1-$C$5-IF(O81&lt;3,$C$8,0)),P81*(1-$C$6-IF(O81&lt;3,$C$8,0))))&lt;100,$D$9,$E$9)))))</f>
        <v>1.7</v>
      </c>
      <c r="U81" s="60" t="str">
        <f aca="false">IF(ISNUMBER($D81),$D81,"n/a")</f>
        <v>n/a</v>
      </c>
      <c r="V81" s="63" t="str">
        <f aca="false">IF(OR(O81=0,NOT(ISNUMBER($D81))),"—",T81/$D81-1)</f>
        <v>—</v>
      </c>
      <c r="W81" s="64" t="n">
        <f aca="false">IF(O81=0,"—",T81/P81-1)</f>
        <v>-0.0710382513661202</v>
      </c>
      <c r="X81" s="64" t="n">
        <f aca="false">IF(O81=0,"—",T81/Q81-1)</f>
        <v>-0.343629343629344</v>
      </c>
      <c r="Y81" s="59" t="n">
        <f aca="false">COUNTIFS(Offers!$B$7:$B$3000,$B81,Offers!$C$7:$C$3000,"Czech",Offers!$AI$7:$AI$3000,"yes")</f>
        <v>5</v>
      </c>
      <c r="Z81" s="60" t="n">
        <f aca="false">IF(Y81=0,"—",SUMIFS(Review!$I$7:$I$600,Review!$B$7:$B$600,$B81,Review!$C$7:$C$600,"Czech"))</f>
        <v>1.624248</v>
      </c>
      <c r="AA81" s="60" t="n">
        <f aca="false">IF(Y81=0,"—",SUMIFS(Review!$J$7:$J$600,Review!$B$7:$B$600,$B81,Review!$C$7:$C$600,"Czech"))</f>
        <v>3.65466</v>
      </c>
      <c r="AB81" s="60" t="n">
        <f aca="false">IF(Y81=0,"—",SUMIFS(Review!$K$7:$K$600,Review!$B$7:$B$600,$B81,Review!$C$7:$C$600,"Czech"))</f>
        <v>4.62667</v>
      </c>
      <c r="AC81" s="61" t="str">
        <f aca="false">IF(Y81=0,"—",IF(Z81&lt;AA81*(1-$C$7),"median (cheapest is an outlier)",IF(Z81*(1-$C$6)&lt;AA81*(1-$C$5),"undercut cheapest","median")))</f>
        <v>median (cheapest is an outlier)</v>
      </c>
      <c r="AD81" s="62" t="n">
        <f aca="false">IF(Y81=0,"—",IF(AND(ISNUMBER($D81),$D81*(1+$C$10)&gt;FLOOR(IF(Z81&lt;AA81*(1-$C$7),AA81*(1-$C$5-IF(Y81&lt;3,$C$8,0)),MIN(AA81*(1-$C$5-IF(Y81&lt;3,$C$8,0)),Z81*(1-$C$6-IF(Y81&lt;3,$C$8,0)))),IF(IF(Z81&lt;AA81*(1-$C$7),AA81*(1-$C$5-IF(Y81&lt;3,$C$8,0)),MIN(AA81*(1-$C$5-IF(Y81&lt;3,$C$8,0)),Z81*(1-$C$6-IF(Y81&lt;3,$C$8,0))))&lt;10,$C$9,IF(IF(Z81&lt;AA81*(1-$C$7),AA81*(1-$C$5-IF(Y81&lt;3,$C$8,0)),MIN(AA81*(1-$C$5-IF(Y81&lt;3,$C$8,0)),Z81*(1-$C$6-IF(Y81&lt;3,$C$8,0))))&lt;100,$D$9,$E$9)))),ROUND($D81*(1+$C$10),2),FLOOR(IF(Z81&lt;AA81*(1-$C$7),AA81*(1-$C$5-IF(Y81&lt;3,$C$8,0)),MIN(AA81*(1-$C$5-IF(Y81&lt;3,$C$8,0)),Z81*(1-$C$6-IF(Y81&lt;3,$C$8,0)))),IF(IF(Z81&lt;AA81*(1-$C$7),AA81*(1-$C$5-IF(Y81&lt;3,$C$8,0)),MIN(AA81*(1-$C$5-IF(Y81&lt;3,$C$8,0)),Z81*(1-$C$6-IF(Y81&lt;3,$C$8,0))))&lt;10,$C$9,IF(IF(Z81&lt;AA81*(1-$C$7),AA81*(1-$C$5-IF(Y81&lt;3,$C$8,0)),MIN(AA81*(1-$C$5-IF(Y81&lt;3,$C$8,0)),Z81*(1-$C$6-IF(Y81&lt;3,$C$8,0))))&lt;100,$D$9,$E$9)))))</f>
        <v>2.7</v>
      </c>
      <c r="AE81" s="65" t="n">
        <f aca="false">IF(Y81=0,"—",FLOOR(AD81*Sources!$G$10,1))</f>
        <v>65</v>
      </c>
      <c r="AF81" s="60" t="str">
        <f aca="false">IF(ISNUMBER($D81),$D81,"n/a")</f>
        <v>n/a</v>
      </c>
      <c r="AG81" s="63" t="str">
        <f aca="false">IF(OR(Y81=0,NOT(ISNUMBER($D81))),"—",AD81/$D81-1)</f>
        <v>—</v>
      </c>
      <c r="AH81" s="64" t="n">
        <f aca="false">IF(Y81=0,"—",AD81/Z81-1)</f>
        <v>0.662307726406313</v>
      </c>
      <c r="AI81" s="64" t="n">
        <f aca="false">IF(Y81=0,"—",AD81/AA81-1)</f>
        <v>-0.261217185729999</v>
      </c>
      <c r="AJ81" s="59" t="n">
        <f aca="false">COUNTIFS(Offers!$B$7:$B$3000,$B81,Offers!$C$7:$C$3000,"Slovakia",Offers!$AI$7:$AI$3000,"yes")</f>
        <v>5</v>
      </c>
      <c r="AK81" s="60" t="n">
        <f aca="false">IF(AJ81=0,"—",SUMIFS(Review!$I$7:$I$600,Review!$B$7:$B$600,$B81,Review!$C$7:$C$600,"Slovakia"))</f>
        <v>2.29</v>
      </c>
      <c r="AL81" s="60" t="n">
        <f aca="false">IF(AJ81=0,"—",SUMIFS(Review!$J$7:$J$600,Review!$B$7:$B$600,$B81,Review!$C$7:$C$600,"Slovakia"))</f>
        <v>3</v>
      </c>
      <c r="AM81" s="60" t="n">
        <f aca="false">IF(AJ81=0,"—",SUMIFS(Review!$K$7:$K$600,Review!$B$7:$B$600,$B81,Review!$C$7:$C$600,"Slovakia"))</f>
        <v>3.65</v>
      </c>
      <c r="AN81" s="61" t="str">
        <f aca="false">IF(AJ81=0,"—",IF(AK81&lt;AL81*(1-$C$7),"median (cheapest is an outlier)",IF(AK81*(1-$C$6)&lt;AL81*(1-$C$5),"undercut cheapest","median")))</f>
        <v>undercut cheapest</v>
      </c>
      <c r="AO81" s="62" t="n">
        <f aca="false">IF(AJ81=0,"—",IF(AND(ISNUMBER($D81),$D81*(1+$C$10)&gt;FLOOR(IF(AK81&lt;AL81*(1-$C$7),AL81*(1-$C$5-IF(AJ81&lt;3,$C$8,0)),MIN(AL81*(1-$C$5-IF(AJ81&lt;3,$C$8,0)),AK81*(1-$C$6-IF(AJ81&lt;3,$C$8,0)))),IF(IF(AK81&lt;AL81*(1-$C$7),AL81*(1-$C$5-IF(AJ81&lt;3,$C$8,0)),MIN(AL81*(1-$C$5-IF(AJ81&lt;3,$C$8,0)),AK81*(1-$C$6-IF(AJ81&lt;3,$C$8,0))))&lt;10,$C$9,IF(IF(AK81&lt;AL81*(1-$C$7),AL81*(1-$C$5-IF(AJ81&lt;3,$C$8,0)),MIN(AL81*(1-$C$5-IF(AJ81&lt;3,$C$8,0)),AK81*(1-$C$6-IF(AJ81&lt;3,$C$8,0))))&lt;100,$D$9,$E$9)))),ROUND($D81*(1+$C$10),2),FLOOR(IF(AK81&lt;AL81*(1-$C$7),AL81*(1-$C$5-IF(AJ81&lt;3,$C$8,0)),MIN(AL81*(1-$C$5-IF(AJ81&lt;3,$C$8,0)),AK81*(1-$C$6-IF(AJ81&lt;3,$C$8,0)))),IF(IF(AK81&lt;AL81*(1-$C$7),AL81*(1-$C$5-IF(AJ81&lt;3,$C$8,0)),MIN(AL81*(1-$C$5-IF(AJ81&lt;3,$C$8,0)),AK81*(1-$C$6-IF(AJ81&lt;3,$C$8,0))))&lt;10,$C$9,IF(IF(AK81&lt;AL81*(1-$C$7),AL81*(1-$C$5-IF(AJ81&lt;3,$C$8,0)),MIN(AL81*(1-$C$5-IF(AJ81&lt;3,$C$8,0)),AK81*(1-$C$6-IF(AJ81&lt;3,$C$8,0))))&lt;100,$D$9,$E$9)))))</f>
        <v>2.15</v>
      </c>
      <c r="AP81" s="60" t="str">
        <f aca="false">IF(ISNUMBER($D81),$D81,"n/a")</f>
        <v>n/a</v>
      </c>
      <c r="AQ81" s="63" t="str">
        <f aca="false">IF(OR(AJ81=0,NOT(ISNUMBER($D81))),"—",AO81/$D81-1)</f>
        <v>—</v>
      </c>
      <c r="AR81" s="64" t="n">
        <f aca="false">IF(AJ81=0,"—",AO81/AK81-1)</f>
        <v>-0.0611353711790393</v>
      </c>
      <c r="AS81" s="64" t="n">
        <f aca="false">IF(AJ81=0,"—",AO81/AL81-1)</f>
        <v>-0.283333333333333</v>
      </c>
      <c r="AT81" s="59" t="n">
        <f aca="false">COUNTIFS(Offers!$B$7:$B$3000,$B81,Offers!$C$7:$C$3000,"Romania",Offers!$AI$7:$AI$3000,"yes")</f>
        <v>5</v>
      </c>
      <c r="AU81" s="60" t="n">
        <f aca="false">IF(AT81=0,"—",SUMIFS(Review!$I$7:$I$600,Review!$B$7:$B$600,$B81,Review!$C$7:$C$600,"Romania"))</f>
        <v>1.479828</v>
      </c>
      <c r="AV81" s="60" t="n">
        <f aca="false">IF(AT81=0,"—",SUMIFS(Review!$J$7:$J$600,Review!$B$7:$B$600,$B81,Review!$C$7:$C$600,"Romania"))</f>
        <v>2.673543</v>
      </c>
      <c r="AW81" s="60" t="n">
        <f aca="false">IF(AT81=0,"—",SUMIFS(Review!$K$7:$K$600,Review!$B$7:$B$600,$B81,Review!$C$7:$C$600,"Romania"))</f>
        <v>3.755465</v>
      </c>
      <c r="AX81" s="61" t="str">
        <f aca="false">IF(AT81=0,"—",IF(AU81&lt;AV81*(1-$C$7),"median (cheapest is an outlier)",IF(AU81*(1-$C$6)&lt;AV81*(1-$C$5),"undercut cheapest","median")))</f>
        <v>median (cheapest is an outlier)</v>
      </c>
      <c r="AY81" s="62" t="n">
        <f aca="false">IF(AT81=0,"—",IF(AND(ISNUMBER($D81),$D81*(1+$C$10)&gt;FLOOR(IF(AU81&lt;AV81*(1-$C$7),AV81*(1-$C$5-IF(AT81&lt;3,$C$8,0)),MIN(AV81*(1-$C$5-IF(AT81&lt;3,$C$8,0)),AU81*(1-$C$6-IF(AT81&lt;3,$C$8,0)))),IF(IF(AU81&lt;AV81*(1-$C$7),AV81*(1-$C$5-IF(AT81&lt;3,$C$8,0)),MIN(AV81*(1-$C$5-IF(AT81&lt;3,$C$8,0)),AU81*(1-$C$6-IF(AT81&lt;3,$C$8,0))))&lt;10,$C$9,IF(IF(AU81&lt;AV81*(1-$C$7),AV81*(1-$C$5-IF(AT81&lt;3,$C$8,0)),MIN(AV81*(1-$C$5-IF(AT81&lt;3,$C$8,0)),AU81*(1-$C$6-IF(AT81&lt;3,$C$8,0))))&lt;100,$D$9,$E$9)))),ROUND($D81*(1+$C$10),2),FLOOR(IF(AU81&lt;AV81*(1-$C$7),AV81*(1-$C$5-IF(AT81&lt;3,$C$8,0)),MIN(AV81*(1-$C$5-IF(AT81&lt;3,$C$8,0)),AU81*(1-$C$6-IF(AT81&lt;3,$C$8,0)))),IF(IF(AU81&lt;AV81*(1-$C$7),AV81*(1-$C$5-IF(AT81&lt;3,$C$8,0)),MIN(AV81*(1-$C$5-IF(AT81&lt;3,$C$8,0)),AU81*(1-$C$6-IF(AT81&lt;3,$C$8,0))))&lt;10,$C$9,IF(IF(AU81&lt;AV81*(1-$C$7),AV81*(1-$C$5-IF(AT81&lt;3,$C$8,0)),MIN(AV81*(1-$C$5-IF(AT81&lt;3,$C$8,0)),AU81*(1-$C$6-IF(AT81&lt;3,$C$8,0))))&lt;100,$D$9,$E$9)))))</f>
        <v>2</v>
      </c>
      <c r="AZ81" s="62" t="n">
        <f aca="false">IF(AT81=0,"—",FLOOR(AY81*Sources!$G$9,0.1))</f>
        <v>10.5</v>
      </c>
      <c r="BA81" s="60" t="str">
        <f aca="false">IF(ISNUMBER($D81),$D81,"n/a")</f>
        <v>n/a</v>
      </c>
      <c r="BB81" s="63" t="str">
        <f aca="false">IF(OR(AT81=0,NOT(ISNUMBER($D81))),"—",AY81/$D81-1)</f>
        <v>—</v>
      </c>
      <c r="BC81" s="64" t="n">
        <f aca="false">IF(AT81=0,"—",AY81/AU81-1)</f>
        <v>0.351508418545939</v>
      </c>
      <c r="BD81" s="64" t="n">
        <f aca="false">IF(AT81=0,"—",AY81/AV81-1)</f>
        <v>-0.251928994596309</v>
      </c>
      <c r="BE81" s="59" t="n">
        <f aca="false">COUNTIFS(Offers!$B$7:$B$3000,$B81,Offers!$C$7:$C$3000,"Hungary",Offers!$AI$7:$AI$3000,"yes")</f>
        <v>0</v>
      </c>
      <c r="BF81" s="60" t="str">
        <f aca="false">IF(BE81=0,"—",SUMIFS(Review!$I$7:$I$600,Review!$B$7:$B$600,$B81,Review!$C$7:$C$600,"Hungary"))</f>
        <v>—</v>
      </c>
      <c r="BG81" s="60" t="str">
        <f aca="false">IF(BE81=0,"—",SUMIFS(Review!$J$7:$J$600,Review!$B$7:$B$600,$B81,Review!$C$7:$C$600,"Hungary"))</f>
        <v>—</v>
      </c>
      <c r="BH81" s="60" t="str">
        <f aca="false">IF(BE81=0,"—",SUMIFS(Review!$K$7:$K$600,Review!$B$7:$B$600,$B81,Review!$C$7:$C$600,"Hungary"))</f>
        <v>—</v>
      </c>
      <c r="BI81" s="61" t="str">
        <f aca="false">IF(BE81=0,"—",IF(BF81&lt;BG81*(1-$C$7),"median (cheapest is an outlier)",IF(BF81*(1-$C$6)&lt;BG81*(1-$C$5),"undercut cheapest","median")))</f>
        <v>—</v>
      </c>
      <c r="BJ81" s="62" t="str">
        <f aca="false">IF(BE81=0,"—",IF(AND(ISNUMBER($D81),$D81*(1+$C$10)&gt;FLOOR(IF(BF81&lt;BG81*(1-$C$7),BG81*(1-$C$5-IF(BE81&lt;3,$C$8,0)),MIN(BG81*(1-$C$5-IF(BE81&lt;3,$C$8,0)),BF81*(1-$C$6-IF(BE81&lt;3,$C$8,0)))),IF(IF(BF81&lt;BG81*(1-$C$7),BG81*(1-$C$5-IF(BE81&lt;3,$C$8,0)),MIN(BG81*(1-$C$5-IF(BE81&lt;3,$C$8,0)),BF81*(1-$C$6-IF(BE81&lt;3,$C$8,0))))&lt;10,$C$9,IF(IF(BF81&lt;BG81*(1-$C$7),BG81*(1-$C$5-IF(BE81&lt;3,$C$8,0)),MIN(BG81*(1-$C$5-IF(BE81&lt;3,$C$8,0)),BF81*(1-$C$6-IF(BE81&lt;3,$C$8,0))))&lt;100,$D$9,$E$9)))),ROUND($D81*(1+$C$10),2),FLOOR(IF(BF81&lt;BG81*(1-$C$7),BG81*(1-$C$5-IF(BE81&lt;3,$C$8,0)),MIN(BG81*(1-$C$5-IF(BE81&lt;3,$C$8,0)),BF81*(1-$C$6-IF(BE81&lt;3,$C$8,0)))),IF(IF(BF81&lt;BG81*(1-$C$7),BG81*(1-$C$5-IF(BE81&lt;3,$C$8,0)),MIN(BG81*(1-$C$5-IF(BE81&lt;3,$C$8,0)),BF81*(1-$C$6-IF(BE81&lt;3,$C$8,0))))&lt;10,$C$9,IF(IF(BF81&lt;BG81*(1-$C$7),BG81*(1-$C$5-IF(BE81&lt;3,$C$8,0)),MIN(BG81*(1-$C$5-IF(BE81&lt;3,$C$8,0)),BF81*(1-$C$6-IF(BE81&lt;3,$C$8,0))))&lt;100,$D$9,$E$9)))))</f>
        <v>—</v>
      </c>
      <c r="BK81" s="65" t="str">
        <f aca="false">IF(BE81=0,"—",FLOOR(BJ81*Sources!$G$8,10))</f>
        <v>—</v>
      </c>
      <c r="BL81" s="60" t="str">
        <f aca="false">IF(ISNUMBER($D81),$D81,"n/a")</f>
        <v>n/a</v>
      </c>
      <c r="BM81" s="63" t="str">
        <f aca="false">IF(OR(BE81=0,NOT(ISNUMBER($D81))),"—",BJ81/$D81-1)</f>
        <v>—</v>
      </c>
      <c r="BN81" s="64" t="str">
        <f aca="false">IF(BE81=0,"—",BJ81/BF81-1)</f>
        <v>—</v>
      </c>
      <c r="BO81" s="64" t="str">
        <f aca="false">IF(BE81=0,"—",BJ81/BG81-1)</f>
        <v>—</v>
      </c>
    </row>
    <row r="82" customFormat="false" ht="15" hidden="false" customHeight="false" outlineLevel="0" collapsed="false">
      <c r="B82" s="1" t="s">
        <v>98</v>
      </c>
      <c r="C82" s="1" t="s">
        <v>207</v>
      </c>
      <c r="D82" s="58"/>
      <c r="E82" s="59" t="n">
        <f aca="false">COUNTIFS(Offers!$B$7:$B$3000,$B82,Offers!$C$7:$C$3000,"Austria",Offers!$AI$7:$AI$3000,"yes")</f>
        <v>7</v>
      </c>
      <c r="F82" s="60" t="n">
        <f aca="false">IF(E82=0,"—",SUMIFS(Review!$I$7:$I$600,Review!$B$7:$B$600,$B82,Review!$C$7:$C$600,"Austria"))</f>
        <v>2.8</v>
      </c>
      <c r="G82" s="60" t="n">
        <f aca="false">IF(E82=0,"—",SUMIFS(Review!$J$7:$J$600,Review!$B$7:$B$600,$B82,Review!$C$7:$C$600,"Austria"))</f>
        <v>4.15</v>
      </c>
      <c r="H82" s="60" t="n">
        <f aca="false">IF(E82=0,"—",SUMIFS(Review!$K$7:$K$600,Review!$B$7:$B$600,$B82,Review!$C$7:$C$600,"Austria"))</f>
        <v>14.7</v>
      </c>
      <c r="I82" s="61" t="str">
        <f aca="false">IF(E82=0,"—",IF(F82&lt;G82*(1-$C$7),"median (cheapest is an outlier)",IF(F82*(1-$C$6)&lt;G82*(1-$C$5),"undercut cheapest","median")))</f>
        <v>undercut cheapest</v>
      </c>
      <c r="J82" s="62" t="n">
        <f aca="false">IF(E82=0,"—",IF(AND(ISNUMBER($D82),$D82*(1+$C$10)&gt;FLOOR(IF(F82&lt;G82*(1-$C$7),G82*(1-$C$5-IF(E82&lt;3,$C$8,0)),MIN(G82*(1-$C$5-IF(E82&lt;3,$C$8,0)),F82*(1-$C$6-IF(E82&lt;3,$C$8,0)))),IF(IF(F82&lt;G82*(1-$C$7),G82*(1-$C$5-IF(E82&lt;3,$C$8,0)),MIN(G82*(1-$C$5-IF(E82&lt;3,$C$8,0)),F82*(1-$C$6-IF(E82&lt;3,$C$8,0))))&lt;10,$C$9,IF(IF(F82&lt;G82*(1-$C$7),G82*(1-$C$5-IF(E82&lt;3,$C$8,0)),MIN(G82*(1-$C$5-IF(E82&lt;3,$C$8,0)),F82*(1-$C$6-IF(E82&lt;3,$C$8,0))))&lt;100,$D$9,$E$9)))),ROUND($D82*(1+$C$10),2),FLOOR(IF(F82&lt;G82*(1-$C$7),G82*(1-$C$5-IF(E82&lt;3,$C$8,0)),MIN(G82*(1-$C$5-IF(E82&lt;3,$C$8,0)),F82*(1-$C$6-IF(E82&lt;3,$C$8,0)))),IF(IF(F82&lt;G82*(1-$C$7),G82*(1-$C$5-IF(E82&lt;3,$C$8,0)),MIN(G82*(1-$C$5-IF(E82&lt;3,$C$8,0)),F82*(1-$C$6-IF(E82&lt;3,$C$8,0))))&lt;10,$C$9,IF(IF(F82&lt;G82*(1-$C$7),G82*(1-$C$5-IF(E82&lt;3,$C$8,0)),MIN(G82*(1-$C$5-IF(E82&lt;3,$C$8,0)),F82*(1-$C$6-IF(E82&lt;3,$C$8,0))))&lt;100,$D$9,$E$9)))))</f>
        <v>2.65</v>
      </c>
      <c r="K82" s="60" t="str">
        <f aca="false">IF(ISNUMBER($D82),$D82,"n/a")</f>
        <v>n/a</v>
      </c>
      <c r="L82" s="63" t="str">
        <f aca="false">IF(OR(E82=0,NOT(ISNUMBER($D82))),"—",J82/$D82-1)</f>
        <v>—</v>
      </c>
      <c r="M82" s="64" t="n">
        <f aca="false">IF(E82=0,"—",J82/F82-1)</f>
        <v>-0.0535714285714284</v>
      </c>
      <c r="N82" s="64" t="n">
        <f aca="false">IF(E82=0,"—",J82/G82-1)</f>
        <v>-0.36144578313253</v>
      </c>
      <c r="O82" s="59" t="n">
        <f aca="false">COUNTIFS(Offers!$B$7:$B$3000,$B82,Offers!$C$7:$C$3000,"Germany",Offers!$AI$7:$AI$3000,"yes")</f>
        <v>7</v>
      </c>
      <c r="P82" s="60" t="n">
        <f aca="false">IF(O82=0,"—",SUMIFS(Review!$I$7:$I$600,Review!$B$7:$B$600,$B82,Review!$C$7:$C$600,"Germany"))</f>
        <v>2.39</v>
      </c>
      <c r="Q82" s="60" t="n">
        <f aca="false">IF(O82=0,"—",SUMIFS(Review!$J$7:$J$600,Review!$B$7:$B$600,$B82,Review!$C$7:$C$600,"Germany"))</f>
        <v>3.38</v>
      </c>
      <c r="R82" s="60" t="n">
        <f aca="false">IF(O82=0,"—",SUMIFS(Review!$K$7:$K$600,Review!$B$7:$B$600,$B82,Review!$C$7:$C$600,"Germany"))</f>
        <v>13.5</v>
      </c>
      <c r="S82" s="61" t="str">
        <f aca="false">IF(O82=0,"—",IF(P82&lt;Q82*(1-$C$7),"median (cheapest is an outlier)",IF(P82*(1-$C$6)&lt;Q82*(1-$C$5),"undercut cheapest","median")))</f>
        <v>undercut cheapest</v>
      </c>
      <c r="T82" s="62" t="n">
        <f aca="false">IF(O82=0,"—",IF(AND(ISNUMBER($D82),$D82*(1+$C$10)&gt;FLOOR(IF(P82&lt;Q82*(1-$C$7),Q82*(1-$C$5-IF(O82&lt;3,$C$8,0)),MIN(Q82*(1-$C$5-IF(O82&lt;3,$C$8,0)),P82*(1-$C$6-IF(O82&lt;3,$C$8,0)))),IF(IF(P82&lt;Q82*(1-$C$7),Q82*(1-$C$5-IF(O82&lt;3,$C$8,0)),MIN(Q82*(1-$C$5-IF(O82&lt;3,$C$8,0)),P82*(1-$C$6-IF(O82&lt;3,$C$8,0))))&lt;10,$C$9,IF(IF(P82&lt;Q82*(1-$C$7),Q82*(1-$C$5-IF(O82&lt;3,$C$8,0)),MIN(Q82*(1-$C$5-IF(O82&lt;3,$C$8,0)),P82*(1-$C$6-IF(O82&lt;3,$C$8,0))))&lt;100,$D$9,$E$9)))),ROUND($D82*(1+$C$10),2),FLOOR(IF(P82&lt;Q82*(1-$C$7),Q82*(1-$C$5-IF(O82&lt;3,$C$8,0)),MIN(Q82*(1-$C$5-IF(O82&lt;3,$C$8,0)),P82*(1-$C$6-IF(O82&lt;3,$C$8,0)))),IF(IF(P82&lt;Q82*(1-$C$7),Q82*(1-$C$5-IF(O82&lt;3,$C$8,0)),MIN(Q82*(1-$C$5-IF(O82&lt;3,$C$8,0)),P82*(1-$C$6-IF(O82&lt;3,$C$8,0))))&lt;10,$C$9,IF(IF(P82&lt;Q82*(1-$C$7),Q82*(1-$C$5-IF(O82&lt;3,$C$8,0)),MIN(Q82*(1-$C$5-IF(O82&lt;3,$C$8,0)),P82*(1-$C$6-IF(O82&lt;3,$C$8,0))))&lt;100,$D$9,$E$9)))))</f>
        <v>2.25</v>
      </c>
      <c r="U82" s="60" t="str">
        <f aca="false">IF(ISNUMBER($D82),$D82,"n/a")</f>
        <v>n/a</v>
      </c>
      <c r="V82" s="63" t="str">
        <f aca="false">IF(OR(O82=0,NOT(ISNUMBER($D82))),"—",T82/$D82-1)</f>
        <v>—</v>
      </c>
      <c r="W82" s="64" t="n">
        <f aca="false">IF(O82=0,"—",T82/P82-1)</f>
        <v>-0.0585774058577406</v>
      </c>
      <c r="X82" s="64" t="n">
        <f aca="false">IF(O82=0,"—",T82/Q82-1)</f>
        <v>-0.334319526627219</v>
      </c>
      <c r="Y82" s="59" t="n">
        <f aca="false">COUNTIFS(Offers!$B$7:$B$3000,$B82,Offers!$C$7:$C$3000,"Czech",Offers!$AI$7:$AI$3000,"yes")</f>
        <v>5</v>
      </c>
      <c r="Z82" s="60" t="n">
        <f aca="false">IF(Y82=0,"—",SUMIFS(Review!$I$7:$I$600,Review!$B$7:$B$600,$B82,Review!$C$7:$C$600,"Czech"))</f>
        <v>3.079397</v>
      </c>
      <c r="AA82" s="60" t="n">
        <f aca="false">IF(Y82=0,"—",SUMIFS(Review!$J$7:$J$600,Review!$B$7:$B$600,$B82,Review!$C$7:$C$600,"Czech"))</f>
        <v>5.199885</v>
      </c>
      <c r="AB82" s="60" t="n">
        <f aca="false">IF(Y82=0,"—",SUMIFS(Review!$K$7:$K$600,Review!$B$7:$B$600,$B82,Review!$C$7:$C$600,"Czech"))</f>
        <v>6.714812</v>
      </c>
      <c r="AC82" s="61" t="str">
        <f aca="false">IF(Y82=0,"—",IF(Z82&lt;AA82*(1-$C$7),"median (cheapest is an outlier)",IF(Z82*(1-$C$6)&lt;AA82*(1-$C$5),"undercut cheapest","median")))</f>
        <v>median (cheapest is an outlier)</v>
      </c>
      <c r="AD82" s="62" t="n">
        <f aca="false">IF(Y82=0,"—",IF(AND(ISNUMBER($D82),$D82*(1+$C$10)&gt;FLOOR(IF(Z82&lt;AA82*(1-$C$7),AA82*(1-$C$5-IF(Y82&lt;3,$C$8,0)),MIN(AA82*(1-$C$5-IF(Y82&lt;3,$C$8,0)),Z82*(1-$C$6-IF(Y82&lt;3,$C$8,0)))),IF(IF(Z82&lt;AA82*(1-$C$7),AA82*(1-$C$5-IF(Y82&lt;3,$C$8,0)),MIN(AA82*(1-$C$5-IF(Y82&lt;3,$C$8,0)),Z82*(1-$C$6-IF(Y82&lt;3,$C$8,0))))&lt;10,$C$9,IF(IF(Z82&lt;AA82*(1-$C$7),AA82*(1-$C$5-IF(Y82&lt;3,$C$8,0)),MIN(AA82*(1-$C$5-IF(Y82&lt;3,$C$8,0)),Z82*(1-$C$6-IF(Y82&lt;3,$C$8,0))))&lt;100,$D$9,$E$9)))),ROUND($D82*(1+$C$10),2),FLOOR(IF(Z82&lt;AA82*(1-$C$7),AA82*(1-$C$5-IF(Y82&lt;3,$C$8,0)),MIN(AA82*(1-$C$5-IF(Y82&lt;3,$C$8,0)),Z82*(1-$C$6-IF(Y82&lt;3,$C$8,0)))),IF(IF(Z82&lt;AA82*(1-$C$7),AA82*(1-$C$5-IF(Y82&lt;3,$C$8,0)),MIN(AA82*(1-$C$5-IF(Y82&lt;3,$C$8,0)),Z82*(1-$C$6-IF(Y82&lt;3,$C$8,0))))&lt;10,$C$9,IF(IF(Z82&lt;AA82*(1-$C$7),AA82*(1-$C$5-IF(Y82&lt;3,$C$8,0)),MIN(AA82*(1-$C$5-IF(Y82&lt;3,$C$8,0)),Z82*(1-$C$6-IF(Y82&lt;3,$C$8,0))))&lt;100,$D$9,$E$9)))))</f>
        <v>3.85</v>
      </c>
      <c r="AE82" s="65" t="n">
        <f aca="false">IF(Y82=0,"—",FLOOR(AD82*Sources!$G$10,1))</f>
        <v>94</v>
      </c>
      <c r="AF82" s="60" t="str">
        <f aca="false">IF(ISNUMBER($D82),$D82,"n/a")</f>
        <v>n/a</v>
      </c>
      <c r="AG82" s="63" t="str">
        <f aca="false">IF(OR(Y82=0,NOT(ISNUMBER($D82))),"—",AD82/$D82-1)</f>
        <v>—</v>
      </c>
      <c r="AH82" s="64" t="n">
        <f aca="false">IF(Y82=0,"—",AD82/Z82-1)</f>
        <v>0.250244771947235</v>
      </c>
      <c r="AI82" s="64" t="n">
        <f aca="false">IF(Y82=0,"—",AD82/AA82-1)</f>
        <v>-0.259599010362729</v>
      </c>
      <c r="AJ82" s="59" t="n">
        <f aca="false">COUNTIFS(Offers!$B$7:$B$3000,$B82,Offers!$C$7:$C$3000,"Slovakia",Offers!$AI$7:$AI$3000,"yes")</f>
        <v>5</v>
      </c>
      <c r="AK82" s="60" t="n">
        <f aca="false">IF(AJ82=0,"—",SUMIFS(Review!$I$7:$I$600,Review!$B$7:$B$600,$B82,Review!$C$7:$C$600,"Slovakia"))</f>
        <v>2.78</v>
      </c>
      <c r="AL82" s="60" t="n">
        <f aca="false">IF(AJ82=0,"—",SUMIFS(Review!$J$7:$J$600,Review!$B$7:$B$600,$B82,Review!$C$7:$C$600,"Slovakia"))</f>
        <v>3.43</v>
      </c>
      <c r="AM82" s="60" t="n">
        <f aca="false">IF(AJ82=0,"—",SUMIFS(Review!$K$7:$K$600,Review!$B$7:$B$600,$B82,Review!$C$7:$C$600,"Slovakia"))</f>
        <v>4.78</v>
      </c>
      <c r="AN82" s="61" t="str">
        <f aca="false">IF(AJ82=0,"—",IF(AK82&lt;AL82*(1-$C$7),"median (cheapest is an outlier)",IF(AK82*(1-$C$6)&lt;AL82*(1-$C$5),"undercut cheapest","median")))</f>
        <v>median</v>
      </c>
      <c r="AO82" s="62" t="n">
        <f aca="false">IF(AJ82=0,"—",IF(AND(ISNUMBER($D82),$D82*(1+$C$10)&gt;FLOOR(IF(AK82&lt;AL82*(1-$C$7),AL82*(1-$C$5-IF(AJ82&lt;3,$C$8,0)),MIN(AL82*(1-$C$5-IF(AJ82&lt;3,$C$8,0)),AK82*(1-$C$6-IF(AJ82&lt;3,$C$8,0)))),IF(IF(AK82&lt;AL82*(1-$C$7),AL82*(1-$C$5-IF(AJ82&lt;3,$C$8,0)),MIN(AL82*(1-$C$5-IF(AJ82&lt;3,$C$8,0)),AK82*(1-$C$6-IF(AJ82&lt;3,$C$8,0))))&lt;10,$C$9,IF(IF(AK82&lt;AL82*(1-$C$7),AL82*(1-$C$5-IF(AJ82&lt;3,$C$8,0)),MIN(AL82*(1-$C$5-IF(AJ82&lt;3,$C$8,0)),AK82*(1-$C$6-IF(AJ82&lt;3,$C$8,0))))&lt;100,$D$9,$E$9)))),ROUND($D82*(1+$C$10),2),FLOOR(IF(AK82&lt;AL82*(1-$C$7),AL82*(1-$C$5-IF(AJ82&lt;3,$C$8,0)),MIN(AL82*(1-$C$5-IF(AJ82&lt;3,$C$8,0)),AK82*(1-$C$6-IF(AJ82&lt;3,$C$8,0)))),IF(IF(AK82&lt;AL82*(1-$C$7),AL82*(1-$C$5-IF(AJ82&lt;3,$C$8,0)),MIN(AL82*(1-$C$5-IF(AJ82&lt;3,$C$8,0)),AK82*(1-$C$6-IF(AJ82&lt;3,$C$8,0))))&lt;10,$C$9,IF(IF(AK82&lt;AL82*(1-$C$7),AL82*(1-$C$5-IF(AJ82&lt;3,$C$8,0)),MIN(AL82*(1-$C$5-IF(AJ82&lt;3,$C$8,0)),AK82*(1-$C$6-IF(AJ82&lt;3,$C$8,0))))&lt;100,$D$9,$E$9)))))</f>
        <v>2.55</v>
      </c>
      <c r="AP82" s="60" t="str">
        <f aca="false">IF(ISNUMBER($D82),$D82,"n/a")</f>
        <v>n/a</v>
      </c>
      <c r="AQ82" s="63" t="str">
        <f aca="false">IF(OR(AJ82=0,NOT(ISNUMBER($D82))),"—",AO82/$D82-1)</f>
        <v>—</v>
      </c>
      <c r="AR82" s="64" t="n">
        <f aca="false">IF(AJ82=0,"—",AO82/AK82-1)</f>
        <v>-0.0827338129496401</v>
      </c>
      <c r="AS82" s="64" t="n">
        <f aca="false">IF(AJ82=0,"—",AO82/AL82-1)</f>
        <v>-0.256559766763848</v>
      </c>
      <c r="AT82" s="59" t="n">
        <f aca="false">COUNTIFS(Offers!$B$7:$B$3000,$B82,Offers!$C$7:$C$3000,"Romania",Offers!$AI$7:$AI$3000,"yes")</f>
        <v>5</v>
      </c>
      <c r="AU82" s="60" t="n">
        <f aca="false">IF(AT82=0,"—",SUMIFS(Review!$I$7:$I$600,Review!$B$7:$B$600,$B82,Review!$C$7:$C$600,"Romania"))</f>
        <v>2.432905</v>
      </c>
      <c r="AV82" s="60" t="n">
        <f aca="false">IF(AT82=0,"—",SUMIFS(Review!$J$7:$J$600,Review!$B$7:$B$600,$B82,Review!$C$7:$C$600,"Romania"))</f>
        <v>3.823678</v>
      </c>
      <c r="AW82" s="60" t="n">
        <f aca="false">IF(AT82=0,"—",SUMIFS(Review!$K$7:$K$600,Review!$B$7:$B$600,$B82,Review!$C$7:$C$600,"Romania"))</f>
        <v>7.194501</v>
      </c>
      <c r="AX82" s="61" t="str">
        <f aca="false">IF(AT82=0,"—",IF(AU82&lt;AV82*(1-$C$7),"median (cheapest is an outlier)",IF(AU82*(1-$C$6)&lt;AV82*(1-$C$5),"undercut cheapest","median")))</f>
        <v>median (cheapest is an outlier)</v>
      </c>
      <c r="AY82" s="62" t="n">
        <f aca="false">IF(AT82=0,"—",IF(AND(ISNUMBER($D82),$D82*(1+$C$10)&gt;FLOOR(IF(AU82&lt;AV82*(1-$C$7),AV82*(1-$C$5-IF(AT82&lt;3,$C$8,0)),MIN(AV82*(1-$C$5-IF(AT82&lt;3,$C$8,0)),AU82*(1-$C$6-IF(AT82&lt;3,$C$8,0)))),IF(IF(AU82&lt;AV82*(1-$C$7),AV82*(1-$C$5-IF(AT82&lt;3,$C$8,0)),MIN(AV82*(1-$C$5-IF(AT82&lt;3,$C$8,0)),AU82*(1-$C$6-IF(AT82&lt;3,$C$8,0))))&lt;10,$C$9,IF(IF(AU82&lt;AV82*(1-$C$7),AV82*(1-$C$5-IF(AT82&lt;3,$C$8,0)),MIN(AV82*(1-$C$5-IF(AT82&lt;3,$C$8,0)),AU82*(1-$C$6-IF(AT82&lt;3,$C$8,0))))&lt;100,$D$9,$E$9)))),ROUND($D82*(1+$C$10),2),FLOOR(IF(AU82&lt;AV82*(1-$C$7),AV82*(1-$C$5-IF(AT82&lt;3,$C$8,0)),MIN(AV82*(1-$C$5-IF(AT82&lt;3,$C$8,0)),AU82*(1-$C$6-IF(AT82&lt;3,$C$8,0)))),IF(IF(AU82&lt;AV82*(1-$C$7),AV82*(1-$C$5-IF(AT82&lt;3,$C$8,0)),MIN(AV82*(1-$C$5-IF(AT82&lt;3,$C$8,0)),AU82*(1-$C$6-IF(AT82&lt;3,$C$8,0))))&lt;10,$C$9,IF(IF(AU82&lt;AV82*(1-$C$7),AV82*(1-$C$5-IF(AT82&lt;3,$C$8,0)),MIN(AV82*(1-$C$5-IF(AT82&lt;3,$C$8,0)),AU82*(1-$C$6-IF(AT82&lt;3,$C$8,0))))&lt;100,$D$9,$E$9)))))</f>
        <v>2.85</v>
      </c>
      <c r="AZ82" s="62" t="n">
        <f aca="false">IF(AT82=0,"—",FLOOR(AY82*Sources!$G$9,0.1))</f>
        <v>15</v>
      </c>
      <c r="BA82" s="60" t="str">
        <f aca="false">IF(ISNUMBER($D82),$D82,"n/a")</f>
        <v>n/a</v>
      </c>
      <c r="BB82" s="63" t="str">
        <f aca="false">IF(OR(AT82=0,NOT(ISNUMBER($D82))),"—",AY82/$D82-1)</f>
        <v>—</v>
      </c>
      <c r="BC82" s="64" t="n">
        <f aca="false">IF(AT82=0,"—",AY82/AU82-1)</f>
        <v>0.171439082084997</v>
      </c>
      <c r="BD82" s="64" t="n">
        <f aca="false">IF(AT82=0,"—",AY82/AV82-1)</f>
        <v>-0.254644350282634</v>
      </c>
      <c r="BE82" s="59" t="n">
        <f aca="false">COUNTIFS(Offers!$B$7:$B$3000,$B82,Offers!$C$7:$C$3000,"Hungary",Offers!$AI$7:$AI$3000,"yes")</f>
        <v>0</v>
      </c>
      <c r="BF82" s="60" t="str">
        <f aca="false">IF(BE82=0,"—",SUMIFS(Review!$I$7:$I$600,Review!$B$7:$B$600,$B82,Review!$C$7:$C$600,"Hungary"))</f>
        <v>—</v>
      </c>
      <c r="BG82" s="60" t="str">
        <f aca="false">IF(BE82=0,"—",SUMIFS(Review!$J$7:$J$600,Review!$B$7:$B$600,$B82,Review!$C$7:$C$600,"Hungary"))</f>
        <v>—</v>
      </c>
      <c r="BH82" s="60" t="str">
        <f aca="false">IF(BE82=0,"—",SUMIFS(Review!$K$7:$K$600,Review!$B$7:$B$600,$B82,Review!$C$7:$C$600,"Hungary"))</f>
        <v>—</v>
      </c>
      <c r="BI82" s="61" t="str">
        <f aca="false">IF(BE82=0,"—",IF(BF82&lt;BG82*(1-$C$7),"median (cheapest is an outlier)",IF(BF82*(1-$C$6)&lt;BG82*(1-$C$5),"undercut cheapest","median")))</f>
        <v>—</v>
      </c>
      <c r="BJ82" s="62" t="str">
        <f aca="false">IF(BE82=0,"—",IF(AND(ISNUMBER($D82),$D82*(1+$C$10)&gt;FLOOR(IF(BF82&lt;BG82*(1-$C$7),BG82*(1-$C$5-IF(BE82&lt;3,$C$8,0)),MIN(BG82*(1-$C$5-IF(BE82&lt;3,$C$8,0)),BF82*(1-$C$6-IF(BE82&lt;3,$C$8,0)))),IF(IF(BF82&lt;BG82*(1-$C$7),BG82*(1-$C$5-IF(BE82&lt;3,$C$8,0)),MIN(BG82*(1-$C$5-IF(BE82&lt;3,$C$8,0)),BF82*(1-$C$6-IF(BE82&lt;3,$C$8,0))))&lt;10,$C$9,IF(IF(BF82&lt;BG82*(1-$C$7),BG82*(1-$C$5-IF(BE82&lt;3,$C$8,0)),MIN(BG82*(1-$C$5-IF(BE82&lt;3,$C$8,0)),BF82*(1-$C$6-IF(BE82&lt;3,$C$8,0))))&lt;100,$D$9,$E$9)))),ROUND($D82*(1+$C$10),2),FLOOR(IF(BF82&lt;BG82*(1-$C$7),BG82*(1-$C$5-IF(BE82&lt;3,$C$8,0)),MIN(BG82*(1-$C$5-IF(BE82&lt;3,$C$8,0)),BF82*(1-$C$6-IF(BE82&lt;3,$C$8,0)))),IF(IF(BF82&lt;BG82*(1-$C$7),BG82*(1-$C$5-IF(BE82&lt;3,$C$8,0)),MIN(BG82*(1-$C$5-IF(BE82&lt;3,$C$8,0)),BF82*(1-$C$6-IF(BE82&lt;3,$C$8,0))))&lt;10,$C$9,IF(IF(BF82&lt;BG82*(1-$C$7),BG82*(1-$C$5-IF(BE82&lt;3,$C$8,0)),MIN(BG82*(1-$C$5-IF(BE82&lt;3,$C$8,0)),BF82*(1-$C$6-IF(BE82&lt;3,$C$8,0))))&lt;100,$D$9,$E$9)))))</f>
        <v>—</v>
      </c>
      <c r="BK82" s="65" t="str">
        <f aca="false">IF(BE82=0,"—",FLOOR(BJ82*Sources!$G$8,10))</f>
        <v>—</v>
      </c>
      <c r="BL82" s="60" t="str">
        <f aca="false">IF(ISNUMBER($D82),$D82,"n/a")</f>
        <v>n/a</v>
      </c>
      <c r="BM82" s="63" t="str">
        <f aca="false">IF(OR(BE82=0,NOT(ISNUMBER($D82))),"—",BJ82/$D82-1)</f>
        <v>—</v>
      </c>
      <c r="BN82" s="64" t="str">
        <f aca="false">IF(BE82=0,"—",BJ82/BF82-1)</f>
        <v>—</v>
      </c>
      <c r="BO82" s="64" t="str">
        <f aca="false">IF(BE82=0,"—",BJ82/BG82-1)</f>
        <v>—</v>
      </c>
    </row>
    <row r="83" customFormat="false" ht="15" hidden="false" customHeight="false" outlineLevel="0" collapsed="false">
      <c r="B83" s="1" t="s">
        <v>99</v>
      </c>
      <c r="C83" s="1" t="s">
        <v>208</v>
      </c>
      <c r="D83" s="58"/>
      <c r="E83" s="59" t="n">
        <f aca="false">COUNTIFS(Offers!$B$7:$B$3000,$B83,Offers!$C$7:$C$3000,"Austria",Offers!$AI$7:$AI$3000,"yes")</f>
        <v>5</v>
      </c>
      <c r="F83" s="60" t="n">
        <f aca="false">IF(E83=0,"—",SUMIFS(Review!$I$7:$I$600,Review!$B$7:$B$600,$B83,Review!$C$7:$C$600,"Austria"))</f>
        <v>3.8</v>
      </c>
      <c r="G83" s="60" t="n">
        <f aca="false">IF(E83=0,"—",SUMIFS(Review!$J$7:$J$600,Review!$B$7:$B$600,$B83,Review!$C$7:$C$600,"Austria"))</f>
        <v>4.74</v>
      </c>
      <c r="H83" s="60" t="n">
        <f aca="false">IF(E83=0,"—",SUMIFS(Review!$K$7:$K$600,Review!$B$7:$B$600,$B83,Review!$C$7:$C$600,"Austria"))</f>
        <v>15.76</v>
      </c>
      <c r="I83" s="61" t="str">
        <f aca="false">IF(E83=0,"—",IF(F83&lt;G83*(1-$C$7),"median (cheapest is an outlier)",IF(F83*(1-$C$6)&lt;G83*(1-$C$5),"undercut cheapest","median")))</f>
        <v>median</v>
      </c>
      <c r="J83" s="62" t="n">
        <f aca="false">IF(E83=0,"—",IF(AND(ISNUMBER($D83),$D83*(1+$C$10)&gt;FLOOR(IF(F83&lt;G83*(1-$C$7),G83*(1-$C$5-IF(E83&lt;3,$C$8,0)),MIN(G83*(1-$C$5-IF(E83&lt;3,$C$8,0)),F83*(1-$C$6-IF(E83&lt;3,$C$8,0)))),IF(IF(F83&lt;G83*(1-$C$7),G83*(1-$C$5-IF(E83&lt;3,$C$8,0)),MIN(G83*(1-$C$5-IF(E83&lt;3,$C$8,0)),F83*(1-$C$6-IF(E83&lt;3,$C$8,0))))&lt;10,$C$9,IF(IF(F83&lt;G83*(1-$C$7),G83*(1-$C$5-IF(E83&lt;3,$C$8,0)),MIN(G83*(1-$C$5-IF(E83&lt;3,$C$8,0)),F83*(1-$C$6-IF(E83&lt;3,$C$8,0))))&lt;100,$D$9,$E$9)))),ROUND($D83*(1+$C$10),2),FLOOR(IF(F83&lt;G83*(1-$C$7),G83*(1-$C$5-IF(E83&lt;3,$C$8,0)),MIN(G83*(1-$C$5-IF(E83&lt;3,$C$8,0)),F83*(1-$C$6-IF(E83&lt;3,$C$8,0)))),IF(IF(F83&lt;G83*(1-$C$7),G83*(1-$C$5-IF(E83&lt;3,$C$8,0)),MIN(G83*(1-$C$5-IF(E83&lt;3,$C$8,0)),F83*(1-$C$6-IF(E83&lt;3,$C$8,0))))&lt;10,$C$9,IF(IF(F83&lt;G83*(1-$C$7),G83*(1-$C$5-IF(E83&lt;3,$C$8,0)),MIN(G83*(1-$C$5-IF(E83&lt;3,$C$8,0)),F83*(1-$C$6-IF(E83&lt;3,$C$8,0))))&lt;100,$D$9,$E$9)))))</f>
        <v>3.55</v>
      </c>
      <c r="K83" s="60" t="str">
        <f aca="false">IF(ISNUMBER($D83),$D83,"n/a")</f>
        <v>n/a</v>
      </c>
      <c r="L83" s="63" t="str">
        <f aca="false">IF(OR(E83=0,NOT(ISNUMBER($D83))),"—",J83/$D83-1)</f>
        <v>—</v>
      </c>
      <c r="M83" s="64" t="n">
        <f aca="false">IF(E83=0,"—",J83/F83-1)</f>
        <v>-0.0657894736842104</v>
      </c>
      <c r="N83" s="64" t="n">
        <f aca="false">IF(E83=0,"—",J83/G83-1)</f>
        <v>-0.251054852320675</v>
      </c>
      <c r="O83" s="59" t="n">
        <f aca="false">COUNTIFS(Offers!$B$7:$B$3000,$B83,Offers!$C$7:$C$3000,"Germany",Offers!$AI$7:$AI$3000,"yes")</f>
        <v>4</v>
      </c>
      <c r="P83" s="60" t="n">
        <f aca="false">IF(O83=0,"—",SUMIFS(Review!$I$7:$I$600,Review!$B$7:$B$600,$B83,Review!$C$7:$C$600,"Germany"))</f>
        <v>4.12</v>
      </c>
      <c r="Q83" s="60" t="n">
        <f aca="false">IF(O83=0,"—",SUMIFS(Review!$J$7:$J$600,Review!$B$7:$B$600,$B83,Review!$C$7:$C$600,"Germany"))</f>
        <v>6.195</v>
      </c>
      <c r="R83" s="60" t="n">
        <f aca="false">IF(O83=0,"—",SUMIFS(Review!$K$7:$K$600,Review!$B$7:$B$600,$B83,Review!$C$7:$C$600,"Germany"))</f>
        <v>12</v>
      </c>
      <c r="S83" s="61" t="str">
        <f aca="false">IF(O83=0,"—",IF(P83&lt;Q83*(1-$C$7),"median (cheapest is an outlier)",IF(P83*(1-$C$6)&lt;Q83*(1-$C$5),"undercut cheapest","median")))</f>
        <v>undercut cheapest</v>
      </c>
      <c r="T83" s="62" t="n">
        <f aca="false">IF(O83=0,"—",IF(AND(ISNUMBER($D83),$D83*(1+$C$10)&gt;FLOOR(IF(P83&lt;Q83*(1-$C$7),Q83*(1-$C$5-IF(O83&lt;3,$C$8,0)),MIN(Q83*(1-$C$5-IF(O83&lt;3,$C$8,0)),P83*(1-$C$6-IF(O83&lt;3,$C$8,0)))),IF(IF(P83&lt;Q83*(1-$C$7),Q83*(1-$C$5-IF(O83&lt;3,$C$8,0)),MIN(Q83*(1-$C$5-IF(O83&lt;3,$C$8,0)),P83*(1-$C$6-IF(O83&lt;3,$C$8,0))))&lt;10,$C$9,IF(IF(P83&lt;Q83*(1-$C$7),Q83*(1-$C$5-IF(O83&lt;3,$C$8,0)),MIN(Q83*(1-$C$5-IF(O83&lt;3,$C$8,0)),P83*(1-$C$6-IF(O83&lt;3,$C$8,0))))&lt;100,$D$9,$E$9)))),ROUND($D83*(1+$C$10),2),FLOOR(IF(P83&lt;Q83*(1-$C$7),Q83*(1-$C$5-IF(O83&lt;3,$C$8,0)),MIN(Q83*(1-$C$5-IF(O83&lt;3,$C$8,0)),P83*(1-$C$6-IF(O83&lt;3,$C$8,0)))),IF(IF(P83&lt;Q83*(1-$C$7),Q83*(1-$C$5-IF(O83&lt;3,$C$8,0)),MIN(Q83*(1-$C$5-IF(O83&lt;3,$C$8,0)),P83*(1-$C$6-IF(O83&lt;3,$C$8,0))))&lt;10,$C$9,IF(IF(P83&lt;Q83*(1-$C$7),Q83*(1-$C$5-IF(O83&lt;3,$C$8,0)),MIN(Q83*(1-$C$5-IF(O83&lt;3,$C$8,0)),P83*(1-$C$6-IF(O83&lt;3,$C$8,0))))&lt;100,$D$9,$E$9)))))</f>
        <v>3.9</v>
      </c>
      <c r="U83" s="60" t="str">
        <f aca="false">IF(ISNUMBER($D83),$D83,"n/a")</f>
        <v>n/a</v>
      </c>
      <c r="V83" s="63" t="str">
        <f aca="false">IF(OR(O83=0,NOT(ISNUMBER($D83))),"—",T83/$D83-1)</f>
        <v>—</v>
      </c>
      <c r="W83" s="64" t="n">
        <f aca="false">IF(O83=0,"—",T83/P83-1)</f>
        <v>-0.0533980582524272</v>
      </c>
      <c r="X83" s="64" t="n">
        <f aca="false">IF(O83=0,"—",T83/Q83-1)</f>
        <v>-0.37046004842615</v>
      </c>
      <c r="Y83" s="59" t="n">
        <f aca="false">COUNTIFS(Offers!$B$7:$B$3000,$B83,Offers!$C$7:$C$3000,"Czech",Offers!$AI$7:$AI$3000,"yes")</f>
        <v>5</v>
      </c>
      <c r="Z83" s="60" t="n">
        <f aca="false">IF(Y83=0,"—",SUMIFS(Review!$I$7:$I$600,Review!$B$7:$B$600,$B83,Review!$C$7:$C$600,"Czech"))</f>
        <v>3.958873</v>
      </c>
      <c r="AA83" s="60" t="n">
        <f aca="false">IF(Y83=0,"—",SUMIFS(Review!$J$7:$J$600,Review!$B$7:$B$600,$B83,Review!$C$7:$C$600,"Czech"))</f>
        <v>5.887744</v>
      </c>
      <c r="AB83" s="60" t="n">
        <f aca="false">IF(Y83=0,"—",SUMIFS(Review!$K$7:$K$600,Review!$B$7:$B$600,$B83,Review!$C$7:$C$600,"Czech"))</f>
        <v>9.007675</v>
      </c>
      <c r="AC83" s="61" t="str">
        <f aca="false">IF(Y83=0,"—",IF(Z83&lt;AA83*(1-$C$7),"median (cheapest is an outlier)",IF(Z83*(1-$C$6)&lt;AA83*(1-$C$5),"undercut cheapest","median")))</f>
        <v>undercut cheapest</v>
      </c>
      <c r="AD83" s="62" t="n">
        <f aca="false">IF(Y83=0,"—",IF(AND(ISNUMBER($D83),$D83*(1+$C$10)&gt;FLOOR(IF(Z83&lt;AA83*(1-$C$7),AA83*(1-$C$5-IF(Y83&lt;3,$C$8,0)),MIN(AA83*(1-$C$5-IF(Y83&lt;3,$C$8,0)),Z83*(1-$C$6-IF(Y83&lt;3,$C$8,0)))),IF(IF(Z83&lt;AA83*(1-$C$7),AA83*(1-$C$5-IF(Y83&lt;3,$C$8,0)),MIN(AA83*(1-$C$5-IF(Y83&lt;3,$C$8,0)),Z83*(1-$C$6-IF(Y83&lt;3,$C$8,0))))&lt;10,$C$9,IF(IF(Z83&lt;AA83*(1-$C$7),AA83*(1-$C$5-IF(Y83&lt;3,$C$8,0)),MIN(AA83*(1-$C$5-IF(Y83&lt;3,$C$8,0)),Z83*(1-$C$6-IF(Y83&lt;3,$C$8,0))))&lt;100,$D$9,$E$9)))),ROUND($D83*(1+$C$10),2),FLOOR(IF(Z83&lt;AA83*(1-$C$7),AA83*(1-$C$5-IF(Y83&lt;3,$C$8,0)),MIN(AA83*(1-$C$5-IF(Y83&lt;3,$C$8,0)),Z83*(1-$C$6-IF(Y83&lt;3,$C$8,0)))),IF(IF(Z83&lt;AA83*(1-$C$7),AA83*(1-$C$5-IF(Y83&lt;3,$C$8,0)),MIN(AA83*(1-$C$5-IF(Y83&lt;3,$C$8,0)),Z83*(1-$C$6-IF(Y83&lt;3,$C$8,0))))&lt;10,$C$9,IF(IF(Z83&lt;AA83*(1-$C$7),AA83*(1-$C$5-IF(Y83&lt;3,$C$8,0)),MIN(AA83*(1-$C$5-IF(Y83&lt;3,$C$8,0)),Z83*(1-$C$6-IF(Y83&lt;3,$C$8,0))))&lt;100,$D$9,$E$9)))))</f>
        <v>3.75</v>
      </c>
      <c r="AE83" s="65" t="n">
        <f aca="false">IF(Y83=0,"—",FLOOR(AD83*Sources!$G$10,1))</f>
        <v>91</v>
      </c>
      <c r="AF83" s="60" t="str">
        <f aca="false">IF(ISNUMBER($D83),$D83,"n/a")</f>
        <v>n/a</v>
      </c>
      <c r="AG83" s="63" t="str">
        <f aca="false">IF(OR(Y83=0,NOT(ISNUMBER($D83))),"—",AD83/$D83-1)</f>
        <v>—</v>
      </c>
      <c r="AH83" s="64" t="n">
        <f aca="false">IF(Y83=0,"—",AD83/Z83-1)</f>
        <v>-0.0527607225591727</v>
      </c>
      <c r="AI83" s="64" t="n">
        <f aca="false">IF(Y83=0,"—",AD83/AA83-1)</f>
        <v>-0.363083721031349</v>
      </c>
      <c r="AJ83" s="59" t="n">
        <f aca="false">COUNTIFS(Offers!$B$7:$B$3000,$B83,Offers!$C$7:$C$3000,"Slovakia",Offers!$AI$7:$AI$3000,"yes")</f>
        <v>5</v>
      </c>
      <c r="AK83" s="60" t="n">
        <f aca="false">IF(AJ83=0,"—",SUMIFS(Review!$I$7:$I$600,Review!$B$7:$B$600,$B83,Review!$C$7:$C$600,"Slovakia"))</f>
        <v>3.9</v>
      </c>
      <c r="AL83" s="60" t="n">
        <f aca="false">IF(AJ83=0,"—",SUMIFS(Review!$J$7:$J$600,Review!$B$7:$B$600,$B83,Review!$C$7:$C$600,"Slovakia"))</f>
        <v>6.5</v>
      </c>
      <c r="AM83" s="60" t="n">
        <f aca="false">IF(AJ83=0,"—",SUMIFS(Review!$K$7:$K$600,Review!$B$7:$B$600,$B83,Review!$C$7:$C$600,"Slovakia"))</f>
        <v>8.71</v>
      </c>
      <c r="AN83" s="61" t="str">
        <f aca="false">IF(AJ83=0,"—",IF(AK83&lt;AL83*(1-$C$7),"median (cheapest is an outlier)",IF(AK83*(1-$C$6)&lt;AL83*(1-$C$5),"undercut cheapest","median")))</f>
        <v>median (cheapest is an outlier)</v>
      </c>
      <c r="AO83" s="62" t="n">
        <f aca="false">IF(AJ83=0,"—",IF(AND(ISNUMBER($D83),$D83*(1+$C$10)&gt;FLOOR(IF(AK83&lt;AL83*(1-$C$7),AL83*(1-$C$5-IF(AJ83&lt;3,$C$8,0)),MIN(AL83*(1-$C$5-IF(AJ83&lt;3,$C$8,0)),AK83*(1-$C$6-IF(AJ83&lt;3,$C$8,0)))),IF(IF(AK83&lt;AL83*(1-$C$7),AL83*(1-$C$5-IF(AJ83&lt;3,$C$8,0)),MIN(AL83*(1-$C$5-IF(AJ83&lt;3,$C$8,0)),AK83*(1-$C$6-IF(AJ83&lt;3,$C$8,0))))&lt;10,$C$9,IF(IF(AK83&lt;AL83*(1-$C$7),AL83*(1-$C$5-IF(AJ83&lt;3,$C$8,0)),MIN(AL83*(1-$C$5-IF(AJ83&lt;3,$C$8,0)),AK83*(1-$C$6-IF(AJ83&lt;3,$C$8,0))))&lt;100,$D$9,$E$9)))),ROUND($D83*(1+$C$10),2),FLOOR(IF(AK83&lt;AL83*(1-$C$7),AL83*(1-$C$5-IF(AJ83&lt;3,$C$8,0)),MIN(AL83*(1-$C$5-IF(AJ83&lt;3,$C$8,0)),AK83*(1-$C$6-IF(AJ83&lt;3,$C$8,0)))),IF(IF(AK83&lt;AL83*(1-$C$7),AL83*(1-$C$5-IF(AJ83&lt;3,$C$8,0)),MIN(AL83*(1-$C$5-IF(AJ83&lt;3,$C$8,0)),AK83*(1-$C$6-IF(AJ83&lt;3,$C$8,0))))&lt;10,$C$9,IF(IF(AK83&lt;AL83*(1-$C$7),AL83*(1-$C$5-IF(AJ83&lt;3,$C$8,0)),MIN(AL83*(1-$C$5-IF(AJ83&lt;3,$C$8,0)),AK83*(1-$C$6-IF(AJ83&lt;3,$C$8,0))))&lt;100,$D$9,$E$9)))))</f>
        <v>4.85</v>
      </c>
      <c r="AP83" s="60" t="str">
        <f aca="false">IF(ISNUMBER($D83),$D83,"n/a")</f>
        <v>n/a</v>
      </c>
      <c r="AQ83" s="63" t="str">
        <f aca="false">IF(OR(AJ83=0,NOT(ISNUMBER($D83))),"—",AO83/$D83-1)</f>
        <v>—</v>
      </c>
      <c r="AR83" s="64" t="n">
        <f aca="false">IF(AJ83=0,"—",AO83/AK83-1)</f>
        <v>0.243589743589744</v>
      </c>
      <c r="AS83" s="64" t="n">
        <f aca="false">IF(AJ83=0,"—",AO83/AL83-1)</f>
        <v>-0.253846153846154</v>
      </c>
      <c r="AT83" s="59" t="n">
        <f aca="false">COUNTIFS(Offers!$B$7:$B$3000,$B83,Offers!$C$7:$C$3000,"Romania",Offers!$AI$7:$AI$3000,"yes")</f>
        <v>4</v>
      </c>
      <c r="AU83" s="60" t="n">
        <f aca="false">IF(AT83=0,"—",SUMIFS(Review!$I$7:$I$600,Review!$B$7:$B$600,$B83,Review!$C$7:$C$600,"Romania"))</f>
        <v>3.965787</v>
      </c>
      <c r="AV83" s="60" t="n">
        <f aca="false">IF(AT83=0,"—",SUMIFS(Review!$J$7:$J$600,Review!$B$7:$B$600,$B83,Review!$C$7:$C$600,"Romania"))</f>
        <v>5.568775</v>
      </c>
      <c r="AW83" s="60" t="n">
        <f aca="false">IF(AT83=0,"—",SUMIFS(Review!$K$7:$K$600,Review!$B$7:$B$600,$B83,Review!$C$7:$C$600,"Romania"))</f>
        <v>9.163184</v>
      </c>
      <c r="AX83" s="61" t="str">
        <f aca="false">IF(AT83=0,"—",IF(AU83&lt;AV83*(1-$C$7),"median (cheapest is an outlier)",IF(AU83*(1-$C$6)&lt;AV83*(1-$C$5),"undercut cheapest","median")))</f>
        <v>undercut cheapest</v>
      </c>
      <c r="AY83" s="62" t="n">
        <f aca="false">IF(AT83=0,"—",IF(AND(ISNUMBER($D83),$D83*(1+$C$10)&gt;FLOOR(IF(AU83&lt;AV83*(1-$C$7),AV83*(1-$C$5-IF(AT83&lt;3,$C$8,0)),MIN(AV83*(1-$C$5-IF(AT83&lt;3,$C$8,0)),AU83*(1-$C$6-IF(AT83&lt;3,$C$8,0)))),IF(IF(AU83&lt;AV83*(1-$C$7),AV83*(1-$C$5-IF(AT83&lt;3,$C$8,0)),MIN(AV83*(1-$C$5-IF(AT83&lt;3,$C$8,0)),AU83*(1-$C$6-IF(AT83&lt;3,$C$8,0))))&lt;10,$C$9,IF(IF(AU83&lt;AV83*(1-$C$7),AV83*(1-$C$5-IF(AT83&lt;3,$C$8,0)),MIN(AV83*(1-$C$5-IF(AT83&lt;3,$C$8,0)),AU83*(1-$C$6-IF(AT83&lt;3,$C$8,0))))&lt;100,$D$9,$E$9)))),ROUND($D83*(1+$C$10),2),FLOOR(IF(AU83&lt;AV83*(1-$C$7),AV83*(1-$C$5-IF(AT83&lt;3,$C$8,0)),MIN(AV83*(1-$C$5-IF(AT83&lt;3,$C$8,0)),AU83*(1-$C$6-IF(AT83&lt;3,$C$8,0)))),IF(IF(AU83&lt;AV83*(1-$C$7),AV83*(1-$C$5-IF(AT83&lt;3,$C$8,0)),MIN(AV83*(1-$C$5-IF(AT83&lt;3,$C$8,0)),AU83*(1-$C$6-IF(AT83&lt;3,$C$8,0))))&lt;10,$C$9,IF(IF(AU83&lt;AV83*(1-$C$7),AV83*(1-$C$5-IF(AT83&lt;3,$C$8,0)),MIN(AV83*(1-$C$5-IF(AT83&lt;3,$C$8,0)),AU83*(1-$C$6-IF(AT83&lt;3,$C$8,0))))&lt;100,$D$9,$E$9)))))</f>
        <v>3.75</v>
      </c>
      <c r="AZ83" s="62" t="n">
        <f aca="false">IF(AT83=0,"—",FLOOR(AY83*Sources!$G$9,0.1))</f>
        <v>19.7</v>
      </c>
      <c r="BA83" s="60" t="str">
        <f aca="false">IF(ISNUMBER($D83),$D83,"n/a")</f>
        <v>n/a</v>
      </c>
      <c r="BB83" s="63" t="str">
        <f aca="false">IF(OR(AT83=0,NOT(ISNUMBER($D83))),"—",AY83/$D83-1)</f>
        <v>—</v>
      </c>
      <c r="BC83" s="64" t="n">
        <f aca="false">IF(AT83=0,"—",AY83/AU83-1)</f>
        <v>-0.0544121507282161</v>
      </c>
      <c r="BD83" s="64" t="n">
        <f aca="false">IF(AT83=0,"—",AY83/AV83-1)</f>
        <v>-0.326602349708868</v>
      </c>
      <c r="BE83" s="59" t="n">
        <f aca="false">COUNTIFS(Offers!$B$7:$B$3000,$B83,Offers!$C$7:$C$3000,"Hungary",Offers!$AI$7:$AI$3000,"yes")</f>
        <v>0</v>
      </c>
      <c r="BF83" s="60" t="str">
        <f aca="false">IF(BE83=0,"—",SUMIFS(Review!$I$7:$I$600,Review!$B$7:$B$600,$B83,Review!$C$7:$C$600,"Hungary"))</f>
        <v>—</v>
      </c>
      <c r="BG83" s="60" t="str">
        <f aca="false">IF(BE83=0,"—",SUMIFS(Review!$J$7:$J$600,Review!$B$7:$B$600,$B83,Review!$C$7:$C$600,"Hungary"))</f>
        <v>—</v>
      </c>
      <c r="BH83" s="60" t="str">
        <f aca="false">IF(BE83=0,"—",SUMIFS(Review!$K$7:$K$600,Review!$B$7:$B$600,$B83,Review!$C$7:$C$600,"Hungary"))</f>
        <v>—</v>
      </c>
      <c r="BI83" s="61" t="str">
        <f aca="false">IF(BE83=0,"—",IF(BF83&lt;BG83*(1-$C$7),"median (cheapest is an outlier)",IF(BF83*(1-$C$6)&lt;BG83*(1-$C$5),"undercut cheapest","median")))</f>
        <v>—</v>
      </c>
      <c r="BJ83" s="62" t="str">
        <f aca="false">IF(BE83=0,"—",IF(AND(ISNUMBER($D83),$D83*(1+$C$10)&gt;FLOOR(IF(BF83&lt;BG83*(1-$C$7),BG83*(1-$C$5-IF(BE83&lt;3,$C$8,0)),MIN(BG83*(1-$C$5-IF(BE83&lt;3,$C$8,0)),BF83*(1-$C$6-IF(BE83&lt;3,$C$8,0)))),IF(IF(BF83&lt;BG83*(1-$C$7),BG83*(1-$C$5-IF(BE83&lt;3,$C$8,0)),MIN(BG83*(1-$C$5-IF(BE83&lt;3,$C$8,0)),BF83*(1-$C$6-IF(BE83&lt;3,$C$8,0))))&lt;10,$C$9,IF(IF(BF83&lt;BG83*(1-$C$7),BG83*(1-$C$5-IF(BE83&lt;3,$C$8,0)),MIN(BG83*(1-$C$5-IF(BE83&lt;3,$C$8,0)),BF83*(1-$C$6-IF(BE83&lt;3,$C$8,0))))&lt;100,$D$9,$E$9)))),ROUND($D83*(1+$C$10),2),FLOOR(IF(BF83&lt;BG83*(1-$C$7),BG83*(1-$C$5-IF(BE83&lt;3,$C$8,0)),MIN(BG83*(1-$C$5-IF(BE83&lt;3,$C$8,0)),BF83*(1-$C$6-IF(BE83&lt;3,$C$8,0)))),IF(IF(BF83&lt;BG83*(1-$C$7),BG83*(1-$C$5-IF(BE83&lt;3,$C$8,0)),MIN(BG83*(1-$C$5-IF(BE83&lt;3,$C$8,0)),BF83*(1-$C$6-IF(BE83&lt;3,$C$8,0))))&lt;10,$C$9,IF(IF(BF83&lt;BG83*(1-$C$7),BG83*(1-$C$5-IF(BE83&lt;3,$C$8,0)),MIN(BG83*(1-$C$5-IF(BE83&lt;3,$C$8,0)),BF83*(1-$C$6-IF(BE83&lt;3,$C$8,0))))&lt;100,$D$9,$E$9)))))</f>
        <v>—</v>
      </c>
      <c r="BK83" s="65" t="str">
        <f aca="false">IF(BE83=0,"—",FLOOR(BJ83*Sources!$G$8,10))</f>
        <v>—</v>
      </c>
      <c r="BL83" s="60" t="str">
        <f aca="false">IF(ISNUMBER($D83),$D83,"n/a")</f>
        <v>n/a</v>
      </c>
      <c r="BM83" s="63" t="str">
        <f aca="false">IF(OR(BE83=0,NOT(ISNUMBER($D83))),"—",BJ83/$D83-1)</f>
        <v>—</v>
      </c>
      <c r="BN83" s="64" t="str">
        <f aca="false">IF(BE83=0,"—",BJ83/BF83-1)</f>
        <v>—</v>
      </c>
      <c r="BO83" s="64" t="str">
        <f aca="false">IF(BE83=0,"—",BJ83/BG83-1)</f>
        <v>—</v>
      </c>
    </row>
    <row r="84" customFormat="false" ht="15" hidden="false" customHeight="false" outlineLevel="0" collapsed="false">
      <c r="B84" s="1" t="s">
        <v>100</v>
      </c>
      <c r="C84" s="1" t="s">
        <v>209</v>
      </c>
      <c r="D84" s="58"/>
      <c r="E84" s="59" t="n">
        <f aca="false">COUNTIFS(Offers!$B$7:$B$3000,$B84,Offers!$C$7:$C$3000,"Austria",Offers!$AI$7:$AI$3000,"yes")</f>
        <v>6</v>
      </c>
      <c r="F84" s="60" t="n">
        <f aca="false">IF(E84=0,"—",SUMIFS(Review!$I$7:$I$600,Review!$B$7:$B$600,$B84,Review!$C$7:$C$600,"Austria"))</f>
        <v>1.8</v>
      </c>
      <c r="G84" s="60" t="n">
        <f aca="false">IF(E84=0,"—",SUMIFS(Review!$J$7:$J$600,Review!$B$7:$B$600,$B84,Review!$C$7:$C$600,"Austria"))</f>
        <v>4.285</v>
      </c>
      <c r="H84" s="60" t="n">
        <f aca="false">IF(E84=0,"—",SUMIFS(Review!$K$7:$K$600,Review!$B$7:$B$600,$B84,Review!$C$7:$C$600,"Austria"))</f>
        <v>17.2</v>
      </c>
      <c r="I84" s="61" t="str">
        <f aca="false">IF(E84=0,"—",IF(F84&lt;G84*(1-$C$7),"median (cheapest is an outlier)",IF(F84*(1-$C$6)&lt;G84*(1-$C$5),"undercut cheapest","median")))</f>
        <v>median (cheapest is an outlier)</v>
      </c>
      <c r="J84" s="62" t="n">
        <f aca="false">IF(E84=0,"—",IF(AND(ISNUMBER($D84),$D84*(1+$C$10)&gt;FLOOR(IF(F84&lt;G84*(1-$C$7),G84*(1-$C$5-IF(E84&lt;3,$C$8,0)),MIN(G84*(1-$C$5-IF(E84&lt;3,$C$8,0)),F84*(1-$C$6-IF(E84&lt;3,$C$8,0)))),IF(IF(F84&lt;G84*(1-$C$7),G84*(1-$C$5-IF(E84&lt;3,$C$8,0)),MIN(G84*(1-$C$5-IF(E84&lt;3,$C$8,0)),F84*(1-$C$6-IF(E84&lt;3,$C$8,0))))&lt;10,$C$9,IF(IF(F84&lt;G84*(1-$C$7),G84*(1-$C$5-IF(E84&lt;3,$C$8,0)),MIN(G84*(1-$C$5-IF(E84&lt;3,$C$8,0)),F84*(1-$C$6-IF(E84&lt;3,$C$8,0))))&lt;100,$D$9,$E$9)))),ROUND($D84*(1+$C$10),2),FLOOR(IF(F84&lt;G84*(1-$C$7),G84*(1-$C$5-IF(E84&lt;3,$C$8,0)),MIN(G84*(1-$C$5-IF(E84&lt;3,$C$8,0)),F84*(1-$C$6-IF(E84&lt;3,$C$8,0)))),IF(IF(F84&lt;G84*(1-$C$7),G84*(1-$C$5-IF(E84&lt;3,$C$8,0)),MIN(G84*(1-$C$5-IF(E84&lt;3,$C$8,0)),F84*(1-$C$6-IF(E84&lt;3,$C$8,0))))&lt;10,$C$9,IF(IF(F84&lt;G84*(1-$C$7),G84*(1-$C$5-IF(E84&lt;3,$C$8,0)),MIN(G84*(1-$C$5-IF(E84&lt;3,$C$8,0)),F84*(1-$C$6-IF(E84&lt;3,$C$8,0))))&lt;100,$D$9,$E$9)))))</f>
        <v>3.2</v>
      </c>
      <c r="K84" s="60" t="str">
        <f aca="false">IF(ISNUMBER($D84),$D84,"n/a")</f>
        <v>n/a</v>
      </c>
      <c r="L84" s="63" t="str">
        <f aca="false">IF(OR(E84=0,NOT(ISNUMBER($D84))),"—",J84/$D84-1)</f>
        <v>—</v>
      </c>
      <c r="M84" s="64" t="n">
        <f aca="false">IF(E84=0,"—",J84/F84-1)</f>
        <v>0.777777777777778</v>
      </c>
      <c r="N84" s="64" t="n">
        <f aca="false">IF(E84=0,"—",J84/G84-1)</f>
        <v>-0.253208868144691</v>
      </c>
      <c r="O84" s="59" t="n">
        <f aca="false">COUNTIFS(Offers!$B$7:$B$3000,$B84,Offers!$C$7:$C$3000,"Germany",Offers!$AI$7:$AI$3000,"yes")</f>
        <v>6</v>
      </c>
      <c r="P84" s="60" t="n">
        <f aca="false">IF(O84=0,"—",SUMIFS(Review!$I$7:$I$600,Review!$B$7:$B$600,$B84,Review!$C$7:$C$600,"Germany"))</f>
        <v>2.5</v>
      </c>
      <c r="Q84" s="60" t="n">
        <f aca="false">IF(O84=0,"—",SUMIFS(Review!$J$7:$J$600,Review!$B$7:$B$600,$B84,Review!$C$7:$C$600,"Germany"))</f>
        <v>3.435</v>
      </c>
      <c r="R84" s="60" t="n">
        <f aca="false">IF(O84=0,"—",SUMIFS(Review!$K$7:$K$600,Review!$B$7:$B$600,$B84,Review!$C$7:$C$600,"Germany"))</f>
        <v>11.1</v>
      </c>
      <c r="S84" s="61" t="str">
        <f aca="false">IF(O84=0,"—",IF(P84&lt;Q84*(1-$C$7),"median (cheapest is an outlier)",IF(P84*(1-$C$6)&lt;Q84*(1-$C$5),"undercut cheapest","median")))</f>
        <v>undercut cheapest</v>
      </c>
      <c r="T84" s="62" t="n">
        <f aca="false">IF(O84=0,"—",IF(AND(ISNUMBER($D84),$D84*(1+$C$10)&gt;FLOOR(IF(P84&lt;Q84*(1-$C$7),Q84*(1-$C$5-IF(O84&lt;3,$C$8,0)),MIN(Q84*(1-$C$5-IF(O84&lt;3,$C$8,0)),P84*(1-$C$6-IF(O84&lt;3,$C$8,0)))),IF(IF(P84&lt;Q84*(1-$C$7),Q84*(1-$C$5-IF(O84&lt;3,$C$8,0)),MIN(Q84*(1-$C$5-IF(O84&lt;3,$C$8,0)),P84*(1-$C$6-IF(O84&lt;3,$C$8,0))))&lt;10,$C$9,IF(IF(P84&lt;Q84*(1-$C$7),Q84*(1-$C$5-IF(O84&lt;3,$C$8,0)),MIN(Q84*(1-$C$5-IF(O84&lt;3,$C$8,0)),P84*(1-$C$6-IF(O84&lt;3,$C$8,0))))&lt;100,$D$9,$E$9)))),ROUND($D84*(1+$C$10),2),FLOOR(IF(P84&lt;Q84*(1-$C$7),Q84*(1-$C$5-IF(O84&lt;3,$C$8,0)),MIN(Q84*(1-$C$5-IF(O84&lt;3,$C$8,0)),P84*(1-$C$6-IF(O84&lt;3,$C$8,0)))),IF(IF(P84&lt;Q84*(1-$C$7),Q84*(1-$C$5-IF(O84&lt;3,$C$8,0)),MIN(Q84*(1-$C$5-IF(O84&lt;3,$C$8,0)),P84*(1-$C$6-IF(O84&lt;3,$C$8,0))))&lt;10,$C$9,IF(IF(P84&lt;Q84*(1-$C$7),Q84*(1-$C$5-IF(O84&lt;3,$C$8,0)),MIN(Q84*(1-$C$5-IF(O84&lt;3,$C$8,0)),P84*(1-$C$6-IF(O84&lt;3,$C$8,0))))&lt;100,$D$9,$E$9)))))</f>
        <v>2.35</v>
      </c>
      <c r="U84" s="60" t="str">
        <f aca="false">IF(ISNUMBER($D84),$D84,"n/a")</f>
        <v>n/a</v>
      </c>
      <c r="V84" s="63" t="str">
        <f aca="false">IF(OR(O84=0,NOT(ISNUMBER($D84))),"—",T84/$D84-1)</f>
        <v>—</v>
      </c>
      <c r="W84" s="64" t="n">
        <f aca="false">IF(O84=0,"—",T84/P84-1)</f>
        <v>-0.0599999999999999</v>
      </c>
      <c r="X84" s="64" t="n">
        <f aca="false">IF(O84=0,"—",T84/Q84-1)</f>
        <v>-0.315866084425036</v>
      </c>
      <c r="Y84" s="59" t="n">
        <f aca="false">COUNTIFS(Offers!$B$7:$B$3000,$B84,Offers!$C$7:$C$3000,"Czech",Offers!$AI$7:$AI$3000,"yes")</f>
        <v>5</v>
      </c>
      <c r="Z84" s="60" t="n">
        <f aca="false">IF(Y84=0,"—",SUMIFS(Review!$I$7:$I$600,Review!$B$7:$B$600,$B84,Review!$C$7:$C$600,"Czech"))</f>
        <v>1.252067</v>
      </c>
      <c r="AA84" s="60" t="n">
        <f aca="false">IF(Y84=0,"—",SUMIFS(Review!$J$7:$J$600,Review!$B$7:$B$600,$B84,Review!$C$7:$C$600,"Czech"))</f>
        <v>2.977856</v>
      </c>
      <c r="AB84" s="60" t="n">
        <f aca="false">IF(Y84=0,"—",SUMIFS(Review!$K$7:$K$600,Review!$B$7:$B$600,$B84,Review!$C$7:$C$600,"Czech"))</f>
        <v>4.176286</v>
      </c>
      <c r="AC84" s="61" t="str">
        <f aca="false">IF(Y84=0,"—",IF(Z84&lt;AA84*(1-$C$7),"median (cheapest is an outlier)",IF(Z84*(1-$C$6)&lt;AA84*(1-$C$5),"undercut cheapest","median")))</f>
        <v>median (cheapest is an outlier)</v>
      </c>
      <c r="AD84" s="62" t="n">
        <f aca="false">IF(Y84=0,"—",IF(AND(ISNUMBER($D84),$D84*(1+$C$10)&gt;FLOOR(IF(Z84&lt;AA84*(1-$C$7),AA84*(1-$C$5-IF(Y84&lt;3,$C$8,0)),MIN(AA84*(1-$C$5-IF(Y84&lt;3,$C$8,0)),Z84*(1-$C$6-IF(Y84&lt;3,$C$8,0)))),IF(IF(Z84&lt;AA84*(1-$C$7),AA84*(1-$C$5-IF(Y84&lt;3,$C$8,0)),MIN(AA84*(1-$C$5-IF(Y84&lt;3,$C$8,0)),Z84*(1-$C$6-IF(Y84&lt;3,$C$8,0))))&lt;10,$C$9,IF(IF(Z84&lt;AA84*(1-$C$7),AA84*(1-$C$5-IF(Y84&lt;3,$C$8,0)),MIN(AA84*(1-$C$5-IF(Y84&lt;3,$C$8,0)),Z84*(1-$C$6-IF(Y84&lt;3,$C$8,0))))&lt;100,$D$9,$E$9)))),ROUND($D84*(1+$C$10),2),FLOOR(IF(Z84&lt;AA84*(1-$C$7),AA84*(1-$C$5-IF(Y84&lt;3,$C$8,0)),MIN(AA84*(1-$C$5-IF(Y84&lt;3,$C$8,0)),Z84*(1-$C$6-IF(Y84&lt;3,$C$8,0)))),IF(IF(Z84&lt;AA84*(1-$C$7),AA84*(1-$C$5-IF(Y84&lt;3,$C$8,0)),MIN(AA84*(1-$C$5-IF(Y84&lt;3,$C$8,0)),Z84*(1-$C$6-IF(Y84&lt;3,$C$8,0))))&lt;10,$C$9,IF(IF(Z84&lt;AA84*(1-$C$7),AA84*(1-$C$5-IF(Y84&lt;3,$C$8,0)),MIN(AA84*(1-$C$5-IF(Y84&lt;3,$C$8,0)),Z84*(1-$C$6-IF(Y84&lt;3,$C$8,0))))&lt;100,$D$9,$E$9)))))</f>
        <v>2.2</v>
      </c>
      <c r="AE84" s="65" t="n">
        <f aca="false">IF(Y84=0,"—",FLOOR(AD84*Sources!$G$10,1))</f>
        <v>53</v>
      </c>
      <c r="AF84" s="60" t="str">
        <f aca="false">IF(ISNUMBER($D84),$D84,"n/a")</f>
        <v>n/a</v>
      </c>
      <c r="AG84" s="63" t="str">
        <f aca="false">IF(OR(Y84=0,NOT(ISNUMBER($D84))),"—",AD84/$D84-1)</f>
        <v>—</v>
      </c>
      <c r="AH84" s="64" t="n">
        <f aca="false">IF(Y84=0,"—",AD84/Z84-1)</f>
        <v>0.757094468586745</v>
      </c>
      <c r="AI84" s="64" t="n">
        <f aca="false">IF(Y84=0,"—",AD84/AA84-1)</f>
        <v>-0.261213436781362</v>
      </c>
      <c r="AJ84" s="59" t="n">
        <f aca="false">COUNTIFS(Offers!$B$7:$B$3000,$B84,Offers!$C$7:$C$3000,"Slovakia",Offers!$AI$7:$AI$3000,"yes")</f>
        <v>4</v>
      </c>
      <c r="AK84" s="60" t="n">
        <f aca="false">IF(AJ84=0,"—",SUMIFS(Review!$I$7:$I$600,Review!$B$7:$B$600,$B84,Review!$C$7:$C$600,"Slovakia"))</f>
        <v>1.36</v>
      </c>
      <c r="AL84" s="60" t="n">
        <f aca="false">IF(AJ84=0,"—",SUMIFS(Review!$J$7:$J$600,Review!$B$7:$B$600,$B84,Review!$C$7:$C$600,"Slovakia"))</f>
        <v>2.67</v>
      </c>
      <c r="AM84" s="60" t="n">
        <f aca="false">IF(AJ84=0,"—",SUMIFS(Review!$K$7:$K$600,Review!$B$7:$B$600,$B84,Review!$C$7:$C$600,"Slovakia"))</f>
        <v>3.37</v>
      </c>
      <c r="AN84" s="61" t="str">
        <f aca="false">IF(AJ84=0,"—",IF(AK84&lt;AL84*(1-$C$7),"median (cheapest is an outlier)",IF(AK84*(1-$C$6)&lt;AL84*(1-$C$5),"undercut cheapest","median")))</f>
        <v>median (cheapest is an outlier)</v>
      </c>
      <c r="AO84" s="62" t="n">
        <f aca="false">IF(AJ84=0,"—",IF(AND(ISNUMBER($D84),$D84*(1+$C$10)&gt;FLOOR(IF(AK84&lt;AL84*(1-$C$7),AL84*(1-$C$5-IF(AJ84&lt;3,$C$8,0)),MIN(AL84*(1-$C$5-IF(AJ84&lt;3,$C$8,0)),AK84*(1-$C$6-IF(AJ84&lt;3,$C$8,0)))),IF(IF(AK84&lt;AL84*(1-$C$7),AL84*(1-$C$5-IF(AJ84&lt;3,$C$8,0)),MIN(AL84*(1-$C$5-IF(AJ84&lt;3,$C$8,0)),AK84*(1-$C$6-IF(AJ84&lt;3,$C$8,0))))&lt;10,$C$9,IF(IF(AK84&lt;AL84*(1-$C$7),AL84*(1-$C$5-IF(AJ84&lt;3,$C$8,0)),MIN(AL84*(1-$C$5-IF(AJ84&lt;3,$C$8,0)),AK84*(1-$C$6-IF(AJ84&lt;3,$C$8,0))))&lt;100,$D$9,$E$9)))),ROUND($D84*(1+$C$10),2),FLOOR(IF(AK84&lt;AL84*(1-$C$7),AL84*(1-$C$5-IF(AJ84&lt;3,$C$8,0)),MIN(AL84*(1-$C$5-IF(AJ84&lt;3,$C$8,0)),AK84*(1-$C$6-IF(AJ84&lt;3,$C$8,0)))),IF(IF(AK84&lt;AL84*(1-$C$7),AL84*(1-$C$5-IF(AJ84&lt;3,$C$8,0)),MIN(AL84*(1-$C$5-IF(AJ84&lt;3,$C$8,0)),AK84*(1-$C$6-IF(AJ84&lt;3,$C$8,0))))&lt;10,$C$9,IF(IF(AK84&lt;AL84*(1-$C$7),AL84*(1-$C$5-IF(AJ84&lt;3,$C$8,0)),MIN(AL84*(1-$C$5-IF(AJ84&lt;3,$C$8,0)),AK84*(1-$C$6-IF(AJ84&lt;3,$C$8,0))))&lt;100,$D$9,$E$9)))))</f>
        <v>2</v>
      </c>
      <c r="AP84" s="60" t="str">
        <f aca="false">IF(ISNUMBER($D84),$D84,"n/a")</f>
        <v>n/a</v>
      </c>
      <c r="AQ84" s="63" t="str">
        <f aca="false">IF(OR(AJ84=0,NOT(ISNUMBER($D84))),"—",AO84/$D84-1)</f>
        <v>—</v>
      </c>
      <c r="AR84" s="64" t="n">
        <f aca="false">IF(AJ84=0,"—",AO84/AK84-1)</f>
        <v>0.470588235294118</v>
      </c>
      <c r="AS84" s="64" t="n">
        <f aca="false">IF(AJ84=0,"—",AO84/AL84-1)</f>
        <v>-0.250936329588015</v>
      </c>
      <c r="AT84" s="59" t="n">
        <f aca="false">COUNTIFS(Offers!$B$7:$B$3000,$B84,Offers!$C$7:$C$3000,"Romania",Offers!$AI$7:$AI$3000,"yes")</f>
        <v>5</v>
      </c>
      <c r="AU84" s="60" t="n">
        <f aca="false">IF(AT84=0,"—",SUMIFS(Review!$I$7:$I$600,Review!$B$7:$B$600,$B84,Review!$C$7:$C$600,"Romania"))</f>
        <v>1</v>
      </c>
      <c r="AV84" s="60" t="n">
        <f aca="false">IF(AT84=0,"—",SUMIFS(Review!$J$7:$J$600,Review!$B$7:$B$600,$B84,Review!$C$7:$C$600,"Romania"))</f>
        <v>2.396904</v>
      </c>
      <c r="AW84" s="60" t="n">
        <f aca="false">IF(AT84=0,"—",SUMIFS(Review!$K$7:$K$600,Review!$B$7:$B$600,$B84,Review!$C$7:$C$600,"Romania"))</f>
        <v>5.138659</v>
      </c>
      <c r="AX84" s="61" t="str">
        <f aca="false">IF(AT84=0,"—",IF(AU84&lt;AV84*(1-$C$7),"median (cheapest is an outlier)",IF(AU84*(1-$C$6)&lt;AV84*(1-$C$5),"undercut cheapest","median")))</f>
        <v>median (cheapest is an outlier)</v>
      </c>
      <c r="AY84" s="62" t="n">
        <f aca="false">IF(AT84=0,"—",IF(AND(ISNUMBER($D84),$D84*(1+$C$10)&gt;FLOOR(IF(AU84&lt;AV84*(1-$C$7),AV84*(1-$C$5-IF(AT84&lt;3,$C$8,0)),MIN(AV84*(1-$C$5-IF(AT84&lt;3,$C$8,0)),AU84*(1-$C$6-IF(AT84&lt;3,$C$8,0)))),IF(IF(AU84&lt;AV84*(1-$C$7),AV84*(1-$C$5-IF(AT84&lt;3,$C$8,0)),MIN(AV84*(1-$C$5-IF(AT84&lt;3,$C$8,0)),AU84*(1-$C$6-IF(AT84&lt;3,$C$8,0))))&lt;10,$C$9,IF(IF(AU84&lt;AV84*(1-$C$7),AV84*(1-$C$5-IF(AT84&lt;3,$C$8,0)),MIN(AV84*(1-$C$5-IF(AT84&lt;3,$C$8,0)),AU84*(1-$C$6-IF(AT84&lt;3,$C$8,0))))&lt;100,$D$9,$E$9)))),ROUND($D84*(1+$C$10),2),FLOOR(IF(AU84&lt;AV84*(1-$C$7),AV84*(1-$C$5-IF(AT84&lt;3,$C$8,0)),MIN(AV84*(1-$C$5-IF(AT84&lt;3,$C$8,0)),AU84*(1-$C$6-IF(AT84&lt;3,$C$8,0)))),IF(IF(AU84&lt;AV84*(1-$C$7),AV84*(1-$C$5-IF(AT84&lt;3,$C$8,0)),MIN(AV84*(1-$C$5-IF(AT84&lt;3,$C$8,0)),AU84*(1-$C$6-IF(AT84&lt;3,$C$8,0))))&lt;10,$C$9,IF(IF(AU84&lt;AV84*(1-$C$7),AV84*(1-$C$5-IF(AT84&lt;3,$C$8,0)),MIN(AV84*(1-$C$5-IF(AT84&lt;3,$C$8,0)),AU84*(1-$C$6-IF(AT84&lt;3,$C$8,0))))&lt;100,$D$9,$E$9)))))</f>
        <v>1.75</v>
      </c>
      <c r="AZ84" s="62" t="n">
        <f aca="false">IF(AT84=0,"—",FLOOR(AY84*Sources!$G$9,0.1))</f>
        <v>9.2</v>
      </c>
      <c r="BA84" s="60" t="str">
        <f aca="false">IF(ISNUMBER($D84),$D84,"n/a")</f>
        <v>n/a</v>
      </c>
      <c r="BB84" s="63" t="str">
        <f aca="false">IF(OR(AT84=0,NOT(ISNUMBER($D84))),"—",AY84/$D84-1)</f>
        <v>—</v>
      </c>
      <c r="BC84" s="64" t="n">
        <f aca="false">IF(AT84=0,"—",AY84/AU84-1)</f>
        <v>0.75</v>
      </c>
      <c r="BD84" s="64" t="n">
        <f aca="false">IF(AT84=0,"—",AY84/AV84-1)</f>
        <v>-0.269891493359768</v>
      </c>
      <c r="BE84" s="59" t="n">
        <f aca="false">COUNTIFS(Offers!$B$7:$B$3000,$B84,Offers!$C$7:$C$3000,"Hungary",Offers!$AI$7:$AI$3000,"yes")</f>
        <v>0</v>
      </c>
      <c r="BF84" s="60" t="str">
        <f aca="false">IF(BE84=0,"—",SUMIFS(Review!$I$7:$I$600,Review!$B$7:$B$600,$B84,Review!$C$7:$C$600,"Hungary"))</f>
        <v>—</v>
      </c>
      <c r="BG84" s="60" t="str">
        <f aca="false">IF(BE84=0,"—",SUMIFS(Review!$J$7:$J$600,Review!$B$7:$B$600,$B84,Review!$C$7:$C$600,"Hungary"))</f>
        <v>—</v>
      </c>
      <c r="BH84" s="60" t="str">
        <f aca="false">IF(BE84=0,"—",SUMIFS(Review!$K$7:$K$600,Review!$B$7:$B$600,$B84,Review!$C$7:$C$600,"Hungary"))</f>
        <v>—</v>
      </c>
      <c r="BI84" s="61" t="str">
        <f aca="false">IF(BE84=0,"—",IF(BF84&lt;BG84*(1-$C$7),"median (cheapest is an outlier)",IF(BF84*(1-$C$6)&lt;BG84*(1-$C$5),"undercut cheapest","median")))</f>
        <v>—</v>
      </c>
      <c r="BJ84" s="62" t="str">
        <f aca="false">IF(BE84=0,"—",IF(AND(ISNUMBER($D84),$D84*(1+$C$10)&gt;FLOOR(IF(BF84&lt;BG84*(1-$C$7),BG84*(1-$C$5-IF(BE84&lt;3,$C$8,0)),MIN(BG84*(1-$C$5-IF(BE84&lt;3,$C$8,0)),BF84*(1-$C$6-IF(BE84&lt;3,$C$8,0)))),IF(IF(BF84&lt;BG84*(1-$C$7),BG84*(1-$C$5-IF(BE84&lt;3,$C$8,0)),MIN(BG84*(1-$C$5-IF(BE84&lt;3,$C$8,0)),BF84*(1-$C$6-IF(BE84&lt;3,$C$8,0))))&lt;10,$C$9,IF(IF(BF84&lt;BG84*(1-$C$7),BG84*(1-$C$5-IF(BE84&lt;3,$C$8,0)),MIN(BG84*(1-$C$5-IF(BE84&lt;3,$C$8,0)),BF84*(1-$C$6-IF(BE84&lt;3,$C$8,0))))&lt;100,$D$9,$E$9)))),ROUND($D84*(1+$C$10),2),FLOOR(IF(BF84&lt;BG84*(1-$C$7),BG84*(1-$C$5-IF(BE84&lt;3,$C$8,0)),MIN(BG84*(1-$C$5-IF(BE84&lt;3,$C$8,0)),BF84*(1-$C$6-IF(BE84&lt;3,$C$8,0)))),IF(IF(BF84&lt;BG84*(1-$C$7),BG84*(1-$C$5-IF(BE84&lt;3,$C$8,0)),MIN(BG84*(1-$C$5-IF(BE84&lt;3,$C$8,0)),BF84*(1-$C$6-IF(BE84&lt;3,$C$8,0))))&lt;10,$C$9,IF(IF(BF84&lt;BG84*(1-$C$7),BG84*(1-$C$5-IF(BE84&lt;3,$C$8,0)),MIN(BG84*(1-$C$5-IF(BE84&lt;3,$C$8,0)),BF84*(1-$C$6-IF(BE84&lt;3,$C$8,0))))&lt;100,$D$9,$E$9)))))</f>
        <v>—</v>
      </c>
      <c r="BK84" s="65" t="str">
        <f aca="false">IF(BE84=0,"—",FLOOR(BJ84*Sources!$G$8,10))</f>
        <v>—</v>
      </c>
      <c r="BL84" s="60" t="str">
        <f aca="false">IF(ISNUMBER($D84),$D84,"n/a")</f>
        <v>n/a</v>
      </c>
      <c r="BM84" s="63" t="str">
        <f aca="false">IF(OR(BE84=0,NOT(ISNUMBER($D84))),"—",BJ84/$D84-1)</f>
        <v>—</v>
      </c>
      <c r="BN84" s="64" t="str">
        <f aca="false">IF(BE84=0,"—",BJ84/BF84-1)</f>
        <v>—</v>
      </c>
      <c r="BO84" s="64" t="str">
        <f aca="false">IF(BE84=0,"—",BJ84/BG84-1)</f>
        <v>—</v>
      </c>
    </row>
    <row r="85" customFormat="false" ht="15" hidden="false" customHeight="false" outlineLevel="0" collapsed="false">
      <c r="B85" s="1" t="s">
        <v>101</v>
      </c>
      <c r="C85" s="1" t="s">
        <v>210</v>
      </c>
      <c r="D85" s="58"/>
      <c r="E85" s="59" t="n">
        <f aca="false">COUNTIFS(Offers!$B$7:$B$3000,$B85,Offers!$C$7:$C$3000,"Austria",Offers!$AI$7:$AI$3000,"yes")</f>
        <v>4</v>
      </c>
      <c r="F85" s="60" t="n">
        <f aca="false">IF(E85=0,"—",SUMIFS(Review!$I$7:$I$600,Review!$B$7:$B$600,$B85,Review!$C$7:$C$600,"Austria"))</f>
        <v>4.08</v>
      </c>
      <c r="G85" s="60" t="n">
        <f aca="false">IF(E85=0,"—",SUMIFS(Review!$J$7:$J$600,Review!$B$7:$B$600,$B85,Review!$C$7:$C$600,"Austria"))</f>
        <v>5.145</v>
      </c>
      <c r="H85" s="60" t="n">
        <f aca="false">IF(E85=0,"—",SUMIFS(Review!$K$7:$K$600,Review!$B$7:$B$600,$B85,Review!$C$7:$C$600,"Austria"))</f>
        <v>18.4</v>
      </c>
      <c r="I85" s="61" t="str">
        <f aca="false">IF(E85=0,"—",IF(F85&lt;G85*(1-$C$7),"median (cheapest is an outlier)",IF(F85*(1-$C$6)&lt;G85*(1-$C$5),"undercut cheapest","median")))</f>
        <v>median</v>
      </c>
      <c r="J85" s="62" t="n">
        <f aca="false">IF(E85=0,"—",IF(AND(ISNUMBER($D85),$D85*(1+$C$10)&gt;FLOOR(IF(F85&lt;G85*(1-$C$7),G85*(1-$C$5-IF(E85&lt;3,$C$8,0)),MIN(G85*(1-$C$5-IF(E85&lt;3,$C$8,0)),F85*(1-$C$6-IF(E85&lt;3,$C$8,0)))),IF(IF(F85&lt;G85*(1-$C$7),G85*(1-$C$5-IF(E85&lt;3,$C$8,0)),MIN(G85*(1-$C$5-IF(E85&lt;3,$C$8,0)),F85*(1-$C$6-IF(E85&lt;3,$C$8,0))))&lt;10,$C$9,IF(IF(F85&lt;G85*(1-$C$7),G85*(1-$C$5-IF(E85&lt;3,$C$8,0)),MIN(G85*(1-$C$5-IF(E85&lt;3,$C$8,0)),F85*(1-$C$6-IF(E85&lt;3,$C$8,0))))&lt;100,$D$9,$E$9)))),ROUND($D85*(1+$C$10),2),FLOOR(IF(F85&lt;G85*(1-$C$7),G85*(1-$C$5-IF(E85&lt;3,$C$8,0)),MIN(G85*(1-$C$5-IF(E85&lt;3,$C$8,0)),F85*(1-$C$6-IF(E85&lt;3,$C$8,0)))),IF(IF(F85&lt;G85*(1-$C$7),G85*(1-$C$5-IF(E85&lt;3,$C$8,0)),MIN(G85*(1-$C$5-IF(E85&lt;3,$C$8,0)),F85*(1-$C$6-IF(E85&lt;3,$C$8,0))))&lt;10,$C$9,IF(IF(F85&lt;G85*(1-$C$7),G85*(1-$C$5-IF(E85&lt;3,$C$8,0)),MIN(G85*(1-$C$5-IF(E85&lt;3,$C$8,0)),F85*(1-$C$6-IF(E85&lt;3,$C$8,0))))&lt;100,$D$9,$E$9)))))</f>
        <v>3.85</v>
      </c>
      <c r="K85" s="60" t="str">
        <f aca="false">IF(ISNUMBER($D85),$D85,"n/a")</f>
        <v>n/a</v>
      </c>
      <c r="L85" s="63" t="str">
        <f aca="false">IF(OR(E85=0,NOT(ISNUMBER($D85))),"—",J85/$D85-1)</f>
        <v>—</v>
      </c>
      <c r="M85" s="64" t="n">
        <f aca="false">IF(E85=0,"—",J85/F85-1)</f>
        <v>-0.0563725490196079</v>
      </c>
      <c r="N85" s="64" t="n">
        <f aca="false">IF(E85=0,"—",J85/G85-1)</f>
        <v>-0.251700680272109</v>
      </c>
      <c r="O85" s="59" t="n">
        <f aca="false">COUNTIFS(Offers!$B$7:$B$3000,$B85,Offers!$C$7:$C$3000,"Germany",Offers!$AI$7:$AI$3000,"yes")</f>
        <v>3</v>
      </c>
      <c r="P85" s="60" t="n">
        <f aca="false">IF(O85=0,"—",SUMIFS(Review!$I$7:$I$600,Review!$B$7:$B$600,$B85,Review!$C$7:$C$600,"Germany"))</f>
        <v>3.92</v>
      </c>
      <c r="Q85" s="60" t="n">
        <f aca="false">IF(O85=0,"—",SUMIFS(Review!$J$7:$J$600,Review!$B$7:$B$600,$B85,Review!$C$7:$C$600,"Germany"))</f>
        <v>5.79</v>
      </c>
      <c r="R85" s="60" t="n">
        <f aca="false">IF(O85=0,"—",SUMIFS(Review!$K$7:$K$600,Review!$B$7:$B$600,$B85,Review!$C$7:$C$600,"Germany"))</f>
        <v>7.5</v>
      </c>
      <c r="S85" s="61" t="str">
        <f aca="false">IF(O85=0,"—",IF(P85&lt;Q85*(1-$C$7),"median (cheapest is an outlier)",IF(P85*(1-$C$6)&lt;Q85*(1-$C$5),"undercut cheapest","median")))</f>
        <v>undercut cheapest</v>
      </c>
      <c r="T85" s="62" t="n">
        <f aca="false">IF(O85=0,"—",IF(AND(ISNUMBER($D85),$D85*(1+$C$10)&gt;FLOOR(IF(P85&lt;Q85*(1-$C$7),Q85*(1-$C$5-IF(O85&lt;3,$C$8,0)),MIN(Q85*(1-$C$5-IF(O85&lt;3,$C$8,0)),P85*(1-$C$6-IF(O85&lt;3,$C$8,0)))),IF(IF(P85&lt;Q85*(1-$C$7),Q85*(1-$C$5-IF(O85&lt;3,$C$8,0)),MIN(Q85*(1-$C$5-IF(O85&lt;3,$C$8,0)),P85*(1-$C$6-IF(O85&lt;3,$C$8,0))))&lt;10,$C$9,IF(IF(P85&lt;Q85*(1-$C$7),Q85*(1-$C$5-IF(O85&lt;3,$C$8,0)),MIN(Q85*(1-$C$5-IF(O85&lt;3,$C$8,0)),P85*(1-$C$6-IF(O85&lt;3,$C$8,0))))&lt;100,$D$9,$E$9)))),ROUND($D85*(1+$C$10),2),FLOOR(IF(P85&lt;Q85*(1-$C$7),Q85*(1-$C$5-IF(O85&lt;3,$C$8,0)),MIN(Q85*(1-$C$5-IF(O85&lt;3,$C$8,0)),P85*(1-$C$6-IF(O85&lt;3,$C$8,0)))),IF(IF(P85&lt;Q85*(1-$C$7),Q85*(1-$C$5-IF(O85&lt;3,$C$8,0)),MIN(Q85*(1-$C$5-IF(O85&lt;3,$C$8,0)),P85*(1-$C$6-IF(O85&lt;3,$C$8,0))))&lt;10,$C$9,IF(IF(P85&lt;Q85*(1-$C$7),Q85*(1-$C$5-IF(O85&lt;3,$C$8,0)),MIN(Q85*(1-$C$5-IF(O85&lt;3,$C$8,0)),P85*(1-$C$6-IF(O85&lt;3,$C$8,0))))&lt;100,$D$9,$E$9)))))</f>
        <v>3.7</v>
      </c>
      <c r="U85" s="60" t="str">
        <f aca="false">IF(ISNUMBER($D85),$D85,"n/a")</f>
        <v>n/a</v>
      </c>
      <c r="V85" s="63" t="str">
        <f aca="false">IF(OR(O85=0,NOT(ISNUMBER($D85))),"—",T85/$D85-1)</f>
        <v>—</v>
      </c>
      <c r="W85" s="64" t="n">
        <f aca="false">IF(O85=0,"—",T85/P85-1)</f>
        <v>-0.0561224489795917</v>
      </c>
      <c r="X85" s="64" t="n">
        <f aca="false">IF(O85=0,"—",T85/Q85-1)</f>
        <v>-0.360967184801382</v>
      </c>
      <c r="Y85" s="59" t="n">
        <f aca="false">COUNTIFS(Offers!$B$7:$B$3000,$B85,Offers!$C$7:$C$3000,"Czech",Offers!$AI$7:$AI$3000,"yes")</f>
        <v>4</v>
      </c>
      <c r="Z85" s="60" t="n">
        <f aca="false">IF(Y85=0,"—",SUMIFS(Review!$I$7:$I$600,Review!$B$7:$B$600,$B85,Review!$C$7:$C$600,"Czech"))</f>
        <v>3.985487</v>
      </c>
      <c r="AA85" s="60" t="n">
        <f aca="false">IF(Y85=0,"—",SUMIFS(Review!$J$7:$J$600,Review!$B$7:$B$600,$B85,Review!$C$7:$C$600,"Czech"))</f>
        <v>6.2193905</v>
      </c>
      <c r="AB85" s="60" t="n">
        <f aca="false">IF(Y85=0,"—",SUMIFS(Review!$K$7:$K$600,Review!$B$7:$B$600,$B85,Review!$C$7:$C$600,"Czech"))</f>
        <v>7.042364</v>
      </c>
      <c r="AC85" s="61" t="str">
        <f aca="false">IF(Y85=0,"—",IF(Z85&lt;AA85*(1-$C$7),"median (cheapest is an outlier)",IF(Z85*(1-$C$6)&lt;AA85*(1-$C$5),"undercut cheapest","median")))</f>
        <v>median (cheapest is an outlier)</v>
      </c>
      <c r="AD85" s="62" t="n">
        <f aca="false">IF(Y85=0,"—",IF(AND(ISNUMBER($D85),$D85*(1+$C$10)&gt;FLOOR(IF(Z85&lt;AA85*(1-$C$7),AA85*(1-$C$5-IF(Y85&lt;3,$C$8,0)),MIN(AA85*(1-$C$5-IF(Y85&lt;3,$C$8,0)),Z85*(1-$C$6-IF(Y85&lt;3,$C$8,0)))),IF(IF(Z85&lt;AA85*(1-$C$7),AA85*(1-$C$5-IF(Y85&lt;3,$C$8,0)),MIN(AA85*(1-$C$5-IF(Y85&lt;3,$C$8,0)),Z85*(1-$C$6-IF(Y85&lt;3,$C$8,0))))&lt;10,$C$9,IF(IF(Z85&lt;AA85*(1-$C$7),AA85*(1-$C$5-IF(Y85&lt;3,$C$8,0)),MIN(AA85*(1-$C$5-IF(Y85&lt;3,$C$8,0)),Z85*(1-$C$6-IF(Y85&lt;3,$C$8,0))))&lt;100,$D$9,$E$9)))),ROUND($D85*(1+$C$10),2),FLOOR(IF(Z85&lt;AA85*(1-$C$7),AA85*(1-$C$5-IF(Y85&lt;3,$C$8,0)),MIN(AA85*(1-$C$5-IF(Y85&lt;3,$C$8,0)),Z85*(1-$C$6-IF(Y85&lt;3,$C$8,0)))),IF(IF(Z85&lt;AA85*(1-$C$7),AA85*(1-$C$5-IF(Y85&lt;3,$C$8,0)),MIN(AA85*(1-$C$5-IF(Y85&lt;3,$C$8,0)),Z85*(1-$C$6-IF(Y85&lt;3,$C$8,0))))&lt;10,$C$9,IF(IF(Z85&lt;AA85*(1-$C$7),AA85*(1-$C$5-IF(Y85&lt;3,$C$8,0)),MIN(AA85*(1-$C$5-IF(Y85&lt;3,$C$8,0)),Z85*(1-$C$6-IF(Y85&lt;3,$C$8,0))))&lt;100,$D$9,$E$9)))))</f>
        <v>4.65</v>
      </c>
      <c r="AE85" s="65" t="n">
        <f aca="false">IF(Y85=0,"—",FLOOR(AD85*Sources!$G$10,1))</f>
        <v>113</v>
      </c>
      <c r="AF85" s="60" t="str">
        <f aca="false">IF(ISNUMBER($D85),$D85,"n/a")</f>
        <v>n/a</v>
      </c>
      <c r="AG85" s="63" t="str">
        <f aca="false">IF(OR(Y85=0,NOT(ISNUMBER($D85))),"—",AD85/$D85-1)</f>
        <v>—</v>
      </c>
      <c r="AH85" s="64" t="n">
        <f aca="false">IF(Y85=0,"—",AD85/Z85-1)</f>
        <v>0.166733199731927</v>
      </c>
      <c r="AI85" s="64" t="n">
        <f aca="false">IF(Y85=0,"—",AD85/AA85-1)</f>
        <v>-0.252338311929441</v>
      </c>
      <c r="AJ85" s="59" t="n">
        <f aca="false">COUNTIFS(Offers!$B$7:$B$3000,$B85,Offers!$C$7:$C$3000,"Slovakia",Offers!$AI$7:$AI$3000,"yes")</f>
        <v>4</v>
      </c>
      <c r="AK85" s="60" t="n">
        <f aca="false">IF(AJ85=0,"—",SUMIFS(Review!$I$7:$I$600,Review!$B$7:$B$600,$B85,Review!$C$7:$C$600,"Slovakia"))</f>
        <v>3.06</v>
      </c>
      <c r="AL85" s="60" t="n">
        <f aca="false">IF(AJ85=0,"—",SUMIFS(Review!$J$7:$J$600,Review!$B$7:$B$600,$B85,Review!$C$7:$C$600,"Slovakia"))</f>
        <v>4.05</v>
      </c>
      <c r="AM85" s="60" t="n">
        <f aca="false">IF(AJ85=0,"—",SUMIFS(Review!$K$7:$K$600,Review!$B$7:$B$600,$B85,Review!$C$7:$C$600,"Slovakia"))</f>
        <v>6.3</v>
      </c>
      <c r="AN85" s="61" t="str">
        <f aca="false">IF(AJ85=0,"—",IF(AK85&lt;AL85*(1-$C$7),"median (cheapest is an outlier)",IF(AK85*(1-$C$6)&lt;AL85*(1-$C$5),"undercut cheapest","median")))</f>
        <v>undercut cheapest</v>
      </c>
      <c r="AO85" s="62" t="n">
        <f aca="false">IF(AJ85=0,"—",IF(AND(ISNUMBER($D85),$D85*(1+$C$10)&gt;FLOOR(IF(AK85&lt;AL85*(1-$C$7),AL85*(1-$C$5-IF(AJ85&lt;3,$C$8,0)),MIN(AL85*(1-$C$5-IF(AJ85&lt;3,$C$8,0)),AK85*(1-$C$6-IF(AJ85&lt;3,$C$8,0)))),IF(IF(AK85&lt;AL85*(1-$C$7),AL85*(1-$C$5-IF(AJ85&lt;3,$C$8,0)),MIN(AL85*(1-$C$5-IF(AJ85&lt;3,$C$8,0)),AK85*(1-$C$6-IF(AJ85&lt;3,$C$8,0))))&lt;10,$C$9,IF(IF(AK85&lt;AL85*(1-$C$7),AL85*(1-$C$5-IF(AJ85&lt;3,$C$8,0)),MIN(AL85*(1-$C$5-IF(AJ85&lt;3,$C$8,0)),AK85*(1-$C$6-IF(AJ85&lt;3,$C$8,0))))&lt;100,$D$9,$E$9)))),ROUND($D85*(1+$C$10),2),FLOOR(IF(AK85&lt;AL85*(1-$C$7),AL85*(1-$C$5-IF(AJ85&lt;3,$C$8,0)),MIN(AL85*(1-$C$5-IF(AJ85&lt;3,$C$8,0)),AK85*(1-$C$6-IF(AJ85&lt;3,$C$8,0)))),IF(IF(AK85&lt;AL85*(1-$C$7),AL85*(1-$C$5-IF(AJ85&lt;3,$C$8,0)),MIN(AL85*(1-$C$5-IF(AJ85&lt;3,$C$8,0)),AK85*(1-$C$6-IF(AJ85&lt;3,$C$8,0))))&lt;10,$C$9,IF(IF(AK85&lt;AL85*(1-$C$7),AL85*(1-$C$5-IF(AJ85&lt;3,$C$8,0)),MIN(AL85*(1-$C$5-IF(AJ85&lt;3,$C$8,0)),AK85*(1-$C$6-IF(AJ85&lt;3,$C$8,0))))&lt;100,$D$9,$E$9)))))</f>
        <v>2.9</v>
      </c>
      <c r="AP85" s="60" t="str">
        <f aca="false">IF(ISNUMBER($D85),$D85,"n/a")</f>
        <v>n/a</v>
      </c>
      <c r="AQ85" s="63" t="str">
        <f aca="false">IF(OR(AJ85=0,NOT(ISNUMBER($D85))),"—",AO85/$D85-1)</f>
        <v>—</v>
      </c>
      <c r="AR85" s="64" t="n">
        <f aca="false">IF(AJ85=0,"—",AO85/AK85-1)</f>
        <v>-0.0522875816993463</v>
      </c>
      <c r="AS85" s="64" t="n">
        <f aca="false">IF(AJ85=0,"—",AO85/AL85-1)</f>
        <v>-0.283950617283951</v>
      </c>
      <c r="AT85" s="59" t="n">
        <f aca="false">COUNTIFS(Offers!$B$7:$B$3000,$B85,Offers!$C$7:$C$3000,"Romania",Offers!$AI$7:$AI$3000,"yes")</f>
        <v>5</v>
      </c>
      <c r="AU85" s="60" t="n">
        <f aca="false">IF(AT85=0,"—",SUMIFS(Review!$I$7:$I$600,Review!$B$7:$B$600,$B85,Review!$C$7:$C$600,"Romania"))</f>
        <v>1.926997</v>
      </c>
      <c r="AV85" s="60" t="n">
        <f aca="false">IF(AT85=0,"—",SUMIFS(Review!$J$7:$J$600,Review!$B$7:$B$600,$B85,Review!$C$7:$C$600,"Romania"))</f>
        <v>4.405377</v>
      </c>
      <c r="AW85" s="60" t="n">
        <f aca="false">IF(AT85=0,"—",SUMIFS(Review!$K$7:$K$600,Review!$B$7:$B$600,$B85,Review!$C$7:$C$600,"Romania"))</f>
        <v>6.629855</v>
      </c>
      <c r="AX85" s="61" t="str">
        <f aca="false">IF(AT85=0,"—",IF(AU85&lt;AV85*(1-$C$7),"median (cheapest is an outlier)",IF(AU85*(1-$C$6)&lt;AV85*(1-$C$5),"undercut cheapest","median")))</f>
        <v>median (cheapest is an outlier)</v>
      </c>
      <c r="AY85" s="62" t="n">
        <f aca="false">IF(AT85=0,"—",IF(AND(ISNUMBER($D85),$D85*(1+$C$10)&gt;FLOOR(IF(AU85&lt;AV85*(1-$C$7),AV85*(1-$C$5-IF(AT85&lt;3,$C$8,0)),MIN(AV85*(1-$C$5-IF(AT85&lt;3,$C$8,0)),AU85*(1-$C$6-IF(AT85&lt;3,$C$8,0)))),IF(IF(AU85&lt;AV85*(1-$C$7),AV85*(1-$C$5-IF(AT85&lt;3,$C$8,0)),MIN(AV85*(1-$C$5-IF(AT85&lt;3,$C$8,0)),AU85*(1-$C$6-IF(AT85&lt;3,$C$8,0))))&lt;10,$C$9,IF(IF(AU85&lt;AV85*(1-$C$7),AV85*(1-$C$5-IF(AT85&lt;3,$C$8,0)),MIN(AV85*(1-$C$5-IF(AT85&lt;3,$C$8,0)),AU85*(1-$C$6-IF(AT85&lt;3,$C$8,0))))&lt;100,$D$9,$E$9)))),ROUND($D85*(1+$C$10),2),FLOOR(IF(AU85&lt;AV85*(1-$C$7),AV85*(1-$C$5-IF(AT85&lt;3,$C$8,0)),MIN(AV85*(1-$C$5-IF(AT85&lt;3,$C$8,0)),AU85*(1-$C$6-IF(AT85&lt;3,$C$8,0)))),IF(IF(AU85&lt;AV85*(1-$C$7),AV85*(1-$C$5-IF(AT85&lt;3,$C$8,0)),MIN(AV85*(1-$C$5-IF(AT85&lt;3,$C$8,0)),AU85*(1-$C$6-IF(AT85&lt;3,$C$8,0))))&lt;10,$C$9,IF(IF(AU85&lt;AV85*(1-$C$7),AV85*(1-$C$5-IF(AT85&lt;3,$C$8,0)),MIN(AV85*(1-$C$5-IF(AT85&lt;3,$C$8,0)),AU85*(1-$C$6-IF(AT85&lt;3,$C$8,0))))&lt;100,$D$9,$E$9)))))</f>
        <v>3.3</v>
      </c>
      <c r="AZ85" s="62" t="n">
        <f aca="false">IF(AT85=0,"—",FLOOR(AY85*Sources!$G$9,0.1))</f>
        <v>17.4</v>
      </c>
      <c r="BA85" s="60" t="str">
        <f aca="false">IF(ISNUMBER($D85),$D85,"n/a")</f>
        <v>n/a</v>
      </c>
      <c r="BB85" s="63" t="str">
        <f aca="false">IF(OR(AT85=0,NOT(ISNUMBER($D85))),"—",AY85/$D85-1)</f>
        <v>—</v>
      </c>
      <c r="BC85" s="64" t="n">
        <f aca="false">IF(AT85=0,"—",AY85/AU85-1)</f>
        <v>0.71250915284248</v>
      </c>
      <c r="BD85" s="64" t="n">
        <f aca="false">IF(AT85=0,"—",AY85/AV85-1)</f>
        <v>-0.250915415411666</v>
      </c>
      <c r="BE85" s="59" t="n">
        <f aca="false">COUNTIFS(Offers!$B$7:$B$3000,$B85,Offers!$C$7:$C$3000,"Hungary",Offers!$AI$7:$AI$3000,"yes")</f>
        <v>0</v>
      </c>
      <c r="BF85" s="60" t="str">
        <f aca="false">IF(BE85=0,"—",SUMIFS(Review!$I$7:$I$600,Review!$B$7:$B$600,$B85,Review!$C$7:$C$600,"Hungary"))</f>
        <v>—</v>
      </c>
      <c r="BG85" s="60" t="str">
        <f aca="false">IF(BE85=0,"—",SUMIFS(Review!$J$7:$J$600,Review!$B$7:$B$600,$B85,Review!$C$7:$C$600,"Hungary"))</f>
        <v>—</v>
      </c>
      <c r="BH85" s="60" t="str">
        <f aca="false">IF(BE85=0,"—",SUMIFS(Review!$K$7:$K$600,Review!$B$7:$B$600,$B85,Review!$C$7:$C$600,"Hungary"))</f>
        <v>—</v>
      </c>
      <c r="BI85" s="61" t="str">
        <f aca="false">IF(BE85=0,"—",IF(BF85&lt;BG85*(1-$C$7),"median (cheapest is an outlier)",IF(BF85*(1-$C$6)&lt;BG85*(1-$C$5),"undercut cheapest","median")))</f>
        <v>—</v>
      </c>
      <c r="BJ85" s="62" t="str">
        <f aca="false">IF(BE85=0,"—",IF(AND(ISNUMBER($D85),$D85*(1+$C$10)&gt;FLOOR(IF(BF85&lt;BG85*(1-$C$7),BG85*(1-$C$5-IF(BE85&lt;3,$C$8,0)),MIN(BG85*(1-$C$5-IF(BE85&lt;3,$C$8,0)),BF85*(1-$C$6-IF(BE85&lt;3,$C$8,0)))),IF(IF(BF85&lt;BG85*(1-$C$7),BG85*(1-$C$5-IF(BE85&lt;3,$C$8,0)),MIN(BG85*(1-$C$5-IF(BE85&lt;3,$C$8,0)),BF85*(1-$C$6-IF(BE85&lt;3,$C$8,0))))&lt;10,$C$9,IF(IF(BF85&lt;BG85*(1-$C$7),BG85*(1-$C$5-IF(BE85&lt;3,$C$8,0)),MIN(BG85*(1-$C$5-IF(BE85&lt;3,$C$8,0)),BF85*(1-$C$6-IF(BE85&lt;3,$C$8,0))))&lt;100,$D$9,$E$9)))),ROUND($D85*(1+$C$10),2),FLOOR(IF(BF85&lt;BG85*(1-$C$7),BG85*(1-$C$5-IF(BE85&lt;3,$C$8,0)),MIN(BG85*(1-$C$5-IF(BE85&lt;3,$C$8,0)),BF85*(1-$C$6-IF(BE85&lt;3,$C$8,0)))),IF(IF(BF85&lt;BG85*(1-$C$7),BG85*(1-$C$5-IF(BE85&lt;3,$C$8,0)),MIN(BG85*(1-$C$5-IF(BE85&lt;3,$C$8,0)),BF85*(1-$C$6-IF(BE85&lt;3,$C$8,0))))&lt;10,$C$9,IF(IF(BF85&lt;BG85*(1-$C$7),BG85*(1-$C$5-IF(BE85&lt;3,$C$8,0)),MIN(BG85*(1-$C$5-IF(BE85&lt;3,$C$8,0)),BF85*(1-$C$6-IF(BE85&lt;3,$C$8,0))))&lt;100,$D$9,$E$9)))))</f>
        <v>—</v>
      </c>
      <c r="BK85" s="65" t="str">
        <f aca="false">IF(BE85=0,"—",FLOOR(BJ85*Sources!$G$8,10))</f>
        <v>—</v>
      </c>
      <c r="BL85" s="60" t="str">
        <f aca="false">IF(ISNUMBER($D85),$D85,"n/a")</f>
        <v>n/a</v>
      </c>
      <c r="BM85" s="63" t="str">
        <f aca="false">IF(OR(BE85=0,NOT(ISNUMBER($D85))),"—",BJ85/$D85-1)</f>
        <v>—</v>
      </c>
      <c r="BN85" s="64" t="str">
        <f aca="false">IF(BE85=0,"—",BJ85/BF85-1)</f>
        <v>—</v>
      </c>
      <c r="BO85" s="64" t="str">
        <f aca="false">IF(BE85=0,"—",BJ85/BG85-1)</f>
        <v>—</v>
      </c>
    </row>
    <row r="86" customFormat="false" ht="15" hidden="false" customHeight="false" outlineLevel="0" collapsed="false">
      <c r="B86" s="1" t="s">
        <v>102</v>
      </c>
      <c r="C86" s="1" t="s">
        <v>211</v>
      </c>
      <c r="D86" s="58"/>
      <c r="E86" s="59" t="n">
        <f aca="false">COUNTIFS(Offers!$B$7:$B$3000,$B86,Offers!$C$7:$C$3000,"Austria",Offers!$AI$7:$AI$3000,"yes")</f>
        <v>7</v>
      </c>
      <c r="F86" s="60" t="n">
        <f aca="false">IF(E86=0,"—",SUMIFS(Review!$I$7:$I$600,Review!$B$7:$B$600,$B86,Review!$C$7:$C$600,"Austria"))</f>
        <v>4.1</v>
      </c>
      <c r="G86" s="60" t="n">
        <f aca="false">IF(E86=0,"—",SUMIFS(Review!$J$7:$J$600,Review!$B$7:$B$600,$B86,Review!$C$7:$C$600,"Austria"))</f>
        <v>5.09</v>
      </c>
      <c r="H86" s="60" t="n">
        <f aca="false">IF(E86=0,"—",SUMIFS(Review!$K$7:$K$600,Review!$B$7:$B$600,$B86,Review!$C$7:$C$600,"Austria"))</f>
        <v>19.5</v>
      </c>
      <c r="I86" s="61" t="str">
        <f aca="false">IF(E86=0,"—",IF(F86&lt;G86*(1-$C$7),"median (cheapest is an outlier)",IF(F86*(1-$C$6)&lt;G86*(1-$C$5),"undercut cheapest","median")))</f>
        <v>median</v>
      </c>
      <c r="J86" s="62" t="n">
        <f aca="false">IF(E86=0,"—",IF(AND(ISNUMBER($D86),$D86*(1+$C$10)&gt;FLOOR(IF(F86&lt;G86*(1-$C$7),G86*(1-$C$5-IF(E86&lt;3,$C$8,0)),MIN(G86*(1-$C$5-IF(E86&lt;3,$C$8,0)),F86*(1-$C$6-IF(E86&lt;3,$C$8,0)))),IF(IF(F86&lt;G86*(1-$C$7),G86*(1-$C$5-IF(E86&lt;3,$C$8,0)),MIN(G86*(1-$C$5-IF(E86&lt;3,$C$8,0)),F86*(1-$C$6-IF(E86&lt;3,$C$8,0))))&lt;10,$C$9,IF(IF(F86&lt;G86*(1-$C$7),G86*(1-$C$5-IF(E86&lt;3,$C$8,0)),MIN(G86*(1-$C$5-IF(E86&lt;3,$C$8,0)),F86*(1-$C$6-IF(E86&lt;3,$C$8,0))))&lt;100,$D$9,$E$9)))),ROUND($D86*(1+$C$10),2),FLOOR(IF(F86&lt;G86*(1-$C$7),G86*(1-$C$5-IF(E86&lt;3,$C$8,0)),MIN(G86*(1-$C$5-IF(E86&lt;3,$C$8,0)),F86*(1-$C$6-IF(E86&lt;3,$C$8,0)))),IF(IF(F86&lt;G86*(1-$C$7),G86*(1-$C$5-IF(E86&lt;3,$C$8,0)),MIN(G86*(1-$C$5-IF(E86&lt;3,$C$8,0)),F86*(1-$C$6-IF(E86&lt;3,$C$8,0))))&lt;10,$C$9,IF(IF(F86&lt;G86*(1-$C$7),G86*(1-$C$5-IF(E86&lt;3,$C$8,0)),MIN(G86*(1-$C$5-IF(E86&lt;3,$C$8,0)),F86*(1-$C$6-IF(E86&lt;3,$C$8,0))))&lt;100,$D$9,$E$9)))))</f>
        <v>3.8</v>
      </c>
      <c r="K86" s="60" t="str">
        <f aca="false">IF(ISNUMBER($D86),$D86,"n/a")</f>
        <v>n/a</v>
      </c>
      <c r="L86" s="63" t="str">
        <f aca="false">IF(OR(E86=0,NOT(ISNUMBER($D86))),"—",J86/$D86-1)</f>
        <v>—</v>
      </c>
      <c r="M86" s="64" t="n">
        <f aca="false">IF(E86=0,"—",J86/F86-1)</f>
        <v>-0.0731707317073169</v>
      </c>
      <c r="N86" s="64" t="n">
        <f aca="false">IF(E86=0,"—",J86/G86-1)</f>
        <v>-0.253438113948919</v>
      </c>
      <c r="O86" s="59" t="n">
        <f aca="false">COUNTIFS(Offers!$B$7:$B$3000,$B86,Offers!$C$7:$C$3000,"Germany",Offers!$AI$7:$AI$3000,"yes")</f>
        <v>7</v>
      </c>
      <c r="P86" s="60" t="n">
        <f aca="false">IF(O86=0,"—",SUMIFS(Review!$I$7:$I$600,Review!$B$7:$B$600,$B86,Review!$C$7:$C$600,"Germany"))</f>
        <v>2.64</v>
      </c>
      <c r="Q86" s="60" t="n">
        <f aca="false">IF(O86=0,"—",SUMIFS(Review!$J$7:$J$600,Review!$B$7:$B$600,$B86,Review!$C$7:$C$600,"Germany"))</f>
        <v>4.71</v>
      </c>
      <c r="R86" s="60" t="n">
        <f aca="false">IF(O86=0,"—",SUMIFS(Review!$K$7:$K$600,Review!$B$7:$B$600,$B86,Review!$C$7:$C$600,"Germany"))</f>
        <v>19.5</v>
      </c>
      <c r="S86" s="61" t="str">
        <f aca="false">IF(O86=0,"—",IF(P86&lt;Q86*(1-$C$7),"median (cheapest is an outlier)",IF(P86*(1-$C$6)&lt;Q86*(1-$C$5),"undercut cheapest","median")))</f>
        <v>median (cheapest is an outlier)</v>
      </c>
      <c r="T86" s="62" t="n">
        <f aca="false">IF(O86=0,"—",IF(AND(ISNUMBER($D86),$D86*(1+$C$10)&gt;FLOOR(IF(P86&lt;Q86*(1-$C$7),Q86*(1-$C$5-IF(O86&lt;3,$C$8,0)),MIN(Q86*(1-$C$5-IF(O86&lt;3,$C$8,0)),P86*(1-$C$6-IF(O86&lt;3,$C$8,0)))),IF(IF(P86&lt;Q86*(1-$C$7),Q86*(1-$C$5-IF(O86&lt;3,$C$8,0)),MIN(Q86*(1-$C$5-IF(O86&lt;3,$C$8,0)),P86*(1-$C$6-IF(O86&lt;3,$C$8,0))))&lt;10,$C$9,IF(IF(P86&lt;Q86*(1-$C$7),Q86*(1-$C$5-IF(O86&lt;3,$C$8,0)),MIN(Q86*(1-$C$5-IF(O86&lt;3,$C$8,0)),P86*(1-$C$6-IF(O86&lt;3,$C$8,0))))&lt;100,$D$9,$E$9)))),ROUND($D86*(1+$C$10),2),FLOOR(IF(P86&lt;Q86*(1-$C$7),Q86*(1-$C$5-IF(O86&lt;3,$C$8,0)),MIN(Q86*(1-$C$5-IF(O86&lt;3,$C$8,0)),P86*(1-$C$6-IF(O86&lt;3,$C$8,0)))),IF(IF(P86&lt;Q86*(1-$C$7),Q86*(1-$C$5-IF(O86&lt;3,$C$8,0)),MIN(Q86*(1-$C$5-IF(O86&lt;3,$C$8,0)),P86*(1-$C$6-IF(O86&lt;3,$C$8,0))))&lt;10,$C$9,IF(IF(P86&lt;Q86*(1-$C$7),Q86*(1-$C$5-IF(O86&lt;3,$C$8,0)),MIN(Q86*(1-$C$5-IF(O86&lt;3,$C$8,0)),P86*(1-$C$6-IF(O86&lt;3,$C$8,0))))&lt;100,$D$9,$E$9)))))</f>
        <v>3.5</v>
      </c>
      <c r="U86" s="60" t="str">
        <f aca="false">IF(ISNUMBER($D86),$D86,"n/a")</f>
        <v>n/a</v>
      </c>
      <c r="V86" s="63" t="str">
        <f aca="false">IF(OR(O86=0,NOT(ISNUMBER($D86))),"—",T86/$D86-1)</f>
        <v>—</v>
      </c>
      <c r="W86" s="64" t="n">
        <f aca="false">IF(O86=0,"—",T86/P86-1)</f>
        <v>0.325757575757576</v>
      </c>
      <c r="X86" s="64" t="n">
        <f aca="false">IF(O86=0,"—",T86/Q86-1)</f>
        <v>-0.256900212314225</v>
      </c>
      <c r="Y86" s="59" t="n">
        <f aca="false">COUNTIFS(Offers!$B$7:$B$3000,$B86,Offers!$C$7:$C$3000,"Czech",Offers!$AI$7:$AI$3000,"yes")</f>
        <v>5</v>
      </c>
      <c r="Z86" s="60" t="n">
        <f aca="false">IF(Y86=0,"—",SUMIFS(Review!$I$7:$I$600,Review!$B$7:$B$600,$B86,Review!$C$7:$C$600,"Czech"))</f>
        <v>3.766846</v>
      </c>
      <c r="AA86" s="60" t="n">
        <f aca="false">IF(Y86=0,"—",SUMIFS(Review!$J$7:$J$600,Review!$B$7:$B$600,$B86,Review!$C$7:$C$600,"Czech"))</f>
        <v>7.247084</v>
      </c>
      <c r="AB86" s="60" t="n">
        <f aca="false">IF(Y86=0,"—",SUMIFS(Review!$K$7:$K$600,Review!$B$7:$B$600,$B86,Review!$C$7:$C$600,"Czech"))</f>
        <v>18.588566</v>
      </c>
      <c r="AC86" s="61" t="str">
        <f aca="false">IF(Y86=0,"—",IF(Z86&lt;AA86*(1-$C$7),"median (cheapest is an outlier)",IF(Z86*(1-$C$6)&lt;AA86*(1-$C$5),"undercut cheapest","median")))</f>
        <v>median (cheapest is an outlier)</v>
      </c>
      <c r="AD86" s="62" t="n">
        <f aca="false">IF(Y86=0,"—",IF(AND(ISNUMBER($D86),$D86*(1+$C$10)&gt;FLOOR(IF(Z86&lt;AA86*(1-$C$7),AA86*(1-$C$5-IF(Y86&lt;3,$C$8,0)),MIN(AA86*(1-$C$5-IF(Y86&lt;3,$C$8,0)),Z86*(1-$C$6-IF(Y86&lt;3,$C$8,0)))),IF(IF(Z86&lt;AA86*(1-$C$7),AA86*(1-$C$5-IF(Y86&lt;3,$C$8,0)),MIN(AA86*(1-$C$5-IF(Y86&lt;3,$C$8,0)),Z86*(1-$C$6-IF(Y86&lt;3,$C$8,0))))&lt;10,$C$9,IF(IF(Z86&lt;AA86*(1-$C$7),AA86*(1-$C$5-IF(Y86&lt;3,$C$8,0)),MIN(AA86*(1-$C$5-IF(Y86&lt;3,$C$8,0)),Z86*(1-$C$6-IF(Y86&lt;3,$C$8,0))))&lt;100,$D$9,$E$9)))),ROUND($D86*(1+$C$10),2),FLOOR(IF(Z86&lt;AA86*(1-$C$7),AA86*(1-$C$5-IF(Y86&lt;3,$C$8,0)),MIN(AA86*(1-$C$5-IF(Y86&lt;3,$C$8,0)),Z86*(1-$C$6-IF(Y86&lt;3,$C$8,0)))),IF(IF(Z86&lt;AA86*(1-$C$7),AA86*(1-$C$5-IF(Y86&lt;3,$C$8,0)),MIN(AA86*(1-$C$5-IF(Y86&lt;3,$C$8,0)),Z86*(1-$C$6-IF(Y86&lt;3,$C$8,0))))&lt;10,$C$9,IF(IF(Z86&lt;AA86*(1-$C$7),AA86*(1-$C$5-IF(Y86&lt;3,$C$8,0)),MIN(AA86*(1-$C$5-IF(Y86&lt;3,$C$8,0)),Z86*(1-$C$6-IF(Y86&lt;3,$C$8,0))))&lt;100,$D$9,$E$9)))))</f>
        <v>5.4</v>
      </c>
      <c r="AE86" s="65" t="n">
        <f aca="false">IF(Y86=0,"—",FLOOR(AD86*Sources!$G$10,1))</f>
        <v>131</v>
      </c>
      <c r="AF86" s="60" t="str">
        <f aca="false">IF(ISNUMBER($D86),$D86,"n/a")</f>
        <v>n/a</v>
      </c>
      <c r="AG86" s="63" t="str">
        <f aca="false">IF(OR(Y86=0,NOT(ISNUMBER($D86))),"—",AD86/$D86-1)</f>
        <v>—</v>
      </c>
      <c r="AH86" s="64" t="n">
        <f aca="false">IF(Y86=0,"—",AD86/Z86-1)</f>
        <v>0.433560065901287</v>
      </c>
      <c r="AI86" s="64" t="n">
        <f aca="false">IF(Y86=0,"—",AD86/AA86-1)</f>
        <v>-0.25487271846166</v>
      </c>
      <c r="AJ86" s="59" t="n">
        <f aca="false">COUNTIFS(Offers!$B$7:$B$3000,$B86,Offers!$C$7:$C$3000,"Slovakia",Offers!$AI$7:$AI$3000,"yes")</f>
        <v>5</v>
      </c>
      <c r="AK86" s="60" t="n">
        <f aca="false">IF(AJ86=0,"—",SUMIFS(Review!$I$7:$I$600,Review!$B$7:$B$600,$B86,Review!$C$7:$C$600,"Slovakia"))</f>
        <v>3.6</v>
      </c>
      <c r="AL86" s="60" t="n">
        <f aca="false">IF(AJ86=0,"—",SUMIFS(Review!$J$7:$J$600,Review!$B$7:$B$600,$B86,Review!$C$7:$C$600,"Slovakia"))</f>
        <v>6.05</v>
      </c>
      <c r="AM86" s="60" t="n">
        <f aca="false">IF(AJ86=0,"—",SUMIFS(Review!$K$7:$K$600,Review!$B$7:$B$600,$B86,Review!$C$7:$C$600,"Slovakia"))</f>
        <v>6.94</v>
      </c>
      <c r="AN86" s="61" t="str">
        <f aca="false">IF(AJ86=0,"—",IF(AK86&lt;AL86*(1-$C$7),"median (cheapest is an outlier)",IF(AK86*(1-$C$6)&lt;AL86*(1-$C$5),"undercut cheapest","median")))</f>
        <v>median (cheapest is an outlier)</v>
      </c>
      <c r="AO86" s="62" t="n">
        <f aca="false">IF(AJ86=0,"—",IF(AND(ISNUMBER($D86),$D86*(1+$C$10)&gt;FLOOR(IF(AK86&lt;AL86*(1-$C$7),AL86*(1-$C$5-IF(AJ86&lt;3,$C$8,0)),MIN(AL86*(1-$C$5-IF(AJ86&lt;3,$C$8,0)),AK86*(1-$C$6-IF(AJ86&lt;3,$C$8,0)))),IF(IF(AK86&lt;AL86*(1-$C$7),AL86*(1-$C$5-IF(AJ86&lt;3,$C$8,0)),MIN(AL86*(1-$C$5-IF(AJ86&lt;3,$C$8,0)),AK86*(1-$C$6-IF(AJ86&lt;3,$C$8,0))))&lt;10,$C$9,IF(IF(AK86&lt;AL86*(1-$C$7),AL86*(1-$C$5-IF(AJ86&lt;3,$C$8,0)),MIN(AL86*(1-$C$5-IF(AJ86&lt;3,$C$8,0)),AK86*(1-$C$6-IF(AJ86&lt;3,$C$8,0))))&lt;100,$D$9,$E$9)))),ROUND($D86*(1+$C$10),2),FLOOR(IF(AK86&lt;AL86*(1-$C$7),AL86*(1-$C$5-IF(AJ86&lt;3,$C$8,0)),MIN(AL86*(1-$C$5-IF(AJ86&lt;3,$C$8,0)),AK86*(1-$C$6-IF(AJ86&lt;3,$C$8,0)))),IF(IF(AK86&lt;AL86*(1-$C$7),AL86*(1-$C$5-IF(AJ86&lt;3,$C$8,0)),MIN(AL86*(1-$C$5-IF(AJ86&lt;3,$C$8,0)),AK86*(1-$C$6-IF(AJ86&lt;3,$C$8,0))))&lt;10,$C$9,IF(IF(AK86&lt;AL86*(1-$C$7),AL86*(1-$C$5-IF(AJ86&lt;3,$C$8,0)),MIN(AL86*(1-$C$5-IF(AJ86&lt;3,$C$8,0)),AK86*(1-$C$6-IF(AJ86&lt;3,$C$8,0))))&lt;100,$D$9,$E$9)))))</f>
        <v>4.5</v>
      </c>
      <c r="AP86" s="60" t="str">
        <f aca="false">IF(ISNUMBER($D86),$D86,"n/a")</f>
        <v>n/a</v>
      </c>
      <c r="AQ86" s="63" t="str">
        <f aca="false">IF(OR(AJ86=0,NOT(ISNUMBER($D86))),"—",AO86/$D86-1)</f>
        <v>—</v>
      </c>
      <c r="AR86" s="64" t="n">
        <f aca="false">IF(AJ86=0,"—",AO86/AK86-1)</f>
        <v>0.25</v>
      </c>
      <c r="AS86" s="64" t="n">
        <f aca="false">IF(AJ86=0,"—",AO86/AL86-1)</f>
        <v>-0.256198347107438</v>
      </c>
      <c r="AT86" s="59" t="n">
        <f aca="false">COUNTIFS(Offers!$B$7:$B$3000,$B86,Offers!$C$7:$C$3000,"Romania",Offers!$AI$7:$AI$3000,"yes")</f>
        <v>5</v>
      </c>
      <c r="AU86" s="60" t="n">
        <f aca="false">IF(AT86=0,"—",SUMIFS(Review!$I$7:$I$600,Review!$B$7:$B$600,$B86,Review!$C$7:$C$600,"Romania"))</f>
        <v>2.929339</v>
      </c>
      <c r="AV86" s="60" t="n">
        <f aca="false">IF(AT86=0,"—",SUMIFS(Review!$J$7:$J$600,Review!$B$7:$B$600,$B86,Review!$C$7:$C$600,"Romania"))</f>
        <v>4.647909</v>
      </c>
      <c r="AW86" s="60" t="n">
        <f aca="false">IF(AT86=0,"—",SUMIFS(Review!$K$7:$K$600,Review!$B$7:$B$600,$B86,Review!$C$7:$C$600,"Romania"))</f>
        <v>7.365032</v>
      </c>
      <c r="AX86" s="61" t="str">
        <f aca="false">IF(AT86=0,"—",IF(AU86&lt;AV86*(1-$C$7),"median (cheapest is an outlier)",IF(AU86*(1-$C$6)&lt;AV86*(1-$C$5),"undercut cheapest","median")))</f>
        <v>median (cheapest is an outlier)</v>
      </c>
      <c r="AY86" s="62" t="n">
        <f aca="false">IF(AT86=0,"—",IF(AND(ISNUMBER($D86),$D86*(1+$C$10)&gt;FLOOR(IF(AU86&lt;AV86*(1-$C$7),AV86*(1-$C$5-IF(AT86&lt;3,$C$8,0)),MIN(AV86*(1-$C$5-IF(AT86&lt;3,$C$8,0)),AU86*(1-$C$6-IF(AT86&lt;3,$C$8,0)))),IF(IF(AU86&lt;AV86*(1-$C$7),AV86*(1-$C$5-IF(AT86&lt;3,$C$8,0)),MIN(AV86*(1-$C$5-IF(AT86&lt;3,$C$8,0)),AU86*(1-$C$6-IF(AT86&lt;3,$C$8,0))))&lt;10,$C$9,IF(IF(AU86&lt;AV86*(1-$C$7),AV86*(1-$C$5-IF(AT86&lt;3,$C$8,0)),MIN(AV86*(1-$C$5-IF(AT86&lt;3,$C$8,0)),AU86*(1-$C$6-IF(AT86&lt;3,$C$8,0))))&lt;100,$D$9,$E$9)))),ROUND($D86*(1+$C$10),2),FLOOR(IF(AU86&lt;AV86*(1-$C$7),AV86*(1-$C$5-IF(AT86&lt;3,$C$8,0)),MIN(AV86*(1-$C$5-IF(AT86&lt;3,$C$8,0)),AU86*(1-$C$6-IF(AT86&lt;3,$C$8,0)))),IF(IF(AU86&lt;AV86*(1-$C$7),AV86*(1-$C$5-IF(AT86&lt;3,$C$8,0)),MIN(AV86*(1-$C$5-IF(AT86&lt;3,$C$8,0)),AU86*(1-$C$6-IF(AT86&lt;3,$C$8,0))))&lt;10,$C$9,IF(IF(AU86&lt;AV86*(1-$C$7),AV86*(1-$C$5-IF(AT86&lt;3,$C$8,0)),MIN(AV86*(1-$C$5-IF(AT86&lt;3,$C$8,0)),AU86*(1-$C$6-IF(AT86&lt;3,$C$8,0))))&lt;100,$D$9,$E$9)))))</f>
        <v>3.45</v>
      </c>
      <c r="AZ86" s="62" t="n">
        <f aca="false">IF(AT86=0,"—",FLOOR(AY86*Sources!$G$9,0.1))</f>
        <v>18.2</v>
      </c>
      <c r="BA86" s="60" t="str">
        <f aca="false">IF(ISNUMBER($D86),$D86,"n/a")</f>
        <v>n/a</v>
      </c>
      <c r="BB86" s="63" t="str">
        <f aca="false">IF(OR(AT86=0,NOT(ISNUMBER($D86))),"—",AY86/$D86-1)</f>
        <v>—</v>
      </c>
      <c r="BC86" s="64" t="n">
        <f aca="false">IF(AT86=0,"—",AY86/AU86-1)</f>
        <v>0.17774009768074</v>
      </c>
      <c r="BD86" s="64" t="n">
        <f aca="false">IF(AT86=0,"—",AY86/AV86-1)</f>
        <v>-0.257730734401211</v>
      </c>
      <c r="BE86" s="59" t="n">
        <f aca="false">COUNTIFS(Offers!$B$7:$B$3000,$B86,Offers!$C$7:$C$3000,"Hungary",Offers!$AI$7:$AI$3000,"yes")</f>
        <v>0</v>
      </c>
      <c r="BF86" s="60" t="str">
        <f aca="false">IF(BE86=0,"—",SUMIFS(Review!$I$7:$I$600,Review!$B$7:$B$600,$B86,Review!$C$7:$C$600,"Hungary"))</f>
        <v>—</v>
      </c>
      <c r="BG86" s="60" t="str">
        <f aca="false">IF(BE86=0,"—",SUMIFS(Review!$J$7:$J$600,Review!$B$7:$B$600,$B86,Review!$C$7:$C$600,"Hungary"))</f>
        <v>—</v>
      </c>
      <c r="BH86" s="60" t="str">
        <f aca="false">IF(BE86=0,"—",SUMIFS(Review!$K$7:$K$600,Review!$B$7:$B$600,$B86,Review!$C$7:$C$600,"Hungary"))</f>
        <v>—</v>
      </c>
      <c r="BI86" s="61" t="str">
        <f aca="false">IF(BE86=0,"—",IF(BF86&lt;BG86*(1-$C$7),"median (cheapest is an outlier)",IF(BF86*(1-$C$6)&lt;BG86*(1-$C$5),"undercut cheapest","median")))</f>
        <v>—</v>
      </c>
      <c r="BJ86" s="62" t="str">
        <f aca="false">IF(BE86=0,"—",IF(AND(ISNUMBER($D86),$D86*(1+$C$10)&gt;FLOOR(IF(BF86&lt;BG86*(1-$C$7),BG86*(1-$C$5-IF(BE86&lt;3,$C$8,0)),MIN(BG86*(1-$C$5-IF(BE86&lt;3,$C$8,0)),BF86*(1-$C$6-IF(BE86&lt;3,$C$8,0)))),IF(IF(BF86&lt;BG86*(1-$C$7),BG86*(1-$C$5-IF(BE86&lt;3,$C$8,0)),MIN(BG86*(1-$C$5-IF(BE86&lt;3,$C$8,0)),BF86*(1-$C$6-IF(BE86&lt;3,$C$8,0))))&lt;10,$C$9,IF(IF(BF86&lt;BG86*(1-$C$7),BG86*(1-$C$5-IF(BE86&lt;3,$C$8,0)),MIN(BG86*(1-$C$5-IF(BE86&lt;3,$C$8,0)),BF86*(1-$C$6-IF(BE86&lt;3,$C$8,0))))&lt;100,$D$9,$E$9)))),ROUND($D86*(1+$C$10),2),FLOOR(IF(BF86&lt;BG86*(1-$C$7),BG86*(1-$C$5-IF(BE86&lt;3,$C$8,0)),MIN(BG86*(1-$C$5-IF(BE86&lt;3,$C$8,0)),BF86*(1-$C$6-IF(BE86&lt;3,$C$8,0)))),IF(IF(BF86&lt;BG86*(1-$C$7),BG86*(1-$C$5-IF(BE86&lt;3,$C$8,0)),MIN(BG86*(1-$C$5-IF(BE86&lt;3,$C$8,0)),BF86*(1-$C$6-IF(BE86&lt;3,$C$8,0))))&lt;10,$C$9,IF(IF(BF86&lt;BG86*(1-$C$7),BG86*(1-$C$5-IF(BE86&lt;3,$C$8,0)),MIN(BG86*(1-$C$5-IF(BE86&lt;3,$C$8,0)),BF86*(1-$C$6-IF(BE86&lt;3,$C$8,0))))&lt;100,$D$9,$E$9)))))</f>
        <v>—</v>
      </c>
      <c r="BK86" s="65" t="str">
        <f aca="false">IF(BE86=0,"—",FLOOR(BJ86*Sources!$G$8,10))</f>
        <v>—</v>
      </c>
      <c r="BL86" s="60" t="str">
        <f aca="false">IF(ISNUMBER($D86),$D86,"n/a")</f>
        <v>n/a</v>
      </c>
      <c r="BM86" s="63" t="str">
        <f aca="false">IF(OR(BE86=0,NOT(ISNUMBER($D86))),"—",BJ86/$D86-1)</f>
        <v>—</v>
      </c>
      <c r="BN86" s="64" t="str">
        <f aca="false">IF(BE86=0,"—",BJ86/BF86-1)</f>
        <v>—</v>
      </c>
      <c r="BO86" s="64" t="str">
        <f aca="false">IF(BE86=0,"—",BJ86/BG86-1)</f>
        <v>—</v>
      </c>
    </row>
    <row r="87" customFormat="false" ht="15" hidden="false" customHeight="false" outlineLevel="0" collapsed="false">
      <c r="B87" s="1" t="s">
        <v>103</v>
      </c>
      <c r="C87" s="1" t="s">
        <v>212</v>
      </c>
      <c r="D87" s="58"/>
      <c r="E87" s="59" t="n">
        <f aca="false">COUNTIFS(Offers!$B$7:$B$3000,$B87,Offers!$C$7:$C$3000,"Austria",Offers!$AI$7:$AI$3000,"yes")</f>
        <v>7</v>
      </c>
      <c r="F87" s="60" t="n">
        <f aca="false">IF(E87=0,"—",SUMIFS(Review!$I$7:$I$600,Review!$B$7:$B$600,$B87,Review!$C$7:$C$600,"Austria"))</f>
        <v>3.23</v>
      </c>
      <c r="G87" s="60" t="n">
        <f aca="false">IF(E87=0,"—",SUMIFS(Review!$J$7:$J$600,Review!$B$7:$B$600,$B87,Review!$C$7:$C$600,"Austria"))</f>
        <v>4.18</v>
      </c>
      <c r="H87" s="60" t="n">
        <f aca="false">IF(E87=0,"—",SUMIFS(Review!$K$7:$K$600,Review!$B$7:$B$600,$B87,Review!$C$7:$C$600,"Austria"))</f>
        <v>15.42</v>
      </c>
      <c r="I87" s="61" t="str">
        <f aca="false">IF(E87=0,"—",IF(F87&lt;G87*(1-$C$7),"median (cheapest is an outlier)",IF(F87*(1-$C$6)&lt;G87*(1-$C$5),"undercut cheapest","median")))</f>
        <v>undercut cheapest</v>
      </c>
      <c r="J87" s="62" t="n">
        <f aca="false">IF(E87=0,"—",IF(AND(ISNUMBER($D87),$D87*(1+$C$10)&gt;FLOOR(IF(F87&lt;G87*(1-$C$7),G87*(1-$C$5-IF(E87&lt;3,$C$8,0)),MIN(G87*(1-$C$5-IF(E87&lt;3,$C$8,0)),F87*(1-$C$6-IF(E87&lt;3,$C$8,0)))),IF(IF(F87&lt;G87*(1-$C$7),G87*(1-$C$5-IF(E87&lt;3,$C$8,0)),MIN(G87*(1-$C$5-IF(E87&lt;3,$C$8,0)),F87*(1-$C$6-IF(E87&lt;3,$C$8,0))))&lt;10,$C$9,IF(IF(F87&lt;G87*(1-$C$7),G87*(1-$C$5-IF(E87&lt;3,$C$8,0)),MIN(G87*(1-$C$5-IF(E87&lt;3,$C$8,0)),F87*(1-$C$6-IF(E87&lt;3,$C$8,0))))&lt;100,$D$9,$E$9)))),ROUND($D87*(1+$C$10),2),FLOOR(IF(F87&lt;G87*(1-$C$7),G87*(1-$C$5-IF(E87&lt;3,$C$8,0)),MIN(G87*(1-$C$5-IF(E87&lt;3,$C$8,0)),F87*(1-$C$6-IF(E87&lt;3,$C$8,0)))),IF(IF(F87&lt;G87*(1-$C$7),G87*(1-$C$5-IF(E87&lt;3,$C$8,0)),MIN(G87*(1-$C$5-IF(E87&lt;3,$C$8,0)),F87*(1-$C$6-IF(E87&lt;3,$C$8,0))))&lt;10,$C$9,IF(IF(F87&lt;G87*(1-$C$7),G87*(1-$C$5-IF(E87&lt;3,$C$8,0)),MIN(G87*(1-$C$5-IF(E87&lt;3,$C$8,0)),F87*(1-$C$6-IF(E87&lt;3,$C$8,0))))&lt;100,$D$9,$E$9)))))</f>
        <v>3.05</v>
      </c>
      <c r="K87" s="60" t="str">
        <f aca="false">IF(ISNUMBER($D87),$D87,"n/a")</f>
        <v>n/a</v>
      </c>
      <c r="L87" s="63" t="str">
        <f aca="false">IF(OR(E87=0,NOT(ISNUMBER($D87))),"—",J87/$D87-1)</f>
        <v>—</v>
      </c>
      <c r="M87" s="64" t="n">
        <f aca="false">IF(E87=0,"—",J87/F87-1)</f>
        <v>-0.0557275541795664</v>
      </c>
      <c r="N87" s="64" t="n">
        <f aca="false">IF(E87=0,"—",J87/G87-1)</f>
        <v>-0.270334928229665</v>
      </c>
      <c r="O87" s="59" t="n">
        <f aca="false">COUNTIFS(Offers!$B$7:$B$3000,$B87,Offers!$C$7:$C$3000,"Germany",Offers!$AI$7:$AI$3000,"yes")</f>
        <v>7</v>
      </c>
      <c r="P87" s="60" t="n">
        <f aca="false">IF(O87=0,"—",SUMIFS(Review!$I$7:$I$600,Review!$B$7:$B$600,$B87,Review!$C$7:$C$600,"Germany"))</f>
        <v>3.23</v>
      </c>
      <c r="Q87" s="60" t="n">
        <f aca="false">IF(O87=0,"—",SUMIFS(Review!$J$7:$J$600,Review!$B$7:$B$600,$B87,Review!$C$7:$C$600,"Germany"))</f>
        <v>3.99</v>
      </c>
      <c r="R87" s="60" t="n">
        <f aca="false">IF(O87=0,"—",SUMIFS(Review!$K$7:$K$600,Review!$B$7:$B$600,$B87,Review!$C$7:$C$600,"Germany"))</f>
        <v>7.62</v>
      </c>
      <c r="S87" s="61" t="str">
        <f aca="false">IF(O87=0,"—",IF(P87&lt;Q87*(1-$C$7),"median (cheapest is an outlier)",IF(P87*(1-$C$6)&lt;Q87*(1-$C$5),"undercut cheapest","median")))</f>
        <v>median</v>
      </c>
      <c r="T87" s="62" t="n">
        <f aca="false">IF(O87=0,"—",IF(AND(ISNUMBER($D87),$D87*(1+$C$10)&gt;FLOOR(IF(P87&lt;Q87*(1-$C$7),Q87*(1-$C$5-IF(O87&lt;3,$C$8,0)),MIN(Q87*(1-$C$5-IF(O87&lt;3,$C$8,0)),P87*(1-$C$6-IF(O87&lt;3,$C$8,0)))),IF(IF(P87&lt;Q87*(1-$C$7),Q87*(1-$C$5-IF(O87&lt;3,$C$8,0)),MIN(Q87*(1-$C$5-IF(O87&lt;3,$C$8,0)),P87*(1-$C$6-IF(O87&lt;3,$C$8,0))))&lt;10,$C$9,IF(IF(P87&lt;Q87*(1-$C$7),Q87*(1-$C$5-IF(O87&lt;3,$C$8,0)),MIN(Q87*(1-$C$5-IF(O87&lt;3,$C$8,0)),P87*(1-$C$6-IF(O87&lt;3,$C$8,0))))&lt;100,$D$9,$E$9)))),ROUND($D87*(1+$C$10),2),FLOOR(IF(P87&lt;Q87*(1-$C$7),Q87*(1-$C$5-IF(O87&lt;3,$C$8,0)),MIN(Q87*(1-$C$5-IF(O87&lt;3,$C$8,0)),P87*(1-$C$6-IF(O87&lt;3,$C$8,0)))),IF(IF(P87&lt;Q87*(1-$C$7),Q87*(1-$C$5-IF(O87&lt;3,$C$8,0)),MIN(Q87*(1-$C$5-IF(O87&lt;3,$C$8,0)),P87*(1-$C$6-IF(O87&lt;3,$C$8,0))))&lt;10,$C$9,IF(IF(P87&lt;Q87*(1-$C$7),Q87*(1-$C$5-IF(O87&lt;3,$C$8,0)),MIN(Q87*(1-$C$5-IF(O87&lt;3,$C$8,0)),P87*(1-$C$6-IF(O87&lt;3,$C$8,0))))&lt;100,$D$9,$E$9)))))</f>
        <v>2.95</v>
      </c>
      <c r="U87" s="60" t="str">
        <f aca="false">IF(ISNUMBER($D87),$D87,"n/a")</f>
        <v>n/a</v>
      </c>
      <c r="V87" s="63" t="str">
        <f aca="false">IF(OR(O87=0,NOT(ISNUMBER($D87))),"—",T87/$D87-1)</f>
        <v>—</v>
      </c>
      <c r="W87" s="64" t="n">
        <f aca="false">IF(O87=0,"—",T87/P87-1)</f>
        <v>-0.0866873065015479</v>
      </c>
      <c r="X87" s="64" t="n">
        <f aca="false">IF(O87=0,"—",T87/Q87-1)</f>
        <v>-0.260651629072682</v>
      </c>
      <c r="Y87" s="59" t="n">
        <f aca="false">COUNTIFS(Offers!$B$7:$B$3000,$B87,Offers!$C$7:$C$3000,"Czech",Offers!$AI$7:$AI$3000,"yes")</f>
        <v>5</v>
      </c>
      <c r="Z87" s="60" t="n">
        <f aca="false">IF(Y87=0,"—",SUMIFS(Review!$I$7:$I$600,Review!$B$7:$B$600,$B87,Review!$C$7:$C$600,"Czech"))</f>
        <v>2.702303</v>
      </c>
      <c r="AA87" s="60" t="n">
        <f aca="false">IF(Y87=0,"—",SUMIFS(Review!$J$7:$J$600,Review!$B$7:$B$600,$B87,Review!$C$7:$C$600,"Czech"))</f>
        <v>5.117997</v>
      </c>
      <c r="AB87" s="60" t="n">
        <f aca="false">IF(Y87=0,"—",SUMIFS(Review!$K$7:$K$600,Review!$B$7:$B$600,$B87,Review!$C$7:$C$600,"Czech"))</f>
        <v>17.088379</v>
      </c>
      <c r="AC87" s="61" t="str">
        <f aca="false">IF(Y87=0,"—",IF(Z87&lt;AA87*(1-$C$7),"median (cheapest is an outlier)",IF(Z87*(1-$C$6)&lt;AA87*(1-$C$5),"undercut cheapest","median")))</f>
        <v>median (cheapest is an outlier)</v>
      </c>
      <c r="AD87" s="62" t="n">
        <f aca="false">IF(Y87=0,"—",IF(AND(ISNUMBER($D87),$D87*(1+$C$10)&gt;FLOOR(IF(Z87&lt;AA87*(1-$C$7),AA87*(1-$C$5-IF(Y87&lt;3,$C$8,0)),MIN(AA87*(1-$C$5-IF(Y87&lt;3,$C$8,0)),Z87*(1-$C$6-IF(Y87&lt;3,$C$8,0)))),IF(IF(Z87&lt;AA87*(1-$C$7),AA87*(1-$C$5-IF(Y87&lt;3,$C$8,0)),MIN(AA87*(1-$C$5-IF(Y87&lt;3,$C$8,0)),Z87*(1-$C$6-IF(Y87&lt;3,$C$8,0))))&lt;10,$C$9,IF(IF(Z87&lt;AA87*(1-$C$7),AA87*(1-$C$5-IF(Y87&lt;3,$C$8,0)),MIN(AA87*(1-$C$5-IF(Y87&lt;3,$C$8,0)),Z87*(1-$C$6-IF(Y87&lt;3,$C$8,0))))&lt;100,$D$9,$E$9)))),ROUND($D87*(1+$C$10),2),FLOOR(IF(Z87&lt;AA87*(1-$C$7),AA87*(1-$C$5-IF(Y87&lt;3,$C$8,0)),MIN(AA87*(1-$C$5-IF(Y87&lt;3,$C$8,0)),Z87*(1-$C$6-IF(Y87&lt;3,$C$8,0)))),IF(IF(Z87&lt;AA87*(1-$C$7),AA87*(1-$C$5-IF(Y87&lt;3,$C$8,0)),MIN(AA87*(1-$C$5-IF(Y87&lt;3,$C$8,0)),Z87*(1-$C$6-IF(Y87&lt;3,$C$8,0))))&lt;10,$C$9,IF(IF(Z87&lt;AA87*(1-$C$7),AA87*(1-$C$5-IF(Y87&lt;3,$C$8,0)),MIN(AA87*(1-$C$5-IF(Y87&lt;3,$C$8,0)),Z87*(1-$C$6-IF(Y87&lt;3,$C$8,0))))&lt;100,$D$9,$E$9)))))</f>
        <v>3.8</v>
      </c>
      <c r="AE87" s="65" t="n">
        <f aca="false">IF(Y87=0,"—",FLOOR(AD87*Sources!$G$10,1))</f>
        <v>92</v>
      </c>
      <c r="AF87" s="60" t="str">
        <f aca="false">IF(ISNUMBER($D87),$D87,"n/a")</f>
        <v>n/a</v>
      </c>
      <c r="AG87" s="63" t="str">
        <f aca="false">IF(OR(Y87=0,NOT(ISNUMBER($D87))),"—",AD87/$D87-1)</f>
        <v>—</v>
      </c>
      <c r="AH87" s="64" t="n">
        <f aca="false">IF(Y87=0,"—",AD87/Z87-1)</f>
        <v>0.40620796409581</v>
      </c>
      <c r="AI87" s="64" t="n">
        <f aca="false">IF(Y87=0,"—",AD87/AA87-1)</f>
        <v>-0.257522034499043</v>
      </c>
      <c r="AJ87" s="59" t="n">
        <f aca="false">COUNTIFS(Offers!$B$7:$B$3000,$B87,Offers!$C$7:$C$3000,"Slovakia",Offers!$AI$7:$AI$3000,"yes")</f>
        <v>5</v>
      </c>
      <c r="AK87" s="60" t="n">
        <f aca="false">IF(AJ87=0,"—",SUMIFS(Review!$I$7:$I$600,Review!$B$7:$B$600,$B87,Review!$C$7:$C$600,"Slovakia"))</f>
        <v>2.43</v>
      </c>
      <c r="AL87" s="60" t="n">
        <f aca="false">IF(AJ87=0,"—",SUMIFS(Review!$J$7:$J$600,Review!$B$7:$B$600,$B87,Review!$C$7:$C$600,"Slovakia"))</f>
        <v>4.1</v>
      </c>
      <c r="AM87" s="60" t="n">
        <f aca="false">IF(AJ87=0,"—",SUMIFS(Review!$K$7:$K$600,Review!$B$7:$B$600,$B87,Review!$C$7:$C$600,"Slovakia"))</f>
        <v>5.44</v>
      </c>
      <c r="AN87" s="61" t="str">
        <f aca="false">IF(AJ87=0,"—",IF(AK87&lt;AL87*(1-$C$7),"median (cheapest is an outlier)",IF(AK87*(1-$C$6)&lt;AL87*(1-$C$5),"undercut cheapest","median")))</f>
        <v>median (cheapest is an outlier)</v>
      </c>
      <c r="AO87" s="62" t="n">
        <f aca="false">IF(AJ87=0,"—",IF(AND(ISNUMBER($D87),$D87*(1+$C$10)&gt;FLOOR(IF(AK87&lt;AL87*(1-$C$7),AL87*(1-$C$5-IF(AJ87&lt;3,$C$8,0)),MIN(AL87*(1-$C$5-IF(AJ87&lt;3,$C$8,0)),AK87*(1-$C$6-IF(AJ87&lt;3,$C$8,0)))),IF(IF(AK87&lt;AL87*(1-$C$7),AL87*(1-$C$5-IF(AJ87&lt;3,$C$8,0)),MIN(AL87*(1-$C$5-IF(AJ87&lt;3,$C$8,0)),AK87*(1-$C$6-IF(AJ87&lt;3,$C$8,0))))&lt;10,$C$9,IF(IF(AK87&lt;AL87*(1-$C$7),AL87*(1-$C$5-IF(AJ87&lt;3,$C$8,0)),MIN(AL87*(1-$C$5-IF(AJ87&lt;3,$C$8,0)),AK87*(1-$C$6-IF(AJ87&lt;3,$C$8,0))))&lt;100,$D$9,$E$9)))),ROUND($D87*(1+$C$10),2),FLOOR(IF(AK87&lt;AL87*(1-$C$7),AL87*(1-$C$5-IF(AJ87&lt;3,$C$8,0)),MIN(AL87*(1-$C$5-IF(AJ87&lt;3,$C$8,0)),AK87*(1-$C$6-IF(AJ87&lt;3,$C$8,0)))),IF(IF(AK87&lt;AL87*(1-$C$7),AL87*(1-$C$5-IF(AJ87&lt;3,$C$8,0)),MIN(AL87*(1-$C$5-IF(AJ87&lt;3,$C$8,0)),AK87*(1-$C$6-IF(AJ87&lt;3,$C$8,0))))&lt;10,$C$9,IF(IF(AK87&lt;AL87*(1-$C$7),AL87*(1-$C$5-IF(AJ87&lt;3,$C$8,0)),MIN(AL87*(1-$C$5-IF(AJ87&lt;3,$C$8,0)),AK87*(1-$C$6-IF(AJ87&lt;3,$C$8,0))))&lt;100,$D$9,$E$9)))))</f>
        <v>3.05</v>
      </c>
      <c r="AP87" s="60" t="str">
        <f aca="false">IF(ISNUMBER($D87),$D87,"n/a")</f>
        <v>n/a</v>
      </c>
      <c r="AQ87" s="63" t="str">
        <f aca="false">IF(OR(AJ87=0,NOT(ISNUMBER($D87))),"—",AO87/$D87-1)</f>
        <v>—</v>
      </c>
      <c r="AR87" s="64" t="n">
        <f aca="false">IF(AJ87=0,"—",AO87/AK87-1)</f>
        <v>0.255144032921811</v>
      </c>
      <c r="AS87" s="64" t="n">
        <f aca="false">IF(AJ87=0,"—",AO87/AL87-1)</f>
        <v>-0.25609756097561</v>
      </c>
      <c r="AT87" s="59" t="n">
        <f aca="false">COUNTIFS(Offers!$B$7:$B$3000,$B87,Offers!$C$7:$C$3000,"Romania",Offers!$AI$7:$AI$3000,"yes")</f>
        <v>5</v>
      </c>
      <c r="AU87" s="60" t="n">
        <f aca="false">IF(AT87=0,"—",SUMIFS(Review!$I$7:$I$600,Review!$B$7:$B$600,$B87,Review!$C$7:$C$600,"Romania"))</f>
        <v>2.072896</v>
      </c>
      <c r="AV87" s="60" t="n">
        <f aca="false">IF(AT87=0,"—",SUMIFS(Review!$J$7:$J$600,Review!$B$7:$B$600,$B87,Review!$C$7:$C$600,"Romania"))</f>
        <v>3.132081</v>
      </c>
      <c r="AW87" s="60" t="n">
        <f aca="false">IF(AT87=0,"—",SUMIFS(Review!$K$7:$K$600,Review!$B$7:$B$600,$B87,Review!$C$7:$C$600,"Romania"))</f>
        <v>5.157607</v>
      </c>
      <c r="AX87" s="61" t="str">
        <f aca="false">IF(AT87=0,"—",IF(AU87&lt;AV87*(1-$C$7),"median (cheapest is an outlier)",IF(AU87*(1-$C$6)&lt;AV87*(1-$C$5),"undercut cheapest","median")))</f>
        <v>undercut cheapest</v>
      </c>
      <c r="AY87" s="62" t="n">
        <f aca="false">IF(AT87=0,"—",IF(AND(ISNUMBER($D87),$D87*(1+$C$10)&gt;FLOOR(IF(AU87&lt;AV87*(1-$C$7),AV87*(1-$C$5-IF(AT87&lt;3,$C$8,0)),MIN(AV87*(1-$C$5-IF(AT87&lt;3,$C$8,0)),AU87*(1-$C$6-IF(AT87&lt;3,$C$8,0)))),IF(IF(AU87&lt;AV87*(1-$C$7),AV87*(1-$C$5-IF(AT87&lt;3,$C$8,0)),MIN(AV87*(1-$C$5-IF(AT87&lt;3,$C$8,0)),AU87*(1-$C$6-IF(AT87&lt;3,$C$8,0))))&lt;10,$C$9,IF(IF(AU87&lt;AV87*(1-$C$7),AV87*(1-$C$5-IF(AT87&lt;3,$C$8,0)),MIN(AV87*(1-$C$5-IF(AT87&lt;3,$C$8,0)),AU87*(1-$C$6-IF(AT87&lt;3,$C$8,0))))&lt;100,$D$9,$E$9)))),ROUND($D87*(1+$C$10),2),FLOOR(IF(AU87&lt;AV87*(1-$C$7),AV87*(1-$C$5-IF(AT87&lt;3,$C$8,0)),MIN(AV87*(1-$C$5-IF(AT87&lt;3,$C$8,0)),AU87*(1-$C$6-IF(AT87&lt;3,$C$8,0)))),IF(IF(AU87&lt;AV87*(1-$C$7),AV87*(1-$C$5-IF(AT87&lt;3,$C$8,0)),MIN(AV87*(1-$C$5-IF(AT87&lt;3,$C$8,0)),AU87*(1-$C$6-IF(AT87&lt;3,$C$8,0))))&lt;10,$C$9,IF(IF(AU87&lt;AV87*(1-$C$7),AV87*(1-$C$5-IF(AT87&lt;3,$C$8,0)),MIN(AV87*(1-$C$5-IF(AT87&lt;3,$C$8,0)),AU87*(1-$C$6-IF(AT87&lt;3,$C$8,0))))&lt;100,$D$9,$E$9)))))</f>
        <v>1.95</v>
      </c>
      <c r="AZ87" s="62" t="n">
        <f aca="false">IF(AT87=0,"—",FLOOR(AY87*Sources!$G$9,0.1))</f>
        <v>10.2</v>
      </c>
      <c r="BA87" s="60" t="str">
        <f aca="false">IF(ISNUMBER($D87),$D87,"n/a")</f>
        <v>n/a</v>
      </c>
      <c r="BB87" s="63" t="str">
        <f aca="false">IF(OR(AT87=0,NOT(ISNUMBER($D87))),"—",AY87/$D87-1)</f>
        <v>—</v>
      </c>
      <c r="BC87" s="64" t="n">
        <f aca="false">IF(AT87=0,"—",AY87/AU87-1)</f>
        <v>-0.0592871036462996</v>
      </c>
      <c r="BD87" s="64" t="n">
        <f aca="false">IF(AT87=0,"—",AY87/AV87-1)</f>
        <v>-0.377410737461771</v>
      </c>
      <c r="BE87" s="59" t="n">
        <f aca="false">COUNTIFS(Offers!$B$7:$B$3000,$B87,Offers!$C$7:$C$3000,"Hungary",Offers!$AI$7:$AI$3000,"yes")</f>
        <v>0</v>
      </c>
      <c r="BF87" s="60" t="str">
        <f aca="false">IF(BE87=0,"—",SUMIFS(Review!$I$7:$I$600,Review!$B$7:$B$600,$B87,Review!$C$7:$C$600,"Hungary"))</f>
        <v>—</v>
      </c>
      <c r="BG87" s="60" t="str">
        <f aca="false">IF(BE87=0,"—",SUMIFS(Review!$J$7:$J$600,Review!$B$7:$B$600,$B87,Review!$C$7:$C$600,"Hungary"))</f>
        <v>—</v>
      </c>
      <c r="BH87" s="60" t="str">
        <f aca="false">IF(BE87=0,"—",SUMIFS(Review!$K$7:$K$600,Review!$B$7:$B$600,$B87,Review!$C$7:$C$600,"Hungary"))</f>
        <v>—</v>
      </c>
      <c r="BI87" s="61" t="str">
        <f aca="false">IF(BE87=0,"—",IF(BF87&lt;BG87*(1-$C$7),"median (cheapest is an outlier)",IF(BF87*(1-$C$6)&lt;BG87*(1-$C$5),"undercut cheapest","median")))</f>
        <v>—</v>
      </c>
      <c r="BJ87" s="62" t="str">
        <f aca="false">IF(BE87=0,"—",IF(AND(ISNUMBER($D87),$D87*(1+$C$10)&gt;FLOOR(IF(BF87&lt;BG87*(1-$C$7),BG87*(1-$C$5-IF(BE87&lt;3,$C$8,0)),MIN(BG87*(1-$C$5-IF(BE87&lt;3,$C$8,0)),BF87*(1-$C$6-IF(BE87&lt;3,$C$8,0)))),IF(IF(BF87&lt;BG87*(1-$C$7),BG87*(1-$C$5-IF(BE87&lt;3,$C$8,0)),MIN(BG87*(1-$C$5-IF(BE87&lt;3,$C$8,0)),BF87*(1-$C$6-IF(BE87&lt;3,$C$8,0))))&lt;10,$C$9,IF(IF(BF87&lt;BG87*(1-$C$7),BG87*(1-$C$5-IF(BE87&lt;3,$C$8,0)),MIN(BG87*(1-$C$5-IF(BE87&lt;3,$C$8,0)),BF87*(1-$C$6-IF(BE87&lt;3,$C$8,0))))&lt;100,$D$9,$E$9)))),ROUND($D87*(1+$C$10),2),FLOOR(IF(BF87&lt;BG87*(1-$C$7),BG87*(1-$C$5-IF(BE87&lt;3,$C$8,0)),MIN(BG87*(1-$C$5-IF(BE87&lt;3,$C$8,0)),BF87*(1-$C$6-IF(BE87&lt;3,$C$8,0)))),IF(IF(BF87&lt;BG87*(1-$C$7),BG87*(1-$C$5-IF(BE87&lt;3,$C$8,0)),MIN(BG87*(1-$C$5-IF(BE87&lt;3,$C$8,0)),BF87*(1-$C$6-IF(BE87&lt;3,$C$8,0))))&lt;10,$C$9,IF(IF(BF87&lt;BG87*(1-$C$7),BG87*(1-$C$5-IF(BE87&lt;3,$C$8,0)),MIN(BG87*(1-$C$5-IF(BE87&lt;3,$C$8,0)),BF87*(1-$C$6-IF(BE87&lt;3,$C$8,0))))&lt;100,$D$9,$E$9)))))</f>
        <v>—</v>
      </c>
      <c r="BK87" s="65" t="str">
        <f aca="false">IF(BE87=0,"—",FLOOR(BJ87*Sources!$G$8,10))</f>
        <v>—</v>
      </c>
      <c r="BL87" s="60" t="str">
        <f aca="false">IF(ISNUMBER($D87),$D87,"n/a")</f>
        <v>n/a</v>
      </c>
      <c r="BM87" s="63" t="str">
        <f aca="false">IF(OR(BE87=0,NOT(ISNUMBER($D87))),"—",BJ87/$D87-1)</f>
        <v>—</v>
      </c>
      <c r="BN87" s="64" t="str">
        <f aca="false">IF(BE87=0,"—",BJ87/BF87-1)</f>
        <v>—</v>
      </c>
      <c r="BO87" s="64" t="str">
        <f aca="false">IF(BE87=0,"—",BJ87/BG87-1)</f>
        <v>—</v>
      </c>
    </row>
    <row r="88" customFormat="false" ht="15" hidden="false" customHeight="false" outlineLevel="0" collapsed="false">
      <c r="B88" s="1" t="s">
        <v>104</v>
      </c>
      <c r="C88" s="1" t="s">
        <v>213</v>
      </c>
      <c r="D88" s="58"/>
      <c r="E88" s="59" t="n">
        <f aca="false">COUNTIFS(Offers!$B$7:$B$3000,$B88,Offers!$C$7:$C$3000,"Austria",Offers!$AI$7:$AI$3000,"yes")</f>
        <v>7</v>
      </c>
      <c r="F88" s="60" t="n">
        <f aca="false">IF(E88=0,"—",SUMIFS(Review!$I$7:$I$600,Review!$B$7:$B$600,$B88,Review!$C$7:$C$600,"Austria"))</f>
        <v>2.61</v>
      </c>
      <c r="G88" s="60" t="n">
        <f aca="false">IF(E88=0,"—",SUMIFS(Review!$J$7:$J$600,Review!$B$7:$B$600,$B88,Review!$C$7:$C$600,"Austria"))</f>
        <v>3.16</v>
      </c>
      <c r="H88" s="60" t="n">
        <f aca="false">IF(E88=0,"—",SUMIFS(Review!$K$7:$K$600,Review!$B$7:$B$600,$B88,Review!$C$7:$C$600,"Austria"))</f>
        <v>12.51</v>
      </c>
      <c r="I88" s="61" t="str">
        <f aca="false">IF(E88=0,"—",IF(F88&lt;G88*(1-$C$7),"median (cheapest is an outlier)",IF(F88*(1-$C$6)&lt;G88*(1-$C$5),"undercut cheapest","median")))</f>
        <v>median</v>
      </c>
      <c r="J88" s="62" t="n">
        <f aca="false">IF(E88=0,"—",IF(AND(ISNUMBER($D88),$D88*(1+$C$10)&gt;FLOOR(IF(F88&lt;G88*(1-$C$7),G88*(1-$C$5-IF(E88&lt;3,$C$8,0)),MIN(G88*(1-$C$5-IF(E88&lt;3,$C$8,0)),F88*(1-$C$6-IF(E88&lt;3,$C$8,0)))),IF(IF(F88&lt;G88*(1-$C$7),G88*(1-$C$5-IF(E88&lt;3,$C$8,0)),MIN(G88*(1-$C$5-IF(E88&lt;3,$C$8,0)),F88*(1-$C$6-IF(E88&lt;3,$C$8,0))))&lt;10,$C$9,IF(IF(F88&lt;G88*(1-$C$7),G88*(1-$C$5-IF(E88&lt;3,$C$8,0)),MIN(G88*(1-$C$5-IF(E88&lt;3,$C$8,0)),F88*(1-$C$6-IF(E88&lt;3,$C$8,0))))&lt;100,$D$9,$E$9)))),ROUND($D88*(1+$C$10),2),FLOOR(IF(F88&lt;G88*(1-$C$7),G88*(1-$C$5-IF(E88&lt;3,$C$8,0)),MIN(G88*(1-$C$5-IF(E88&lt;3,$C$8,0)),F88*(1-$C$6-IF(E88&lt;3,$C$8,0)))),IF(IF(F88&lt;G88*(1-$C$7),G88*(1-$C$5-IF(E88&lt;3,$C$8,0)),MIN(G88*(1-$C$5-IF(E88&lt;3,$C$8,0)),F88*(1-$C$6-IF(E88&lt;3,$C$8,0))))&lt;10,$C$9,IF(IF(F88&lt;G88*(1-$C$7),G88*(1-$C$5-IF(E88&lt;3,$C$8,0)),MIN(G88*(1-$C$5-IF(E88&lt;3,$C$8,0)),F88*(1-$C$6-IF(E88&lt;3,$C$8,0))))&lt;100,$D$9,$E$9)))))</f>
        <v>2.35</v>
      </c>
      <c r="K88" s="60" t="str">
        <f aca="false">IF(ISNUMBER($D88),$D88,"n/a")</f>
        <v>n/a</v>
      </c>
      <c r="L88" s="63" t="str">
        <f aca="false">IF(OR(E88=0,NOT(ISNUMBER($D88))),"—",J88/$D88-1)</f>
        <v>—</v>
      </c>
      <c r="M88" s="64" t="n">
        <f aca="false">IF(E88=0,"—",J88/F88-1)</f>
        <v>-0.0996168582375479</v>
      </c>
      <c r="N88" s="64" t="n">
        <f aca="false">IF(E88=0,"—",J88/G88-1)</f>
        <v>-0.256329113924051</v>
      </c>
      <c r="O88" s="59" t="n">
        <f aca="false">COUNTIFS(Offers!$B$7:$B$3000,$B88,Offers!$C$7:$C$3000,"Germany",Offers!$AI$7:$AI$3000,"yes")</f>
        <v>7</v>
      </c>
      <c r="P88" s="60" t="n">
        <f aca="false">IF(O88=0,"—",SUMIFS(Review!$I$7:$I$600,Review!$B$7:$B$600,$B88,Review!$C$7:$C$600,"Germany"))</f>
        <v>1.59</v>
      </c>
      <c r="Q88" s="60" t="n">
        <f aca="false">IF(O88=0,"—",SUMIFS(Review!$J$7:$J$600,Review!$B$7:$B$600,$B88,Review!$C$7:$C$600,"Germany"))</f>
        <v>3.12</v>
      </c>
      <c r="R88" s="60" t="n">
        <f aca="false">IF(O88=0,"—",SUMIFS(Review!$K$7:$K$600,Review!$B$7:$B$600,$B88,Review!$C$7:$C$600,"Germany"))</f>
        <v>5.61</v>
      </c>
      <c r="S88" s="61" t="str">
        <f aca="false">IF(O88=0,"—",IF(P88&lt;Q88*(1-$C$7),"median (cheapest is an outlier)",IF(P88*(1-$C$6)&lt;Q88*(1-$C$5),"undercut cheapest","median")))</f>
        <v>median (cheapest is an outlier)</v>
      </c>
      <c r="T88" s="62" t="n">
        <f aca="false">IF(O88=0,"—",IF(AND(ISNUMBER($D88),$D88*(1+$C$10)&gt;FLOOR(IF(P88&lt;Q88*(1-$C$7),Q88*(1-$C$5-IF(O88&lt;3,$C$8,0)),MIN(Q88*(1-$C$5-IF(O88&lt;3,$C$8,0)),P88*(1-$C$6-IF(O88&lt;3,$C$8,0)))),IF(IF(P88&lt;Q88*(1-$C$7),Q88*(1-$C$5-IF(O88&lt;3,$C$8,0)),MIN(Q88*(1-$C$5-IF(O88&lt;3,$C$8,0)),P88*(1-$C$6-IF(O88&lt;3,$C$8,0))))&lt;10,$C$9,IF(IF(P88&lt;Q88*(1-$C$7),Q88*(1-$C$5-IF(O88&lt;3,$C$8,0)),MIN(Q88*(1-$C$5-IF(O88&lt;3,$C$8,0)),P88*(1-$C$6-IF(O88&lt;3,$C$8,0))))&lt;100,$D$9,$E$9)))),ROUND($D88*(1+$C$10),2),FLOOR(IF(P88&lt;Q88*(1-$C$7),Q88*(1-$C$5-IF(O88&lt;3,$C$8,0)),MIN(Q88*(1-$C$5-IF(O88&lt;3,$C$8,0)),P88*(1-$C$6-IF(O88&lt;3,$C$8,0)))),IF(IF(P88&lt;Q88*(1-$C$7),Q88*(1-$C$5-IF(O88&lt;3,$C$8,0)),MIN(Q88*(1-$C$5-IF(O88&lt;3,$C$8,0)),P88*(1-$C$6-IF(O88&lt;3,$C$8,0))))&lt;10,$C$9,IF(IF(P88&lt;Q88*(1-$C$7),Q88*(1-$C$5-IF(O88&lt;3,$C$8,0)),MIN(Q88*(1-$C$5-IF(O88&lt;3,$C$8,0)),P88*(1-$C$6-IF(O88&lt;3,$C$8,0))))&lt;100,$D$9,$E$9)))))</f>
        <v>2.3</v>
      </c>
      <c r="U88" s="60" t="str">
        <f aca="false">IF(ISNUMBER($D88),$D88,"n/a")</f>
        <v>n/a</v>
      </c>
      <c r="V88" s="63" t="str">
        <f aca="false">IF(OR(O88=0,NOT(ISNUMBER($D88))),"—",T88/$D88-1)</f>
        <v>—</v>
      </c>
      <c r="W88" s="64" t="n">
        <f aca="false">IF(O88=0,"—",T88/P88-1)</f>
        <v>0.446540880503145</v>
      </c>
      <c r="X88" s="64" t="n">
        <f aca="false">IF(O88=0,"—",T88/Q88-1)</f>
        <v>-0.262820512820513</v>
      </c>
      <c r="Y88" s="59" t="n">
        <f aca="false">COUNTIFS(Offers!$B$7:$B$3000,$B88,Offers!$C$7:$C$3000,"Czech",Offers!$AI$7:$AI$3000,"yes")</f>
        <v>5</v>
      </c>
      <c r="Z88" s="60" t="n">
        <f aca="false">IF(Y88=0,"—",SUMIFS(Review!$I$7:$I$600,Review!$B$7:$B$600,$B88,Review!$C$7:$C$600,"Czech"))</f>
        <v>1.962445</v>
      </c>
      <c r="AA88" s="60" t="n">
        <f aca="false">IF(Y88=0,"—",SUMIFS(Review!$J$7:$J$600,Review!$B$7:$B$600,$B88,Review!$C$7:$C$600,"Czech"))</f>
        <v>2.825135</v>
      </c>
      <c r="AB88" s="60" t="n">
        <f aca="false">IF(Y88=0,"—",SUMIFS(Review!$K$7:$K$600,Review!$B$7:$B$600,$B88,Review!$C$7:$C$600,"Czech"))</f>
        <v>4.340062</v>
      </c>
      <c r="AC88" s="61" t="str">
        <f aca="false">IF(Y88=0,"—",IF(Z88&lt;AA88*(1-$C$7),"median (cheapest is an outlier)",IF(Z88*(1-$C$6)&lt;AA88*(1-$C$5),"undercut cheapest","median")))</f>
        <v>undercut cheapest</v>
      </c>
      <c r="AD88" s="62" t="n">
        <f aca="false">IF(Y88=0,"—",IF(AND(ISNUMBER($D88),$D88*(1+$C$10)&gt;FLOOR(IF(Z88&lt;AA88*(1-$C$7),AA88*(1-$C$5-IF(Y88&lt;3,$C$8,0)),MIN(AA88*(1-$C$5-IF(Y88&lt;3,$C$8,0)),Z88*(1-$C$6-IF(Y88&lt;3,$C$8,0)))),IF(IF(Z88&lt;AA88*(1-$C$7),AA88*(1-$C$5-IF(Y88&lt;3,$C$8,0)),MIN(AA88*(1-$C$5-IF(Y88&lt;3,$C$8,0)),Z88*(1-$C$6-IF(Y88&lt;3,$C$8,0))))&lt;10,$C$9,IF(IF(Z88&lt;AA88*(1-$C$7),AA88*(1-$C$5-IF(Y88&lt;3,$C$8,0)),MIN(AA88*(1-$C$5-IF(Y88&lt;3,$C$8,0)),Z88*(1-$C$6-IF(Y88&lt;3,$C$8,0))))&lt;100,$D$9,$E$9)))),ROUND($D88*(1+$C$10),2),FLOOR(IF(Z88&lt;AA88*(1-$C$7),AA88*(1-$C$5-IF(Y88&lt;3,$C$8,0)),MIN(AA88*(1-$C$5-IF(Y88&lt;3,$C$8,0)),Z88*(1-$C$6-IF(Y88&lt;3,$C$8,0)))),IF(IF(Z88&lt;AA88*(1-$C$7),AA88*(1-$C$5-IF(Y88&lt;3,$C$8,0)),MIN(AA88*(1-$C$5-IF(Y88&lt;3,$C$8,0)),Z88*(1-$C$6-IF(Y88&lt;3,$C$8,0))))&lt;10,$C$9,IF(IF(Z88&lt;AA88*(1-$C$7),AA88*(1-$C$5-IF(Y88&lt;3,$C$8,0)),MIN(AA88*(1-$C$5-IF(Y88&lt;3,$C$8,0)),Z88*(1-$C$6-IF(Y88&lt;3,$C$8,0))))&lt;100,$D$9,$E$9)))))</f>
        <v>1.85</v>
      </c>
      <c r="AE88" s="65" t="n">
        <f aca="false">IF(Y88=0,"—",FLOOR(AD88*Sources!$G$10,1))</f>
        <v>45</v>
      </c>
      <c r="AF88" s="60" t="str">
        <f aca="false">IF(ISNUMBER($D88),$D88,"n/a")</f>
        <v>n/a</v>
      </c>
      <c r="AG88" s="63" t="str">
        <f aca="false">IF(OR(Y88=0,NOT(ISNUMBER($D88))),"—",AD88/$D88-1)</f>
        <v>—</v>
      </c>
      <c r="AH88" s="64" t="n">
        <f aca="false">IF(Y88=0,"—",AD88/Z88-1)</f>
        <v>-0.0572984211022474</v>
      </c>
      <c r="AI88" s="64" t="n">
        <f aca="false">IF(Y88=0,"—",AD88/AA88-1)</f>
        <v>-0.34516403640888</v>
      </c>
      <c r="AJ88" s="59" t="n">
        <f aca="false">COUNTIFS(Offers!$B$7:$B$3000,$B88,Offers!$C$7:$C$3000,"Slovakia",Offers!$AI$7:$AI$3000,"yes")</f>
        <v>5</v>
      </c>
      <c r="AK88" s="60" t="n">
        <f aca="false">IF(AJ88=0,"—",SUMIFS(Review!$I$7:$I$600,Review!$B$7:$B$600,$B88,Review!$C$7:$C$600,"Slovakia"))</f>
        <v>1.31</v>
      </c>
      <c r="AL88" s="60" t="n">
        <f aca="false">IF(AJ88=0,"—",SUMIFS(Review!$J$7:$J$600,Review!$B$7:$B$600,$B88,Review!$C$7:$C$600,"Slovakia"))</f>
        <v>3.3</v>
      </c>
      <c r="AM88" s="60" t="n">
        <f aca="false">IF(AJ88=0,"—",SUMIFS(Review!$K$7:$K$600,Review!$B$7:$B$600,$B88,Review!$C$7:$C$600,"Slovakia"))</f>
        <v>3.68</v>
      </c>
      <c r="AN88" s="61" t="str">
        <f aca="false">IF(AJ88=0,"—",IF(AK88&lt;AL88*(1-$C$7),"median (cheapest is an outlier)",IF(AK88*(1-$C$6)&lt;AL88*(1-$C$5),"undercut cheapest","median")))</f>
        <v>median (cheapest is an outlier)</v>
      </c>
      <c r="AO88" s="62" t="n">
        <f aca="false">IF(AJ88=0,"—",IF(AND(ISNUMBER($D88),$D88*(1+$C$10)&gt;FLOOR(IF(AK88&lt;AL88*(1-$C$7),AL88*(1-$C$5-IF(AJ88&lt;3,$C$8,0)),MIN(AL88*(1-$C$5-IF(AJ88&lt;3,$C$8,0)),AK88*(1-$C$6-IF(AJ88&lt;3,$C$8,0)))),IF(IF(AK88&lt;AL88*(1-$C$7),AL88*(1-$C$5-IF(AJ88&lt;3,$C$8,0)),MIN(AL88*(1-$C$5-IF(AJ88&lt;3,$C$8,0)),AK88*(1-$C$6-IF(AJ88&lt;3,$C$8,0))))&lt;10,$C$9,IF(IF(AK88&lt;AL88*(1-$C$7),AL88*(1-$C$5-IF(AJ88&lt;3,$C$8,0)),MIN(AL88*(1-$C$5-IF(AJ88&lt;3,$C$8,0)),AK88*(1-$C$6-IF(AJ88&lt;3,$C$8,0))))&lt;100,$D$9,$E$9)))),ROUND($D88*(1+$C$10),2),FLOOR(IF(AK88&lt;AL88*(1-$C$7),AL88*(1-$C$5-IF(AJ88&lt;3,$C$8,0)),MIN(AL88*(1-$C$5-IF(AJ88&lt;3,$C$8,0)),AK88*(1-$C$6-IF(AJ88&lt;3,$C$8,0)))),IF(IF(AK88&lt;AL88*(1-$C$7),AL88*(1-$C$5-IF(AJ88&lt;3,$C$8,0)),MIN(AL88*(1-$C$5-IF(AJ88&lt;3,$C$8,0)),AK88*(1-$C$6-IF(AJ88&lt;3,$C$8,0))))&lt;10,$C$9,IF(IF(AK88&lt;AL88*(1-$C$7),AL88*(1-$C$5-IF(AJ88&lt;3,$C$8,0)),MIN(AL88*(1-$C$5-IF(AJ88&lt;3,$C$8,0)),AK88*(1-$C$6-IF(AJ88&lt;3,$C$8,0))))&lt;100,$D$9,$E$9)))))</f>
        <v>2.45</v>
      </c>
      <c r="AP88" s="60" t="str">
        <f aca="false">IF(ISNUMBER($D88),$D88,"n/a")</f>
        <v>n/a</v>
      </c>
      <c r="AQ88" s="63" t="str">
        <f aca="false">IF(OR(AJ88=0,NOT(ISNUMBER($D88))),"—",AO88/$D88-1)</f>
        <v>—</v>
      </c>
      <c r="AR88" s="64" t="n">
        <f aca="false">IF(AJ88=0,"—",AO88/AK88-1)</f>
        <v>0.870229007633588</v>
      </c>
      <c r="AS88" s="64" t="n">
        <f aca="false">IF(AJ88=0,"—",AO88/AL88-1)</f>
        <v>-0.257575757575757</v>
      </c>
      <c r="AT88" s="59" t="n">
        <f aca="false">COUNTIFS(Offers!$B$7:$B$3000,$B88,Offers!$C$7:$C$3000,"Romania",Offers!$AI$7:$AI$3000,"yes")</f>
        <v>5</v>
      </c>
      <c r="AU88" s="60" t="n">
        <f aca="false">IF(AT88=0,"—",SUMIFS(Review!$I$7:$I$600,Review!$B$7:$B$600,$B88,Review!$C$7:$C$600,"Romania"))</f>
        <v>1.716676</v>
      </c>
      <c r="AV88" s="60" t="n">
        <f aca="false">IF(AT88=0,"—",SUMIFS(Review!$J$7:$J$600,Review!$B$7:$B$600,$B88,Review!$C$7:$C$600,"Romania"))</f>
        <v>2.811862</v>
      </c>
      <c r="AW88" s="60" t="n">
        <f aca="false">IF(AT88=0,"—",SUMIFS(Review!$K$7:$K$600,Review!$B$7:$B$600,$B88,Review!$C$7:$C$600,"Romania"))</f>
        <v>3.874837</v>
      </c>
      <c r="AX88" s="61" t="str">
        <f aca="false">IF(AT88=0,"—",IF(AU88&lt;AV88*(1-$C$7),"median (cheapest is an outlier)",IF(AU88*(1-$C$6)&lt;AV88*(1-$C$5),"undercut cheapest","median")))</f>
        <v>median (cheapest is an outlier)</v>
      </c>
      <c r="AY88" s="62" t="n">
        <f aca="false">IF(AT88=0,"—",IF(AND(ISNUMBER($D88),$D88*(1+$C$10)&gt;FLOOR(IF(AU88&lt;AV88*(1-$C$7),AV88*(1-$C$5-IF(AT88&lt;3,$C$8,0)),MIN(AV88*(1-$C$5-IF(AT88&lt;3,$C$8,0)),AU88*(1-$C$6-IF(AT88&lt;3,$C$8,0)))),IF(IF(AU88&lt;AV88*(1-$C$7),AV88*(1-$C$5-IF(AT88&lt;3,$C$8,0)),MIN(AV88*(1-$C$5-IF(AT88&lt;3,$C$8,0)),AU88*(1-$C$6-IF(AT88&lt;3,$C$8,0))))&lt;10,$C$9,IF(IF(AU88&lt;AV88*(1-$C$7),AV88*(1-$C$5-IF(AT88&lt;3,$C$8,0)),MIN(AV88*(1-$C$5-IF(AT88&lt;3,$C$8,0)),AU88*(1-$C$6-IF(AT88&lt;3,$C$8,0))))&lt;100,$D$9,$E$9)))),ROUND($D88*(1+$C$10),2),FLOOR(IF(AU88&lt;AV88*(1-$C$7),AV88*(1-$C$5-IF(AT88&lt;3,$C$8,0)),MIN(AV88*(1-$C$5-IF(AT88&lt;3,$C$8,0)),AU88*(1-$C$6-IF(AT88&lt;3,$C$8,0)))),IF(IF(AU88&lt;AV88*(1-$C$7),AV88*(1-$C$5-IF(AT88&lt;3,$C$8,0)),MIN(AV88*(1-$C$5-IF(AT88&lt;3,$C$8,0)),AU88*(1-$C$6-IF(AT88&lt;3,$C$8,0))))&lt;10,$C$9,IF(IF(AU88&lt;AV88*(1-$C$7),AV88*(1-$C$5-IF(AT88&lt;3,$C$8,0)),MIN(AV88*(1-$C$5-IF(AT88&lt;3,$C$8,0)),AU88*(1-$C$6-IF(AT88&lt;3,$C$8,0))))&lt;100,$D$9,$E$9)))))</f>
        <v>2.1</v>
      </c>
      <c r="AZ88" s="62" t="n">
        <f aca="false">IF(AT88=0,"—",FLOOR(AY88*Sources!$G$9,0.1))</f>
        <v>11</v>
      </c>
      <c r="BA88" s="60" t="str">
        <f aca="false">IF(ISNUMBER($D88),$D88,"n/a")</f>
        <v>n/a</v>
      </c>
      <c r="BB88" s="63" t="str">
        <f aca="false">IF(OR(AT88=0,NOT(ISNUMBER($D88))),"—",AY88/$D88-1)</f>
        <v>—</v>
      </c>
      <c r="BC88" s="64" t="n">
        <f aca="false">IF(AT88=0,"—",AY88/AU88-1)</f>
        <v>0.223294319953212</v>
      </c>
      <c r="BD88" s="64" t="n">
        <f aca="false">IF(AT88=0,"—",AY88/AV88-1)</f>
        <v>-0.253163917717157</v>
      </c>
      <c r="BE88" s="59" t="n">
        <f aca="false">COUNTIFS(Offers!$B$7:$B$3000,$B88,Offers!$C$7:$C$3000,"Hungary",Offers!$AI$7:$AI$3000,"yes")</f>
        <v>0</v>
      </c>
      <c r="BF88" s="60" t="str">
        <f aca="false">IF(BE88=0,"—",SUMIFS(Review!$I$7:$I$600,Review!$B$7:$B$600,$B88,Review!$C$7:$C$600,"Hungary"))</f>
        <v>—</v>
      </c>
      <c r="BG88" s="60" t="str">
        <f aca="false">IF(BE88=0,"—",SUMIFS(Review!$J$7:$J$600,Review!$B$7:$B$600,$B88,Review!$C$7:$C$600,"Hungary"))</f>
        <v>—</v>
      </c>
      <c r="BH88" s="60" t="str">
        <f aca="false">IF(BE88=0,"—",SUMIFS(Review!$K$7:$K$600,Review!$B$7:$B$600,$B88,Review!$C$7:$C$600,"Hungary"))</f>
        <v>—</v>
      </c>
      <c r="BI88" s="61" t="str">
        <f aca="false">IF(BE88=0,"—",IF(BF88&lt;BG88*(1-$C$7),"median (cheapest is an outlier)",IF(BF88*(1-$C$6)&lt;BG88*(1-$C$5),"undercut cheapest","median")))</f>
        <v>—</v>
      </c>
      <c r="BJ88" s="62" t="str">
        <f aca="false">IF(BE88=0,"—",IF(AND(ISNUMBER($D88),$D88*(1+$C$10)&gt;FLOOR(IF(BF88&lt;BG88*(1-$C$7),BG88*(1-$C$5-IF(BE88&lt;3,$C$8,0)),MIN(BG88*(1-$C$5-IF(BE88&lt;3,$C$8,0)),BF88*(1-$C$6-IF(BE88&lt;3,$C$8,0)))),IF(IF(BF88&lt;BG88*(1-$C$7),BG88*(1-$C$5-IF(BE88&lt;3,$C$8,0)),MIN(BG88*(1-$C$5-IF(BE88&lt;3,$C$8,0)),BF88*(1-$C$6-IF(BE88&lt;3,$C$8,0))))&lt;10,$C$9,IF(IF(BF88&lt;BG88*(1-$C$7),BG88*(1-$C$5-IF(BE88&lt;3,$C$8,0)),MIN(BG88*(1-$C$5-IF(BE88&lt;3,$C$8,0)),BF88*(1-$C$6-IF(BE88&lt;3,$C$8,0))))&lt;100,$D$9,$E$9)))),ROUND($D88*(1+$C$10),2),FLOOR(IF(BF88&lt;BG88*(1-$C$7),BG88*(1-$C$5-IF(BE88&lt;3,$C$8,0)),MIN(BG88*(1-$C$5-IF(BE88&lt;3,$C$8,0)),BF88*(1-$C$6-IF(BE88&lt;3,$C$8,0)))),IF(IF(BF88&lt;BG88*(1-$C$7),BG88*(1-$C$5-IF(BE88&lt;3,$C$8,0)),MIN(BG88*(1-$C$5-IF(BE88&lt;3,$C$8,0)),BF88*(1-$C$6-IF(BE88&lt;3,$C$8,0))))&lt;10,$C$9,IF(IF(BF88&lt;BG88*(1-$C$7),BG88*(1-$C$5-IF(BE88&lt;3,$C$8,0)),MIN(BG88*(1-$C$5-IF(BE88&lt;3,$C$8,0)),BF88*(1-$C$6-IF(BE88&lt;3,$C$8,0))))&lt;100,$D$9,$E$9)))))</f>
        <v>—</v>
      </c>
      <c r="BK88" s="65" t="str">
        <f aca="false">IF(BE88=0,"—",FLOOR(BJ88*Sources!$G$8,10))</f>
        <v>—</v>
      </c>
      <c r="BL88" s="60" t="str">
        <f aca="false">IF(ISNUMBER($D88),$D88,"n/a")</f>
        <v>n/a</v>
      </c>
      <c r="BM88" s="63" t="str">
        <f aca="false">IF(OR(BE88=0,NOT(ISNUMBER($D88))),"—",BJ88/$D88-1)</f>
        <v>—</v>
      </c>
      <c r="BN88" s="64" t="str">
        <f aca="false">IF(BE88=0,"—",BJ88/BF88-1)</f>
        <v>—</v>
      </c>
      <c r="BO88" s="64" t="str">
        <f aca="false">IF(BE88=0,"—",BJ88/BG88-1)</f>
        <v>—</v>
      </c>
    </row>
    <row r="89" customFormat="false" ht="15" hidden="false" customHeight="false" outlineLevel="0" collapsed="false">
      <c r="B89" s="1" t="s">
        <v>105</v>
      </c>
      <c r="C89" s="1" t="s">
        <v>214</v>
      </c>
      <c r="D89" s="58"/>
      <c r="E89" s="59" t="n">
        <f aca="false">COUNTIFS(Offers!$B$7:$B$3000,$B89,Offers!$C$7:$C$3000,"Austria",Offers!$AI$7:$AI$3000,"yes")</f>
        <v>7</v>
      </c>
      <c r="F89" s="60" t="n">
        <f aca="false">IF(E89=0,"—",SUMIFS(Review!$I$7:$I$600,Review!$B$7:$B$600,$B89,Review!$C$7:$C$600,"Austria"))</f>
        <v>1.49</v>
      </c>
      <c r="G89" s="60" t="n">
        <f aca="false">IF(E89=0,"—",SUMIFS(Review!$J$7:$J$600,Review!$B$7:$B$600,$B89,Review!$C$7:$C$600,"Austria"))</f>
        <v>2.49</v>
      </c>
      <c r="H89" s="60" t="n">
        <f aca="false">IF(E89=0,"—",SUMIFS(Review!$K$7:$K$600,Review!$B$7:$B$600,$B89,Review!$C$7:$C$600,"Austria"))</f>
        <v>9.6</v>
      </c>
      <c r="I89" s="61" t="str">
        <f aca="false">IF(E89=0,"—",IF(F89&lt;G89*(1-$C$7),"median (cheapest is an outlier)",IF(F89*(1-$C$6)&lt;G89*(1-$C$5),"undercut cheapest","median")))</f>
        <v>median (cheapest is an outlier)</v>
      </c>
      <c r="J89" s="62" t="n">
        <f aca="false">IF(E89=0,"—",IF(AND(ISNUMBER($D89),$D89*(1+$C$10)&gt;FLOOR(IF(F89&lt;G89*(1-$C$7),G89*(1-$C$5-IF(E89&lt;3,$C$8,0)),MIN(G89*(1-$C$5-IF(E89&lt;3,$C$8,0)),F89*(1-$C$6-IF(E89&lt;3,$C$8,0)))),IF(IF(F89&lt;G89*(1-$C$7),G89*(1-$C$5-IF(E89&lt;3,$C$8,0)),MIN(G89*(1-$C$5-IF(E89&lt;3,$C$8,0)),F89*(1-$C$6-IF(E89&lt;3,$C$8,0))))&lt;10,$C$9,IF(IF(F89&lt;G89*(1-$C$7),G89*(1-$C$5-IF(E89&lt;3,$C$8,0)),MIN(G89*(1-$C$5-IF(E89&lt;3,$C$8,0)),F89*(1-$C$6-IF(E89&lt;3,$C$8,0))))&lt;100,$D$9,$E$9)))),ROUND($D89*(1+$C$10),2),FLOOR(IF(F89&lt;G89*(1-$C$7),G89*(1-$C$5-IF(E89&lt;3,$C$8,0)),MIN(G89*(1-$C$5-IF(E89&lt;3,$C$8,0)),F89*(1-$C$6-IF(E89&lt;3,$C$8,0)))),IF(IF(F89&lt;G89*(1-$C$7),G89*(1-$C$5-IF(E89&lt;3,$C$8,0)),MIN(G89*(1-$C$5-IF(E89&lt;3,$C$8,0)),F89*(1-$C$6-IF(E89&lt;3,$C$8,0))))&lt;10,$C$9,IF(IF(F89&lt;G89*(1-$C$7),G89*(1-$C$5-IF(E89&lt;3,$C$8,0)),MIN(G89*(1-$C$5-IF(E89&lt;3,$C$8,0)),F89*(1-$C$6-IF(E89&lt;3,$C$8,0))))&lt;100,$D$9,$E$9)))))</f>
        <v>1.85</v>
      </c>
      <c r="K89" s="60" t="str">
        <f aca="false">IF(ISNUMBER($D89),$D89,"n/a")</f>
        <v>n/a</v>
      </c>
      <c r="L89" s="63" t="str">
        <f aca="false">IF(OR(E89=0,NOT(ISNUMBER($D89))),"—",J89/$D89-1)</f>
        <v>—</v>
      </c>
      <c r="M89" s="64" t="n">
        <f aca="false">IF(E89=0,"—",J89/F89-1)</f>
        <v>0.241610738255034</v>
      </c>
      <c r="N89" s="64" t="n">
        <f aca="false">IF(E89=0,"—",J89/G89-1)</f>
        <v>-0.257028112449799</v>
      </c>
      <c r="O89" s="59" t="n">
        <f aca="false">COUNTIFS(Offers!$B$7:$B$3000,$B89,Offers!$C$7:$C$3000,"Germany",Offers!$AI$7:$AI$3000,"yes")</f>
        <v>7</v>
      </c>
      <c r="P89" s="60" t="n">
        <f aca="false">IF(O89=0,"—",SUMIFS(Review!$I$7:$I$600,Review!$B$7:$B$600,$B89,Review!$C$7:$C$600,"Germany"))</f>
        <v>0.92</v>
      </c>
      <c r="Q89" s="60" t="n">
        <f aca="false">IF(O89=0,"—",SUMIFS(Review!$J$7:$J$600,Review!$B$7:$B$600,$B89,Review!$C$7:$C$600,"Germany"))</f>
        <v>2.24</v>
      </c>
      <c r="R89" s="60" t="n">
        <f aca="false">IF(O89=0,"—",SUMIFS(Review!$K$7:$K$600,Review!$B$7:$B$600,$B89,Review!$C$7:$C$600,"Germany"))</f>
        <v>9.6</v>
      </c>
      <c r="S89" s="61" t="str">
        <f aca="false">IF(O89=0,"—",IF(P89&lt;Q89*(1-$C$7),"median (cheapest is an outlier)",IF(P89*(1-$C$6)&lt;Q89*(1-$C$5),"undercut cheapest","median")))</f>
        <v>median (cheapest is an outlier)</v>
      </c>
      <c r="T89" s="62" t="n">
        <f aca="false">IF(O89=0,"—",IF(AND(ISNUMBER($D89),$D89*(1+$C$10)&gt;FLOOR(IF(P89&lt;Q89*(1-$C$7),Q89*(1-$C$5-IF(O89&lt;3,$C$8,0)),MIN(Q89*(1-$C$5-IF(O89&lt;3,$C$8,0)),P89*(1-$C$6-IF(O89&lt;3,$C$8,0)))),IF(IF(P89&lt;Q89*(1-$C$7),Q89*(1-$C$5-IF(O89&lt;3,$C$8,0)),MIN(Q89*(1-$C$5-IF(O89&lt;3,$C$8,0)),P89*(1-$C$6-IF(O89&lt;3,$C$8,0))))&lt;10,$C$9,IF(IF(P89&lt;Q89*(1-$C$7),Q89*(1-$C$5-IF(O89&lt;3,$C$8,0)),MIN(Q89*(1-$C$5-IF(O89&lt;3,$C$8,0)),P89*(1-$C$6-IF(O89&lt;3,$C$8,0))))&lt;100,$D$9,$E$9)))),ROUND($D89*(1+$C$10),2),FLOOR(IF(P89&lt;Q89*(1-$C$7),Q89*(1-$C$5-IF(O89&lt;3,$C$8,0)),MIN(Q89*(1-$C$5-IF(O89&lt;3,$C$8,0)),P89*(1-$C$6-IF(O89&lt;3,$C$8,0)))),IF(IF(P89&lt;Q89*(1-$C$7),Q89*(1-$C$5-IF(O89&lt;3,$C$8,0)),MIN(Q89*(1-$C$5-IF(O89&lt;3,$C$8,0)),P89*(1-$C$6-IF(O89&lt;3,$C$8,0))))&lt;10,$C$9,IF(IF(P89&lt;Q89*(1-$C$7),Q89*(1-$C$5-IF(O89&lt;3,$C$8,0)),MIN(Q89*(1-$C$5-IF(O89&lt;3,$C$8,0)),P89*(1-$C$6-IF(O89&lt;3,$C$8,0))))&lt;100,$D$9,$E$9)))))</f>
        <v>1.65</v>
      </c>
      <c r="U89" s="60" t="str">
        <f aca="false">IF(ISNUMBER($D89),$D89,"n/a")</f>
        <v>n/a</v>
      </c>
      <c r="V89" s="63" t="str">
        <f aca="false">IF(OR(O89=0,NOT(ISNUMBER($D89))),"—",T89/$D89-1)</f>
        <v>—</v>
      </c>
      <c r="W89" s="64" t="n">
        <f aca="false">IF(O89=0,"—",T89/P89-1)</f>
        <v>0.793478260869565</v>
      </c>
      <c r="X89" s="64" t="n">
        <f aca="false">IF(O89=0,"—",T89/Q89-1)</f>
        <v>-0.263392857142857</v>
      </c>
      <c r="Y89" s="59" t="n">
        <f aca="false">COUNTIFS(Offers!$B$7:$B$3000,$B89,Offers!$C$7:$C$3000,"Czech",Offers!$AI$7:$AI$3000,"yes")</f>
        <v>5</v>
      </c>
      <c r="Z89" s="60" t="n">
        <f aca="false">IF(Y89=0,"—",SUMIFS(Review!$I$7:$I$600,Review!$B$7:$B$600,$B89,Review!$C$7:$C$600,"Czech"))</f>
        <v>1.488723</v>
      </c>
      <c r="AA89" s="60" t="n">
        <f aca="false">IF(Y89=0,"—",SUMIFS(Review!$J$7:$J$600,Review!$B$7:$B$600,$B89,Review!$C$7:$C$600,"Czech"))</f>
        <v>2.047199</v>
      </c>
      <c r="AB89" s="60" t="n">
        <f aca="false">IF(Y89=0,"—",SUMIFS(Review!$K$7:$K$600,Review!$B$7:$B$600,$B89,Review!$C$7:$C$600,"Czech"))</f>
        <v>3.644014</v>
      </c>
      <c r="AC89" s="61" t="str">
        <f aca="false">IF(Y89=0,"—",IF(Z89&lt;AA89*(1-$C$7),"median (cheapest is an outlier)",IF(Z89*(1-$C$6)&lt;AA89*(1-$C$5),"undercut cheapest","median")))</f>
        <v>undercut cheapest</v>
      </c>
      <c r="AD89" s="62" t="n">
        <f aca="false">IF(Y89=0,"—",IF(AND(ISNUMBER($D89),$D89*(1+$C$10)&gt;FLOOR(IF(Z89&lt;AA89*(1-$C$7),AA89*(1-$C$5-IF(Y89&lt;3,$C$8,0)),MIN(AA89*(1-$C$5-IF(Y89&lt;3,$C$8,0)),Z89*(1-$C$6-IF(Y89&lt;3,$C$8,0)))),IF(IF(Z89&lt;AA89*(1-$C$7),AA89*(1-$C$5-IF(Y89&lt;3,$C$8,0)),MIN(AA89*(1-$C$5-IF(Y89&lt;3,$C$8,0)),Z89*(1-$C$6-IF(Y89&lt;3,$C$8,0))))&lt;10,$C$9,IF(IF(Z89&lt;AA89*(1-$C$7),AA89*(1-$C$5-IF(Y89&lt;3,$C$8,0)),MIN(AA89*(1-$C$5-IF(Y89&lt;3,$C$8,0)),Z89*(1-$C$6-IF(Y89&lt;3,$C$8,0))))&lt;100,$D$9,$E$9)))),ROUND($D89*(1+$C$10),2),FLOOR(IF(Z89&lt;AA89*(1-$C$7),AA89*(1-$C$5-IF(Y89&lt;3,$C$8,0)),MIN(AA89*(1-$C$5-IF(Y89&lt;3,$C$8,0)),Z89*(1-$C$6-IF(Y89&lt;3,$C$8,0)))),IF(IF(Z89&lt;AA89*(1-$C$7),AA89*(1-$C$5-IF(Y89&lt;3,$C$8,0)),MIN(AA89*(1-$C$5-IF(Y89&lt;3,$C$8,0)),Z89*(1-$C$6-IF(Y89&lt;3,$C$8,0))))&lt;10,$C$9,IF(IF(Z89&lt;AA89*(1-$C$7),AA89*(1-$C$5-IF(Y89&lt;3,$C$8,0)),MIN(AA89*(1-$C$5-IF(Y89&lt;3,$C$8,0)),Z89*(1-$C$6-IF(Y89&lt;3,$C$8,0))))&lt;100,$D$9,$E$9)))))</f>
        <v>1.4</v>
      </c>
      <c r="AE89" s="65" t="n">
        <f aca="false">IF(Y89=0,"—",FLOOR(AD89*Sources!$G$10,1))</f>
        <v>34</v>
      </c>
      <c r="AF89" s="60" t="str">
        <f aca="false">IF(ISNUMBER($D89),$D89,"n/a")</f>
        <v>n/a</v>
      </c>
      <c r="AG89" s="63" t="str">
        <f aca="false">IF(OR(Y89=0,NOT(ISNUMBER($D89))),"—",AD89/$D89-1)</f>
        <v>—</v>
      </c>
      <c r="AH89" s="64" t="n">
        <f aca="false">IF(Y89=0,"—",AD89/Z89-1)</f>
        <v>-0.0595967147682946</v>
      </c>
      <c r="AI89" s="64" t="n">
        <f aca="false">IF(Y89=0,"—",AD89/AA89-1)</f>
        <v>-0.316138782795419</v>
      </c>
      <c r="AJ89" s="59" t="n">
        <f aca="false">COUNTIFS(Offers!$B$7:$B$3000,$B89,Offers!$C$7:$C$3000,"Slovakia",Offers!$AI$7:$AI$3000,"yes")</f>
        <v>5</v>
      </c>
      <c r="AK89" s="60" t="n">
        <f aca="false">IF(AJ89=0,"—",SUMIFS(Review!$I$7:$I$600,Review!$B$7:$B$600,$B89,Review!$C$7:$C$600,"Slovakia"))</f>
        <v>1.69</v>
      </c>
      <c r="AL89" s="60" t="n">
        <f aca="false">IF(AJ89=0,"—",SUMIFS(Review!$J$7:$J$600,Review!$B$7:$B$600,$B89,Review!$C$7:$C$600,"Slovakia"))</f>
        <v>2.6</v>
      </c>
      <c r="AM89" s="60" t="n">
        <f aca="false">IF(AJ89=0,"—",SUMIFS(Review!$K$7:$K$600,Review!$B$7:$B$600,$B89,Review!$C$7:$C$600,"Slovakia"))</f>
        <v>4.88</v>
      </c>
      <c r="AN89" s="61" t="str">
        <f aca="false">IF(AJ89=0,"—",IF(AK89&lt;AL89*(1-$C$7),"median (cheapest is an outlier)",IF(AK89*(1-$C$6)&lt;AL89*(1-$C$5),"undercut cheapest","median")))</f>
        <v>undercut cheapest</v>
      </c>
      <c r="AO89" s="62" t="n">
        <f aca="false">IF(AJ89=0,"—",IF(AND(ISNUMBER($D89),$D89*(1+$C$10)&gt;FLOOR(IF(AK89&lt;AL89*(1-$C$7),AL89*(1-$C$5-IF(AJ89&lt;3,$C$8,0)),MIN(AL89*(1-$C$5-IF(AJ89&lt;3,$C$8,0)),AK89*(1-$C$6-IF(AJ89&lt;3,$C$8,0)))),IF(IF(AK89&lt;AL89*(1-$C$7),AL89*(1-$C$5-IF(AJ89&lt;3,$C$8,0)),MIN(AL89*(1-$C$5-IF(AJ89&lt;3,$C$8,0)),AK89*(1-$C$6-IF(AJ89&lt;3,$C$8,0))))&lt;10,$C$9,IF(IF(AK89&lt;AL89*(1-$C$7),AL89*(1-$C$5-IF(AJ89&lt;3,$C$8,0)),MIN(AL89*(1-$C$5-IF(AJ89&lt;3,$C$8,0)),AK89*(1-$C$6-IF(AJ89&lt;3,$C$8,0))))&lt;100,$D$9,$E$9)))),ROUND($D89*(1+$C$10),2),FLOOR(IF(AK89&lt;AL89*(1-$C$7),AL89*(1-$C$5-IF(AJ89&lt;3,$C$8,0)),MIN(AL89*(1-$C$5-IF(AJ89&lt;3,$C$8,0)),AK89*(1-$C$6-IF(AJ89&lt;3,$C$8,0)))),IF(IF(AK89&lt;AL89*(1-$C$7),AL89*(1-$C$5-IF(AJ89&lt;3,$C$8,0)),MIN(AL89*(1-$C$5-IF(AJ89&lt;3,$C$8,0)),AK89*(1-$C$6-IF(AJ89&lt;3,$C$8,0))))&lt;10,$C$9,IF(IF(AK89&lt;AL89*(1-$C$7),AL89*(1-$C$5-IF(AJ89&lt;3,$C$8,0)),MIN(AL89*(1-$C$5-IF(AJ89&lt;3,$C$8,0)),AK89*(1-$C$6-IF(AJ89&lt;3,$C$8,0))))&lt;100,$D$9,$E$9)))))</f>
        <v>1.6</v>
      </c>
      <c r="AP89" s="60" t="str">
        <f aca="false">IF(ISNUMBER($D89),$D89,"n/a")</f>
        <v>n/a</v>
      </c>
      <c r="AQ89" s="63" t="str">
        <f aca="false">IF(OR(AJ89=0,NOT(ISNUMBER($D89))),"—",AO89/$D89-1)</f>
        <v>—</v>
      </c>
      <c r="AR89" s="64" t="n">
        <f aca="false">IF(AJ89=0,"—",AO89/AK89-1)</f>
        <v>-0.0532544378698224</v>
      </c>
      <c r="AS89" s="64" t="n">
        <f aca="false">IF(AJ89=0,"—",AO89/AL89-1)</f>
        <v>-0.384615384615385</v>
      </c>
      <c r="AT89" s="59" t="n">
        <f aca="false">COUNTIFS(Offers!$B$7:$B$3000,$B89,Offers!$C$7:$C$3000,"Romania",Offers!$AI$7:$AI$3000,"yes")</f>
        <v>5</v>
      </c>
      <c r="AU89" s="60" t="n">
        <f aca="false">IF(AT89=0,"—",SUMIFS(Review!$I$7:$I$600,Review!$B$7:$B$600,$B89,Review!$C$7:$C$600,"Romania"))</f>
        <v>1.27</v>
      </c>
      <c r="AV89" s="60" t="n">
        <f aca="false">IF(AT89=0,"—",SUMIFS(Review!$J$7:$J$600,Review!$B$7:$B$600,$B89,Review!$C$7:$C$600,"Romania"))</f>
        <v>1.684465</v>
      </c>
      <c r="AW89" s="60" t="n">
        <f aca="false">IF(AT89=0,"—",SUMIFS(Review!$K$7:$K$600,Review!$B$7:$B$600,$B89,Review!$C$7:$C$600,"Romania"))</f>
        <v>3.035447</v>
      </c>
      <c r="AX89" s="61" t="str">
        <f aca="false">IF(AT89=0,"—",IF(AU89&lt;AV89*(1-$C$7),"median (cheapest is an outlier)",IF(AU89*(1-$C$6)&lt;AV89*(1-$C$5),"undercut cheapest","median")))</f>
        <v>undercut cheapest</v>
      </c>
      <c r="AY89" s="62" t="n">
        <f aca="false">IF(AT89=0,"—",IF(AND(ISNUMBER($D89),$D89*(1+$C$10)&gt;FLOOR(IF(AU89&lt;AV89*(1-$C$7),AV89*(1-$C$5-IF(AT89&lt;3,$C$8,0)),MIN(AV89*(1-$C$5-IF(AT89&lt;3,$C$8,0)),AU89*(1-$C$6-IF(AT89&lt;3,$C$8,0)))),IF(IF(AU89&lt;AV89*(1-$C$7),AV89*(1-$C$5-IF(AT89&lt;3,$C$8,0)),MIN(AV89*(1-$C$5-IF(AT89&lt;3,$C$8,0)),AU89*(1-$C$6-IF(AT89&lt;3,$C$8,0))))&lt;10,$C$9,IF(IF(AU89&lt;AV89*(1-$C$7),AV89*(1-$C$5-IF(AT89&lt;3,$C$8,0)),MIN(AV89*(1-$C$5-IF(AT89&lt;3,$C$8,0)),AU89*(1-$C$6-IF(AT89&lt;3,$C$8,0))))&lt;100,$D$9,$E$9)))),ROUND($D89*(1+$C$10),2),FLOOR(IF(AU89&lt;AV89*(1-$C$7),AV89*(1-$C$5-IF(AT89&lt;3,$C$8,0)),MIN(AV89*(1-$C$5-IF(AT89&lt;3,$C$8,0)),AU89*(1-$C$6-IF(AT89&lt;3,$C$8,0)))),IF(IF(AU89&lt;AV89*(1-$C$7),AV89*(1-$C$5-IF(AT89&lt;3,$C$8,0)),MIN(AV89*(1-$C$5-IF(AT89&lt;3,$C$8,0)),AU89*(1-$C$6-IF(AT89&lt;3,$C$8,0))))&lt;10,$C$9,IF(IF(AU89&lt;AV89*(1-$C$7),AV89*(1-$C$5-IF(AT89&lt;3,$C$8,0)),MIN(AV89*(1-$C$5-IF(AT89&lt;3,$C$8,0)),AU89*(1-$C$6-IF(AT89&lt;3,$C$8,0))))&lt;100,$D$9,$E$9)))))</f>
        <v>1.2</v>
      </c>
      <c r="AZ89" s="62" t="n">
        <f aca="false">IF(AT89=0,"—",FLOOR(AY89*Sources!$G$9,0.1))</f>
        <v>6.3</v>
      </c>
      <c r="BA89" s="60" t="str">
        <f aca="false">IF(ISNUMBER($D89),$D89,"n/a")</f>
        <v>n/a</v>
      </c>
      <c r="BB89" s="63" t="str">
        <f aca="false">IF(OR(AT89=0,NOT(ISNUMBER($D89))),"—",AY89/$D89-1)</f>
        <v>—</v>
      </c>
      <c r="BC89" s="64" t="n">
        <f aca="false">IF(AT89=0,"—",AY89/AU89-1)</f>
        <v>-0.0551181102362204</v>
      </c>
      <c r="BD89" s="64" t="n">
        <f aca="false">IF(AT89=0,"—",AY89/AV89-1)</f>
        <v>-0.287607638033441</v>
      </c>
      <c r="BE89" s="59" t="n">
        <f aca="false">COUNTIFS(Offers!$B$7:$B$3000,$B89,Offers!$C$7:$C$3000,"Hungary",Offers!$AI$7:$AI$3000,"yes")</f>
        <v>0</v>
      </c>
      <c r="BF89" s="60" t="str">
        <f aca="false">IF(BE89=0,"—",SUMIFS(Review!$I$7:$I$600,Review!$B$7:$B$600,$B89,Review!$C$7:$C$600,"Hungary"))</f>
        <v>—</v>
      </c>
      <c r="BG89" s="60" t="str">
        <f aca="false">IF(BE89=0,"—",SUMIFS(Review!$J$7:$J$600,Review!$B$7:$B$600,$B89,Review!$C$7:$C$600,"Hungary"))</f>
        <v>—</v>
      </c>
      <c r="BH89" s="60" t="str">
        <f aca="false">IF(BE89=0,"—",SUMIFS(Review!$K$7:$K$600,Review!$B$7:$B$600,$B89,Review!$C$7:$C$600,"Hungary"))</f>
        <v>—</v>
      </c>
      <c r="BI89" s="61" t="str">
        <f aca="false">IF(BE89=0,"—",IF(BF89&lt;BG89*(1-$C$7),"median (cheapest is an outlier)",IF(BF89*(1-$C$6)&lt;BG89*(1-$C$5),"undercut cheapest","median")))</f>
        <v>—</v>
      </c>
      <c r="BJ89" s="62" t="str">
        <f aca="false">IF(BE89=0,"—",IF(AND(ISNUMBER($D89),$D89*(1+$C$10)&gt;FLOOR(IF(BF89&lt;BG89*(1-$C$7),BG89*(1-$C$5-IF(BE89&lt;3,$C$8,0)),MIN(BG89*(1-$C$5-IF(BE89&lt;3,$C$8,0)),BF89*(1-$C$6-IF(BE89&lt;3,$C$8,0)))),IF(IF(BF89&lt;BG89*(1-$C$7),BG89*(1-$C$5-IF(BE89&lt;3,$C$8,0)),MIN(BG89*(1-$C$5-IF(BE89&lt;3,$C$8,0)),BF89*(1-$C$6-IF(BE89&lt;3,$C$8,0))))&lt;10,$C$9,IF(IF(BF89&lt;BG89*(1-$C$7),BG89*(1-$C$5-IF(BE89&lt;3,$C$8,0)),MIN(BG89*(1-$C$5-IF(BE89&lt;3,$C$8,0)),BF89*(1-$C$6-IF(BE89&lt;3,$C$8,0))))&lt;100,$D$9,$E$9)))),ROUND($D89*(1+$C$10),2),FLOOR(IF(BF89&lt;BG89*(1-$C$7),BG89*(1-$C$5-IF(BE89&lt;3,$C$8,0)),MIN(BG89*(1-$C$5-IF(BE89&lt;3,$C$8,0)),BF89*(1-$C$6-IF(BE89&lt;3,$C$8,0)))),IF(IF(BF89&lt;BG89*(1-$C$7),BG89*(1-$C$5-IF(BE89&lt;3,$C$8,0)),MIN(BG89*(1-$C$5-IF(BE89&lt;3,$C$8,0)),BF89*(1-$C$6-IF(BE89&lt;3,$C$8,0))))&lt;10,$C$9,IF(IF(BF89&lt;BG89*(1-$C$7),BG89*(1-$C$5-IF(BE89&lt;3,$C$8,0)),MIN(BG89*(1-$C$5-IF(BE89&lt;3,$C$8,0)),BF89*(1-$C$6-IF(BE89&lt;3,$C$8,0))))&lt;100,$D$9,$E$9)))))</f>
        <v>—</v>
      </c>
      <c r="BK89" s="65" t="str">
        <f aca="false">IF(BE89=0,"—",FLOOR(BJ89*Sources!$G$8,10))</f>
        <v>—</v>
      </c>
      <c r="BL89" s="60" t="str">
        <f aca="false">IF(ISNUMBER($D89),$D89,"n/a")</f>
        <v>n/a</v>
      </c>
      <c r="BM89" s="63" t="str">
        <f aca="false">IF(OR(BE89=0,NOT(ISNUMBER($D89))),"—",BJ89/$D89-1)</f>
        <v>—</v>
      </c>
      <c r="BN89" s="64" t="str">
        <f aca="false">IF(BE89=0,"—",BJ89/BF89-1)</f>
        <v>—</v>
      </c>
      <c r="BO89" s="64" t="str">
        <f aca="false">IF(BE89=0,"—",BJ89/BG89-1)</f>
        <v>—</v>
      </c>
    </row>
    <row r="90" customFormat="false" ht="15" hidden="false" customHeight="false" outlineLevel="0" collapsed="false">
      <c r="B90" s="1" t="s">
        <v>106</v>
      </c>
      <c r="C90" s="1" t="s">
        <v>215</v>
      </c>
      <c r="D90" s="58"/>
      <c r="E90" s="59" t="n">
        <f aca="false">COUNTIFS(Offers!$B$7:$B$3000,$B90,Offers!$C$7:$C$3000,"Austria",Offers!$AI$7:$AI$3000,"yes")</f>
        <v>7</v>
      </c>
      <c r="F90" s="60" t="n">
        <f aca="false">IF(E90=0,"—",SUMIFS(Review!$I$7:$I$600,Review!$B$7:$B$600,$B90,Review!$C$7:$C$600,"Austria"))</f>
        <v>0.4</v>
      </c>
      <c r="G90" s="60" t="n">
        <f aca="false">IF(E90=0,"—",SUMIFS(Review!$J$7:$J$600,Review!$B$7:$B$600,$B90,Review!$C$7:$C$600,"Austria"))</f>
        <v>2.1</v>
      </c>
      <c r="H90" s="60" t="n">
        <f aca="false">IF(E90=0,"—",SUMIFS(Review!$K$7:$K$600,Review!$B$7:$B$600,$B90,Review!$C$7:$C$600,"Austria"))</f>
        <v>8.73</v>
      </c>
      <c r="I90" s="61" t="str">
        <f aca="false">IF(E90=0,"—",IF(F90&lt;G90*(1-$C$7),"median (cheapest is an outlier)",IF(F90*(1-$C$6)&lt;G90*(1-$C$5),"undercut cheapest","median")))</f>
        <v>median (cheapest is an outlier)</v>
      </c>
      <c r="J90" s="62" t="n">
        <f aca="false">IF(E90=0,"—",IF(AND(ISNUMBER($D90),$D90*(1+$C$10)&gt;FLOOR(IF(F90&lt;G90*(1-$C$7),G90*(1-$C$5-IF(E90&lt;3,$C$8,0)),MIN(G90*(1-$C$5-IF(E90&lt;3,$C$8,0)),F90*(1-$C$6-IF(E90&lt;3,$C$8,0)))),IF(IF(F90&lt;G90*(1-$C$7),G90*(1-$C$5-IF(E90&lt;3,$C$8,0)),MIN(G90*(1-$C$5-IF(E90&lt;3,$C$8,0)),F90*(1-$C$6-IF(E90&lt;3,$C$8,0))))&lt;10,$C$9,IF(IF(F90&lt;G90*(1-$C$7),G90*(1-$C$5-IF(E90&lt;3,$C$8,0)),MIN(G90*(1-$C$5-IF(E90&lt;3,$C$8,0)),F90*(1-$C$6-IF(E90&lt;3,$C$8,0))))&lt;100,$D$9,$E$9)))),ROUND($D90*(1+$C$10),2),FLOOR(IF(F90&lt;G90*(1-$C$7),G90*(1-$C$5-IF(E90&lt;3,$C$8,0)),MIN(G90*(1-$C$5-IF(E90&lt;3,$C$8,0)),F90*(1-$C$6-IF(E90&lt;3,$C$8,0)))),IF(IF(F90&lt;G90*(1-$C$7),G90*(1-$C$5-IF(E90&lt;3,$C$8,0)),MIN(G90*(1-$C$5-IF(E90&lt;3,$C$8,0)),F90*(1-$C$6-IF(E90&lt;3,$C$8,0))))&lt;10,$C$9,IF(IF(F90&lt;G90*(1-$C$7),G90*(1-$C$5-IF(E90&lt;3,$C$8,0)),MIN(G90*(1-$C$5-IF(E90&lt;3,$C$8,0)),F90*(1-$C$6-IF(E90&lt;3,$C$8,0))))&lt;100,$D$9,$E$9)))))</f>
        <v>1.55</v>
      </c>
      <c r="K90" s="60" t="str">
        <f aca="false">IF(ISNUMBER($D90),$D90,"n/a")</f>
        <v>n/a</v>
      </c>
      <c r="L90" s="63" t="str">
        <f aca="false">IF(OR(E90=0,NOT(ISNUMBER($D90))),"—",J90/$D90-1)</f>
        <v>—</v>
      </c>
      <c r="M90" s="64" t="n">
        <f aca="false">IF(E90=0,"—",J90/F90-1)</f>
        <v>2.875</v>
      </c>
      <c r="N90" s="64" t="n">
        <f aca="false">IF(E90=0,"—",J90/G90-1)</f>
        <v>-0.261904761904762</v>
      </c>
      <c r="O90" s="59" t="n">
        <f aca="false">COUNTIFS(Offers!$B$7:$B$3000,$B90,Offers!$C$7:$C$3000,"Germany",Offers!$AI$7:$AI$3000,"yes")</f>
        <v>7</v>
      </c>
      <c r="P90" s="60" t="n">
        <f aca="false">IF(O90=0,"—",SUMIFS(Review!$I$7:$I$600,Review!$B$7:$B$600,$B90,Review!$C$7:$C$600,"Germany"))</f>
        <v>0.4</v>
      </c>
      <c r="Q90" s="60" t="n">
        <f aca="false">IF(O90=0,"—",SUMIFS(Review!$J$7:$J$600,Review!$B$7:$B$600,$B90,Review!$C$7:$C$600,"Germany"))</f>
        <v>1.79</v>
      </c>
      <c r="R90" s="60" t="n">
        <f aca="false">IF(O90=0,"—",SUMIFS(Review!$K$7:$K$600,Review!$B$7:$B$600,$B90,Review!$C$7:$C$600,"Germany"))</f>
        <v>8.73</v>
      </c>
      <c r="S90" s="61" t="str">
        <f aca="false">IF(O90=0,"—",IF(P90&lt;Q90*(1-$C$7),"median (cheapest is an outlier)",IF(P90*(1-$C$6)&lt;Q90*(1-$C$5),"undercut cheapest","median")))</f>
        <v>median (cheapest is an outlier)</v>
      </c>
      <c r="T90" s="62" t="n">
        <f aca="false">IF(O90=0,"—",IF(AND(ISNUMBER($D90),$D90*(1+$C$10)&gt;FLOOR(IF(P90&lt;Q90*(1-$C$7),Q90*(1-$C$5-IF(O90&lt;3,$C$8,0)),MIN(Q90*(1-$C$5-IF(O90&lt;3,$C$8,0)),P90*(1-$C$6-IF(O90&lt;3,$C$8,0)))),IF(IF(P90&lt;Q90*(1-$C$7),Q90*(1-$C$5-IF(O90&lt;3,$C$8,0)),MIN(Q90*(1-$C$5-IF(O90&lt;3,$C$8,0)),P90*(1-$C$6-IF(O90&lt;3,$C$8,0))))&lt;10,$C$9,IF(IF(P90&lt;Q90*(1-$C$7),Q90*(1-$C$5-IF(O90&lt;3,$C$8,0)),MIN(Q90*(1-$C$5-IF(O90&lt;3,$C$8,0)),P90*(1-$C$6-IF(O90&lt;3,$C$8,0))))&lt;100,$D$9,$E$9)))),ROUND($D90*(1+$C$10),2),FLOOR(IF(P90&lt;Q90*(1-$C$7),Q90*(1-$C$5-IF(O90&lt;3,$C$8,0)),MIN(Q90*(1-$C$5-IF(O90&lt;3,$C$8,0)),P90*(1-$C$6-IF(O90&lt;3,$C$8,0)))),IF(IF(P90&lt;Q90*(1-$C$7),Q90*(1-$C$5-IF(O90&lt;3,$C$8,0)),MIN(Q90*(1-$C$5-IF(O90&lt;3,$C$8,0)),P90*(1-$C$6-IF(O90&lt;3,$C$8,0))))&lt;10,$C$9,IF(IF(P90&lt;Q90*(1-$C$7),Q90*(1-$C$5-IF(O90&lt;3,$C$8,0)),MIN(Q90*(1-$C$5-IF(O90&lt;3,$C$8,0)),P90*(1-$C$6-IF(O90&lt;3,$C$8,0))))&lt;100,$D$9,$E$9)))))</f>
        <v>1.3</v>
      </c>
      <c r="U90" s="60" t="str">
        <f aca="false">IF(ISNUMBER($D90),$D90,"n/a")</f>
        <v>n/a</v>
      </c>
      <c r="V90" s="63" t="str">
        <f aca="false">IF(OR(O90=0,NOT(ISNUMBER($D90))),"—",T90/$D90-1)</f>
        <v>—</v>
      </c>
      <c r="W90" s="64" t="n">
        <f aca="false">IF(O90=0,"—",T90/P90-1)</f>
        <v>2.25</v>
      </c>
      <c r="X90" s="64" t="n">
        <f aca="false">IF(O90=0,"—",T90/Q90-1)</f>
        <v>-0.273743016759777</v>
      </c>
      <c r="Y90" s="59" t="n">
        <f aca="false">COUNTIFS(Offers!$B$7:$B$3000,$B90,Offers!$C$7:$C$3000,"Czech",Offers!$AI$7:$AI$3000,"yes")</f>
        <v>5</v>
      </c>
      <c r="Z90" s="60" t="n">
        <f aca="false">IF(Y90=0,"—",SUMIFS(Review!$I$7:$I$600,Review!$B$7:$B$600,$B90,Review!$C$7:$C$600,"Czech"))</f>
        <v>1.064543</v>
      </c>
      <c r="AA90" s="60" t="n">
        <f aca="false">IF(Y90=0,"—",SUMIFS(Review!$J$7:$J$600,Review!$B$7:$B$600,$B90,Review!$C$7:$C$600,"Czech"))</f>
        <v>1.637759</v>
      </c>
      <c r="AB90" s="60" t="n">
        <f aca="false">IF(Y90=0,"—",SUMIFS(Review!$K$7:$K$600,Review!$B$7:$B$600,$B90,Review!$C$7:$C$600,"Czech"))</f>
        <v>3.234574</v>
      </c>
      <c r="AC90" s="61" t="str">
        <f aca="false">IF(Y90=0,"—",IF(Z90&lt;AA90*(1-$C$7),"median (cheapest is an outlier)",IF(Z90*(1-$C$6)&lt;AA90*(1-$C$5),"undercut cheapest","median")))</f>
        <v>median (cheapest is an outlier)</v>
      </c>
      <c r="AD90" s="62" t="n">
        <f aca="false">IF(Y90=0,"—",IF(AND(ISNUMBER($D90),$D90*(1+$C$10)&gt;FLOOR(IF(Z90&lt;AA90*(1-$C$7),AA90*(1-$C$5-IF(Y90&lt;3,$C$8,0)),MIN(AA90*(1-$C$5-IF(Y90&lt;3,$C$8,0)),Z90*(1-$C$6-IF(Y90&lt;3,$C$8,0)))),IF(IF(Z90&lt;AA90*(1-$C$7),AA90*(1-$C$5-IF(Y90&lt;3,$C$8,0)),MIN(AA90*(1-$C$5-IF(Y90&lt;3,$C$8,0)),Z90*(1-$C$6-IF(Y90&lt;3,$C$8,0))))&lt;10,$C$9,IF(IF(Z90&lt;AA90*(1-$C$7),AA90*(1-$C$5-IF(Y90&lt;3,$C$8,0)),MIN(AA90*(1-$C$5-IF(Y90&lt;3,$C$8,0)),Z90*(1-$C$6-IF(Y90&lt;3,$C$8,0))))&lt;100,$D$9,$E$9)))),ROUND($D90*(1+$C$10),2),FLOOR(IF(Z90&lt;AA90*(1-$C$7),AA90*(1-$C$5-IF(Y90&lt;3,$C$8,0)),MIN(AA90*(1-$C$5-IF(Y90&lt;3,$C$8,0)),Z90*(1-$C$6-IF(Y90&lt;3,$C$8,0)))),IF(IF(Z90&lt;AA90*(1-$C$7),AA90*(1-$C$5-IF(Y90&lt;3,$C$8,0)),MIN(AA90*(1-$C$5-IF(Y90&lt;3,$C$8,0)),Z90*(1-$C$6-IF(Y90&lt;3,$C$8,0))))&lt;10,$C$9,IF(IF(Z90&lt;AA90*(1-$C$7),AA90*(1-$C$5-IF(Y90&lt;3,$C$8,0)),MIN(AA90*(1-$C$5-IF(Y90&lt;3,$C$8,0)),Z90*(1-$C$6-IF(Y90&lt;3,$C$8,0))))&lt;100,$D$9,$E$9)))))</f>
        <v>1.2</v>
      </c>
      <c r="AE90" s="65" t="n">
        <f aca="false">IF(Y90=0,"—",FLOOR(AD90*Sources!$G$10,1))</f>
        <v>29</v>
      </c>
      <c r="AF90" s="60" t="str">
        <f aca="false">IF(ISNUMBER($D90),$D90,"n/a")</f>
        <v>n/a</v>
      </c>
      <c r="AG90" s="63" t="str">
        <f aca="false">IF(OR(Y90=0,NOT(ISNUMBER($D90))),"—",AD90/$D90-1)</f>
        <v>—</v>
      </c>
      <c r="AH90" s="64" t="n">
        <f aca="false">IF(Y90=0,"—",AD90/Z90-1)</f>
        <v>0.127244272894566</v>
      </c>
      <c r="AI90" s="64" t="n">
        <f aca="false">IF(Y90=0,"—",AD90/AA90-1)</f>
        <v>-0.267291463518137</v>
      </c>
      <c r="AJ90" s="59" t="n">
        <f aca="false">COUNTIFS(Offers!$B$7:$B$3000,$B90,Offers!$C$7:$C$3000,"Slovakia",Offers!$AI$7:$AI$3000,"yes")</f>
        <v>5</v>
      </c>
      <c r="AK90" s="60" t="n">
        <f aca="false">IF(AJ90=0,"—",SUMIFS(Review!$I$7:$I$600,Review!$B$7:$B$600,$B90,Review!$C$7:$C$600,"Slovakia"))</f>
        <v>1</v>
      </c>
      <c r="AL90" s="60" t="n">
        <f aca="false">IF(AJ90=0,"—",SUMIFS(Review!$J$7:$J$600,Review!$B$7:$B$600,$B90,Review!$C$7:$C$600,"Slovakia"))</f>
        <v>1.9</v>
      </c>
      <c r="AM90" s="60" t="n">
        <f aca="false">IF(AJ90=0,"—",SUMIFS(Review!$K$7:$K$600,Review!$B$7:$B$600,$B90,Review!$C$7:$C$600,"Slovakia"))</f>
        <v>2.39</v>
      </c>
      <c r="AN90" s="61" t="str">
        <f aca="false">IF(AJ90=0,"—",IF(AK90&lt;AL90*(1-$C$7),"median (cheapest is an outlier)",IF(AK90*(1-$C$6)&lt;AL90*(1-$C$5),"undercut cheapest","median")))</f>
        <v>median (cheapest is an outlier)</v>
      </c>
      <c r="AO90" s="62" t="n">
        <f aca="false">IF(AJ90=0,"—",IF(AND(ISNUMBER($D90),$D90*(1+$C$10)&gt;FLOOR(IF(AK90&lt;AL90*(1-$C$7),AL90*(1-$C$5-IF(AJ90&lt;3,$C$8,0)),MIN(AL90*(1-$C$5-IF(AJ90&lt;3,$C$8,0)),AK90*(1-$C$6-IF(AJ90&lt;3,$C$8,0)))),IF(IF(AK90&lt;AL90*(1-$C$7),AL90*(1-$C$5-IF(AJ90&lt;3,$C$8,0)),MIN(AL90*(1-$C$5-IF(AJ90&lt;3,$C$8,0)),AK90*(1-$C$6-IF(AJ90&lt;3,$C$8,0))))&lt;10,$C$9,IF(IF(AK90&lt;AL90*(1-$C$7),AL90*(1-$C$5-IF(AJ90&lt;3,$C$8,0)),MIN(AL90*(1-$C$5-IF(AJ90&lt;3,$C$8,0)),AK90*(1-$C$6-IF(AJ90&lt;3,$C$8,0))))&lt;100,$D$9,$E$9)))),ROUND($D90*(1+$C$10),2),FLOOR(IF(AK90&lt;AL90*(1-$C$7),AL90*(1-$C$5-IF(AJ90&lt;3,$C$8,0)),MIN(AL90*(1-$C$5-IF(AJ90&lt;3,$C$8,0)),AK90*(1-$C$6-IF(AJ90&lt;3,$C$8,0)))),IF(IF(AK90&lt;AL90*(1-$C$7),AL90*(1-$C$5-IF(AJ90&lt;3,$C$8,0)),MIN(AL90*(1-$C$5-IF(AJ90&lt;3,$C$8,0)),AK90*(1-$C$6-IF(AJ90&lt;3,$C$8,0))))&lt;10,$C$9,IF(IF(AK90&lt;AL90*(1-$C$7),AL90*(1-$C$5-IF(AJ90&lt;3,$C$8,0)),MIN(AL90*(1-$C$5-IF(AJ90&lt;3,$C$8,0)),AK90*(1-$C$6-IF(AJ90&lt;3,$C$8,0))))&lt;100,$D$9,$E$9)))))</f>
        <v>1.4</v>
      </c>
      <c r="AP90" s="60" t="str">
        <f aca="false">IF(ISNUMBER($D90),$D90,"n/a")</f>
        <v>n/a</v>
      </c>
      <c r="AQ90" s="63" t="str">
        <f aca="false">IF(OR(AJ90=0,NOT(ISNUMBER($D90))),"—",AO90/$D90-1)</f>
        <v>—</v>
      </c>
      <c r="AR90" s="64" t="n">
        <f aca="false">IF(AJ90=0,"—",AO90/AK90-1)</f>
        <v>0.4</v>
      </c>
      <c r="AS90" s="64" t="n">
        <f aca="false">IF(AJ90=0,"—",AO90/AL90-1)</f>
        <v>-0.263157894736842</v>
      </c>
      <c r="AT90" s="59" t="n">
        <f aca="false">COUNTIFS(Offers!$B$7:$B$3000,$B90,Offers!$C$7:$C$3000,"Romania",Offers!$AI$7:$AI$3000,"yes")</f>
        <v>5</v>
      </c>
      <c r="AU90" s="60" t="n">
        <f aca="false">IF(AT90=0,"—",SUMIFS(Review!$I$7:$I$600,Review!$B$7:$B$600,$B90,Review!$C$7:$C$600,"Romania"))</f>
        <v>0.720019</v>
      </c>
      <c r="AV90" s="60" t="n">
        <f aca="false">IF(AT90=0,"—",SUMIFS(Review!$J$7:$J$600,Review!$B$7:$B$600,$B90,Review!$C$7:$C$600,"Romania"))</f>
        <v>1.481722</v>
      </c>
      <c r="AW90" s="60" t="n">
        <f aca="false">IF(AT90=0,"—",SUMIFS(Review!$K$7:$K$600,Review!$B$7:$B$600,$B90,Review!$C$7:$C$600,"Romania"))</f>
        <v>2.480275</v>
      </c>
      <c r="AX90" s="61" t="str">
        <f aca="false">IF(AT90=0,"—",IF(AU90&lt;AV90*(1-$C$7),"median (cheapest is an outlier)",IF(AU90*(1-$C$6)&lt;AV90*(1-$C$5),"undercut cheapest","median")))</f>
        <v>median (cheapest is an outlier)</v>
      </c>
      <c r="AY90" s="62" t="n">
        <f aca="false">IF(AT90=0,"—",IF(AND(ISNUMBER($D90),$D90*(1+$C$10)&gt;FLOOR(IF(AU90&lt;AV90*(1-$C$7),AV90*(1-$C$5-IF(AT90&lt;3,$C$8,0)),MIN(AV90*(1-$C$5-IF(AT90&lt;3,$C$8,0)),AU90*(1-$C$6-IF(AT90&lt;3,$C$8,0)))),IF(IF(AU90&lt;AV90*(1-$C$7),AV90*(1-$C$5-IF(AT90&lt;3,$C$8,0)),MIN(AV90*(1-$C$5-IF(AT90&lt;3,$C$8,0)),AU90*(1-$C$6-IF(AT90&lt;3,$C$8,0))))&lt;10,$C$9,IF(IF(AU90&lt;AV90*(1-$C$7),AV90*(1-$C$5-IF(AT90&lt;3,$C$8,0)),MIN(AV90*(1-$C$5-IF(AT90&lt;3,$C$8,0)),AU90*(1-$C$6-IF(AT90&lt;3,$C$8,0))))&lt;100,$D$9,$E$9)))),ROUND($D90*(1+$C$10),2),FLOOR(IF(AU90&lt;AV90*(1-$C$7),AV90*(1-$C$5-IF(AT90&lt;3,$C$8,0)),MIN(AV90*(1-$C$5-IF(AT90&lt;3,$C$8,0)),AU90*(1-$C$6-IF(AT90&lt;3,$C$8,0)))),IF(IF(AU90&lt;AV90*(1-$C$7),AV90*(1-$C$5-IF(AT90&lt;3,$C$8,0)),MIN(AV90*(1-$C$5-IF(AT90&lt;3,$C$8,0)),AU90*(1-$C$6-IF(AT90&lt;3,$C$8,0))))&lt;10,$C$9,IF(IF(AU90&lt;AV90*(1-$C$7),AV90*(1-$C$5-IF(AT90&lt;3,$C$8,0)),MIN(AV90*(1-$C$5-IF(AT90&lt;3,$C$8,0)),AU90*(1-$C$6-IF(AT90&lt;3,$C$8,0))))&lt;100,$D$9,$E$9)))))</f>
        <v>1.1</v>
      </c>
      <c r="AZ90" s="62" t="n">
        <f aca="false">IF(AT90=0,"—",FLOOR(AY90*Sources!$G$9,0.1))</f>
        <v>5.8</v>
      </c>
      <c r="BA90" s="60" t="str">
        <f aca="false">IF(ISNUMBER($D90),$D90,"n/a")</f>
        <v>n/a</v>
      </c>
      <c r="BB90" s="63" t="str">
        <f aca="false">IF(OR(AT90=0,NOT(ISNUMBER($D90))),"—",AY90/$D90-1)</f>
        <v>—</v>
      </c>
      <c r="BC90" s="64" t="n">
        <f aca="false">IF(AT90=0,"—",AY90/AU90-1)</f>
        <v>0.527737462483629</v>
      </c>
      <c r="BD90" s="64" t="n">
        <f aca="false">IF(AT90=0,"—",AY90/AV90-1)</f>
        <v>-0.257620525307716</v>
      </c>
      <c r="BE90" s="59" t="n">
        <f aca="false">COUNTIFS(Offers!$B$7:$B$3000,$B90,Offers!$C$7:$C$3000,"Hungary",Offers!$AI$7:$AI$3000,"yes")</f>
        <v>0</v>
      </c>
      <c r="BF90" s="60" t="str">
        <f aca="false">IF(BE90=0,"—",SUMIFS(Review!$I$7:$I$600,Review!$B$7:$B$600,$B90,Review!$C$7:$C$600,"Hungary"))</f>
        <v>—</v>
      </c>
      <c r="BG90" s="60" t="str">
        <f aca="false">IF(BE90=0,"—",SUMIFS(Review!$J$7:$J$600,Review!$B$7:$B$600,$B90,Review!$C$7:$C$600,"Hungary"))</f>
        <v>—</v>
      </c>
      <c r="BH90" s="60" t="str">
        <f aca="false">IF(BE90=0,"—",SUMIFS(Review!$K$7:$K$600,Review!$B$7:$B$600,$B90,Review!$C$7:$C$600,"Hungary"))</f>
        <v>—</v>
      </c>
      <c r="BI90" s="61" t="str">
        <f aca="false">IF(BE90=0,"—",IF(BF90&lt;BG90*(1-$C$7),"median (cheapest is an outlier)",IF(BF90*(1-$C$6)&lt;BG90*(1-$C$5),"undercut cheapest","median")))</f>
        <v>—</v>
      </c>
      <c r="BJ90" s="62" t="str">
        <f aca="false">IF(BE90=0,"—",IF(AND(ISNUMBER($D90),$D90*(1+$C$10)&gt;FLOOR(IF(BF90&lt;BG90*(1-$C$7),BG90*(1-$C$5-IF(BE90&lt;3,$C$8,0)),MIN(BG90*(1-$C$5-IF(BE90&lt;3,$C$8,0)),BF90*(1-$C$6-IF(BE90&lt;3,$C$8,0)))),IF(IF(BF90&lt;BG90*(1-$C$7),BG90*(1-$C$5-IF(BE90&lt;3,$C$8,0)),MIN(BG90*(1-$C$5-IF(BE90&lt;3,$C$8,0)),BF90*(1-$C$6-IF(BE90&lt;3,$C$8,0))))&lt;10,$C$9,IF(IF(BF90&lt;BG90*(1-$C$7),BG90*(1-$C$5-IF(BE90&lt;3,$C$8,0)),MIN(BG90*(1-$C$5-IF(BE90&lt;3,$C$8,0)),BF90*(1-$C$6-IF(BE90&lt;3,$C$8,0))))&lt;100,$D$9,$E$9)))),ROUND($D90*(1+$C$10),2),FLOOR(IF(BF90&lt;BG90*(1-$C$7),BG90*(1-$C$5-IF(BE90&lt;3,$C$8,0)),MIN(BG90*(1-$C$5-IF(BE90&lt;3,$C$8,0)),BF90*(1-$C$6-IF(BE90&lt;3,$C$8,0)))),IF(IF(BF90&lt;BG90*(1-$C$7),BG90*(1-$C$5-IF(BE90&lt;3,$C$8,0)),MIN(BG90*(1-$C$5-IF(BE90&lt;3,$C$8,0)),BF90*(1-$C$6-IF(BE90&lt;3,$C$8,0))))&lt;10,$C$9,IF(IF(BF90&lt;BG90*(1-$C$7),BG90*(1-$C$5-IF(BE90&lt;3,$C$8,0)),MIN(BG90*(1-$C$5-IF(BE90&lt;3,$C$8,0)),BF90*(1-$C$6-IF(BE90&lt;3,$C$8,0))))&lt;100,$D$9,$E$9)))))</f>
        <v>—</v>
      </c>
      <c r="BK90" s="65" t="str">
        <f aca="false">IF(BE90=0,"—",FLOOR(BJ90*Sources!$G$8,10))</f>
        <v>—</v>
      </c>
      <c r="BL90" s="60" t="str">
        <f aca="false">IF(ISNUMBER($D90),$D90,"n/a")</f>
        <v>n/a</v>
      </c>
      <c r="BM90" s="63" t="str">
        <f aca="false">IF(OR(BE90=0,NOT(ISNUMBER($D90))),"—",BJ90/$D90-1)</f>
        <v>—</v>
      </c>
      <c r="BN90" s="64" t="str">
        <f aca="false">IF(BE90=0,"—",BJ90/BF90-1)</f>
        <v>—</v>
      </c>
      <c r="BO90" s="64" t="str">
        <f aca="false">IF(BE90=0,"—",BJ90/BG90-1)</f>
        <v>—</v>
      </c>
    </row>
    <row r="91" customFormat="false" ht="15" hidden="false" customHeight="false" outlineLevel="0" collapsed="false">
      <c r="B91" s="1" t="s">
        <v>107</v>
      </c>
      <c r="C91" s="1" t="s">
        <v>216</v>
      </c>
      <c r="D91" s="58"/>
      <c r="E91" s="59" t="n">
        <f aca="false">COUNTIFS(Offers!$B$7:$B$3000,$B91,Offers!$C$7:$C$3000,"Austria",Offers!$AI$7:$AI$3000,"yes")</f>
        <v>7</v>
      </c>
      <c r="F91" s="60" t="n">
        <f aca="false">IF(E91=0,"—",SUMIFS(Review!$I$7:$I$600,Review!$B$7:$B$600,$B91,Review!$C$7:$C$600,"Austria"))</f>
        <v>2.1</v>
      </c>
      <c r="G91" s="60" t="n">
        <f aca="false">IF(E91=0,"—",SUMIFS(Review!$J$7:$J$600,Review!$B$7:$B$600,$B91,Review!$C$7:$C$600,"Austria"))</f>
        <v>4.24</v>
      </c>
      <c r="H91" s="60" t="n">
        <f aca="false">IF(E91=0,"—",SUMIFS(Review!$K$7:$K$600,Review!$B$7:$B$600,$B91,Review!$C$7:$C$600,"Austria"))</f>
        <v>14.85</v>
      </c>
      <c r="I91" s="61" t="str">
        <f aca="false">IF(E91=0,"—",IF(F91&lt;G91*(1-$C$7),"median (cheapest is an outlier)",IF(F91*(1-$C$6)&lt;G91*(1-$C$5),"undercut cheapest","median")))</f>
        <v>median (cheapest is an outlier)</v>
      </c>
      <c r="J91" s="62" t="n">
        <f aca="false">IF(E91=0,"—",IF(AND(ISNUMBER($D91),$D91*(1+$C$10)&gt;FLOOR(IF(F91&lt;G91*(1-$C$7),G91*(1-$C$5-IF(E91&lt;3,$C$8,0)),MIN(G91*(1-$C$5-IF(E91&lt;3,$C$8,0)),F91*(1-$C$6-IF(E91&lt;3,$C$8,0)))),IF(IF(F91&lt;G91*(1-$C$7),G91*(1-$C$5-IF(E91&lt;3,$C$8,0)),MIN(G91*(1-$C$5-IF(E91&lt;3,$C$8,0)),F91*(1-$C$6-IF(E91&lt;3,$C$8,0))))&lt;10,$C$9,IF(IF(F91&lt;G91*(1-$C$7),G91*(1-$C$5-IF(E91&lt;3,$C$8,0)),MIN(G91*(1-$C$5-IF(E91&lt;3,$C$8,0)),F91*(1-$C$6-IF(E91&lt;3,$C$8,0))))&lt;100,$D$9,$E$9)))),ROUND($D91*(1+$C$10),2),FLOOR(IF(F91&lt;G91*(1-$C$7),G91*(1-$C$5-IF(E91&lt;3,$C$8,0)),MIN(G91*(1-$C$5-IF(E91&lt;3,$C$8,0)),F91*(1-$C$6-IF(E91&lt;3,$C$8,0)))),IF(IF(F91&lt;G91*(1-$C$7),G91*(1-$C$5-IF(E91&lt;3,$C$8,0)),MIN(G91*(1-$C$5-IF(E91&lt;3,$C$8,0)),F91*(1-$C$6-IF(E91&lt;3,$C$8,0))))&lt;10,$C$9,IF(IF(F91&lt;G91*(1-$C$7),G91*(1-$C$5-IF(E91&lt;3,$C$8,0)),MIN(G91*(1-$C$5-IF(E91&lt;3,$C$8,0)),F91*(1-$C$6-IF(E91&lt;3,$C$8,0))))&lt;100,$D$9,$E$9)))))</f>
        <v>3.15</v>
      </c>
      <c r="K91" s="60" t="str">
        <f aca="false">IF(ISNUMBER($D91),$D91,"n/a")</f>
        <v>n/a</v>
      </c>
      <c r="L91" s="63" t="str">
        <f aca="false">IF(OR(E91=0,NOT(ISNUMBER($D91))),"—",J91/$D91-1)</f>
        <v>—</v>
      </c>
      <c r="M91" s="64" t="n">
        <f aca="false">IF(E91=0,"—",J91/F91-1)</f>
        <v>0.5</v>
      </c>
      <c r="N91" s="64" t="n">
        <f aca="false">IF(E91=0,"—",J91/G91-1)</f>
        <v>-0.257075471698113</v>
      </c>
      <c r="O91" s="59" t="n">
        <f aca="false">COUNTIFS(Offers!$B$7:$B$3000,$B91,Offers!$C$7:$C$3000,"Germany",Offers!$AI$7:$AI$3000,"yes")</f>
        <v>7</v>
      </c>
      <c r="P91" s="60" t="n">
        <f aca="false">IF(O91=0,"—",SUMIFS(Review!$I$7:$I$600,Review!$B$7:$B$600,$B91,Review!$C$7:$C$600,"Germany"))</f>
        <v>2.17</v>
      </c>
      <c r="Q91" s="60" t="n">
        <f aca="false">IF(O91=0,"—",SUMIFS(Review!$J$7:$J$600,Review!$B$7:$B$600,$B91,Review!$C$7:$C$600,"Germany"))</f>
        <v>2.69</v>
      </c>
      <c r="R91" s="60" t="n">
        <f aca="false">IF(O91=0,"—",SUMIFS(Review!$K$7:$K$600,Review!$B$7:$B$600,$B91,Review!$C$7:$C$600,"Germany"))</f>
        <v>5.87</v>
      </c>
      <c r="S91" s="61" t="str">
        <f aca="false">IF(O91=0,"—",IF(P91&lt;Q91*(1-$C$7),"median (cheapest is an outlier)",IF(P91*(1-$C$6)&lt;Q91*(1-$C$5),"undercut cheapest","median")))</f>
        <v>median</v>
      </c>
      <c r="T91" s="62" t="n">
        <f aca="false">IF(O91=0,"—",IF(AND(ISNUMBER($D91),$D91*(1+$C$10)&gt;FLOOR(IF(P91&lt;Q91*(1-$C$7),Q91*(1-$C$5-IF(O91&lt;3,$C$8,0)),MIN(Q91*(1-$C$5-IF(O91&lt;3,$C$8,0)),P91*(1-$C$6-IF(O91&lt;3,$C$8,0)))),IF(IF(P91&lt;Q91*(1-$C$7),Q91*(1-$C$5-IF(O91&lt;3,$C$8,0)),MIN(Q91*(1-$C$5-IF(O91&lt;3,$C$8,0)),P91*(1-$C$6-IF(O91&lt;3,$C$8,0))))&lt;10,$C$9,IF(IF(P91&lt;Q91*(1-$C$7),Q91*(1-$C$5-IF(O91&lt;3,$C$8,0)),MIN(Q91*(1-$C$5-IF(O91&lt;3,$C$8,0)),P91*(1-$C$6-IF(O91&lt;3,$C$8,0))))&lt;100,$D$9,$E$9)))),ROUND($D91*(1+$C$10),2),FLOOR(IF(P91&lt;Q91*(1-$C$7),Q91*(1-$C$5-IF(O91&lt;3,$C$8,0)),MIN(Q91*(1-$C$5-IF(O91&lt;3,$C$8,0)),P91*(1-$C$6-IF(O91&lt;3,$C$8,0)))),IF(IF(P91&lt;Q91*(1-$C$7),Q91*(1-$C$5-IF(O91&lt;3,$C$8,0)),MIN(Q91*(1-$C$5-IF(O91&lt;3,$C$8,0)),P91*(1-$C$6-IF(O91&lt;3,$C$8,0))))&lt;10,$C$9,IF(IF(P91&lt;Q91*(1-$C$7),Q91*(1-$C$5-IF(O91&lt;3,$C$8,0)),MIN(Q91*(1-$C$5-IF(O91&lt;3,$C$8,0)),P91*(1-$C$6-IF(O91&lt;3,$C$8,0))))&lt;100,$D$9,$E$9)))))</f>
        <v>2</v>
      </c>
      <c r="U91" s="60" t="str">
        <f aca="false">IF(ISNUMBER($D91),$D91,"n/a")</f>
        <v>n/a</v>
      </c>
      <c r="V91" s="63" t="str">
        <f aca="false">IF(OR(O91=0,NOT(ISNUMBER($D91))),"—",T91/$D91-1)</f>
        <v>—</v>
      </c>
      <c r="W91" s="64" t="n">
        <f aca="false">IF(O91=0,"—",T91/P91-1)</f>
        <v>-0.0783410138248848</v>
      </c>
      <c r="X91" s="64" t="n">
        <f aca="false">IF(O91=0,"—",T91/Q91-1)</f>
        <v>-0.256505576208178</v>
      </c>
      <c r="Y91" s="59" t="n">
        <f aca="false">COUNTIFS(Offers!$B$7:$B$3000,$B91,Offers!$C$7:$C$3000,"Czech",Offers!$AI$7:$AI$3000,"yes")</f>
        <v>4</v>
      </c>
      <c r="Z91" s="60" t="n">
        <f aca="false">IF(Y91=0,"—",SUMIFS(Review!$I$7:$I$600,Review!$B$7:$B$600,$B91,Review!$C$7:$C$600,"Czech"))</f>
        <v>1.793346</v>
      </c>
      <c r="AA91" s="60" t="n">
        <f aca="false">IF(Y91=0,"—",SUMIFS(Review!$J$7:$J$600,Review!$B$7:$B$600,$B91,Review!$C$7:$C$600,"Czech"))</f>
        <v>4.8092795</v>
      </c>
      <c r="AB91" s="60" t="n">
        <f aca="false">IF(Y91=0,"—",SUMIFS(Review!$K$7:$K$600,Review!$B$7:$B$600,$B91,Review!$C$7:$C$600,"Czech"))</f>
        <v>7.165196</v>
      </c>
      <c r="AC91" s="61" t="str">
        <f aca="false">IF(Y91=0,"—",IF(Z91&lt;AA91*(1-$C$7),"median (cheapest is an outlier)",IF(Z91*(1-$C$6)&lt;AA91*(1-$C$5),"undercut cheapest","median")))</f>
        <v>median (cheapest is an outlier)</v>
      </c>
      <c r="AD91" s="62" t="n">
        <f aca="false">IF(Y91=0,"—",IF(AND(ISNUMBER($D91),$D91*(1+$C$10)&gt;FLOOR(IF(Z91&lt;AA91*(1-$C$7),AA91*(1-$C$5-IF(Y91&lt;3,$C$8,0)),MIN(AA91*(1-$C$5-IF(Y91&lt;3,$C$8,0)),Z91*(1-$C$6-IF(Y91&lt;3,$C$8,0)))),IF(IF(Z91&lt;AA91*(1-$C$7),AA91*(1-$C$5-IF(Y91&lt;3,$C$8,0)),MIN(AA91*(1-$C$5-IF(Y91&lt;3,$C$8,0)),Z91*(1-$C$6-IF(Y91&lt;3,$C$8,0))))&lt;10,$C$9,IF(IF(Z91&lt;AA91*(1-$C$7),AA91*(1-$C$5-IF(Y91&lt;3,$C$8,0)),MIN(AA91*(1-$C$5-IF(Y91&lt;3,$C$8,0)),Z91*(1-$C$6-IF(Y91&lt;3,$C$8,0))))&lt;100,$D$9,$E$9)))),ROUND($D91*(1+$C$10),2),FLOOR(IF(Z91&lt;AA91*(1-$C$7),AA91*(1-$C$5-IF(Y91&lt;3,$C$8,0)),MIN(AA91*(1-$C$5-IF(Y91&lt;3,$C$8,0)),Z91*(1-$C$6-IF(Y91&lt;3,$C$8,0)))),IF(IF(Z91&lt;AA91*(1-$C$7),AA91*(1-$C$5-IF(Y91&lt;3,$C$8,0)),MIN(AA91*(1-$C$5-IF(Y91&lt;3,$C$8,0)),Z91*(1-$C$6-IF(Y91&lt;3,$C$8,0))))&lt;10,$C$9,IF(IF(Z91&lt;AA91*(1-$C$7),AA91*(1-$C$5-IF(Y91&lt;3,$C$8,0)),MIN(AA91*(1-$C$5-IF(Y91&lt;3,$C$8,0)),Z91*(1-$C$6-IF(Y91&lt;3,$C$8,0))))&lt;100,$D$9,$E$9)))))</f>
        <v>3.6</v>
      </c>
      <c r="AE91" s="65" t="n">
        <f aca="false">IF(Y91=0,"—",FLOOR(AD91*Sources!$G$10,1))</f>
        <v>87</v>
      </c>
      <c r="AF91" s="60" t="str">
        <f aca="false">IF(ISNUMBER($D91),$D91,"n/a")</f>
        <v>n/a</v>
      </c>
      <c r="AG91" s="63" t="str">
        <f aca="false">IF(OR(Y91=0,NOT(ISNUMBER($D91))),"—",AD91/$D91-1)</f>
        <v>—</v>
      </c>
      <c r="AH91" s="64" t="n">
        <f aca="false">IF(Y91=0,"—",AD91/Z91-1)</f>
        <v>1.00742076542954</v>
      </c>
      <c r="AI91" s="64" t="n">
        <f aca="false">IF(Y91=0,"—",AD91/AA91-1)</f>
        <v>-0.251447124252188</v>
      </c>
      <c r="AJ91" s="59" t="n">
        <f aca="false">COUNTIFS(Offers!$B$7:$B$3000,$B91,Offers!$C$7:$C$3000,"Slovakia",Offers!$AI$7:$AI$3000,"yes")</f>
        <v>5</v>
      </c>
      <c r="AK91" s="60" t="n">
        <f aca="false">IF(AJ91=0,"—",SUMIFS(Review!$I$7:$I$600,Review!$B$7:$B$600,$B91,Review!$C$7:$C$600,"Slovakia"))</f>
        <v>1.88</v>
      </c>
      <c r="AL91" s="60" t="n">
        <f aca="false">IF(AJ91=0,"—",SUMIFS(Review!$J$7:$J$600,Review!$B$7:$B$600,$B91,Review!$C$7:$C$600,"Slovakia"))</f>
        <v>3</v>
      </c>
      <c r="AM91" s="60" t="n">
        <f aca="false">IF(AJ91=0,"—",SUMIFS(Review!$K$7:$K$600,Review!$B$7:$B$600,$B91,Review!$C$7:$C$600,"Slovakia"))</f>
        <v>6.94</v>
      </c>
      <c r="AN91" s="61" t="str">
        <f aca="false">IF(AJ91=0,"—",IF(AK91&lt;AL91*(1-$C$7),"median (cheapest is an outlier)",IF(AK91*(1-$C$6)&lt;AL91*(1-$C$5),"undercut cheapest","median")))</f>
        <v>median (cheapest is an outlier)</v>
      </c>
      <c r="AO91" s="62" t="n">
        <f aca="false">IF(AJ91=0,"—",IF(AND(ISNUMBER($D91),$D91*(1+$C$10)&gt;FLOOR(IF(AK91&lt;AL91*(1-$C$7),AL91*(1-$C$5-IF(AJ91&lt;3,$C$8,0)),MIN(AL91*(1-$C$5-IF(AJ91&lt;3,$C$8,0)),AK91*(1-$C$6-IF(AJ91&lt;3,$C$8,0)))),IF(IF(AK91&lt;AL91*(1-$C$7),AL91*(1-$C$5-IF(AJ91&lt;3,$C$8,0)),MIN(AL91*(1-$C$5-IF(AJ91&lt;3,$C$8,0)),AK91*(1-$C$6-IF(AJ91&lt;3,$C$8,0))))&lt;10,$C$9,IF(IF(AK91&lt;AL91*(1-$C$7),AL91*(1-$C$5-IF(AJ91&lt;3,$C$8,0)),MIN(AL91*(1-$C$5-IF(AJ91&lt;3,$C$8,0)),AK91*(1-$C$6-IF(AJ91&lt;3,$C$8,0))))&lt;100,$D$9,$E$9)))),ROUND($D91*(1+$C$10),2),FLOOR(IF(AK91&lt;AL91*(1-$C$7),AL91*(1-$C$5-IF(AJ91&lt;3,$C$8,0)),MIN(AL91*(1-$C$5-IF(AJ91&lt;3,$C$8,0)),AK91*(1-$C$6-IF(AJ91&lt;3,$C$8,0)))),IF(IF(AK91&lt;AL91*(1-$C$7),AL91*(1-$C$5-IF(AJ91&lt;3,$C$8,0)),MIN(AL91*(1-$C$5-IF(AJ91&lt;3,$C$8,0)),AK91*(1-$C$6-IF(AJ91&lt;3,$C$8,0))))&lt;10,$C$9,IF(IF(AK91&lt;AL91*(1-$C$7),AL91*(1-$C$5-IF(AJ91&lt;3,$C$8,0)),MIN(AL91*(1-$C$5-IF(AJ91&lt;3,$C$8,0)),AK91*(1-$C$6-IF(AJ91&lt;3,$C$8,0))))&lt;100,$D$9,$E$9)))))</f>
        <v>2.25</v>
      </c>
      <c r="AP91" s="60" t="str">
        <f aca="false">IF(ISNUMBER($D91),$D91,"n/a")</f>
        <v>n/a</v>
      </c>
      <c r="AQ91" s="63" t="str">
        <f aca="false">IF(OR(AJ91=0,NOT(ISNUMBER($D91))),"—",AO91/$D91-1)</f>
        <v>—</v>
      </c>
      <c r="AR91" s="64" t="n">
        <f aca="false">IF(AJ91=0,"—",AO91/AK91-1)</f>
        <v>0.196808510638298</v>
      </c>
      <c r="AS91" s="64" t="n">
        <f aca="false">IF(AJ91=0,"—",AO91/AL91-1)</f>
        <v>-0.25</v>
      </c>
      <c r="AT91" s="59" t="n">
        <f aca="false">COUNTIFS(Offers!$B$7:$B$3000,$B91,Offers!$C$7:$C$3000,"Romania",Offers!$AI$7:$AI$3000,"yes")</f>
        <v>5</v>
      </c>
      <c r="AU91" s="60" t="n">
        <f aca="false">IF(AT91=0,"—",SUMIFS(Review!$I$7:$I$600,Review!$B$7:$B$600,$B91,Review!$C$7:$C$600,"Romania"))</f>
        <v>2.54</v>
      </c>
      <c r="AV91" s="60" t="n">
        <f aca="false">IF(AT91=0,"—",SUMIFS(Review!$J$7:$J$600,Review!$B$7:$B$600,$B91,Review!$C$7:$C$600,"Romania"))</f>
        <v>2.952076</v>
      </c>
      <c r="AW91" s="60" t="n">
        <f aca="false">IF(AT91=0,"—",SUMIFS(Review!$K$7:$K$600,Review!$B$7:$B$600,$B91,Review!$C$7:$C$600,"Romania"))</f>
        <v>7.304399</v>
      </c>
      <c r="AX91" s="61" t="str">
        <f aca="false">IF(AT91=0,"—",IF(AU91&lt;AV91*(1-$C$7),"median (cheapest is an outlier)",IF(AU91*(1-$C$6)&lt;AV91*(1-$C$5),"undercut cheapest","median")))</f>
        <v>median</v>
      </c>
      <c r="AY91" s="62" t="n">
        <f aca="false">IF(AT91=0,"—",IF(AND(ISNUMBER($D91),$D91*(1+$C$10)&gt;FLOOR(IF(AU91&lt;AV91*(1-$C$7),AV91*(1-$C$5-IF(AT91&lt;3,$C$8,0)),MIN(AV91*(1-$C$5-IF(AT91&lt;3,$C$8,0)),AU91*(1-$C$6-IF(AT91&lt;3,$C$8,0)))),IF(IF(AU91&lt;AV91*(1-$C$7),AV91*(1-$C$5-IF(AT91&lt;3,$C$8,0)),MIN(AV91*(1-$C$5-IF(AT91&lt;3,$C$8,0)),AU91*(1-$C$6-IF(AT91&lt;3,$C$8,0))))&lt;10,$C$9,IF(IF(AU91&lt;AV91*(1-$C$7),AV91*(1-$C$5-IF(AT91&lt;3,$C$8,0)),MIN(AV91*(1-$C$5-IF(AT91&lt;3,$C$8,0)),AU91*(1-$C$6-IF(AT91&lt;3,$C$8,0))))&lt;100,$D$9,$E$9)))),ROUND($D91*(1+$C$10),2),FLOOR(IF(AU91&lt;AV91*(1-$C$7),AV91*(1-$C$5-IF(AT91&lt;3,$C$8,0)),MIN(AV91*(1-$C$5-IF(AT91&lt;3,$C$8,0)),AU91*(1-$C$6-IF(AT91&lt;3,$C$8,0)))),IF(IF(AU91&lt;AV91*(1-$C$7),AV91*(1-$C$5-IF(AT91&lt;3,$C$8,0)),MIN(AV91*(1-$C$5-IF(AT91&lt;3,$C$8,0)),AU91*(1-$C$6-IF(AT91&lt;3,$C$8,0))))&lt;10,$C$9,IF(IF(AU91&lt;AV91*(1-$C$7),AV91*(1-$C$5-IF(AT91&lt;3,$C$8,0)),MIN(AV91*(1-$C$5-IF(AT91&lt;3,$C$8,0)),AU91*(1-$C$6-IF(AT91&lt;3,$C$8,0))))&lt;100,$D$9,$E$9)))))</f>
        <v>2.2</v>
      </c>
      <c r="AZ91" s="62" t="n">
        <f aca="false">IF(AT91=0,"—",FLOOR(AY91*Sources!$G$9,0.1))</f>
        <v>11.6</v>
      </c>
      <c r="BA91" s="60" t="str">
        <f aca="false">IF(ISNUMBER($D91),$D91,"n/a")</f>
        <v>n/a</v>
      </c>
      <c r="BB91" s="63" t="str">
        <f aca="false">IF(OR(AT91=0,NOT(ISNUMBER($D91))),"—",AY91/$D91-1)</f>
        <v>—</v>
      </c>
      <c r="BC91" s="64" t="n">
        <f aca="false">IF(AT91=0,"—",AY91/AU91-1)</f>
        <v>-0.133858267716535</v>
      </c>
      <c r="BD91" s="64" t="n">
        <f aca="false">IF(AT91=0,"—",AY91/AV91-1)</f>
        <v>-0.254761733776502</v>
      </c>
      <c r="BE91" s="59" t="n">
        <f aca="false">COUNTIFS(Offers!$B$7:$B$3000,$B91,Offers!$C$7:$C$3000,"Hungary",Offers!$AI$7:$AI$3000,"yes")</f>
        <v>0</v>
      </c>
      <c r="BF91" s="60" t="str">
        <f aca="false">IF(BE91=0,"—",SUMIFS(Review!$I$7:$I$600,Review!$B$7:$B$600,$B91,Review!$C$7:$C$600,"Hungary"))</f>
        <v>—</v>
      </c>
      <c r="BG91" s="60" t="str">
        <f aca="false">IF(BE91=0,"—",SUMIFS(Review!$J$7:$J$600,Review!$B$7:$B$600,$B91,Review!$C$7:$C$600,"Hungary"))</f>
        <v>—</v>
      </c>
      <c r="BH91" s="60" t="str">
        <f aca="false">IF(BE91=0,"—",SUMIFS(Review!$K$7:$K$600,Review!$B$7:$B$600,$B91,Review!$C$7:$C$600,"Hungary"))</f>
        <v>—</v>
      </c>
      <c r="BI91" s="61" t="str">
        <f aca="false">IF(BE91=0,"—",IF(BF91&lt;BG91*(1-$C$7),"median (cheapest is an outlier)",IF(BF91*(1-$C$6)&lt;BG91*(1-$C$5),"undercut cheapest","median")))</f>
        <v>—</v>
      </c>
      <c r="BJ91" s="62" t="str">
        <f aca="false">IF(BE91=0,"—",IF(AND(ISNUMBER($D91),$D91*(1+$C$10)&gt;FLOOR(IF(BF91&lt;BG91*(1-$C$7),BG91*(1-$C$5-IF(BE91&lt;3,$C$8,0)),MIN(BG91*(1-$C$5-IF(BE91&lt;3,$C$8,0)),BF91*(1-$C$6-IF(BE91&lt;3,$C$8,0)))),IF(IF(BF91&lt;BG91*(1-$C$7),BG91*(1-$C$5-IF(BE91&lt;3,$C$8,0)),MIN(BG91*(1-$C$5-IF(BE91&lt;3,$C$8,0)),BF91*(1-$C$6-IF(BE91&lt;3,$C$8,0))))&lt;10,$C$9,IF(IF(BF91&lt;BG91*(1-$C$7),BG91*(1-$C$5-IF(BE91&lt;3,$C$8,0)),MIN(BG91*(1-$C$5-IF(BE91&lt;3,$C$8,0)),BF91*(1-$C$6-IF(BE91&lt;3,$C$8,0))))&lt;100,$D$9,$E$9)))),ROUND($D91*(1+$C$10),2),FLOOR(IF(BF91&lt;BG91*(1-$C$7),BG91*(1-$C$5-IF(BE91&lt;3,$C$8,0)),MIN(BG91*(1-$C$5-IF(BE91&lt;3,$C$8,0)),BF91*(1-$C$6-IF(BE91&lt;3,$C$8,0)))),IF(IF(BF91&lt;BG91*(1-$C$7),BG91*(1-$C$5-IF(BE91&lt;3,$C$8,0)),MIN(BG91*(1-$C$5-IF(BE91&lt;3,$C$8,0)),BF91*(1-$C$6-IF(BE91&lt;3,$C$8,0))))&lt;10,$C$9,IF(IF(BF91&lt;BG91*(1-$C$7),BG91*(1-$C$5-IF(BE91&lt;3,$C$8,0)),MIN(BG91*(1-$C$5-IF(BE91&lt;3,$C$8,0)),BF91*(1-$C$6-IF(BE91&lt;3,$C$8,0))))&lt;100,$D$9,$E$9)))))</f>
        <v>—</v>
      </c>
      <c r="BK91" s="65" t="str">
        <f aca="false">IF(BE91=0,"—",FLOOR(BJ91*Sources!$G$8,10))</f>
        <v>—</v>
      </c>
      <c r="BL91" s="60" t="str">
        <f aca="false">IF(ISNUMBER($D91),$D91,"n/a")</f>
        <v>n/a</v>
      </c>
      <c r="BM91" s="63" t="str">
        <f aca="false">IF(OR(BE91=0,NOT(ISNUMBER($D91))),"—",BJ91/$D91-1)</f>
        <v>—</v>
      </c>
      <c r="BN91" s="64" t="str">
        <f aca="false">IF(BE91=0,"—",BJ91/BF91-1)</f>
        <v>—</v>
      </c>
      <c r="BO91" s="64" t="str">
        <f aca="false">IF(BE91=0,"—",BJ91/BG91-1)</f>
        <v>—</v>
      </c>
    </row>
    <row r="92" customFormat="false" ht="15" hidden="false" customHeight="false" outlineLevel="0" collapsed="false">
      <c r="B92" s="1" t="s">
        <v>108</v>
      </c>
      <c r="C92" s="1" t="s">
        <v>217</v>
      </c>
      <c r="D92" s="58"/>
      <c r="E92" s="59" t="n">
        <f aca="false">COUNTIFS(Offers!$B$7:$B$3000,$B92,Offers!$C$7:$C$3000,"Austria",Offers!$AI$7:$AI$3000,"yes")</f>
        <v>7</v>
      </c>
      <c r="F92" s="60" t="n">
        <f aca="false">IF(E92=0,"—",SUMIFS(Review!$I$7:$I$600,Review!$B$7:$B$600,$B92,Review!$C$7:$C$600,"Austria"))</f>
        <v>1.6</v>
      </c>
      <c r="G92" s="60" t="n">
        <f aca="false">IF(E92=0,"—",SUMIFS(Review!$J$7:$J$600,Review!$B$7:$B$600,$B92,Review!$C$7:$C$600,"Austria"))</f>
        <v>2.37</v>
      </c>
      <c r="H92" s="60" t="n">
        <f aca="false">IF(E92=0,"—",SUMIFS(Review!$K$7:$K$600,Review!$B$7:$B$600,$B92,Review!$C$7:$C$600,"Austria"))</f>
        <v>16.68</v>
      </c>
      <c r="I92" s="61" t="str">
        <f aca="false">IF(E92=0,"—",IF(F92&lt;G92*(1-$C$7),"median (cheapest is an outlier)",IF(F92*(1-$C$6)&lt;G92*(1-$C$5),"undercut cheapest","median")))</f>
        <v>undercut cheapest</v>
      </c>
      <c r="J92" s="62" t="n">
        <f aca="false">IF(E92=0,"—",IF(AND(ISNUMBER($D92),$D92*(1+$C$10)&gt;FLOOR(IF(F92&lt;G92*(1-$C$7),G92*(1-$C$5-IF(E92&lt;3,$C$8,0)),MIN(G92*(1-$C$5-IF(E92&lt;3,$C$8,0)),F92*(1-$C$6-IF(E92&lt;3,$C$8,0)))),IF(IF(F92&lt;G92*(1-$C$7),G92*(1-$C$5-IF(E92&lt;3,$C$8,0)),MIN(G92*(1-$C$5-IF(E92&lt;3,$C$8,0)),F92*(1-$C$6-IF(E92&lt;3,$C$8,0))))&lt;10,$C$9,IF(IF(F92&lt;G92*(1-$C$7),G92*(1-$C$5-IF(E92&lt;3,$C$8,0)),MIN(G92*(1-$C$5-IF(E92&lt;3,$C$8,0)),F92*(1-$C$6-IF(E92&lt;3,$C$8,0))))&lt;100,$D$9,$E$9)))),ROUND($D92*(1+$C$10),2),FLOOR(IF(F92&lt;G92*(1-$C$7),G92*(1-$C$5-IF(E92&lt;3,$C$8,0)),MIN(G92*(1-$C$5-IF(E92&lt;3,$C$8,0)),F92*(1-$C$6-IF(E92&lt;3,$C$8,0)))),IF(IF(F92&lt;G92*(1-$C$7),G92*(1-$C$5-IF(E92&lt;3,$C$8,0)),MIN(G92*(1-$C$5-IF(E92&lt;3,$C$8,0)),F92*(1-$C$6-IF(E92&lt;3,$C$8,0))))&lt;10,$C$9,IF(IF(F92&lt;G92*(1-$C$7),G92*(1-$C$5-IF(E92&lt;3,$C$8,0)),MIN(G92*(1-$C$5-IF(E92&lt;3,$C$8,0)),F92*(1-$C$6-IF(E92&lt;3,$C$8,0))))&lt;100,$D$9,$E$9)))))</f>
        <v>1.5</v>
      </c>
      <c r="K92" s="60" t="str">
        <f aca="false">IF(ISNUMBER($D92),$D92,"n/a")</f>
        <v>n/a</v>
      </c>
      <c r="L92" s="63" t="str">
        <f aca="false">IF(OR(E92=0,NOT(ISNUMBER($D92))),"—",J92/$D92-1)</f>
        <v>—</v>
      </c>
      <c r="M92" s="64" t="n">
        <f aca="false">IF(E92=0,"—",J92/F92-1)</f>
        <v>-0.0625</v>
      </c>
      <c r="N92" s="64" t="n">
        <f aca="false">IF(E92=0,"—",J92/G92-1)</f>
        <v>-0.367088607594937</v>
      </c>
      <c r="O92" s="59" t="n">
        <f aca="false">COUNTIFS(Offers!$B$7:$B$3000,$B92,Offers!$C$7:$C$3000,"Germany",Offers!$AI$7:$AI$3000,"yes")</f>
        <v>7</v>
      </c>
      <c r="P92" s="60" t="n">
        <f aca="false">IF(O92=0,"—",SUMIFS(Review!$I$7:$I$600,Review!$B$7:$B$600,$B92,Review!$C$7:$C$600,"Germany"))</f>
        <v>1.59</v>
      </c>
      <c r="Q92" s="60" t="n">
        <f aca="false">IF(O92=0,"—",SUMIFS(Review!$J$7:$J$600,Review!$B$7:$B$600,$B92,Review!$C$7:$C$600,"Germany"))</f>
        <v>2.19</v>
      </c>
      <c r="R92" s="60" t="n">
        <f aca="false">IF(O92=0,"—",SUMIFS(Review!$K$7:$K$600,Review!$B$7:$B$600,$B92,Review!$C$7:$C$600,"Germany"))</f>
        <v>11.1</v>
      </c>
      <c r="S92" s="61" t="str">
        <f aca="false">IF(O92=0,"—",IF(P92&lt;Q92*(1-$C$7),"median (cheapest is an outlier)",IF(P92*(1-$C$6)&lt;Q92*(1-$C$5),"undercut cheapest","median")))</f>
        <v>undercut cheapest</v>
      </c>
      <c r="T92" s="62" t="n">
        <f aca="false">IF(O92=0,"—",IF(AND(ISNUMBER($D92),$D92*(1+$C$10)&gt;FLOOR(IF(P92&lt;Q92*(1-$C$7),Q92*(1-$C$5-IF(O92&lt;3,$C$8,0)),MIN(Q92*(1-$C$5-IF(O92&lt;3,$C$8,0)),P92*(1-$C$6-IF(O92&lt;3,$C$8,0)))),IF(IF(P92&lt;Q92*(1-$C$7),Q92*(1-$C$5-IF(O92&lt;3,$C$8,0)),MIN(Q92*(1-$C$5-IF(O92&lt;3,$C$8,0)),P92*(1-$C$6-IF(O92&lt;3,$C$8,0))))&lt;10,$C$9,IF(IF(P92&lt;Q92*(1-$C$7),Q92*(1-$C$5-IF(O92&lt;3,$C$8,0)),MIN(Q92*(1-$C$5-IF(O92&lt;3,$C$8,0)),P92*(1-$C$6-IF(O92&lt;3,$C$8,0))))&lt;100,$D$9,$E$9)))),ROUND($D92*(1+$C$10),2),FLOOR(IF(P92&lt;Q92*(1-$C$7),Q92*(1-$C$5-IF(O92&lt;3,$C$8,0)),MIN(Q92*(1-$C$5-IF(O92&lt;3,$C$8,0)),P92*(1-$C$6-IF(O92&lt;3,$C$8,0)))),IF(IF(P92&lt;Q92*(1-$C$7),Q92*(1-$C$5-IF(O92&lt;3,$C$8,0)),MIN(Q92*(1-$C$5-IF(O92&lt;3,$C$8,0)),P92*(1-$C$6-IF(O92&lt;3,$C$8,0))))&lt;10,$C$9,IF(IF(P92&lt;Q92*(1-$C$7),Q92*(1-$C$5-IF(O92&lt;3,$C$8,0)),MIN(Q92*(1-$C$5-IF(O92&lt;3,$C$8,0)),P92*(1-$C$6-IF(O92&lt;3,$C$8,0))))&lt;100,$D$9,$E$9)))))</f>
        <v>1.5</v>
      </c>
      <c r="U92" s="60" t="str">
        <f aca="false">IF(ISNUMBER($D92),$D92,"n/a")</f>
        <v>n/a</v>
      </c>
      <c r="V92" s="63" t="str">
        <f aca="false">IF(OR(O92=0,NOT(ISNUMBER($D92))),"—",T92/$D92-1)</f>
        <v>—</v>
      </c>
      <c r="W92" s="64" t="n">
        <f aca="false">IF(O92=0,"—",T92/P92-1)</f>
        <v>-0.0566037735849058</v>
      </c>
      <c r="X92" s="64" t="n">
        <f aca="false">IF(O92=0,"—",T92/Q92-1)</f>
        <v>-0.315068493150685</v>
      </c>
      <c r="Y92" s="59" t="n">
        <f aca="false">COUNTIFS(Offers!$B$7:$B$3000,$B92,Offers!$C$7:$C$3000,"Czech",Offers!$AI$7:$AI$3000,"yes")</f>
        <v>4</v>
      </c>
      <c r="Z92" s="60" t="n">
        <f aca="false">IF(Y92=0,"—",SUMIFS(Review!$I$7:$I$600,Review!$B$7:$B$600,$B92,Review!$C$7:$C$600,"Czech"))</f>
        <v>1.252067</v>
      </c>
      <c r="AA92" s="60" t="n">
        <f aca="false">IF(Y92=0,"—",SUMIFS(Review!$J$7:$J$600,Review!$B$7:$B$600,$B92,Review!$C$7:$C$600,"Czech"))</f>
        <v>2.685925</v>
      </c>
      <c r="AB92" s="60" t="n">
        <f aca="false">IF(Y92=0,"—",SUMIFS(Review!$K$7:$K$600,Review!$B$7:$B$600,$B92,Review!$C$7:$C$600,"Czech"))</f>
        <v>5.650269</v>
      </c>
      <c r="AC92" s="61" t="str">
        <f aca="false">IF(Y92=0,"—",IF(Z92&lt;AA92*(1-$C$7),"median (cheapest is an outlier)",IF(Z92*(1-$C$6)&lt;AA92*(1-$C$5),"undercut cheapest","median")))</f>
        <v>median (cheapest is an outlier)</v>
      </c>
      <c r="AD92" s="62" t="n">
        <f aca="false">IF(Y92=0,"—",IF(AND(ISNUMBER($D92),$D92*(1+$C$10)&gt;FLOOR(IF(Z92&lt;AA92*(1-$C$7),AA92*(1-$C$5-IF(Y92&lt;3,$C$8,0)),MIN(AA92*(1-$C$5-IF(Y92&lt;3,$C$8,0)),Z92*(1-$C$6-IF(Y92&lt;3,$C$8,0)))),IF(IF(Z92&lt;AA92*(1-$C$7),AA92*(1-$C$5-IF(Y92&lt;3,$C$8,0)),MIN(AA92*(1-$C$5-IF(Y92&lt;3,$C$8,0)),Z92*(1-$C$6-IF(Y92&lt;3,$C$8,0))))&lt;10,$C$9,IF(IF(Z92&lt;AA92*(1-$C$7),AA92*(1-$C$5-IF(Y92&lt;3,$C$8,0)),MIN(AA92*(1-$C$5-IF(Y92&lt;3,$C$8,0)),Z92*(1-$C$6-IF(Y92&lt;3,$C$8,0))))&lt;100,$D$9,$E$9)))),ROUND($D92*(1+$C$10),2),FLOOR(IF(Z92&lt;AA92*(1-$C$7),AA92*(1-$C$5-IF(Y92&lt;3,$C$8,0)),MIN(AA92*(1-$C$5-IF(Y92&lt;3,$C$8,0)),Z92*(1-$C$6-IF(Y92&lt;3,$C$8,0)))),IF(IF(Z92&lt;AA92*(1-$C$7),AA92*(1-$C$5-IF(Y92&lt;3,$C$8,0)),MIN(AA92*(1-$C$5-IF(Y92&lt;3,$C$8,0)),Z92*(1-$C$6-IF(Y92&lt;3,$C$8,0))))&lt;10,$C$9,IF(IF(Z92&lt;AA92*(1-$C$7),AA92*(1-$C$5-IF(Y92&lt;3,$C$8,0)),MIN(AA92*(1-$C$5-IF(Y92&lt;3,$C$8,0)),Z92*(1-$C$6-IF(Y92&lt;3,$C$8,0))))&lt;100,$D$9,$E$9)))))</f>
        <v>2</v>
      </c>
      <c r="AE92" s="65" t="n">
        <f aca="false">IF(Y92=0,"—",FLOOR(AD92*Sources!$G$10,1))</f>
        <v>48</v>
      </c>
      <c r="AF92" s="60" t="str">
        <f aca="false">IF(ISNUMBER($D92),$D92,"n/a")</f>
        <v>n/a</v>
      </c>
      <c r="AG92" s="63" t="str">
        <f aca="false">IF(OR(Y92=0,NOT(ISNUMBER($D92))),"—",AD92/$D92-1)</f>
        <v>—</v>
      </c>
      <c r="AH92" s="64" t="n">
        <f aca="false">IF(Y92=0,"—",AD92/Z92-1)</f>
        <v>0.597358607806132</v>
      </c>
      <c r="AI92" s="64" t="n">
        <f aca="false">IF(Y92=0,"—",AD92/AA92-1)</f>
        <v>-0.255377570110856</v>
      </c>
      <c r="AJ92" s="59" t="n">
        <f aca="false">COUNTIFS(Offers!$B$7:$B$3000,$B92,Offers!$C$7:$C$3000,"Slovakia",Offers!$AI$7:$AI$3000,"yes")</f>
        <v>5</v>
      </c>
      <c r="AK92" s="60" t="n">
        <f aca="false">IF(AJ92=0,"—",SUMIFS(Review!$I$7:$I$600,Review!$B$7:$B$600,$B92,Review!$C$7:$C$600,"Slovakia"))</f>
        <v>1.22</v>
      </c>
      <c r="AL92" s="60" t="n">
        <f aca="false">IF(AJ92=0,"—",SUMIFS(Review!$J$7:$J$600,Review!$B$7:$B$600,$B92,Review!$C$7:$C$600,"Slovakia"))</f>
        <v>1.98</v>
      </c>
      <c r="AM92" s="60" t="n">
        <f aca="false">IF(AJ92=0,"—",SUMIFS(Review!$K$7:$K$600,Review!$B$7:$B$600,$B92,Review!$C$7:$C$600,"Slovakia"))</f>
        <v>5.33</v>
      </c>
      <c r="AN92" s="61" t="str">
        <f aca="false">IF(AJ92=0,"—",IF(AK92&lt;AL92*(1-$C$7),"median (cheapest is an outlier)",IF(AK92*(1-$C$6)&lt;AL92*(1-$C$5),"undercut cheapest","median")))</f>
        <v>median (cheapest is an outlier)</v>
      </c>
      <c r="AO92" s="62" t="n">
        <f aca="false">IF(AJ92=0,"—",IF(AND(ISNUMBER($D92),$D92*(1+$C$10)&gt;FLOOR(IF(AK92&lt;AL92*(1-$C$7),AL92*(1-$C$5-IF(AJ92&lt;3,$C$8,0)),MIN(AL92*(1-$C$5-IF(AJ92&lt;3,$C$8,0)),AK92*(1-$C$6-IF(AJ92&lt;3,$C$8,0)))),IF(IF(AK92&lt;AL92*(1-$C$7),AL92*(1-$C$5-IF(AJ92&lt;3,$C$8,0)),MIN(AL92*(1-$C$5-IF(AJ92&lt;3,$C$8,0)),AK92*(1-$C$6-IF(AJ92&lt;3,$C$8,0))))&lt;10,$C$9,IF(IF(AK92&lt;AL92*(1-$C$7),AL92*(1-$C$5-IF(AJ92&lt;3,$C$8,0)),MIN(AL92*(1-$C$5-IF(AJ92&lt;3,$C$8,0)),AK92*(1-$C$6-IF(AJ92&lt;3,$C$8,0))))&lt;100,$D$9,$E$9)))),ROUND($D92*(1+$C$10),2),FLOOR(IF(AK92&lt;AL92*(1-$C$7),AL92*(1-$C$5-IF(AJ92&lt;3,$C$8,0)),MIN(AL92*(1-$C$5-IF(AJ92&lt;3,$C$8,0)),AK92*(1-$C$6-IF(AJ92&lt;3,$C$8,0)))),IF(IF(AK92&lt;AL92*(1-$C$7),AL92*(1-$C$5-IF(AJ92&lt;3,$C$8,0)),MIN(AL92*(1-$C$5-IF(AJ92&lt;3,$C$8,0)),AK92*(1-$C$6-IF(AJ92&lt;3,$C$8,0))))&lt;10,$C$9,IF(IF(AK92&lt;AL92*(1-$C$7),AL92*(1-$C$5-IF(AJ92&lt;3,$C$8,0)),MIN(AL92*(1-$C$5-IF(AJ92&lt;3,$C$8,0)),AK92*(1-$C$6-IF(AJ92&lt;3,$C$8,0))))&lt;100,$D$9,$E$9)))))</f>
        <v>1.45</v>
      </c>
      <c r="AP92" s="60" t="str">
        <f aca="false">IF(ISNUMBER($D92),$D92,"n/a")</f>
        <v>n/a</v>
      </c>
      <c r="AQ92" s="63" t="str">
        <f aca="false">IF(OR(AJ92=0,NOT(ISNUMBER($D92))),"—",AO92/$D92-1)</f>
        <v>—</v>
      </c>
      <c r="AR92" s="64" t="n">
        <f aca="false">IF(AJ92=0,"—",AO92/AK92-1)</f>
        <v>0.188524590163935</v>
      </c>
      <c r="AS92" s="64" t="n">
        <f aca="false">IF(AJ92=0,"—",AO92/AL92-1)</f>
        <v>-0.267676767676768</v>
      </c>
      <c r="AT92" s="59" t="n">
        <f aca="false">COUNTIFS(Offers!$B$7:$B$3000,$B92,Offers!$C$7:$C$3000,"Romania",Offers!$AI$7:$AI$3000,"yes")</f>
        <v>5</v>
      </c>
      <c r="AU92" s="60" t="n">
        <f aca="false">IF(AT92=0,"—",SUMIFS(Review!$I$7:$I$600,Review!$B$7:$B$600,$B92,Review!$C$7:$C$600,"Romania"))</f>
        <v>1.661727</v>
      </c>
      <c r="AV92" s="60" t="n">
        <f aca="false">IF(AT92=0,"—",SUMIFS(Review!$J$7:$J$600,Review!$B$7:$B$600,$B92,Review!$C$7:$C$600,"Romania"))</f>
        <v>1.820889</v>
      </c>
      <c r="AW92" s="60" t="n">
        <f aca="false">IF(AT92=0,"—",SUMIFS(Review!$K$7:$K$600,Review!$B$7:$B$600,$B92,Review!$C$7:$C$600,"Romania"))</f>
        <v>5.612355</v>
      </c>
      <c r="AX92" s="61" t="str">
        <f aca="false">IF(AT92=0,"—",IF(AU92&lt;AV92*(1-$C$7),"median (cheapest is an outlier)",IF(AU92*(1-$C$6)&lt;AV92*(1-$C$5),"undercut cheapest","median")))</f>
        <v>median</v>
      </c>
      <c r="AY92" s="62" t="n">
        <f aca="false">IF(AT92=0,"—",IF(AND(ISNUMBER($D92),$D92*(1+$C$10)&gt;FLOOR(IF(AU92&lt;AV92*(1-$C$7),AV92*(1-$C$5-IF(AT92&lt;3,$C$8,0)),MIN(AV92*(1-$C$5-IF(AT92&lt;3,$C$8,0)),AU92*(1-$C$6-IF(AT92&lt;3,$C$8,0)))),IF(IF(AU92&lt;AV92*(1-$C$7),AV92*(1-$C$5-IF(AT92&lt;3,$C$8,0)),MIN(AV92*(1-$C$5-IF(AT92&lt;3,$C$8,0)),AU92*(1-$C$6-IF(AT92&lt;3,$C$8,0))))&lt;10,$C$9,IF(IF(AU92&lt;AV92*(1-$C$7),AV92*(1-$C$5-IF(AT92&lt;3,$C$8,0)),MIN(AV92*(1-$C$5-IF(AT92&lt;3,$C$8,0)),AU92*(1-$C$6-IF(AT92&lt;3,$C$8,0))))&lt;100,$D$9,$E$9)))),ROUND($D92*(1+$C$10),2),FLOOR(IF(AU92&lt;AV92*(1-$C$7),AV92*(1-$C$5-IF(AT92&lt;3,$C$8,0)),MIN(AV92*(1-$C$5-IF(AT92&lt;3,$C$8,0)),AU92*(1-$C$6-IF(AT92&lt;3,$C$8,0)))),IF(IF(AU92&lt;AV92*(1-$C$7),AV92*(1-$C$5-IF(AT92&lt;3,$C$8,0)),MIN(AV92*(1-$C$5-IF(AT92&lt;3,$C$8,0)),AU92*(1-$C$6-IF(AT92&lt;3,$C$8,0))))&lt;10,$C$9,IF(IF(AU92&lt;AV92*(1-$C$7),AV92*(1-$C$5-IF(AT92&lt;3,$C$8,0)),MIN(AV92*(1-$C$5-IF(AT92&lt;3,$C$8,0)),AU92*(1-$C$6-IF(AT92&lt;3,$C$8,0))))&lt;100,$D$9,$E$9)))))</f>
        <v>1.35</v>
      </c>
      <c r="AZ92" s="62" t="n">
        <f aca="false">IF(AT92=0,"—",FLOOR(AY92*Sources!$G$9,0.1))</f>
        <v>7.1</v>
      </c>
      <c r="BA92" s="60" t="str">
        <f aca="false">IF(ISNUMBER($D92),$D92,"n/a")</f>
        <v>n/a</v>
      </c>
      <c r="BB92" s="63" t="str">
        <f aca="false">IF(OR(AT92=0,NOT(ISNUMBER($D92))),"—",AY92/$D92-1)</f>
        <v>—</v>
      </c>
      <c r="BC92" s="64" t="n">
        <f aca="false">IF(AT92=0,"—",AY92/AU92-1)</f>
        <v>-0.187592185720037</v>
      </c>
      <c r="BD92" s="64" t="n">
        <f aca="false">IF(AT92=0,"—",AY92/AV92-1)</f>
        <v>-0.258603901720533</v>
      </c>
      <c r="BE92" s="59" t="n">
        <f aca="false">COUNTIFS(Offers!$B$7:$B$3000,$B92,Offers!$C$7:$C$3000,"Hungary",Offers!$AI$7:$AI$3000,"yes")</f>
        <v>0</v>
      </c>
      <c r="BF92" s="60" t="str">
        <f aca="false">IF(BE92=0,"—",SUMIFS(Review!$I$7:$I$600,Review!$B$7:$B$600,$B92,Review!$C$7:$C$600,"Hungary"))</f>
        <v>—</v>
      </c>
      <c r="BG92" s="60" t="str">
        <f aca="false">IF(BE92=0,"—",SUMIFS(Review!$J$7:$J$600,Review!$B$7:$B$600,$B92,Review!$C$7:$C$600,"Hungary"))</f>
        <v>—</v>
      </c>
      <c r="BH92" s="60" t="str">
        <f aca="false">IF(BE92=0,"—",SUMIFS(Review!$K$7:$K$600,Review!$B$7:$B$600,$B92,Review!$C$7:$C$600,"Hungary"))</f>
        <v>—</v>
      </c>
      <c r="BI92" s="61" t="str">
        <f aca="false">IF(BE92=0,"—",IF(BF92&lt;BG92*(1-$C$7),"median (cheapest is an outlier)",IF(BF92*(1-$C$6)&lt;BG92*(1-$C$5),"undercut cheapest","median")))</f>
        <v>—</v>
      </c>
      <c r="BJ92" s="62" t="str">
        <f aca="false">IF(BE92=0,"—",IF(AND(ISNUMBER($D92),$D92*(1+$C$10)&gt;FLOOR(IF(BF92&lt;BG92*(1-$C$7),BG92*(1-$C$5-IF(BE92&lt;3,$C$8,0)),MIN(BG92*(1-$C$5-IF(BE92&lt;3,$C$8,0)),BF92*(1-$C$6-IF(BE92&lt;3,$C$8,0)))),IF(IF(BF92&lt;BG92*(1-$C$7),BG92*(1-$C$5-IF(BE92&lt;3,$C$8,0)),MIN(BG92*(1-$C$5-IF(BE92&lt;3,$C$8,0)),BF92*(1-$C$6-IF(BE92&lt;3,$C$8,0))))&lt;10,$C$9,IF(IF(BF92&lt;BG92*(1-$C$7),BG92*(1-$C$5-IF(BE92&lt;3,$C$8,0)),MIN(BG92*(1-$C$5-IF(BE92&lt;3,$C$8,0)),BF92*(1-$C$6-IF(BE92&lt;3,$C$8,0))))&lt;100,$D$9,$E$9)))),ROUND($D92*(1+$C$10),2),FLOOR(IF(BF92&lt;BG92*(1-$C$7),BG92*(1-$C$5-IF(BE92&lt;3,$C$8,0)),MIN(BG92*(1-$C$5-IF(BE92&lt;3,$C$8,0)),BF92*(1-$C$6-IF(BE92&lt;3,$C$8,0)))),IF(IF(BF92&lt;BG92*(1-$C$7),BG92*(1-$C$5-IF(BE92&lt;3,$C$8,0)),MIN(BG92*(1-$C$5-IF(BE92&lt;3,$C$8,0)),BF92*(1-$C$6-IF(BE92&lt;3,$C$8,0))))&lt;10,$C$9,IF(IF(BF92&lt;BG92*(1-$C$7),BG92*(1-$C$5-IF(BE92&lt;3,$C$8,0)),MIN(BG92*(1-$C$5-IF(BE92&lt;3,$C$8,0)),BF92*(1-$C$6-IF(BE92&lt;3,$C$8,0))))&lt;100,$D$9,$E$9)))))</f>
        <v>—</v>
      </c>
      <c r="BK92" s="65" t="str">
        <f aca="false">IF(BE92=0,"—",FLOOR(BJ92*Sources!$G$8,10))</f>
        <v>—</v>
      </c>
      <c r="BL92" s="60" t="str">
        <f aca="false">IF(ISNUMBER($D92),$D92,"n/a")</f>
        <v>n/a</v>
      </c>
      <c r="BM92" s="63" t="str">
        <f aca="false">IF(OR(BE92=0,NOT(ISNUMBER($D92))),"—",BJ92/$D92-1)</f>
        <v>—</v>
      </c>
      <c r="BN92" s="64" t="str">
        <f aca="false">IF(BE92=0,"—",BJ92/BF92-1)</f>
        <v>—</v>
      </c>
      <c r="BO92" s="64" t="str">
        <f aca="false">IF(BE92=0,"—",BJ92/BG92-1)</f>
        <v>—</v>
      </c>
    </row>
    <row r="93" customFormat="false" ht="15" hidden="false" customHeight="false" outlineLevel="0" collapsed="false">
      <c r="B93" s="1" t="s">
        <v>109</v>
      </c>
      <c r="C93" s="1" t="s">
        <v>218</v>
      </c>
      <c r="D93" s="58"/>
      <c r="E93" s="59" t="n">
        <f aca="false">COUNTIFS(Offers!$B$7:$B$3000,$B93,Offers!$C$7:$C$3000,"Austria",Offers!$AI$7:$AI$3000,"yes")</f>
        <v>7</v>
      </c>
      <c r="F93" s="60" t="n">
        <f aca="false">IF(E93=0,"—",SUMIFS(Review!$I$7:$I$600,Review!$B$7:$B$600,$B93,Review!$C$7:$C$600,"Austria"))</f>
        <v>1.3</v>
      </c>
      <c r="G93" s="60" t="n">
        <f aca="false">IF(E93=0,"—",SUMIFS(Review!$J$7:$J$600,Review!$B$7:$B$600,$B93,Review!$C$7:$C$600,"Austria"))</f>
        <v>2.02</v>
      </c>
      <c r="H93" s="60" t="n">
        <f aca="false">IF(E93=0,"—",SUMIFS(Review!$K$7:$K$600,Review!$B$7:$B$600,$B93,Review!$C$7:$C$600,"Austria"))</f>
        <v>11.7</v>
      </c>
      <c r="I93" s="61" t="str">
        <f aca="false">IF(E93=0,"—",IF(F93&lt;G93*(1-$C$7),"median (cheapest is an outlier)",IF(F93*(1-$C$6)&lt;G93*(1-$C$5),"undercut cheapest","median")))</f>
        <v>median (cheapest is an outlier)</v>
      </c>
      <c r="J93" s="62" t="n">
        <f aca="false">IF(E93=0,"—",IF(AND(ISNUMBER($D93),$D93*(1+$C$10)&gt;FLOOR(IF(F93&lt;G93*(1-$C$7),G93*(1-$C$5-IF(E93&lt;3,$C$8,0)),MIN(G93*(1-$C$5-IF(E93&lt;3,$C$8,0)),F93*(1-$C$6-IF(E93&lt;3,$C$8,0)))),IF(IF(F93&lt;G93*(1-$C$7),G93*(1-$C$5-IF(E93&lt;3,$C$8,0)),MIN(G93*(1-$C$5-IF(E93&lt;3,$C$8,0)),F93*(1-$C$6-IF(E93&lt;3,$C$8,0))))&lt;10,$C$9,IF(IF(F93&lt;G93*(1-$C$7),G93*(1-$C$5-IF(E93&lt;3,$C$8,0)),MIN(G93*(1-$C$5-IF(E93&lt;3,$C$8,0)),F93*(1-$C$6-IF(E93&lt;3,$C$8,0))))&lt;100,$D$9,$E$9)))),ROUND($D93*(1+$C$10),2),FLOOR(IF(F93&lt;G93*(1-$C$7),G93*(1-$C$5-IF(E93&lt;3,$C$8,0)),MIN(G93*(1-$C$5-IF(E93&lt;3,$C$8,0)),F93*(1-$C$6-IF(E93&lt;3,$C$8,0)))),IF(IF(F93&lt;G93*(1-$C$7),G93*(1-$C$5-IF(E93&lt;3,$C$8,0)),MIN(G93*(1-$C$5-IF(E93&lt;3,$C$8,0)),F93*(1-$C$6-IF(E93&lt;3,$C$8,0))))&lt;10,$C$9,IF(IF(F93&lt;G93*(1-$C$7),G93*(1-$C$5-IF(E93&lt;3,$C$8,0)),MIN(G93*(1-$C$5-IF(E93&lt;3,$C$8,0)),F93*(1-$C$6-IF(E93&lt;3,$C$8,0))))&lt;100,$D$9,$E$9)))))</f>
        <v>1.5</v>
      </c>
      <c r="K93" s="60" t="str">
        <f aca="false">IF(ISNUMBER($D93),$D93,"n/a")</f>
        <v>n/a</v>
      </c>
      <c r="L93" s="63" t="str">
        <f aca="false">IF(OR(E93=0,NOT(ISNUMBER($D93))),"—",J93/$D93-1)</f>
        <v>—</v>
      </c>
      <c r="M93" s="64" t="n">
        <f aca="false">IF(E93=0,"—",J93/F93-1)</f>
        <v>0.153846153846154</v>
      </c>
      <c r="N93" s="64" t="n">
        <f aca="false">IF(E93=0,"—",J93/G93-1)</f>
        <v>-0.257425742574257</v>
      </c>
      <c r="O93" s="59" t="n">
        <f aca="false">COUNTIFS(Offers!$B$7:$B$3000,$B93,Offers!$C$7:$C$3000,"Germany",Offers!$AI$7:$AI$3000,"yes")</f>
        <v>7</v>
      </c>
      <c r="P93" s="60" t="n">
        <f aca="false">IF(O93=0,"—",SUMIFS(Review!$I$7:$I$600,Review!$B$7:$B$600,$B93,Review!$C$7:$C$600,"Germany"))</f>
        <v>1.69</v>
      </c>
      <c r="Q93" s="60" t="n">
        <f aca="false">IF(O93=0,"—",SUMIFS(Review!$J$7:$J$600,Review!$B$7:$B$600,$B93,Review!$C$7:$C$600,"Germany"))</f>
        <v>2</v>
      </c>
      <c r="R93" s="60" t="n">
        <f aca="false">IF(O93=0,"—",SUMIFS(Review!$K$7:$K$600,Review!$B$7:$B$600,$B93,Review!$C$7:$C$600,"Germany"))</f>
        <v>3.02</v>
      </c>
      <c r="S93" s="61" t="str">
        <f aca="false">IF(O93=0,"—",IF(P93&lt;Q93*(1-$C$7),"median (cheapest is an outlier)",IF(P93*(1-$C$6)&lt;Q93*(1-$C$5),"undercut cheapest","median")))</f>
        <v>median</v>
      </c>
      <c r="T93" s="62" t="n">
        <f aca="false">IF(O93=0,"—",IF(AND(ISNUMBER($D93),$D93*(1+$C$10)&gt;FLOOR(IF(P93&lt;Q93*(1-$C$7),Q93*(1-$C$5-IF(O93&lt;3,$C$8,0)),MIN(Q93*(1-$C$5-IF(O93&lt;3,$C$8,0)),P93*(1-$C$6-IF(O93&lt;3,$C$8,0)))),IF(IF(P93&lt;Q93*(1-$C$7),Q93*(1-$C$5-IF(O93&lt;3,$C$8,0)),MIN(Q93*(1-$C$5-IF(O93&lt;3,$C$8,0)),P93*(1-$C$6-IF(O93&lt;3,$C$8,0))))&lt;10,$C$9,IF(IF(P93&lt;Q93*(1-$C$7),Q93*(1-$C$5-IF(O93&lt;3,$C$8,0)),MIN(Q93*(1-$C$5-IF(O93&lt;3,$C$8,0)),P93*(1-$C$6-IF(O93&lt;3,$C$8,0))))&lt;100,$D$9,$E$9)))),ROUND($D93*(1+$C$10),2),FLOOR(IF(P93&lt;Q93*(1-$C$7),Q93*(1-$C$5-IF(O93&lt;3,$C$8,0)),MIN(Q93*(1-$C$5-IF(O93&lt;3,$C$8,0)),P93*(1-$C$6-IF(O93&lt;3,$C$8,0)))),IF(IF(P93&lt;Q93*(1-$C$7),Q93*(1-$C$5-IF(O93&lt;3,$C$8,0)),MIN(Q93*(1-$C$5-IF(O93&lt;3,$C$8,0)),P93*(1-$C$6-IF(O93&lt;3,$C$8,0))))&lt;10,$C$9,IF(IF(P93&lt;Q93*(1-$C$7),Q93*(1-$C$5-IF(O93&lt;3,$C$8,0)),MIN(Q93*(1-$C$5-IF(O93&lt;3,$C$8,0)),P93*(1-$C$6-IF(O93&lt;3,$C$8,0))))&lt;100,$D$9,$E$9)))))</f>
        <v>1.5</v>
      </c>
      <c r="U93" s="60" t="str">
        <f aca="false">IF(ISNUMBER($D93),$D93,"n/a")</f>
        <v>n/a</v>
      </c>
      <c r="V93" s="63" t="str">
        <f aca="false">IF(OR(O93=0,NOT(ISNUMBER($D93))),"—",T93/$D93-1)</f>
        <v>—</v>
      </c>
      <c r="W93" s="64" t="n">
        <f aca="false">IF(O93=0,"—",T93/P93-1)</f>
        <v>-0.112426035502959</v>
      </c>
      <c r="X93" s="64" t="n">
        <f aca="false">IF(O93=0,"—",T93/Q93-1)</f>
        <v>-0.25</v>
      </c>
      <c r="Y93" s="59" t="n">
        <f aca="false">COUNTIFS(Offers!$B$7:$B$3000,$B93,Offers!$C$7:$C$3000,"Czech",Offers!$AI$7:$AI$3000,"yes")</f>
        <v>5</v>
      </c>
      <c r="Z93" s="60" t="n">
        <f aca="false">IF(Y93=0,"—",SUMIFS(Review!$I$7:$I$600,Review!$B$7:$B$600,$B93,Review!$C$7:$C$600,"Czech"))</f>
        <v>0.91346</v>
      </c>
      <c r="AA93" s="60" t="n">
        <f aca="false">IF(Y93=0,"—",SUMIFS(Review!$J$7:$J$600,Review!$B$7:$B$600,$B93,Review!$C$7:$C$600,"Czech"))</f>
        <v>2.199511</v>
      </c>
      <c r="AB93" s="60" t="n">
        <f aca="false">IF(Y93=0,"—",SUMIFS(Review!$K$7:$K$600,Review!$B$7:$B$600,$B93,Review!$C$7:$C$600,"Czech"))</f>
        <v>4.995165</v>
      </c>
      <c r="AC93" s="61" t="str">
        <f aca="false">IF(Y93=0,"—",IF(Z93&lt;AA93*(1-$C$7),"median (cheapest is an outlier)",IF(Z93*(1-$C$6)&lt;AA93*(1-$C$5),"undercut cheapest","median")))</f>
        <v>median (cheapest is an outlier)</v>
      </c>
      <c r="AD93" s="62" t="n">
        <f aca="false">IF(Y93=0,"—",IF(AND(ISNUMBER($D93),$D93*(1+$C$10)&gt;FLOOR(IF(Z93&lt;AA93*(1-$C$7),AA93*(1-$C$5-IF(Y93&lt;3,$C$8,0)),MIN(AA93*(1-$C$5-IF(Y93&lt;3,$C$8,0)),Z93*(1-$C$6-IF(Y93&lt;3,$C$8,0)))),IF(IF(Z93&lt;AA93*(1-$C$7),AA93*(1-$C$5-IF(Y93&lt;3,$C$8,0)),MIN(AA93*(1-$C$5-IF(Y93&lt;3,$C$8,0)),Z93*(1-$C$6-IF(Y93&lt;3,$C$8,0))))&lt;10,$C$9,IF(IF(Z93&lt;AA93*(1-$C$7),AA93*(1-$C$5-IF(Y93&lt;3,$C$8,0)),MIN(AA93*(1-$C$5-IF(Y93&lt;3,$C$8,0)),Z93*(1-$C$6-IF(Y93&lt;3,$C$8,0))))&lt;100,$D$9,$E$9)))),ROUND($D93*(1+$C$10),2),FLOOR(IF(Z93&lt;AA93*(1-$C$7),AA93*(1-$C$5-IF(Y93&lt;3,$C$8,0)),MIN(AA93*(1-$C$5-IF(Y93&lt;3,$C$8,0)),Z93*(1-$C$6-IF(Y93&lt;3,$C$8,0)))),IF(IF(Z93&lt;AA93*(1-$C$7),AA93*(1-$C$5-IF(Y93&lt;3,$C$8,0)),MIN(AA93*(1-$C$5-IF(Y93&lt;3,$C$8,0)),Z93*(1-$C$6-IF(Y93&lt;3,$C$8,0))))&lt;10,$C$9,IF(IF(Z93&lt;AA93*(1-$C$7),AA93*(1-$C$5-IF(Y93&lt;3,$C$8,0)),MIN(AA93*(1-$C$5-IF(Y93&lt;3,$C$8,0)),Z93*(1-$C$6-IF(Y93&lt;3,$C$8,0))))&lt;100,$D$9,$E$9)))))</f>
        <v>1.6</v>
      </c>
      <c r="AE93" s="65" t="n">
        <f aca="false">IF(Y93=0,"—",FLOOR(AD93*Sources!$G$10,1))</f>
        <v>39</v>
      </c>
      <c r="AF93" s="60" t="str">
        <f aca="false">IF(ISNUMBER($D93),$D93,"n/a")</f>
        <v>n/a</v>
      </c>
      <c r="AG93" s="63" t="str">
        <f aca="false">IF(OR(Y93=0,NOT(ISNUMBER($D93))),"—",AD93/$D93-1)</f>
        <v>—</v>
      </c>
      <c r="AH93" s="64" t="n">
        <f aca="false">IF(Y93=0,"—",AD93/Z93-1)</f>
        <v>0.75158189740109</v>
      </c>
      <c r="AI93" s="64" t="n">
        <f aca="false">IF(Y93=0,"—",AD93/AA93-1)</f>
        <v>-0.272565583895693</v>
      </c>
      <c r="AJ93" s="59" t="n">
        <f aca="false">COUNTIFS(Offers!$B$7:$B$3000,$B93,Offers!$C$7:$C$3000,"Slovakia",Offers!$AI$7:$AI$3000,"yes")</f>
        <v>5</v>
      </c>
      <c r="AK93" s="60" t="n">
        <f aca="false">IF(AJ93=0,"—",SUMIFS(Review!$I$7:$I$600,Review!$B$7:$B$600,$B93,Review!$C$7:$C$600,"Slovakia"))</f>
        <v>1.17</v>
      </c>
      <c r="AL93" s="60" t="n">
        <f aca="false">IF(AJ93=0,"—",SUMIFS(Review!$J$7:$J$600,Review!$B$7:$B$600,$B93,Review!$C$7:$C$600,"Slovakia"))</f>
        <v>1.65</v>
      </c>
      <c r="AM93" s="60" t="n">
        <f aca="false">IF(AJ93=0,"—",SUMIFS(Review!$K$7:$K$600,Review!$B$7:$B$600,$B93,Review!$C$7:$C$600,"Slovakia"))</f>
        <v>4.59</v>
      </c>
      <c r="AN93" s="61" t="str">
        <f aca="false">IF(AJ93=0,"—",IF(AK93&lt;AL93*(1-$C$7),"median (cheapest is an outlier)",IF(AK93*(1-$C$6)&lt;AL93*(1-$C$5),"undercut cheapest","median")))</f>
        <v>undercut cheapest</v>
      </c>
      <c r="AO93" s="62" t="n">
        <f aca="false">IF(AJ93=0,"—",IF(AND(ISNUMBER($D93),$D93*(1+$C$10)&gt;FLOOR(IF(AK93&lt;AL93*(1-$C$7),AL93*(1-$C$5-IF(AJ93&lt;3,$C$8,0)),MIN(AL93*(1-$C$5-IF(AJ93&lt;3,$C$8,0)),AK93*(1-$C$6-IF(AJ93&lt;3,$C$8,0)))),IF(IF(AK93&lt;AL93*(1-$C$7),AL93*(1-$C$5-IF(AJ93&lt;3,$C$8,0)),MIN(AL93*(1-$C$5-IF(AJ93&lt;3,$C$8,0)),AK93*(1-$C$6-IF(AJ93&lt;3,$C$8,0))))&lt;10,$C$9,IF(IF(AK93&lt;AL93*(1-$C$7),AL93*(1-$C$5-IF(AJ93&lt;3,$C$8,0)),MIN(AL93*(1-$C$5-IF(AJ93&lt;3,$C$8,0)),AK93*(1-$C$6-IF(AJ93&lt;3,$C$8,0))))&lt;100,$D$9,$E$9)))),ROUND($D93*(1+$C$10),2),FLOOR(IF(AK93&lt;AL93*(1-$C$7),AL93*(1-$C$5-IF(AJ93&lt;3,$C$8,0)),MIN(AL93*(1-$C$5-IF(AJ93&lt;3,$C$8,0)),AK93*(1-$C$6-IF(AJ93&lt;3,$C$8,0)))),IF(IF(AK93&lt;AL93*(1-$C$7),AL93*(1-$C$5-IF(AJ93&lt;3,$C$8,0)),MIN(AL93*(1-$C$5-IF(AJ93&lt;3,$C$8,0)),AK93*(1-$C$6-IF(AJ93&lt;3,$C$8,0))))&lt;10,$C$9,IF(IF(AK93&lt;AL93*(1-$C$7),AL93*(1-$C$5-IF(AJ93&lt;3,$C$8,0)),MIN(AL93*(1-$C$5-IF(AJ93&lt;3,$C$8,0)),AK93*(1-$C$6-IF(AJ93&lt;3,$C$8,0))))&lt;100,$D$9,$E$9)))))</f>
        <v>1.1</v>
      </c>
      <c r="AP93" s="60" t="str">
        <f aca="false">IF(ISNUMBER($D93),$D93,"n/a")</f>
        <v>n/a</v>
      </c>
      <c r="AQ93" s="63" t="str">
        <f aca="false">IF(OR(AJ93=0,NOT(ISNUMBER($D93))),"—",AO93/$D93-1)</f>
        <v>—</v>
      </c>
      <c r="AR93" s="64" t="n">
        <f aca="false">IF(AJ93=0,"—",AO93/AK93-1)</f>
        <v>-0.0598290598290597</v>
      </c>
      <c r="AS93" s="64" t="n">
        <f aca="false">IF(AJ93=0,"—",AO93/AL93-1)</f>
        <v>-0.333333333333333</v>
      </c>
      <c r="AT93" s="59" t="n">
        <f aca="false">COUNTIFS(Offers!$B$7:$B$3000,$B93,Offers!$C$7:$C$3000,"Romania",Offers!$AI$7:$AI$3000,"yes")</f>
        <v>5</v>
      </c>
      <c r="AU93" s="60" t="n">
        <f aca="false">IF(AT93=0,"—",SUMIFS(Review!$I$7:$I$600,Review!$B$7:$B$600,$B93,Review!$C$7:$C$600,"Romania"))</f>
        <v>1</v>
      </c>
      <c r="AV93" s="60" t="n">
        <f aca="false">IF(AT93=0,"—",SUMIFS(Review!$J$7:$J$600,Review!$B$7:$B$600,$B93,Review!$C$7:$C$600,"Romania"))</f>
        <v>1.290349</v>
      </c>
      <c r="AW93" s="60" t="n">
        <f aca="false">IF(AT93=0,"—",SUMIFS(Review!$K$7:$K$600,Review!$B$7:$B$600,$B93,Review!$C$7:$C$600,"Romania"))</f>
        <v>3.156713</v>
      </c>
      <c r="AX93" s="61" t="str">
        <f aca="false">IF(AT93=0,"—",IF(AU93&lt;AV93*(1-$C$7),"median (cheapest is an outlier)",IF(AU93*(1-$C$6)&lt;AV93*(1-$C$5),"undercut cheapest","median")))</f>
        <v>undercut cheapest</v>
      </c>
      <c r="AY93" s="62" t="n">
        <f aca="false">IF(AT93=0,"—",IF(AND(ISNUMBER($D93),$D93*(1+$C$10)&gt;FLOOR(IF(AU93&lt;AV93*(1-$C$7),AV93*(1-$C$5-IF(AT93&lt;3,$C$8,0)),MIN(AV93*(1-$C$5-IF(AT93&lt;3,$C$8,0)),AU93*(1-$C$6-IF(AT93&lt;3,$C$8,0)))),IF(IF(AU93&lt;AV93*(1-$C$7),AV93*(1-$C$5-IF(AT93&lt;3,$C$8,0)),MIN(AV93*(1-$C$5-IF(AT93&lt;3,$C$8,0)),AU93*(1-$C$6-IF(AT93&lt;3,$C$8,0))))&lt;10,$C$9,IF(IF(AU93&lt;AV93*(1-$C$7),AV93*(1-$C$5-IF(AT93&lt;3,$C$8,0)),MIN(AV93*(1-$C$5-IF(AT93&lt;3,$C$8,0)),AU93*(1-$C$6-IF(AT93&lt;3,$C$8,0))))&lt;100,$D$9,$E$9)))),ROUND($D93*(1+$C$10),2),FLOOR(IF(AU93&lt;AV93*(1-$C$7),AV93*(1-$C$5-IF(AT93&lt;3,$C$8,0)),MIN(AV93*(1-$C$5-IF(AT93&lt;3,$C$8,0)),AU93*(1-$C$6-IF(AT93&lt;3,$C$8,0)))),IF(IF(AU93&lt;AV93*(1-$C$7),AV93*(1-$C$5-IF(AT93&lt;3,$C$8,0)),MIN(AV93*(1-$C$5-IF(AT93&lt;3,$C$8,0)),AU93*(1-$C$6-IF(AT93&lt;3,$C$8,0))))&lt;10,$C$9,IF(IF(AU93&lt;AV93*(1-$C$7),AV93*(1-$C$5-IF(AT93&lt;3,$C$8,0)),MIN(AV93*(1-$C$5-IF(AT93&lt;3,$C$8,0)),AU93*(1-$C$6-IF(AT93&lt;3,$C$8,0))))&lt;100,$D$9,$E$9)))))</f>
        <v>0.95</v>
      </c>
      <c r="AZ93" s="62" t="n">
        <f aca="false">IF(AT93=0,"—",FLOOR(AY93*Sources!$G$9,0.1))</f>
        <v>5</v>
      </c>
      <c r="BA93" s="60" t="str">
        <f aca="false">IF(ISNUMBER($D93),$D93,"n/a")</f>
        <v>n/a</v>
      </c>
      <c r="BB93" s="63" t="str">
        <f aca="false">IF(OR(AT93=0,NOT(ISNUMBER($D93))),"—",AY93/$D93-1)</f>
        <v>—</v>
      </c>
      <c r="BC93" s="64" t="n">
        <f aca="false">IF(AT93=0,"—",AY93/AU93-1)</f>
        <v>-0.0499999999999999</v>
      </c>
      <c r="BD93" s="64" t="n">
        <f aca="false">IF(AT93=0,"—",AY93/AV93-1)</f>
        <v>-0.263765074410101</v>
      </c>
      <c r="BE93" s="59" t="n">
        <f aca="false">COUNTIFS(Offers!$B$7:$B$3000,$B93,Offers!$C$7:$C$3000,"Hungary",Offers!$AI$7:$AI$3000,"yes")</f>
        <v>0</v>
      </c>
      <c r="BF93" s="60" t="str">
        <f aca="false">IF(BE93=0,"—",SUMIFS(Review!$I$7:$I$600,Review!$B$7:$B$600,$B93,Review!$C$7:$C$600,"Hungary"))</f>
        <v>—</v>
      </c>
      <c r="BG93" s="60" t="str">
        <f aca="false">IF(BE93=0,"—",SUMIFS(Review!$J$7:$J$600,Review!$B$7:$B$600,$B93,Review!$C$7:$C$600,"Hungary"))</f>
        <v>—</v>
      </c>
      <c r="BH93" s="60" t="str">
        <f aca="false">IF(BE93=0,"—",SUMIFS(Review!$K$7:$K$600,Review!$B$7:$B$600,$B93,Review!$C$7:$C$600,"Hungary"))</f>
        <v>—</v>
      </c>
      <c r="BI93" s="61" t="str">
        <f aca="false">IF(BE93=0,"—",IF(BF93&lt;BG93*(1-$C$7),"median (cheapest is an outlier)",IF(BF93*(1-$C$6)&lt;BG93*(1-$C$5),"undercut cheapest","median")))</f>
        <v>—</v>
      </c>
      <c r="BJ93" s="62" t="str">
        <f aca="false">IF(BE93=0,"—",IF(AND(ISNUMBER($D93),$D93*(1+$C$10)&gt;FLOOR(IF(BF93&lt;BG93*(1-$C$7),BG93*(1-$C$5-IF(BE93&lt;3,$C$8,0)),MIN(BG93*(1-$C$5-IF(BE93&lt;3,$C$8,0)),BF93*(1-$C$6-IF(BE93&lt;3,$C$8,0)))),IF(IF(BF93&lt;BG93*(1-$C$7),BG93*(1-$C$5-IF(BE93&lt;3,$C$8,0)),MIN(BG93*(1-$C$5-IF(BE93&lt;3,$C$8,0)),BF93*(1-$C$6-IF(BE93&lt;3,$C$8,0))))&lt;10,$C$9,IF(IF(BF93&lt;BG93*(1-$C$7),BG93*(1-$C$5-IF(BE93&lt;3,$C$8,0)),MIN(BG93*(1-$C$5-IF(BE93&lt;3,$C$8,0)),BF93*(1-$C$6-IF(BE93&lt;3,$C$8,0))))&lt;100,$D$9,$E$9)))),ROUND($D93*(1+$C$10),2),FLOOR(IF(BF93&lt;BG93*(1-$C$7),BG93*(1-$C$5-IF(BE93&lt;3,$C$8,0)),MIN(BG93*(1-$C$5-IF(BE93&lt;3,$C$8,0)),BF93*(1-$C$6-IF(BE93&lt;3,$C$8,0)))),IF(IF(BF93&lt;BG93*(1-$C$7),BG93*(1-$C$5-IF(BE93&lt;3,$C$8,0)),MIN(BG93*(1-$C$5-IF(BE93&lt;3,$C$8,0)),BF93*(1-$C$6-IF(BE93&lt;3,$C$8,0))))&lt;10,$C$9,IF(IF(BF93&lt;BG93*(1-$C$7),BG93*(1-$C$5-IF(BE93&lt;3,$C$8,0)),MIN(BG93*(1-$C$5-IF(BE93&lt;3,$C$8,0)),BF93*(1-$C$6-IF(BE93&lt;3,$C$8,0))))&lt;100,$D$9,$E$9)))))</f>
        <v>—</v>
      </c>
      <c r="BK93" s="65" t="str">
        <f aca="false">IF(BE93=0,"—",FLOOR(BJ93*Sources!$G$8,10))</f>
        <v>—</v>
      </c>
      <c r="BL93" s="60" t="str">
        <f aca="false">IF(ISNUMBER($D93),$D93,"n/a")</f>
        <v>n/a</v>
      </c>
      <c r="BM93" s="63" t="str">
        <f aca="false">IF(OR(BE93=0,NOT(ISNUMBER($D93))),"—",BJ93/$D93-1)</f>
        <v>—</v>
      </c>
      <c r="BN93" s="64" t="str">
        <f aca="false">IF(BE93=0,"—",BJ93/BF93-1)</f>
        <v>—</v>
      </c>
      <c r="BO93" s="64" t="str">
        <f aca="false">IF(BE93=0,"—",BJ93/BG93-1)</f>
        <v>—</v>
      </c>
    </row>
    <row r="94" customFormat="false" ht="15" hidden="false" customHeight="false" outlineLevel="0" collapsed="false">
      <c r="B94" s="1" t="s">
        <v>110</v>
      </c>
      <c r="C94" s="1" t="s">
        <v>219</v>
      </c>
      <c r="D94" s="58"/>
      <c r="E94" s="59" t="n">
        <f aca="false">COUNTIFS(Offers!$B$7:$B$3000,$B94,Offers!$C$7:$C$3000,"Austria",Offers!$AI$7:$AI$3000,"yes")</f>
        <v>6</v>
      </c>
      <c r="F94" s="60" t="n">
        <f aca="false">IF(E94=0,"—",SUMIFS(Review!$I$7:$I$600,Review!$B$7:$B$600,$B94,Review!$C$7:$C$600,"Austria"))</f>
        <v>1.15</v>
      </c>
      <c r="G94" s="60" t="n">
        <f aca="false">IF(E94=0,"—",SUMIFS(Review!$J$7:$J$600,Review!$B$7:$B$600,$B94,Review!$C$7:$C$600,"Austria"))</f>
        <v>2.125</v>
      </c>
      <c r="H94" s="60" t="n">
        <f aca="false">IF(E94=0,"—",SUMIFS(Review!$K$7:$K$600,Review!$B$7:$B$600,$B94,Review!$C$7:$C$600,"Austria"))</f>
        <v>10.38</v>
      </c>
      <c r="I94" s="61" t="str">
        <f aca="false">IF(E94=0,"—",IF(F94&lt;G94*(1-$C$7),"median (cheapest is an outlier)",IF(F94*(1-$C$6)&lt;G94*(1-$C$5),"undercut cheapest","median")))</f>
        <v>median (cheapest is an outlier)</v>
      </c>
      <c r="J94" s="62" t="n">
        <f aca="false">IF(E94=0,"—",IF(AND(ISNUMBER($D94),$D94*(1+$C$10)&gt;FLOOR(IF(F94&lt;G94*(1-$C$7),G94*(1-$C$5-IF(E94&lt;3,$C$8,0)),MIN(G94*(1-$C$5-IF(E94&lt;3,$C$8,0)),F94*(1-$C$6-IF(E94&lt;3,$C$8,0)))),IF(IF(F94&lt;G94*(1-$C$7),G94*(1-$C$5-IF(E94&lt;3,$C$8,0)),MIN(G94*(1-$C$5-IF(E94&lt;3,$C$8,0)),F94*(1-$C$6-IF(E94&lt;3,$C$8,0))))&lt;10,$C$9,IF(IF(F94&lt;G94*(1-$C$7),G94*(1-$C$5-IF(E94&lt;3,$C$8,0)),MIN(G94*(1-$C$5-IF(E94&lt;3,$C$8,0)),F94*(1-$C$6-IF(E94&lt;3,$C$8,0))))&lt;100,$D$9,$E$9)))),ROUND($D94*(1+$C$10),2),FLOOR(IF(F94&lt;G94*(1-$C$7),G94*(1-$C$5-IF(E94&lt;3,$C$8,0)),MIN(G94*(1-$C$5-IF(E94&lt;3,$C$8,0)),F94*(1-$C$6-IF(E94&lt;3,$C$8,0)))),IF(IF(F94&lt;G94*(1-$C$7),G94*(1-$C$5-IF(E94&lt;3,$C$8,0)),MIN(G94*(1-$C$5-IF(E94&lt;3,$C$8,0)),F94*(1-$C$6-IF(E94&lt;3,$C$8,0))))&lt;10,$C$9,IF(IF(F94&lt;G94*(1-$C$7),G94*(1-$C$5-IF(E94&lt;3,$C$8,0)),MIN(G94*(1-$C$5-IF(E94&lt;3,$C$8,0)),F94*(1-$C$6-IF(E94&lt;3,$C$8,0))))&lt;100,$D$9,$E$9)))))</f>
        <v>1.55</v>
      </c>
      <c r="K94" s="60" t="str">
        <f aca="false">IF(ISNUMBER($D94),$D94,"n/a")</f>
        <v>n/a</v>
      </c>
      <c r="L94" s="63" t="str">
        <f aca="false">IF(OR(E94=0,NOT(ISNUMBER($D94))),"—",J94/$D94-1)</f>
        <v>—</v>
      </c>
      <c r="M94" s="64" t="n">
        <f aca="false">IF(E94=0,"—",J94/F94-1)</f>
        <v>0.347826086956522</v>
      </c>
      <c r="N94" s="64" t="n">
        <f aca="false">IF(E94=0,"—",J94/G94-1)</f>
        <v>-0.270588235294118</v>
      </c>
      <c r="O94" s="59" t="n">
        <f aca="false">COUNTIFS(Offers!$B$7:$B$3000,$B94,Offers!$C$7:$C$3000,"Germany",Offers!$AI$7:$AI$3000,"yes")</f>
        <v>5</v>
      </c>
      <c r="P94" s="60" t="n">
        <f aca="false">IF(O94=0,"—",SUMIFS(Review!$I$7:$I$600,Review!$B$7:$B$600,$B94,Review!$C$7:$C$600,"Germany"))</f>
        <v>1.39</v>
      </c>
      <c r="Q94" s="60" t="n">
        <f aca="false">IF(O94=0,"—",SUMIFS(Review!$J$7:$J$600,Review!$B$7:$B$600,$B94,Review!$C$7:$C$600,"Germany"))</f>
        <v>1.79</v>
      </c>
      <c r="R94" s="60" t="n">
        <f aca="false">IF(O94=0,"—",SUMIFS(Review!$K$7:$K$600,Review!$B$7:$B$600,$B94,Review!$C$7:$C$600,"Germany"))</f>
        <v>3.02</v>
      </c>
      <c r="S94" s="61" t="str">
        <f aca="false">IF(O94=0,"—",IF(P94&lt;Q94*(1-$C$7),"median (cheapest is an outlier)",IF(P94*(1-$C$6)&lt;Q94*(1-$C$5),"undercut cheapest","median")))</f>
        <v>undercut cheapest</v>
      </c>
      <c r="T94" s="62" t="n">
        <f aca="false">IF(O94=0,"—",IF(AND(ISNUMBER($D94),$D94*(1+$C$10)&gt;FLOOR(IF(P94&lt;Q94*(1-$C$7),Q94*(1-$C$5-IF(O94&lt;3,$C$8,0)),MIN(Q94*(1-$C$5-IF(O94&lt;3,$C$8,0)),P94*(1-$C$6-IF(O94&lt;3,$C$8,0)))),IF(IF(P94&lt;Q94*(1-$C$7),Q94*(1-$C$5-IF(O94&lt;3,$C$8,0)),MIN(Q94*(1-$C$5-IF(O94&lt;3,$C$8,0)),P94*(1-$C$6-IF(O94&lt;3,$C$8,0))))&lt;10,$C$9,IF(IF(P94&lt;Q94*(1-$C$7),Q94*(1-$C$5-IF(O94&lt;3,$C$8,0)),MIN(Q94*(1-$C$5-IF(O94&lt;3,$C$8,0)),P94*(1-$C$6-IF(O94&lt;3,$C$8,0))))&lt;100,$D$9,$E$9)))),ROUND($D94*(1+$C$10),2),FLOOR(IF(P94&lt;Q94*(1-$C$7),Q94*(1-$C$5-IF(O94&lt;3,$C$8,0)),MIN(Q94*(1-$C$5-IF(O94&lt;3,$C$8,0)),P94*(1-$C$6-IF(O94&lt;3,$C$8,0)))),IF(IF(P94&lt;Q94*(1-$C$7),Q94*(1-$C$5-IF(O94&lt;3,$C$8,0)),MIN(Q94*(1-$C$5-IF(O94&lt;3,$C$8,0)),P94*(1-$C$6-IF(O94&lt;3,$C$8,0))))&lt;10,$C$9,IF(IF(P94&lt;Q94*(1-$C$7),Q94*(1-$C$5-IF(O94&lt;3,$C$8,0)),MIN(Q94*(1-$C$5-IF(O94&lt;3,$C$8,0)),P94*(1-$C$6-IF(O94&lt;3,$C$8,0))))&lt;100,$D$9,$E$9)))))</f>
        <v>1.3</v>
      </c>
      <c r="U94" s="60" t="str">
        <f aca="false">IF(ISNUMBER($D94),$D94,"n/a")</f>
        <v>n/a</v>
      </c>
      <c r="V94" s="63" t="str">
        <f aca="false">IF(OR(O94=0,NOT(ISNUMBER($D94))),"—",T94/$D94-1)</f>
        <v>—</v>
      </c>
      <c r="W94" s="64" t="n">
        <f aca="false">IF(O94=0,"—",T94/P94-1)</f>
        <v>-0.0647482014388489</v>
      </c>
      <c r="X94" s="64" t="n">
        <f aca="false">IF(O94=0,"—",T94/Q94-1)</f>
        <v>-0.273743016759777</v>
      </c>
      <c r="Y94" s="59" t="n">
        <f aca="false">COUNTIFS(Offers!$B$7:$B$3000,$B94,Offers!$C$7:$C$3000,"Czech",Offers!$AI$7:$AI$3000,"yes")</f>
        <v>4</v>
      </c>
      <c r="Z94" s="60" t="n">
        <f aca="false">IF(Y94=0,"—",SUMIFS(Review!$I$7:$I$600,Review!$B$7:$B$600,$B94,Review!$C$7:$C$600,"Czech"))</f>
        <v>0.91346</v>
      </c>
      <c r="AA94" s="60" t="n">
        <f aca="false">IF(Y94=0,"—",SUMIFS(Review!$J$7:$J$600,Review!$B$7:$B$600,$B94,Review!$C$7:$C$600,"Czech"))</f>
        <v>1.6580265</v>
      </c>
      <c r="AB94" s="60" t="n">
        <f aca="false">IF(Y94=0,"—",SUMIFS(Review!$K$7:$K$600,Review!$B$7:$B$600,$B94,Review!$C$7:$C$600,"Czech"))</f>
        <v>2.047199</v>
      </c>
      <c r="AC94" s="61" t="str">
        <f aca="false">IF(Y94=0,"—",IF(Z94&lt;AA94*(1-$C$7),"median (cheapest is an outlier)",IF(Z94*(1-$C$6)&lt;AA94*(1-$C$5),"undercut cheapest","median")))</f>
        <v>median (cheapest is an outlier)</v>
      </c>
      <c r="AD94" s="62" t="n">
        <f aca="false">IF(Y94=0,"—",IF(AND(ISNUMBER($D94),$D94*(1+$C$10)&gt;FLOOR(IF(Z94&lt;AA94*(1-$C$7),AA94*(1-$C$5-IF(Y94&lt;3,$C$8,0)),MIN(AA94*(1-$C$5-IF(Y94&lt;3,$C$8,0)),Z94*(1-$C$6-IF(Y94&lt;3,$C$8,0)))),IF(IF(Z94&lt;AA94*(1-$C$7),AA94*(1-$C$5-IF(Y94&lt;3,$C$8,0)),MIN(AA94*(1-$C$5-IF(Y94&lt;3,$C$8,0)),Z94*(1-$C$6-IF(Y94&lt;3,$C$8,0))))&lt;10,$C$9,IF(IF(Z94&lt;AA94*(1-$C$7),AA94*(1-$C$5-IF(Y94&lt;3,$C$8,0)),MIN(AA94*(1-$C$5-IF(Y94&lt;3,$C$8,0)),Z94*(1-$C$6-IF(Y94&lt;3,$C$8,0))))&lt;100,$D$9,$E$9)))),ROUND($D94*(1+$C$10),2),FLOOR(IF(Z94&lt;AA94*(1-$C$7),AA94*(1-$C$5-IF(Y94&lt;3,$C$8,0)),MIN(AA94*(1-$C$5-IF(Y94&lt;3,$C$8,0)),Z94*(1-$C$6-IF(Y94&lt;3,$C$8,0)))),IF(IF(Z94&lt;AA94*(1-$C$7),AA94*(1-$C$5-IF(Y94&lt;3,$C$8,0)),MIN(AA94*(1-$C$5-IF(Y94&lt;3,$C$8,0)),Z94*(1-$C$6-IF(Y94&lt;3,$C$8,0))))&lt;10,$C$9,IF(IF(Z94&lt;AA94*(1-$C$7),AA94*(1-$C$5-IF(Y94&lt;3,$C$8,0)),MIN(AA94*(1-$C$5-IF(Y94&lt;3,$C$8,0)),Z94*(1-$C$6-IF(Y94&lt;3,$C$8,0))))&lt;100,$D$9,$E$9)))))</f>
        <v>1.2</v>
      </c>
      <c r="AE94" s="65" t="n">
        <f aca="false">IF(Y94=0,"—",FLOOR(AD94*Sources!$G$10,1))</f>
        <v>29</v>
      </c>
      <c r="AF94" s="60" t="str">
        <f aca="false">IF(ISNUMBER($D94),$D94,"n/a")</f>
        <v>n/a</v>
      </c>
      <c r="AG94" s="63" t="str">
        <f aca="false">IF(OR(Y94=0,NOT(ISNUMBER($D94))),"—",AD94/$D94-1)</f>
        <v>—</v>
      </c>
      <c r="AH94" s="64" t="n">
        <f aca="false">IF(Y94=0,"—",AD94/Z94-1)</f>
        <v>0.313686423050818</v>
      </c>
      <c r="AI94" s="64" t="n">
        <f aca="false">IF(Y94=0,"—",AD94/AA94-1)</f>
        <v>-0.276247997242505</v>
      </c>
      <c r="AJ94" s="59" t="n">
        <f aca="false">COUNTIFS(Offers!$B$7:$B$3000,$B94,Offers!$C$7:$C$3000,"Slovakia",Offers!$AI$7:$AI$3000,"yes")</f>
        <v>4</v>
      </c>
      <c r="AK94" s="60" t="n">
        <f aca="false">IF(AJ94=0,"—",SUMIFS(Review!$I$7:$I$600,Review!$B$7:$B$600,$B94,Review!$C$7:$C$600,"Slovakia"))</f>
        <v>1.09</v>
      </c>
      <c r="AL94" s="60" t="n">
        <f aca="false">IF(AJ94=0,"—",SUMIFS(Review!$J$7:$J$600,Review!$B$7:$B$600,$B94,Review!$C$7:$C$600,"Slovakia"))</f>
        <v>1.585</v>
      </c>
      <c r="AM94" s="60" t="n">
        <f aca="false">IF(AJ94=0,"—",SUMIFS(Review!$K$7:$K$600,Review!$B$7:$B$600,$B94,Review!$C$7:$C$600,"Slovakia"))</f>
        <v>4.2</v>
      </c>
      <c r="AN94" s="61" t="str">
        <f aca="false">IF(AJ94=0,"—",IF(AK94&lt;AL94*(1-$C$7),"median (cheapest is an outlier)",IF(AK94*(1-$C$6)&lt;AL94*(1-$C$5),"undercut cheapest","median")))</f>
        <v>undercut cheapest</v>
      </c>
      <c r="AO94" s="62" t="n">
        <f aca="false">IF(AJ94=0,"—",IF(AND(ISNUMBER($D94),$D94*(1+$C$10)&gt;FLOOR(IF(AK94&lt;AL94*(1-$C$7),AL94*(1-$C$5-IF(AJ94&lt;3,$C$8,0)),MIN(AL94*(1-$C$5-IF(AJ94&lt;3,$C$8,0)),AK94*(1-$C$6-IF(AJ94&lt;3,$C$8,0)))),IF(IF(AK94&lt;AL94*(1-$C$7),AL94*(1-$C$5-IF(AJ94&lt;3,$C$8,0)),MIN(AL94*(1-$C$5-IF(AJ94&lt;3,$C$8,0)),AK94*(1-$C$6-IF(AJ94&lt;3,$C$8,0))))&lt;10,$C$9,IF(IF(AK94&lt;AL94*(1-$C$7),AL94*(1-$C$5-IF(AJ94&lt;3,$C$8,0)),MIN(AL94*(1-$C$5-IF(AJ94&lt;3,$C$8,0)),AK94*(1-$C$6-IF(AJ94&lt;3,$C$8,0))))&lt;100,$D$9,$E$9)))),ROUND($D94*(1+$C$10),2),FLOOR(IF(AK94&lt;AL94*(1-$C$7),AL94*(1-$C$5-IF(AJ94&lt;3,$C$8,0)),MIN(AL94*(1-$C$5-IF(AJ94&lt;3,$C$8,0)),AK94*(1-$C$6-IF(AJ94&lt;3,$C$8,0)))),IF(IF(AK94&lt;AL94*(1-$C$7),AL94*(1-$C$5-IF(AJ94&lt;3,$C$8,0)),MIN(AL94*(1-$C$5-IF(AJ94&lt;3,$C$8,0)),AK94*(1-$C$6-IF(AJ94&lt;3,$C$8,0))))&lt;10,$C$9,IF(IF(AK94&lt;AL94*(1-$C$7),AL94*(1-$C$5-IF(AJ94&lt;3,$C$8,0)),MIN(AL94*(1-$C$5-IF(AJ94&lt;3,$C$8,0)),AK94*(1-$C$6-IF(AJ94&lt;3,$C$8,0))))&lt;100,$D$9,$E$9)))))</f>
        <v>1</v>
      </c>
      <c r="AP94" s="60" t="str">
        <f aca="false">IF(ISNUMBER($D94),$D94,"n/a")</f>
        <v>n/a</v>
      </c>
      <c r="AQ94" s="63" t="str">
        <f aca="false">IF(OR(AJ94=0,NOT(ISNUMBER($D94))),"—",AO94/$D94-1)</f>
        <v>—</v>
      </c>
      <c r="AR94" s="64" t="n">
        <f aca="false">IF(AJ94=0,"—",AO94/AK94-1)</f>
        <v>-0.0825688073394496</v>
      </c>
      <c r="AS94" s="64" t="n">
        <f aca="false">IF(AJ94=0,"—",AO94/AL94-1)</f>
        <v>-0.369085173501577</v>
      </c>
      <c r="AT94" s="59" t="n">
        <f aca="false">COUNTIFS(Offers!$B$7:$B$3000,$B94,Offers!$C$7:$C$3000,"Romania",Offers!$AI$7:$AI$3000,"yes")</f>
        <v>5</v>
      </c>
      <c r="AU94" s="60" t="n">
        <f aca="false">IF(AT94=0,"—",SUMIFS(Review!$I$7:$I$600,Review!$B$7:$B$600,$B94,Review!$C$7:$C$600,"Romania"))</f>
        <v>0.790126</v>
      </c>
      <c r="AV94" s="60" t="n">
        <f aca="false">IF(AT94=0,"—",SUMIFS(Review!$J$7:$J$600,Review!$B$7:$B$600,$B94,Review!$C$7:$C$600,"Romania"))</f>
        <v>2.30027</v>
      </c>
      <c r="AW94" s="60" t="n">
        <f aca="false">IF(AT94=0,"—",SUMIFS(Review!$K$7:$K$600,Review!$B$7:$B$600,$B94,Review!$C$7:$C$600,"Romania"))</f>
        <v>3.044921</v>
      </c>
      <c r="AX94" s="61" t="str">
        <f aca="false">IF(AT94=0,"—",IF(AU94&lt;AV94*(1-$C$7),"median (cheapest is an outlier)",IF(AU94*(1-$C$6)&lt;AV94*(1-$C$5),"undercut cheapest","median")))</f>
        <v>median (cheapest is an outlier)</v>
      </c>
      <c r="AY94" s="62" t="n">
        <f aca="false">IF(AT94=0,"—",IF(AND(ISNUMBER($D94),$D94*(1+$C$10)&gt;FLOOR(IF(AU94&lt;AV94*(1-$C$7),AV94*(1-$C$5-IF(AT94&lt;3,$C$8,0)),MIN(AV94*(1-$C$5-IF(AT94&lt;3,$C$8,0)),AU94*(1-$C$6-IF(AT94&lt;3,$C$8,0)))),IF(IF(AU94&lt;AV94*(1-$C$7),AV94*(1-$C$5-IF(AT94&lt;3,$C$8,0)),MIN(AV94*(1-$C$5-IF(AT94&lt;3,$C$8,0)),AU94*(1-$C$6-IF(AT94&lt;3,$C$8,0))))&lt;10,$C$9,IF(IF(AU94&lt;AV94*(1-$C$7),AV94*(1-$C$5-IF(AT94&lt;3,$C$8,0)),MIN(AV94*(1-$C$5-IF(AT94&lt;3,$C$8,0)),AU94*(1-$C$6-IF(AT94&lt;3,$C$8,0))))&lt;100,$D$9,$E$9)))),ROUND($D94*(1+$C$10),2),FLOOR(IF(AU94&lt;AV94*(1-$C$7),AV94*(1-$C$5-IF(AT94&lt;3,$C$8,0)),MIN(AV94*(1-$C$5-IF(AT94&lt;3,$C$8,0)),AU94*(1-$C$6-IF(AT94&lt;3,$C$8,0)))),IF(IF(AU94&lt;AV94*(1-$C$7),AV94*(1-$C$5-IF(AT94&lt;3,$C$8,0)),MIN(AV94*(1-$C$5-IF(AT94&lt;3,$C$8,0)),AU94*(1-$C$6-IF(AT94&lt;3,$C$8,0))))&lt;10,$C$9,IF(IF(AU94&lt;AV94*(1-$C$7),AV94*(1-$C$5-IF(AT94&lt;3,$C$8,0)),MIN(AV94*(1-$C$5-IF(AT94&lt;3,$C$8,0)),AU94*(1-$C$6-IF(AT94&lt;3,$C$8,0))))&lt;100,$D$9,$E$9)))))</f>
        <v>1.7</v>
      </c>
      <c r="AZ94" s="62" t="n">
        <f aca="false">IF(AT94=0,"—",FLOOR(AY94*Sources!$G$9,0.1))</f>
        <v>8.9</v>
      </c>
      <c r="BA94" s="60" t="str">
        <f aca="false">IF(ISNUMBER($D94),$D94,"n/a")</f>
        <v>n/a</v>
      </c>
      <c r="BB94" s="63" t="str">
        <f aca="false">IF(OR(AT94=0,NOT(ISNUMBER($D94))),"—",AY94/$D94-1)</f>
        <v>—</v>
      </c>
      <c r="BC94" s="64" t="n">
        <f aca="false">IF(AT94=0,"—",AY94/AU94-1)</f>
        <v>1.15155557468049</v>
      </c>
      <c r="BD94" s="64" t="n">
        <f aca="false">IF(AT94=0,"—",AY94/AV94-1)</f>
        <v>-0.260956322518661</v>
      </c>
      <c r="BE94" s="59" t="n">
        <f aca="false">COUNTIFS(Offers!$B$7:$B$3000,$B94,Offers!$C$7:$C$3000,"Hungary",Offers!$AI$7:$AI$3000,"yes")</f>
        <v>0</v>
      </c>
      <c r="BF94" s="60" t="str">
        <f aca="false">IF(BE94=0,"—",SUMIFS(Review!$I$7:$I$600,Review!$B$7:$B$600,$B94,Review!$C$7:$C$600,"Hungary"))</f>
        <v>—</v>
      </c>
      <c r="BG94" s="60" t="str">
        <f aca="false">IF(BE94=0,"—",SUMIFS(Review!$J$7:$J$600,Review!$B$7:$B$600,$B94,Review!$C$7:$C$600,"Hungary"))</f>
        <v>—</v>
      </c>
      <c r="BH94" s="60" t="str">
        <f aca="false">IF(BE94=0,"—",SUMIFS(Review!$K$7:$K$600,Review!$B$7:$B$600,$B94,Review!$C$7:$C$600,"Hungary"))</f>
        <v>—</v>
      </c>
      <c r="BI94" s="61" t="str">
        <f aca="false">IF(BE94=0,"—",IF(BF94&lt;BG94*(1-$C$7),"median (cheapest is an outlier)",IF(BF94*(1-$C$6)&lt;BG94*(1-$C$5),"undercut cheapest","median")))</f>
        <v>—</v>
      </c>
      <c r="BJ94" s="62" t="str">
        <f aca="false">IF(BE94=0,"—",IF(AND(ISNUMBER($D94),$D94*(1+$C$10)&gt;FLOOR(IF(BF94&lt;BG94*(1-$C$7),BG94*(1-$C$5-IF(BE94&lt;3,$C$8,0)),MIN(BG94*(1-$C$5-IF(BE94&lt;3,$C$8,0)),BF94*(1-$C$6-IF(BE94&lt;3,$C$8,0)))),IF(IF(BF94&lt;BG94*(1-$C$7),BG94*(1-$C$5-IF(BE94&lt;3,$C$8,0)),MIN(BG94*(1-$C$5-IF(BE94&lt;3,$C$8,0)),BF94*(1-$C$6-IF(BE94&lt;3,$C$8,0))))&lt;10,$C$9,IF(IF(BF94&lt;BG94*(1-$C$7),BG94*(1-$C$5-IF(BE94&lt;3,$C$8,0)),MIN(BG94*(1-$C$5-IF(BE94&lt;3,$C$8,0)),BF94*(1-$C$6-IF(BE94&lt;3,$C$8,0))))&lt;100,$D$9,$E$9)))),ROUND($D94*(1+$C$10),2),FLOOR(IF(BF94&lt;BG94*(1-$C$7),BG94*(1-$C$5-IF(BE94&lt;3,$C$8,0)),MIN(BG94*(1-$C$5-IF(BE94&lt;3,$C$8,0)),BF94*(1-$C$6-IF(BE94&lt;3,$C$8,0)))),IF(IF(BF94&lt;BG94*(1-$C$7),BG94*(1-$C$5-IF(BE94&lt;3,$C$8,0)),MIN(BG94*(1-$C$5-IF(BE94&lt;3,$C$8,0)),BF94*(1-$C$6-IF(BE94&lt;3,$C$8,0))))&lt;10,$C$9,IF(IF(BF94&lt;BG94*(1-$C$7),BG94*(1-$C$5-IF(BE94&lt;3,$C$8,0)),MIN(BG94*(1-$C$5-IF(BE94&lt;3,$C$8,0)),BF94*(1-$C$6-IF(BE94&lt;3,$C$8,0))))&lt;100,$D$9,$E$9)))))</f>
        <v>—</v>
      </c>
      <c r="BK94" s="65" t="str">
        <f aca="false">IF(BE94=0,"—",FLOOR(BJ94*Sources!$G$8,10))</f>
        <v>—</v>
      </c>
      <c r="BL94" s="60" t="str">
        <f aca="false">IF(ISNUMBER($D94),$D94,"n/a")</f>
        <v>n/a</v>
      </c>
      <c r="BM94" s="63" t="str">
        <f aca="false">IF(OR(BE94=0,NOT(ISNUMBER($D94))),"—",BJ94/$D94-1)</f>
        <v>—</v>
      </c>
      <c r="BN94" s="64" t="str">
        <f aca="false">IF(BE94=0,"—",BJ94/BF94-1)</f>
        <v>—</v>
      </c>
      <c r="BO94" s="64" t="str">
        <f aca="false">IF(BE94=0,"—",BJ94/BG94-1)</f>
        <v>—</v>
      </c>
    </row>
    <row r="96" customFormat="false" ht="15" hidden="false" customHeight="false" outlineLevel="0" collapsed="false">
      <c r="B96" s="52" t="s">
        <v>220</v>
      </c>
    </row>
    <row r="97" customFormat="false" ht="15" hidden="false" customHeight="true" outlineLevel="0" collapsed="false">
      <c r="B97" s="51" t="s">
        <v>221</v>
      </c>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row>
    <row r="98" customFormat="false" ht="15" hidden="false" customHeight="true" outlineLevel="0" collapsed="false">
      <c r="B98" s="51" t="s">
        <v>222</v>
      </c>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row>
    <row r="99" customFormat="false" ht="15" hidden="false" customHeight="true" outlineLevel="0" collapsed="false">
      <c r="B99" s="51" t="s">
        <v>223</v>
      </c>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row>
    <row r="100" customFormat="false" ht="15" hidden="false" customHeight="true" outlineLevel="0" collapsed="false">
      <c r="B100" s="51" t="s">
        <v>224</v>
      </c>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row>
    <row r="101" customFormat="false" ht="15" hidden="false" customHeight="true" outlineLevel="0" collapsed="false">
      <c r="B101" s="51" t="s">
        <v>225</v>
      </c>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row>
    <row r="102" customFormat="false" ht="15" hidden="false" customHeight="true" outlineLevel="0" collapsed="false">
      <c r="B102" s="51" t="s">
        <v>226</v>
      </c>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row>
    <row r="103" customFormat="false" ht="15" hidden="false" customHeight="true" outlineLevel="0" collapsed="false">
      <c r="B103" s="51" t="s">
        <v>227</v>
      </c>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row>
  </sheetData>
  <mergeCells count="18">
    <mergeCell ref="B3:AB3"/>
    <mergeCell ref="F5:AB6"/>
    <mergeCell ref="B13:B14"/>
    <mergeCell ref="C13:C14"/>
    <mergeCell ref="D13:D14"/>
    <mergeCell ref="E13:N13"/>
    <mergeCell ref="O13:X13"/>
    <mergeCell ref="Y13:AI13"/>
    <mergeCell ref="AJ13:AS13"/>
    <mergeCell ref="AT13:BD13"/>
    <mergeCell ref="BE13:BO13"/>
    <mergeCell ref="B97:AD97"/>
    <mergeCell ref="B98:AD98"/>
    <mergeCell ref="B99:AD99"/>
    <mergeCell ref="B100:AD100"/>
    <mergeCell ref="B101:AD101"/>
    <mergeCell ref="B102:AD102"/>
    <mergeCell ref="B103:AD103"/>
  </mergeCells>
  <conditionalFormatting sqref="M15:M94">
    <cfRule type="cellIs" priority="2" operator="greaterThan" aboveAverage="0" equalAverage="0" bottom="0" percent="0" rank="0" text="" dxfId="2">
      <formula>0</formula>
    </cfRule>
    <cfRule type="cellIs" priority="3" operator="lessThanOrEqual" aboveAverage="0" equalAverage="0" bottom="0" percent="0" rank="0" text="" dxfId="3">
      <formula>0</formula>
    </cfRule>
  </conditionalFormatting>
  <conditionalFormatting sqref="L15:L94">
    <cfRule type="cellIs" priority="4" operator="lessThan" aboveAverage="0" equalAverage="0" bottom="0" percent="0" rank="0" text="" dxfId="2">
      <formula>0.5</formula>
    </cfRule>
  </conditionalFormatting>
  <conditionalFormatting sqref="W15:W94">
    <cfRule type="cellIs" priority="5" operator="greaterThan" aboveAverage="0" equalAverage="0" bottom="0" percent="0" rank="0" text="" dxfId="2">
      <formula>0</formula>
    </cfRule>
    <cfRule type="cellIs" priority="6" operator="lessThanOrEqual" aboveAverage="0" equalAverage="0" bottom="0" percent="0" rank="0" text="" dxfId="3">
      <formula>0</formula>
    </cfRule>
  </conditionalFormatting>
  <conditionalFormatting sqref="V15:V94">
    <cfRule type="cellIs" priority="7" operator="lessThan" aboveAverage="0" equalAverage="0" bottom="0" percent="0" rank="0" text="" dxfId="2">
      <formula>0.5</formula>
    </cfRule>
  </conditionalFormatting>
  <conditionalFormatting sqref="AH15:AH94">
    <cfRule type="cellIs" priority="8" operator="greaterThan" aboveAverage="0" equalAverage="0" bottom="0" percent="0" rank="0" text="" dxfId="2">
      <formula>0</formula>
    </cfRule>
    <cfRule type="cellIs" priority="9" operator="lessThanOrEqual" aboveAverage="0" equalAverage="0" bottom="0" percent="0" rank="0" text="" dxfId="3">
      <formula>0</formula>
    </cfRule>
  </conditionalFormatting>
  <conditionalFormatting sqref="AG15:AG94">
    <cfRule type="cellIs" priority="10" operator="lessThan" aboveAverage="0" equalAverage="0" bottom="0" percent="0" rank="0" text="" dxfId="2">
      <formula>0.5</formula>
    </cfRule>
  </conditionalFormatting>
  <conditionalFormatting sqref="AR15:AR94">
    <cfRule type="cellIs" priority="11" operator="greaterThan" aboveAverage="0" equalAverage="0" bottom="0" percent="0" rank="0" text="" dxfId="2">
      <formula>0</formula>
    </cfRule>
    <cfRule type="cellIs" priority="12" operator="lessThanOrEqual" aboveAverage="0" equalAverage="0" bottom="0" percent="0" rank="0" text="" dxfId="3">
      <formula>0</formula>
    </cfRule>
  </conditionalFormatting>
  <conditionalFormatting sqref="AQ15:AQ94">
    <cfRule type="cellIs" priority="13" operator="lessThan" aboveAverage="0" equalAverage="0" bottom="0" percent="0" rank="0" text="" dxfId="2">
      <formula>0.5</formula>
    </cfRule>
  </conditionalFormatting>
  <conditionalFormatting sqref="BC15:BC94">
    <cfRule type="cellIs" priority="14" operator="greaterThan" aboveAverage="0" equalAverage="0" bottom="0" percent="0" rank="0" text="" dxfId="2">
      <formula>0</formula>
    </cfRule>
    <cfRule type="cellIs" priority="15" operator="lessThanOrEqual" aboveAverage="0" equalAverage="0" bottom="0" percent="0" rank="0" text="" dxfId="3">
      <formula>0</formula>
    </cfRule>
  </conditionalFormatting>
  <conditionalFormatting sqref="BB15:BB94">
    <cfRule type="cellIs" priority="16" operator="lessThan" aboveAverage="0" equalAverage="0" bottom="0" percent="0" rank="0" text="" dxfId="2">
      <formula>0.5</formula>
    </cfRule>
  </conditionalFormatting>
  <conditionalFormatting sqref="BN15:BN49">
    <cfRule type="cellIs" priority="17" operator="greaterThan" aboveAverage="0" equalAverage="0" bottom="0" percent="0" rank="0" text="" dxfId="2">
      <formula>0</formula>
    </cfRule>
    <cfRule type="cellIs" priority="18" operator="lessThanOrEqual" aboveAverage="0" equalAverage="0" bottom="0" percent="0" rank="0" text="" dxfId="3">
      <formula>0</formula>
    </cfRule>
  </conditionalFormatting>
  <conditionalFormatting sqref="BM15:BM49">
    <cfRule type="cellIs" priority="19" operator="lessThan" aboveAverage="0" equalAverage="0" bottom="0" percent="0" rank="0" text="" dxfId="2">
      <formula>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1"/>
    <col collapsed="false" customWidth="true" hidden="false" outlineLevel="0" max="3" min="3" style="1" width="38"/>
    <col collapsed="false" customWidth="true" hidden="false" outlineLevel="0" max="4" min="4" style="1" width="11"/>
    <col collapsed="false" customWidth="true" hidden="false" outlineLevel="0" max="5" min="5" style="1" width="9"/>
    <col collapsed="false" customWidth="true" hidden="false" outlineLevel="0" max="7" min="6" style="1" width="10"/>
    <col collapsed="false" customWidth="true" hidden="false" outlineLevel="0" max="8" min="8" style="1" width="12"/>
    <col collapsed="false" customWidth="true" hidden="false" outlineLevel="0" max="9" min="9" style="1" width="10"/>
    <col collapsed="false" customWidth="true" hidden="false" outlineLevel="0" max="10" min="10" style="1" width="11"/>
    <col collapsed="false" customWidth="true" hidden="false" outlineLevel="0" max="11" min="11" style="1" width="14"/>
    <col collapsed="false" customWidth="true" hidden="false" outlineLevel="0" max="12" min="12" style="1" width="34"/>
    <col collapsed="false" customWidth="true" hidden="false" outlineLevel="0" max="13" min="13" style="1" width="40"/>
    <col collapsed="false" customWidth="true" hidden="false" outlineLevel="0" max="14" min="14" style="1" width="34"/>
    <col collapsed="false" customWidth="true" hidden="false" outlineLevel="0" max="15" min="15" style="1" width="12"/>
  </cols>
  <sheetData>
    <row r="2" customFormat="false" ht="17.25" hidden="false" customHeight="true" outlineLevel="0" collapsed="false">
      <c r="B2" s="50" t="s">
        <v>228</v>
      </c>
    </row>
    <row r="3" customFormat="false" ht="69.75" hidden="false" customHeight="true" outlineLevel="0" collapsed="false">
      <c r="B3" s="51" t="s">
        <v>229</v>
      </c>
      <c r="C3" s="51"/>
      <c r="D3" s="51"/>
      <c r="E3" s="51"/>
      <c r="F3" s="51"/>
      <c r="G3" s="51"/>
      <c r="H3" s="51"/>
      <c r="I3" s="51"/>
      <c r="J3" s="51"/>
      <c r="K3" s="51"/>
      <c r="L3" s="51"/>
      <c r="M3" s="51"/>
      <c r="N3" s="51"/>
    </row>
    <row r="5" customFormat="false" ht="31.5" hidden="false" customHeight="true" outlineLevel="0" collapsed="false">
      <c r="B5" s="57" t="s">
        <v>19</v>
      </c>
      <c r="C5" s="57" t="s">
        <v>230</v>
      </c>
      <c r="D5" s="57" t="s">
        <v>231</v>
      </c>
      <c r="E5" s="57" t="s">
        <v>232</v>
      </c>
      <c r="F5" s="57" t="s">
        <v>233</v>
      </c>
      <c r="G5" s="57" t="s">
        <v>234</v>
      </c>
      <c r="H5" s="57" t="s">
        <v>235</v>
      </c>
      <c r="I5" s="57" t="s">
        <v>236</v>
      </c>
      <c r="J5" s="57" t="s">
        <v>237</v>
      </c>
      <c r="K5" s="57" t="s">
        <v>238</v>
      </c>
      <c r="L5" s="57" t="s">
        <v>239</v>
      </c>
      <c r="M5" s="57" t="s">
        <v>240</v>
      </c>
      <c r="N5" s="57" t="s">
        <v>241</v>
      </c>
      <c r="O5" s="57" t="s">
        <v>242</v>
      </c>
    </row>
    <row r="6" customFormat="false" ht="27.75" hidden="false" customHeight="true" outlineLevel="0" collapsed="false">
      <c r="B6" s="1" t="s">
        <v>15</v>
      </c>
      <c r="C6" s="1" t="s">
        <v>243</v>
      </c>
      <c r="D6" s="74"/>
      <c r="E6" s="1" t="s">
        <v>244</v>
      </c>
      <c r="F6" s="1" t="s">
        <v>245</v>
      </c>
      <c r="G6" s="74" t="str">
        <f aca="false">IF(ISNUMBER(D6),D6/IF(F6="incl.",1+0.2,1)/1,"")</f>
        <v/>
      </c>
      <c r="H6" s="74"/>
      <c r="I6" s="1" t="s">
        <v>246</v>
      </c>
      <c r="J6" s="74" t="str">
        <f aca="false">IF(ISNUMBER(H6),H6/IF(I6="incl.",1+0.2,1)/1,"")</f>
        <v/>
      </c>
      <c r="K6" s="1" t="s">
        <v>247</v>
      </c>
      <c r="L6" s="75" t="s">
        <v>248</v>
      </c>
      <c r="M6" s="75" t="s">
        <v>249</v>
      </c>
      <c r="N6" s="75" t="s">
        <v>250</v>
      </c>
      <c r="O6" s="1" t="s">
        <v>251</v>
      </c>
    </row>
    <row r="7" customFormat="false" ht="81.75" hidden="false" customHeight="true" outlineLevel="0" collapsed="false">
      <c r="B7" s="1" t="s">
        <v>15</v>
      </c>
      <c r="C7" s="1" t="s">
        <v>252</v>
      </c>
      <c r="D7" s="74" t="n">
        <v>0</v>
      </c>
      <c r="E7" s="1" t="s">
        <v>244</v>
      </c>
      <c r="F7" s="1" t="s">
        <v>246</v>
      </c>
      <c r="G7" s="74" t="n">
        <f aca="false">IF(ISNUMBER(D7),D7/IF(F7="incl.",1+0.2,1)/1,"")</f>
        <v>0</v>
      </c>
      <c r="H7" s="74" t="n">
        <v>0</v>
      </c>
      <c r="I7" s="1" t="s">
        <v>246</v>
      </c>
      <c r="J7" s="74" t="n">
        <f aca="false">IF(ISNUMBER(H7),H7/IF(I7="incl.",1+0.2,1)/1,"")</f>
        <v>0</v>
      </c>
      <c r="K7" s="1" t="s">
        <v>247</v>
      </c>
      <c r="L7" s="75" t="s">
        <v>253</v>
      </c>
      <c r="M7" s="75" t="s">
        <v>254</v>
      </c>
      <c r="N7" s="75" t="s">
        <v>255</v>
      </c>
      <c r="O7" s="1" t="s">
        <v>256</v>
      </c>
    </row>
    <row r="8" customFormat="false" ht="15" hidden="false" customHeight="true" outlineLevel="0" collapsed="false">
      <c r="B8" s="1" t="s">
        <v>15</v>
      </c>
      <c r="C8" s="1" t="s">
        <v>257</v>
      </c>
      <c r="D8" s="74"/>
      <c r="E8" s="1" t="s">
        <v>244</v>
      </c>
      <c r="F8" s="1" t="s">
        <v>245</v>
      </c>
      <c r="G8" s="74" t="str">
        <f aca="false">IF(ISNUMBER(D8),D8/IF(F8="incl.",1+0.2,1)/1,"")</f>
        <v/>
      </c>
      <c r="H8" s="74" t="n">
        <v>300</v>
      </c>
      <c r="I8" s="1" t="s">
        <v>245</v>
      </c>
      <c r="J8" s="74" t="n">
        <f aca="false">IF(ISNUMBER(H8),H8/IF(I8="incl.",1+0.2,1)/1,"")</f>
        <v>300</v>
      </c>
      <c r="K8" s="1" t="s">
        <v>247</v>
      </c>
      <c r="L8" s="75" t="s">
        <v>258</v>
      </c>
      <c r="M8" s="75" t="s">
        <v>259</v>
      </c>
      <c r="N8" s="75" t="s">
        <v>260</v>
      </c>
      <c r="O8" s="1" t="s">
        <v>251</v>
      </c>
    </row>
    <row r="9" customFormat="false" ht="68.25" hidden="false" customHeight="true" outlineLevel="0" collapsed="false">
      <c r="B9" s="1" t="s">
        <v>15</v>
      </c>
      <c r="C9" s="1" t="s">
        <v>261</v>
      </c>
      <c r="D9" s="74"/>
      <c r="E9" s="1" t="s">
        <v>244</v>
      </c>
      <c r="F9" s="1" t="s">
        <v>246</v>
      </c>
      <c r="G9" s="74" t="str">
        <f aca="false">IF(ISNUMBER(D9),D9/IF(F9="incl.",1+0.2,1)/1,"")</f>
        <v/>
      </c>
      <c r="H9" s="74"/>
      <c r="I9" s="1" t="s">
        <v>246</v>
      </c>
      <c r="J9" s="74" t="str">
        <f aca="false">IF(ISNUMBER(H9),H9/IF(I9="incl.",1+0.2,1)/1,"")</f>
        <v/>
      </c>
      <c r="K9" s="1" t="s">
        <v>247</v>
      </c>
      <c r="L9" s="75" t="s">
        <v>262</v>
      </c>
      <c r="M9" s="75" t="s">
        <v>262</v>
      </c>
      <c r="N9" s="75" t="s">
        <v>263</v>
      </c>
      <c r="O9" s="1" t="s">
        <v>256</v>
      </c>
    </row>
    <row r="10" customFormat="false" ht="27.75" hidden="false" customHeight="true" outlineLevel="0" collapsed="false">
      <c r="B10" s="1" t="s">
        <v>15</v>
      </c>
      <c r="C10" s="1" t="s">
        <v>264</v>
      </c>
      <c r="D10" s="74" t="n">
        <v>9.95</v>
      </c>
      <c r="E10" s="1" t="s">
        <v>244</v>
      </c>
      <c r="F10" s="1" t="s">
        <v>265</v>
      </c>
      <c r="G10" s="74" t="n">
        <f aca="false">IF(ISNUMBER(D10),D10/IF(F10="incl.",1+0.2,1)/1,"")</f>
        <v>8.29166666666667</v>
      </c>
      <c r="H10" s="74" t="n">
        <v>99</v>
      </c>
      <c r="I10" s="1" t="s">
        <v>265</v>
      </c>
      <c r="J10" s="74" t="n">
        <f aca="false">IF(ISNUMBER(H10),H10/IF(I10="incl.",1+0.2,1)/1,"")</f>
        <v>82.5</v>
      </c>
      <c r="K10" s="1" t="s">
        <v>247</v>
      </c>
      <c r="L10" s="75" t="s">
        <v>266</v>
      </c>
      <c r="M10" s="75" t="s">
        <v>267</v>
      </c>
      <c r="N10" s="75" t="s">
        <v>268</v>
      </c>
      <c r="O10" s="1" t="s">
        <v>251</v>
      </c>
    </row>
    <row r="11" customFormat="false" ht="27.75" hidden="false" customHeight="true" outlineLevel="0" collapsed="false">
      <c r="B11" s="1" t="s">
        <v>15</v>
      </c>
      <c r="C11" s="1" t="s">
        <v>269</v>
      </c>
      <c r="D11" s="74" t="n">
        <v>9.9</v>
      </c>
      <c r="E11" s="1" t="s">
        <v>244</v>
      </c>
      <c r="F11" s="1" t="s">
        <v>245</v>
      </c>
      <c r="G11" s="74" t="n">
        <f aca="false">IF(ISNUMBER(D11),D11/IF(F11="incl.",1+0.2,1)/1,"")</f>
        <v>9.9</v>
      </c>
      <c r="H11" s="74" t="n">
        <v>350</v>
      </c>
      <c r="I11" s="1" t="s">
        <v>245</v>
      </c>
      <c r="J11" s="74" t="n">
        <f aca="false">IF(ISNUMBER(H11),H11/IF(I11="incl.",1+0.2,1)/1,"")</f>
        <v>350</v>
      </c>
      <c r="K11" s="1" t="s">
        <v>247</v>
      </c>
      <c r="L11" s="75" t="s">
        <v>270</v>
      </c>
      <c r="M11" s="75" t="s">
        <v>271</v>
      </c>
      <c r="N11" s="75" t="s">
        <v>272</v>
      </c>
      <c r="O11" s="1" t="s">
        <v>251</v>
      </c>
    </row>
    <row r="12" customFormat="false" ht="27.75" hidden="false" customHeight="true" outlineLevel="0" collapsed="false">
      <c r="B12" s="1" t="s">
        <v>15</v>
      </c>
      <c r="C12" s="1" t="s">
        <v>273</v>
      </c>
      <c r="D12" s="74" t="n">
        <v>13.15</v>
      </c>
      <c r="E12" s="1" t="s">
        <v>244</v>
      </c>
      <c r="F12" s="1" t="s">
        <v>265</v>
      </c>
      <c r="G12" s="74" t="n">
        <f aca="false">IF(ISNUMBER(D12),D12/IF(F12="incl.",1+0.2,1)/1,"")</f>
        <v>10.9583333333333</v>
      </c>
      <c r="H12" s="74"/>
      <c r="I12" s="1" t="s">
        <v>246</v>
      </c>
      <c r="J12" s="74" t="str">
        <f aca="false">IF(ISNUMBER(H12),H12/IF(I12="incl.",1+0.2,1)/1,"")</f>
        <v/>
      </c>
      <c r="K12" s="1" t="s">
        <v>247</v>
      </c>
      <c r="L12" s="75" t="s">
        <v>274</v>
      </c>
      <c r="M12" s="75" t="s">
        <v>275</v>
      </c>
      <c r="N12" s="75" t="s">
        <v>276</v>
      </c>
      <c r="O12" s="1" t="s">
        <v>251</v>
      </c>
    </row>
    <row r="13" customFormat="false" ht="15" hidden="false" customHeight="true" outlineLevel="0" collapsed="false">
      <c r="B13" s="1" t="s">
        <v>15</v>
      </c>
      <c r="C13" s="1" t="s">
        <v>277</v>
      </c>
      <c r="D13" s="74" t="n">
        <v>0</v>
      </c>
      <c r="E13" s="1" t="s">
        <v>244</v>
      </c>
      <c r="F13" s="1" t="s">
        <v>245</v>
      </c>
      <c r="G13" s="74" t="n">
        <f aca="false">IF(ISNUMBER(D13),D13/IF(F13="incl.",1+0.2,1)/1,"")</f>
        <v>0</v>
      </c>
      <c r="H13" s="74" t="n">
        <v>0</v>
      </c>
      <c r="I13" s="1" t="s">
        <v>245</v>
      </c>
      <c r="J13" s="74" t="n">
        <f aca="false">IF(ISNUMBER(H13),H13/IF(I13="incl.",1+0.2,1)/1,"")</f>
        <v>0</v>
      </c>
      <c r="K13" s="1" t="s">
        <v>247</v>
      </c>
      <c r="L13" s="75" t="s">
        <v>278</v>
      </c>
      <c r="M13" s="75" t="s">
        <v>279</v>
      </c>
      <c r="N13" s="75" t="s">
        <v>280</v>
      </c>
      <c r="O13" s="1" t="s">
        <v>251</v>
      </c>
    </row>
    <row r="14" customFormat="false" ht="27.75" hidden="false" customHeight="true" outlineLevel="0" collapsed="false">
      <c r="B14" s="1" t="s">
        <v>15</v>
      </c>
      <c r="C14" s="1" t="s">
        <v>281</v>
      </c>
      <c r="D14" s="74" t="n">
        <v>8.95</v>
      </c>
      <c r="E14" s="1" t="s">
        <v>244</v>
      </c>
      <c r="F14" s="1" t="s">
        <v>245</v>
      </c>
      <c r="G14" s="74" t="n">
        <f aca="false">IF(ISNUMBER(D14),D14/IF(F14="incl.",1+0.2,1)/1,"")</f>
        <v>8.95</v>
      </c>
      <c r="H14" s="74"/>
      <c r="I14" s="1" t="s">
        <v>246</v>
      </c>
      <c r="J14" s="74" t="str">
        <f aca="false">IF(ISNUMBER(H14),H14/IF(I14="incl.",1+0.2,1)/1,"")</f>
        <v/>
      </c>
      <c r="K14" s="1" t="s">
        <v>247</v>
      </c>
      <c r="L14" s="75" t="s">
        <v>282</v>
      </c>
      <c r="M14" s="75" t="s">
        <v>283</v>
      </c>
      <c r="N14" s="75" t="s">
        <v>284</v>
      </c>
      <c r="O14" s="1" t="s">
        <v>251</v>
      </c>
    </row>
    <row r="15" customFormat="false" ht="15" hidden="false" customHeight="true" outlineLevel="0" collapsed="false">
      <c r="B15" s="1" t="s">
        <v>15</v>
      </c>
      <c r="C15" s="1" t="s">
        <v>285</v>
      </c>
      <c r="D15" s="74" t="n">
        <v>15</v>
      </c>
      <c r="E15" s="1" t="s">
        <v>244</v>
      </c>
      <c r="F15" s="1" t="s">
        <v>245</v>
      </c>
      <c r="G15" s="74" t="n">
        <f aca="false">IF(ISNUMBER(D15),D15/IF(F15="incl.",1+0.2,1)/1,"")</f>
        <v>15</v>
      </c>
      <c r="H15" s="74" t="n">
        <v>250</v>
      </c>
      <c r="I15" s="1" t="s">
        <v>245</v>
      </c>
      <c r="J15" s="74" t="n">
        <f aca="false">IF(ISNUMBER(H15),H15/IF(I15="incl.",1+0.2,1)/1,"")</f>
        <v>250</v>
      </c>
      <c r="K15" s="1" t="s">
        <v>247</v>
      </c>
      <c r="L15" s="75" t="s">
        <v>274</v>
      </c>
      <c r="M15" s="75" t="s">
        <v>286</v>
      </c>
      <c r="N15" s="75" t="s">
        <v>287</v>
      </c>
      <c r="O15" s="1" t="s">
        <v>251</v>
      </c>
    </row>
    <row r="16" customFormat="false" ht="95.25" hidden="false" customHeight="true" outlineLevel="0" collapsed="false">
      <c r="B16" s="1" t="s">
        <v>15</v>
      </c>
      <c r="C16" s="1" t="s">
        <v>288</v>
      </c>
      <c r="D16" s="74" t="n">
        <v>6.6</v>
      </c>
      <c r="E16" s="1" t="s">
        <v>244</v>
      </c>
      <c r="F16" s="1" t="s">
        <v>245</v>
      </c>
      <c r="G16" s="74" t="n">
        <f aca="false">IF(ISNUMBER(D16),D16/IF(F16="incl.",1+0.2,1)/1,"")</f>
        <v>6.6</v>
      </c>
      <c r="H16" s="74"/>
      <c r="I16" s="1" t="s">
        <v>246</v>
      </c>
      <c r="J16" s="74" t="str">
        <f aca="false">IF(ISNUMBER(H16),H16/IF(I16="incl.",1+0.2,1)/1,"")</f>
        <v/>
      </c>
      <c r="K16" s="1" t="s">
        <v>289</v>
      </c>
      <c r="L16" s="75" t="s">
        <v>290</v>
      </c>
      <c r="M16" s="75" t="s">
        <v>291</v>
      </c>
      <c r="N16" s="75" t="s">
        <v>292</v>
      </c>
      <c r="O16" s="1" t="s">
        <v>256</v>
      </c>
    </row>
    <row r="17" customFormat="false" ht="27.75" hidden="false" customHeight="true" outlineLevel="0" collapsed="false">
      <c r="B17" s="1" t="s">
        <v>15</v>
      </c>
      <c r="C17" s="1" t="s">
        <v>293</v>
      </c>
      <c r="D17" s="74" t="n">
        <v>19.9</v>
      </c>
      <c r="E17" s="1" t="s">
        <v>244</v>
      </c>
      <c r="F17" s="1" t="s">
        <v>245</v>
      </c>
      <c r="G17" s="74" t="n">
        <f aca="false">IF(ISNUMBER(D17),D17/IF(F17="incl.",1+0.2,1)/1,"")</f>
        <v>19.9</v>
      </c>
      <c r="H17" s="74"/>
      <c r="I17" s="1" t="s">
        <v>246</v>
      </c>
      <c r="J17" s="74" t="str">
        <f aca="false">IF(ISNUMBER(H17),H17/IF(I17="incl.",1+0.2,1)/1,"")</f>
        <v/>
      </c>
      <c r="K17" s="1" t="s">
        <v>247</v>
      </c>
      <c r="L17" s="75" t="s">
        <v>294</v>
      </c>
      <c r="M17" s="75" t="s">
        <v>295</v>
      </c>
      <c r="N17" s="75" t="s">
        <v>293</v>
      </c>
      <c r="O17" s="1" t="s">
        <v>251</v>
      </c>
    </row>
    <row r="18" customFormat="false" ht="27.75" hidden="false" customHeight="true" outlineLevel="0" collapsed="false">
      <c r="B18" s="66" t="s">
        <v>16</v>
      </c>
      <c r="C18" s="66" t="s">
        <v>296</v>
      </c>
      <c r="D18" s="76"/>
      <c r="E18" s="66" t="s">
        <v>244</v>
      </c>
      <c r="F18" s="66" t="s">
        <v>245</v>
      </c>
      <c r="G18" s="76" t="str">
        <f aca="false">IF(ISNUMBER(D18),D18/IF(F18="incl.",1+0.19,1)/1,"")</f>
        <v/>
      </c>
      <c r="H18" s="76"/>
      <c r="I18" s="66" t="s">
        <v>246</v>
      </c>
      <c r="J18" s="76" t="str">
        <f aca="false">IF(ISNUMBER(H18),H18/IF(I18="incl.",1+0.19,1)/1,"")</f>
        <v/>
      </c>
      <c r="K18" s="66" t="s">
        <v>247</v>
      </c>
      <c r="L18" s="77" t="s">
        <v>297</v>
      </c>
      <c r="M18" s="77" t="s">
        <v>298</v>
      </c>
      <c r="N18" s="77" t="s">
        <v>299</v>
      </c>
      <c r="O18" s="66" t="s">
        <v>251</v>
      </c>
    </row>
    <row r="19" customFormat="false" ht="162" hidden="false" customHeight="true" outlineLevel="0" collapsed="false">
      <c r="B19" s="66" t="s">
        <v>16</v>
      </c>
      <c r="C19" s="66" t="s">
        <v>300</v>
      </c>
      <c r="D19" s="76" t="n">
        <v>9.75</v>
      </c>
      <c r="E19" s="66" t="s">
        <v>244</v>
      </c>
      <c r="F19" s="66" t="s">
        <v>245</v>
      </c>
      <c r="G19" s="76" t="n">
        <f aca="false">IF(ISNUMBER(D19),D19/IF(F19="incl.",1+0.19,1)/1,"")</f>
        <v>9.75</v>
      </c>
      <c r="H19" s="76" t="n">
        <v>250</v>
      </c>
      <c r="I19" s="66" t="s">
        <v>245</v>
      </c>
      <c r="J19" s="76" t="n">
        <f aca="false">IF(ISNUMBER(H19),H19/IF(I19="incl.",1+0.19,1)/1,"")</f>
        <v>250</v>
      </c>
      <c r="K19" s="66" t="s">
        <v>301</v>
      </c>
      <c r="L19" s="77" t="s">
        <v>302</v>
      </c>
      <c r="M19" s="77" t="s">
        <v>303</v>
      </c>
      <c r="N19" s="77" t="s">
        <v>304</v>
      </c>
      <c r="O19" s="66" t="s">
        <v>256</v>
      </c>
    </row>
    <row r="20" customFormat="false" ht="108.75" hidden="false" customHeight="true" outlineLevel="0" collapsed="false">
      <c r="B20" s="66" t="s">
        <v>16</v>
      </c>
      <c r="C20" s="66" t="s">
        <v>305</v>
      </c>
      <c r="D20" s="76" t="n">
        <v>7.48</v>
      </c>
      <c r="E20" s="66" t="s">
        <v>244</v>
      </c>
      <c r="F20" s="66" t="s">
        <v>245</v>
      </c>
      <c r="G20" s="76" t="n">
        <f aca="false">IF(ISNUMBER(D20),D20/IF(F20="incl.",1+0.19,1)/1,"")</f>
        <v>7.48</v>
      </c>
      <c r="H20" s="76"/>
      <c r="I20" s="66" t="s">
        <v>246</v>
      </c>
      <c r="J20" s="76" t="str">
        <f aca="false">IF(ISNUMBER(H20),H20/IF(I20="incl.",1+0.19,1)/1,"")</f>
        <v/>
      </c>
      <c r="K20" s="66" t="s">
        <v>247</v>
      </c>
      <c r="L20" s="77" t="s">
        <v>306</v>
      </c>
      <c r="M20" s="77" t="s">
        <v>307</v>
      </c>
      <c r="N20" s="77" t="s">
        <v>308</v>
      </c>
      <c r="O20" s="66" t="s">
        <v>256</v>
      </c>
    </row>
    <row r="21" customFormat="false" ht="15" hidden="false" customHeight="true" outlineLevel="0" collapsed="false">
      <c r="B21" s="66" t="s">
        <v>16</v>
      </c>
      <c r="C21" s="66" t="s">
        <v>309</v>
      </c>
      <c r="D21" s="76" t="n">
        <v>9.95</v>
      </c>
      <c r="E21" s="66" t="s">
        <v>244</v>
      </c>
      <c r="F21" s="66" t="s">
        <v>265</v>
      </c>
      <c r="G21" s="76" t="n">
        <f aca="false">IF(ISNUMBER(D21),D21/IF(F21="incl.",1+0.19,1)/1,"")</f>
        <v>8.36134453781513</v>
      </c>
      <c r="H21" s="76" t="n">
        <v>99</v>
      </c>
      <c r="I21" s="66" t="s">
        <v>265</v>
      </c>
      <c r="J21" s="76" t="n">
        <f aca="false">IF(ISNUMBER(H21),H21/IF(I21="incl.",1+0.19,1)/1,"")</f>
        <v>83.1932773109244</v>
      </c>
      <c r="K21" s="66" t="s">
        <v>247</v>
      </c>
      <c r="L21" s="77" t="s">
        <v>274</v>
      </c>
      <c r="M21" s="77" t="s">
        <v>310</v>
      </c>
      <c r="N21" s="77" t="s">
        <v>268</v>
      </c>
      <c r="O21" s="66" t="s">
        <v>251</v>
      </c>
    </row>
    <row r="22" customFormat="false" ht="15" hidden="false" customHeight="true" outlineLevel="0" collapsed="false">
      <c r="B22" s="66" t="s">
        <v>16</v>
      </c>
      <c r="C22" s="66" t="s">
        <v>311</v>
      </c>
      <c r="D22" s="76" t="n">
        <v>7.9</v>
      </c>
      <c r="E22" s="66" t="s">
        <v>244</v>
      </c>
      <c r="F22" s="66" t="s">
        <v>245</v>
      </c>
      <c r="G22" s="76" t="n">
        <f aca="false">IF(ISNUMBER(D22),D22/IF(F22="incl.",1+0.19,1)/1,"")</f>
        <v>7.9</v>
      </c>
      <c r="H22" s="76" t="n">
        <v>350</v>
      </c>
      <c r="I22" s="66" t="s">
        <v>245</v>
      </c>
      <c r="J22" s="76" t="n">
        <f aca="false">IF(ISNUMBER(H22),H22/IF(I22="incl.",1+0.19,1)/1,"")</f>
        <v>350</v>
      </c>
      <c r="K22" s="66" t="s">
        <v>247</v>
      </c>
      <c r="L22" s="77" t="s">
        <v>274</v>
      </c>
      <c r="M22" s="77"/>
      <c r="N22" s="77" t="s">
        <v>312</v>
      </c>
      <c r="O22" s="66" t="s">
        <v>251</v>
      </c>
    </row>
    <row r="23" customFormat="false" ht="15" hidden="false" customHeight="true" outlineLevel="0" collapsed="false">
      <c r="B23" s="66" t="s">
        <v>16</v>
      </c>
      <c r="C23" s="66" t="s">
        <v>313</v>
      </c>
      <c r="D23" s="76" t="n">
        <v>7.95</v>
      </c>
      <c r="E23" s="66" t="s">
        <v>244</v>
      </c>
      <c r="F23" s="66" t="s">
        <v>265</v>
      </c>
      <c r="G23" s="76" t="n">
        <f aca="false">IF(ISNUMBER(D23),D23/IF(F23="incl.",1+0.19,1)/1,"")</f>
        <v>6.68067226890756</v>
      </c>
      <c r="H23" s="76" t="n">
        <v>1199</v>
      </c>
      <c r="I23" s="66" t="s">
        <v>265</v>
      </c>
      <c r="J23" s="76" t="n">
        <f aca="false">IF(ISNUMBER(H23),H23/IF(I23="incl.",1+0.19,1)/1,"")</f>
        <v>1007.56302521008</v>
      </c>
      <c r="K23" s="66" t="s">
        <v>247</v>
      </c>
      <c r="L23" s="77" t="s">
        <v>314</v>
      </c>
      <c r="M23" s="77" t="s">
        <v>315</v>
      </c>
      <c r="N23" s="77" t="s">
        <v>316</v>
      </c>
      <c r="O23" s="66" t="s">
        <v>251</v>
      </c>
    </row>
    <row r="24" customFormat="false" ht="27.75" hidden="false" customHeight="true" outlineLevel="0" collapsed="false">
      <c r="B24" s="66" t="s">
        <v>16</v>
      </c>
      <c r="C24" s="66" t="s">
        <v>317</v>
      </c>
      <c r="D24" s="76" t="n">
        <v>0</v>
      </c>
      <c r="E24" s="66" t="s">
        <v>244</v>
      </c>
      <c r="F24" s="66" t="s">
        <v>245</v>
      </c>
      <c r="G24" s="76" t="n">
        <f aca="false">IF(ISNUMBER(D24),D24/IF(F24="incl.",1+0.19,1)/1,"")</f>
        <v>0</v>
      </c>
      <c r="H24" s="76" t="n">
        <v>30</v>
      </c>
      <c r="I24" s="66" t="s">
        <v>245</v>
      </c>
      <c r="J24" s="76" t="n">
        <f aca="false">IF(ISNUMBER(H24),H24/IF(I24="incl.",1+0.19,1)/1,"")</f>
        <v>30</v>
      </c>
      <c r="K24" s="66" t="s">
        <v>247</v>
      </c>
      <c r="L24" s="77" t="s">
        <v>318</v>
      </c>
      <c r="M24" s="77" t="s">
        <v>319</v>
      </c>
      <c r="N24" s="77" t="s">
        <v>320</v>
      </c>
      <c r="O24" s="66" t="s">
        <v>251</v>
      </c>
    </row>
    <row r="25" customFormat="false" ht="27.75" hidden="false" customHeight="true" outlineLevel="0" collapsed="false">
      <c r="B25" s="66" t="s">
        <v>16</v>
      </c>
      <c r="C25" s="66" t="s">
        <v>321</v>
      </c>
      <c r="D25" s="76" t="n">
        <v>8.95</v>
      </c>
      <c r="E25" s="66" t="s">
        <v>244</v>
      </c>
      <c r="F25" s="66" t="s">
        <v>245</v>
      </c>
      <c r="G25" s="76" t="n">
        <f aca="false">IF(ISNUMBER(D25),D25/IF(F25="incl.",1+0.19,1)/1,"")</f>
        <v>8.95</v>
      </c>
      <c r="H25" s="76"/>
      <c r="I25" s="66" t="s">
        <v>246</v>
      </c>
      <c r="J25" s="76" t="str">
        <f aca="false">IF(ISNUMBER(H25),H25/IF(I25="incl.",1+0.19,1)/1,"")</f>
        <v/>
      </c>
      <c r="K25" s="66" t="s">
        <v>247</v>
      </c>
      <c r="L25" s="77" t="s">
        <v>322</v>
      </c>
      <c r="M25" s="77" t="s">
        <v>323</v>
      </c>
      <c r="N25" s="77" t="s">
        <v>324</v>
      </c>
      <c r="O25" s="66" t="s">
        <v>251</v>
      </c>
    </row>
    <row r="26" customFormat="false" ht="135.75" hidden="false" customHeight="true" outlineLevel="0" collapsed="false">
      <c r="B26" s="66" t="s">
        <v>16</v>
      </c>
      <c r="C26" s="66" t="s">
        <v>325</v>
      </c>
      <c r="D26" s="76" t="n">
        <v>6.71</v>
      </c>
      <c r="E26" s="66" t="s">
        <v>244</v>
      </c>
      <c r="F26" s="66" t="s">
        <v>245</v>
      </c>
      <c r="G26" s="76" t="n">
        <f aca="false">IF(ISNUMBER(D26),D26/IF(F26="incl.",1+0.19,1)/1,"")</f>
        <v>6.71</v>
      </c>
      <c r="H26" s="76"/>
      <c r="I26" s="66" t="s">
        <v>246</v>
      </c>
      <c r="J26" s="76" t="str">
        <f aca="false">IF(ISNUMBER(H26),H26/IF(I26="incl.",1+0.19,1)/1,"")</f>
        <v/>
      </c>
      <c r="K26" s="66" t="s">
        <v>289</v>
      </c>
      <c r="L26" s="77" t="s">
        <v>326</v>
      </c>
      <c r="M26" s="77" t="s">
        <v>327</v>
      </c>
      <c r="N26" s="77" t="s">
        <v>328</v>
      </c>
      <c r="O26" s="66" t="s">
        <v>256</v>
      </c>
    </row>
    <row r="27" customFormat="false" ht="15" hidden="false" customHeight="true" outlineLevel="0" collapsed="false">
      <c r="B27" s="66" t="s">
        <v>16</v>
      </c>
      <c r="C27" s="66" t="s">
        <v>329</v>
      </c>
      <c r="D27" s="76" t="n">
        <v>9.95</v>
      </c>
      <c r="E27" s="66" t="s">
        <v>244</v>
      </c>
      <c r="F27" s="66" t="s">
        <v>245</v>
      </c>
      <c r="G27" s="76" t="n">
        <f aca="false">IF(ISNUMBER(D27),D27/IF(F27="incl.",1+0.19,1)/1,"")</f>
        <v>9.95</v>
      </c>
      <c r="H27" s="76" t="n">
        <v>100</v>
      </c>
      <c r="I27" s="66" t="s">
        <v>245</v>
      </c>
      <c r="J27" s="76" t="n">
        <f aca="false">IF(ISNUMBER(H27),H27/IF(I27="incl.",1+0.19,1)/1,"")</f>
        <v>100</v>
      </c>
      <c r="K27" s="66" t="s">
        <v>247</v>
      </c>
      <c r="L27" s="77" t="s">
        <v>330</v>
      </c>
      <c r="M27" s="77"/>
      <c r="N27" s="77" t="s">
        <v>331</v>
      </c>
      <c r="O27" s="66" t="s">
        <v>251</v>
      </c>
    </row>
    <row r="28" customFormat="false" ht="27.75" hidden="false" customHeight="true" outlineLevel="0" collapsed="false">
      <c r="B28" s="1" t="s">
        <v>17</v>
      </c>
      <c r="C28" s="1" t="s">
        <v>332</v>
      </c>
      <c r="D28" s="74" t="n">
        <v>275</v>
      </c>
      <c r="E28" s="1" t="s">
        <v>333</v>
      </c>
      <c r="F28" s="1" t="s">
        <v>245</v>
      </c>
      <c r="G28" s="74" t="n">
        <f aca="false">IF(ISNUMBER(D28),D28/IF(F28="incl.",1+0.21,1)/Sources!$G$10,"")</f>
        <v>11.2595941110595</v>
      </c>
      <c r="H28" s="74"/>
      <c r="I28" s="1" t="s">
        <v>246</v>
      </c>
      <c r="J28" s="74" t="str">
        <f aca="false">IF(ISNUMBER(H28),H28/IF(I28="incl.",1+0.21,1)/Sources!$G$10,"")</f>
        <v/>
      </c>
      <c r="K28" s="1" t="s">
        <v>334</v>
      </c>
      <c r="L28" s="75" t="s">
        <v>335</v>
      </c>
      <c r="M28" s="75" t="s">
        <v>336</v>
      </c>
      <c r="N28" s="75" t="s">
        <v>337</v>
      </c>
      <c r="O28" s="1" t="s">
        <v>251</v>
      </c>
    </row>
    <row r="29" customFormat="false" ht="81.75" hidden="false" customHeight="true" outlineLevel="0" collapsed="false">
      <c r="B29" s="1" t="s">
        <v>17</v>
      </c>
      <c r="C29" s="1" t="s">
        <v>338</v>
      </c>
      <c r="D29" s="74"/>
      <c r="E29" s="1" t="s">
        <v>333</v>
      </c>
      <c r="F29" s="1" t="s">
        <v>246</v>
      </c>
      <c r="G29" s="74" t="str">
        <f aca="false">IF(ISNUMBER(D29),D29/IF(F29="incl.",1+0.21,1)/Sources!$G$10,"")</f>
        <v/>
      </c>
      <c r="H29" s="74"/>
      <c r="I29" s="1" t="s">
        <v>246</v>
      </c>
      <c r="J29" s="74" t="str">
        <f aca="false">IF(ISNUMBER(H29),H29/IF(I29="incl.",1+0.21,1)/Sources!$G$10,"")</f>
        <v/>
      </c>
      <c r="K29" s="1" t="s">
        <v>247</v>
      </c>
      <c r="L29" s="75" t="s">
        <v>339</v>
      </c>
      <c r="M29" s="75" t="s">
        <v>340</v>
      </c>
      <c r="N29" s="75" t="s">
        <v>341</v>
      </c>
      <c r="O29" s="1" t="s">
        <v>256</v>
      </c>
    </row>
    <row r="30" customFormat="false" ht="15" hidden="false" customHeight="true" outlineLevel="0" collapsed="false">
      <c r="B30" s="1" t="s">
        <v>17</v>
      </c>
      <c r="C30" s="1" t="s">
        <v>342</v>
      </c>
      <c r="D30" s="74" t="n">
        <v>109</v>
      </c>
      <c r="E30" s="1" t="s">
        <v>333</v>
      </c>
      <c r="F30" s="1" t="s">
        <v>246</v>
      </c>
      <c r="G30" s="74" t="n">
        <f aca="false">IF(ISNUMBER(D30),D30/IF(F30="incl.",1+0.21,1)/Sources!$G$10,"")</f>
        <v>4.46289366583814</v>
      </c>
      <c r="H30" s="74" t="n">
        <v>7000</v>
      </c>
      <c r="I30" s="1" t="s">
        <v>265</v>
      </c>
      <c r="J30" s="74" t="n">
        <f aca="false">IF(ISNUMBER(H30),H30/IF(I30="incl.",1+0.21,1)/Sources!$G$10,"")</f>
        <v>236.865991817931</v>
      </c>
      <c r="K30" s="1" t="s">
        <v>247</v>
      </c>
      <c r="L30" s="75" t="s">
        <v>343</v>
      </c>
      <c r="M30" s="75" t="s">
        <v>344</v>
      </c>
      <c r="N30" s="75" t="s">
        <v>345</v>
      </c>
      <c r="O30" s="1" t="s">
        <v>251</v>
      </c>
    </row>
    <row r="31" customFormat="false" ht="27.75" hidden="false" customHeight="true" outlineLevel="0" collapsed="false">
      <c r="B31" s="1" t="s">
        <v>17</v>
      </c>
      <c r="C31" s="1" t="s">
        <v>346</v>
      </c>
      <c r="D31" s="74" t="n">
        <v>95</v>
      </c>
      <c r="E31" s="1" t="s">
        <v>333</v>
      </c>
      <c r="F31" s="1" t="s">
        <v>265</v>
      </c>
      <c r="G31" s="74" t="n">
        <f aca="false">IF(ISNUMBER(D31),D31/IF(F31="incl.",1+0.21,1)/Sources!$G$10,"")</f>
        <v>3.21460988895764</v>
      </c>
      <c r="H31" s="74" t="n">
        <v>3000</v>
      </c>
      <c r="I31" s="1" t="s">
        <v>265</v>
      </c>
      <c r="J31" s="74" t="n">
        <f aca="false">IF(ISNUMBER(H31),H31/IF(I31="incl.",1+0.21,1)/Sources!$G$10,"")</f>
        <v>101.513996493399</v>
      </c>
      <c r="K31" s="1" t="s">
        <v>247</v>
      </c>
      <c r="L31" s="75" t="s">
        <v>347</v>
      </c>
      <c r="M31" s="75" t="s">
        <v>348</v>
      </c>
      <c r="N31" s="75" t="s">
        <v>349</v>
      </c>
      <c r="O31" s="1" t="s">
        <v>251</v>
      </c>
    </row>
    <row r="32" customFormat="false" ht="122.25" hidden="false" customHeight="true" outlineLevel="0" collapsed="false">
      <c r="B32" s="1" t="s">
        <v>17</v>
      </c>
      <c r="C32" s="1" t="s">
        <v>350</v>
      </c>
      <c r="D32" s="74" t="n">
        <v>210</v>
      </c>
      <c r="E32" s="1" t="s">
        <v>333</v>
      </c>
      <c r="F32" s="1" t="s">
        <v>265</v>
      </c>
      <c r="G32" s="74" t="n">
        <f aca="false">IF(ISNUMBER(D32),D32/IF(F32="incl.",1+0.21,1)/Sources!$G$10,"")</f>
        <v>7.10597975453794</v>
      </c>
      <c r="H32" s="74"/>
      <c r="I32" s="1" t="s">
        <v>246</v>
      </c>
      <c r="J32" s="74" t="str">
        <f aca="false">IF(ISNUMBER(H32),H32/IF(I32="incl.",1+0.21,1)/Sources!$G$10,"")</f>
        <v/>
      </c>
      <c r="K32" s="1" t="s">
        <v>247</v>
      </c>
      <c r="L32" s="75" t="s">
        <v>351</v>
      </c>
      <c r="M32" s="75" t="s">
        <v>352</v>
      </c>
      <c r="N32" s="75" t="s">
        <v>353</v>
      </c>
      <c r="O32" s="1" t="s">
        <v>256</v>
      </c>
    </row>
    <row r="33" customFormat="false" ht="15" hidden="false" customHeight="true" outlineLevel="0" collapsed="false">
      <c r="B33" s="1" t="s">
        <v>17</v>
      </c>
      <c r="C33" s="1" t="s">
        <v>354</v>
      </c>
      <c r="D33" s="74" t="n">
        <v>0</v>
      </c>
      <c r="E33" s="1" t="s">
        <v>333</v>
      </c>
      <c r="F33" s="1" t="s">
        <v>245</v>
      </c>
      <c r="G33" s="74" t="n">
        <f aca="false">IF(ISNUMBER(D33),D33/IF(F33="incl.",1+0.21,1)/Sources!$G$10,"")</f>
        <v>0</v>
      </c>
      <c r="H33" s="74" t="n">
        <v>0</v>
      </c>
      <c r="I33" s="1" t="s">
        <v>245</v>
      </c>
      <c r="J33" s="74" t="n">
        <f aca="false">IF(ISNUMBER(H33),H33/IF(I33="incl.",1+0.21,1)/Sources!$G$10,"")</f>
        <v>0</v>
      </c>
      <c r="K33" s="1" t="s">
        <v>247</v>
      </c>
      <c r="L33" s="75" t="s">
        <v>278</v>
      </c>
      <c r="M33" s="75" t="s">
        <v>355</v>
      </c>
      <c r="N33" s="75" t="s">
        <v>356</v>
      </c>
      <c r="O33" s="1" t="s">
        <v>251</v>
      </c>
    </row>
    <row r="34" customFormat="false" ht="95.25" hidden="false" customHeight="true" outlineLevel="0" collapsed="false">
      <c r="B34" s="1" t="s">
        <v>17</v>
      </c>
      <c r="C34" s="1" t="s">
        <v>357</v>
      </c>
      <c r="D34" s="74"/>
      <c r="E34" s="1" t="s">
        <v>333</v>
      </c>
      <c r="F34" s="1" t="s">
        <v>246</v>
      </c>
      <c r="G34" s="74" t="str">
        <f aca="false">IF(ISNUMBER(D34),D34/IF(F34="incl.",1+0.21,1)/Sources!$G$10,"")</f>
        <v/>
      </c>
      <c r="H34" s="74" t="n">
        <v>10000</v>
      </c>
      <c r="I34" s="1" t="s">
        <v>245</v>
      </c>
      <c r="J34" s="74" t="n">
        <f aca="false">IF(ISNUMBER(H34),H34/IF(I34="incl.",1+0.21,1)/Sources!$G$10,"")</f>
        <v>409.43978585671</v>
      </c>
      <c r="K34" s="1" t="s">
        <v>247</v>
      </c>
      <c r="L34" s="75" t="s">
        <v>358</v>
      </c>
      <c r="M34" s="75" t="s">
        <v>359</v>
      </c>
      <c r="N34" s="75" t="s">
        <v>360</v>
      </c>
      <c r="O34" s="1" t="s">
        <v>256</v>
      </c>
    </row>
    <row r="35" customFormat="false" ht="15" hidden="false" customHeight="true" outlineLevel="0" collapsed="false">
      <c r="B35" s="1" t="s">
        <v>17</v>
      </c>
      <c r="C35" s="1" t="s">
        <v>361</v>
      </c>
      <c r="D35" s="74" t="n">
        <v>149</v>
      </c>
      <c r="E35" s="1" t="s">
        <v>333</v>
      </c>
      <c r="F35" s="1" t="s">
        <v>265</v>
      </c>
      <c r="G35" s="74" t="n">
        <f aca="false">IF(ISNUMBER(D35),D35/IF(F35="incl.",1+0.21,1)/Sources!$G$10,"")</f>
        <v>5.04186182583882</v>
      </c>
      <c r="H35" s="74" t="n">
        <v>6000</v>
      </c>
      <c r="I35" s="1" t="s">
        <v>245</v>
      </c>
      <c r="J35" s="74" t="n">
        <f aca="false">IF(ISNUMBER(H35),H35/IF(I35="incl.",1+0.21,1)/Sources!$G$10,"")</f>
        <v>245.663871514026</v>
      </c>
      <c r="K35" s="1" t="s">
        <v>247</v>
      </c>
      <c r="L35" s="75" t="s">
        <v>362</v>
      </c>
      <c r="M35" s="75" t="s">
        <v>363</v>
      </c>
      <c r="N35" s="75" t="s">
        <v>364</v>
      </c>
      <c r="O35" s="1" t="s">
        <v>251</v>
      </c>
    </row>
    <row r="36" customFormat="false" ht="15" hidden="false" customHeight="true" outlineLevel="0" collapsed="false">
      <c r="B36" s="66" t="s">
        <v>18</v>
      </c>
      <c r="C36" s="66" t="s">
        <v>365</v>
      </c>
      <c r="D36" s="76" t="n">
        <v>8</v>
      </c>
      <c r="E36" s="66" t="s">
        <v>244</v>
      </c>
      <c r="F36" s="66" t="s">
        <v>246</v>
      </c>
      <c r="G36" s="76" t="n">
        <f aca="false">IF(ISNUMBER(D36),D36/IF(F36="incl.",1+0.23,1)/1,"")</f>
        <v>8</v>
      </c>
      <c r="H36" s="76" t="n">
        <v>300</v>
      </c>
      <c r="I36" s="66" t="s">
        <v>246</v>
      </c>
      <c r="J36" s="76" t="n">
        <f aca="false">IF(ISNUMBER(H36),H36/IF(I36="incl.",1+0.23,1)/1,"")</f>
        <v>300</v>
      </c>
      <c r="K36" s="66" t="s">
        <v>247</v>
      </c>
      <c r="L36" s="77" t="s">
        <v>366</v>
      </c>
      <c r="M36" s="77" t="s">
        <v>367</v>
      </c>
      <c r="N36" s="77" t="s">
        <v>368</v>
      </c>
      <c r="O36" s="66" t="s">
        <v>251</v>
      </c>
    </row>
    <row r="37" customFormat="false" ht="27.75" hidden="false" customHeight="true" outlineLevel="0" collapsed="false">
      <c r="B37" s="66" t="s">
        <v>18</v>
      </c>
      <c r="C37" s="66" t="s">
        <v>369</v>
      </c>
      <c r="D37" s="76" t="n">
        <v>4.9</v>
      </c>
      <c r="E37" s="66" t="s">
        <v>244</v>
      </c>
      <c r="F37" s="66" t="s">
        <v>265</v>
      </c>
      <c r="G37" s="76" t="n">
        <f aca="false">IF(ISNUMBER(D37),D37/IF(F37="incl.",1+0.23,1)/1,"")</f>
        <v>3.98373983739837</v>
      </c>
      <c r="H37" s="76" t="n">
        <v>120</v>
      </c>
      <c r="I37" s="66" t="s">
        <v>265</v>
      </c>
      <c r="J37" s="76" t="n">
        <f aca="false">IF(ISNUMBER(H37),H37/IF(I37="incl.",1+0.23,1)/1,"")</f>
        <v>97.5609756097561</v>
      </c>
      <c r="K37" s="66" t="s">
        <v>247</v>
      </c>
      <c r="L37" s="77" t="s">
        <v>370</v>
      </c>
      <c r="M37" s="77" t="s">
        <v>371</v>
      </c>
      <c r="N37" s="77" t="s">
        <v>372</v>
      </c>
      <c r="O37" s="66" t="s">
        <v>251</v>
      </c>
    </row>
    <row r="38" customFormat="false" ht="81.75" hidden="false" customHeight="true" outlineLevel="0" collapsed="false">
      <c r="B38" s="1" t="s">
        <v>14</v>
      </c>
      <c r="C38" s="1" t="s">
        <v>373</v>
      </c>
      <c r="D38" s="74"/>
      <c r="E38" s="1" t="s">
        <v>374</v>
      </c>
      <c r="F38" s="1" t="s">
        <v>246</v>
      </c>
      <c r="G38" s="74" t="str">
        <f aca="false">IF(ISNUMBER(D38),D38/IF(F38="incl.",1+0.21,1)/Sources!$G$9,"")</f>
        <v/>
      </c>
      <c r="H38" s="74"/>
      <c r="I38" s="1" t="s">
        <v>246</v>
      </c>
      <c r="J38" s="74" t="str">
        <f aca="false">IF(ISNUMBER(H38),H38/IF(I38="incl.",1+0.21,1)/Sources!$G$9,"")</f>
        <v/>
      </c>
      <c r="K38" s="1" t="s">
        <v>247</v>
      </c>
      <c r="L38" s="75" t="s">
        <v>375</v>
      </c>
      <c r="M38" s="75" t="s">
        <v>376</v>
      </c>
      <c r="N38" s="75" t="s">
        <v>377</v>
      </c>
      <c r="O38" s="1" t="s">
        <v>256</v>
      </c>
    </row>
    <row r="39" customFormat="false" ht="68.25" hidden="false" customHeight="true" outlineLevel="0" collapsed="false">
      <c r="B39" s="1" t="s">
        <v>14</v>
      </c>
      <c r="C39" s="1" t="s">
        <v>378</v>
      </c>
      <c r="D39" s="74"/>
      <c r="E39" s="1" t="s">
        <v>374</v>
      </c>
      <c r="F39" s="1" t="s">
        <v>246</v>
      </c>
      <c r="G39" s="74" t="str">
        <f aca="false">IF(ISNUMBER(D39),D39/IF(F39="incl.",1+0.21,1)/Sources!$G$9,"")</f>
        <v/>
      </c>
      <c r="H39" s="74"/>
      <c r="I39" s="1" t="s">
        <v>246</v>
      </c>
      <c r="J39" s="74" t="str">
        <f aca="false">IF(ISNUMBER(H39),H39/IF(I39="incl.",1+0.21,1)/Sources!$G$9,"")</f>
        <v/>
      </c>
      <c r="K39" s="1" t="s">
        <v>247</v>
      </c>
      <c r="L39" s="75" t="s">
        <v>379</v>
      </c>
      <c r="M39" s="75" t="s">
        <v>376</v>
      </c>
      <c r="N39" s="75" t="s">
        <v>380</v>
      </c>
      <c r="O39" s="1" t="s">
        <v>256</v>
      </c>
    </row>
    <row r="40" customFormat="false" ht="54.75" hidden="false" customHeight="true" outlineLevel="0" collapsed="false">
      <c r="B40" s="1" t="s">
        <v>14</v>
      </c>
      <c r="C40" s="1" t="s">
        <v>381</v>
      </c>
      <c r="D40" s="74"/>
      <c r="E40" s="1" t="s">
        <v>374</v>
      </c>
      <c r="F40" s="1" t="s">
        <v>246</v>
      </c>
      <c r="G40" s="74" t="str">
        <f aca="false">IF(ISNUMBER(D40),D40/IF(F40="incl.",1+0.21,1)/Sources!$G$9,"")</f>
        <v/>
      </c>
      <c r="H40" s="74" t="n">
        <v>1000</v>
      </c>
      <c r="I40" s="1" t="s">
        <v>246</v>
      </c>
      <c r="J40" s="74" t="n">
        <f aca="false">IF(ISNUMBER(H40),H40/IF(I40="incl.",1+0.21,1)/Sources!$G$9,"")</f>
        <v>189.478572013876</v>
      </c>
      <c r="K40" s="1" t="s">
        <v>247</v>
      </c>
      <c r="L40" s="75" t="s">
        <v>382</v>
      </c>
      <c r="M40" s="75" t="s">
        <v>383</v>
      </c>
      <c r="N40" s="75" t="s">
        <v>384</v>
      </c>
      <c r="O40" s="1" t="s">
        <v>256</v>
      </c>
    </row>
    <row r="41" customFormat="false" ht="81.75" hidden="false" customHeight="true" outlineLevel="0" collapsed="false">
      <c r="B41" s="1" t="s">
        <v>14</v>
      </c>
      <c r="C41" s="1" t="s">
        <v>346</v>
      </c>
      <c r="D41" s="74" t="n">
        <v>19</v>
      </c>
      <c r="E41" s="1" t="s">
        <v>374</v>
      </c>
      <c r="F41" s="1" t="s">
        <v>265</v>
      </c>
      <c r="G41" s="74" t="n">
        <f aca="false">IF(ISNUMBER(D41),D41/IF(F41="incl.",1+0.21,1)/Sources!$G$9,"")</f>
        <v>2.97528336220135</v>
      </c>
      <c r="H41" s="74" t="n">
        <v>600</v>
      </c>
      <c r="I41" s="1" t="s">
        <v>265</v>
      </c>
      <c r="J41" s="74" t="n">
        <f aca="false">IF(ISNUMBER(H41),H41/IF(I41="incl.",1+0.21,1)/Sources!$G$9,"")</f>
        <v>93.9563167010954</v>
      </c>
      <c r="K41" s="1" t="s">
        <v>247</v>
      </c>
      <c r="L41" s="75" t="s">
        <v>385</v>
      </c>
      <c r="M41" s="75" t="s">
        <v>386</v>
      </c>
      <c r="N41" s="75" t="s">
        <v>387</v>
      </c>
      <c r="O41" s="1" t="s">
        <v>256</v>
      </c>
    </row>
    <row r="42" customFormat="false" ht="68.25" hidden="false" customHeight="true" outlineLevel="0" collapsed="false">
      <c r="B42" s="1" t="s">
        <v>14</v>
      </c>
      <c r="C42" s="1" t="s">
        <v>388</v>
      </c>
      <c r="D42" s="74"/>
      <c r="E42" s="1" t="s">
        <v>374</v>
      </c>
      <c r="F42" s="1" t="s">
        <v>246</v>
      </c>
      <c r="G42" s="74" t="str">
        <f aca="false">IF(ISNUMBER(D42),D42/IF(F42="incl.",1+0.21,1)/Sources!$G$9,"")</f>
        <v/>
      </c>
      <c r="H42" s="74"/>
      <c r="I42" s="1" t="s">
        <v>246</v>
      </c>
      <c r="J42" s="74" t="str">
        <f aca="false">IF(ISNUMBER(H42),H42/IF(I42="incl.",1+0.21,1)/Sources!$G$9,"")</f>
        <v/>
      </c>
      <c r="K42" s="1" t="s">
        <v>247</v>
      </c>
      <c r="L42" s="75" t="s">
        <v>389</v>
      </c>
      <c r="M42" s="75" t="s">
        <v>376</v>
      </c>
      <c r="N42" s="75" t="s">
        <v>390</v>
      </c>
      <c r="O42" s="1" t="s">
        <v>256</v>
      </c>
    </row>
    <row r="43" customFormat="false" ht="81.75" hidden="false" customHeight="true" outlineLevel="0" collapsed="false">
      <c r="B43" s="1" t="s">
        <v>14</v>
      </c>
      <c r="C43" s="1" t="s">
        <v>391</v>
      </c>
      <c r="D43" s="74"/>
      <c r="E43" s="1" t="s">
        <v>374</v>
      </c>
      <c r="F43" s="1" t="s">
        <v>265</v>
      </c>
      <c r="G43" s="74" t="str">
        <f aca="false">IF(ISNUMBER(D43),D43/IF(F43="incl.",1+0.21,1)/Sources!$G$9,"")</f>
        <v/>
      </c>
      <c r="H43" s="74"/>
      <c r="I43" s="1" t="s">
        <v>246</v>
      </c>
      <c r="J43" s="74" t="str">
        <f aca="false">IF(ISNUMBER(H43),H43/IF(I43="incl.",1+0.21,1)/Sources!$G$9,"")</f>
        <v/>
      </c>
      <c r="K43" s="1" t="s">
        <v>247</v>
      </c>
      <c r="L43" s="75" t="s">
        <v>392</v>
      </c>
      <c r="M43" s="75" t="s">
        <v>393</v>
      </c>
      <c r="N43" s="75" t="s">
        <v>394</v>
      </c>
      <c r="O43" s="1" t="s">
        <v>256</v>
      </c>
    </row>
    <row r="44" customFormat="false" ht="68.25" hidden="false" customHeight="true" outlineLevel="0" collapsed="false">
      <c r="B44" s="1" t="s">
        <v>14</v>
      </c>
      <c r="C44" s="1" t="s">
        <v>395</v>
      </c>
      <c r="D44" s="74"/>
      <c r="E44" s="1" t="s">
        <v>374</v>
      </c>
      <c r="F44" s="1" t="s">
        <v>246</v>
      </c>
      <c r="G44" s="74" t="str">
        <f aca="false">IF(ISNUMBER(D44),D44/IF(F44="incl.",1+0.21,1)/Sources!$G$9,"")</f>
        <v/>
      </c>
      <c r="H44" s="74" t="n">
        <v>3200</v>
      </c>
      <c r="I44" s="1" t="s">
        <v>265</v>
      </c>
      <c r="J44" s="74" t="n">
        <f aca="false">IF(ISNUMBER(H44),H44/IF(I44="incl.",1+0.21,1)/Sources!$G$9,"")</f>
        <v>501.100355739175</v>
      </c>
      <c r="K44" s="1" t="s">
        <v>247</v>
      </c>
      <c r="L44" s="75" t="s">
        <v>396</v>
      </c>
      <c r="M44" s="75" t="s">
        <v>397</v>
      </c>
      <c r="N44" s="75" t="s">
        <v>398</v>
      </c>
      <c r="O44" s="1" t="s">
        <v>256</v>
      </c>
    </row>
    <row r="45" customFormat="false" ht="95.25" hidden="false" customHeight="true" outlineLevel="0" collapsed="false">
      <c r="B45" s="1" t="s">
        <v>14</v>
      </c>
      <c r="C45" s="1" t="s">
        <v>399</v>
      </c>
      <c r="D45" s="74"/>
      <c r="E45" s="1" t="s">
        <v>374</v>
      </c>
      <c r="F45" s="1" t="s">
        <v>246</v>
      </c>
      <c r="G45" s="74" t="str">
        <f aca="false">IF(ISNUMBER(D45),D45/IF(F45="incl.",1+0.21,1)/Sources!$G$9,"")</f>
        <v/>
      </c>
      <c r="H45" s="74" t="n">
        <v>1000</v>
      </c>
      <c r="I45" s="1" t="s">
        <v>246</v>
      </c>
      <c r="J45" s="74" t="n">
        <f aca="false">IF(ISNUMBER(H45),H45/IF(I45="incl.",1+0.21,1)/Sources!$G$9,"")</f>
        <v>189.478572013876</v>
      </c>
      <c r="K45" s="1" t="s">
        <v>247</v>
      </c>
      <c r="L45" s="75" t="s">
        <v>400</v>
      </c>
      <c r="M45" s="75" t="s">
        <v>401</v>
      </c>
      <c r="N45" s="75" t="s">
        <v>402</v>
      </c>
      <c r="O45" s="1" t="s">
        <v>256</v>
      </c>
    </row>
    <row r="46" customFormat="false" ht="68.25" hidden="false" customHeight="true" outlineLevel="0" collapsed="false">
      <c r="B46" s="1" t="s">
        <v>14</v>
      </c>
      <c r="C46" s="1" t="s">
        <v>403</v>
      </c>
      <c r="D46" s="74"/>
      <c r="E46" s="1" t="s">
        <v>374</v>
      </c>
      <c r="F46" s="1" t="s">
        <v>246</v>
      </c>
      <c r="G46" s="74" t="str">
        <f aca="false">IF(ISNUMBER(D46),D46/IF(F46="incl.",1+0.21,1)/Sources!$G$9,"")</f>
        <v/>
      </c>
      <c r="H46" s="74"/>
      <c r="I46" s="1" t="s">
        <v>246</v>
      </c>
      <c r="J46" s="74" t="str">
        <f aca="false">IF(ISNUMBER(H46),H46/IF(I46="incl.",1+0.21,1)/Sources!$G$9,"")</f>
        <v/>
      </c>
      <c r="K46" s="1" t="s">
        <v>247</v>
      </c>
      <c r="L46" s="75" t="s">
        <v>404</v>
      </c>
      <c r="M46" s="75" t="s">
        <v>405</v>
      </c>
      <c r="N46" s="75" t="s">
        <v>406</v>
      </c>
      <c r="O46" s="1" t="s">
        <v>256</v>
      </c>
    </row>
    <row r="47" customFormat="false" ht="68.25" hidden="false" customHeight="true" outlineLevel="0" collapsed="false">
      <c r="B47" s="1" t="s">
        <v>14</v>
      </c>
      <c r="C47" s="1" t="s">
        <v>407</v>
      </c>
      <c r="D47" s="74" t="n">
        <v>25</v>
      </c>
      <c r="E47" s="1" t="s">
        <v>374</v>
      </c>
      <c r="F47" s="1" t="s">
        <v>246</v>
      </c>
      <c r="G47" s="74" t="n">
        <f aca="false">IF(ISNUMBER(D47),D47/IF(F47="incl.",1+0.21,1)/Sources!$G$9,"")</f>
        <v>4.73696430034689</v>
      </c>
      <c r="H47" s="74"/>
      <c r="I47" s="1" t="s">
        <v>246</v>
      </c>
      <c r="J47" s="74" t="str">
        <f aca="false">IF(ISNUMBER(H47),H47/IF(I47="incl.",1+0.21,1)/Sources!$G$9,"")</f>
        <v/>
      </c>
      <c r="K47" s="1" t="s">
        <v>247</v>
      </c>
      <c r="L47" s="75" t="s">
        <v>408</v>
      </c>
      <c r="M47" s="75" t="s">
        <v>409</v>
      </c>
      <c r="N47" s="75" t="s">
        <v>410</v>
      </c>
      <c r="O47" s="1" t="s">
        <v>256</v>
      </c>
    </row>
    <row r="48" customFormat="false" ht="68.25" hidden="false" customHeight="true" outlineLevel="0" collapsed="false">
      <c r="B48" s="1" t="s">
        <v>14</v>
      </c>
      <c r="C48" s="1" t="s">
        <v>411</v>
      </c>
      <c r="D48" s="74"/>
      <c r="E48" s="1" t="s">
        <v>374</v>
      </c>
      <c r="F48" s="1" t="s">
        <v>246</v>
      </c>
      <c r="G48" s="74" t="str">
        <f aca="false">IF(ISNUMBER(D48),D48/IF(F48="incl.",1+0.21,1)/Sources!$G$9,"")</f>
        <v/>
      </c>
      <c r="H48" s="74"/>
      <c r="I48" s="1" t="s">
        <v>246</v>
      </c>
      <c r="J48" s="74" t="str">
        <f aca="false">IF(ISNUMBER(H48),H48/IF(I48="incl.",1+0.21,1)/Sources!$G$9,"")</f>
        <v/>
      </c>
      <c r="K48" s="1" t="s">
        <v>247</v>
      </c>
      <c r="L48" s="75" t="s">
        <v>412</v>
      </c>
      <c r="M48" s="75" t="s">
        <v>413</v>
      </c>
      <c r="N48" s="75" t="s">
        <v>414</v>
      </c>
      <c r="O48" s="1" t="s">
        <v>256</v>
      </c>
    </row>
    <row r="49" customFormat="false" ht="95.25" hidden="false" customHeight="true" outlineLevel="0" collapsed="false">
      <c r="B49" s="1" t="s">
        <v>14</v>
      </c>
      <c r="C49" s="1" t="s">
        <v>415</v>
      </c>
      <c r="D49" s="74"/>
      <c r="E49" s="1" t="s">
        <v>244</v>
      </c>
      <c r="F49" s="1" t="s">
        <v>245</v>
      </c>
      <c r="G49" s="74" t="str">
        <f aca="false">IF(ISNUMBER(D49),D49/IF(F49="incl.",1+0.21,1)/1,"")</f>
        <v/>
      </c>
      <c r="H49" s="74" t="n">
        <v>6000</v>
      </c>
      <c r="I49" s="1" t="s">
        <v>245</v>
      </c>
      <c r="J49" s="74" t="n">
        <f aca="false">IF(ISNUMBER(H49),H49/IF(I49="incl.",1+0.21,1)/1,"")</f>
        <v>6000</v>
      </c>
      <c r="K49" s="1" t="s">
        <v>247</v>
      </c>
      <c r="L49" s="75" t="s">
        <v>416</v>
      </c>
      <c r="M49" s="75" t="s">
        <v>417</v>
      </c>
      <c r="N49" s="75" t="s">
        <v>418</v>
      </c>
      <c r="O49" s="1" t="s">
        <v>256</v>
      </c>
    </row>
    <row r="50" customFormat="false" ht="41.25" hidden="false" customHeight="true" outlineLevel="0" collapsed="false">
      <c r="B50" s="1" t="s">
        <v>14</v>
      </c>
      <c r="C50" s="1" t="s">
        <v>419</v>
      </c>
      <c r="D50" s="74"/>
      <c r="E50" s="1" t="s">
        <v>374</v>
      </c>
      <c r="F50" s="1" t="s">
        <v>246</v>
      </c>
      <c r="G50" s="74" t="str">
        <f aca="false">IF(ISNUMBER(D50),D50/IF(F50="incl.",1+0.21,1)/Sources!$G$9,"")</f>
        <v/>
      </c>
      <c r="H50" s="74"/>
      <c r="I50" s="1" t="s">
        <v>246</v>
      </c>
      <c r="J50" s="74" t="str">
        <f aca="false">IF(ISNUMBER(H50),H50/IF(I50="incl.",1+0.21,1)/Sources!$G$9,"")</f>
        <v/>
      </c>
      <c r="K50" s="1" t="s">
        <v>247</v>
      </c>
      <c r="L50" s="75" t="s">
        <v>420</v>
      </c>
      <c r="M50" s="75" t="s">
        <v>421</v>
      </c>
      <c r="N50" s="75" t="s">
        <v>422</v>
      </c>
      <c r="O50" s="1" t="s">
        <v>256</v>
      </c>
    </row>
    <row r="53" customFormat="false" ht="15" hidden="false" customHeight="true" outlineLevel="0" collapsed="false">
      <c r="B53" s="78" t="s">
        <v>423</v>
      </c>
    </row>
    <row r="54" customFormat="false" ht="43.5" hidden="false" customHeight="true" outlineLevel="0" collapsed="false">
      <c r="B54" s="57" t="s">
        <v>19</v>
      </c>
      <c r="C54" s="57" t="s">
        <v>424</v>
      </c>
      <c r="D54" s="57" t="s">
        <v>425</v>
      </c>
      <c r="E54" s="57" t="s">
        <v>426</v>
      </c>
      <c r="F54" s="57" t="s">
        <v>427</v>
      </c>
      <c r="G54" s="57" t="s">
        <v>428</v>
      </c>
      <c r="H54" s="57" t="s">
        <v>429</v>
      </c>
      <c r="I54" s="57" t="s">
        <v>430</v>
      </c>
      <c r="J54" s="57" t="s">
        <v>431</v>
      </c>
      <c r="K54" s="57" t="s">
        <v>432</v>
      </c>
      <c r="L54" s="57" t="s">
        <v>433</v>
      </c>
      <c r="M54" s="57" t="s">
        <v>434</v>
      </c>
      <c r="N54" s="57" t="s">
        <v>435</v>
      </c>
    </row>
    <row r="55" customFormat="false" ht="15" hidden="false" customHeight="true" outlineLevel="0" collapsed="false">
      <c r="B55" s="1" t="s">
        <v>15</v>
      </c>
      <c r="C55" s="1" t="n">
        <f aca="false">COUNTIFS($B$6:$B$17,B55,$G$6:$G$17,"&gt;0")</f>
        <v>7</v>
      </c>
      <c r="D55" s="74" t="n">
        <f aca="false">IFERROR(_xlfn.MINIFS($G$6:$G$17,$B$6:$B$17,B55,$G$6:$G$17,"&gt;0"),"—")</f>
        <v>6.6</v>
      </c>
      <c r="E55" s="74" t="n">
        <f aca="false" t="array" ref="E55:E55">IFERROR(MEDIAN(IF(($B$6:$B$17=B55)*($G$6:$G$17&gt;0)*ISNUMBER($G$6:$G$17),$G$6:$G$17)),"—")</f>
        <v>9.9</v>
      </c>
      <c r="F55" s="74" t="n">
        <f aca="false">IFERROR(_xlfn.MAXIFS($G$6:$G$17,$B$6:$B$17,B55),"—")</f>
        <v>19.9</v>
      </c>
      <c r="G55" s="74" t="n">
        <f aca="false">COUNTIFS($B$6:$B$17,B55,$J$6:$J$17,"&gt;=0")</f>
        <v>6</v>
      </c>
      <c r="H55" s="74" t="n">
        <f aca="false" t="array" ref="H55:H55">IFERROR(MEDIAN(IF(($B$6:$B$17=B55)*($J$6:$J$17&gt;0)*ISNUMBER($J$6:$J$17),$J$6:$J$17)),"—")</f>
        <v>275</v>
      </c>
      <c r="I55" s="74" t="n">
        <f aca="false">'Delivery cost'!D14*'Delivery cost'!$C$28/'Delivery cost'!$C$8</f>
        <v>11.9317964546175</v>
      </c>
      <c r="J55" s="74" t="n">
        <f aca="false">'Delivery cost'!D15*'Delivery cost'!$C$28/'Delivery cost'!$C$8</f>
        <v>13.5044112425227</v>
      </c>
      <c r="K55" s="74" t="n">
        <f aca="false">'Delivery cost'!D17*'Delivery cost'!$C$28/'Delivery cost'!$C$8</f>
        <v>16.8905520198847</v>
      </c>
      <c r="L55" s="58" t="n">
        <v>9.9</v>
      </c>
      <c r="M55" s="79" t="n">
        <v>250</v>
      </c>
      <c r="N55" s="74" t="n">
        <f aca="false">J55-L55</f>
        <v>3.60441124252274</v>
      </c>
    </row>
    <row r="56" customFormat="false" ht="15" hidden="false" customHeight="true" outlineLevel="0" collapsed="false">
      <c r="B56" s="1" t="s">
        <v>16</v>
      </c>
      <c r="C56" s="1" t="n">
        <f aca="false">COUNTIFS($B$18:$B$27,B56,$G$18:$G$27,"&gt;0")</f>
        <v>8</v>
      </c>
      <c r="D56" s="74" t="n">
        <f aca="false">IFERROR(_xlfn.MINIFS($G$18:$G$27,$B$18:$B$27,B56,$G$18:$G$27,"&gt;0"),"—")</f>
        <v>6.68067226890756</v>
      </c>
      <c r="E56" s="74" t="n">
        <f aca="false" t="array" ref="E56:E56">IFERROR(MEDIAN(IF(($B$18:$B$27=B56)*($G$18:$G$27&gt;0)*ISNUMBER($G$18:$G$27),$G$18:$G$27)),"—")</f>
        <v>8.13067226890756</v>
      </c>
      <c r="F56" s="74" t="n">
        <f aca="false">IFERROR(_xlfn.MAXIFS($G$18:$G$27,$B$18:$B$27,B56),"—")</f>
        <v>9.95</v>
      </c>
      <c r="G56" s="74" t="n">
        <f aca="false">COUNTIFS($B$18:$B$27,B56,$J$18:$J$27,"&gt;=0")</f>
        <v>6</v>
      </c>
      <c r="H56" s="74" t="n">
        <f aca="false" t="array" ref="H56:H56">IFERROR(MEDIAN(IF(($B$18:$B$27=B56)*($J$18:$J$27&gt;0)*ISNUMBER($J$18:$J$27),$J$18:$J$27)),"—")</f>
        <v>175</v>
      </c>
      <c r="I56" s="74" t="n">
        <f aca="false">'Delivery cost'!E14*'Delivery cost'!$C$28/'Delivery cost'!$C$8</f>
        <v>14.4981699489225</v>
      </c>
      <c r="J56" s="74" t="n">
        <f aca="false">'Delivery cost'!E15*'Delivery cost'!$C$28/'Delivery cost'!$C$8</f>
        <v>19.8919040725465</v>
      </c>
      <c r="K56" s="74" t="n">
        <f aca="false">'Delivery cost'!E17*'Delivery cost'!$C$28/'Delivery cost'!$C$8</f>
        <v>31.7567807489552</v>
      </c>
      <c r="L56" s="58" t="n">
        <v>8.9</v>
      </c>
      <c r="M56" s="79" t="n">
        <v>150</v>
      </c>
      <c r="N56" s="74" t="n">
        <f aca="false">J56-L56</f>
        <v>10.9919040725465</v>
      </c>
    </row>
    <row r="57" customFormat="false" ht="15" hidden="false" customHeight="true" outlineLevel="0" collapsed="false">
      <c r="B57" s="1" t="s">
        <v>17</v>
      </c>
      <c r="C57" s="1" t="n">
        <f aca="false">COUNTIFS($B$28:$B$35,B57,$G$28:$G$35,"&gt;0")</f>
        <v>5</v>
      </c>
      <c r="D57" s="74" t="n">
        <f aca="false">IFERROR(_xlfn.MINIFS($G$28:$G$35,$B$28:$B$35,B57,$G$28:$G$35,"&gt;0"),"—")</f>
        <v>3.21460988895764</v>
      </c>
      <c r="E57" s="74" t="n">
        <f aca="false" t="array" ref="E57:E57">IFERROR(MEDIAN(IF(($B$28:$B$35=B57)*($G$28:$G$35&gt;0)*ISNUMBER($G$28:$G$35),$G$28:$G$35)),"—")</f>
        <v>5.04186182583882</v>
      </c>
      <c r="F57" s="74" t="n">
        <f aca="false">IFERROR(_xlfn.MAXIFS($G$28:$G$35,$B$28:$B$35,B57),"—")</f>
        <v>11.2595941110595</v>
      </c>
      <c r="G57" s="74" t="n">
        <f aca="false">COUNTIFS($B$28:$B$35,B57,$J$28:$J$35,"&gt;=0")</f>
        <v>5</v>
      </c>
      <c r="H57" s="74" t="n">
        <f aca="false" t="array" ref="H57:H57">IFERROR(MEDIAN(IF(($B$28:$B$35=B57)*($J$28:$J$35&gt;0)*ISNUMBER($J$28:$J$35),$J$28:$J$35)),"—")</f>
        <v>241.264931665979</v>
      </c>
      <c r="I57" s="74" t="n">
        <f aca="false">'Delivery cost'!F14*'Delivery cost'!$C$28/'Delivery cost'!$C$8</f>
        <v>10.9648056595012</v>
      </c>
      <c r="J57" s="74" t="n">
        <f aca="false">'Delivery cost'!F15*'Delivery cost'!$C$28/'Delivery cost'!$C$8</f>
        <v>14.0096555679987</v>
      </c>
      <c r="K57" s="74" t="n">
        <f aca="false">'Delivery cost'!F17*'Delivery cost'!$C$28/'Delivery cost'!$C$8</f>
        <v>20.9157766791401</v>
      </c>
      <c r="L57" s="58" t="n">
        <v>5.9</v>
      </c>
      <c r="M57" s="79" t="n">
        <v>250</v>
      </c>
      <c r="N57" s="74" t="n">
        <f aca="false">J57-L57</f>
        <v>8.10965556799869</v>
      </c>
    </row>
    <row r="58" customFormat="false" ht="15" hidden="false" customHeight="true" outlineLevel="0" collapsed="false">
      <c r="B58" s="1" t="s">
        <v>18</v>
      </c>
      <c r="C58" s="1" t="n">
        <f aca="false">COUNTIFS($B$36:$B$37,B58,$G$36:$G$37,"&gt;0")</f>
        <v>2</v>
      </c>
      <c r="D58" s="74" t="n">
        <f aca="false">IFERROR(_xlfn.MINIFS($G$36:$G$37,$B$36:$B$37,B58,$G$36:$G$37,"&gt;0"),"—")</f>
        <v>3.98373983739837</v>
      </c>
      <c r="E58" s="74" t="n">
        <f aca="false" t="array" ref="E58:E58">IFERROR(MEDIAN(IF(($B$36:$B$37=B58)*($G$36:$G$37&gt;0)*ISNUMBER($G$36:$G$37),$G$36:$G$37)),"—")</f>
        <v>5.99186991869919</v>
      </c>
      <c r="F58" s="74" t="n">
        <f aca="false">IFERROR(_xlfn.MAXIFS($G$36:$G$37,$B$36:$B$37,B58),"—")</f>
        <v>8</v>
      </c>
      <c r="G58" s="74" t="n">
        <f aca="false">COUNTIFS($B$36:$B$37,B58,$J$36:$J$37,"&gt;=0")</f>
        <v>2</v>
      </c>
      <c r="H58" s="74" t="n">
        <f aca="false" t="array" ref="H58:H58">IFERROR(MEDIAN(IF(($B$36:$B$37=B58)*($J$36:$J$37&gt;0)*ISNUMBER($J$36:$J$37),$J$36:$J$37)),"—")</f>
        <v>198.780487804878</v>
      </c>
      <c r="I58" s="74" t="n">
        <f aca="false">'Delivery cost'!G14*'Delivery cost'!$C$28/'Delivery cost'!$C$8</f>
        <v>8.75979896752342</v>
      </c>
      <c r="J58" s="74" t="n">
        <f aca="false">'Delivery cost'!G15*'Delivery cost'!$C$28/'Delivery cost'!$C$8</f>
        <v>10.8978858812925</v>
      </c>
      <c r="K58" s="74" t="n">
        <f aca="false">'Delivery cost'!G17*'Delivery cost'!$C$28/'Delivery cost'!$C$8</f>
        <v>15.4183168992926</v>
      </c>
      <c r="L58" s="58" t="n">
        <v>6.9</v>
      </c>
      <c r="M58" s="79" t="n">
        <v>200</v>
      </c>
      <c r="N58" s="74" t="n">
        <f aca="false">J58-L58</f>
        <v>3.99788588129251</v>
      </c>
    </row>
    <row r="59" customFormat="false" ht="15" hidden="false" customHeight="true" outlineLevel="0" collapsed="false">
      <c r="B59" s="1" t="s">
        <v>14</v>
      </c>
      <c r="C59" s="1" t="n">
        <f aca="false">COUNTIFS($B$38:$B$50,B59,$G$38:$G$50,"&gt;0")</f>
        <v>2</v>
      </c>
      <c r="D59" s="74" t="n">
        <f aca="false">IFERROR(_xlfn.MINIFS($G$38:$G$50,$B$38:$B$50,B59,$G$38:$G$50,"&gt;0"),"—")</f>
        <v>2.97528336220135</v>
      </c>
      <c r="E59" s="74" t="n">
        <f aca="false" t="array" ref="E59:E59">IFERROR(MEDIAN(IF(($B$38:$B$50=B59)*($G$38:$G$50&gt;0)*ISNUMBER($G$38:$G$50),$G$38:$G$50)),"—")</f>
        <v>3.85612383127412</v>
      </c>
      <c r="F59" s="74" t="n">
        <f aca="false">IFERROR(_xlfn.MAXIFS($G$38:$G$50,$B$38:$B$50,B59),"—")</f>
        <v>4.73696430034689</v>
      </c>
      <c r="G59" s="74" t="n">
        <f aca="false">COUNTIFS($B$38:$B$50,B59,$J$38:$J$50,"&gt;=0")</f>
        <v>5</v>
      </c>
      <c r="H59" s="74" t="n">
        <f aca="false" t="array" ref="H59:H59">IFERROR(MEDIAN(IF(($B$38:$B$50=B59)*($J$38:$J$50&gt;0)*ISNUMBER($J$38:$J$50),$J$38:$J$50)),"—")</f>
        <v>189.478572013876</v>
      </c>
      <c r="I59" s="74" t="n">
        <f aca="false">'Delivery cost'!H14*'Delivery cost'!$C$28/'Delivery cost'!$C$8</f>
        <v>11.5938515746634</v>
      </c>
      <c r="J59" s="74" t="n">
        <f aca="false">'Delivery cost'!H15*'Delivery cost'!$C$28/'Delivery cost'!$C$8</f>
        <v>16.5659910955724</v>
      </c>
      <c r="K59" s="74" t="n">
        <f aca="false">'Delivery cost'!H17*'Delivery cost'!$C$28/'Delivery cost'!$C$8</f>
        <v>26.7478353500314</v>
      </c>
      <c r="L59" s="58" t="n">
        <v>5.9</v>
      </c>
      <c r="M59" s="79" t="n">
        <v>200</v>
      </c>
      <c r="N59" s="74" t="n">
        <f aca="false">J59-L59</f>
        <v>10.6659910955724</v>
      </c>
    </row>
    <row r="61" customFormat="false" ht="15" hidden="false" customHeight="true" outlineLevel="0" collapsed="false">
      <c r="B61" s="52" t="s">
        <v>436</v>
      </c>
    </row>
    <row r="62" customFormat="false" ht="33.75" hidden="false" customHeight="true" outlineLevel="0" collapsed="false">
      <c r="B62" s="51" t="s">
        <v>437</v>
      </c>
      <c r="C62" s="51"/>
      <c r="D62" s="51"/>
      <c r="E62" s="51"/>
      <c r="F62" s="51"/>
      <c r="G62" s="51"/>
      <c r="H62" s="51"/>
      <c r="I62" s="51"/>
      <c r="J62" s="51"/>
      <c r="K62" s="51"/>
      <c r="L62" s="51"/>
      <c r="M62" s="51"/>
      <c r="N62" s="51"/>
    </row>
    <row r="63" customFormat="false" ht="33.75" hidden="false" customHeight="true" outlineLevel="0" collapsed="false">
      <c r="B63" s="51" t="s">
        <v>438</v>
      </c>
      <c r="C63" s="51"/>
      <c r="D63" s="51"/>
      <c r="E63" s="51"/>
      <c r="F63" s="51"/>
      <c r="G63" s="51"/>
      <c r="H63" s="51"/>
      <c r="I63" s="51"/>
      <c r="J63" s="51"/>
      <c r="K63" s="51"/>
      <c r="L63" s="51"/>
      <c r="M63" s="51"/>
      <c r="N63" s="51"/>
    </row>
    <row r="64" customFormat="false" ht="33.75" hidden="false" customHeight="true" outlineLevel="0" collapsed="false">
      <c r="B64" s="51" t="s">
        <v>439</v>
      </c>
      <c r="C64" s="51"/>
      <c r="D64" s="51"/>
      <c r="E64" s="51"/>
      <c r="F64" s="51"/>
      <c r="G64" s="51"/>
      <c r="H64" s="51"/>
      <c r="I64" s="51"/>
      <c r="J64" s="51"/>
      <c r="K64" s="51"/>
      <c r="L64" s="51"/>
      <c r="M64" s="51"/>
      <c r="N64" s="51"/>
    </row>
    <row r="65" customFormat="false" ht="33.75" hidden="false" customHeight="true" outlineLevel="0" collapsed="false">
      <c r="B65" s="51" t="s">
        <v>440</v>
      </c>
      <c r="C65" s="51"/>
      <c r="D65" s="51"/>
      <c r="E65" s="51"/>
      <c r="F65" s="51"/>
      <c r="G65" s="51"/>
      <c r="H65" s="51"/>
      <c r="I65" s="51"/>
      <c r="J65" s="51"/>
      <c r="K65" s="51"/>
      <c r="L65" s="51"/>
      <c r="M65" s="51"/>
      <c r="N65" s="51"/>
    </row>
  </sheetData>
  <mergeCells count="5">
    <mergeCell ref="B3:N3"/>
    <mergeCell ref="B62:N62"/>
    <mergeCell ref="B63:N63"/>
    <mergeCell ref="B64:N64"/>
    <mergeCell ref="B65:N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X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1" topLeftCell="D32" activePane="bottomRight" state="frozen"/>
      <selection pane="topLeft" activeCell="A1" activeCellId="0" sqref="A1"/>
      <selection pane="topRight" activeCell="D1" activeCellId="0" sqref="D1"/>
      <selection pane="bottomLeft" activeCell="A32" activeCellId="0" sqref="A3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3" min="3" style="1" width="14"/>
    <col collapsed="false" customWidth="true" hidden="false" outlineLevel="0" max="13" min="4" style="1" width="12.5"/>
    <col collapsed="false" customWidth="true" hidden="false" outlineLevel="0" max="14" min="14" style="1" width="26"/>
    <col collapsed="false" customWidth="true" hidden="false" outlineLevel="0" max="25" min="15" style="1" width="12.5"/>
  </cols>
  <sheetData>
    <row r="2" customFormat="false" ht="17.25" hidden="false" customHeight="true" outlineLevel="0" collapsed="false">
      <c r="B2" s="50" t="s">
        <v>441</v>
      </c>
    </row>
    <row r="3" customFormat="false" ht="94.5" hidden="false" customHeight="true" outlineLevel="0" collapsed="false">
      <c r="B3" s="51" t="s">
        <v>442</v>
      </c>
      <c r="C3" s="51"/>
      <c r="D3" s="51"/>
      <c r="E3" s="51"/>
      <c r="F3" s="51"/>
      <c r="G3" s="51"/>
      <c r="H3" s="51"/>
      <c r="I3" s="51"/>
      <c r="J3" s="51"/>
      <c r="K3" s="51"/>
      <c r="L3" s="51"/>
      <c r="M3" s="51"/>
      <c r="N3" s="51"/>
      <c r="O3" s="51"/>
      <c r="P3" s="51"/>
    </row>
    <row r="5" customFormat="false" ht="15" hidden="false" customHeight="true" outlineLevel="0" collapsed="false">
      <c r="B5" s="52" t="s">
        <v>443</v>
      </c>
      <c r="C5" s="80" t="n">
        <v>0.105</v>
      </c>
    </row>
    <row r="6" customFormat="false" ht="15" hidden="false" customHeight="true" outlineLevel="0" collapsed="false">
      <c r="B6" s="52" t="s">
        <v>444</v>
      </c>
      <c r="C6" s="80" t="n">
        <v>0.12</v>
      </c>
    </row>
    <row r="7" customFormat="false" ht="15" hidden="false" customHeight="true" outlineLevel="0" collapsed="false">
      <c r="B7" s="52" t="s">
        <v>445</v>
      </c>
      <c r="C7" s="54" t="n">
        <v>6000</v>
      </c>
    </row>
    <row r="8" customFormat="false" ht="15" hidden="false" customHeight="true" outlineLevel="0" collapsed="false">
      <c r="B8" s="52" t="s">
        <v>446</v>
      </c>
      <c r="C8" s="81" t="n">
        <f aca="false">Sources!$C$7</f>
        <v>366.11</v>
      </c>
    </row>
    <row r="10" customFormat="false" ht="15" hidden="false" customHeight="true" outlineLevel="0" collapsed="false">
      <c r="B10" s="52" t="s">
        <v>447</v>
      </c>
    </row>
    <row r="11" customFormat="false" ht="15" hidden="false" customHeight="true" outlineLevel="0" collapsed="false">
      <c r="B11" s="82" t="s">
        <v>448</v>
      </c>
      <c r="C11" s="82" t="s">
        <v>449</v>
      </c>
      <c r="D11" s="82" t="s">
        <v>15</v>
      </c>
      <c r="E11" s="82" t="s">
        <v>16</v>
      </c>
      <c r="F11" s="82" t="s">
        <v>17</v>
      </c>
      <c r="G11" s="82" t="s">
        <v>18</v>
      </c>
      <c r="H11" s="82" t="s">
        <v>14</v>
      </c>
    </row>
    <row r="12" customFormat="false" ht="15" hidden="false" customHeight="true" outlineLevel="0" collapsed="false">
      <c r="B12" s="1" t="n">
        <v>0</v>
      </c>
      <c r="C12" s="1" t="n">
        <v>1</v>
      </c>
      <c r="D12" s="83" t="n">
        <v>3040</v>
      </c>
      <c r="E12" s="83" t="n">
        <v>2931</v>
      </c>
      <c r="F12" s="83" t="n">
        <v>2425</v>
      </c>
      <c r="G12" s="83" t="n">
        <v>1956</v>
      </c>
      <c r="H12" s="83" t="n">
        <v>2126</v>
      </c>
    </row>
    <row r="13" customFormat="false" ht="15" hidden="false" customHeight="true" outlineLevel="0" collapsed="false">
      <c r="B13" s="66" t="n">
        <v>1.01</v>
      </c>
      <c r="C13" s="66" t="n">
        <v>3</v>
      </c>
      <c r="D13" s="84" t="n">
        <v>3378</v>
      </c>
      <c r="E13" s="84" t="n">
        <v>3690</v>
      </c>
      <c r="F13" s="84" t="n">
        <v>2914</v>
      </c>
      <c r="G13" s="84" t="n">
        <v>2362</v>
      </c>
      <c r="H13" s="84" t="n">
        <v>2871</v>
      </c>
    </row>
    <row r="14" customFormat="false" ht="15" hidden="false" customHeight="true" outlineLevel="0" collapsed="false">
      <c r="B14" s="1" t="n">
        <v>3.01</v>
      </c>
      <c r="C14" s="1" t="n">
        <v>5</v>
      </c>
      <c r="D14" s="83" t="n">
        <v>3566</v>
      </c>
      <c r="E14" s="83" t="n">
        <v>4333</v>
      </c>
      <c r="F14" s="83" t="n">
        <v>3277</v>
      </c>
      <c r="G14" s="83" t="n">
        <v>2618</v>
      </c>
      <c r="H14" s="83" t="n">
        <v>3465</v>
      </c>
    </row>
    <row r="15" customFormat="false" ht="15" hidden="false" customHeight="true" outlineLevel="0" collapsed="false">
      <c r="B15" s="66" t="n">
        <v>5.01</v>
      </c>
      <c r="C15" s="66" t="n">
        <v>10</v>
      </c>
      <c r="D15" s="84" t="n">
        <v>4036</v>
      </c>
      <c r="E15" s="84" t="n">
        <v>5945</v>
      </c>
      <c r="F15" s="84" t="n">
        <v>4187</v>
      </c>
      <c r="G15" s="84" t="n">
        <v>3257</v>
      </c>
      <c r="H15" s="84" t="n">
        <v>4951</v>
      </c>
    </row>
    <row r="16" customFormat="false" ht="15" hidden="false" customHeight="true" outlineLevel="0" collapsed="false">
      <c r="B16" s="1" t="n">
        <v>10.01</v>
      </c>
      <c r="C16" s="1" t="n">
        <v>15</v>
      </c>
      <c r="D16" s="83" t="n">
        <v>4541</v>
      </c>
      <c r="E16" s="83" t="n">
        <v>7727</v>
      </c>
      <c r="F16" s="83" t="n">
        <v>5225</v>
      </c>
      <c r="G16" s="83" t="n">
        <v>3932</v>
      </c>
      <c r="H16" s="83" t="n">
        <v>6472</v>
      </c>
    </row>
    <row r="17" customFormat="false" ht="15" hidden="false" customHeight="true" outlineLevel="0" collapsed="false">
      <c r="B17" s="66" t="n">
        <v>15.01</v>
      </c>
      <c r="C17" s="66" t="n">
        <v>20</v>
      </c>
      <c r="D17" s="84" t="n">
        <v>5048</v>
      </c>
      <c r="E17" s="84" t="n">
        <v>9491</v>
      </c>
      <c r="F17" s="84" t="n">
        <v>6251</v>
      </c>
      <c r="G17" s="84" t="n">
        <v>4608</v>
      </c>
      <c r="H17" s="84" t="n">
        <v>7994</v>
      </c>
    </row>
    <row r="18" customFormat="false" ht="15" hidden="false" customHeight="true" outlineLevel="0" collapsed="false">
      <c r="B18" s="1" t="n">
        <v>20.01</v>
      </c>
      <c r="C18" s="1" t="n">
        <v>25</v>
      </c>
      <c r="D18" s="83" t="n">
        <v>5688</v>
      </c>
      <c r="E18" s="83" t="n">
        <v>11445</v>
      </c>
      <c r="F18" s="83" t="n">
        <v>6867</v>
      </c>
      <c r="G18" s="83" t="n">
        <v>5417</v>
      </c>
      <c r="H18" s="83" t="n">
        <v>9651</v>
      </c>
    </row>
    <row r="19" customFormat="false" ht="15" hidden="false" customHeight="true" outlineLevel="0" collapsed="false">
      <c r="B19" s="66" t="n">
        <v>25.01</v>
      </c>
      <c r="C19" s="66" t="n">
        <v>30</v>
      </c>
      <c r="D19" s="84" t="n">
        <v>6320</v>
      </c>
      <c r="E19" s="84" t="n">
        <v>13355</v>
      </c>
      <c r="F19" s="84" t="n">
        <v>7475</v>
      </c>
      <c r="G19" s="84" t="n">
        <v>6218</v>
      </c>
      <c r="H19" s="84" t="n">
        <v>11298</v>
      </c>
    </row>
    <row r="20" customFormat="false" ht="15" hidden="false" customHeight="true" outlineLevel="0" collapsed="false">
      <c r="B20" s="1" t="n">
        <v>30.01</v>
      </c>
      <c r="C20" s="1" t="n">
        <v>40</v>
      </c>
      <c r="D20" s="83" t="n">
        <v>7546</v>
      </c>
      <c r="E20" s="83" t="n">
        <v>16990</v>
      </c>
      <c r="F20" s="83" t="n">
        <v>9847</v>
      </c>
      <c r="G20" s="83" t="n">
        <v>7784</v>
      </c>
      <c r="H20" s="83" t="n">
        <v>14558</v>
      </c>
    </row>
    <row r="21" customFormat="false" ht="15" hidden="false" customHeight="true" outlineLevel="0" collapsed="false">
      <c r="B21" s="66" t="n">
        <v>40.01</v>
      </c>
      <c r="C21" s="66" t="n">
        <v>50</v>
      </c>
      <c r="D21" s="84" t="n">
        <v>8809</v>
      </c>
      <c r="E21" s="84" t="n">
        <v>20808</v>
      </c>
      <c r="F21" s="84" t="n">
        <v>11063</v>
      </c>
      <c r="G21" s="84" t="n">
        <v>9385</v>
      </c>
      <c r="H21" s="84" t="n">
        <v>17853</v>
      </c>
    </row>
    <row r="22" customFormat="false" ht="15" hidden="false" customHeight="true" outlineLevel="0" collapsed="false">
      <c r="B22" s="1" t="n">
        <v>50.01</v>
      </c>
      <c r="C22" s="1" t="n">
        <v>60</v>
      </c>
      <c r="D22" s="83" t="n">
        <v>10035</v>
      </c>
      <c r="E22" s="83" t="n">
        <v>24438</v>
      </c>
      <c r="F22" s="83" t="n">
        <v>12279</v>
      </c>
      <c r="G22" s="83" t="n">
        <v>10950</v>
      </c>
      <c r="H22" s="83" t="n">
        <v>21110</v>
      </c>
    </row>
    <row r="23" customFormat="false" ht="15" hidden="false" customHeight="true" outlineLevel="0" collapsed="false">
      <c r="B23" s="66" t="n">
        <v>60.01</v>
      </c>
      <c r="C23" s="66" t="n">
        <v>70</v>
      </c>
      <c r="D23" s="84" t="n">
        <v>11271</v>
      </c>
      <c r="E23" s="84" t="n">
        <v>28121</v>
      </c>
      <c r="F23" s="84" t="n">
        <v>14651</v>
      </c>
      <c r="G23" s="84" t="n">
        <v>12524</v>
      </c>
      <c r="H23" s="84" t="n">
        <v>24378</v>
      </c>
    </row>
    <row r="24" customFormat="false" ht="15" hidden="false" customHeight="true" outlineLevel="0" collapsed="false">
      <c r="B24" s="1" t="n">
        <v>70.01</v>
      </c>
      <c r="C24" s="1" t="n">
        <v>80</v>
      </c>
      <c r="D24" s="83" t="n">
        <v>12469</v>
      </c>
      <c r="E24" s="83" t="n">
        <v>31616</v>
      </c>
      <c r="F24" s="83" t="n">
        <v>15868</v>
      </c>
      <c r="G24" s="83" t="n">
        <v>14061</v>
      </c>
      <c r="H24" s="83" t="n">
        <v>27609</v>
      </c>
    </row>
    <row r="25" customFormat="false" ht="15" hidden="false" customHeight="true" outlineLevel="0" collapsed="false">
      <c r="B25" s="66" t="n">
        <v>80.01</v>
      </c>
      <c r="C25" s="66" t="n">
        <v>90</v>
      </c>
      <c r="D25" s="84" t="n">
        <v>13707</v>
      </c>
      <c r="E25" s="84" t="n">
        <v>35309</v>
      </c>
      <c r="F25" s="84" t="n">
        <v>17085</v>
      </c>
      <c r="G25" s="84" t="n">
        <v>15637</v>
      </c>
      <c r="H25" s="84" t="n">
        <v>29187</v>
      </c>
    </row>
    <row r="26" customFormat="false" ht="15" hidden="false" customHeight="true" outlineLevel="0" collapsed="false">
      <c r="B26" s="1" t="n">
        <v>90.01</v>
      </c>
      <c r="C26" s="1" t="n">
        <v>100</v>
      </c>
      <c r="D26" s="83" t="n">
        <v>14894</v>
      </c>
      <c r="E26" s="83" t="n">
        <v>38751</v>
      </c>
      <c r="F26" s="83" t="n">
        <v>19456</v>
      </c>
      <c r="G26" s="83" t="n">
        <v>17164</v>
      </c>
      <c r="H26" s="83" t="n">
        <v>30127</v>
      </c>
    </row>
    <row r="28" customFormat="false" ht="15" hidden="false" customHeight="true" outlineLevel="0" collapsed="false">
      <c r="B28" s="52" t="s">
        <v>450</v>
      </c>
      <c r="C28" s="85" t="n">
        <f aca="false">1+$C$5+$C$6</f>
        <v>1.225</v>
      </c>
    </row>
    <row r="31" customFormat="false" ht="43.5" hidden="false" customHeight="true" outlineLevel="0" collapsed="false">
      <c r="B31" s="57" t="s">
        <v>12</v>
      </c>
      <c r="C31" s="57" t="s">
        <v>125</v>
      </c>
      <c r="D31" s="57" t="s">
        <v>451</v>
      </c>
      <c r="E31" s="57" t="s">
        <v>452</v>
      </c>
      <c r="F31" s="57" t="s">
        <v>453</v>
      </c>
      <c r="G31" s="57" t="s">
        <v>454</v>
      </c>
      <c r="H31" s="57" t="s">
        <v>455</v>
      </c>
      <c r="I31" s="57" t="s">
        <v>456</v>
      </c>
      <c r="J31" s="57" t="s">
        <v>457</v>
      </c>
      <c r="K31" s="57" t="s">
        <v>458</v>
      </c>
      <c r="L31" s="57" t="s">
        <v>459</v>
      </c>
      <c r="M31" s="57" t="s">
        <v>460</v>
      </c>
      <c r="N31" s="57" t="s">
        <v>461</v>
      </c>
      <c r="O31" s="57" t="s">
        <v>462</v>
      </c>
      <c r="P31" s="57" t="s">
        <v>463</v>
      </c>
      <c r="Q31" s="57" t="s">
        <v>464</v>
      </c>
      <c r="R31" s="57" t="s">
        <v>465</v>
      </c>
      <c r="S31" s="57" t="s">
        <v>466</v>
      </c>
      <c r="T31" s="57" t="s">
        <v>467</v>
      </c>
      <c r="U31" s="57" t="s">
        <v>468</v>
      </c>
      <c r="V31" s="57" t="s">
        <v>469</v>
      </c>
      <c r="W31" s="57" t="s">
        <v>470</v>
      </c>
      <c r="X31" s="57" t="s">
        <v>471</v>
      </c>
    </row>
    <row r="32" customFormat="false" ht="15" hidden="false" customHeight="true" outlineLevel="0" collapsed="false">
      <c r="B32" s="1" t="s">
        <v>9</v>
      </c>
      <c r="C32" s="1" t="s">
        <v>140</v>
      </c>
      <c r="D32" s="54" t="n">
        <v>12</v>
      </c>
      <c r="E32" s="86" t="n">
        <v>0.675</v>
      </c>
      <c r="F32" s="54" t="n">
        <v>546</v>
      </c>
      <c r="G32" s="54" t="n">
        <v>336</v>
      </c>
      <c r="H32" s="54" t="n">
        <v>215</v>
      </c>
      <c r="I32" s="85" t="n">
        <f aca="false">IF(OR(D32="",E32=""),"",D32*E32*1.05)</f>
        <v>8.505</v>
      </c>
      <c r="J32" s="85" t="n">
        <f aca="false">IF(OR($C$7=0,F32="",G32="",H32=""),"",F32*G32*H32/1000/$C$7)</f>
        <v>6.57384</v>
      </c>
      <c r="K32" s="54" t="n">
        <v>12</v>
      </c>
      <c r="L32" s="85" t="n">
        <f aca="false">IF(OR(K32="",I32=""),"",MAX(I32,IF(ISNUMBER(J32),J32,0))*K32/D32)</f>
        <v>8.505</v>
      </c>
      <c r="M32" s="1" t="n">
        <f aca="false">IF(L32="","",INDEX($B$12:$B$26,MATCH(MIN(L32,100),$B$12:$B$26,1)))</f>
        <v>5.01</v>
      </c>
      <c r="N32" s="1" t="s">
        <v>472</v>
      </c>
      <c r="O32" s="74" t="n">
        <f aca="false">IF(L32="","—",INDEX(D$12:D$26,MATCH(MIN(L32,100),$B$12:$B$26,1))*$C$28/$C$8)</f>
        <v>13.5044112425227</v>
      </c>
      <c r="P32" s="74" t="n">
        <f aca="false">IF(L32="","—",INDEX(E$12:E$26,MATCH(MIN(L32,100),$B$12:$B$26,1))*$C$28/$C$8)</f>
        <v>19.8919040725465</v>
      </c>
      <c r="Q32" s="74" t="n">
        <f aca="false">IF(L32="","—",INDEX(F$12:F$26,MATCH(MIN(L32,100),$B$12:$B$26,1))*$C$28/$C$8)</f>
        <v>14.0096555679987</v>
      </c>
      <c r="R32" s="74" t="n">
        <f aca="false">IF(L32="","—",INDEX(G$12:G$26,MATCH(MIN(L32,100),$B$12:$B$26,1))*$C$28/$C$8)</f>
        <v>10.8978858812925</v>
      </c>
      <c r="S32" s="74" t="n">
        <f aca="false">IF(L32="","—",INDEX(H$12:H$26,MATCH(MIN(L32,100),$B$12:$B$26,1))*$C$28/$C$8)</f>
        <v>16.5659910955724</v>
      </c>
      <c r="T32" s="87" t="n">
        <f aca="false">IF(L32="","—",O32/K32)</f>
        <v>1.12536760354356</v>
      </c>
      <c r="U32" s="87" t="n">
        <f aca="false">IF(L32="","—",P32/K32)</f>
        <v>1.65765867271221</v>
      </c>
      <c r="V32" s="87" t="n">
        <f aca="false">IF(L32="","—",Q32/K32)</f>
        <v>1.16747129733322</v>
      </c>
      <c r="W32" s="87" t="n">
        <f aca="false">IF(L32="","—",R32/K32)</f>
        <v>0.908157156774376</v>
      </c>
      <c r="X32" s="87" t="n">
        <f aca="false">IF(L32="","—",S32/K32)</f>
        <v>1.38049925796436</v>
      </c>
    </row>
    <row r="33" customFormat="false" ht="15" hidden="false" customHeight="true" outlineLevel="0" collapsed="false">
      <c r="B33" s="66" t="s">
        <v>22</v>
      </c>
      <c r="C33" s="66" t="s">
        <v>141</v>
      </c>
      <c r="D33" s="54" t="n">
        <v>12</v>
      </c>
      <c r="E33" s="86" t="n">
        <v>0.53</v>
      </c>
      <c r="F33" s="54" t="n">
        <v>550</v>
      </c>
      <c r="G33" s="54" t="n">
        <v>350</v>
      </c>
      <c r="H33" s="54" t="n">
        <v>380</v>
      </c>
      <c r="I33" s="88" t="n">
        <f aca="false">IF(OR(D33="",E33=""),"",D33*E33*1.05)</f>
        <v>6.678</v>
      </c>
      <c r="J33" s="88" t="n">
        <f aca="false">IF(OR($C$7=0,F33="",G33="",H33=""),"",F33*G33*H33/1000/$C$7)</f>
        <v>12.1916666666667</v>
      </c>
      <c r="K33" s="54" t="n">
        <v>12</v>
      </c>
      <c r="L33" s="88" t="n">
        <f aca="false">IF(OR(K33="",I33=""),"",MAX(I33,IF(ISNUMBER(J33),J33,0))*K33/D33)</f>
        <v>12.1916666666667</v>
      </c>
      <c r="M33" s="66" t="n">
        <f aca="false">IF(L33="","",INDEX($B$12:$B$26,MATCH(MIN(L33,100),$B$12:$B$26,1)))</f>
        <v>10.01</v>
      </c>
      <c r="N33" s="66" t="s">
        <v>472</v>
      </c>
      <c r="O33" s="76" t="n">
        <f aca="false">IF(L33="","—",INDEX(D$12:D$26,MATCH(MIN(L33,100),$B$12:$B$26,1))*$C$28/$C$8)</f>
        <v>15.1941356422933</v>
      </c>
      <c r="P33" s="76" t="n">
        <f aca="false">IF(L33="","—",INDEX(E$12:E$26,MATCH(MIN(L33,100),$B$12:$B$26,1))*$C$28/$C$8)</f>
        <v>25.8544563109448</v>
      </c>
      <c r="Q33" s="76" t="n">
        <f aca="false">IF(L33="","—",INDEX(F$12:F$26,MATCH(MIN(L33,100),$B$12:$B$26,1))*$C$28/$C$8)</f>
        <v>17.482792057032</v>
      </c>
      <c r="R33" s="76" t="n">
        <f aca="false">IF(L33="","—",INDEX(G$12:G$26,MATCH(MIN(L33,100),$B$12:$B$26,1))*$C$28/$C$8)</f>
        <v>13.1564283958373</v>
      </c>
      <c r="S33" s="76" t="n">
        <f aca="false">IF(L33="","—",INDEX(H$12:H$26,MATCH(MIN(L33,100),$B$12:$B$26,1))*$C$28/$C$8)</f>
        <v>21.6552402283467</v>
      </c>
      <c r="T33" s="89" t="n">
        <f aca="false">IF(L33="","—",O33/K33)</f>
        <v>1.26617797019111</v>
      </c>
      <c r="U33" s="89" t="n">
        <f aca="false">IF(L33="","—",P33/K33)</f>
        <v>2.15453802591207</v>
      </c>
      <c r="V33" s="89" t="n">
        <f aca="false">IF(L33="","—",Q33/K33)</f>
        <v>1.456899338086</v>
      </c>
      <c r="W33" s="89" t="n">
        <f aca="false">IF(L33="","—",R33/K33)</f>
        <v>1.09636903298644</v>
      </c>
      <c r="X33" s="89" t="n">
        <f aca="false">IF(L33="","—",S33/K33)</f>
        <v>1.80460335236222</v>
      </c>
    </row>
    <row r="34" customFormat="false" ht="15" hidden="false" customHeight="true" outlineLevel="0" collapsed="false">
      <c r="B34" s="1" t="s">
        <v>23</v>
      </c>
      <c r="C34" s="1" t="s">
        <v>142</v>
      </c>
      <c r="D34" s="54" t="n">
        <v>24</v>
      </c>
      <c r="E34" s="86" t="n">
        <v>0.215</v>
      </c>
      <c r="F34" s="54" t="n">
        <v>660</v>
      </c>
      <c r="G34" s="54" t="n">
        <v>360</v>
      </c>
      <c r="H34" s="54" t="n">
        <v>270</v>
      </c>
      <c r="I34" s="85" t="n">
        <f aca="false">IF(OR(D34="",E34=""),"",D34*E34*1.05)</f>
        <v>5.418</v>
      </c>
      <c r="J34" s="85" t="n">
        <f aca="false">IF(OR($C$7=0,F34="",G34="",H34=""),"",F34*G34*H34/1000/$C$7)</f>
        <v>10.692</v>
      </c>
      <c r="K34" s="54" t="n">
        <v>24</v>
      </c>
      <c r="L34" s="85" t="n">
        <f aca="false">IF(OR(K34="",I34=""),"",MAX(I34,IF(ISNUMBER(J34),J34,0))*K34/D34)</f>
        <v>10.692</v>
      </c>
      <c r="M34" s="1" t="n">
        <f aca="false">IF(L34="","",INDEX($B$12:$B$26,MATCH(MIN(L34,100),$B$12:$B$26,1)))</f>
        <v>10.01</v>
      </c>
      <c r="N34" s="1" t="s">
        <v>472</v>
      </c>
      <c r="O34" s="74" t="n">
        <f aca="false">IF(L34="","—",INDEX(D$12:D$26,MATCH(MIN(L34,100),$B$12:$B$26,1))*$C$28/$C$8)</f>
        <v>15.1941356422933</v>
      </c>
      <c r="P34" s="74" t="n">
        <f aca="false">IF(L34="","—",INDEX(E$12:E$26,MATCH(MIN(L34,100),$B$12:$B$26,1))*$C$28/$C$8)</f>
        <v>25.8544563109448</v>
      </c>
      <c r="Q34" s="74" t="n">
        <f aca="false">IF(L34="","—",INDEX(F$12:F$26,MATCH(MIN(L34,100),$B$12:$B$26,1))*$C$28/$C$8)</f>
        <v>17.482792057032</v>
      </c>
      <c r="R34" s="74" t="n">
        <f aca="false">IF(L34="","—",INDEX(G$12:G$26,MATCH(MIN(L34,100),$B$12:$B$26,1))*$C$28/$C$8)</f>
        <v>13.1564283958373</v>
      </c>
      <c r="S34" s="74" t="n">
        <f aca="false">IF(L34="","—",INDEX(H$12:H$26,MATCH(MIN(L34,100),$B$12:$B$26,1))*$C$28/$C$8)</f>
        <v>21.6552402283467</v>
      </c>
      <c r="T34" s="87" t="n">
        <f aca="false">IF(L34="","—",O34/K34)</f>
        <v>0.633088985095554</v>
      </c>
      <c r="U34" s="87" t="n">
        <f aca="false">IF(L34="","—",P34/K34)</f>
        <v>1.07726901295603</v>
      </c>
      <c r="V34" s="87" t="n">
        <f aca="false">IF(L34="","—",Q34/K34)</f>
        <v>0.728449669043002</v>
      </c>
      <c r="W34" s="87" t="n">
        <f aca="false">IF(L34="","—",R34/K34)</f>
        <v>0.548184516493222</v>
      </c>
      <c r="X34" s="87" t="n">
        <f aca="false">IF(L34="","—",S34/K34)</f>
        <v>0.902301676181112</v>
      </c>
    </row>
    <row r="35" customFormat="false" ht="15" hidden="false" customHeight="true" outlineLevel="0" collapsed="false">
      <c r="B35" s="66" t="s">
        <v>24</v>
      </c>
      <c r="C35" s="66" t="s">
        <v>143</v>
      </c>
      <c r="D35" s="54" t="n">
        <v>12</v>
      </c>
      <c r="E35" s="86" t="n">
        <v>0.415</v>
      </c>
      <c r="F35" s="54" t="n">
        <v>540</v>
      </c>
      <c r="G35" s="54" t="n">
        <v>335</v>
      </c>
      <c r="H35" s="54" t="n">
        <v>105</v>
      </c>
      <c r="I35" s="88" t="n">
        <f aca="false">IF(OR(D35="",E35=""),"",D35*E35*1.05)</f>
        <v>5.229</v>
      </c>
      <c r="J35" s="88" t="n">
        <f aca="false">IF(OR($C$7=0,F35="",G35="",H35=""),"",F35*G35*H35/1000/$C$7)</f>
        <v>3.16575</v>
      </c>
      <c r="K35" s="54" t="n">
        <v>12</v>
      </c>
      <c r="L35" s="88" t="n">
        <f aca="false">IF(OR(K35="",I35=""),"",MAX(I35,IF(ISNUMBER(J35),J35,0))*K35/D35)</f>
        <v>5.229</v>
      </c>
      <c r="M35" s="66" t="n">
        <f aca="false">IF(L35="","",INDEX($B$12:$B$26,MATCH(MIN(L35,100),$B$12:$B$26,1)))</f>
        <v>5.01</v>
      </c>
      <c r="N35" s="66" t="s">
        <v>472</v>
      </c>
      <c r="O35" s="76" t="n">
        <f aca="false">IF(L35="","—",INDEX(D$12:D$26,MATCH(MIN(L35,100),$B$12:$B$26,1))*$C$28/$C$8)</f>
        <v>13.5044112425227</v>
      </c>
      <c r="P35" s="76" t="n">
        <f aca="false">IF(L35="","—",INDEX(E$12:E$26,MATCH(MIN(L35,100),$B$12:$B$26,1))*$C$28/$C$8)</f>
        <v>19.8919040725465</v>
      </c>
      <c r="Q35" s="76" t="n">
        <f aca="false">IF(L35="","—",INDEX(F$12:F$26,MATCH(MIN(L35,100),$B$12:$B$26,1))*$C$28/$C$8)</f>
        <v>14.0096555679987</v>
      </c>
      <c r="R35" s="76" t="n">
        <f aca="false">IF(L35="","—",INDEX(G$12:G$26,MATCH(MIN(L35,100),$B$12:$B$26,1))*$C$28/$C$8)</f>
        <v>10.8978858812925</v>
      </c>
      <c r="S35" s="76" t="n">
        <f aca="false">IF(L35="","—",INDEX(H$12:H$26,MATCH(MIN(L35,100),$B$12:$B$26,1))*$C$28/$C$8)</f>
        <v>16.5659910955724</v>
      </c>
      <c r="T35" s="89" t="n">
        <f aca="false">IF(L35="","—",O35/K35)</f>
        <v>1.12536760354356</v>
      </c>
      <c r="U35" s="89" t="n">
        <f aca="false">IF(L35="","—",P35/K35)</f>
        <v>1.65765867271221</v>
      </c>
      <c r="V35" s="89" t="n">
        <f aca="false">IF(L35="","—",Q35/K35)</f>
        <v>1.16747129733322</v>
      </c>
      <c r="W35" s="89" t="n">
        <f aca="false">IF(L35="","—",R35/K35)</f>
        <v>0.908157156774376</v>
      </c>
      <c r="X35" s="89" t="n">
        <f aca="false">IF(L35="","—",S35/K35)</f>
        <v>1.38049925796436</v>
      </c>
    </row>
    <row r="36" customFormat="false" ht="15" hidden="false" customHeight="true" outlineLevel="0" collapsed="false">
      <c r="B36" s="1" t="s">
        <v>25</v>
      </c>
      <c r="C36" s="1" t="s">
        <v>144</v>
      </c>
      <c r="D36" s="54" t="n">
        <v>96</v>
      </c>
      <c r="E36" s="86" t="n">
        <v>0.046</v>
      </c>
      <c r="F36" s="54" t="n">
        <v>555</v>
      </c>
      <c r="G36" s="54" t="n">
        <v>420</v>
      </c>
      <c r="H36" s="54" t="n">
        <v>385</v>
      </c>
      <c r="I36" s="85" t="n">
        <f aca="false">IF(OR(D36="",E36=""),"",D36*E36*1.05)</f>
        <v>4.6368</v>
      </c>
      <c r="J36" s="85" t="n">
        <f aca="false">IF(OR($C$7=0,F36="",G36="",H36=""),"",F36*G36*H36/1000/$C$7)</f>
        <v>14.95725</v>
      </c>
      <c r="K36" s="54" t="n">
        <v>96</v>
      </c>
      <c r="L36" s="85" t="n">
        <f aca="false">IF(OR(K36="",I36=""),"",MAX(I36,IF(ISNUMBER(J36),J36,0))*K36/D36)</f>
        <v>14.95725</v>
      </c>
      <c r="M36" s="1" t="n">
        <f aca="false">IF(L36="","",INDEX($B$12:$B$26,MATCH(MIN(L36,100),$B$12:$B$26,1)))</f>
        <v>10.01</v>
      </c>
      <c r="N36" s="1" t="s">
        <v>472</v>
      </c>
      <c r="O36" s="74" t="n">
        <f aca="false">IF(L36="","—",INDEX(D$12:D$26,MATCH(MIN(L36,100),$B$12:$B$26,1))*$C$28/$C$8)</f>
        <v>15.1941356422933</v>
      </c>
      <c r="P36" s="74" t="n">
        <f aca="false">IF(L36="","—",INDEX(E$12:E$26,MATCH(MIN(L36,100),$B$12:$B$26,1))*$C$28/$C$8)</f>
        <v>25.8544563109448</v>
      </c>
      <c r="Q36" s="74" t="n">
        <f aca="false">IF(L36="","—",INDEX(F$12:F$26,MATCH(MIN(L36,100),$B$12:$B$26,1))*$C$28/$C$8)</f>
        <v>17.482792057032</v>
      </c>
      <c r="R36" s="74" t="n">
        <f aca="false">IF(L36="","—",INDEX(G$12:G$26,MATCH(MIN(L36,100),$B$12:$B$26,1))*$C$28/$C$8)</f>
        <v>13.1564283958373</v>
      </c>
      <c r="S36" s="74" t="n">
        <f aca="false">IF(L36="","—",INDEX(H$12:H$26,MATCH(MIN(L36,100),$B$12:$B$26,1))*$C$28/$C$8)</f>
        <v>21.6552402283467</v>
      </c>
      <c r="T36" s="87" t="n">
        <f aca="false">IF(L36="","—",O36/K36)</f>
        <v>0.158272246273889</v>
      </c>
      <c r="U36" s="87" t="n">
        <f aca="false">IF(L36="","—",P36/K36)</f>
        <v>0.269317253239008</v>
      </c>
      <c r="V36" s="87" t="n">
        <f aca="false">IF(L36="","—",Q36/K36)</f>
        <v>0.18211241726075</v>
      </c>
      <c r="W36" s="87" t="n">
        <f aca="false">IF(L36="","—",R36/K36)</f>
        <v>0.137046129123305</v>
      </c>
      <c r="X36" s="87" t="n">
        <f aca="false">IF(L36="","—",S36/K36)</f>
        <v>0.225575419045278</v>
      </c>
    </row>
    <row r="37" customFormat="false" ht="15" hidden="false" customHeight="true" outlineLevel="0" collapsed="false">
      <c r="B37" s="66" t="s">
        <v>26</v>
      </c>
      <c r="C37" s="66" t="s">
        <v>145</v>
      </c>
      <c r="D37" s="54" t="n">
        <v>96</v>
      </c>
      <c r="E37" s="86" t="n">
        <v>0.066</v>
      </c>
      <c r="F37" s="54" t="n">
        <v>655</v>
      </c>
      <c r="G37" s="54" t="n">
        <v>500</v>
      </c>
      <c r="H37" s="54" t="n">
        <v>500</v>
      </c>
      <c r="I37" s="88" t="n">
        <f aca="false">IF(OR(D37="",E37=""),"",D37*E37*1.05)</f>
        <v>6.6528</v>
      </c>
      <c r="J37" s="88" t="n">
        <f aca="false">IF(OR($C$7=0,F37="",G37="",H37=""),"",F37*G37*H37/1000/$C$7)</f>
        <v>27.2916666666667</v>
      </c>
      <c r="K37" s="54" t="n">
        <v>96</v>
      </c>
      <c r="L37" s="88" t="n">
        <f aca="false">IF(OR(K37="",I37=""),"",MAX(I37,IF(ISNUMBER(J37),J37,0))*K37/D37)</f>
        <v>27.2916666666667</v>
      </c>
      <c r="M37" s="66" t="n">
        <f aca="false">IF(L37="","",INDEX($B$12:$B$26,MATCH(MIN(L37,100),$B$12:$B$26,1)))</f>
        <v>25.01</v>
      </c>
      <c r="N37" s="66" t="s">
        <v>472</v>
      </c>
      <c r="O37" s="76" t="n">
        <f aca="false">IF(L37="","—",INDEX(D$12:D$26,MATCH(MIN(L37,100),$B$12:$B$26,1))*$C$28/$C$8)</f>
        <v>21.1466499139603</v>
      </c>
      <c r="P37" s="76" t="n">
        <f aca="false">IF(L37="","—",INDEX(E$12:E$26,MATCH(MIN(L37,100),$B$12:$B$26,1))*$C$28/$C$8)</f>
        <v>44.6856818988829</v>
      </c>
      <c r="Q37" s="76" t="n">
        <f aca="false">IF(L37="","—",INDEX(F$12:F$26,MATCH(MIN(L37,100),$B$12:$B$26,1))*$C$28/$C$8)</f>
        <v>25.0112671055147</v>
      </c>
      <c r="R37" s="76" t="n">
        <f aca="false">IF(L37="","—",INDEX(G$12:G$26,MATCH(MIN(L37,100),$B$12:$B$26,1))*$C$28/$C$8)</f>
        <v>20.8053590450957</v>
      </c>
      <c r="S37" s="76" t="n">
        <f aca="false">IF(L37="","—",INDEX(H$12:H$26,MATCH(MIN(L37,100),$B$12:$B$26,1))*$C$28/$C$8)</f>
        <v>37.8029827101145</v>
      </c>
      <c r="T37" s="89" t="n">
        <f aca="false">IF(L37="","—",O37/K37)</f>
        <v>0.22027760327042</v>
      </c>
      <c r="U37" s="89" t="n">
        <f aca="false">IF(L37="","—",P37/K37)</f>
        <v>0.465475853113363</v>
      </c>
      <c r="V37" s="89" t="n">
        <f aca="false">IF(L37="","—",Q37/K37)</f>
        <v>0.260534032349112</v>
      </c>
      <c r="W37" s="89" t="n">
        <f aca="false">IF(L37="","—",R37/K37)</f>
        <v>0.216722490053081</v>
      </c>
      <c r="X37" s="89" t="n">
        <f aca="false">IF(L37="","—",S37/K37)</f>
        <v>0.393781069897026</v>
      </c>
    </row>
    <row r="38" customFormat="false" ht="15" hidden="false" customHeight="true" outlineLevel="0" collapsed="false">
      <c r="B38" s="1" t="s">
        <v>27</v>
      </c>
      <c r="C38" s="1" t="s">
        <v>146</v>
      </c>
      <c r="E38" s="85"/>
      <c r="I38" s="85" t="str">
        <f aca="false">IF(OR(D38="",E38=""),"",D38*E38*1.05)</f>
        <v/>
      </c>
      <c r="J38" s="85" t="str">
        <f aca="false">IF(OR($C$7=0,F38="",G38="",H38=""),"",F38*G38*H38/1000/$C$7)</f>
        <v/>
      </c>
      <c r="L38" s="85" t="str">
        <f aca="false">IF(OR(K38="",I38=""),"",MAX(I38,IF(ISNUMBER(J38),J38,0))*K38/D38)</f>
        <v/>
      </c>
      <c r="M38" s="1" t="str">
        <f aca="false">IF(L38="","",INDEX($B$12:$B$26,MATCH(MIN(L38,100),$B$12:$B$26,1)))</f>
        <v/>
      </c>
      <c r="N38" s="1" t="s">
        <v>473</v>
      </c>
      <c r="O38" s="74" t="str">
        <f aca="false">IF(L38="","—",INDEX(D$12:D$26,MATCH(MIN(L38,100),$B$12:$B$26,1))*$C$28/$C$8)</f>
        <v>—</v>
      </c>
      <c r="P38" s="74" t="str">
        <f aca="false">IF(L38="","—",INDEX(E$12:E$26,MATCH(MIN(L38,100),$B$12:$B$26,1))*$C$28/$C$8)</f>
        <v>—</v>
      </c>
      <c r="Q38" s="74" t="str">
        <f aca="false">IF(L38="","—",INDEX(F$12:F$26,MATCH(MIN(L38,100),$B$12:$B$26,1))*$C$28/$C$8)</f>
        <v>—</v>
      </c>
      <c r="R38" s="74" t="str">
        <f aca="false">IF(L38="","—",INDEX(G$12:G$26,MATCH(MIN(L38,100),$B$12:$B$26,1))*$C$28/$C$8)</f>
        <v>—</v>
      </c>
      <c r="S38" s="74" t="str">
        <f aca="false">IF(L38="","—",INDEX(H$12:H$26,MATCH(MIN(L38,100),$B$12:$B$26,1))*$C$28/$C$8)</f>
        <v>—</v>
      </c>
      <c r="T38" s="87" t="str">
        <f aca="false">IF(L38="","—",O38/K38)</f>
        <v>—</v>
      </c>
      <c r="U38" s="87" t="str">
        <f aca="false">IF(L38="","—",P38/K38)</f>
        <v>—</v>
      </c>
      <c r="V38" s="87" t="str">
        <f aca="false">IF(L38="","—",Q38/K38)</f>
        <v>—</v>
      </c>
      <c r="W38" s="87" t="str">
        <f aca="false">IF(L38="","—",R38/K38)</f>
        <v>—</v>
      </c>
      <c r="X38" s="87" t="str">
        <f aca="false">IF(L38="","—",S38/K38)</f>
        <v>—</v>
      </c>
    </row>
    <row r="39" customFormat="false" ht="15" hidden="false" customHeight="true" outlineLevel="0" collapsed="false">
      <c r="B39" s="66" t="s">
        <v>28</v>
      </c>
      <c r="C39" s="66" t="s">
        <v>147</v>
      </c>
      <c r="D39" s="54" t="n">
        <v>1</v>
      </c>
      <c r="E39" s="86" t="n">
        <v>0.826</v>
      </c>
      <c r="F39" s="54" t="n">
        <v>220</v>
      </c>
      <c r="G39" s="54" t="n">
        <v>230</v>
      </c>
      <c r="H39" s="54" t="n">
        <v>220</v>
      </c>
      <c r="I39" s="88" t="n">
        <f aca="false">IF(OR(D39="",E39=""),"",D39*E39*1.05)</f>
        <v>0.8673</v>
      </c>
      <c r="J39" s="88" t="n">
        <f aca="false">IF(OR($C$7=0,F39="",G39="",H39=""),"",F39*G39*H39/1000/$C$7)</f>
        <v>1.85533333333333</v>
      </c>
      <c r="K39" s="54" t="n">
        <v>6</v>
      </c>
      <c r="L39" s="88" t="n">
        <f aca="false">IF(OR(K39="",I39=""),"",MAX(I39,IF(ISNUMBER(J39),J39,0))*K39/D39)</f>
        <v>11.132</v>
      </c>
      <c r="M39" s="66" t="n">
        <f aca="false">IF(L39="","",INDEX($B$12:$B$26,MATCH(MIN(L39,100),$B$12:$B$26,1)))</f>
        <v>10.01</v>
      </c>
      <c r="N39" s="66" t="s">
        <v>472</v>
      </c>
      <c r="O39" s="76" t="n">
        <f aca="false">IF(L39="","—",INDEX(D$12:D$26,MATCH(MIN(L39,100),$B$12:$B$26,1))*$C$28/$C$8)</f>
        <v>15.1941356422933</v>
      </c>
      <c r="P39" s="76" t="n">
        <f aca="false">IF(L39="","—",INDEX(E$12:E$26,MATCH(MIN(L39,100),$B$12:$B$26,1))*$C$28/$C$8)</f>
        <v>25.8544563109448</v>
      </c>
      <c r="Q39" s="76" t="n">
        <f aca="false">IF(L39="","—",INDEX(F$12:F$26,MATCH(MIN(L39,100),$B$12:$B$26,1))*$C$28/$C$8)</f>
        <v>17.482792057032</v>
      </c>
      <c r="R39" s="76" t="n">
        <f aca="false">IF(L39="","—",INDEX(G$12:G$26,MATCH(MIN(L39,100),$B$12:$B$26,1))*$C$28/$C$8)</f>
        <v>13.1564283958373</v>
      </c>
      <c r="S39" s="76" t="n">
        <f aca="false">IF(L39="","—",INDEX(H$12:H$26,MATCH(MIN(L39,100),$B$12:$B$26,1))*$C$28/$C$8)</f>
        <v>21.6552402283467</v>
      </c>
      <c r="T39" s="89" t="n">
        <f aca="false">IF(L39="","—",O39/K39)</f>
        <v>2.53235594038222</v>
      </c>
      <c r="U39" s="89" t="n">
        <f aca="false">IF(L39="","—",P39/K39)</f>
        <v>4.30907605182413</v>
      </c>
      <c r="V39" s="89" t="n">
        <f aca="false">IF(L39="","—",Q39/K39)</f>
        <v>2.91379867617201</v>
      </c>
      <c r="W39" s="89" t="n">
        <f aca="false">IF(L39="","—",R39/K39)</f>
        <v>2.19273806597289</v>
      </c>
      <c r="X39" s="89" t="n">
        <f aca="false">IF(L39="","—",S39/K39)</f>
        <v>3.60920670472445</v>
      </c>
    </row>
    <row r="40" customFormat="false" ht="15" hidden="false" customHeight="true" outlineLevel="0" collapsed="false">
      <c r="B40" s="1" t="s">
        <v>29</v>
      </c>
      <c r="C40" s="1" t="s">
        <v>148</v>
      </c>
      <c r="D40" s="54" t="n">
        <v>1</v>
      </c>
      <c r="E40" s="86" t="n">
        <v>3.27</v>
      </c>
      <c r="F40" s="54" t="n">
        <v>540</v>
      </c>
      <c r="G40" s="54" t="n">
        <v>335</v>
      </c>
      <c r="H40" s="54" t="n">
        <v>25</v>
      </c>
      <c r="I40" s="85" t="n">
        <f aca="false">IF(OR(D40="",E40=""),"",D40*E40*1.05)</f>
        <v>3.4335</v>
      </c>
      <c r="J40" s="85" t="n">
        <f aca="false">IF(OR($C$7=0,F40="",G40="",H40=""),"",F40*G40*H40/1000/$C$7)</f>
        <v>0.75375</v>
      </c>
      <c r="K40" s="54" t="n">
        <v>6</v>
      </c>
      <c r="L40" s="85" t="n">
        <f aca="false">IF(OR(K40="",I40=""),"",MAX(I40,IF(ISNUMBER(J40),J40,0))*K40/D40)</f>
        <v>20.601</v>
      </c>
      <c r="M40" s="1" t="n">
        <f aca="false">IF(L40="","",INDEX($B$12:$B$26,MATCH(MIN(L40,100),$B$12:$B$26,1)))</f>
        <v>20.01</v>
      </c>
      <c r="N40" s="1" t="s">
        <v>474</v>
      </c>
      <c r="O40" s="74" t="n">
        <f aca="false">IF(L40="","—",INDEX(D$12:D$26,MATCH(MIN(L40,100),$B$12:$B$26,1))*$C$28/$C$8)</f>
        <v>19.0319849225643</v>
      </c>
      <c r="P40" s="74" t="n">
        <f aca="false">IF(L40="","—",INDEX(E$12:E$26,MATCH(MIN(L40,100),$B$12:$B$26,1))*$C$28/$C$8)</f>
        <v>38.2948430799487</v>
      </c>
      <c r="Q40" s="74" t="n">
        <f aca="false">IF(L40="","—",INDEX(F$12:F$26,MATCH(MIN(L40,100),$B$12:$B$26,1))*$C$28/$C$8)</f>
        <v>22.9769058479692</v>
      </c>
      <c r="R40" s="74" t="n">
        <f aca="false">IF(L40="","—",INDEX(G$12:G$26,MATCH(MIN(L40,100),$B$12:$B$26,1))*$C$28/$C$8)</f>
        <v>18.1252219278359</v>
      </c>
      <c r="S40" s="74" t="n">
        <f aca="false">IF(L40="","—",INDEX(H$12:H$26,MATCH(MIN(L40,100),$B$12:$B$26,1))*$C$28/$C$8)</f>
        <v>32.2921389746251</v>
      </c>
      <c r="T40" s="87" t="n">
        <f aca="false">IF(L40="","—",O40/K40)</f>
        <v>3.17199748709404</v>
      </c>
      <c r="U40" s="87" t="n">
        <f aca="false">IF(L40="","—",P40/K40)</f>
        <v>6.38247384665811</v>
      </c>
      <c r="V40" s="87" t="n">
        <f aca="false">IF(L40="","—",Q40/K40)</f>
        <v>3.82948430799487</v>
      </c>
      <c r="W40" s="87" t="n">
        <f aca="false">IF(L40="","—",R40/K40)</f>
        <v>3.02087032130598</v>
      </c>
      <c r="X40" s="87" t="n">
        <f aca="false">IF(L40="","—",S40/K40)</f>
        <v>5.38202316243752</v>
      </c>
    </row>
    <row r="41" customFormat="false" ht="15" hidden="false" customHeight="true" outlineLevel="0" collapsed="false">
      <c r="B41" s="66" t="s">
        <v>31</v>
      </c>
      <c r="C41" s="66" t="s">
        <v>149</v>
      </c>
      <c r="D41" s="54" t="n">
        <v>1</v>
      </c>
      <c r="E41" s="86" t="n">
        <v>4.56</v>
      </c>
      <c r="F41" s="54" t="n">
        <v>610</v>
      </c>
      <c r="G41" s="54" t="n">
        <v>410</v>
      </c>
      <c r="H41" s="54" t="n">
        <v>25</v>
      </c>
      <c r="I41" s="88" t="n">
        <f aca="false">IF(OR(D41="",E41=""),"",D41*E41*1.05)</f>
        <v>4.788</v>
      </c>
      <c r="J41" s="88" t="n">
        <f aca="false">IF(OR($C$7=0,F41="",G41="",H41=""),"",F41*G41*H41/1000/$C$7)</f>
        <v>1.04208333333333</v>
      </c>
      <c r="K41" s="54" t="n">
        <v>6</v>
      </c>
      <c r="L41" s="88" t="n">
        <f aca="false">IF(OR(K41="",I41=""),"",MAX(I41,IF(ISNUMBER(J41),J41,0))*K41/D41)</f>
        <v>28.728</v>
      </c>
      <c r="M41" s="66" t="n">
        <f aca="false">IF(L41="","",INDEX($B$12:$B$26,MATCH(MIN(L41,100),$B$12:$B$26,1)))</f>
        <v>25.01</v>
      </c>
      <c r="N41" s="66" t="s">
        <v>474</v>
      </c>
      <c r="O41" s="76" t="n">
        <f aca="false">IF(L41="","—",INDEX(D$12:D$26,MATCH(MIN(L41,100),$B$12:$B$26,1))*$C$28/$C$8)</f>
        <v>21.1466499139603</v>
      </c>
      <c r="P41" s="76" t="n">
        <f aca="false">IF(L41="","—",INDEX(E$12:E$26,MATCH(MIN(L41,100),$B$12:$B$26,1))*$C$28/$C$8)</f>
        <v>44.6856818988829</v>
      </c>
      <c r="Q41" s="76" t="n">
        <f aca="false">IF(L41="","—",INDEX(F$12:F$26,MATCH(MIN(L41,100),$B$12:$B$26,1))*$C$28/$C$8)</f>
        <v>25.0112671055147</v>
      </c>
      <c r="R41" s="76" t="n">
        <f aca="false">IF(L41="","—",INDEX(G$12:G$26,MATCH(MIN(L41,100),$B$12:$B$26,1))*$C$28/$C$8)</f>
        <v>20.8053590450957</v>
      </c>
      <c r="S41" s="76" t="n">
        <f aca="false">IF(L41="","—",INDEX(H$12:H$26,MATCH(MIN(L41,100),$B$12:$B$26,1))*$C$28/$C$8)</f>
        <v>37.8029827101145</v>
      </c>
      <c r="T41" s="89" t="n">
        <f aca="false">IF(L41="","—",O41/K41)</f>
        <v>3.52444165232671</v>
      </c>
      <c r="U41" s="89" t="n">
        <f aca="false">IF(L41="","—",P41/K41)</f>
        <v>7.44761364981381</v>
      </c>
      <c r="V41" s="89" t="n">
        <f aca="false">IF(L41="","—",Q41/K41)</f>
        <v>4.16854451758579</v>
      </c>
      <c r="W41" s="89" t="n">
        <f aca="false">IF(L41="","—",R41/K41)</f>
        <v>3.46755984084929</v>
      </c>
      <c r="X41" s="89" t="n">
        <f aca="false">IF(L41="","—",S41/K41)</f>
        <v>6.30049711835241</v>
      </c>
    </row>
    <row r="42" customFormat="false" ht="15" hidden="false" customHeight="true" outlineLevel="0" collapsed="false">
      <c r="B42" s="1" t="s">
        <v>33</v>
      </c>
      <c r="C42" s="1" t="s">
        <v>150</v>
      </c>
      <c r="D42" s="54" t="n">
        <v>1</v>
      </c>
      <c r="E42" s="86" t="n">
        <v>0.57</v>
      </c>
      <c r="F42" s="54" t="n">
        <v>310</v>
      </c>
      <c r="G42" s="54" t="n">
        <v>210</v>
      </c>
      <c r="H42" s="54" t="n">
        <v>15</v>
      </c>
      <c r="I42" s="85" t="n">
        <f aca="false">IF(OR(D42="",E42=""),"",D42*E42*1.05)</f>
        <v>0.5985</v>
      </c>
      <c r="J42" s="85" t="n">
        <f aca="false">IF(OR($C$7=0,F42="",G42="",H42=""),"",F42*G42*H42/1000/$C$7)</f>
        <v>0.16275</v>
      </c>
      <c r="K42" s="54" t="n">
        <v>6</v>
      </c>
      <c r="L42" s="85" t="n">
        <f aca="false">IF(OR(K42="",I42=""),"",MAX(I42,IF(ISNUMBER(J42),J42,0))*K42/D42)</f>
        <v>3.591</v>
      </c>
      <c r="M42" s="1" t="n">
        <f aca="false">IF(L42="","",INDEX($B$12:$B$26,MATCH(MIN(L42,100),$B$12:$B$26,1)))</f>
        <v>3.01</v>
      </c>
      <c r="N42" s="1" t="s">
        <v>474</v>
      </c>
      <c r="O42" s="74" t="n">
        <f aca="false">IF(L42="","—",INDEX(D$12:D$26,MATCH(MIN(L42,100),$B$12:$B$26,1))*$C$28/$C$8)</f>
        <v>11.9317964546175</v>
      </c>
      <c r="P42" s="74" t="n">
        <f aca="false">IF(L42="","—",INDEX(E$12:E$26,MATCH(MIN(L42,100),$B$12:$B$26,1))*$C$28/$C$8)</f>
        <v>14.4981699489225</v>
      </c>
      <c r="Q42" s="74" t="n">
        <f aca="false">IF(L42="","—",INDEX(F$12:F$26,MATCH(MIN(L42,100),$B$12:$B$26,1))*$C$28/$C$8)</f>
        <v>10.9648056595012</v>
      </c>
      <c r="R42" s="74" t="n">
        <f aca="false">IF(L42="","—",INDEX(G$12:G$26,MATCH(MIN(L42,100),$B$12:$B$26,1))*$C$28/$C$8)</f>
        <v>8.75979896752342</v>
      </c>
      <c r="S42" s="74" t="n">
        <f aca="false">IF(L42="","—",INDEX(H$12:H$26,MATCH(MIN(L42,100),$B$12:$B$26,1))*$C$28/$C$8)</f>
        <v>11.5938515746634</v>
      </c>
      <c r="T42" s="87" t="n">
        <f aca="false">IF(L42="","—",O42/K42)</f>
        <v>1.98863274243624</v>
      </c>
      <c r="U42" s="87" t="n">
        <f aca="false">IF(L42="","—",P42/K42)</f>
        <v>2.41636165815374</v>
      </c>
      <c r="V42" s="87" t="n">
        <f aca="false">IF(L42="","—",Q42/K42)</f>
        <v>1.82746760991687</v>
      </c>
      <c r="W42" s="87" t="n">
        <f aca="false">IF(L42="","—",R42/K42)</f>
        <v>1.45996649458724</v>
      </c>
      <c r="X42" s="87" t="n">
        <f aca="false">IF(L42="","—",S42/K42)</f>
        <v>1.93230859577723</v>
      </c>
    </row>
    <row r="43" customFormat="false" ht="15" hidden="false" customHeight="true" outlineLevel="0" collapsed="false">
      <c r="B43" s="66" t="s">
        <v>34</v>
      </c>
      <c r="C43" s="66" t="s">
        <v>151</v>
      </c>
      <c r="D43" s="54" t="n">
        <v>6</v>
      </c>
      <c r="E43" s="86" t="n">
        <v>1</v>
      </c>
      <c r="F43" s="54" t="n">
        <v>610</v>
      </c>
      <c r="G43" s="54" t="n">
        <v>410</v>
      </c>
      <c r="H43" s="54" t="n">
        <v>590</v>
      </c>
      <c r="I43" s="88" t="n">
        <f aca="false">IF(OR(D43="",E43=""),"",D43*E43*1.05)</f>
        <v>6.3</v>
      </c>
      <c r="J43" s="88" t="n">
        <f aca="false">IF(OR($C$7=0,F43="",G43="",H43=""),"",F43*G43*H43/1000/$C$7)</f>
        <v>24.5931666666667</v>
      </c>
      <c r="K43" s="54" t="n">
        <v>6</v>
      </c>
      <c r="L43" s="88" t="n">
        <f aca="false">IF(OR(K43="",I43=""),"",MAX(I43,IF(ISNUMBER(J43),J43,0))*K43/D43)</f>
        <v>24.5931666666667</v>
      </c>
      <c r="M43" s="66" t="n">
        <f aca="false">IF(L43="","",INDEX($B$12:$B$26,MATCH(MIN(L43,100),$B$12:$B$26,1)))</f>
        <v>20.01</v>
      </c>
      <c r="N43" s="66" t="s">
        <v>472</v>
      </c>
      <c r="O43" s="76" t="n">
        <f aca="false">IF(L43="","—",INDEX(D$12:D$26,MATCH(MIN(L43,100),$B$12:$B$26,1))*$C$28/$C$8)</f>
        <v>19.0319849225643</v>
      </c>
      <c r="P43" s="76" t="n">
        <f aca="false">IF(L43="","—",INDEX(E$12:E$26,MATCH(MIN(L43,100),$B$12:$B$26,1))*$C$28/$C$8)</f>
        <v>38.2948430799487</v>
      </c>
      <c r="Q43" s="76" t="n">
        <f aca="false">IF(L43="","—",INDEX(F$12:F$26,MATCH(MIN(L43,100),$B$12:$B$26,1))*$C$28/$C$8)</f>
        <v>22.9769058479692</v>
      </c>
      <c r="R43" s="76" t="n">
        <f aca="false">IF(L43="","—",INDEX(G$12:G$26,MATCH(MIN(L43,100),$B$12:$B$26,1))*$C$28/$C$8)</f>
        <v>18.1252219278359</v>
      </c>
      <c r="S43" s="76" t="n">
        <f aca="false">IF(L43="","—",INDEX(H$12:H$26,MATCH(MIN(L43,100),$B$12:$B$26,1))*$C$28/$C$8)</f>
        <v>32.2921389746251</v>
      </c>
      <c r="T43" s="89" t="n">
        <f aca="false">IF(L43="","—",O43/K43)</f>
        <v>3.17199748709404</v>
      </c>
      <c r="U43" s="89" t="n">
        <f aca="false">IF(L43="","—",P43/K43)</f>
        <v>6.38247384665811</v>
      </c>
      <c r="V43" s="89" t="n">
        <f aca="false">IF(L43="","—",Q43/K43)</f>
        <v>3.82948430799487</v>
      </c>
      <c r="W43" s="89" t="n">
        <f aca="false">IF(L43="","—",R43/K43)</f>
        <v>3.02087032130598</v>
      </c>
      <c r="X43" s="89" t="n">
        <f aca="false">IF(L43="","—",S43/K43)</f>
        <v>5.38202316243752</v>
      </c>
    </row>
    <row r="44" customFormat="false" ht="15" hidden="false" customHeight="true" outlineLevel="0" collapsed="false">
      <c r="B44" s="1" t="s">
        <v>35</v>
      </c>
      <c r="C44" s="1" t="s">
        <v>152</v>
      </c>
      <c r="D44" s="54" t="n">
        <v>12</v>
      </c>
      <c r="E44" s="86" t="n">
        <v>0.605</v>
      </c>
      <c r="F44" s="54" t="n">
        <v>610</v>
      </c>
      <c r="G44" s="54" t="n">
        <v>410</v>
      </c>
      <c r="H44" s="54" t="n">
        <v>180</v>
      </c>
      <c r="I44" s="85" t="n">
        <f aca="false">IF(OR(D44="",E44=""),"",D44*E44*1.05)</f>
        <v>7.623</v>
      </c>
      <c r="J44" s="85" t="n">
        <f aca="false">IF(OR($C$7=0,F44="",G44="",H44=""),"",F44*G44*H44/1000/$C$7)</f>
        <v>7.503</v>
      </c>
      <c r="K44" s="54" t="n">
        <v>12</v>
      </c>
      <c r="L44" s="85" t="n">
        <f aca="false">IF(OR(K44="",I44=""),"",MAX(I44,IF(ISNUMBER(J44),J44,0))*K44/D44)</f>
        <v>7.623</v>
      </c>
      <c r="M44" s="1" t="n">
        <f aca="false">IF(L44="","",INDEX($B$12:$B$26,MATCH(MIN(L44,100),$B$12:$B$26,1)))</f>
        <v>5.01</v>
      </c>
      <c r="N44" s="1" t="s">
        <v>472</v>
      </c>
      <c r="O44" s="74" t="n">
        <f aca="false">IF(L44="","—",INDEX(D$12:D$26,MATCH(MIN(L44,100),$B$12:$B$26,1))*$C$28/$C$8)</f>
        <v>13.5044112425227</v>
      </c>
      <c r="P44" s="74" t="n">
        <f aca="false">IF(L44="","—",INDEX(E$12:E$26,MATCH(MIN(L44,100),$B$12:$B$26,1))*$C$28/$C$8)</f>
        <v>19.8919040725465</v>
      </c>
      <c r="Q44" s="74" t="n">
        <f aca="false">IF(L44="","—",INDEX(F$12:F$26,MATCH(MIN(L44,100),$B$12:$B$26,1))*$C$28/$C$8)</f>
        <v>14.0096555679987</v>
      </c>
      <c r="R44" s="74" t="n">
        <f aca="false">IF(L44="","—",INDEX(G$12:G$26,MATCH(MIN(L44,100),$B$12:$B$26,1))*$C$28/$C$8)</f>
        <v>10.8978858812925</v>
      </c>
      <c r="S44" s="74" t="n">
        <f aca="false">IF(L44="","—",INDEX(H$12:H$26,MATCH(MIN(L44,100),$B$12:$B$26,1))*$C$28/$C$8)</f>
        <v>16.5659910955724</v>
      </c>
      <c r="T44" s="87" t="n">
        <f aca="false">IF(L44="","—",O44/K44)</f>
        <v>1.12536760354356</v>
      </c>
      <c r="U44" s="87" t="n">
        <f aca="false">IF(L44="","—",P44/K44)</f>
        <v>1.65765867271221</v>
      </c>
      <c r="V44" s="87" t="n">
        <f aca="false">IF(L44="","—",Q44/K44)</f>
        <v>1.16747129733322</v>
      </c>
      <c r="W44" s="87" t="n">
        <f aca="false">IF(L44="","—",R44/K44)</f>
        <v>0.908157156774376</v>
      </c>
      <c r="X44" s="87" t="n">
        <f aca="false">IF(L44="","—",S44/K44)</f>
        <v>1.38049925796436</v>
      </c>
    </row>
    <row r="45" customFormat="false" ht="15" hidden="false" customHeight="true" outlineLevel="0" collapsed="false">
      <c r="B45" s="66" t="s">
        <v>37</v>
      </c>
      <c r="C45" s="66" t="s">
        <v>153</v>
      </c>
      <c r="D45" s="54" t="n">
        <v>6</v>
      </c>
      <c r="E45" s="86" t="n">
        <v>0.85</v>
      </c>
      <c r="F45" s="54" t="n">
        <v>610</v>
      </c>
      <c r="G45" s="54" t="n">
        <v>410</v>
      </c>
      <c r="H45" s="54" t="n">
        <v>445</v>
      </c>
      <c r="I45" s="88" t="n">
        <f aca="false">IF(OR(D45="",E45=""),"",D45*E45*1.05)</f>
        <v>5.355</v>
      </c>
      <c r="J45" s="88" t="n">
        <f aca="false">IF(OR($C$7=0,F45="",G45="",H45=""),"",F45*G45*H45/1000/$C$7)</f>
        <v>18.5490833333333</v>
      </c>
      <c r="K45" s="54" t="n">
        <v>6</v>
      </c>
      <c r="L45" s="88" t="n">
        <f aca="false">IF(OR(K45="",I45=""),"",MAX(I45,IF(ISNUMBER(J45),J45,0))*K45/D45)</f>
        <v>18.5490833333333</v>
      </c>
      <c r="M45" s="66" t="n">
        <f aca="false">IF(L45="","",INDEX($B$12:$B$26,MATCH(MIN(L45,100),$B$12:$B$26,1)))</f>
        <v>15.01</v>
      </c>
      <c r="N45" s="66" t="s">
        <v>475</v>
      </c>
      <c r="O45" s="76" t="n">
        <f aca="false">IF(L45="","—",INDEX(D$12:D$26,MATCH(MIN(L45,100),$B$12:$B$26,1))*$C$28/$C$8)</f>
        <v>16.8905520198847</v>
      </c>
      <c r="P45" s="76" t="n">
        <f aca="false">IF(L45="","—",INDEX(E$12:E$26,MATCH(MIN(L45,100),$B$12:$B$26,1))*$C$28/$C$8)</f>
        <v>31.7567807489552</v>
      </c>
      <c r="Q45" s="76" t="n">
        <f aca="false">IF(L45="","—",INDEX(F$12:F$26,MATCH(MIN(L45,100),$B$12:$B$26,1))*$C$28/$C$8)</f>
        <v>20.9157766791401</v>
      </c>
      <c r="R45" s="76" t="n">
        <f aca="false">IF(L45="","—",INDEX(G$12:G$26,MATCH(MIN(L45,100),$B$12:$B$26,1))*$C$28/$C$8)</f>
        <v>15.4183168992926</v>
      </c>
      <c r="S45" s="76" t="n">
        <f aca="false">IF(L45="","—",INDEX(H$12:H$26,MATCH(MIN(L45,100),$B$12:$B$26,1))*$C$28/$C$8)</f>
        <v>26.7478353500314</v>
      </c>
      <c r="T45" s="89" t="n">
        <f aca="false">IF(L45="","—",O45/K45)</f>
        <v>2.81509200331412</v>
      </c>
      <c r="U45" s="89" t="n">
        <f aca="false">IF(L45="","—",P45/K45)</f>
        <v>5.29279679149254</v>
      </c>
      <c r="V45" s="89" t="n">
        <f aca="false">IF(L45="","—",Q45/K45)</f>
        <v>3.48596277985669</v>
      </c>
      <c r="W45" s="89" t="n">
        <f aca="false">IF(L45="","—",R45/K45)</f>
        <v>2.56971948321543</v>
      </c>
      <c r="X45" s="89" t="n">
        <f aca="false">IF(L45="","—",S45/K45)</f>
        <v>4.45797255833857</v>
      </c>
    </row>
    <row r="46" customFormat="false" ht="15" hidden="false" customHeight="true" outlineLevel="0" collapsed="false">
      <c r="B46" s="1" t="s">
        <v>39</v>
      </c>
      <c r="C46" s="1" t="s">
        <v>154</v>
      </c>
      <c r="D46" s="54" t="n">
        <v>1</v>
      </c>
      <c r="E46" s="86" t="n">
        <v>15</v>
      </c>
      <c r="F46" s="54" t="n">
        <v>485</v>
      </c>
      <c r="G46" s="54" t="n">
        <v>630</v>
      </c>
      <c r="H46" s="54" t="n">
        <v>650</v>
      </c>
      <c r="I46" s="85" t="n">
        <f aca="false">IF(OR(D46="",E46=""),"",D46*E46*1.05)</f>
        <v>15.75</v>
      </c>
      <c r="J46" s="85" t="n">
        <f aca="false">IF(OR($C$7=0,F46="",G46="",H46=""),"",F46*G46*H46/1000/$C$7)</f>
        <v>33.10125</v>
      </c>
      <c r="K46" s="54" t="n">
        <v>1</v>
      </c>
      <c r="L46" s="85" t="n">
        <f aca="false">IF(OR(K46="",I46=""),"",MAX(I46,IF(ISNUMBER(J46),J46,0))*K46/D46)</f>
        <v>33.10125</v>
      </c>
      <c r="M46" s="1" t="n">
        <f aca="false">IF(L46="","",INDEX($B$12:$B$26,MATCH(MIN(L46,100),$B$12:$B$26,1)))</f>
        <v>30.01</v>
      </c>
      <c r="N46" s="1" t="s">
        <v>472</v>
      </c>
      <c r="O46" s="74" t="n">
        <f aca="false">IF(L46="","—",INDEX(D$12:D$26,MATCH(MIN(L46,100),$B$12:$B$26,1))*$C$28/$C$8)</f>
        <v>25.2488323181557</v>
      </c>
      <c r="P46" s="74" t="n">
        <f aca="false">IF(L46="","—",INDEX(E$12:E$26,MATCH(MIN(L46,100),$B$12:$B$26,1))*$C$28/$C$8)</f>
        <v>56.8483515883205</v>
      </c>
      <c r="Q46" s="74" t="n">
        <f aca="false">IF(L46="","—",INDEX(F$12:F$26,MATCH(MIN(L46,100),$B$12:$B$26,1))*$C$28/$C$8)</f>
        <v>32.9479528010707</v>
      </c>
      <c r="R46" s="74" t="n">
        <f aca="false">IF(L46="","—",INDEX(G$12:G$26,MATCH(MIN(L46,100),$B$12:$B$26,1))*$C$28/$C$8)</f>
        <v>26.0451776788397</v>
      </c>
      <c r="S46" s="74" t="n">
        <f aca="false">IF(L46="","—",INDEX(H$12:H$26,MATCH(MIN(L46,100),$B$12:$B$26,1))*$C$28/$C$8)</f>
        <v>48.7109065581383</v>
      </c>
      <c r="T46" s="87" t="n">
        <f aca="false">IF(L46="","—",O46/K46)</f>
        <v>25.2488323181557</v>
      </c>
      <c r="U46" s="87" t="n">
        <f aca="false">IF(L46="","—",P46/K46)</f>
        <v>56.8483515883205</v>
      </c>
      <c r="V46" s="87" t="n">
        <f aca="false">IF(L46="","—",Q46/K46)</f>
        <v>32.9479528010707</v>
      </c>
      <c r="W46" s="87" t="n">
        <f aca="false">IF(L46="","—",R46/K46)</f>
        <v>26.0451776788397</v>
      </c>
      <c r="X46" s="87" t="n">
        <f aca="false">IF(L46="","—",S46/K46)</f>
        <v>48.7109065581383</v>
      </c>
    </row>
    <row r="47" customFormat="false" ht="15" hidden="false" customHeight="true" outlineLevel="0" collapsed="false">
      <c r="B47" s="66" t="s">
        <v>40</v>
      </c>
      <c r="C47" s="66" t="s">
        <v>155</v>
      </c>
      <c r="D47" s="54" t="n">
        <v>20</v>
      </c>
      <c r="E47" s="86" t="n">
        <v>0.59</v>
      </c>
      <c r="F47" s="54" t="n">
        <v>385</v>
      </c>
      <c r="G47" s="54" t="n">
        <v>545</v>
      </c>
      <c r="H47" s="54" t="n">
        <v>155</v>
      </c>
      <c r="I47" s="88" t="n">
        <f aca="false">IF(OR(D47="",E47=""),"",D47*E47*1.05)</f>
        <v>12.39</v>
      </c>
      <c r="J47" s="88" t="n">
        <f aca="false">IF(OR($C$7=0,F47="",G47="",H47=""),"",F47*G47*H47/1000/$C$7)</f>
        <v>5.42047916666667</v>
      </c>
      <c r="K47" s="54" t="n">
        <v>20</v>
      </c>
      <c r="L47" s="88" t="n">
        <f aca="false">IF(OR(K47="",I47=""),"",MAX(I47,IF(ISNUMBER(J47),J47,0))*K47/D47)</f>
        <v>12.39</v>
      </c>
      <c r="M47" s="66" t="n">
        <f aca="false">IF(L47="","",INDEX($B$12:$B$26,MATCH(MIN(L47,100),$B$12:$B$26,1)))</f>
        <v>10.01</v>
      </c>
      <c r="N47" s="66" t="s">
        <v>472</v>
      </c>
      <c r="O47" s="76" t="n">
        <f aca="false">IF(L47="","—",INDEX(D$12:D$26,MATCH(MIN(L47,100),$B$12:$B$26,1))*$C$28/$C$8)</f>
        <v>15.1941356422933</v>
      </c>
      <c r="P47" s="76" t="n">
        <f aca="false">IF(L47="","—",INDEX(E$12:E$26,MATCH(MIN(L47,100),$B$12:$B$26,1))*$C$28/$C$8)</f>
        <v>25.8544563109448</v>
      </c>
      <c r="Q47" s="76" t="n">
        <f aca="false">IF(L47="","—",INDEX(F$12:F$26,MATCH(MIN(L47,100),$B$12:$B$26,1))*$C$28/$C$8)</f>
        <v>17.482792057032</v>
      </c>
      <c r="R47" s="76" t="n">
        <f aca="false">IF(L47="","—",INDEX(G$12:G$26,MATCH(MIN(L47,100),$B$12:$B$26,1))*$C$28/$C$8)</f>
        <v>13.1564283958373</v>
      </c>
      <c r="S47" s="76" t="n">
        <f aca="false">IF(L47="","—",INDEX(H$12:H$26,MATCH(MIN(L47,100),$B$12:$B$26,1))*$C$28/$C$8)</f>
        <v>21.6552402283467</v>
      </c>
      <c r="T47" s="89" t="n">
        <f aca="false">IF(L47="","—",O47/K47)</f>
        <v>0.759706782114665</v>
      </c>
      <c r="U47" s="89" t="n">
        <f aca="false">IF(L47="","—",P47/K47)</f>
        <v>1.29272281554724</v>
      </c>
      <c r="V47" s="89" t="n">
        <f aca="false">IF(L47="","—",Q47/K47)</f>
        <v>0.874139602851602</v>
      </c>
      <c r="W47" s="89" t="n">
        <f aca="false">IF(L47="","—",R47/K47)</f>
        <v>0.657821419791866</v>
      </c>
      <c r="X47" s="89" t="n">
        <f aca="false">IF(L47="","—",S47/K47)</f>
        <v>1.08276201141733</v>
      </c>
    </row>
    <row r="48" customFormat="false" ht="15" hidden="false" customHeight="true" outlineLevel="0" collapsed="false">
      <c r="B48" s="1" t="s">
        <v>41</v>
      </c>
      <c r="C48" s="1" t="s">
        <v>156</v>
      </c>
      <c r="D48" s="54" t="n">
        <v>1</v>
      </c>
      <c r="E48" s="86" t="n">
        <v>1.8</v>
      </c>
      <c r="F48" s="54" t="n">
        <v>550</v>
      </c>
      <c r="G48" s="54" t="n">
        <v>390</v>
      </c>
      <c r="H48" s="54" t="n">
        <v>130</v>
      </c>
      <c r="I48" s="85" t="n">
        <f aca="false">IF(OR(D48="",E48=""),"",D48*E48*1.05)</f>
        <v>1.89</v>
      </c>
      <c r="J48" s="85" t="n">
        <f aca="false">IF(OR($C$7=0,F48="",G48="",H48=""),"",F48*G48*H48/1000/$C$7)</f>
        <v>4.6475</v>
      </c>
      <c r="K48" s="54" t="n">
        <v>6</v>
      </c>
      <c r="L48" s="85" t="n">
        <f aca="false">IF(OR(K48="",I48=""),"",MAX(I48,IF(ISNUMBER(J48),J48,0))*K48/D48)</f>
        <v>27.885</v>
      </c>
      <c r="M48" s="1" t="n">
        <f aca="false">IF(L48="","",INDEX($B$12:$B$26,MATCH(MIN(L48,100),$B$12:$B$26,1)))</f>
        <v>25.01</v>
      </c>
      <c r="N48" s="1" t="s">
        <v>476</v>
      </c>
      <c r="O48" s="74" t="n">
        <f aca="false">IF(L48="","—",INDEX(D$12:D$26,MATCH(MIN(L48,100),$B$12:$B$26,1))*$C$28/$C$8)</f>
        <v>21.1466499139603</v>
      </c>
      <c r="P48" s="74" t="n">
        <f aca="false">IF(L48="","—",INDEX(E$12:E$26,MATCH(MIN(L48,100),$B$12:$B$26,1))*$C$28/$C$8)</f>
        <v>44.6856818988829</v>
      </c>
      <c r="Q48" s="74" t="n">
        <f aca="false">IF(L48="","—",INDEX(F$12:F$26,MATCH(MIN(L48,100),$B$12:$B$26,1))*$C$28/$C$8)</f>
        <v>25.0112671055147</v>
      </c>
      <c r="R48" s="74" t="n">
        <f aca="false">IF(L48="","—",INDEX(G$12:G$26,MATCH(MIN(L48,100),$B$12:$B$26,1))*$C$28/$C$8)</f>
        <v>20.8053590450957</v>
      </c>
      <c r="S48" s="74" t="n">
        <f aca="false">IF(L48="","—",INDEX(H$12:H$26,MATCH(MIN(L48,100),$B$12:$B$26,1))*$C$28/$C$8)</f>
        <v>37.8029827101145</v>
      </c>
      <c r="T48" s="87" t="n">
        <f aca="false">IF(L48="","—",O48/K48)</f>
        <v>3.52444165232671</v>
      </c>
      <c r="U48" s="87" t="n">
        <f aca="false">IF(L48="","—",P48/K48)</f>
        <v>7.44761364981381</v>
      </c>
      <c r="V48" s="87" t="n">
        <f aca="false">IF(L48="","—",Q48/K48)</f>
        <v>4.16854451758579</v>
      </c>
      <c r="W48" s="87" t="n">
        <f aca="false">IF(L48="","—",R48/K48)</f>
        <v>3.46755984084929</v>
      </c>
      <c r="X48" s="87" t="n">
        <f aca="false">IF(L48="","—",S48/K48)</f>
        <v>6.30049711835241</v>
      </c>
    </row>
    <row r="49" customFormat="false" ht="15" hidden="false" customHeight="true" outlineLevel="0" collapsed="false">
      <c r="B49" s="66" t="s">
        <v>43</v>
      </c>
      <c r="C49" s="66" t="s">
        <v>157</v>
      </c>
      <c r="D49" s="54" t="n">
        <v>12</v>
      </c>
      <c r="E49" s="86" t="n">
        <v>0.49</v>
      </c>
      <c r="F49" s="54" t="n">
        <v>535</v>
      </c>
      <c r="G49" s="54" t="n">
        <v>370</v>
      </c>
      <c r="H49" s="54" t="n">
        <v>345</v>
      </c>
      <c r="I49" s="88" t="n">
        <f aca="false">IF(OR(D49="",E49=""),"",D49*E49*1.05)</f>
        <v>6.174</v>
      </c>
      <c r="J49" s="88" t="n">
        <f aca="false">IF(OR($C$7=0,F49="",G49="",H49=""),"",F49*G49*H49/1000/$C$7)</f>
        <v>11.382125</v>
      </c>
      <c r="K49" s="54" t="n">
        <v>12</v>
      </c>
      <c r="L49" s="88" t="n">
        <f aca="false">IF(OR(K49="",I49=""),"",MAX(I49,IF(ISNUMBER(J49),J49,0))*K49/D49)</f>
        <v>11.382125</v>
      </c>
      <c r="M49" s="66" t="n">
        <f aca="false">IF(L49="","",INDEX($B$12:$B$26,MATCH(MIN(L49,100),$B$12:$B$26,1)))</f>
        <v>10.01</v>
      </c>
      <c r="N49" s="66" t="s">
        <v>472</v>
      </c>
      <c r="O49" s="76" t="n">
        <f aca="false">IF(L49="","—",INDEX(D$12:D$26,MATCH(MIN(L49,100),$B$12:$B$26,1))*$C$28/$C$8)</f>
        <v>15.1941356422933</v>
      </c>
      <c r="P49" s="76" t="n">
        <f aca="false">IF(L49="","—",INDEX(E$12:E$26,MATCH(MIN(L49,100),$B$12:$B$26,1))*$C$28/$C$8)</f>
        <v>25.8544563109448</v>
      </c>
      <c r="Q49" s="76" t="n">
        <f aca="false">IF(L49="","—",INDEX(F$12:F$26,MATCH(MIN(L49,100),$B$12:$B$26,1))*$C$28/$C$8)</f>
        <v>17.482792057032</v>
      </c>
      <c r="R49" s="76" t="n">
        <f aca="false">IF(L49="","—",INDEX(G$12:G$26,MATCH(MIN(L49,100),$B$12:$B$26,1))*$C$28/$C$8)</f>
        <v>13.1564283958373</v>
      </c>
      <c r="S49" s="76" t="n">
        <f aca="false">IF(L49="","—",INDEX(H$12:H$26,MATCH(MIN(L49,100),$B$12:$B$26,1))*$C$28/$C$8)</f>
        <v>21.6552402283467</v>
      </c>
      <c r="T49" s="89" t="n">
        <f aca="false">IF(L49="","—",O49/K49)</f>
        <v>1.26617797019111</v>
      </c>
      <c r="U49" s="89" t="n">
        <f aca="false">IF(L49="","—",P49/K49)</f>
        <v>2.15453802591207</v>
      </c>
      <c r="V49" s="89" t="n">
        <f aca="false">IF(L49="","—",Q49/K49)</f>
        <v>1.456899338086</v>
      </c>
      <c r="W49" s="89" t="n">
        <f aca="false">IF(L49="","—",R49/K49)</f>
        <v>1.09636903298644</v>
      </c>
      <c r="X49" s="89" t="n">
        <f aca="false">IF(L49="","—",S49/K49)</f>
        <v>1.80460335236222</v>
      </c>
    </row>
    <row r="50" customFormat="false" ht="15" hidden="false" customHeight="true" outlineLevel="0" collapsed="false">
      <c r="B50" s="1" t="s">
        <v>45</v>
      </c>
      <c r="C50" s="1" t="s">
        <v>158</v>
      </c>
      <c r="D50" s="54" t="n">
        <v>24</v>
      </c>
      <c r="E50" s="86" t="n">
        <v>0.285</v>
      </c>
      <c r="F50" s="54" t="n">
        <v>660</v>
      </c>
      <c r="G50" s="54" t="n">
        <v>360</v>
      </c>
      <c r="H50" s="54" t="n">
        <v>260</v>
      </c>
      <c r="I50" s="85" t="n">
        <f aca="false">IF(OR(D50="",E50=""),"",D50*E50*1.05)</f>
        <v>7.182</v>
      </c>
      <c r="J50" s="85" t="n">
        <f aca="false">IF(OR($C$7=0,F50="",G50="",H50=""),"",F50*G50*H50/1000/$C$7)</f>
        <v>10.296</v>
      </c>
      <c r="K50" s="54" t="n">
        <v>24</v>
      </c>
      <c r="L50" s="85" t="n">
        <f aca="false">IF(OR(K50="",I50=""),"",MAX(I50,IF(ISNUMBER(J50),J50,0))*K50/D50)</f>
        <v>10.296</v>
      </c>
      <c r="M50" s="1" t="n">
        <f aca="false">IF(L50="","",INDEX($B$12:$B$26,MATCH(MIN(L50,100),$B$12:$B$26,1)))</f>
        <v>10.01</v>
      </c>
      <c r="N50" s="1" t="s">
        <v>472</v>
      </c>
      <c r="O50" s="74" t="n">
        <f aca="false">IF(L50="","—",INDEX(D$12:D$26,MATCH(MIN(L50,100),$B$12:$B$26,1))*$C$28/$C$8)</f>
        <v>15.1941356422933</v>
      </c>
      <c r="P50" s="74" t="n">
        <f aca="false">IF(L50="","—",INDEX(E$12:E$26,MATCH(MIN(L50,100),$B$12:$B$26,1))*$C$28/$C$8)</f>
        <v>25.8544563109448</v>
      </c>
      <c r="Q50" s="74" t="n">
        <f aca="false">IF(L50="","—",INDEX(F$12:F$26,MATCH(MIN(L50,100),$B$12:$B$26,1))*$C$28/$C$8)</f>
        <v>17.482792057032</v>
      </c>
      <c r="R50" s="74" t="n">
        <f aca="false">IF(L50="","—",INDEX(G$12:G$26,MATCH(MIN(L50,100),$B$12:$B$26,1))*$C$28/$C$8)</f>
        <v>13.1564283958373</v>
      </c>
      <c r="S50" s="74" t="n">
        <f aca="false">IF(L50="","—",INDEX(H$12:H$26,MATCH(MIN(L50,100),$B$12:$B$26,1))*$C$28/$C$8)</f>
        <v>21.6552402283467</v>
      </c>
      <c r="T50" s="87" t="n">
        <f aca="false">IF(L50="","—",O50/K50)</f>
        <v>0.633088985095554</v>
      </c>
      <c r="U50" s="87" t="n">
        <f aca="false">IF(L50="","—",P50/K50)</f>
        <v>1.07726901295603</v>
      </c>
      <c r="V50" s="87" t="n">
        <f aca="false">IF(L50="","—",Q50/K50)</f>
        <v>0.728449669043002</v>
      </c>
      <c r="W50" s="87" t="n">
        <f aca="false">IF(L50="","—",R50/K50)</f>
        <v>0.548184516493222</v>
      </c>
      <c r="X50" s="87" t="n">
        <f aca="false">IF(L50="","—",S50/K50)</f>
        <v>0.902301676181112</v>
      </c>
    </row>
    <row r="51" customFormat="false" ht="15" hidden="false" customHeight="true" outlineLevel="0" collapsed="false">
      <c r="B51" s="66" t="s">
        <v>46</v>
      </c>
      <c r="C51" s="66" t="s">
        <v>159</v>
      </c>
      <c r="D51" s="54" t="n">
        <v>12</v>
      </c>
      <c r="E51" s="86" t="n">
        <v>0.415</v>
      </c>
      <c r="F51" s="54" t="n">
        <v>550</v>
      </c>
      <c r="G51" s="54" t="n">
        <v>350</v>
      </c>
      <c r="H51" s="54" t="n">
        <v>380</v>
      </c>
      <c r="I51" s="88" t="n">
        <f aca="false">IF(OR(D51="",E51=""),"",D51*E51*1.05)</f>
        <v>5.229</v>
      </c>
      <c r="J51" s="88" t="n">
        <f aca="false">IF(OR($C$7=0,F51="",G51="",H51=""),"",F51*G51*H51/1000/$C$7)</f>
        <v>12.1916666666667</v>
      </c>
      <c r="K51" s="54" t="n">
        <v>12</v>
      </c>
      <c r="L51" s="88" t="n">
        <f aca="false">IF(OR(K51="",I51=""),"",MAX(I51,IF(ISNUMBER(J51),J51,0))*K51/D51)</f>
        <v>12.1916666666667</v>
      </c>
      <c r="M51" s="66" t="n">
        <f aca="false">IF(L51="","",INDEX($B$12:$B$26,MATCH(MIN(L51,100),$B$12:$B$26,1)))</f>
        <v>10.01</v>
      </c>
      <c r="N51" s="66" t="s">
        <v>472</v>
      </c>
      <c r="O51" s="76" t="n">
        <f aca="false">IF(L51="","—",INDEX(D$12:D$26,MATCH(MIN(L51,100),$B$12:$B$26,1))*$C$28/$C$8)</f>
        <v>15.1941356422933</v>
      </c>
      <c r="P51" s="76" t="n">
        <f aca="false">IF(L51="","—",INDEX(E$12:E$26,MATCH(MIN(L51,100),$B$12:$B$26,1))*$C$28/$C$8)</f>
        <v>25.8544563109448</v>
      </c>
      <c r="Q51" s="76" t="n">
        <f aca="false">IF(L51="","—",INDEX(F$12:F$26,MATCH(MIN(L51,100),$B$12:$B$26,1))*$C$28/$C$8)</f>
        <v>17.482792057032</v>
      </c>
      <c r="R51" s="76" t="n">
        <f aca="false">IF(L51="","—",INDEX(G$12:G$26,MATCH(MIN(L51,100),$B$12:$B$26,1))*$C$28/$C$8)</f>
        <v>13.1564283958373</v>
      </c>
      <c r="S51" s="76" t="n">
        <f aca="false">IF(L51="","—",INDEX(H$12:H$26,MATCH(MIN(L51,100),$B$12:$B$26,1))*$C$28/$C$8)</f>
        <v>21.6552402283467</v>
      </c>
      <c r="T51" s="89" t="n">
        <f aca="false">IF(L51="","—",O51/K51)</f>
        <v>1.26617797019111</v>
      </c>
      <c r="U51" s="89" t="n">
        <f aca="false">IF(L51="","—",P51/K51)</f>
        <v>2.15453802591207</v>
      </c>
      <c r="V51" s="89" t="n">
        <f aca="false">IF(L51="","—",Q51/K51)</f>
        <v>1.456899338086</v>
      </c>
      <c r="W51" s="89" t="n">
        <f aca="false">IF(L51="","—",R51/K51)</f>
        <v>1.09636903298644</v>
      </c>
      <c r="X51" s="89" t="n">
        <f aca="false">IF(L51="","—",S51/K51)</f>
        <v>1.80460335236222</v>
      </c>
    </row>
    <row r="52" customFormat="false" ht="15" hidden="false" customHeight="true" outlineLevel="0" collapsed="false">
      <c r="B52" s="1" t="s">
        <v>47</v>
      </c>
      <c r="C52" s="1" t="s">
        <v>160</v>
      </c>
      <c r="D52" s="54" t="n">
        <v>12</v>
      </c>
      <c r="E52" s="86" t="n">
        <v>0.46</v>
      </c>
      <c r="F52" s="54" t="n">
        <v>555</v>
      </c>
      <c r="G52" s="54" t="n">
        <v>330</v>
      </c>
      <c r="H52" s="54" t="n">
        <v>185</v>
      </c>
      <c r="I52" s="85" t="n">
        <f aca="false">IF(OR(D52="",E52=""),"",D52*E52*1.05)</f>
        <v>5.796</v>
      </c>
      <c r="J52" s="85" t="n">
        <f aca="false">IF(OR($C$7=0,F52="",G52="",H52=""),"",F52*G52*H52/1000/$C$7)</f>
        <v>5.647125</v>
      </c>
      <c r="K52" s="54" t="n">
        <v>12</v>
      </c>
      <c r="L52" s="85" t="n">
        <f aca="false">IF(OR(K52="",I52=""),"",MAX(I52,IF(ISNUMBER(J52),J52,0))*K52/D52)</f>
        <v>5.796</v>
      </c>
      <c r="M52" s="1" t="n">
        <f aca="false">IF(L52="","",INDEX($B$12:$B$26,MATCH(MIN(L52,100),$B$12:$B$26,1)))</f>
        <v>5.01</v>
      </c>
      <c r="N52" s="1" t="s">
        <v>472</v>
      </c>
      <c r="O52" s="74" t="n">
        <f aca="false">IF(L52="","—",INDEX(D$12:D$26,MATCH(MIN(L52,100),$B$12:$B$26,1))*$C$28/$C$8)</f>
        <v>13.5044112425227</v>
      </c>
      <c r="P52" s="74" t="n">
        <f aca="false">IF(L52="","—",INDEX(E$12:E$26,MATCH(MIN(L52,100),$B$12:$B$26,1))*$C$28/$C$8)</f>
        <v>19.8919040725465</v>
      </c>
      <c r="Q52" s="74" t="n">
        <f aca="false">IF(L52="","—",INDEX(F$12:F$26,MATCH(MIN(L52,100),$B$12:$B$26,1))*$C$28/$C$8)</f>
        <v>14.0096555679987</v>
      </c>
      <c r="R52" s="74" t="n">
        <f aca="false">IF(L52="","—",INDEX(G$12:G$26,MATCH(MIN(L52,100),$B$12:$B$26,1))*$C$28/$C$8)</f>
        <v>10.8978858812925</v>
      </c>
      <c r="S52" s="74" t="n">
        <f aca="false">IF(L52="","—",INDEX(H$12:H$26,MATCH(MIN(L52,100),$B$12:$B$26,1))*$C$28/$C$8)</f>
        <v>16.5659910955724</v>
      </c>
      <c r="T52" s="87" t="n">
        <f aca="false">IF(L52="","—",O52/K52)</f>
        <v>1.12536760354356</v>
      </c>
      <c r="U52" s="87" t="n">
        <f aca="false">IF(L52="","—",P52/K52)</f>
        <v>1.65765867271221</v>
      </c>
      <c r="V52" s="87" t="n">
        <f aca="false">IF(L52="","—",Q52/K52)</f>
        <v>1.16747129733322</v>
      </c>
      <c r="W52" s="87" t="n">
        <f aca="false">IF(L52="","—",R52/K52)</f>
        <v>0.908157156774376</v>
      </c>
      <c r="X52" s="87" t="n">
        <f aca="false">IF(L52="","—",S52/K52)</f>
        <v>1.38049925796436</v>
      </c>
    </row>
    <row r="53" customFormat="false" ht="15" hidden="false" customHeight="true" outlineLevel="0" collapsed="false">
      <c r="B53" s="66" t="s">
        <v>49</v>
      </c>
      <c r="C53" s="66" t="s">
        <v>161</v>
      </c>
      <c r="D53" s="54" t="n">
        <v>12</v>
      </c>
      <c r="E53" s="86" t="n">
        <v>0.115</v>
      </c>
      <c r="F53" s="54" t="n">
        <v>340</v>
      </c>
      <c r="G53" s="54" t="n">
        <v>190</v>
      </c>
      <c r="H53" s="54" t="n">
        <v>280</v>
      </c>
      <c r="I53" s="88" t="n">
        <f aca="false">IF(OR(D53="",E53=""),"",D53*E53*1.05)</f>
        <v>1.449</v>
      </c>
      <c r="J53" s="88" t="n">
        <f aca="false">IF(OR($C$7=0,F53="",G53="",H53=""),"",F53*G53*H53/1000/$C$7)</f>
        <v>3.01466666666667</v>
      </c>
      <c r="K53" s="54" t="n">
        <v>12</v>
      </c>
      <c r="L53" s="88" t="n">
        <f aca="false">IF(OR(K53="",I53=""),"",MAX(I53,IF(ISNUMBER(J53),J53,0))*K53/D53)</f>
        <v>3.01466666666667</v>
      </c>
      <c r="M53" s="66" t="n">
        <f aca="false">IF(L53="","",INDEX($B$12:$B$26,MATCH(MIN(L53,100),$B$12:$B$26,1)))</f>
        <v>3.01</v>
      </c>
      <c r="N53" s="66" t="s">
        <v>472</v>
      </c>
      <c r="O53" s="76" t="n">
        <f aca="false">IF(L53="","—",INDEX(D$12:D$26,MATCH(MIN(L53,100),$B$12:$B$26,1))*$C$28/$C$8)</f>
        <v>11.9317964546175</v>
      </c>
      <c r="P53" s="76" t="n">
        <f aca="false">IF(L53="","—",INDEX(E$12:E$26,MATCH(MIN(L53,100),$B$12:$B$26,1))*$C$28/$C$8)</f>
        <v>14.4981699489225</v>
      </c>
      <c r="Q53" s="76" t="n">
        <f aca="false">IF(L53="","—",INDEX(F$12:F$26,MATCH(MIN(L53,100),$B$12:$B$26,1))*$C$28/$C$8)</f>
        <v>10.9648056595012</v>
      </c>
      <c r="R53" s="76" t="n">
        <f aca="false">IF(L53="","—",INDEX(G$12:G$26,MATCH(MIN(L53,100),$B$12:$B$26,1))*$C$28/$C$8)</f>
        <v>8.75979896752342</v>
      </c>
      <c r="S53" s="76" t="n">
        <f aca="false">IF(L53="","—",INDEX(H$12:H$26,MATCH(MIN(L53,100),$B$12:$B$26,1))*$C$28/$C$8)</f>
        <v>11.5938515746634</v>
      </c>
      <c r="T53" s="89" t="n">
        <f aca="false">IF(L53="","—",O53/K53)</f>
        <v>0.994316371218122</v>
      </c>
      <c r="U53" s="89" t="n">
        <f aca="false">IF(L53="","—",P53/K53)</f>
        <v>1.20818082907687</v>
      </c>
      <c r="V53" s="89" t="n">
        <f aca="false">IF(L53="","—",Q53/K53)</f>
        <v>0.913733804958437</v>
      </c>
      <c r="W53" s="89" t="n">
        <f aca="false">IF(L53="","—",R53/K53)</f>
        <v>0.729983247293618</v>
      </c>
      <c r="X53" s="89" t="n">
        <f aca="false">IF(L53="","—",S53/K53)</f>
        <v>0.966154297888613</v>
      </c>
    </row>
    <row r="54" customFormat="false" ht="15" hidden="false" customHeight="true" outlineLevel="0" collapsed="false">
      <c r="B54" s="1" t="s">
        <v>51</v>
      </c>
      <c r="C54" s="1" t="s">
        <v>162</v>
      </c>
      <c r="D54" s="54" t="n">
        <v>24</v>
      </c>
      <c r="E54" s="86" t="n">
        <v>0.085</v>
      </c>
      <c r="F54" s="54" t="n">
        <v>355</v>
      </c>
      <c r="G54" s="54" t="n">
        <v>225</v>
      </c>
      <c r="H54" s="54" t="n">
        <v>265</v>
      </c>
      <c r="I54" s="85" t="n">
        <f aca="false">IF(OR(D54="",E54=""),"",D54*E54*1.05)</f>
        <v>2.142</v>
      </c>
      <c r="J54" s="85" t="n">
        <f aca="false">IF(OR($C$7=0,F54="",G54="",H54=""),"",F54*G54*H54/1000/$C$7)</f>
        <v>3.5278125</v>
      </c>
      <c r="K54" s="54" t="n">
        <v>24</v>
      </c>
      <c r="L54" s="85" t="n">
        <f aca="false">IF(OR(K54="",I54=""),"",MAX(I54,IF(ISNUMBER(J54),J54,0))*K54/D54)</f>
        <v>3.5278125</v>
      </c>
      <c r="M54" s="1" t="n">
        <f aca="false">IF(L54="","",INDEX($B$12:$B$26,MATCH(MIN(L54,100),$B$12:$B$26,1)))</f>
        <v>3.01</v>
      </c>
      <c r="N54" s="1" t="s">
        <v>472</v>
      </c>
      <c r="O54" s="74" t="n">
        <f aca="false">IF(L54="","—",INDEX(D$12:D$26,MATCH(MIN(L54,100),$B$12:$B$26,1))*$C$28/$C$8)</f>
        <v>11.9317964546175</v>
      </c>
      <c r="P54" s="74" t="n">
        <f aca="false">IF(L54="","—",INDEX(E$12:E$26,MATCH(MIN(L54,100),$B$12:$B$26,1))*$C$28/$C$8)</f>
        <v>14.4981699489225</v>
      </c>
      <c r="Q54" s="74" t="n">
        <f aca="false">IF(L54="","—",INDEX(F$12:F$26,MATCH(MIN(L54,100),$B$12:$B$26,1))*$C$28/$C$8)</f>
        <v>10.9648056595012</v>
      </c>
      <c r="R54" s="74" t="n">
        <f aca="false">IF(L54="","—",INDEX(G$12:G$26,MATCH(MIN(L54,100),$B$12:$B$26,1))*$C$28/$C$8)</f>
        <v>8.75979896752342</v>
      </c>
      <c r="S54" s="74" t="n">
        <f aca="false">IF(L54="","—",INDEX(H$12:H$26,MATCH(MIN(L54,100),$B$12:$B$26,1))*$C$28/$C$8)</f>
        <v>11.5938515746634</v>
      </c>
      <c r="T54" s="87" t="n">
        <f aca="false">IF(L54="","—",O54/K54)</f>
        <v>0.497158185609061</v>
      </c>
      <c r="U54" s="87" t="n">
        <f aca="false">IF(L54="","—",P54/K54)</f>
        <v>0.604090414538436</v>
      </c>
      <c r="V54" s="87" t="n">
        <f aca="false">IF(L54="","—",Q54/K54)</f>
        <v>0.456866902479218</v>
      </c>
      <c r="W54" s="87" t="n">
        <f aca="false">IF(L54="","—",R54/K54)</f>
        <v>0.364991623646809</v>
      </c>
      <c r="X54" s="87" t="n">
        <f aca="false">IF(L54="","—",S54/K54)</f>
        <v>0.483077148944306</v>
      </c>
    </row>
    <row r="55" customFormat="false" ht="15" hidden="false" customHeight="true" outlineLevel="0" collapsed="false">
      <c r="B55" s="66" t="s">
        <v>52</v>
      </c>
      <c r="C55" s="66" t="s">
        <v>163</v>
      </c>
      <c r="D55" s="54" t="n">
        <v>48</v>
      </c>
      <c r="E55" s="86" t="n">
        <v>0.032</v>
      </c>
      <c r="F55" s="54" t="n">
        <v>190</v>
      </c>
      <c r="G55" s="54" t="n">
        <v>340</v>
      </c>
      <c r="H55" s="54" t="n">
        <v>435</v>
      </c>
      <c r="I55" s="88" t="n">
        <f aca="false">IF(OR(D55="",E55=""),"",D55*E55*1.05)</f>
        <v>1.6128</v>
      </c>
      <c r="J55" s="88" t="n">
        <f aca="false">IF(OR($C$7=0,F55="",G55="",H55=""),"",F55*G55*H55/1000/$C$7)</f>
        <v>4.6835</v>
      </c>
      <c r="K55" s="54" t="n">
        <v>48</v>
      </c>
      <c r="L55" s="88" t="n">
        <f aca="false">IF(OR(K55="",I55=""),"",MAX(I55,IF(ISNUMBER(J55),J55,0))*K55/D55)</f>
        <v>4.6835</v>
      </c>
      <c r="M55" s="66" t="n">
        <f aca="false">IF(L55="","",INDEX($B$12:$B$26,MATCH(MIN(L55,100),$B$12:$B$26,1)))</f>
        <v>3.01</v>
      </c>
      <c r="N55" s="66" t="s">
        <v>472</v>
      </c>
      <c r="O55" s="76" t="n">
        <f aca="false">IF(L55="","—",INDEX(D$12:D$26,MATCH(MIN(L55,100),$B$12:$B$26,1))*$C$28/$C$8)</f>
        <v>11.9317964546175</v>
      </c>
      <c r="P55" s="76" t="n">
        <f aca="false">IF(L55="","—",INDEX(E$12:E$26,MATCH(MIN(L55,100),$B$12:$B$26,1))*$C$28/$C$8)</f>
        <v>14.4981699489225</v>
      </c>
      <c r="Q55" s="76" t="n">
        <f aca="false">IF(L55="","—",INDEX(F$12:F$26,MATCH(MIN(L55,100),$B$12:$B$26,1))*$C$28/$C$8)</f>
        <v>10.9648056595012</v>
      </c>
      <c r="R55" s="76" t="n">
        <f aca="false">IF(L55="","—",INDEX(G$12:G$26,MATCH(MIN(L55,100),$B$12:$B$26,1))*$C$28/$C$8)</f>
        <v>8.75979896752342</v>
      </c>
      <c r="S55" s="76" t="n">
        <f aca="false">IF(L55="","—",INDEX(H$12:H$26,MATCH(MIN(L55,100),$B$12:$B$26,1))*$C$28/$C$8)</f>
        <v>11.5938515746634</v>
      </c>
      <c r="T55" s="89" t="n">
        <f aca="false">IF(L55="","—",O55/K55)</f>
        <v>0.248579092804531</v>
      </c>
      <c r="U55" s="89" t="n">
        <f aca="false">IF(L55="","—",P55/K55)</f>
        <v>0.302045207269218</v>
      </c>
      <c r="V55" s="89" t="n">
        <f aca="false">IF(L55="","—",Q55/K55)</f>
        <v>0.228433451239609</v>
      </c>
      <c r="W55" s="89" t="n">
        <f aca="false">IF(L55="","—",R55/K55)</f>
        <v>0.182495811823405</v>
      </c>
      <c r="X55" s="89" t="n">
        <f aca="false">IF(L55="","—",S55/K55)</f>
        <v>0.241538574472153</v>
      </c>
    </row>
    <row r="56" customFormat="false" ht="15" hidden="false" customHeight="true" outlineLevel="0" collapsed="false">
      <c r="B56" s="1" t="s">
        <v>53</v>
      </c>
      <c r="C56" s="1" t="s">
        <v>164</v>
      </c>
      <c r="D56" s="54" t="n">
        <v>48</v>
      </c>
      <c r="E56" s="86" t="n">
        <v>0.059</v>
      </c>
      <c r="F56" s="54" t="n">
        <v>605</v>
      </c>
      <c r="G56" s="54" t="n">
        <v>440</v>
      </c>
      <c r="H56" s="54" t="n">
        <v>240</v>
      </c>
      <c r="I56" s="85" t="n">
        <f aca="false">IF(OR(D56="",E56=""),"",D56*E56*1.05)</f>
        <v>2.9736</v>
      </c>
      <c r="J56" s="85" t="n">
        <f aca="false">IF(OR($C$7=0,F56="",G56="",H56=""),"",F56*G56*H56/1000/$C$7)</f>
        <v>10.648</v>
      </c>
      <c r="K56" s="54" t="n">
        <v>48</v>
      </c>
      <c r="L56" s="85" t="n">
        <f aca="false">IF(OR(K56="",I56=""),"",MAX(I56,IF(ISNUMBER(J56),J56,0))*K56/D56)</f>
        <v>10.648</v>
      </c>
      <c r="M56" s="1" t="n">
        <f aca="false">IF(L56="","",INDEX($B$12:$B$26,MATCH(MIN(L56,100),$B$12:$B$26,1)))</f>
        <v>10.01</v>
      </c>
      <c r="N56" s="1" t="s">
        <v>472</v>
      </c>
      <c r="O56" s="74" t="n">
        <f aca="false">IF(L56="","—",INDEX(D$12:D$26,MATCH(MIN(L56,100),$B$12:$B$26,1))*$C$28/$C$8)</f>
        <v>15.1941356422933</v>
      </c>
      <c r="P56" s="74" t="n">
        <f aca="false">IF(L56="","—",INDEX(E$12:E$26,MATCH(MIN(L56,100),$B$12:$B$26,1))*$C$28/$C$8)</f>
        <v>25.8544563109448</v>
      </c>
      <c r="Q56" s="74" t="n">
        <f aca="false">IF(L56="","—",INDEX(F$12:F$26,MATCH(MIN(L56,100),$B$12:$B$26,1))*$C$28/$C$8)</f>
        <v>17.482792057032</v>
      </c>
      <c r="R56" s="74" t="n">
        <f aca="false">IF(L56="","—",INDEX(G$12:G$26,MATCH(MIN(L56,100),$B$12:$B$26,1))*$C$28/$C$8)</f>
        <v>13.1564283958373</v>
      </c>
      <c r="S56" s="74" t="n">
        <f aca="false">IF(L56="","—",INDEX(H$12:H$26,MATCH(MIN(L56,100),$B$12:$B$26,1))*$C$28/$C$8)</f>
        <v>21.6552402283467</v>
      </c>
      <c r="T56" s="87" t="n">
        <f aca="false">IF(L56="","—",O56/K56)</f>
        <v>0.316544492547777</v>
      </c>
      <c r="U56" s="87" t="n">
        <f aca="false">IF(L56="","—",P56/K56)</f>
        <v>0.538634506478017</v>
      </c>
      <c r="V56" s="87" t="n">
        <f aca="false">IF(L56="","—",Q56/K56)</f>
        <v>0.364224834521501</v>
      </c>
      <c r="W56" s="87" t="n">
        <f aca="false">IF(L56="","—",R56/K56)</f>
        <v>0.274092258246611</v>
      </c>
      <c r="X56" s="87" t="n">
        <f aca="false">IF(L56="","—",S56/K56)</f>
        <v>0.451150838090556</v>
      </c>
    </row>
    <row r="57" customFormat="false" ht="15" hidden="false" customHeight="true" outlineLevel="0" collapsed="false">
      <c r="B57" s="66" t="s">
        <v>55</v>
      </c>
      <c r="C57" s="66" t="s">
        <v>165</v>
      </c>
      <c r="D57" s="54" t="n">
        <v>1</v>
      </c>
      <c r="E57" s="86" t="n">
        <v>2.28</v>
      </c>
      <c r="F57" s="54" t="n">
        <v>410</v>
      </c>
      <c r="G57" s="54" t="n">
        <v>310</v>
      </c>
      <c r="H57" s="54" t="n">
        <v>25</v>
      </c>
      <c r="I57" s="88" t="n">
        <f aca="false">IF(OR(D57="",E57=""),"",D57*E57*1.05)</f>
        <v>2.394</v>
      </c>
      <c r="J57" s="88" t="n">
        <f aca="false">IF(OR($C$7=0,F57="",G57="",H57=""),"",F57*G57*H57/1000/$C$7)</f>
        <v>0.529583333333333</v>
      </c>
      <c r="K57" s="54" t="n">
        <v>6</v>
      </c>
      <c r="L57" s="88" t="n">
        <f aca="false">IF(OR(K57="",I57=""),"",MAX(I57,IF(ISNUMBER(J57),J57,0))*K57/D57)</f>
        <v>14.364</v>
      </c>
      <c r="M57" s="66" t="n">
        <f aca="false">IF(L57="","",INDEX($B$12:$B$26,MATCH(MIN(L57,100),$B$12:$B$26,1)))</f>
        <v>10.01</v>
      </c>
      <c r="N57" s="66" t="s">
        <v>474</v>
      </c>
      <c r="O57" s="76" t="n">
        <f aca="false">IF(L57="","—",INDEX(D$12:D$26,MATCH(MIN(L57,100),$B$12:$B$26,1))*$C$28/$C$8)</f>
        <v>15.1941356422933</v>
      </c>
      <c r="P57" s="76" t="n">
        <f aca="false">IF(L57="","—",INDEX(E$12:E$26,MATCH(MIN(L57,100),$B$12:$B$26,1))*$C$28/$C$8)</f>
        <v>25.8544563109448</v>
      </c>
      <c r="Q57" s="76" t="n">
        <f aca="false">IF(L57="","—",INDEX(F$12:F$26,MATCH(MIN(L57,100),$B$12:$B$26,1))*$C$28/$C$8)</f>
        <v>17.482792057032</v>
      </c>
      <c r="R57" s="76" t="n">
        <f aca="false">IF(L57="","—",INDEX(G$12:G$26,MATCH(MIN(L57,100),$B$12:$B$26,1))*$C$28/$C$8)</f>
        <v>13.1564283958373</v>
      </c>
      <c r="S57" s="76" t="n">
        <f aca="false">IF(L57="","—",INDEX(H$12:H$26,MATCH(MIN(L57,100),$B$12:$B$26,1))*$C$28/$C$8)</f>
        <v>21.6552402283467</v>
      </c>
      <c r="T57" s="89" t="n">
        <f aca="false">IF(L57="","—",O57/K57)</f>
        <v>2.53235594038222</v>
      </c>
      <c r="U57" s="89" t="n">
        <f aca="false">IF(L57="","—",P57/K57)</f>
        <v>4.30907605182413</v>
      </c>
      <c r="V57" s="89" t="n">
        <f aca="false">IF(L57="","—",Q57/K57)</f>
        <v>2.91379867617201</v>
      </c>
      <c r="W57" s="89" t="n">
        <f aca="false">IF(L57="","—",R57/K57)</f>
        <v>2.19273806597289</v>
      </c>
      <c r="X57" s="89" t="n">
        <f aca="false">IF(L57="","—",S57/K57)</f>
        <v>3.60920670472445</v>
      </c>
    </row>
    <row r="58" customFormat="false" ht="15" hidden="false" customHeight="true" outlineLevel="0" collapsed="false">
      <c r="B58" s="1" t="s">
        <v>57</v>
      </c>
      <c r="C58" s="1" t="s">
        <v>166</v>
      </c>
      <c r="D58" s="54" t="n">
        <v>6</v>
      </c>
      <c r="E58" s="86" t="n">
        <v>0.85</v>
      </c>
      <c r="F58" s="54" t="n">
        <v>610</v>
      </c>
      <c r="G58" s="54" t="n">
        <v>410</v>
      </c>
      <c r="H58" s="54" t="n">
        <v>445</v>
      </c>
      <c r="I58" s="85" t="n">
        <f aca="false">IF(OR(D58="",E58=""),"",D58*E58*1.05)</f>
        <v>5.355</v>
      </c>
      <c r="J58" s="85" t="n">
        <f aca="false">IF(OR($C$7=0,F58="",G58="",H58=""),"",F58*G58*H58/1000/$C$7)</f>
        <v>18.5490833333333</v>
      </c>
      <c r="K58" s="54" t="n">
        <v>6</v>
      </c>
      <c r="L58" s="85" t="n">
        <f aca="false">IF(OR(K58="",I58=""),"",MAX(I58,IF(ISNUMBER(J58),J58,0))*K58/D58)</f>
        <v>18.5490833333333</v>
      </c>
      <c r="M58" s="1" t="n">
        <f aca="false">IF(L58="","",INDEX($B$12:$B$26,MATCH(MIN(L58,100),$B$12:$B$26,1)))</f>
        <v>15.01</v>
      </c>
      <c r="N58" s="1" t="s">
        <v>472</v>
      </c>
      <c r="O58" s="74" t="n">
        <f aca="false">IF(L58="","—",INDEX(D$12:D$26,MATCH(MIN(L58,100),$B$12:$B$26,1))*$C$28/$C$8)</f>
        <v>16.8905520198847</v>
      </c>
      <c r="P58" s="74" t="n">
        <f aca="false">IF(L58="","—",INDEX(E$12:E$26,MATCH(MIN(L58,100),$B$12:$B$26,1))*$C$28/$C$8)</f>
        <v>31.7567807489552</v>
      </c>
      <c r="Q58" s="74" t="n">
        <f aca="false">IF(L58="","—",INDEX(F$12:F$26,MATCH(MIN(L58,100),$B$12:$B$26,1))*$C$28/$C$8)</f>
        <v>20.9157766791401</v>
      </c>
      <c r="R58" s="74" t="n">
        <f aca="false">IF(L58="","—",INDEX(G$12:G$26,MATCH(MIN(L58,100),$B$12:$B$26,1))*$C$28/$C$8)</f>
        <v>15.4183168992926</v>
      </c>
      <c r="S58" s="74" t="n">
        <f aca="false">IF(L58="","—",INDEX(H$12:H$26,MATCH(MIN(L58,100),$B$12:$B$26,1))*$C$28/$C$8)</f>
        <v>26.7478353500314</v>
      </c>
      <c r="T58" s="87" t="n">
        <f aca="false">IF(L58="","—",O58/K58)</f>
        <v>2.81509200331412</v>
      </c>
      <c r="U58" s="87" t="n">
        <f aca="false">IF(L58="","—",P58/K58)</f>
        <v>5.29279679149254</v>
      </c>
      <c r="V58" s="87" t="n">
        <f aca="false">IF(L58="","—",Q58/K58)</f>
        <v>3.48596277985669</v>
      </c>
      <c r="W58" s="87" t="n">
        <f aca="false">IF(L58="","—",R58/K58)</f>
        <v>2.56971948321543</v>
      </c>
      <c r="X58" s="87" t="n">
        <f aca="false">IF(L58="","—",S58/K58)</f>
        <v>4.45797255833857</v>
      </c>
    </row>
    <row r="59" customFormat="false" ht="15" hidden="false" customHeight="true" outlineLevel="0" collapsed="false">
      <c r="B59" s="66" t="s">
        <v>58</v>
      </c>
      <c r="C59" s="66" t="s">
        <v>167</v>
      </c>
      <c r="D59" s="54" t="n">
        <v>12</v>
      </c>
      <c r="E59" s="86" t="n">
        <v>0.715</v>
      </c>
      <c r="F59" s="54" t="n">
        <v>545</v>
      </c>
      <c r="G59" s="54" t="n">
        <v>345</v>
      </c>
      <c r="H59" s="54" t="n">
        <v>460</v>
      </c>
      <c r="I59" s="88" t="n">
        <f aca="false">IF(OR(D59="",E59=""),"",D59*E59*1.05)</f>
        <v>9.009</v>
      </c>
      <c r="J59" s="88" t="n">
        <f aca="false">IF(OR($C$7=0,F59="",G59="",H59=""),"",F59*G59*H59/1000/$C$7)</f>
        <v>14.41525</v>
      </c>
      <c r="K59" s="54" t="n">
        <v>12</v>
      </c>
      <c r="L59" s="88" t="n">
        <f aca="false">IF(OR(K59="",I59=""),"",MAX(I59,IF(ISNUMBER(J59),J59,0))*K59/D59)</f>
        <v>14.41525</v>
      </c>
      <c r="M59" s="66" t="n">
        <f aca="false">IF(L59="","",INDEX($B$12:$B$26,MATCH(MIN(L59,100),$B$12:$B$26,1)))</f>
        <v>10.01</v>
      </c>
      <c r="N59" s="66" t="s">
        <v>472</v>
      </c>
      <c r="O59" s="76" t="n">
        <f aca="false">IF(L59="","—",INDEX(D$12:D$26,MATCH(MIN(L59,100),$B$12:$B$26,1))*$C$28/$C$8)</f>
        <v>15.1941356422933</v>
      </c>
      <c r="P59" s="76" t="n">
        <f aca="false">IF(L59="","—",INDEX(E$12:E$26,MATCH(MIN(L59,100),$B$12:$B$26,1))*$C$28/$C$8)</f>
        <v>25.8544563109448</v>
      </c>
      <c r="Q59" s="76" t="n">
        <f aca="false">IF(L59="","—",INDEX(F$12:F$26,MATCH(MIN(L59,100),$B$12:$B$26,1))*$C$28/$C$8)</f>
        <v>17.482792057032</v>
      </c>
      <c r="R59" s="76" t="n">
        <f aca="false">IF(L59="","—",INDEX(G$12:G$26,MATCH(MIN(L59,100),$B$12:$B$26,1))*$C$28/$C$8)</f>
        <v>13.1564283958373</v>
      </c>
      <c r="S59" s="76" t="n">
        <f aca="false">IF(L59="","—",INDEX(H$12:H$26,MATCH(MIN(L59,100),$B$12:$B$26,1))*$C$28/$C$8)</f>
        <v>21.6552402283467</v>
      </c>
      <c r="T59" s="89" t="n">
        <f aca="false">IF(L59="","—",O59/K59)</f>
        <v>1.26617797019111</v>
      </c>
      <c r="U59" s="89" t="n">
        <f aca="false">IF(L59="","—",P59/K59)</f>
        <v>2.15453802591207</v>
      </c>
      <c r="V59" s="89" t="n">
        <f aca="false">IF(L59="","—",Q59/K59)</f>
        <v>1.456899338086</v>
      </c>
      <c r="W59" s="89" t="n">
        <f aca="false">IF(L59="","—",R59/K59)</f>
        <v>1.09636903298644</v>
      </c>
      <c r="X59" s="89" t="n">
        <f aca="false">IF(L59="","—",S59/K59)</f>
        <v>1.80460335236222</v>
      </c>
    </row>
    <row r="60" customFormat="false" ht="15" hidden="false" customHeight="true" outlineLevel="0" collapsed="false">
      <c r="B60" s="1" t="s">
        <v>59</v>
      </c>
      <c r="C60" s="1" t="s">
        <v>168</v>
      </c>
      <c r="D60" s="54" t="n">
        <v>24</v>
      </c>
      <c r="E60" s="86" t="n">
        <v>0.15</v>
      </c>
      <c r="F60" s="54" t="n">
        <v>360</v>
      </c>
      <c r="G60" s="54" t="n">
        <v>340</v>
      </c>
      <c r="H60" s="54" t="n">
        <v>270</v>
      </c>
      <c r="I60" s="85" t="n">
        <f aca="false">IF(OR(D60="",E60=""),"",D60*E60*1.05)</f>
        <v>3.78</v>
      </c>
      <c r="J60" s="85" t="n">
        <f aca="false">IF(OR($C$7=0,F60="",G60="",H60=""),"",F60*G60*H60/1000/$C$7)</f>
        <v>5.508</v>
      </c>
      <c r="K60" s="54" t="n">
        <v>24</v>
      </c>
      <c r="L60" s="85" t="n">
        <f aca="false">IF(OR(K60="",I60=""),"",MAX(I60,IF(ISNUMBER(J60),J60,0))*K60/D60)</f>
        <v>5.508</v>
      </c>
      <c r="M60" s="1" t="n">
        <f aca="false">IF(L60="","",INDEX($B$12:$B$26,MATCH(MIN(L60,100),$B$12:$B$26,1)))</f>
        <v>5.01</v>
      </c>
      <c r="N60" s="1" t="s">
        <v>472</v>
      </c>
      <c r="O60" s="74" t="n">
        <f aca="false">IF(L60="","—",INDEX(D$12:D$26,MATCH(MIN(L60,100),$B$12:$B$26,1))*$C$28/$C$8)</f>
        <v>13.5044112425227</v>
      </c>
      <c r="P60" s="74" t="n">
        <f aca="false">IF(L60="","—",INDEX(E$12:E$26,MATCH(MIN(L60,100),$B$12:$B$26,1))*$C$28/$C$8)</f>
        <v>19.8919040725465</v>
      </c>
      <c r="Q60" s="74" t="n">
        <f aca="false">IF(L60="","—",INDEX(F$12:F$26,MATCH(MIN(L60,100),$B$12:$B$26,1))*$C$28/$C$8)</f>
        <v>14.0096555679987</v>
      </c>
      <c r="R60" s="74" t="n">
        <f aca="false">IF(L60="","—",INDEX(G$12:G$26,MATCH(MIN(L60,100),$B$12:$B$26,1))*$C$28/$C$8)</f>
        <v>10.8978858812925</v>
      </c>
      <c r="S60" s="74" t="n">
        <f aca="false">IF(L60="","—",INDEX(H$12:H$26,MATCH(MIN(L60,100),$B$12:$B$26,1))*$C$28/$C$8)</f>
        <v>16.5659910955724</v>
      </c>
      <c r="T60" s="87" t="n">
        <f aca="false">IF(L60="","—",O60/K60)</f>
        <v>0.562683801771781</v>
      </c>
      <c r="U60" s="87" t="n">
        <f aca="false">IF(L60="","—",P60/K60)</f>
        <v>0.828829336356104</v>
      </c>
      <c r="V60" s="87" t="n">
        <f aca="false">IF(L60="","—",Q60/K60)</f>
        <v>0.583735648666612</v>
      </c>
      <c r="W60" s="87" t="n">
        <f aca="false">IF(L60="","—",R60/K60)</f>
        <v>0.454078578387188</v>
      </c>
      <c r="X60" s="87" t="n">
        <f aca="false">IF(L60="","—",S60/K60)</f>
        <v>0.690249628982182</v>
      </c>
    </row>
    <row r="61" customFormat="false" ht="15" hidden="false" customHeight="true" outlineLevel="0" collapsed="false">
      <c r="B61" s="66" t="s">
        <v>60</v>
      </c>
      <c r="C61" s="66" t="s">
        <v>169</v>
      </c>
      <c r="D61" s="54" t="n">
        <v>1</v>
      </c>
      <c r="E61" s="86" t="n">
        <v>2.45</v>
      </c>
      <c r="F61" s="54" t="n">
        <v>540</v>
      </c>
      <c r="G61" s="54" t="n">
        <v>335</v>
      </c>
      <c r="H61" s="54" t="n">
        <v>20</v>
      </c>
      <c r="I61" s="88" t="n">
        <f aca="false">IF(OR(D61="",E61=""),"",D61*E61*1.05)</f>
        <v>2.5725</v>
      </c>
      <c r="J61" s="88" t="n">
        <f aca="false">IF(OR($C$7=0,F61="",G61="",H61=""),"",F61*G61*H61/1000/$C$7)</f>
        <v>0.603</v>
      </c>
      <c r="K61" s="54" t="n">
        <v>6</v>
      </c>
      <c r="L61" s="88" t="n">
        <f aca="false">IF(OR(K61="",I61=""),"",MAX(I61,IF(ISNUMBER(J61),J61,0))*K61/D61)</f>
        <v>15.435</v>
      </c>
      <c r="M61" s="66" t="n">
        <f aca="false">IF(L61="","",INDEX($B$12:$B$26,MATCH(MIN(L61,100),$B$12:$B$26,1)))</f>
        <v>15.01</v>
      </c>
      <c r="N61" s="66" t="s">
        <v>474</v>
      </c>
      <c r="O61" s="76" t="n">
        <f aca="false">IF(L61="","—",INDEX(D$12:D$26,MATCH(MIN(L61,100),$B$12:$B$26,1))*$C$28/$C$8)</f>
        <v>16.8905520198847</v>
      </c>
      <c r="P61" s="76" t="n">
        <f aca="false">IF(L61="","—",INDEX(E$12:E$26,MATCH(MIN(L61,100),$B$12:$B$26,1))*$C$28/$C$8)</f>
        <v>31.7567807489552</v>
      </c>
      <c r="Q61" s="76" t="n">
        <f aca="false">IF(L61="","—",INDEX(F$12:F$26,MATCH(MIN(L61,100),$B$12:$B$26,1))*$C$28/$C$8)</f>
        <v>20.9157766791401</v>
      </c>
      <c r="R61" s="76" t="n">
        <f aca="false">IF(L61="","—",INDEX(G$12:G$26,MATCH(MIN(L61,100),$B$12:$B$26,1))*$C$28/$C$8)</f>
        <v>15.4183168992926</v>
      </c>
      <c r="S61" s="76" t="n">
        <f aca="false">IF(L61="","—",INDEX(H$12:H$26,MATCH(MIN(L61,100),$B$12:$B$26,1))*$C$28/$C$8)</f>
        <v>26.7478353500314</v>
      </c>
      <c r="T61" s="89" t="n">
        <f aca="false">IF(L61="","—",O61/K61)</f>
        <v>2.81509200331412</v>
      </c>
      <c r="U61" s="89" t="n">
        <f aca="false">IF(L61="","—",P61/K61)</f>
        <v>5.29279679149254</v>
      </c>
      <c r="V61" s="89" t="n">
        <f aca="false">IF(L61="","—",Q61/K61)</f>
        <v>3.48596277985669</v>
      </c>
      <c r="W61" s="89" t="n">
        <f aca="false">IF(L61="","—",R61/K61)</f>
        <v>2.56971948321543</v>
      </c>
      <c r="X61" s="89" t="n">
        <f aca="false">IF(L61="","—",S61/K61)</f>
        <v>4.45797255833857</v>
      </c>
    </row>
    <row r="62" customFormat="false" ht="15" hidden="false" customHeight="true" outlineLevel="0" collapsed="false">
      <c r="B62" s="1" t="s">
        <v>61</v>
      </c>
      <c r="C62" s="1" t="s">
        <v>170</v>
      </c>
      <c r="D62" s="54" t="n">
        <v>24</v>
      </c>
      <c r="E62" s="86" t="n">
        <v>0.145</v>
      </c>
      <c r="F62" s="54" t="n">
        <v>390</v>
      </c>
      <c r="G62" s="54" t="n">
        <v>195</v>
      </c>
      <c r="H62" s="54" t="n">
        <v>200</v>
      </c>
      <c r="I62" s="85" t="n">
        <f aca="false">IF(OR(D62="",E62=""),"",D62*E62*1.05)</f>
        <v>3.654</v>
      </c>
      <c r="J62" s="85" t="n">
        <f aca="false">IF(OR($C$7=0,F62="",G62="",H62=""),"",F62*G62*H62/1000/$C$7)</f>
        <v>2.535</v>
      </c>
      <c r="K62" s="54" t="n">
        <v>24</v>
      </c>
      <c r="L62" s="85" t="n">
        <f aca="false">IF(OR(K62="",I62=""),"",MAX(I62,IF(ISNUMBER(J62),J62,0))*K62/D62)</f>
        <v>3.654</v>
      </c>
      <c r="M62" s="1" t="n">
        <f aca="false">IF(L62="","",INDEX($B$12:$B$26,MATCH(MIN(L62,100),$B$12:$B$26,1)))</f>
        <v>3.01</v>
      </c>
      <c r="N62" s="1" t="s">
        <v>472</v>
      </c>
      <c r="O62" s="74" t="n">
        <f aca="false">IF(L62="","—",INDEX(D$12:D$26,MATCH(MIN(L62,100),$B$12:$B$26,1))*$C$28/$C$8)</f>
        <v>11.9317964546175</v>
      </c>
      <c r="P62" s="74" t="n">
        <f aca="false">IF(L62="","—",INDEX(E$12:E$26,MATCH(MIN(L62,100),$B$12:$B$26,1))*$C$28/$C$8)</f>
        <v>14.4981699489225</v>
      </c>
      <c r="Q62" s="74" t="n">
        <f aca="false">IF(L62="","—",INDEX(F$12:F$26,MATCH(MIN(L62,100),$B$12:$B$26,1))*$C$28/$C$8)</f>
        <v>10.9648056595012</v>
      </c>
      <c r="R62" s="74" t="n">
        <f aca="false">IF(L62="","—",INDEX(G$12:G$26,MATCH(MIN(L62,100),$B$12:$B$26,1))*$C$28/$C$8)</f>
        <v>8.75979896752342</v>
      </c>
      <c r="S62" s="74" t="n">
        <f aca="false">IF(L62="","—",INDEX(H$12:H$26,MATCH(MIN(L62,100),$B$12:$B$26,1))*$C$28/$C$8)</f>
        <v>11.5938515746634</v>
      </c>
      <c r="T62" s="87" t="n">
        <f aca="false">IF(L62="","—",O62/K62)</f>
        <v>0.497158185609061</v>
      </c>
      <c r="U62" s="87" t="n">
        <f aca="false">IF(L62="","—",P62/K62)</f>
        <v>0.604090414538436</v>
      </c>
      <c r="V62" s="87" t="n">
        <f aca="false">IF(L62="","—",Q62/K62)</f>
        <v>0.456866902479218</v>
      </c>
      <c r="W62" s="87" t="n">
        <f aca="false">IF(L62="","—",R62/K62)</f>
        <v>0.364991623646809</v>
      </c>
      <c r="X62" s="87" t="n">
        <f aca="false">IF(L62="","—",S62/K62)</f>
        <v>0.483077148944306</v>
      </c>
    </row>
    <row r="63" customFormat="false" ht="15" hidden="false" customHeight="true" outlineLevel="0" collapsed="false">
      <c r="B63" s="66" t="s">
        <v>62</v>
      </c>
      <c r="C63" s="66" t="s">
        <v>171</v>
      </c>
      <c r="E63" s="85"/>
      <c r="I63" s="88" t="str">
        <f aca="false">IF(OR(D63="",E63=""),"",D63*E63*1.05)</f>
        <v/>
      </c>
      <c r="J63" s="88" t="str">
        <f aca="false">IF(OR($C$7=0,F63="",G63="",H63=""),"",F63*G63*H63/1000/$C$7)</f>
        <v/>
      </c>
      <c r="L63" s="88" t="str">
        <f aca="false">IF(OR(K63="",I63=""),"",MAX(I63,IF(ISNUMBER(J63),J63,0))*K63/D63)</f>
        <v/>
      </c>
      <c r="M63" s="66" t="str">
        <f aca="false">IF(L63="","",INDEX($B$12:$B$26,MATCH(MIN(L63,100),$B$12:$B$26,1)))</f>
        <v/>
      </c>
      <c r="N63" s="66" t="s">
        <v>473</v>
      </c>
      <c r="O63" s="76" t="str">
        <f aca="false">IF(L63="","—",INDEX(D$12:D$26,MATCH(MIN(L63,100),$B$12:$B$26,1))*$C$28/$C$8)</f>
        <v>—</v>
      </c>
      <c r="P63" s="76" t="str">
        <f aca="false">IF(L63="","—",INDEX(E$12:E$26,MATCH(MIN(L63,100),$B$12:$B$26,1))*$C$28/$C$8)</f>
        <v>—</v>
      </c>
      <c r="Q63" s="76" t="str">
        <f aca="false">IF(L63="","—",INDEX(F$12:F$26,MATCH(MIN(L63,100),$B$12:$B$26,1))*$C$28/$C$8)</f>
        <v>—</v>
      </c>
      <c r="R63" s="76" t="str">
        <f aca="false">IF(L63="","—",INDEX(G$12:G$26,MATCH(MIN(L63,100),$B$12:$B$26,1))*$C$28/$C$8)</f>
        <v>—</v>
      </c>
      <c r="S63" s="76" t="str">
        <f aca="false">IF(L63="","—",INDEX(H$12:H$26,MATCH(MIN(L63,100),$B$12:$B$26,1))*$C$28/$C$8)</f>
        <v>—</v>
      </c>
      <c r="T63" s="89" t="str">
        <f aca="false">IF(L63="","—",O63/K63)</f>
        <v>—</v>
      </c>
      <c r="U63" s="89" t="str">
        <f aca="false">IF(L63="","—",P63/K63)</f>
        <v>—</v>
      </c>
      <c r="V63" s="89" t="str">
        <f aca="false">IF(L63="","—",Q63/K63)</f>
        <v>—</v>
      </c>
      <c r="W63" s="89" t="str">
        <f aca="false">IF(L63="","—",R63/K63)</f>
        <v>—</v>
      </c>
      <c r="X63" s="89" t="str">
        <f aca="false">IF(L63="","—",S63/K63)</f>
        <v>—</v>
      </c>
    </row>
    <row r="64" customFormat="false" ht="15" hidden="false" customHeight="true" outlineLevel="0" collapsed="false">
      <c r="B64" s="1" t="s">
        <v>63</v>
      </c>
      <c r="C64" s="1" t="s">
        <v>172</v>
      </c>
      <c r="D64" s="54" t="n">
        <v>1</v>
      </c>
      <c r="E64" s="86" t="n">
        <v>1.14</v>
      </c>
      <c r="F64" s="54" t="n">
        <v>310</v>
      </c>
      <c r="G64" s="54" t="n">
        <v>210</v>
      </c>
      <c r="H64" s="54" t="n">
        <v>25</v>
      </c>
      <c r="I64" s="85" t="n">
        <f aca="false">IF(OR(D64="",E64=""),"",D64*E64*1.05)</f>
        <v>1.197</v>
      </c>
      <c r="J64" s="85" t="n">
        <f aca="false">IF(OR($C$7=0,F64="",G64="",H64=""),"",F64*G64*H64/1000/$C$7)</f>
        <v>0.27125</v>
      </c>
      <c r="K64" s="54" t="n">
        <v>6</v>
      </c>
      <c r="L64" s="85" t="n">
        <f aca="false">IF(OR(K64="",I64=""),"",MAX(I64,IF(ISNUMBER(J64),J64,0))*K64/D64)</f>
        <v>7.182</v>
      </c>
      <c r="M64" s="1" t="n">
        <f aca="false">IF(L64="","",INDEX($B$12:$B$26,MATCH(MIN(L64,100),$B$12:$B$26,1)))</f>
        <v>5.01</v>
      </c>
      <c r="N64" s="1" t="s">
        <v>474</v>
      </c>
      <c r="O64" s="74" t="n">
        <f aca="false">IF(L64="","—",INDEX(D$12:D$26,MATCH(MIN(L64,100),$B$12:$B$26,1))*$C$28/$C$8)</f>
        <v>13.5044112425227</v>
      </c>
      <c r="P64" s="74" t="n">
        <f aca="false">IF(L64="","—",INDEX(E$12:E$26,MATCH(MIN(L64,100),$B$12:$B$26,1))*$C$28/$C$8)</f>
        <v>19.8919040725465</v>
      </c>
      <c r="Q64" s="74" t="n">
        <f aca="false">IF(L64="","—",INDEX(F$12:F$26,MATCH(MIN(L64,100),$B$12:$B$26,1))*$C$28/$C$8)</f>
        <v>14.0096555679987</v>
      </c>
      <c r="R64" s="74" t="n">
        <f aca="false">IF(L64="","—",INDEX(G$12:G$26,MATCH(MIN(L64,100),$B$12:$B$26,1))*$C$28/$C$8)</f>
        <v>10.8978858812925</v>
      </c>
      <c r="S64" s="74" t="n">
        <f aca="false">IF(L64="","—",INDEX(H$12:H$26,MATCH(MIN(L64,100),$B$12:$B$26,1))*$C$28/$C$8)</f>
        <v>16.5659910955724</v>
      </c>
      <c r="T64" s="87" t="n">
        <f aca="false">IF(L64="","—",O64/K64)</f>
        <v>2.25073520708712</v>
      </c>
      <c r="U64" s="87" t="n">
        <f aca="false">IF(L64="","—",P64/K64)</f>
        <v>3.31531734542442</v>
      </c>
      <c r="V64" s="87" t="n">
        <f aca="false">IF(L64="","—",Q64/K64)</f>
        <v>2.33494259466645</v>
      </c>
      <c r="W64" s="87" t="n">
        <f aca="false">IF(L64="","—",R64/K64)</f>
        <v>1.81631431354875</v>
      </c>
      <c r="X64" s="87" t="n">
        <f aca="false">IF(L64="","—",S64/K64)</f>
        <v>2.76099851592873</v>
      </c>
    </row>
    <row r="65" customFormat="false" ht="15" hidden="false" customHeight="true" outlineLevel="0" collapsed="false">
      <c r="B65" s="66" t="s">
        <v>64</v>
      </c>
      <c r="C65" s="66" t="s">
        <v>173</v>
      </c>
      <c r="D65" s="54" t="n">
        <v>12</v>
      </c>
      <c r="E65" s="86" t="n">
        <v>0.625</v>
      </c>
      <c r="F65" s="54" t="n">
        <v>610</v>
      </c>
      <c r="G65" s="54" t="n">
        <v>410</v>
      </c>
      <c r="H65" s="54" t="n">
        <v>590</v>
      </c>
      <c r="I65" s="88" t="n">
        <f aca="false">IF(OR(D65="",E65=""),"",D65*E65*1.05)</f>
        <v>7.875</v>
      </c>
      <c r="J65" s="88" t="n">
        <f aca="false">IF(OR($C$7=0,F65="",G65="",H65=""),"",F65*G65*H65/1000/$C$7)</f>
        <v>24.5931666666667</v>
      </c>
      <c r="K65" s="54" t="n">
        <v>12</v>
      </c>
      <c r="L65" s="88" t="n">
        <f aca="false">IF(OR(K65="",I65=""),"",MAX(I65,IF(ISNUMBER(J65),J65,0))*K65/D65)</f>
        <v>24.5931666666667</v>
      </c>
      <c r="M65" s="66" t="n">
        <f aca="false">IF(L65="","",INDEX($B$12:$B$26,MATCH(MIN(L65,100),$B$12:$B$26,1)))</f>
        <v>20.01</v>
      </c>
      <c r="N65" s="66" t="s">
        <v>472</v>
      </c>
      <c r="O65" s="76" t="n">
        <f aca="false">IF(L65="","—",INDEX(D$12:D$26,MATCH(MIN(L65,100),$B$12:$B$26,1))*$C$28/$C$8)</f>
        <v>19.0319849225643</v>
      </c>
      <c r="P65" s="76" t="n">
        <f aca="false">IF(L65="","—",INDEX(E$12:E$26,MATCH(MIN(L65,100),$B$12:$B$26,1))*$C$28/$C$8)</f>
        <v>38.2948430799487</v>
      </c>
      <c r="Q65" s="76" t="n">
        <f aca="false">IF(L65="","—",INDEX(F$12:F$26,MATCH(MIN(L65,100),$B$12:$B$26,1))*$C$28/$C$8)</f>
        <v>22.9769058479692</v>
      </c>
      <c r="R65" s="76" t="n">
        <f aca="false">IF(L65="","—",INDEX(G$12:G$26,MATCH(MIN(L65,100),$B$12:$B$26,1))*$C$28/$C$8)</f>
        <v>18.1252219278359</v>
      </c>
      <c r="S65" s="76" t="n">
        <f aca="false">IF(L65="","—",INDEX(H$12:H$26,MATCH(MIN(L65,100),$B$12:$B$26,1))*$C$28/$C$8)</f>
        <v>32.2921389746251</v>
      </c>
      <c r="T65" s="89" t="n">
        <f aca="false">IF(L65="","—",O65/K65)</f>
        <v>1.58599874354702</v>
      </c>
      <c r="U65" s="89" t="n">
        <f aca="false">IF(L65="","—",P65/K65)</f>
        <v>3.19123692332905</v>
      </c>
      <c r="V65" s="89" t="n">
        <f aca="false">IF(L65="","—",Q65/K65)</f>
        <v>1.91474215399743</v>
      </c>
      <c r="W65" s="89" t="n">
        <f aca="false">IF(L65="","—",R65/K65)</f>
        <v>1.51043516065299</v>
      </c>
      <c r="X65" s="89" t="n">
        <f aca="false">IF(L65="","—",S65/K65)</f>
        <v>2.69101158121876</v>
      </c>
    </row>
    <row r="66" customFormat="false" ht="15" hidden="false" customHeight="true" outlineLevel="0" collapsed="false">
      <c r="B66" s="1" t="s">
        <v>65</v>
      </c>
      <c r="C66" s="1" t="s">
        <v>174</v>
      </c>
      <c r="D66" s="54" t="n">
        <v>1</v>
      </c>
      <c r="E66" s="86" t="n">
        <v>0.249</v>
      </c>
      <c r="F66" s="54" t="n">
        <v>220</v>
      </c>
      <c r="G66" s="54" t="n">
        <v>230</v>
      </c>
      <c r="H66" s="54" t="n">
        <v>220</v>
      </c>
      <c r="I66" s="85" t="n">
        <f aca="false">IF(OR(D66="",E66=""),"",D66*E66*1.05)</f>
        <v>0.26145</v>
      </c>
      <c r="J66" s="85" t="n">
        <f aca="false">IF(OR($C$7=0,F66="",G66="",H66=""),"",F66*G66*H66/1000/$C$7)</f>
        <v>1.85533333333333</v>
      </c>
      <c r="K66" s="54" t="n">
        <v>6</v>
      </c>
      <c r="L66" s="85" t="n">
        <f aca="false">IF(OR(K66="",I66=""),"",MAX(I66,IF(ISNUMBER(J66),J66,0))*K66/D66)</f>
        <v>11.132</v>
      </c>
      <c r="M66" s="1" t="n">
        <f aca="false">IF(L66="","",INDEX($B$12:$B$26,MATCH(MIN(L66,100),$B$12:$B$26,1)))</f>
        <v>10.01</v>
      </c>
      <c r="N66" s="1" t="s">
        <v>472</v>
      </c>
      <c r="O66" s="74" t="n">
        <f aca="false">IF(L66="","—",INDEX(D$12:D$26,MATCH(MIN(L66,100),$B$12:$B$26,1))*$C$28/$C$8)</f>
        <v>15.1941356422933</v>
      </c>
      <c r="P66" s="74" t="n">
        <f aca="false">IF(L66="","—",INDEX(E$12:E$26,MATCH(MIN(L66,100),$B$12:$B$26,1))*$C$28/$C$8)</f>
        <v>25.8544563109448</v>
      </c>
      <c r="Q66" s="74" t="n">
        <f aca="false">IF(L66="","—",INDEX(F$12:F$26,MATCH(MIN(L66,100),$B$12:$B$26,1))*$C$28/$C$8)</f>
        <v>17.482792057032</v>
      </c>
      <c r="R66" s="74" t="n">
        <f aca="false">IF(L66="","—",INDEX(G$12:G$26,MATCH(MIN(L66,100),$B$12:$B$26,1))*$C$28/$C$8)</f>
        <v>13.1564283958373</v>
      </c>
      <c r="S66" s="74" t="n">
        <f aca="false">IF(L66="","—",INDEX(H$12:H$26,MATCH(MIN(L66,100),$B$12:$B$26,1))*$C$28/$C$8)</f>
        <v>21.6552402283467</v>
      </c>
      <c r="T66" s="87" t="n">
        <f aca="false">IF(L66="","—",O66/K66)</f>
        <v>2.53235594038222</v>
      </c>
      <c r="U66" s="87" t="n">
        <f aca="false">IF(L66="","—",P66/K66)</f>
        <v>4.30907605182413</v>
      </c>
      <c r="V66" s="87" t="n">
        <f aca="false">IF(L66="","—",Q66/K66)</f>
        <v>2.91379867617201</v>
      </c>
      <c r="W66" s="87" t="n">
        <f aca="false">IF(L66="","—",R66/K66)</f>
        <v>2.19273806597289</v>
      </c>
      <c r="X66" s="87" t="n">
        <f aca="false">IF(L66="","—",S66/K66)</f>
        <v>3.60920670472445</v>
      </c>
    </row>
    <row r="68" customFormat="false" ht="48" hidden="false" customHeight="true" outlineLevel="0" collapsed="false">
      <c r="B68" s="51" t="s">
        <v>477</v>
      </c>
      <c r="C68" s="51"/>
      <c r="D68" s="51"/>
      <c r="E68" s="51"/>
      <c r="F68" s="51"/>
      <c r="G68" s="51"/>
      <c r="H68" s="51"/>
      <c r="I68" s="51"/>
      <c r="J68" s="51"/>
      <c r="K68" s="51"/>
      <c r="L68" s="51"/>
      <c r="M68" s="51"/>
      <c r="N68" s="51"/>
      <c r="O68" s="51"/>
      <c r="P68" s="51"/>
    </row>
  </sheetData>
  <mergeCells count="2">
    <mergeCell ref="B3:P3"/>
    <mergeCell ref="B68:P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7B82"/>
    <pageSetUpPr fitToPage="false"/>
  </sheetPr>
  <dimension ref="A1:O486"/>
  <sheetViews>
    <sheetView showFormulas="false" showGridLines="false" showRowColHeaders="true" showZeros="true" rightToLeft="false" tabSelected="false" showOutlineSymbols="true" defaultGridColor="true" view="normal" topLeftCell="A191" colorId="64" zoomScale="100" zoomScaleNormal="100" zoomScalePageLayoutView="100" workbookViewId="0">
      <selection pane="topLeft" activeCell="E181" activeCellId="0" sqref="E18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48"/>
    <col collapsed="false" customWidth="true" hidden="false" outlineLevel="0" max="3" min="3" style="2" width="14"/>
    <col collapsed="false" customWidth="true" hidden="false" outlineLevel="0" max="4" min="4" style="2" width="12"/>
    <col collapsed="false" customWidth="true" hidden="false" outlineLevel="0" max="5" min="5" style="2" width="19"/>
    <col collapsed="false" customWidth="true" hidden="false" outlineLevel="0" max="8" min="6" style="2" width="16"/>
    <col collapsed="false" customWidth="true" hidden="false" outlineLevel="0" max="11" min="9" style="2" width="17"/>
    <col collapsed="false" customWidth="true" hidden="false" outlineLevel="0" max="12" min="12" style="1" width="21"/>
    <col collapsed="false" customWidth="true" hidden="false" outlineLevel="0" max="13" min="13" style="1" width="13"/>
    <col collapsed="false" customWidth="true" hidden="false" outlineLevel="0" max="14" min="14" style="1" width="58"/>
  </cols>
  <sheetData>
    <row r="1" customFormat="false" ht="21.75" hidden="false" customHeight="true" outlineLevel="0" collapsed="false">
      <c r="A1" s="3"/>
      <c r="B1" s="3"/>
      <c r="C1" s="4"/>
      <c r="D1" s="4"/>
      <c r="E1" s="4"/>
      <c r="F1" s="4"/>
      <c r="G1" s="4"/>
      <c r="H1" s="4"/>
      <c r="I1" s="4"/>
      <c r="J1" s="4"/>
      <c r="K1" s="4"/>
      <c r="L1" s="3"/>
      <c r="M1" s="3"/>
      <c r="N1" s="3"/>
      <c r="O1" s="3"/>
    </row>
    <row r="2" customFormat="false" ht="28.5" hidden="false" customHeight="true" outlineLevel="0" collapsed="false">
      <c r="A2" s="3"/>
      <c r="B2" s="5" t="s">
        <v>478</v>
      </c>
      <c r="C2" s="6"/>
      <c r="D2" s="6"/>
      <c r="E2" s="6"/>
      <c r="F2" s="6"/>
      <c r="G2" s="6"/>
      <c r="H2" s="6"/>
      <c r="I2" s="6"/>
      <c r="J2" s="6"/>
      <c r="K2" s="6"/>
      <c r="L2" s="7"/>
      <c r="M2" s="7"/>
      <c r="N2" s="7"/>
      <c r="O2" s="7"/>
    </row>
    <row r="3" customFormat="false" ht="22.5" hidden="false" customHeight="true" outlineLevel="0" collapsed="false">
      <c r="A3" s="3"/>
      <c r="B3" s="8" t="s">
        <v>479</v>
      </c>
      <c r="C3" s="6"/>
      <c r="D3" s="6"/>
      <c r="E3" s="6"/>
      <c r="F3" s="6"/>
      <c r="G3" s="6"/>
      <c r="H3" s="6"/>
      <c r="I3" s="6"/>
      <c r="J3" s="6"/>
      <c r="K3" s="6"/>
      <c r="L3" s="7"/>
      <c r="M3" s="7"/>
      <c r="N3" s="7"/>
      <c r="O3" s="7"/>
    </row>
    <row r="4" customFormat="false" ht="21.75" hidden="false" customHeight="true" outlineLevel="0" collapsed="false">
      <c r="A4" s="3"/>
      <c r="B4" s="9"/>
      <c r="C4" s="10"/>
      <c r="D4" s="10"/>
      <c r="E4" s="10"/>
      <c r="F4" s="10"/>
      <c r="G4" s="10"/>
      <c r="H4" s="10"/>
      <c r="I4" s="10"/>
      <c r="J4" s="10"/>
      <c r="K4" s="10"/>
      <c r="L4" s="9"/>
      <c r="M4" s="9"/>
      <c r="N4" s="9"/>
      <c r="O4" s="9"/>
    </row>
    <row r="5" customFormat="false" ht="21.75" hidden="false" customHeight="true" outlineLevel="0" collapsed="false">
      <c r="A5" s="3"/>
      <c r="B5" s="17" t="s">
        <v>480</v>
      </c>
      <c r="C5" s="10"/>
      <c r="D5" s="10"/>
      <c r="E5" s="10"/>
      <c r="F5" s="10"/>
      <c r="G5" s="10"/>
      <c r="H5" s="10"/>
      <c r="I5" s="10"/>
      <c r="J5" s="10"/>
      <c r="K5" s="10"/>
      <c r="L5" s="9"/>
      <c r="M5" s="9"/>
      <c r="N5" s="9"/>
      <c r="O5" s="9"/>
    </row>
    <row r="6" customFormat="false" ht="36" hidden="false" customHeight="true" outlineLevel="0" collapsed="false">
      <c r="A6" s="3"/>
      <c r="B6" s="21" t="s">
        <v>12</v>
      </c>
      <c r="C6" s="30" t="s">
        <v>481</v>
      </c>
      <c r="D6" s="30" t="s">
        <v>232</v>
      </c>
      <c r="E6" s="30" t="s">
        <v>30</v>
      </c>
      <c r="F6" s="22" t="s">
        <v>482</v>
      </c>
      <c r="G6" s="22" t="s">
        <v>483</v>
      </c>
      <c r="H6" s="22" t="s">
        <v>484</v>
      </c>
      <c r="I6" s="23" t="s">
        <v>485</v>
      </c>
      <c r="J6" s="23" t="s">
        <v>129</v>
      </c>
      <c r="K6" s="23" t="s">
        <v>130</v>
      </c>
      <c r="L6" s="90" t="s">
        <v>486</v>
      </c>
      <c r="M6" s="90" t="s">
        <v>487</v>
      </c>
      <c r="N6" s="90" t="s">
        <v>488</v>
      </c>
      <c r="O6" s="30" t="s">
        <v>489</v>
      </c>
    </row>
    <row r="7" customFormat="false" ht="39" hidden="false" customHeight="true" outlineLevel="0" collapsed="false">
      <c r="A7" s="3"/>
      <c r="B7" s="31" t="s">
        <v>9</v>
      </c>
      <c r="C7" s="91" t="s">
        <v>13</v>
      </c>
      <c r="D7" s="91" t="s">
        <v>490</v>
      </c>
      <c r="E7" s="91" t="s">
        <v>491</v>
      </c>
      <c r="F7" s="92" t="n">
        <f aca="false">IF(COUNTIFS(Offers!$B$7:$B$3000,$B7,Offers!$C$7:$C$3000,$C7,Offers!$AH$7:$AH$3000,"yes")=0,"",SUMIFS(Offers!$H$7:$H$3000,Offers!$B$7:$B$3000,$B7,Offers!$C$7:$C$3000,$C7,Offers!$AF$7:$AF$3000,1))</f>
        <v>2520</v>
      </c>
      <c r="G7" s="93" t="n">
        <f aca="false">IF(COUNTIFS(Offers!$B$7:$B$3000,$B7,Offers!$C$7:$C$3000,$C7,Offers!$AH$7:$AH$3000,"yes")=0,"",(SUMIFS(Offers!$H$7:$H$3000,Offers!$B$7:$B$3000,$B7,Offers!$C$7:$C$3000,$C7,Offers!$AF$7:$AF$3000,ROUNDUP(COUNTIFS(Offers!$B$7:$B$3000,$B7,Offers!$C$7:$C$3000,$C7,Offers!$AH$7:$AH$3000,"yes")/2,0))+SUMIFS(Offers!$H$7:$H$3000,Offers!$B$7:$B$3000,$B7,Offers!$C$7:$C$3000,$C7,Offers!$AF$7:$AF$3000,INT(COUNTIFS(Offers!$B$7:$B$3000,$B7,Offers!$C$7:$C$3000,$C7,Offers!$AH$7:$AH$3000,"yes")/2)+1))/2)</f>
        <v>3995</v>
      </c>
      <c r="H7" s="92" t="n">
        <f aca="false">IF(COUNTIFS(Offers!$B$7:$B$3000,$B7,Offers!$C$7:$C$3000,$C7,Offers!$AH$7:$AH$3000,"yes")=0,"",SUMIFS(Offers!$H$7:$H$3000,Offers!$B$7:$B$3000,$B7,Offers!$C$7:$C$3000,$C7,Offers!$AF$7:$AF$3000,COUNTIFS(Offers!$B$7:$B$3000,$B7,Offers!$C$7:$C$3000,$C7,Offers!$AH$7:$AH$3000,"yes")))</f>
        <v>7236</v>
      </c>
      <c r="I7" s="94" t="n">
        <f aca="false">IF(COUNTIFS(Offers!$B$7:$B$3000,$B7,Offers!$C$7:$C$3000,$C7,Offers!$AI$7:$AI$3000,"yes")=0,"",SUMIFS(Offers!$I$7:$I$3000,Offers!$B$7:$B$3000,$B7,Offers!$C$7:$C$3000,$C7,Offers!$AG$7:$AG$3000,1))</f>
        <v>6.883177</v>
      </c>
      <c r="J7" s="95" t="n">
        <f aca="false">IF(COUNTIFS(Offers!$B$7:$B$3000,$B7,Offers!$C$7:$C$3000,$C7,Offers!$AI$7:$AI$3000,"yes")=0,"",(SUMIFS(Offers!$I$7:$I$3000,Offers!$B$7:$B$3000,$B7,Offers!$C$7:$C$3000,$C7,Offers!$AG$7:$AG$3000,ROUNDUP(COUNTIFS(Offers!$B$7:$B$3000,$B7,Offers!$C$7:$C$3000,$C7,Offers!$AI$7:$AI$3000,"yes")/2,0))+SUMIFS(Offers!$I$7:$I$3000,Offers!$B$7:$B$3000,$B7,Offers!$C$7:$C$3000,$C7,Offers!$AG$7:$AG$3000,INT(COUNTIFS(Offers!$B$7:$B$3000,$B7,Offers!$C$7:$C$3000,$C7,Offers!$AI$7:$AI$3000,"yes")/2)+1))/2)</f>
        <v>10.912021</v>
      </c>
      <c r="K7" s="94" t="n">
        <f aca="false">IF(COUNTIFS(Offers!$B$7:$B$3000,$B7,Offers!$C$7:$C$3000,$C7,Offers!$AI$7:$AI$3000,"yes")=0,"",SUMIFS(Offers!$I$7:$I$3000,Offers!$B$7:$B$3000,$B7,Offers!$C$7:$C$3000,$C7,Offers!$AG$7:$AG$3000,COUNTIFS(Offers!$B$7:$B$3000,$B7,Offers!$C$7:$C$3000,$C7,Offers!$AI$7:$AI$3000,"yes")))</f>
        <v>19.764552</v>
      </c>
      <c r="L7" s="96"/>
      <c r="M7" s="96"/>
      <c r="N7" s="96"/>
      <c r="O7" s="97" t="n">
        <f aca="false">IF(Compare!$E$5="Local prices",IF(F7="","",IF(Compare!$C$5="Minimum",F7,IF(Compare!$C$5="Maximum",H7,G7))),IF(I7="","",IF(Compare!$C$5="Minimum",I7,IF(Compare!$C$5="Maximum",K7,J7))))</f>
        <v>10.912021</v>
      </c>
    </row>
    <row r="8" customFormat="false" ht="39" hidden="false" customHeight="true" outlineLevel="0" collapsed="false">
      <c r="A8" s="3"/>
      <c r="B8" s="36" t="s">
        <v>9</v>
      </c>
      <c r="C8" s="98" t="s">
        <v>14</v>
      </c>
      <c r="D8" s="98" t="s">
        <v>374</v>
      </c>
      <c r="E8" s="98" t="s">
        <v>491</v>
      </c>
      <c r="F8" s="99" t="n">
        <f aca="false">IF(COUNTIFS(Offers!$B$7:$B$3000,$B8,Offers!$C$7:$C$3000,$C8,Offers!$AH$7:$AH$3000,"yes")=0,"",SUMIFS(Offers!$H$7:$H$3000,Offers!$B$7:$B$3000,$B8,Offers!$C$7:$C$3000,$C8,Offers!$AF$7:$AF$3000,1))</f>
        <v>42.2211330546346</v>
      </c>
      <c r="G8" s="93" t="n">
        <f aca="false">IF(COUNTIFS(Offers!$B$7:$B$3000,$B8,Offers!$C$7:$C$3000,$C8,Offers!$AH$7:$AH$3000,"yes")=0,"",(SUMIFS(Offers!$H$7:$H$3000,Offers!$B$7:$B$3000,$B8,Offers!$C$7:$C$3000,$C8,Offers!$AF$7:$AF$3000,ROUNDUP(COUNTIFS(Offers!$B$7:$B$3000,$B8,Offers!$C$7:$C$3000,$C8,Offers!$AH$7:$AH$3000,"yes")/2,0))+SUMIFS(Offers!$H$7:$H$3000,Offers!$B$7:$B$3000,$B8,Offers!$C$7:$C$3000,$C8,Offers!$AF$7:$AF$3000,INT(COUNTIFS(Offers!$B$7:$B$3000,$B8,Offers!$C$7:$C$3000,$C8,Offers!$AH$7:$AH$3000,"yes")/2)+1))/2)</f>
        <v>52.93</v>
      </c>
      <c r="H8" s="99" t="n">
        <f aca="false">IF(COUNTIFS(Offers!$B$7:$B$3000,$B8,Offers!$C$7:$C$3000,$C8,Offers!$AH$7:$AH$3000,"yes")=0,"",SUMIFS(Offers!$H$7:$H$3000,Offers!$B$7:$B$3000,$B8,Offers!$C$7:$C$3000,$C8,Offers!$AF$7:$AF$3000,COUNTIFS(Offers!$B$7:$B$3000,$B8,Offers!$C$7:$C$3000,$C8,Offers!$AH$7:$AH$3000,"yes")))</f>
        <v>91.9</v>
      </c>
      <c r="I8" s="100" t="n">
        <f aca="false">IF(COUNTIFS(Offers!$B$7:$B$3000,$B8,Offers!$C$7:$C$3000,$C8,Offers!$AI$7:$AI$3000,"yes")=0,"",SUMIFS(Offers!$I$7:$I$3000,Offers!$B$7:$B$3000,$B8,Offers!$C$7:$C$3000,$C8,Offers!$AG$7:$AG$3000,1))</f>
        <v>8</v>
      </c>
      <c r="J8" s="95" t="n">
        <f aca="false">IF(COUNTIFS(Offers!$B$7:$B$3000,$B8,Offers!$C$7:$C$3000,$C8,Offers!$AI$7:$AI$3000,"yes")=0,"",(SUMIFS(Offers!$I$7:$I$3000,Offers!$B$7:$B$3000,$B8,Offers!$C$7:$C$3000,$C8,Offers!$AG$7:$AG$3000,ROUNDUP(COUNTIFS(Offers!$B$7:$B$3000,$B8,Offers!$C$7:$C$3000,$C8,Offers!$AI$7:$AI$3000,"yes")/2,0))+SUMIFS(Offers!$I$7:$I$3000,Offers!$B$7:$B$3000,$B8,Offers!$C$7:$C$3000,$C8,Offers!$AG$7:$AG$3000,INT(COUNTIFS(Offers!$B$7:$B$3000,$B8,Offers!$C$7:$C$3000,$C8,Offers!$AI$7:$AI$3000,"yes")/2)+1))/2)</f>
        <v>10.029101</v>
      </c>
      <c r="K8" s="100" t="n">
        <f aca="false">IF(COUNTIFS(Offers!$B$7:$B$3000,$B8,Offers!$C$7:$C$3000,$C8,Offers!$AI$7:$AI$3000,"yes")=0,"",SUMIFS(Offers!$I$7:$I$3000,Offers!$B$7:$B$3000,$B8,Offers!$C$7:$C$3000,$C8,Offers!$AG$7:$AG$3000,COUNTIFS(Offers!$B$7:$B$3000,$B8,Offers!$C$7:$C$3000,$C8,Offers!$AI$7:$AI$3000,"yes")))</f>
        <v>17.413081</v>
      </c>
      <c r="L8" s="96"/>
      <c r="M8" s="96"/>
      <c r="N8" s="96"/>
      <c r="O8" s="101" t="n">
        <f aca="false">IF(Compare!$E$5="Local prices",IF(F8="","",IF(Compare!$C$5="Minimum",F8,IF(Compare!$C$5="Maximum",H8,G8))),IF(I8="","",IF(Compare!$C$5="Minimum",I8,IF(Compare!$C$5="Maximum",K8,J8))))</f>
        <v>10.029101</v>
      </c>
    </row>
    <row r="9" customFormat="false" ht="39" hidden="false" customHeight="true" outlineLevel="0" collapsed="false">
      <c r="A9" s="3"/>
      <c r="B9" s="31" t="s">
        <v>9</v>
      </c>
      <c r="C9" s="91" t="s">
        <v>15</v>
      </c>
      <c r="D9" s="91" t="s">
        <v>244</v>
      </c>
      <c r="E9" s="91" t="s">
        <v>491</v>
      </c>
      <c r="F9" s="92" t="n">
        <f aca="false">IF(COUNTIFS(Offers!$B$7:$B$3000,$B9,Offers!$C$7:$C$3000,$C9,Offers!$AH$7:$AH$3000,"yes")=0,"",SUMIFS(Offers!$H$7:$H$3000,Offers!$B$7:$B$3000,$B9,Offers!$C$7:$C$3000,$C9,Offers!$AF$7:$AF$3000,1))</f>
        <v>7.83</v>
      </c>
      <c r="G9" s="93" t="n">
        <f aca="false">IF(COUNTIFS(Offers!$B$7:$B$3000,$B9,Offers!$C$7:$C$3000,$C9,Offers!$AH$7:$AH$3000,"yes")=0,"",(SUMIFS(Offers!$H$7:$H$3000,Offers!$B$7:$B$3000,$B9,Offers!$C$7:$C$3000,$C9,Offers!$AF$7:$AF$3000,ROUNDUP(COUNTIFS(Offers!$B$7:$B$3000,$B9,Offers!$C$7:$C$3000,$C9,Offers!$AH$7:$AH$3000,"yes")/2,0))+SUMIFS(Offers!$H$7:$H$3000,Offers!$B$7:$B$3000,$B9,Offers!$C$7:$C$3000,$C9,Offers!$AF$7:$AF$3000,INT(COUNTIFS(Offers!$B$7:$B$3000,$B9,Offers!$C$7:$C$3000,$C9,Offers!$AH$7:$AH$3000,"yes")/2)+1))/2)</f>
        <v>14.07</v>
      </c>
      <c r="H9" s="92" t="n">
        <f aca="false">IF(COUNTIFS(Offers!$B$7:$B$3000,$B9,Offers!$C$7:$C$3000,$C9,Offers!$AH$7:$AH$3000,"yes")=0,"",SUMIFS(Offers!$H$7:$H$3000,Offers!$B$7:$B$3000,$B9,Offers!$C$7:$C$3000,$C9,Offers!$AF$7:$AF$3000,COUNTIFS(Offers!$B$7:$B$3000,$B9,Offers!$C$7:$C$3000,$C9,Offers!$AH$7:$AH$3000,"yes")))</f>
        <v>23</v>
      </c>
      <c r="I9" s="94" t="n">
        <f aca="false">IF(COUNTIFS(Offers!$B$7:$B$3000,$B9,Offers!$C$7:$C$3000,$C9,Offers!$AI$7:$AI$3000,"yes")=0,"",SUMIFS(Offers!$I$7:$I$3000,Offers!$B$7:$B$3000,$B9,Offers!$C$7:$C$3000,$C9,Offers!$AG$7:$AG$3000,1))</f>
        <v>7.83</v>
      </c>
      <c r="J9" s="95" t="n">
        <f aca="false">IF(COUNTIFS(Offers!$B$7:$B$3000,$B9,Offers!$C$7:$C$3000,$C9,Offers!$AI$7:$AI$3000,"yes")=0,"",(SUMIFS(Offers!$I$7:$I$3000,Offers!$B$7:$B$3000,$B9,Offers!$C$7:$C$3000,$C9,Offers!$AG$7:$AG$3000,ROUNDUP(COUNTIFS(Offers!$B$7:$B$3000,$B9,Offers!$C$7:$C$3000,$C9,Offers!$AI$7:$AI$3000,"yes")/2,0))+SUMIFS(Offers!$I$7:$I$3000,Offers!$B$7:$B$3000,$B9,Offers!$C$7:$C$3000,$C9,Offers!$AG$7:$AG$3000,INT(COUNTIFS(Offers!$B$7:$B$3000,$B9,Offers!$C$7:$C$3000,$C9,Offers!$AI$7:$AI$3000,"yes")/2)+1))/2)</f>
        <v>14.07</v>
      </c>
      <c r="K9" s="94" t="n">
        <f aca="false">IF(COUNTIFS(Offers!$B$7:$B$3000,$B9,Offers!$C$7:$C$3000,$C9,Offers!$AI$7:$AI$3000,"yes")=0,"",SUMIFS(Offers!$I$7:$I$3000,Offers!$B$7:$B$3000,$B9,Offers!$C$7:$C$3000,$C9,Offers!$AG$7:$AG$3000,COUNTIFS(Offers!$B$7:$B$3000,$B9,Offers!$C$7:$C$3000,$C9,Offers!$AI$7:$AI$3000,"yes")))</f>
        <v>23</v>
      </c>
      <c r="L9" s="96"/>
      <c r="M9" s="96"/>
      <c r="N9" s="96"/>
      <c r="O9" s="97" t="n">
        <f aca="false">IF(Compare!$E$5="Local prices",IF(F9="","",IF(Compare!$C$5="Minimum",F9,IF(Compare!$C$5="Maximum",H9,G9))),IF(I9="","",IF(Compare!$C$5="Minimum",I9,IF(Compare!$C$5="Maximum",K9,J9))))</f>
        <v>14.07</v>
      </c>
    </row>
    <row r="10" customFormat="false" ht="39" hidden="false" customHeight="true" outlineLevel="0" collapsed="false">
      <c r="A10" s="3"/>
      <c r="B10" s="36" t="s">
        <v>9</v>
      </c>
      <c r="C10" s="98" t="s">
        <v>16</v>
      </c>
      <c r="D10" s="98" t="s">
        <v>244</v>
      </c>
      <c r="E10" s="98" t="s">
        <v>491</v>
      </c>
      <c r="F10" s="99" t="n">
        <f aca="false">IF(COUNTIFS(Offers!$B$7:$B$3000,$B10,Offers!$C$7:$C$3000,$C10,Offers!$AH$7:$AH$3000,"yes")=0,"",SUMIFS(Offers!$H$7:$H$3000,Offers!$B$7:$B$3000,$B10,Offers!$C$7:$C$3000,$C10,Offers!$AF$7:$AF$3000,1))</f>
        <v>7.26</v>
      </c>
      <c r="G10" s="93" t="n">
        <f aca="false">IF(COUNTIFS(Offers!$B$7:$B$3000,$B10,Offers!$C$7:$C$3000,$C10,Offers!$AH$7:$AH$3000,"yes")=0,"",(SUMIFS(Offers!$H$7:$H$3000,Offers!$B$7:$B$3000,$B10,Offers!$C$7:$C$3000,$C10,Offers!$AF$7:$AF$3000,ROUNDUP(COUNTIFS(Offers!$B$7:$B$3000,$B10,Offers!$C$7:$C$3000,$C10,Offers!$AH$7:$AH$3000,"yes")/2,0))+SUMIFS(Offers!$H$7:$H$3000,Offers!$B$7:$B$3000,$B10,Offers!$C$7:$C$3000,$C10,Offers!$AF$7:$AF$3000,INT(COUNTIFS(Offers!$B$7:$B$3000,$B10,Offers!$C$7:$C$3000,$C10,Offers!$AH$7:$AH$3000,"yes")/2)+1))/2)</f>
        <v>13.11</v>
      </c>
      <c r="H10" s="99" t="n">
        <f aca="false">IF(COUNTIFS(Offers!$B$7:$B$3000,$B10,Offers!$C$7:$C$3000,$C10,Offers!$AH$7:$AH$3000,"yes")=0,"",SUMIFS(Offers!$H$7:$H$3000,Offers!$B$7:$B$3000,$B10,Offers!$C$7:$C$3000,$C10,Offers!$AF$7:$AF$3000,COUNTIFS(Offers!$B$7:$B$3000,$B10,Offers!$C$7:$C$3000,$C10,Offers!$AH$7:$AH$3000,"yes")))</f>
        <v>22.43</v>
      </c>
      <c r="I10" s="100" t="n">
        <f aca="false">IF(COUNTIFS(Offers!$B$7:$B$3000,$B10,Offers!$C$7:$C$3000,$C10,Offers!$AI$7:$AI$3000,"yes")=0,"",SUMIFS(Offers!$I$7:$I$3000,Offers!$B$7:$B$3000,$B10,Offers!$C$7:$C$3000,$C10,Offers!$AG$7:$AG$3000,1))</f>
        <v>7.26</v>
      </c>
      <c r="J10" s="95" t="n">
        <f aca="false">IF(COUNTIFS(Offers!$B$7:$B$3000,$B10,Offers!$C$7:$C$3000,$C10,Offers!$AI$7:$AI$3000,"yes")=0,"",(SUMIFS(Offers!$I$7:$I$3000,Offers!$B$7:$B$3000,$B10,Offers!$C$7:$C$3000,$C10,Offers!$AG$7:$AG$3000,ROUNDUP(COUNTIFS(Offers!$B$7:$B$3000,$B10,Offers!$C$7:$C$3000,$C10,Offers!$AI$7:$AI$3000,"yes")/2,0))+SUMIFS(Offers!$I$7:$I$3000,Offers!$B$7:$B$3000,$B10,Offers!$C$7:$C$3000,$C10,Offers!$AG$7:$AG$3000,INT(COUNTIFS(Offers!$B$7:$B$3000,$B10,Offers!$C$7:$C$3000,$C10,Offers!$AI$7:$AI$3000,"yes")/2)+1))/2)</f>
        <v>13.11</v>
      </c>
      <c r="K10" s="100" t="n">
        <f aca="false">IF(COUNTIFS(Offers!$B$7:$B$3000,$B10,Offers!$C$7:$C$3000,$C10,Offers!$AI$7:$AI$3000,"yes")=0,"",SUMIFS(Offers!$I$7:$I$3000,Offers!$B$7:$B$3000,$B10,Offers!$C$7:$C$3000,$C10,Offers!$AG$7:$AG$3000,COUNTIFS(Offers!$B$7:$B$3000,$B10,Offers!$C$7:$C$3000,$C10,Offers!$AI$7:$AI$3000,"yes")))</f>
        <v>22.43</v>
      </c>
      <c r="L10" s="96"/>
      <c r="M10" s="96"/>
      <c r="N10" s="96"/>
      <c r="O10" s="101" t="n">
        <f aca="false">IF(Compare!$E$5="Local prices",IF(F10="","",IF(Compare!$C$5="Minimum",F10,IF(Compare!$C$5="Maximum",H10,G10))),IF(I10="","",IF(Compare!$C$5="Minimum",I10,IF(Compare!$C$5="Maximum",K10,J10))))</f>
        <v>13.11</v>
      </c>
    </row>
    <row r="11" customFormat="false" ht="39" hidden="false" customHeight="true" outlineLevel="0" collapsed="false">
      <c r="A11" s="3"/>
      <c r="B11" s="31" t="s">
        <v>9</v>
      </c>
      <c r="C11" s="91" t="s">
        <v>17</v>
      </c>
      <c r="D11" s="91" t="s">
        <v>333</v>
      </c>
      <c r="E11" s="91" t="s">
        <v>491</v>
      </c>
      <c r="F11" s="92" t="n">
        <f aca="false">IF(COUNTIFS(Offers!$B$7:$B$3000,$B11,Offers!$C$7:$C$3000,$C11,Offers!$AH$7:$AH$3000,"yes")=0,"",SUMIFS(Offers!$H$7:$H$3000,Offers!$B$7:$B$3000,$B11,Offers!$C$7:$C$3000,$C11,Offers!$AF$7:$AF$3000,1))</f>
        <v>190.62</v>
      </c>
      <c r="G11" s="93" t="n">
        <f aca="false">IF(COUNTIFS(Offers!$B$7:$B$3000,$B11,Offers!$C$7:$C$3000,$C11,Offers!$AH$7:$AH$3000,"yes")=0,"",(SUMIFS(Offers!$H$7:$H$3000,Offers!$B$7:$B$3000,$B11,Offers!$C$7:$C$3000,$C11,Offers!$AF$7:$AF$3000,ROUNDUP(COUNTIFS(Offers!$B$7:$B$3000,$B11,Offers!$C$7:$C$3000,$C11,Offers!$AH$7:$AH$3000,"yes")/2,0))+SUMIFS(Offers!$H$7:$H$3000,Offers!$B$7:$B$3000,$B11,Offers!$C$7:$C$3000,$C11,Offers!$AF$7:$AF$3000,INT(COUNTIFS(Offers!$B$7:$B$3000,$B11,Offers!$C$7:$C$3000,$C11,Offers!$AH$7:$AH$3000,"yes")/2)+1))/2)</f>
        <v>296.7</v>
      </c>
      <c r="H11" s="92" t="n">
        <f aca="false">IF(COUNTIFS(Offers!$B$7:$B$3000,$B11,Offers!$C$7:$C$3000,$C11,Offers!$AH$7:$AH$3000,"yes")=0,"",SUMIFS(Offers!$H$7:$H$3000,Offers!$B$7:$B$3000,$B11,Offers!$C$7:$C$3000,$C11,Offers!$AF$7:$AF$3000,COUNTIFS(Offers!$B$7:$B$3000,$B11,Offers!$C$7:$C$3000,$C11,Offers!$AH$7:$AH$3000,"yes")))</f>
        <v>414.88</v>
      </c>
      <c r="I11" s="94" t="n">
        <f aca="false">IF(COUNTIFS(Offers!$B$7:$B$3000,$B11,Offers!$C$7:$C$3000,$C11,Offers!$AI$7:$AI$3000,"yes")=0,"",SUMIFS(Offers!$I$7:$I$3000,Offers!$B$7:$B$3000,$B11,Offers!$C$7:$C$3000,$C11,Offers!$AG$7:$AG$3000,1))</f>
        <v>7.804741</v>
      </c>
      <c r="J11" s="95" t="n">
        <f aca="false">IF(COUNTIFS(Offers!$B$7:$B$3000,$B11,Offers!$C$7:$C$3000,$C11,Offers!$AI$7:$AI$3000,"yes")=0,"",(SUMIFS(Offers!$I$7:$I$3000,Offers!$B$7:$B$3000,$B11,Offers!$C$7:$C$3000,$C11,Offers!$AG$7:$AG$3000,ROUNDUP(COUNTIFS(Offers!$B$7:$B$3000,$B11,Offers!$C$7:$C$3000,$C11,Offers!$AI$7:$AI$3000,"yes")/2,0))+SUMIFS(Offers!$I$7:$I$3000,Offers!$B$7:$B$3000,$B11,Offers!$C$7:$C$3000,$C11,Offers!$AG$7:$AG$3000,INT(COUNTIFS(Offers!$B$7:$B$3000,$B11,Offers!$C$7:$C$3000,$C11,Offers!$AI$7:$AI$3000,"yes")/2)+1))/2)</f>
        <v>12.1480785</v>
      </c>
      <c r="K11" s="94" t="n">
        <f aca="false">IF(COUNTIFS(Offers!$B$7:$B$3000,$B11,Offers!$C$7:$C$3000,$C11,Offers!$AI$7:$AI$3000,"yes")=0,"",SUMIFS(Offers!$I$7:$I$3000,Offers!$B$7:$B$3000,$B11,Offers!$C$7:$C$3000,$C11,Offers!$AG$7:$AG$3000,COUNTIFS(Offers!$B$7:$B$3000,$B11,Offers!$C$7:$C$3000,$C11,Offers!$AI$7:$AI$3000,"yes")))</f>
        <v>16.986838</v>
      </c>
      <c r="L11" s="96"/>
      <c r="M11" s="96"/>
      <c r="N11" s="96"/>
      <c r="O11" s="97" t="n">
        <f aca="false">IF(Compare!$E$5="Local prices",IF(F11="","",IF(Compare!$C$5="Minimum",F11,IF(Compare!$C$5="Maximum",H11,G11))),IF(I11="","",IF(Compare!$C$5="Minimum",I11,IF(Compare!$C$5="Maximum",K11,J11))))</f>
        <v>12.1480785</v>
      </c>
    </row>
    <row r="12" customFormat="false" ht="39" hidden="false" customHeight="true" outlineLevel="0" collapsed="false">
      <c r="A12" s="3"/>
      <c r="B12" s="36" t="s">
        <v>9</v>
      </c>
      <c r="C12" s="98" t="s">
        <v>18</v>
      </c>
      <c r="D12" s="98" t="s">
        <v>244</v>
      </c>
      <c r="E12" s="98" t="s">
        <v>491</v>
      </c>
      <c r="F12" s="99" t="n">
        <f aca="false">IF(COUNTIFS(Offers!$B$7:$B$3000,$B12,Offers!$C$7:$C$3000,$C12,Offers!$AH$7:$AH$3000,"yes")=0,"",SUMIFS(Offers!$H$7:$H$3000,Offers!$B$7:$B$3000,$B12,Offers!$C$7:$C$3000,$C12,Offers!$AF$7:$AF$3000,1))</f>
        <v>16.455285</v>
      </c>
      <c r="G12" s="93" t="n">
        <f aca="false">IF(COUNTIFS(Offers!$B$7:$B$3000,$B12,Offers!$C$7:$C$3000,$C12,Offers!$AH$7:$AH$3000,"yes")=0,"",(SUMIFS(Offers!$H$7:$H$3000,Offers!$B$7:$B$3000,$B12,Offers!$C$7:$C$3000,$C12,Offers!$AF$7:$AF$3000,ROUNDUP(COUNTIFS(Offers!$B$7:$B$3000,$B12,Offers!$C$7:$C$3000,$C12,Offers!$AH$7:$AH$3000,"yes")/2,0))+SUMIFS(Offers!$H$7:$H$3000,Offers!$B$7:$B$3000,$B12,Offers!$C$7:$C$3000,$C12,Offers!$AF$7:$AF$3000,INT(COUNTIFS(Offers!$B$7:$B$3000,$B12,Offers!$C$7:$C$3000,$C12,Offers!$AH$7:$AH$3000,"yes")/2)+1))/2)</f>
        <v>18.4676425</v>
      </c>
      <c r="H12" s="99" t="n">
        <f aca="false">IF(COUNTIFS(Offers!$B$7:$B$3000,$B12,Offers!$C$7:$C$3000,$C12,Offers!$AH$7:$AH$3000,"yes")=0,"",SUMIFS(Offers!$H$7:$H$3000,Offers!$B$7:$B$3000,$B12,Offers!$C$7:$C$3000,$C12,Offers!$AF$7:$AF$3000,COUNTIFS(Offers!$B$7:$B$3000,$B12,Offers!$C$7:$C$3000,$C12,Offers!$AH$7:$AH$3000,"yes")))</f>
        <v>20.48</v>
      </c>
      <c r="I12" s="100" t="n">
        <f aca="false">IF(COUNTIFS(Offers!$B$7:$B$3000,$B12,Offers!$C$7:$C$3000,$C12,Offers!$AI$7:$AI$3000,"yes")=0,"",SUMIFS(Offers!$I$7:$I$3000,Offers!$B$7:$B$3000,$B12,Offers!$C$7:$C$3000,$C12,Offers!$AG$7:$AG$3000,1))</f>
        <v>16.455285</v>
      </c>
      <c r="J12" s="95" t="n">
        <f aca="false">IF(COUNTIFS(Offers!$B$7:$B$3000,$B12,Offers!$C$7:$C$3000,$C12,Offers!$AI$7:$AI$3000,"yes")=0,"",(SUMIFS(Offers!$I$7:$I$3000,Offers!$B$7:$B$3000,$B12,Offers!$C$7:$C$3000,$C12,Offers!$AG$7:$AG$3000,ROUNDUP(COUNTIFS(Offers!$B$7:$B$3000,$B12,Offers!$C$7:$C$3000,$C12,Offers!$AI$7:$AI$3000,"yes")/2,0))+SUMIFS(Offers!$I$7:$I$3000,Offers!$B$7:$B$3000,$B12,Offers!$C$7:$C$3000,$C12,Offers!$AG$7:$AG$3000,INT(COUNTIFS(Offers!$B$7:$B$3000,$B12,Offers!$C$7:$C$3000,$C12,Offers!$AI$7:$AI$3000,"yes")/2)+1))/2)</f>
        <v>18.4676425</v>
      </c>
      <c r="K12" s="100" t="n">
        <f aca="false">IF(COUNTIFS(Offers!$B$7:$B$3000,$B12,Offers!$C$7:$C$3000,$C12,Offers!$AI$7:$AI$3000,"yes")=0,"",SUMIFS(Offers!$I$7:$I$3000,Offers!$B$7:$B$3000,$B12,Offers!$C$7:$C$3000,$C12,Offers!$AG$7:$AG$3000,COUNTIFS(Offers!$B$7:$B$3000,$B12,Offers!$C$7:$C$3000,$C12,Offers!$AI$7:$AI$3000,"yes")))</f>
        <v>20.48</v>
      </c>
      <c r="L12" s="96"/>
      <c r="M12" s="96"/>
      <c r="N12" s="96"/>
      <c r="O12" s="101" t="n">
        <f aca="false">IF(Compare!$E$5="Local prices",IF(F12="","",IF(Compare!$C$5="Minimum",F12,IF(Compare!$C$5="Maximum",H12,G12))),IF(I12="","",IF(Compare!$C$5="Minimum",I12,IF(Compare!$C$5="Maximum",K12,J12))))</f>
        <v>18.4676425</v>
      </c>
    </row>
    <row r="13" customFormat="false" ht="39" hidden="false" customHeight="true" outlineLevel="0" collapsed="false">
      <c r="A13" s="3"/>
      <c r="B13" s="102" t="s">
        <v>22</v>
      </c>
      <c r="C13" s="103" t="s">
        <v>13</v>
      </c>
      <c r="D13" s="103" t="s">
        <v>490</v>
      </c>
      <c r="E13" s="103" t="s">
        <v>491</v>
      </c>
      <c r="F13" s="104" t="n">
        <f aca="false">IF(COUNTIFS(Offers!$B$7:$B$3000,$B13,Offers!$C$7:$C$3000,$C13,Offers!$AH$7:$AH$3000,"yes")=0,"",SUMIFS(Offers!$H$7:$H$3000,Offers!$B$7:$B$3000,$B13,Offers!$C$7:$C$3000,$C13,Offers!$AF$7:$AF$3000,1))</f>
        <v>2340</v>
      </c>
      <c r="G13" s="105" t="n">
        <f aca="false">IF(COUNTIFS(Offers!$B$7:$B$3000,$B13,Offers!$C$7:$C$3000,$C13,Offers!$AH$7:$AH$3000,"yes")=0,"",(SUMIFS(Offers!$H$7:$H$3000,Offers!$B$7:$B$3000,$B13,Offers!$C$7:$C$3000,$C13,Offers!$AF$7:$AF$3000,ROUNDUP(COUNTIFS(Offers!$B$7:$B$3000,$B13,Offers!$C$7:$C$3000,$C13,Offers!$AH$7:$AH$3000,"yes")/2,0))+SUMIFS(Offers!$H$7:$H$3000,Offers!$B$7:$B$3000,$B13,Offers!$C$7:$C$3000,$C13,Offers!$AF$7:$AF$3000,INT(COUNTIFS(Offers!$B$7:$B$3000,$B13,Offers!$C$7:$C$3000,$C13,Offers!$AH$7:$AH$3000,"yes")/2)+1))/2)</f>
        <v>3517.5</v>
      </c>
      <c r="H13" s="104" t="n">
        <f aca="false">IF(COUNTIFS(Offers!$B$7:$B$3000,$B13,Offers!$C$7:$C$3000,$C13,Offers!$AH$7:$AH$3000,"yes")=0,"",SUMIFS(Offers!$H$7:$H$3000,Offers!$B$7:$B$3000,$B13,Offers!$C$7:$C$3000,$C13,Offers!$AF$7:$AF$3000,COUNTIFS(Offers!$B$7:$B$3000,$B13,Offers!$C$7:$C$3000,$C13,Offers!$AH$7:$AH$3000,"yes")))</f>
        <v>5740</v>
      </c>
      <c r="I13" s="106" t="n">
        <f aca="false">IF(COUNTIFS(Offers!$B$7:$B$3000,$B13,Offers!$C$7:$C$3000,$C13,Offers!$AI$7:$AI$3000,"yes")=0,"",SUMIFS(Offers!$I$7:$I$3000,Offers!$B$7:$B$3000,$B13,Offers!$C$7:$C$3000,$C13,Offers!$AG$7:$AG$3000,1))</f>
        <v>6.391522</v>
      </c>
      <c r="J13" s="107" t="n">
        <f aca="false">IF(COUNTIFS(Offers!$B$7:$B$3000,$B13,Offers!$C$7:$C$3000,$C13,Offers!$AI$7:$AI$3000,"yes")=0,"",(SUMIFS(Offers!$I$7:$I$3000,Offers!$B$7:$B$3000,$B13,Offers!$C$7:$C$3000,$C13,Offers!$AG$7:$AG$3000,ROUNDUP(COUNTIFS(Offers!$B$7:$B$3000,$B13,Offers!$C$7:$C$3000,$C13,Offers!$AI$7:$AI$3000,"yes")/2,0))+SUMIFS(Offers!$I$7:$I$3000,Offers!$B$7:$B$3000,$B13,Offers!$C$7:$C$3000,$C13,Offers!$AG$7:$AG$3000,INT(COUNTIFS(Offers!$B$7:$B$3000,$B13,Offers!$C$7:$C$3000,$C13,Offers!$AI$7:$AI$3000,"yes")/2)+1))/2)</f>
        <v>9.607768</v>
      </c>
      <c r="K13" s="106" t="n">
        <f aca="false">IF(COUNTIFS(Offers!$B$7:$B$3000,$B13,Offers!$C$7:$C$3000,$C13,Offers!$AI$7:$AI$3000,"yes")=0,"",SUMIFS(Offers!$I$7:$I$3000,Offers!$B$7:$B$3000,$B13,Offers!$C$7:$C$3000,$C13,Offers!$AG$7:$AG$3000,COUNTIFS(Offers!$B$7:$B$3000,$B13,Offers!$C$7:$C$3000,$C13,Offers!$AI$7:$AI$3000,"yes")))</f>
        <v>15.678348</v>
      </c>
      <c r="L13" s="108"/>
      <c r="M13" s="108"/>
      <c r="N13" s="108"/>
      <c r="O13" s="97" t="n">
        <f aca="false">IF(Compare!$E$5="Local prices",IF(F13="","",IF(Compare!$C$5="Minimum",F13,IF(Compare!$C$5="Maximum",H13,G13))),IF(I13="","",IF(Compare!$C$5="Minimum",I13,IF(Compare!$C$5="Maximum",K13,J13))))</f>
        <v>9.607768</v>
      </c>
    </row>
    <row r="14" customFormat="false" ht="39" hidden="false" customHeight="true" outlineLevel="0" collapsed="false">
      <c r="A14" s="3"/>
      <c r="B14" s="36" t="s">
        <v>22</v>
      </c>
      <c r="C14" s="98" t="s">
        <v>14</v>
      </c>
      <c r="D14" s="98" t="s">
        <v>374</v>
      </c>
      <c r="E14" s="98" t="s">
        <v>491</v>
      </c>
      <c r="F14" s="99" t="n">
        <f aca="false">IF(COUNTIFS(Offers!$B$7:$B$3000,$B14,Offers!$C$7:$C$3000,$C14,Offers!$AH$7:$AH$3000,"yes")=0,"",SUMIFS(Offers!$H$7:$H$3000,Offers!$B$7:$B$3000,$B14,Offers!$C$7:$C$3000,$C14,Offers!$AF$7:$AF$3000,1))</f>
        <v>26.3882081591466</v>
      </c>
      <c r="G14" s="93" t="n">
        <f aca="false">IF(COUNTIFS(Offers!$B$7:$B$3000,$B14,Offers!$C$7:$C$3000,$C14,Offers!$AH$7:$AH$3000,"yes")=0,"",(SUMIFS(Offers!$H$7:$H$3000,Offers!$B$7:$B$3000,$B14,Offers!$C$7:$C$3000,$C14,Offers!$AF$7:$AF$3000,ROUNDUP(COUNTIFS(Offers!$B$7:$B$3000,$B14,Offers!$C$7:$C$3000,$C14,Offers!$AH$7:$AH$3000,"yes")/2,0))+SUMIFS(Offers!$H$7:$H$3000,Offers!$B$7:$B$3000,$B14,Offers!$C$7:$C$3000,$C14,Offers!$AF$7:$AF$3000,INT(COUNTIFS(Offers!$B$7:$B$3000,$B14,Offers!$C$7:$C$3000,$C14,Offers!$AH$7:$AH$3000,"yes")/2)+1))/2)</f>
        <v>57.38</v>
      </c>
      <c r="H14" s="99" t="n">
        <f aca="false">IF(COUNTIFS(Offers!$B$7:$B$3000,$B14,Offers!$C$7:$C$3000,$C14,Offers!$AH$7:$AH$3000,"yes")=0,"",SUMIFS(Offers!$H$7:$H$3000,Offers!$B$7:$B$3000,$B14,Offers!$C$7:$C$3000,$C14,Offers!$AF$7:$AF$3000,COUNTIFS(Offers!$B$7:$B$3000,$B14,Offers!$C$7:$C$3000,$C14,Offers!$AH$7:$AH$3000,"yes")))</f>
        <v>89.26</v>
      </c>
      <c r="I14" s="100" t="n">
        <f aca="false">IF(COUNTIFS(Offers!$B$7:$B$3000,$B14,Offers!$C$7:$C$3000,$C14,Offers!$AI$7:$AI$3000,"yes")=0,"",SUMIFS(Offers!$I$7:$I$3000,Offers!$B$7:$B$3000,$B14,Offers!$C$7:$C$3000,$C14,Offers!$AG$7:$AG$3000,1))</f>
        <v>5</v>
      </c>
      <c r="J14" s="95" t="n">
        <f aca="false">IF(COUNTIFS(Offers!$B$7:$B$3000,$B14,Offers!$C$7:$C$3000,$C14,Offers!$AI$7:$AI$3000,"yes")=0,"",(SUMIFS(Offers!$I$7:$I$3000,Offers!$B$7:$B$3000,$B14,Offers!$C$7:$C$3000,$C14,Offers!$AG$7:$AG$3000,ROUNDUP(COUNTIFS(Offers!$B$7:$B$3000,$B14,Offers!$C$7:$C$3000,$C14,Offers!$AI$7:$AI$3000,"yes")/2,0))+SUMIFS(Offers!$I$7:$I$3000,Offers!$B$7:$B$3000,$B14,Offers!$C$7:$C$3000,$C14,Offers!$AG$7:$AG$3000,INT(COUNTIFS(Offers!$B$7:$B$3000,$B14,Offers!$C$7:$C$3000,$C14,Offers!$AI$7:$AI$3000,"yes")/2)+1))/2)</f>
        <v>10.87228</v>
      </c>
      <c r="K14" s="100" t="n">
        <f aca="false">IF(COUNTIFS(Offers!$B$7:$B$3000,$B14,Offers!$C$7:$C$3000,$C14,Offers!$AI$7:$AI$3000,"yes")=0,"",SUMIFS(Offers!$I$7:$I$3000,Offers!$B$7:$B$3000,$B14,Offers!$C$7:$C$3000,$C14,Offers!$AG$7:$AG$3000,COUNTIFS(Offers!$B$7:$B$3000,$B14,Offers!$C$7:$C$3000,$C14,Offers!$AI$7:$AI$3000,"yes")))</f>
        <v>16.912857</v>
      </c>
      <c r="L14" s="96"/>
      <c r="M14" s="96"/>
      <c r="N14" s="96"/>
      <c r="O14" s="101" t="n">
        <f aca="false">IF(Compare!$E$5="Local prices",IF(F14="","",IF(Compare!$C$5="Minimum",F14,IF(Compare!$C$5="Maximum",H14,G14))),IF(I14="","",IF(Compare!$C$5="Minimum",I14,IF(Compare!$C$5="Maximum",K14,J14))))</f>
        <v>10.87228</v>
      </c>
    </row>
    <row r="15" customFormat="false" ht="39" hidden="false" customHeight="true" outlineLevel="0" collapsed="false">
      <c r="A15" s="3"/>
      <c r="B15" s="31" t="s">
        <v>22</v>
      </c>
      <c r="C15" s="91" t="s">
        <v>15</v>
      </c>
      <c r="D15" s="91" t="s">
        <v>244</v>
      </c>
      <c r="E15" s="91" t="s">
        <v>491</v>
      </c>
      <c r="F15" s="92" t="n">
        <f aca="false">IF(COUNTIFS(Offers!$B$7:$B$3000,$B15,Offers!$C$7:$C$3000,$C15,Offers!$AH$7:$AH$3000,"yes")=0,"",SUMIFS(Offers!$H$7:$H$3000,Offers!$B$7:$B$3000,$B15,Offers!$C$7:$C$3000,$C15,Offers!$AF$7:$AF$3000,1))</f>
        <v>7.29</v>
      </c>
      <c r="G15" s="93" t="n">
        <f aca="false">IF(COUNTIFS(Offers!$B$7:$B$3000,$B15,Offers!$C$7:$C$3000,$C15,Offers!$AH$7:$AH$3000,"yes")=0,"",(SUMIFS(Offers!$H$7:$H$3000,Offers!$B$7:$B$3000,$B15,Offers!$C$7:$C$3000,$C15,Offers!$AF$7:$AF$3000,ROUNDUP(COUNTIFS(Offers!$B$7:$B$3000,$B15,Offers!$C$7:$C$3000,$C15,Offers!$AH$7:$AH$3000,"yes")/2,0))+SUMIFS(Offers!$H$7:$H$3000,Offers!$B$7:$B$3000,$B15,Offers!$C$7:$C$3000,$C15,Offers!$AF$7:$AF$3000,INT(COUNTIFS(Offers!$B$7:$B$3000,$B15,Offers!$C$7:$C$3000,$C15,Offers!$AH$7:$AH$3000,"yes")/2)+1))/2)</f>
        <v>10.9</v>
      </c>
      <c r="H15" s="92" t="n">
        <f aca="false">IF(COUNTIFS(Offers!$B$7:$B$3000,$B15,Offers!$C$7:$C$3000,$C15,Offers!$AH$7:$AH$3000,"yes")=0,"",SUMIFS(Offers!$H$7:$H$3000,Offers!$B$7:$B$3000,$B15,Offers!$C$7:$C$3000,$C15,Offers!$AF$7:$AF$3000,COUNTIFS(Offers!$B$7:$B$3000,$B15,Offers!$C$7:$C$3000,$C15,Offers!$AH$7:$AH$3000,"yes")))</f>
        <v>21</v>
      </c>
      <c r="I15" s="94" t="n">
        <f aca="false">IF(COUNTIFS(Offers!$B$7:$B$3000,$B15,Offers!$C$7:$C$3000,$C15,Offers!$AI$7:$AI$3000,"yes")=0,"",SUMIFS(Offers!$I$7:$I$3000,Offers!$B$7:$B$3000,$B15,Offers!$C$7:$C$3000,$C15,Offers!$AG$7:$AG$3000,1))</f>
        <v>7.29</v>
      </c>
      <c r="J15" s="95" t="n">
        <f aca="false">IF(COUNTIFS(Offers!$B$7:$B$3000,$B15,Offers!$C$7:$C$3000,$C15,Offers!$AI$7:$AI$3000,"yes")=0,"",(SUMIFS(Offers!$I$7:$I$3000,Offers!$B$7:$B$3000,$B15,Offers!$C$7:$C$3000,$C15,Offers!$AG$7:$AG$3000,ROUNDUP(COUNTIFS(Offers!$B$7:$B$3000,$B15,Offers!$C$7:$C$3000,$C15,Offers!$AI$7:$AI$3000,"yes")/2,0))+SUMIFS(Offers!$I$7:$I$3000,Offers!$B$7:$B$3000,$B15,Offers!$C$7:$C$3000,$C15,Offers!$AG$7:$AG$3000,INT(COUNTIFS(Offers!$B$7:$B$3000,$B15,Offers!$C$7:$C$3000,$C15,Offers!$AI$7:$AI$3000,"yes")/2)+1))/2)</f>
        <v>10.9</v>
      </c>
      <c r="K15" s="94" t="n">
        <f aca="false">IF(COUNTIFS(Offers!$B$7:$B$3000,$B15,Offers!$C$7:$C$3000,$C15,Offers!$AI$7:$AI$3000,"yes")=0,"",SUMIFS(Offers!$I$7:$I$3000,Offers!$B$7:$B$3000,$B15,Offers!$C$7:$C$3000,$C15,Offers!$AG$7:$AG$3000,COUNTIFS(Offers!$B$7:$B$3000,$B15,Offers!$C$7:$C$3000,$C15,Offers!$AI$7:$AI$3000,"yes")))</f>
        <v>21</v>
      </c>
      <c r="L15" s="96"/>
      <c r="M15" s="96"/>
      <c r="N15" s="96"/>
      <c r="O15" s="97" t="n">
        <f aca="false">IF(Compare!$E$5="Local prices",IF(F15="","",IF(Compare!$C$5="Minimum",F15,IF(Compare!$C$5="Maximum",H15,G15))),IF(I15="","",IF(Compare!$C$5="Minimum",I15,IF(Compare!$C$5="Maximum",K15,J15))))</f>
        <v>10.9</v>
      </c>
    </row>
    <row r="16" customFormat="false" ht="39" hidden="false" customHeight="true" outlineLevel="0" collapsed="false">
      <c r="A16" s="3"/>
      <c r="B16" s="36" t="s">
        <v>22</v>
      </c>
      <c r="C16" s="98" t="s">
        <v>16</v>
      </c>
      <c r="D16" s="98" t="s">
        <v>244</v>
      </c>
      <c r="E16" s="98" t="s">
        <v>491</v>
      </c>
      <c r="F16" s="99" t="n">
        <f aca="false">IF(COUNTIFS(Offers!$B$7:$B$3000,$B16,Offers!$C$7:$C$3000,$C16,Offers!$AH$7:$AH$3000,"yes")=0,"",SUMIFS(Offers!$H$7:$H$3000,Offers!$B$7:$B$3000,$B16,Offers!$C$7:$C$3000,$C16,Offers!$AF$7:$AF$3000,1))</f>
        <v>5.82</v>
      </c>
      <c r="G16" s="93" t="n">
        <f aca="false">IF(COUNTIFS(Offers!$B$7:$B$3000,$B16,Offers!$C$7:$C$3000,$C16,Offers!$AH$7:$AH$3000,"yes")=0,"",(SUMIFS(Offers!$H$7:$H$3000,Offers!$B$7:$B$3000,$B16,Offers!$C$7:$C$3000,$C16,Offers!$AF$7:$AF$3000,ROUNDUP(COUNTIFS(Offers!$B$7:$B$3000,$B16,Offers!$C$7:$C$3000,$C16,Offers!$AH$7:$AH$3000,"yes")/2,0))+SUMIFS(Offers!$H$7:$H$3000,Offers!$B$7:$B$3000,$B16,Offers!$C$7:$C$3000,$C16,Offers!$AF$7:$AF$3000,INT(COUNTIFS(Offers!$B$7:$B$3000,$B16,Offers!$C$7:$C$3000,$C16,Offers!$AH$7:$AH$3000,"yes")/2)+1))/2)</f>
        <v>9.35</v>
      </c>
      <c r="H16" s="99" t="n">
        <f aca="false">IF(COUNTIFS(Offers!$B$7:$B$3000,$B16,Offers!$C$7:$C$3000,$C16,Offers!$AH$7:$AH$3000,"yes")=0,"",SUMIFS(Offers!$H$7:$H$3000,Offers!$B$7:$B$3000,$B16,Offers!$C$7:$C$3000,$C16,Offers!$AF$7:$AF$3000,COUNTIFS(Offers!$B$7:$B$3000,$B16,Offers!$C$7:$C$3000,$C16,Offers!$AH$7:$AH$3000,"yes")))</f>
        <v>18.75</v>
      </c>
      <c r="I16" s="100" t="n">
        <f aca="false">IF(COUNTIFS(Offers!$B$7:$B$3000,$B16,Offers!$C$7:$C$3000,$C16,Offers!$AI$7:$AI$3000,"yes")=0,"",SUMIFS(Offers!$I$7:$I$3000,Offers!$B$7:$B$3000,$B16,Offers!$C$7:$C$3000,$C16,Offers!$AG$7:$AG$3000,1))</f>
        <v>5.82</v>
      </c>
      <c r="J16" s="95" t="n">
        <f aca="false">IF(COUNTIFS(Offers!$B$7:$B$3000,$B16,Offers!$C$7:$C$3000,$C16,Offers!$AI$7:$AI$3000,"yes")=0,"",(SUMIFS(Offers!$I$7:$I$3000,Offers!$B$7:$B$3000,$B16,Offers!$C$7:$C$3000,$C16,Offers!$AG$7:$AG$3000,ROUNDUP(COUNTIFS(Offers!$B$7:$B$3000,$B16,Offers!$C$7:$C$3000,$C16,Offers!$AI$7:$AI$3000,"yes")/2,0))+SUMIFS(Offers!$I$7:$I$3000,Offers!$B$7:$B$3000,$B16,Offers!$C$7:$C$3000,$C16,Offers!$AG$7:$AG$3000,INT(COUNTIFS(Offers!$B$7:$B$3000,$B16,Offers!$C$7:$C$3000,$C16,Offers!$AI$7:$AI$3000,"yes")/2)+1))/2)</f>
        <v>9.35</v>
      </c>
      <c r="K16" s="100" t="n">
        <f aca="false">IF(COUNTIFS(Offers!$B$7:$B$3000,$B16,Offers!$C$7:$C$3000,$C16,Offers!$AI$7:$AI$3000,"yes")=0,"",SUMIFS(Offers!$I$7:$I$3000,Offers!$B$7:$B$3000,$B16,Offers!$C$7:$C$3000,$C16,Offers!$AG$7:$AG$3000,COUNTIFS(Offers!$B$7:$B$3000,$B16,Offers!$C$7:$C$3000,$C16,Offers!$AI$7:$AI$3000,"yes")))</f>
        <v>18.75</v>
      </c>
      <c r="L16" s="96"/>
      <c r="M16" s="96"/>
      <c r="N16" s="96"/>
      <c r="O16" s="101" t="n">
        <f aca="false">IF(Compare!$E$5="Local prices",IF(F16="","",IF(Compare!$C$5="Minimum",F16,IF(Compare!$C$5="Maximum",H16,G16))),IF(I16="","",IF(Compare!$C$5="Minimum",I16,IF(Compare!$C$5="Maximum",K16,J16))))</f>
        <v>9.35</v>
      </c>
    </row>
    <row r="17" customFormat="false" ht="39" hidden="false" customHeight="true" outlineLevel="0" collapsed="false">
      <c r="A17" s="3"/>
      <c r="B17" s="31" t="s">
        <v>22</v>
      </c>
      <c r="C17" s="91" t="s">
        <v>17</v>
      </c>
      <c r="D17" s="91" t="s">
        <v>333</v>
      </c>
      <c r="E17" s="91" t="s">
        <v>491</v>
      </c>
      <c r="F17" s="92" t="n">
        <f aca="false">IF(COUNTIFS(Offers!$B$7:$B$3000,$B17,Offers!$C$7:$C$3000,$C17,Offers!$AH$7:$AH$3000,"yes")=0,"",SUMIFS(Offers!$H$7:$H$3000,Offers!$B$7:$B$3000,$B17,Offers!$C$7:$C$3000,$C17,Offers!$AF$7:$AF$3000,1))</f>
        <v>209</v>
      </c>
      <c r="G17" s="93" t="n">
        <f aca="false">IF(COUNTIFS(Offers!$B$7:$B$3000,$B17,Offers!$C$7:$C$3000,$C17,Offers!$AH$7:$AH$3000,"yes")=0,"",(SUMIFS(Offers!$H$7:$H$3000,Offers!$B$7:$B$3000,$B17,Offers!$C$7:$C$3000,$C17,Offers!$AF$7:$AF$3000,ROUNDUP(COUNTIFS(Offers!$B$7:$B$3000,$B17,Offers!$C$7:$C$3000,$C17,Offers!$AH$7:$AH$3000,"yes")/2,0))+SUMIFS(Offers!$H$7:$H$3000,Offers!$B$7:$B$3000,$B17,Offers!$C$7:$C$3000,$C17,Offers!$AF$7:$AF$3000,INT(COUNTIFS(Offers!$B$7:$B$3000,$B17,Offers!$C$7:$C$3000,$C17,Offers!$AH$7:$AH$3000,"yes")/2)+1))/2)</f>
        <v>256.675</v>
      </c>
      <c r="H17" s="92" t="n">
        <f aca="false">IF(COUNTIFS(Offers!$B$7:$B$3000,$B17,Offers!$C$7:$C$3000,$C17,Offers!$AH$7:$AH$3000,"yes")=0,"",SUMIFS(Offers!$H$7:$H$3000,Offers!$B$7:$B$3000,$B17,Offers!$C$7:$C$3000,$C17,Offers!$AF$7:$AF$3000,COUNTIFS(Offers!$B$7:$B$3000,$B17,Offers!$C$7:$C$3000,$C17,Offers!$AH$7:$AH$3000,"yes")))</f>
        <v>383.47</v>
      </c>
      <c r="I17" s="94" t="n">
        <f aca="false">IF(COUNTIFS(Offers!$B$7:$B$3000,$B17,Offers!$C$7:$C$3000,$C17,Offers!$AI$7:$AI$3000,"yes")=0,"",SUMIFS(Offers!$I$7:$I$3000,Offers!$B$7:$B$3000,$B17,Offers!$C$7:$C$3000,$C17,Offers!$AG$7:$AG$3000,1))</f>
        <v>8.557292</v>
      </c>
      <c r="J17" s="95" t="n">
        <f aca="false">IF(COUNTIFS(Offers!$B$7:$B$3000,$B17,Offers!$C$7:$C$3000,$C17,Offers!$AI$7:$AI$3000,"yes")=0,"",(SUMIFS(Offers!$I$7:$I$3000,Offers!$B$7:$B$3000,$B17,Offers!$C$7:$C$3000,$C17,Offers!$AG$7:$AG$3000,ROUNDUP(COUNTIFS(Offers!$B$7:$B$3000,$B17,Offers!$C$7:$C$3000,$C17,Offers!$AI$7:$AI$3000,"yes")/2,0))+SUMIFS(Offers!$I$7:$I$3000,Offers!$B$7:$B$3000,$B17,Offers!$C$7:$C$3000,$C17,Offers!$AG$7:$AG$3000,INT(COUNTIFS(Offers!$B$7:$B$3000,$B17,Offers!$C$7:$C$3000,$C17,Offers!$AI$7:$AI$3000,"yes")/2)+1))/2)</f>
        <v>10.5092955</v>
      </c>
      <c r="K17" s="94" t="n">
        <f aca="false">IF(COUNTIFS(Offers!$B$7:$B$3000,$B17,Offers!$C$7:$C$3000,$C17,Offers!$AI$7:$AI$3000,"yes")=0,"",SUMIFS(Offers!$I$7:$I$3000,Offers!$B$7:$B$3000,$B17,Offers!$C$7:$C$3000,$C17,Offers!$AG$7:$AG$3000,COUNTIFS(Offers!$B$7:$B$3000,$B17,Offers!$C$7:$C$3000,$C17,Offers!$AI$7:$AI$3000,"yes")))</f>
        <v>15.700787</v>
      </c>
      <c r="L17" s="96"/>
      <c r="M17" s="96"/>
      <c r="N17" s="96"/>
      <c r="O17" s="97" t="n">
        <f aca="false">IF(Compare!$E$5="Local prices",IF(F17="","",IF(Compare!$C$5="Minimum",F17,IF(Compare!$C$5="Maximum",H17,G17))),IF(I17="","",IF(Compare!$C$5="Minimum",I17,IF(Compare!$C$5="Maximum",K17,J17))))</f>
        <v>10.5092955</v>
      </c>
    </row>
    <row r="18" customFormat="false" ht="39" hidden="false" customHeight="true" outlineLevel="0" collapsed="false">
      <c r="A18" s="3"/>
      <c r="B18" s="36" t="s">
        <v>22</v>
      </c>
      <c r="C18" s="98" t="s">
        <v>18</v>
      </c>
      <c r="D18" s="98" t="s">
        <v>244</v>
      </c>
      <c r="E18" s="98" t="s">
        <v>491</v>
      </c>
      <c r="F18" s="99" t="n">
        <f aca="false">IF(COUNTIFS(Offers!$B$7:$B$3000,$B18,Offers!$C$7:$C$3000,$C18,Offers!$AH$7:$AH$3000,"yes")=0,"",SUMIFS(Offers!$H$7:$H$3000,Offers!$B$7:$B$3000,$B18,Offers!$C$7:$C$3000,$C18,Offers!$AF$7:$AF$3000,1))</f>
        <v>15.227642</v>
      </c>
      <c r="G18" s="93" t="n">
        <f aca="false">IF(COUNTIFS(Offers!$B$7:$B$3000,$B18,Offers!$C$7:$C$3000,$C18,Offers!$AH$7:$AH$3000,"yes")=0,"",(SUMIFS(Offers!$H$7:$H$3000,Offers!$B$7:$B$3000,$B18,Offers!$C$7:$C$3000,$C18,Offers!$AF$7:$AF$3000,ROUNDUP(COUNTIFS(Offers!$B$7:$B$3000,$B18,Offers!$C$7:$C$3000,$C18,Offers!$AH$7:$AH$3000,"yes")/2,0))+SUMIFS(Offers!$H$7:$H$3000,Offers!$B$7:$B$3000,$B18,Offers!$C$7:$C$3000,$C18,Offers!$AF$7:$AF$3000,INT(COUNTIFS(Offers!$B$7:$B$3000,$B18,Offers!$C$7:$C$3000,$C18,Offers!$AH$7:$AH$3000,"yes")/2)+1))/2)</f>
        <v>15.688821</v>
      </c>
      <c r="H18" s="99" t="n">
        <f aca="false">IF(COUNTIFS(Offers!$B$7:$B$3000,$B18,Offers!$C$7:$C$3000,$C18,Offers!$AH$7:$AH$3000,"yes")=0,"",SUMIFS(Offers!$H$7:$H$3000,Offers!$B$7:$B$3000,$B18,Offers!$C$7:$C$3000,$C18,Offers!$AF$7:$AF$3000,COUNTIFS(Offers!$B$7:$B$3000,$B18,Offers!$C$7:$C$3000,$C18,Offers!$AH$7:$AH$3000,"yes")))</f>
        <v>16.15</v>
      </c>
      <c r="I18" s="100" t="n">
        <f aca="false">IF(COUNTIFS(Offers!$B$7:$B$3000,$B18,Offers!$C$7:$C$3000,$C18,Offers!$AI$7:$AI$3000,"yes")=0,"",SUMIFS(Offers!$I$7:$I$3000,Offers!$B$7:$B$3000,$B18,Offers!$C$7:$C$3000,$C18,Offers!$AG$7:$AG$3000,1))</f>
        <v>15.227642</v>
      </c>
      <c r="J18" s="95" t="n">
        <f aca="false">IF(COUNTIFS(Offers!$B$7:$B$3000,$B18,Offers!$C$7:$C$3000,$C18,Offers!$AI$7:$AI$3000,"yes")=0,"",(SUMIFS(Offers!$I$7:$I$3000,Offers!$B$7:$B$3000,$B18,Offers!$C$7:$C$3000,$C18,Offers!$AG$7:$AG$3000,ROUNDUP(COUNTIFS(Offers!$B$7:$B$3000,$B18,Offers!$C$7:$C$3000,$C18,Offers!$AI$7:$AI$3000,"yes")/2,0))+SUMIFS(Offers!$I$7:$I$3000,Offers!$B$7:$B$3000,$B18,Offers!$C$7:$C$3000,$C18,Offers!$AG$7:$AG$3000,INT(COUNTIFS(Offers!$B$7:$B$3000,$B18,Offers!$C$7:$C$3000,$C18,Offers!$AI$7:$AI$3000,"yes")/2)+1))/2)</f>
        <v>15.688821</v>
      </c>
      <c r="K18" s="100" t="n">
        <f aca="false">IF(COUNTIFS(Offers!$B$7:$B$3000,$B18,Offers!$C$7:$C$3000,$C18,Offers!$AI$7:$AI$3000,"yes")=0,"",SUMIFS(Offers!$I$7:$I$3000,Offers!$B$7:$B$3000,$B18,Offers!$C$7:$C$3000,$C18,Offers!$AG$7:$AG$3000,COUNTIFS(Offers!$B$7:$B$3000,$B18,Offers!$C$7:$C$3000,$C18,Offers!$AI$7:$AI$3000,"yes")))</f>
        <v>16.15</v>
      </c>
      <c r="L18" s="96"/>
      <c r="M18" s="96"/>
      <c r="N18" s="96"/>
      <c r="O18" s="101" t="n">
        <f aca="false">IF(Compare!$E$5="Local prices",IF(F18="","",IF(Compare!$C$5="Minimum",F18,IF(Compare!$C$5="Maximum",H18,G18))),IF(I18="","",IF(Compare!$C$5="Minimum",I18,IF(Compare!$C$5="Maximum",K18,J18))))</f>
        <v>15.688821</v>
      </c>
    </row>
    <row r="19" customFormat="false" ht="39" hidden="false" customHeight="true" outlineLevel="0" collapsed="false">
      <c r="A19" s="3"/>
      <c r="B19" s="102" t="s">
        <v>23</v>
      </c>
      <c r="C19" s="103" t="s">
        <v>13</v>
      </c>
      <c r="D19" s="103" t="s">
        <v>490</v>
      </c>
      <c r="E19" s="103" t="s">
        <v>491</v>
      </c>
      <c r="F19" s="104" t="n">
        <f aca="false">IF(COUNTIFS(Offers!$B$7:$B$3000,$B19,Offers!$C$7:$C$3000,$C19,Offers!$AH$7:$AH$3000,"yes")=0,"",SUMIFS(Offers!$H$7:$H$3000,Offers!$B$7:$B$3000,$B19,Offers!$C$7:$C$3000,$C19,Offers!$AF$7:$AF$3000,1))</f>
        <v>840</v>
      </c>
      <c r="G19" s="105" t="n">
        <f aca="false">IF(COUNTIFS(Offers!$B$7:$B$3000,$B19,Offers!$C$7:$C$3000,$C19,Offers!$AH$7:$AH$3000,"yes")=0,"",(SUMIFS(Offers!$H$7:$H$3000,Offers!$B$7:$B$3000,$B19,Offers!$C$7:$C$3000,$C19,Offers!$AF$7:$AF$3000,ROUNDUP(COUNTIFS(Offers!$B$7:$B$3000,$B19,Offers!$C$7:$C$3000,$C19,Offers!$AH$7:$AH$3000,"yes")/2,0))+SUMIFS(Offers!$H$7:$H$3000,Offers!$B$7:$B$3000,$B19,Offers!$C$7:$C$3000,$C19,Offers!$AF$7:$AF$3000,INT(COUNTIFS(Offers!$B$7:$B$3000,$B19,Offers!$C$7:$C$3000,$C19,Offers!$AH$7:$AH$3000,"yes")/2)+1))/2)</f>
        <v>1555</v>
      </c>
      <c r="H19" s="104" t="n">
        <f aca="false">IF(COUNTIFS(Offers!$B$7:$B$3000,$B19,Offers!$C$7:$C$3000,$C19,Offers!$AH$7:$AH$3000,"yes")=0,"",SUMIFS(Offers!$H$7:$H$3000,Offers!$B$7:$B$3000,$B19,Offers!$C$7:$C$3000,$C19,Offers!$AF$7:$AF$3000,COUNTIFS(Offers!$B$7:$B$3000,$B19,Offers!$C$7:$C$3000,$C19,Offers!$AH$7:$AH$3000,"yes")))</f>
        <v>2023</v>
      </c>
      <c r="I19" s="106" t="n">
        <f aca="false">IF(COUNTIFS(Offers!$B$7:$B$3000,$B19,Offers!$C$7:$C$3000,$C19,Offers!$AI$7:$AI$3000,"yes")=0,"",SUMIFS(Offers!$I$7:$I$3000,Offers!$B$7:$B$3000,$B19,Offers!$C$7:$C$3000,$C19,Offers!$AG$7:$AG$3000,1))</f>
        <v>2.294392</v>
      </c>
      <c r="J19" s="107" t="n">
        <f aca="false">IF(COUNTIFS(Offers!$B$7:$B$3000,$B19,Offers!$C$7:$C$3000,$C19,Offers!$AI$7:$AI$3000,"yes")=0,"",(SUMIFS(Offers!$I$7:$I$3000,Offers!$B$7:$B$3000,$B19,Offers!$C$7:$C$3000,$C19,Offers!$AG$7:$AG$3000,ROUNDUP(COUNTIFS(Offers!$B$7:$B$3000,$B19,Offers!$C$7:$C$3000,$C19,Offers!$AI$7:$AI$3000,"yes")/2,0))+SUMIFS(Offers!$I$7:$I$3000,Offers!$B$7:$B$3000,$B19,Offers!$C$7:$C$3000,$C19,Offers!$AG$7:$AG$3000,INT(COUNTIFS(Offers!$B$7:$B$3000,$B19,Offers!$C$7:$C$3000,$C19,Offers!$AI$7:$AI$3000,"yes")/2)+1))/2)</f>
        <v>4.247357</v>
      </c>
      <c r="K19" s="106" t="n">
        <f aca="false">IF(COUNTIFS(Offers!$B$7:$B$3000,$B19,Offers!$C$7:$C$3000,$C19,Offers!$AI$7:$AI$3000,"yes")=0,"",SUMIFS(Offers!$I$7:$I$3000,Offers!$B$7:$B$3000,$B19,Offers!$C$7:$C$3000,$C19,Offers!$AG$7:$AG$3000,COUNTIFS(Offers!$B$7:$B$3000,$B19,Offers!$C$7:$C$3000,$C19,Offers!$AI$7:$AI$3000,"yes")))</f>
        <v>5.525662</v>
      </c>
      <c r="L19" s="108"/>
      <c r="M19" s="108"/>
      <c r="N19" s="108"/>
      <c r="O19" s="97" t="n">
        <f aca="false">IF(Compare!$E$5="Local prices",IF(F19="","",IF(Compare!$C$5="Minimum",F19,IF(Compare!$C$5="Maximum",H19,G19))),IF(I19="","",IF(Compare!$C$5="Minimum",I19,IF(Compare!$C$5="Maximum",K19,J19))))</f>
        <v>4.247357</v>
      </c>
    </row>
    <row r="20" customFormat="false" ht="39" hidden="false" customHeight="true" outlineLevel="0" collapsed="false">
      <c r="A20" s="3"/>
      <c r="B20" s="36" t="s">
        <v>23</v>
      </c>
      <c r="C20" s="98" t="s">
        <v>14</v>
      </c>
      <c r="D20" s="98" t="s">
        <v>374</v>
      </c>
      <c r="E20" s="98" t="s">
        <v>491</v>
      </c>
      <c r="F20" s="99" t="n">
        <f aca="false">IF(COUNTIFS(Offers!$B$7:$B$3000,$B20,Offers!$C$7:$C$3000,$C20,Offers!$AH$7:$AH$3000,"yes")=0,"",SUMIFS(Offers!$H$7:$H$3000,Offers!$B$7:$B$3000,$B20,Offers!$C$7:$C$3000,$C20,Offers!$AF$7:$AF$3000,1))</f>
        <v>31.69</v>
      </c>
      <c r="G20" s="93" t="n">
        <f aca="false">IF(COUNTIFS(Offers!$B$7:$B$3000,$B20,Offers!$C$7:$C$3000,$C20,Offers!$AH$7:$AH$3000,"yes")=0,"",(SUMIFS(Offers!$H$7:$H$3000,Offers!$B$7:$B$3000,$B20,Offers!$C$7:$C$3000,$C20,Offers!$AF$7:$AF$3000,ROUNDUP(COUNTIFS(Offers!$B$7:$B$3000,$B20,Offers!$C$7:$C$3000,$C20,Offers!$AH$7:$AH$3000,"yes")/2,0))+SUMIFS(Offers!$H$7:$H$3000,Offers!$B$7:$B$3000,$B20,Offers!$C$7:$C$3000,$C20,Offers!$AF$7:$AF$3000,INT(COUNTIFS(Offers!$B$7:$B$3000,$B20,Offers!$C$7:$C$3000,$C20,Offers!$AH$7:$AH$3000,"yes")/2)+1))/2)</f>
        <v>33.8</v>
      </c>
      <c r="H20" s="99" t="n">
        <f aca="false">IF(COUNTIFS(Offers!$B$7:$B$3000,$B20,Offers!$C$7:$C$3000,$C20,Offers!$AH$7:$AH$3000,"yes")=0,"",SUMIFS(Offers!$H$7:$H$3000,Offers!$B$7:$B$3000,$B20,Offers!$C$7:$C$3000,$C20,Offers!$AF$7:$AF$3000,COUNTIFS(Offers!$B$7:$B$3000,$B20,Offers!$C$7:$C$3000,$C20,Offers!$AH$7:$AH$3000,"yes")))</f>
        <v>35.63</v>
      </c>
      <c r="I20" s="100" t="n">
        <f aca="false">IF(COUNTIFS(Offers!$B$7:$B$3000,$B20,Offers!$C$7:$C$3000,$C20,Offers!$AI$7:$AI$3000,"yes")=0,"",SUMIFS(Offers!$I$7:$I$3000,Offers!$B$7:$B$3000,$B20,Offers!$C$7:$C$3000,$C20,Offers!$AG$7:$AG$3000,1))</f>
        <v>6.004576</v>
      </c>
      <c r="J20" s="95" t="n">
        <f aca="false">IF(COUNTIFS(Offers!$B$7:$B$3000,$B20,Offers!$C$7:$C$3000,$C20,Offers!$AI$7:$AI$3000,"yes")=0,"",(SUMIFS(Offers!$I$7:$I$3000,Offers!$B$7:$B$3000,$B20,Offers!$C$7:$C$3000,$C20,Offers!$AG$7:$AG$3000,ROUNDUP(COUNTIFS(Offers!$B$7:$B$3000,$B20,Offers!$C$7:$C$3000,$C20,Offers!$AI$7:$AI$3000,"yes")/2,0))+SUMIFS(Offers!$I$7:$I$3000,Offers!$B$7:$B$3000,$B20,Offers!$C$7:$C$3000,$C20,Offers!$AG$7:$AG$3000,INT(COUNTIFS(Offers!$B$7:$B$3000,$B20,Offers!$C$7:$C$3000,$C20,Offers!$AI$7:$AI$3000,"yes")/2)+1))/2)</f>
        <v>6.404376</v>
      </c>
      <c r="K20" s="100" t="n">
        <f aca="false">IF(COUNTIFS(Offers!$B$7:$B$3000,$B20,Offers!$C$7:$C$3000,$C20,Offers!$AI$7:$AI$3000,"yes")=0,"",SUMIFS(Offers!$I$7:$I$3000,Offers!$B$7:$B$3000,$B20,Offers!$C$7:$C$3000,$C20,Offers!$AG$7:$AG$3000,COUNTIFS(Offers!$B$7:$B$3000,$B20,Offers!$C$7:$C$3000,$C20,Offers!$AI$7:$AI$3000,"yes")))</f>
        <v>6.751122</v>
      </c>
      <c r="L20" s="96"/>
      <c r="M20" s="96"/>
      <c r="N20" s="96"/>
      <c r="O20" s="101" t="n">
        <f aca="false">IF(Compare!$E$5="Local prices",IF(F20="","",IF(Compare!$C$5="Minimum",F20,IF(Compare!$C$5="Maximum",H20,G20))),IF(I20="","",IF(Compare!$C$5="Minimum",I20,IF(Compare!$C$5="Maximum",K20,J20))))</f>
        <v>6.404376</v>
      </c>
    </row>
    <row r="21" customFormat="false" ht="39" hidden="false" customHeight="true" outlineLevel="0" collapsed="false">
      <c r="A21" s="3"/>
      <c r="B21" s="31" t="s">
        <v>23</v>
      </c>
      <c r="C21" s="91" t="s">
        <v>15</v>
      </c>
      <c r="D21" s="91" t="s">
        <v>244</v>
      </c>
      <c r="E21" s="91" t="s">
        <v>491</v>
      </c>
      <c r="F21" s="92" t="n">
        <f aca="false">IF(COUNTIFS(Offers!$B$7:$B$3000,$B21,Offers!$C$7:$C$3000,$C21,Offers!$AH$7:$AH$3000,"yes")=0,"",SUMIFS(Offers!$H$7:$H$3000,Offers!$B$7:$B$3000,$B21,Offers!$C$7:$C$3000,$C21,Offers!$AF$7:$AF$3000,1))</f>
        <v>3.33</v>
      </c>
      <c r="G21" s="93" t="n">
        <f aca="false">IF(COUNTIFS(Offers!$B$7:$B$3000,$B21,Offers!$C$7:$C$3000,$C21,Offers!$AH$7:$AH$3000,"yes")=0,"",(SUMIFS(Offers!$H$7:$H$3000,Offers!$B$7:$B$3000,$B21,Offers!$C$7:$C$3000,$C21,Offers!$AF$7:$AF$3000,ROUNDUP(COUNTIFS(Offers!$B$7:$B$3000,$B21,Offers!$C$7:$C$3000,$C21,Offers!$AH$7:$AH$3000,"yes")/2,0))+SUMIFS(Offers!$H$7:$H$3000,Offers!$B$7:$B$3000,$B21,Offers!$C$7:$C$3000,$C21,Offers!$AF$7:$AF$3000,INT(COUNTIFS(Offers!$B$7:$B$3000,$B21,Offers!$C$7:$C$3000,$C21,Offers!$AH$7:$AH$3000,"yes")/2)+1))/2)</f>
        <v>5.305</v>
      </c>
      <c r="H21" s="92" t="n">
        <f aca="false">IF(COUNTIFS(Offers!$B$7:$B$3000,$B21,Offers!$C$7:$C$3000,$C21,Offers!$AH$7:$AH$3000,"yes")=0,"",SUMIFS(Offers!$H$7:$H$3000,Offers!$B$7:$B$3000,$B21,Offers!$C$7:$C$3000,$C21,Offers!$AF$7:$AF$3000,COUNTIFS(Offers!$B$7:$B$3000,$B21,Offers!$C$7:$C$3000,$C21,Offers!$AH$7:$AH$3000,"yes")))</f>
        <v>18.6</v>
      </c>
      <c r="I21" s="94" t="n">
        <f aca="false">IF(COUNTIFS(Offers!$B$7:$B$3000,$B21,Offers!$C$7:$C$3000,$C21,Offers!$AI$7:$AI$3000,"yes")=0,"",SUMIFS(Offers!$I$7:$I$3000,Offers!$B$7:$B$3000,$B21,Offers!$C$7:$C$3000,$C21,Offers!$AG$7:$AG$3000,1))</f>
        <v>3.33</v>
      </c>
      <c r="J21" s="95" t="n">
        <f aca="false">IF(COUNTIFS(Offers!$B$7:$B$3000,$B21,Offers!$C$7:$C$3000,$C21,Offers!$AI$7:$AI$3000,"yes")=0,"",(SUMIFS(Offers!$I$7:$I$3000,Offers!$B$7:$B$3000,$B21,Offers!$C$7:$C$3000,$C21,Offers!$AG$7:$AG$3000,ROUNDUP(COUNTIFS(Offers!$B$7:$B$3000,$B21,Offers!$C$7:$C$3000,$C21,Offers!$AI$7:$AI$3000,"yes")/2,0))+SUMIFS(Offers!$I$7:$I$3000,Offers!$B$7:$B$3000,$B21,Offers!$C$7:$C$3000,$C21,Offers!$AG$7:$AG$3000,INT(COUNTIFS(Offers!$B$7:$B$3000,$B21,Offers!$C$7:$C$3000,$C21,Offers!$AI$7:$AI$3000,"yes")/2)+1))/2)</f>
        <v>5.305</v>
      </c>
      <c r="K21" s="94" t="n">
        <f aca="false">IF(COUNTIFS(Offers!$B$7:$B$3000,$B21,Offers!$C$7:$C$3000,$C21,Offers!$AI$7:$AI$3000,"yes")=0,"",SUMIFS(Offers!$I$7:$I$3000,Offers!$B$7:$B$3000,$B21,Offers!$C$7:$C$3000,$C21,Offers!$AG$7:$AG$3000,COUNTIFS(Offers!$B$7:$B$3000,$B21,Offers!$C$7:$C$3000,$C21,Offers!$AI$7:$AI$3000,"yes")))</f>
        <v>18.6</v>
      </c>
      <c r="L21" s="96"/>
      <c r="M21" s="96"/>
      <c r="N21" s="96"/>
      <c r="O21" s="97" t="n">
        <f aca="false">IF(Compare!$E$5="Local prices",IF(F21="","",IF(Compare!$C$5="Minimum",F21,IF(Compare!$C$5="Maximum",H21,G21))),IF(I21="","",IF(Compare!$C$5="Minimum",I21,IF(Compare!$C$5="Maximum",K21,J21))))</f>
        <v>5.305</v>
      </c>
    </row>
    <row r="22" customFormat="false" ht="39" hidden="false" customHeight="true" outlineLevel="0" collapsed="false">
      <c r="A22" s="3"/>
      <c r="B22" s="36" t="s">
        <v>23</v>
      </c>
      <c r="C22" s="98" t="s">
        <v>16</v>
      </c>
      <c r="D22" s="98" t="s">
        <v>244</v>
      </c>
      <c r="E22" s="98" t="s">
        <v>491</v>
      </c>
      <c r="F22" s="99" t="n">
        <f aca="false">IF(COUNTIFS(Offers!$B$7:$B$3000,$B22,Offers!$C$7:$C$3000,$C22,Offers!$AH$7:$AH$3000,"yes")=0,"",SUMIFS(Offers!$H$7:$H$3000,Offers!$B$7:$B$3000,$B22,Offers!$C$7:$C$3000,$C22,Offers!$AF$7:$AF$3000,1))</f>
        <v>3.17</v>
      </c>
      <c r="G22" s="93" t="n">
        <f aca="false">IF(COUNTIFS(Offers!$B$7:$B$3000,$B22,Offers!$C$7:$C$3000,$C22,Offers!$AH$7:$AH$3000,"yes")=0,"",(SUMIFS(Offers!$H$7:$H$3000,Offers!$B$7:$B$3000,$B22,Offers!$C$7:$C$3000,$C22,Offers!$AF$7:$AF$3000,ROUNDUP(COUNTIFS(Offers!$B$7:$B$3000,$B22,Offers!$C$7:$C$3000,$C22,Offers!$AH$7:$AH$3000,"yes")/2,0))+SUMIFS(Offers!$H$7:$H$3000,Offers!$B$7:$B$3000,$B22,Offers!$C$7:$C$3000,$C22,Offers!$AF$7:$AF$3000,INT(COUNTIFS(Offers!$B$7:$B$3000,$B22,Offers!$C$7:$C$3000,$C22,Offers!$AH$7:$AH$3000,"yes")/2)+1))/2)</f>
        <v>6.93</v>
      </c>
      <c r="H22" s="99" t="n">
        <f aca="false">IF(COUNTIFS(Offers!$B$7:$B$3000,$B22,Offers!$C$7:$C$3000,$C22,Offers!$AH$7:$AH$3000,"yes")=0,"",SUMIFS(Offers!$H$7:$H$3000,Offers!$B$7:$B$3000,$B22,Offers!$C$7:$C$3000,$C22,Offers!$AF$7:$AF$3000,COUNTIFS(Offers!$B$7:$B$3000,$B22,Offers!$C$7:$C$3000,$C22,Offers!$AH$7:$AH$3000,"yes")))</f>
        <v>18.6</v>
      </c>
      <c r="I22" s="100" t="n">
        <f aca="false">IF(COUNTIFS(Offers!$B$7:$B$3000,$B22,Offers!$C$7:$C$3000,$C22,Offers!$AI$7:$AI$3000,"yes")=0,"",SUMIFS(Offers!$I$7:$I$3000,Offers!$B$7:$B$3000,$B22,Offers!$C$7:$C$3000,$C22,Offers!$AG$7:$AG$3000,1))</f>
        <v>3.17</v>
      </c>
      <c r="J22" s="95" t="n">
        <f aca="false">IF(COUNTIFS(Offers!$B$7:$B$3000,$B22,Offers!$C$7:$C$3000,$C22,Offers!$AI$7:$AI$3000,"yes")=0,"",(SUMIFS(Offers!$I$7:$I$3000,Offers!$B$7:$B$3000,$B22,Offers!$C$7:$C$3000,$C22,Offers!$AG$7:$AG$3000,ROUNDUP(COUNTIFS(Offers!$B$7:$B$3000,$B22,Offers!$C$7:$C$3000,$C22,Offers!$AI$7:$AI$3000,"yes")/2,0))+SUMIFS(Offers!$I$7:$I$3000,Offers!$B$7:$B$3000,$B22,Offers!$C$7:$C$3000,$C22,Offers!$AG$7:$AG$3000,INT(COUNTIFS(Offers!$B$7:$B$3000,$B22,Offers!$C$7:$C$3000,$C22,Offers!$AI$7:$AI$3000,"yes")/2)+1))/2)</f>
        <v>6.93</v>
      </c>
      <c r="K22" s="100" t="n">
        <f aca="false">IF(COUNTIFS(Offers!$B$7:$B$3000,$B22,Offers!$C$7:$C$3000,$C22,Offers!$AI$7:$AI$3000,"yes")=0,"",SUMIFS(Offers!$I$7:$I$3000,Offers!$B$7:$B$3000,$B22,Offers!$C$7:$C$3000,$C22,Offers!$AG$7:$AG$3000,COUNTIFS(Offers!$B$7:$B$3000,$B22,Offers!$C$7:$C$3000,$C22,Offers!$AI$7:$AI$3000,"yes")))</f>
        <v>18.6</v>
      </c>
      <c r="L22" s="96"/>
      <c r="M22" s="96"/>
      <c r="N22" s="96"/>
      <c r="O22" s="101" t="n">
        <f aca="false">IF(Compare!$E$5="Local prices",IF(F22="","",IF(Compare!$C$5="Minimum",F22,IF(Compare!$C$5="Maximum",H22,G22))),IF(I22="","",IF(Compare!$C$5="Minimum",I22,IF(Compare!$C$5="Maximum",K22,J22))))</f>
        <v>6.93</v>
      </c>
    </row>
    <row r="23" customFormat="false" ht="39" hidden="false" customHeight="true" outlineLevel="0" collapsed="false">
      <c r="A23" s="3"/>
      <c r="B23" s="31" t="s">
        <v>23</v>
      </c>
      <c r="C23" s="91" t="s">
        <v>17</v>
      </c>
      <c r="D23" s="91" t="s">
        <v>333</v>
      </c>
      <c r="E23" s="91" t="s">
        <v>491</v>
      </c>
      <c r="F23" s="92" t="n">
        <f aca="false">IF(COUNTIFS(Offers!$B$7:$B$3000,$B23,Offers!$C$7:$C$3000,$C23,Offers!$AH$7:$AH$3000,"yes")=0,"",SUMIFS(Offers!$H$7:$H$3000,Offers!$B$7:$B$3000,$B23,Offers!$C$7:$C$3000,$C23,Offers!$AF$7:$AF$3000,1))</f>
        <v>79</v>
      </c>
      <c r="G23" s="93" t="n">
        <f aca="false">IF(COUNTIFS(Offers!$B$7:$B$3000,$B23,Offers!$C$7:$C$3000,$C23,Offers!$AH$7:$AH$3000,"yes")=0,"",(SUMIFS(Offers!$H$7:$H$3000,Offers!$B$7:$B$3000,$B23,Offers!$C$7:$C$3000,$C23,Offers!$AF$7:$AF$3000,ROUNDUP(COUNTIFS(Offers!$B$7:$B$3000,$B23,Offers!$C$7:$C$3000,$C23,Offers!$AH$7:$AH$3000,"yes")/2,0))+SUMIFS(Offers!$H$7:$H$3000,Offers!$B$7:$B$3000,$B23,Offers!$C$7:$C$3000,$C23,Offers!$AF$7:$AF$3000,INT(COUNTIFS(Offers!$B$7:$B$3000,$B23,Offers!$C$7:$C$3000,$C23,Offers!$AH$7:$AH$3000,"yes")/2)+1))/2)</f>
        <v>101.57</v>
      </c>
      <c r="H23" s="92" t="n">
        <f aca="false">IF(COUNTIFS(Offers!$B$7:$B$3000,$B23,Offers!$C$7:$C$3000,$C23,Offers!$AH$7:$AH$3000,"yes")=0,"",SUMIFS(Offers!$H$7:$H$3000,Offers!$B$7:$B$3000,$B23,Offers!$C$7:$C$3000,$C23,Offers!$AF$7:$AF$3000,COUNTIFS(Offers!$B$7:$B$3000,$B23,Offers!$C$7:$C$3000,$C23,Offers!$AH$7:$AH$3000,"yes")))</f>
        <v>151</v>
      </c>
      <c r="I23" s="94" t="n">
        <f aca="false">IF(COUNTIFS(Offers!$B$7:$B$3000,$B23,Offers!$C$7:$C$3000,$C23,Offers!$AI$7:$AI$3000,"yes")=0,"",SUMIFS(Offers!$I$7:$I$3000,Offers!$B$7:$B$3000,$B23,Offers!$C$7:$C$3000,$C23,Offers!$AG$7:$AG$3000,1))</f>
        <v>3.234574</v>
      </c>
      <c r="J23" s="95" t="n">
        <f aca="false">IF(COUNTIFS(Offers!$B$7:$B$3000,$B23,Offers!$C$7:$C$3000,$C23,Offers!$AI$7:$AI$3000,"yes")=0,"",(SUMIFS(Offers!$I$7:$I$3000,Offers!$B$7:$B$3000,$B23,Offers!$C$7:$C$3000,$C23,Offers!$AG$7:$AG$3000,ROUNDUP(COUNTIFS(Offers!$B$7:$B$3000,$B23,Offers!$C$7:$C$3000,$C23,Offers!$AI$7:$AI$3000,"yes")/2,0))+SUMIFS(Offers!$I$7:$I$3000,Offers!$B$7:$B$3000,$B23,Offers!$C$7:$C$3000,$C23,Offers!$AG$7:$AG$3000,INT(COUNTIFS(Offers!$B$7:$B$3000,$B23,Offers!$C$7:$C$3000,$C23,Offers!$AI$7:$AI$3000,"yes")/2)+1))/2)</f>
        <v>4.15868</v>
      </c>
      <c r="K23" s="94" t="n">
        <f aca="false">IF(COUNTIFS(Offers!$B$7:$B$3000,$B23,Offers!$C$7:$C$3000,$C23,Offers!$AI$7:$AI$3000,"yes")=0,"",SUMIFS(Offers!$I$7:$I$3000,Offers!$B$7:$B$3000,$B23,Offers!$C$7:$C$3000,$C23,Offers!$AG$7:$AG$3000,COUNTIFS(Offers!$B$7:$B$3000,$B23,Offers!$C$7:$C$3000,$C23,Offers!$AI$7:$AI$3000,"yes")))</f>
        <v>6.182541</v>
      </c>
      <c r="L23" s="96"/>
      <c r="M23" s="96"/>
      <c r="N23" s="96"/>
      <c r="O23" s="97" t="n">
        <f aca="false">IF(Compare!$E$5="Local prices",IF(F23="","",IF(Compare!$C$5="Minimum",F23,IF(Compare!$C$5="Maximum",H23,G23))),IF(I23="","",IF(Compare!$C$5="Minimum",I23,IF(Compare!$C$5="Maximum",K23,J23))))</f>
        <v>4.15868</v>
      </c>
    </row>
    <row r="24" customFormat="false" ht="39" hidden="false" customHeight="true" outlineLevel="0" collapsed="false">
      <c r="A24" s="3"/>
      <c r="B24" s="36" t="s">
        <v>23</v>
      </c>
      <c r="C24" s="98" t="s">
        <v>18</v>
      </c>
      <c r="D24" s="98" t="s">
        <v>244</v>
      </c>
      <c r="E24" s="98" t="s">
        <v>491</v>
      </c>
      <c r="F24" s="99" t="n">
        <f aca="false">IF(COUNTIFS(Offers!$B$7:$B$3000,$B24,Offers!$C$7:$C$3000,$C24,Offers!$AH$7:$AH$3000,"yes")=0,"",SUMIFS(Offers!$H$7:$H$3000,Offers!$B$7:$B$3000,$B24,Offers!$C$7:$C$3000,$C24,Offers!$AF$7:$AF$3000,1))</f>
        <v>6.373984</v>
      </c>
      <c r="G24" s="93" t="n">
        <f aca="false">IF(COUNTIFS(Offers!$B$7:$B$3000,$B24,Offers!$C$7:$C$3000,$C24,Offers!$AH$7:$AH$3000,"yes")=0,"",(SUMIFS(Offers!$H$7:$H$3000,Offers!$B$7:$B$3000,$B24,Offers!$C$7:$C$3000,$C24,Offers!$AF$7:$AF$3000,ROUNDUP(COUNTIFS(Offers!$B$7:$B$3000,$B24,Offers!$C$7:$C$3000,$C24,Offers!$AH$7:$AH$3000,"yes")/2,0))+SUMIFS(Offers!$H$7:$H$3000,Offers!$B$7:$B$3000,$B24,Offers!$C$7:$C$3000,$C24,Offers!$AF$7:$AF$3000,INT(COUNTIFS(Offers!$B$7:$B$3000,$B24,Offers!$C$7:$C$3000,$C24,Offers!$AH$7:$AH$3000,"yes")/2)+1))/2)</f>
        <v>11.991992</v>
      </c>
      <c r="H24" s="99" t="n">
        <f aca="false">IF(COUNTIFS(Offers!$B$7:$B$3000,$B24,Offers!$C$7:$C$3000,$C24,Offers!$AH$7:$AH$3000,"yes")=0,"",SUMIFS(Offers!$H$7:$H$3000,Offers!$B$7:$B$3000,$B24,Offers!$C$7:$C$3000,$C24,Offers!$AF$7:$AF$3000,COUNTIFS(Offers!$B$7:$B$3000,$B24,Offers!$C$7:$C$3000,$C24,Offers!$AH$7:$AH$3000,"yes")))</f>
        <v>17.61</v>
      </c>
      <c r="I24" s="100" t="n">
        <f aca="false">IF(COUNTIFS(Offers!$B$7:$B$3000,$B24,Offers!$C$7:$C$3000,$C24,Offers!$AI$7:$AI$3000,"yes")=0,"",SUMIFS(Offers!$I$7:$I$3000,Offers!$B$7:$B$3000,$B24,Offers!$C$7:$C$3000,$C24,Offers!$AG$7:$AG$3000,1))</f>
        <v>6.373984</v>
      </c>
      <c r="J24" s="95" t="n">
        <f aca="false">IF(COUNTIFS(Offers!$B$7:$B$3000,$B24,Offers!$C$7:$C$3000,$C24,Offers!$AI$7:$AI$3000,"yes")=0,"",(SUMIFS(Offers!$I$7:$I$3000,Offers!$B$7:$B$3000,$B24,Offers!$C$7:$C$3000,$C24,Offers!$AG$7:$AG$3000,ROUNDUP(COUNTIFS(Offers!$B$7:$B$3000,$B24,Offers!$C$7:$C$3000,$C24,Offers!$AI$7:$AI$3000,"yes")/2,0))+SUMIFS(Offers!$I$7:$I$3000,Offers!$B$7:$B$3000,$B24,Offers!$C$7:$C$3000,$C24,Offers!$AG$7:$AG$3000,INT(COUNTIFS(Offers!$B$7:$B$3000,$B24,Offers!$C$7:$C$3000,$C24,Offers!$AI$7:$AI$3000,"yes")/2)+1))/2)</f>
        <v>11.991992</v>
      </c>
      <c r="K24" s="100" t="n">
        <f aca="false">IF(COUNTIFS(Offers!$B$7:$B$3000,$B24,Offers!$C$7:$C$3000,$C24,Offers!$AI$7:$AI$3000,"yes")=0,"",SUMIFS(Offers!$I$7:$I$3000,Offers!$B$7:$B$3000,$B24,Offers!$C$7:$C$3000,$C24,Offers!$AG$7:$AG$3000,COUNTIFS(Offers!$B$7:$B$3000,$B24,Offers!$C$7:$C$3000,$C24,Offers!$AI$7:$AI$3000,"yes")))</f>
        <v>17.61</v>
      </c>
      <c r="L24" s="96"/>
      <c r="M24" s="96"/>
      <c r="N24" s="96"/>
      <c r="O24" s="101" t="n">
        <f aca="false">IF(Compare!$E$5="Local prices",IF(F24="","",IF(Compare!$C$5="Minimum",F24,IF(Compare!$C$5="Maximum",H24,G24))),IF(I24="","",IF(Compare!$C$5="Minimum",I24,IF(Compare!$C$5="Maximum",K24,J24))))</f>
        <v>11.991992</v>
      </c>
    </row>
    <row r="25" customFormat="false" ht="39" hidden="false" customHeight="true" outlineLevel="0" collapsed="false">
      <c r="A25" s="3"/>
      <c r="B25" s="102" t="s">
        <v>24</v>
      </c>
      <c r="C25" s="103" t="s">
        <v>13</v>
      </c>
      <c r="D25" s="103" t="s">
        <v>490</v>
      </c>
      <c r="E25" s="103" t="s">
        <v>491</v>
      </c>
      <c r="F25" s="104" t="str">
        <f aca="false">IF(COUNTIFS(Offers!$B$7:$B$3000,$B25,Offers!$C$7:$C$3000,$C25,Offers!$AH$7:$AH$3000,"yes")=0,"",SUMIFS(Offers!$H$7:$H$3000,Offers!$B$7:$B$3000,$B25,Offers!$C$7:$C$3000,$C25,Offers!$AF$7:$AF$3000,1))</f>
        <v/>
      </c>
      <c r="G25" s="105" t="str">
        <f aca="false">IF(COUNTIFS(Offers!$B$7:$B$3000,$B25,Offers!$C$7:$C$3000,$C25,Offers!$AH$7:$AH$3000,"yes")=0,"",(SUMIFS(Offers!$H$7:$H$3000,Offers!$B$7:$B$3000,$B25,Offers!$C$7:$C$3000,$C25,Offers!$AF$7:$AF$3000,ROUNDUP(COUNTIFS(Offers!$B$7:$B$3000,$B25,Offers!$C$7:$C$3000,$C25,Offers!$AH$7:$AH$3000,"yes")/2,0))+SUMIFS(Offers!$H$7:$H$3000,Offers!$B$7:$B$3000,$B25,Offers!$C$7:$C$3000,$C25,Offers!$AF$7:$AF$3000,INT(COUNTIFS(Offers!$B$7:$B$3000,$B25,Offers!$C$7:$C$3000,$C25,Offers!$AH$7:$AH$3000,"yes")/2)+1))/2)</f>
        <v/>
      </c>
      <c r="H25" s="104" t="str">
        <f aca="false">IF(COUNTIFS(Offers!$B$7:$B$3000,$B25,Offers!$C$7:$C$3000,$C25,Offers!$AH$7:$AH$3000,"yes")=0,"",SUMIFS(Offers!$H$7:$H$3000,Offers!$B$7:$B$3000,$B25,Offers!$C$7:$C$3000,$C25,Offers!$AF$7:$AF$3000,COUNTIFS(Offers!$B$7:$B$3000,$B25,Offers!$C$7:$C$3000,$C25,Offers!$AH$7:$AH$3000,"yes")))</f>
        <v/>
      </c>
      <c r="I25" s="106" t="str">
        <f aca="false">IF(COUNTIFS(Offers!$B$7:$B$3000,$B25,Offers!$C$7:$C$3000,$C25,Offers!$AI$7:$AI$3000,"yes")=0,"",SUMIFS(Offers!$I$7:$I$3000,Offers!$B$7:$B$3000,$B25,Offers!$C$7:$C$3000,$C25,Offers!$AG$7:$AG$3000,1))</f>
        <v/>
      </c>
      <c r="J25" s="107" t="str">
        <f aca="false">IF(COUNTIFS(Offers!$B$7:$B$3000,$B25,Offers!$C$7:$C$3000,$C25,Offers!$AI$7:$AI$3000,"yes")=0,"",(SUMIFS(Offers!$I$7:$I$3000,Offers!$B$7:$B$3000,$B25,Offers!$C$7:$C$3000,$C25,Offers!$AG$7:$AG$3000,ROUNDUP(COUNTIFS(Offers!$B$7:$B$3000,$B25,Offers!$C$7:$C$3000,$C25,Offers!$AI$7:$AI$3000,"yes")/2,0))+SUMIFS(Offers!$I$7:$I$3000,Offers!$B$7:$B$3000,$B25,Offers!$C$7:$C$3000,$C25,Offers!$AG$7:$AG$3000,INT(COUNTIFS(Offers!$B$7:$B$3000,$B25,Offers!$C$7:$C$3000,$C25,Offers!$AI$7:$AI$3000,"yes")/2)+1))/2)</f>
        <v/>
      </c>
      <c r="K25" s="106" t="str">
        <f aca="false">IF(COUNTIFS(Offers!$B$7:$B$3000,$B25,Offers!$C$7:$C$3000,$C25,Offers!$AI$7:$AI$3000,"yes")=0,"",SUMIFS(Offers!$I$7:$I$3000,Offers!$B$7:$B$3000,$B25,Offers!$C$7:$C$3000,$C25,Offers!$AG$7:$AG$3000,COUNTIFS(Offers!$B$7:$B$3000,$B25,Offers!$C$7:$C$3000,$C25,Offers!$AI$7:$AI$3000,"yes")))</f>
        <v/>
      </c>
      <c r="L25" s="108"/>
      <c r="M25" s="108"/>
      <c r="N25" s="108"/>
      <c r="O25" s="109" t="str">
        <f aca="false">IF(Compare!$E$5="Local prices",IF(F25="","",IF(Compare!$C$5="Minimum",F25,IF(Compare!$C$5="Maximum",H25,G25))),IF(I25="","",IF(Compare!$C$5="Minimum",I25,IF(Compare!$C$5="Maximum",K25,J25))))</f>
        <v/>
      </c>
    </row>
    <row r="26" customFormat="false" ht="39" hidden="false" customHeight="true" outlineLevel="0" collapsed="false">
      <c r="A26" s="3"/>
      <c r="B26" s="36" t="s">
        <v>24</v>
      </c>
      <c r="C26" s="98" t="s">
        <v>14</v>
      </c>
      <c r="D26" s="98" t="s">
        <v>374</v>
      </c>
      <c r="E26" s="98" t="s">
        <v>491</v>
      </c>
      <c r="F26" s="99" t="n">
        <f aca="false">IF(COUNTIFS(Offers!$B$7:$B$3000,$B26,Offers!$C$7:$C$3000,$C26,Offers!$AH$7:$AH$3000,"yes")=0,"",SUMIFS(Offers!$H$7:$H$3000,Offers!$B$7:$B$3000,$B26,Offers!$C$7:$C$3000,$C26,Offers!$AF$7:$AF$3000,1))</f>
        <v>23.05</v>
      </c>
      <c r="G26" s="93" t="n">
        <f aca="false">IF(COUNTIFS(Offers!$B$7:$B$3000,$B26,Offers!$C$7:$C$3000,$C26,Offers!$AH$7:$AH$3000,"yes")=0,"",(SUMIFS(Offers!$H$7:$H$3000,Offers!$B$7:$B$3000,$B26,Offers!$C$7:$C$3000,$C26,Offers!$AF$7:$AF$3000,ROUNDUP(COUNTIFS(Offers!$B$7:$B$3000,$B26,Offers!$C$7:$C$3000,$C26,Offers!$AH$7:$AH$3000,"yes")/2,0))+SUMIFS(Offers!$H$7:$H$3000,Offers!$B$7:$B$3000,$B26,Offers!$C$7:$C$3000,$C26,Offers!$AF$7:$AF$3000,INT(COUNTIFS(Offers!$B$7:$B$3000,$B26,Offers!$C$7:$C$3000,$C26,Offers!$AH$7:$AH$3000,"yes")/2)+1))/2)</f>
        <v>23.8</v>
      </c>
      <c r="H26" s="99" t="n">
        <f aca="false">IF(COUNTIFS(Offers!$B$7:$B$3000,$B26,Offers!$C$7:$C$3000,$C26,Offers!$AH$7:$AH$3000,"yes")=0,"",SUMIFS(Offers!$H$7:$H$3000,Offers!$B$7:$B$3000,$B26,Offers!$C$7:$C$3000,$C26,Offers!$AF$7:$AF$3000,COUNTIFS(Offers!$B$7:$B$3000,$B26,Offers!$C$7:$C$3000,$C26,Offers!$AH$7:$AH$3000,"yes")))</f>
        <v>27.61</v>
      </c>
      <c r="I26" s="100" t="n">
        <f aca="false">IF(COUNTIFS(Offers!$B$7:$B$3000,$B26,Offers!$C$7:$C$3000,$C26,Offers!$AI$7:$AI$3000,"yes")=0,"",SUMIFS(Offers!$I$7:$I$3000,Offers!$B$7:$B$3000,$B26,Offers!$C$7:$C$3000,$C26,Offers!$AG$7:$AG$3000,1))</f>
        <v>4.367481</v>
      </c>
      <c r="J26" s="95" t="n">
        <f aca="false">IF(COUNTIFS(Offers!$B$7:$B$3000,$B26,Offers!$C$7:$C$3000,$C26,Offers!$AI$7:$AI$3000,"yes")=0,"",(SUMIFS(Offers!$I$7:$I$3000,Offers!$B$7:$B$3000,$B26,Offers!$C$7:$C$3000,$C26,Offers!$AG$7:$AG$3000,ROUNDUP(COUNTIFS(Offers!$B$7:$B$3000,$B26,Offers!$C$7:$C$3000,$C26,Offers!$AI$7:$AI$3000,"yes")/2,0))+SUMIFS(Offers!$I$7:$I$3000,Offers!$B$7:$B$3000,$B26,Offers!$C$7:$C$3000,$C26,Offers!$AG$7:$AG$3000,INT(COUNTIFS(Offers!$B$7:$B$3000,$B26,Offers!$C$7:$C$3000,$C26,Offers!$AI$7:$AI$3000,"yes")/2)+1))/2)</f>
        <v>4.50959</v>
      </c>
      <c r="K26" s="100" t="n">
        <f aca="false">IF(COUNTIFS(Offers!$B$7:$B$3000,$B26,Offers!$C$7:$C$3000,$C26,Offers!$AI$7:$AI$3000,"yes")=0,"",SUMIFS(Offers!$I$7:$I$3000,Offers!$B$7:$B$3000,$B26,Offers!$C$7:$C$3000,$C26,Offers!$AG$7:$AG$3000,COUNTIFS(Offers!$B$7:$B$3000,$B26,Offers!$C$7:$C$3000,$C26,Offers!$AI$7:$AI$3000,"yes")))</f>
        <v>5.231503</v>
      </c>
      <c r="L26" s="96"/>
      <c r="M26" s="96"/>
      <c r="N26" s="96"/>
      <c r="O26" s="101" t="n">
        <f aca="false">IF(Compare!$E$5="Local prices",IF(F26="","",IF(Compare!$C$5="Minimum",F26,IF(Compare!$C$5="Maximum",H26,G26))),IF(I26="","",IF(Compare!$C$5="Minimum",I26,IF(Compare!$C$5="Maximum",K26,J26))))</f>
        <v>4.50959</v>
      </c>
    </row>
    <row r="27" customFormat="false" ht="39" hidden="false" customHeight="true" outlineLevel="0" collapsed="false">
      <c r="A27" s="3"/>
      <c r="B27" s="31" t="s">
        <v>24</v>
      </c>
      <c r="C27" s="91" t="s">
        <v>15</v>
      </c>
      <c r="D27" s="91" t="s">
        <v>244</v>
      </c>
      <c r="E27" s="91" t="s">
        <v>491</v>
      </c>
      <c r="F27" s="92" t="n">
        <f aca="false">IF(COUNTIFS(Offers!$B$7:$B$3000,$B27,Offers!$C$7:$C$3000,$C27,Offers!$AH$7:$AH$3000,"yes")=0,"",SUMIFS(Offers!$H$7:$H$3000,Offers!$B$7:$B$3000,$B27,Offers!$C$7:$C$3000,$C27,Offers!$AF$7:$AF$3000,1))</f>
        <v>2.46</v>
      </c>
      <c r="G27" s="93" t="n">
        <f aca="false">IF(COUNTIFS(Offers!$B$7:$B$3000,$B27,Offers!$C$7:$C$3000,$C27,Offers!$AH$7:$AH$3000,"yes")=0,"",(SUMIFS(Offers!$H$7:$H$3000,Offers!$B$7:$B$3000,$B27,Offers!$C$7:$C$3000,$C27,Offers!$AF$7:$AF$3000,ROUNDUP(COUNTIFS(Offers!$B$7:$B$3000,$B27,Offers!$C$7:$C$3000,$C27,Offers!$AH$7:$AH$3000,"yes")/2,0))+SUMIFS(Offers!$H$7:$H$3000,Offers!$B$7:$B$3000,$B27,Offers!$C$7:$C$3000,$C27,Offers!$AF$7:$AF$3000,INT(COUNTIFS(Offers!$B$7:$B$3000,$B27,Offers!$C$7:$C$3000,$C27,Offers!$AH$7:$AH$3000,"yes")/2)+1))/2)</f>
        <v>6.525</v>
      </c>
      <c r="H27" s="92" t="n">
        <f aca="false">IF(COUNTIFS(Offers!$B$7:$B$3000,$B27,Offers!$C$7:$C$3000,$C27,Offers!$AH$7:$AH$3000,"yes")=0,"",SUMIFS(Offers!$H$7:$H$3000,Offers!$B$7:$B$3000,$B27,Offers!$C$7:$C$3000,$C27,Offers!$AF$7:$AF$3000,COUNTIFS(Offers!$B$7:$B$3000,$B27,Offers!$C$7:$C$3000,$C27,Offers!$AH$7:$AH$3000,"yes")))</f>
        <v>16.66</v>
      </c>
      <c r="I27" s="94" t="n">
        <f aca="false">IF(COUNTIFS(Offers!$B$7:$B$3000,$B27,Offers!$C$7:$C$3000,$C27,Offers!$AI$7:$AI$3000,"yes")=0,"",SUMIFS(Offers!$I$7:$I$3000,Offers!$B$7:$B$3000,$B27,Offers!$C$7:$C$3000,$C27,Offers!$AG$7:$AG$3000,1))</f>
        <v>2.46</v>
      </c>
      <c r="J27" s="95" t="n">
        <f aca="false">IF(COUNTIFS(Offers!$B$7:$B$3000,$B27,Offers!$C$7:$C$3000,$C27,Offers!$AI$7:$AI$3000,"yes")=0,"",(SUMIFS(Offers!$I$7:$I$3000,Offers!$B$7:$B$3000,$B27,Offers!$C$7:$C$3000,$C27,Offers!$AG$7:$AG$3000,ROUNDUP(COUNTIFS(Offers!$B$7:$B$3000,$B27,Offers!$C$7:$C$3000,$C27,Offers!$AI$7:$AI$3000,"yes")/2,0))+SUMIFS(Offers!$I$7:$I$3000,Offers!$B$7:$B$3000,$B27,Offers!$C$7:$C$3000,$C27,Offers!$AG$7:$AG$3000,INT(COUNTIFS(Offers!$B$7:$B$3000,$B27,Offers!$C$7:$C$3000,$C27,Offers!$AI$7:$AI$3000,"yes")/2)+1))/2)</f>
        <v>6.525</v>
      </c>
      <c r="K27" s="94" t="n">
        <f aca="false">IF(COUNTIFS(Offers!$B$7:$B$3000,$B27,Offers!$C$7:$C$3000,$C27,Offers!$AI$7:$AI$3000,"yes")=0,"",SUMIFS(Offers!$I$7:$I$3000,Offers!$B$7:$B$3000,$B27,Offers!$C$7:$C$3000,$C27,Offers!$AG$7:$AG$3000,COUNTIFS(Offers!$B$7:$B$3000,$B27,Offers!$C$7:$C$3000,$C27,Offers!$AI$7:$AI$3000,"yes")))</f>
        <v>16.66</v>
      </c>
      <c r="L27" s="96"/>
      <c r="M27" s="96"/>
      <c r="N27" s="96"/>
      <c r="O27" s="97" t="n">
        <f aca="false">IF(Compare!$E$5="Local prices",IF(F27="","",IF(Compare!$C$5="Minimum",F27,IF(Compare!$C$5="Maximum",H27,G27))),IF(I27="","",IF(Compare!$C$5="Minimum",I27,IF(Compare!$C$5="Maximum",K27,J27))))</f>
        <v>6.525</v>
      </c>
    </row>
    <row r="28" customFormat="false" ht="39" hidden="false" customHeight="true" outlineLevel="0" collapsed="false">
      <c r="A28" s="3"/>
      <c r="B28" s="36" t="s">
        <v>24</v>
      </c>
      <c r="C28" s="98" t="s">
        <v>16</v>
      </c>
      <c r="D28" s="98" t="s">
        <v>244</v>
      </c>
      <c r="E28" s="98" t="s">
        <v>491</v>
      </c>
      <c r="F28" s="99" t="n">
        <f aca="false">IF(COUNTIFS(Offers!$B$7:$B$3000,$B28,Offers!$C$7:$C$3000,$C28,Offers!$AH$7:$AH$3000,"yes")=0,"",SUMIFS(Offers!$H$7:$H$3000,Offers!$B$7:$B$3000,$B28,Offers!$C$7:$C$3000,$C28,Offers!$AF$7:$AF$3000,1))</f>
        <v>2.33</v>
      </c>
      <c r="G28" s="93" t="n">
        <f aca="false">IF(COUNTIFS(Offers!$B$7:$B$3000,$B28,Offers!$C$7:$C$3000,$C28,Offers!$AH$7:$AH$3000,"yes")=0,"",(SUMIFS(Offers!$H$7:$H$3000,Offers!$B$7:$B$3000,$B28,Offers!$C$7:$C$3000,$C28,Offers!$AF$7:$AF$3000,ROUNDUP(COUNTIFS(Offers!$B$7:$B$3000,$B28,Offers!$C$7:$C$3000,$C28,Offers!$AH$7:$AH$3000,"yes")/2,0))+SUMIFS(Offers!$H$7:$H$3000,Offers!$B$7:$B$3000,$B28,Offers!$C$7:$C$3000,$C28,Offers!$AF$7:$AF$3000,INT(COUNTIFS(Offers!$B$7:$B$3000,$B28,Offers!$C$7:$C$3000,$C28,Offers!$AH$7:$AH$3000,"yes")/2)+1))/2)</f>
        <v>7.5</v>
      </c>
      <c r="H28" s="99" t="n">
        <f aca="false">IF(COUNTIFS(Offers!$B$7:$B$3000,$B28,Offers!$C$7:$C$3000,$C28,Offers!$AH$7:$AH$3000,"yes")=0,"",SUMIFS(Offers!$H$7:$H$3000,Offers!$B$7:$B$3000,$B28,Offers!$C$7:$C$3000,$C28,Offers!$AF$7:$AF$3000,COUNTIFS(Offers!$B$7:$B$3000,$B28,Offers!$C$7:$C$3000,$C28,Offers!$AH$7:$AH$3000,"yes")))</f>
        <v>16.66</v>
      </c>
      <c r="I28" s="100" t="n">
        <f aca="false">IF(COUNTIFS(Offers!$B$7:$B$3000,$B28,Offers!$C$7:$C$3000,$C28,Offers!$AI$7:$AI$3000,"yes")=0,"",SUMIFS(Offers!$I$7:$I$3000,Offers!$B$7:$B$3000,$B28,Offers!$C$7:$C$3000,$C28,Offers!$AG$7:$AG$3000,1))</f>
        <v>2.33</v>
      </c>
      <c r="J28" s="95" t="n">
        <f aca="false">IF(COUNTIFS(Offers!$B$7:$B$3000,$B28,Offers!$C$7:$C$3000,$C28,Offers!$AI$7:$AI$3000,"yes")=0,"",(SUMIFS(Offers!$I$7:$I$3000,Offers!$B$7:$B$3000,$B28,Offers!$C$7:$C$3000,$C28,Offers!$AG$7:$AG$3000,ROUNDUP(COUNTIFS(Offers!$B$7:$B$3000,$B28,Offers!$C$7:$C$3000,$C28,Offers!$AI$7:$AI$3000,"yes")/2,0))+SUMIFS(Offers!$I$7:$I$3000,Offers!$B$7:$B$3000,$B28,Offers!$C$7:$C$3000,$C28,Offers!$AG$7:$AG$3000,INT(COUNTIFS(Offers!$B$7:$B$3000,$B28,Offers!$C$7:$C$3000,$C28,Offers!$AI$7:$AI$3000,"yes")/2)+1))/2)</f>
        <v>7.5</v>
      </c>
      <c r="K28" s="100" t="n">
        <f aca="false">IF(COUNTIFS(Offers!$B$7:$B$3000,$B28,Offers!$C$7:$C$3000,$C28,Offers!$AI$7:$AI$3000,"yes")=0,"",SUMIFS(Offers!$I$7:$I$3000,Offers!$B$7:$B$3000,$B28,Offers!$C$7:$C$3000,$C28,Offers!$AG$7:$AG$3000,COUNTIFS(Offers!$B$7:$B$3000,$B28,Offers!$C$7:$C$3000,$C28,Offers!$AI$7:$AI$3000,"yes")))</f>
        <v>16.66</v>
      </c>
      <c r="L28" s="96"/>
      <c r="M28" s="96"/>
      <c r="N28" s="96"/>
      <c r="O28" s="101" t="n">
        <f aca="false">IF(Compare!$E$5="Local prices",IF(F28="","",IF(Compare!$C$5="Minimum",F28,IF(Compare!$C$5="Maximum",H28,G28))),IF(I28="","",IF(Compare!$C$5="Minimum",I28,IF(Compare!$C$5="Maximum",K28,J28))))</f>
        <v>7.5</v>
      </c>
    </row>
    <row r="29" customFormat="false" ht="39" hidden="false" customHeight="true" outlineLevel="0" collapsed="false">
      <c r="A29" s="3"/>
      <c r="B29" s="31" t="s">
        <v>24</v>
      </c>
      <c r="C29" s="91" t="s">
        <v>17</v>
      </c>
      <c r="D29" s="91" t="s">
        <v>333</v>
      </c>
      <c r="E29" s="91" t="s">
        <v>491</v>
      </c>
      <c r="F29" s="92" t="n">
        <f aca="false">IF(COUNTIFS(Offers!$B$7:$B$3000,$B29,Offers!$C$7:$C$3000,$C29,Offers!$AH$7:$AH$3000,"yes")=0,"",SUMIFS(Offers!$H$7:$H$3000,Offers!$B$7:$B$3000,$B29,Offers!$C$7:$C$3000,$C29,Offers!$AF$7:$AF$3000,1))</f>
        <v>84</v>
      </c>
      <c r="G29" s="93" t="n">
        <f aca="false">IF(COUNTIFS(Offers!$B$7:$B$3000,$B29,Offers!$C$7:$C$3000,$C29,Offers!$AH$7:$AH$3000,"yes")=0,"",(SUMIFS(Offers!$H$7:$H$3000,Offers!$B$7:$B$3000,$B29,Offers!$C$7:$C$3000,$C29,Offers!$AF$7:$AF$3000,ROUNDUP(COUNTIFS(Offers!$B$7:$B$3000,$B29,Offers!$C$7:$C$3000,$C29,Offers!$AH$7:$AH$3000,"yes")/2,0))+SUMIFS(Offers!$H$7:$H$3000,Offers!$B$7:$B$3000,$B29,Offers!$C$7:$C$3000,$C29,Offers!$AF$7:$AF$3000,INT(COUNTIFS(Offers!$B$7:$B$3000,$B29,Offers!$C$7:$C$3000,$C29,Offers!$AH$7:$AH$3000,"yes")/2)+1))/2)</f>
        <v>123.11</v>
      </c>
      <c r="H29" s="92" t="n">
        <f aca="false">IF(COUNTIFS(Offers!$B$7:$B$3000,$B29,Offers!$C$7:$C$3000,$C29,Offers!$AH$7:$AH$3000,"yes")=0,"",SUMIFS(Offers!$H$7:$H$3000,Offers!$B$7:$B$3000,$B29,Offers!$C$7:$C$3000,$C29,Offers!$AF$7:$AF$3000,COUNTIFS(Offers!$B$7:$B$3000,$B29,Offers!$C$7:$C$3000,$C29,Offers!$AH$7:$AH$3000,"yes")))</f>
        <v>289.26</v>
      </c>
      <c r="I29" s="94" t="n">
        <f aca="false">IF(COUNTIFS(Offers!$B$7:$B$3000,$B29,Offers!$C$7:$C$3000,$C29,Offers!$AI$7:$AI$3000,"yes")=0,"",SUMIFS(Offers!$I$7:$I$3000,Offers!$B$7:$B$3000,$B29,Offers!$C$7:$C$3000,$C29,Offers!$AG$7:$AG$3000,1))</f>
        <v>3.439294</v>
      </c>
      <c r="J29" s="95" t="n">
        <f aca="false">IF(COUNTIFS(Offers!$B$7:$B$3000,$B29,Offers!$C$7:$C$3000,$C29,Offers!$AI$7:$AI$3000,"yes")=0,"",(SUMIFS(Offers!$I$7:$I$3000,Offers!$B$7:$B$3000,$B29,Offers!$C$7:$C$3000,$C29,Offers!$AG$7:$AG$3000,ROUNDUP(COUNTIFS(Offers!$B$7:$B$3000,$B29,Offers!$C$7:$C$3000,$C29,Offers!$AI$7:$AI$3000,"yes")/2,0))+SUMIFS(Offers!$I$7:$I$3000,Offers!$B$7:$B$3000,$B29,Offers!$C$7:$C$3000,$C29,Offers!$AG$7:$AG$3000,INT(COUNTIFS(Offers!$B$7:$B$3000,$B29,Offers!$C$7:$C$3000,$C29,Offers!$AI$7:$AI$3000,"yes")/2)+1))/2)</f>
        <v>5.040613</v>
      </c>
      <c r="K29" s="94" t="n">
        <f aca="false">IF(COUNTIFS(Offers!$B$7:$B$3000,$B29,Offers!$C$7:$C$3000,$C29,Offers!$AI$7:$AI$3000,"yes")=0,"",SUMIFS(Offers!$I$7:$I$3000,Offers!$B$7:$B$3000,$B29,Offers!$C$7:$C$3000,$C29,Offers!$AG$7:$AG$3000,COUNTIFS(Offers!$B$7:$B$3000,$B29,Offers!$C$7:$C$3000,$C29,Offers!$AI$7:$AI$3000,"yes")))</f>
        <v>11.843455</v>
      </c>
      <c r="L29" s="96"/>
      <c r="M29" s="96"/>
      <c r="N29" s="96"/>
      <c r="O29" s="97" t="n">
        <f aca="false">IF(Compare!$E$5="Local prices",IF(F29="","",IF(Compare!$C$5="Minimum",F29,IF(Compare!$C$5="Maximum",H29,G29))),IF(I29="","",IF(Compare!$C$5="Minimum",I29,IF(Compare!$C$5="Maximum",K29,J29))))</f>
        <v>5.040613</v>
      </c>
    </row>
    <row r="30" customFormat="false" ht="39" hidden="false" customHeight="true" outlineLevel="0" collapsed="false">
      <c r="A30" s="3"/>
      <c r="B30" s="36" t="s">
        <v>24</v>
      </c>
      <c r="C30" s="98" t="s">
        <v>18</v>
      </c>
      <c r="D30" s="98" t="s">
        <v>244</v>
      </c>
      <c r="E30" s="98" t="s">
        <v>491</v>
      </c>
      <c r="F30" s="99" t="n">
        <f aca="false">IF(COUNTIFS(Offers!$B$7:$B$3000,$B30,Offers!$C$7:$C$3000,$C30,Offers!$AH$7:$AH$3000,"yes")=0,"",SUMIFS(Offers!$H$7:$H$3000,Offers!$B$7:$B$3000,$B30,Offers!$C$7:$C$3000,$C30,Offers!$AF$7:$AF$3000,1))</f>
        <v>8.46</v>
      </c>
      <c r="G30" s="93" t="n">
        <f aca="false">IF(COUNTIFS(Offers!$B$7:$B$3000,$B30,Offers!$C$7:$C$3000,$C30,Offers!$AH$7:$AH$3000,"yes")=0,"",(SUMIFS(Offers!$H$7:$H$3000,Offers!$B$7:$B$3000,$B30,Offers!$C$7:$C$3000,$C30,Offers!$AF$7:$AF$3000,ROUNDUP(COUNTIFS(Offers!$B$7:$B$3000,$B30,Offers!$C$7:$C$3000,$C30,Offers!$AH$7:$AH$3000,"yes")/2,0))+SUMIFS(Offers!$H$7:$H$3000,Offers!$B$7:$B$3000,$B30,Offers!$C$7:$C$3000,$C30,Offers!$AF$7:$AF$3000,INT(COUNTIFS(Offers!$B$7:$B$3000,$B30,Offers!$C$7:$C$3000,$C30,Offers!$AH$7:$AH$3000,"yes")/2)+1))/2)</f>
        <v>9.945447</v>
      </c>
      <c r="H30" s="99" t="n">
        <f aca="false">IF(COUNTIFS(Offers!$B$7:$B$3000,$B30,Offers!$C$7:$C$3000,$C30,Offers!$AH$7:$AH$3000,"yes")=0,"",SUMIFS(Offers!$H$7:$H$3000,Offers!$B$7:$B$3000,$B30,Offers!$C$7:$C$3000,$C30,Offers!$AF$7:$AF$3000,COUNTIFS(Offers!$B$7:$B$3000,$B30,Offers!$C$7:$C$3000,$C30,Offers!$AH$7:$AH$3000,"yes")))</f>
        <v>11.430894</v>
      </c>
      <c r="I30" s="100" t="n">
        <f aca="false">IF(COUNTIFS(Offers!$B$7:$B$3000,$B30,Offers!$C$7:$C$3000,$C30,Offers!$AI$7:$AI$3000,"yes")=0,"",SUMIFS(Offers!$I$7:$I$3000,Offers!$B$7:$B$3000,$B30,Offers!$C$7:$C$3000,$C30,Offers!$AG$7:$AG$3000,1))</f>
        <v>8.46</v>
      </c>
      <c r="J30" s="95" t="n">
        <f aca="false">IF(COUNTIFS(Offers!$B$7:$B$3000,$B30,Offers!$C$7:$C$3000,$C30,Offers!$AI$7:$AI$3000,"yes")=0,"",(SUMIFS(Offers!$I$7:$I$3000,Offers!$B$7:$B$3000,$B30,Offers!$C$7:$C$3000,$C30,Offers!$AG$7:$AG$3000,ROUNDUP(COUNTIFS(Offers!$B$7:$B$3000,$B30,Offers!$C$7:$C$3000,$C30,Offers!$AI$7:$AI$3000,"yes")/2,0))+SUMIFS(Offers!$I$7:$I$3000,Offers!$B$7:$B$3000,$B30,Offers!$C$7:$C$3000,$C30,Offers!$AG$7:$AG$3000,INT(COUNTIFS(Offers!$B$7:$B$3000,$B30,Offers!$C$7:$C$3000,$C30,Offers!$AI$7:$AI$3000,"yes")/2)+1))/2)</f>
        <v>9.945447</v>
      </c>
      <c r="K30" s="100" t="n">
        <f aca="false">IF(COUNTIFS(Offers!$B$7:$B$3000,$B30,Offers!$C$7:$C$3000,$C30,Offers!$AI$7:$AI$3000,"yes")=0,"",SUMIFS(Offers!$I$7:$I$3000,Offers!$B$7:$B$3000,$B30,Offers!$C$7:$C$3000,$C30,Offers!$AG$7:$AG$3000,COUNTIFS(Offers!$B$7:$B$3000,$B30,Offers!$C$7:$C$3000,$C30,Offers!$AI$7:$AI$3000,"yes")))</f>
        <v>11.430894</v>
      </c>
      <c r="L30" s="96"/>
      <c r="M30" s="96"/>
      <c r="N30" s="96"/>
      <c r="O30" s="101" t="n">
        <f aca="false">IF(Compare!$E$5="Local prices",IF(F30="","",IF(Compare!$C$5="Minimum",F30,IF(Compare!$C$5="Maximum",H30,G30))),IF(I30="","",IF(Compare!$C$5="Minimum",I30,IF(Compare!$C$5="Maximum",K30,J30))))</f>
        <v>9.945447</v>
      </c>
    </row>
    <row r="31" customFormat="false" ht="39" hidden="false" customHeight="true" outlineLevel="0" collapsed="false">
      <c r="A31" s="3"/>
      <c r="B31" s="102" t="s">
        <v>25</v>
      </c>
      <c r="C31" s="103" t="s">
        <v>13</v>
      </c>
      <c r="D31" s="103" t="s">
        <v>490</v>
      </c>
      <c r="E31" s="103" t="s">
        <v>491</v>
      </c>
      <c r="F31" s="104" t="str">
        <f aca="false">IF(COUNTIFS(Offers!$B$7:$B$3000,$B31,Offers!$C$7:$C$3000,$C31,Offers!$AH$7:$AH$3000,"yes")=0,"",SUMIFS(Offers!$H$7:$H$3000,Offers!$B$7:$B$3000,$B31,Offers!$C$7:$C$3000,$C31,Offers!$AF$7:$AF$3000,1))</f>
        <v/>
      </c>
      <c r="G31" s="105" t="str">
        <f aca="false">IF(COUNTIFS(Offers!$B$7:$B$3000,$B31,Offers!$C$7:$C$3000,$C31,Offers!$AH$7:$AH$3000,"yes")=0,"",(SUMIFS(Offers!$H$7:$H$3000,Offers!$B$7:$B$3000,$B31,Offers!$C$7:$C$3000,$C31,Offers!$AF$7:$AF$3000,ROUNDUP(COUNTIFS(Offers!$B$7:$B$3000,$B31,Offers!$C$7:$C$3000,$C31,Offers!$AH$7:$AH$3000,"yes")/2,0))+SUMIFS(Offers!$H$7:$H$3000,Offers!$B$7:$B$3000,$B31,Offers!$C$7:$C$3000,$C31,Offers!$AF$7:$AF$3000,INT(COUNTIFS(Offers!$B$7:$B$3000,$B31,Offers!$C$7:$C$3000,$C31,Offers!$AH$7:$AH$3000,"yes")/2)+1))/2)</f>
        <v/>
      </c>
      <c r="H31" s="104" t="str">
        <f aca="false">IF(COUNTIFS(Offers!$B$7:$B$3000,$B31,Offers!$C$7:$C$3000,$C31,Offers!$AH$7:$AH$3000,"yes")=0,"",SUMIFS(Offers!$H$7:$H$3000,Offers!$B$7:$B$3000,$B31,Offers!$C$7:$C$3000,$C31,Offers!$AF$7:$AF$3000,COUNTIFS(Offers!$B$7:$B$3000,$B31,Offers!$C$7:$C$3000,$C31,Offers!$AH$7:$AH$3000,"yes")))</f>
        <v/>
      </c>
      <c r="I31" s="106" t="str">
        <f aca="false">IF(COUNTIFS(Offers!$B$7:$B$3000,$B31,Offers!$C$7:$C$3000,$C31,Offers!$AI$7:$AI$3000,"yes")=0,"",SUMIFS(Offers!$I$7:$I$3000,Offers!$B$7:$B$3000,$B31,Offers!$C$7:$C$3000,$C31,Offers!$AG$7:$AG$3000,1))</f>
        <v/>
      </c>
      <c r="J31" s="107" t="str">
        <f aca="false">IF(COUNTIFS(Offers!$B$7:$B$3000,$B31,Offers!$C$7:$C$3000,$C31,Offers!$AI$7:$AI$3000,"yes")=0,"",(SUMIFS(Offers!$I$7:$I$3000,Offers!$B$7:$B$3000,$B31,Offers!$C$7:$C$3000,$C31,Offers!$AG$7:$AG$3000,ROUNDUP(COUNTIFS(Offers!$B$7:$B$3000,$B31,Offers!$C$7:$C$3000,$C31,Offers!$AI$7:$AI$3000,"yes")/2,0))+SUMIFS(Offers!$I$7:$I$3000,Offers!$B$7:$B$3000,$B31,Offers!$C$7:$C$3000,$C31,Offers!$AG$7:$AG$3000,INT(COUNTIFS(Offers!$B$7:$B$3000,$B31,Offers!$C$7:$C$3000,$C31,Offers!$AI$7:$AI$3000,"yes")/2)+1))/2)</f>
        <v/>
      </c>
      <c r="K31" s="106" t="str">
        <f aca="false">IF(COUNTIFS(Offers!$B$7:$B$3000,$B31,Offers!$C$7:$C$3000,$C31,Offers!$AI$7:$AI$3000,"yes")=0,"",SUMIFS(Offers!$I$7:$I$3000,Offers!$B$7:$B$3000,$B31,Offers!$C$7:$C$3000,$C31,Offers!$AG$7:$AG$3000,COUNTIFS(Offers!$B$7:$B$3000,$B31,Offers!$C$7:$C$3000,$C31,Offers!$AI$7:$AI$3000,"yes")))</f>
        <v/>
      </c>
      <c r="L31" s="108"/>
      <c r="M31" s="108"/>
      <c r="N31" s="108"/>
      <c r="O31" s="109" t="str">
        <f aca="false">IF(Compare!$E$5="Local prices",IF(F31="","",IF(Compare!$C$5="Minimum",F31,IF(Compare!$C$5="Maximum",H31,G31))),IF(I31="","",IF(Compare!$C$5="Minimum",I31,IF(Compare!$C$5="Maximum",K31,J31))))</f>
        <v/>
      </c>
    </row>
    <row r="32" customFormat="false" ht="39" hidden="false" customHeight="true" outlineLevel="0" collapsed="false">
      <c r="A32" s="3"/>
      <c r="B32" s="36" t="s">
        <v>25</v>
      </c>
      <c r="C32" s="98" t="s">
        <v>14</v>
      </c>
      <c r="D32" s="98" t="s">
        <v>374</v>
      </c>
      <c r="E32" s="98" t="s">
        <v>491</v>
      </c>
      <c r="F32" s="99" t="str">
        <f aca="false">IF(COUNTIFS(Offers!$B$7:$B$3000,$B32,Offers!$C$7:$C$3000,$C32,Offers!$AH$7:$AH$3000,"yes")=0,"",SUMIFS(Offers!$H$7:$H$3000,Offers!$B$7:$B$3000,$B32,Offers!$C$7:$C$3000,$C32,Offers!$AF$7:$AF$3000,1))</f>
        <v/>
      </c>
      <c r="G32" s="93" t="str">
        <f aca="false">IF(COUNTIFS(Offers!$B$7:$B$3000,$B32,Offers!$C$7:$C$3000,$C32,Offers!$AH$7:$AH$3000,"yes")=0,"",(SUMIFS(Offers!$H$7:$H$3000,Offers!$B$7:$B$3000,$B32,Offers!$C$7:$C$3000,$C32,Offers!$AF$7:$AF$3000,ROUNDUP(COUNTIFS(Offers!$B$7:$B$3000,$B32,Offers!$C$7:$C$3000,$C32,Offers!$AH$7:$AH$3000,"yes")/2,0))+SUMIFS(Offers!$H$7:$H$3000,Offers!$B$7:$B$3000,$B32,Offers!$C$7:$C$3000,$C32,Offers!$AF$7:$AF$3000,INT(COUNTIFS(Offers!$B$7:$B$3000,$B32,Offers!$C$7:$C$3000,$C32,Offers!$AH$7:$AH$3000,"yes")/2)+1))/2)</f>
        <v/>
      </c>
      <c r="H32" s="99" t="str">
        <f aca="false">IF(COUNTIFS(Offers!$B$7:$B$3000,$B32,Offers!$C$7:$C$3000,$C32,Offers!$AH$7:$AH$3000,"yes")=0,"",SUMIFS(Offers!$H$7:$H$3000,Offers!$B$7:$B$3000,$B32,Offers!$C$7:$C$3000,$C32,Offers!$AF$7:$AF$3000,COUNTIFS(Offers!$B$7:$B$3000,$B32,Offers!$C$7:$C$3000,$C32,Offers!$AH$7:$AH$3000,"yes")))</f>
        <v/>
      </c>
      <c r="I32" s="100" t="str">
        <f aca="false">IF(COUNTIFS(Offers!$B$7:$B$3000,$B32,Offers!$C$7:$C$3000,$C32,Offers!$AI$7:$AI$3000,"yes")=0,"",SUMIFS(Offers!$I$7:$I$3000,Offers!$B$7:$B$3000,$B32,Offers!$C$7:$C$3000,$C32,Offers!$AG$7:$AG$3000,1))</f>
        <v/>
      </c>
      <c r="J32" s="95" t="str">
        <f aca="false">IF(COUNTIFS(Offers!$B$7:$B$3000,$B32,Offers!$C$7:$C$3000,$C32,Offers!$AI$7:$AI$3000,"yes")=0,"",(SUMIFS(Offers!$I$7:$I$3000,Offers!$B$7:$B$3000,$B32,Offers!$C$7:$C$3000,$C32,Offers!$AG$7:$AG$3000,ROUNDUP(COUNTIFS(Offers!$B$7:$B$3000,$B32,Offers!$C$7:$C$3000,$C32,Offers!$AI$7:$AI$3000,"yes")/2,0))+SUMIFS(Offers!$I$7:$I$3000,Offers!$B$7:$B$3000,$B32,Offers!$C$7:$C$3000,$C32,Offers!$AG$7:$AG$3000,INT(COUNTIFS(Offers!$B$7:$B$3000,$B32,Offers!$C$7:$C$3000,$C32,Offers!$AI$7:$AI$3000,"yes")/2)+1))/2)</f>
        <v/>
      </c>
      <c r="K32" s="100" t="str">
        <f aca="false">IF(COUNTIFS(Offers!$B$7:$B$3000,$B32,Offers!$C$7:$C$3000,$C32,Offers!$AI$7:$AI$3000,"yes")=0,"",SUMIFS(Offers!$I$7:$I$3000,Offers!$B$7:$B$3000,$B32,Offers!$C$7:$C$3000,$C32,Offers!$AG$7:$AG$3000,COUNTIFS(Offers!$B$7:$B$3000,$B32,Offers!$C$7:$C$3000,$C32,Offers!$AI$7:$AI$3000,"yes")))</f>
        <v/>
      </c>
      <c r="L32" s="96"/>
      <c r="M32" s="96"/>
      <c r="N32" s="96"/>
      <c r="O32" s="110" t="str">
        <f aca="false">IF(Compare!$E$5="Local prices",IF(F32="","",IF(Compare!$C$5="Minimum",F32,IF(Compare!$C$5="Maximum",H32,G32))),IF(I32="","",IF(Compare!$C$5="Minimum",I32,IF(Compare!$C$5="Maximum",K32,J32))))</f>
        <v/>
      </c>
    </row>
    <row r="33" customFormat="false" ht="39" hidden="false" customHeight="true" outlineLevel="0" collapsed="false">
      <c r="A33" s="3"/>
      <c r="B33" s="31" t="s">
        <v>25</v>
      </c>
      <c r="C33" s="91" t="s">
        <v>15</v>
      </c>
      <c r="D33" s="91" t="s">
        <v>244</v>
      </c>
      <c r="E33" s="91" t="s">
        <v>491</v>
      </c>
      <c r="F33" s="92" t="n">
        <f aca="false">IF(COUNTIFS(Offers!$B$7:$B$3000,$B33,Offers!$C$7:$C$3000,$C33,Offers!$AH$7:$AH$3000,"yes")=0,"",SUMIFS(Offers!$H$7:$H$3000,Offers!$B$7:$B$3000,$B33,Offers!$C$7:$C$3000,$C33,Offers!$AF$7:$AF$3000,1))</f>
        <v>1.42</v>
      </c>
      <c r="G33" s="93" t="n">
        <f aca="false">IF(COUNTIFS(Offers!$B$7:$B$3000,$B33,Offers!$C$7:$C$3000,$C33,Offers!$AH$7:$AH$3000,"yes")=0,"",(SUMIFS(Offers!$H$7:$H$3000,Offers!$B$7:$B$3000,$B33,Offers!$C$7:$C$3000,$C33,Offers!$AF$7:$AF$3000,ROUNDUP(COUNTIFS(Offers!$B$7:$B$3000,$B33,Offers!$C$7:$C$3000,$C33,Offers!$AH$7:$AH$3000,"yes")/2,0))+SUMIFS(Offers!$H$7:$H$3000,Offers!$B$7:$B$3000,$B33,Offers!$C$7:$C$3000,$C33,Offers!$AF$7:$AF$3000,INT(COUNTIFS(Offers!$B$7:$B$3000,$B33,Offers!$C$7:$C$3000,$C33,Offers!$AH$7:$AH$3000,"yes")/2)+1))/2)</f>
        <v>2.32</v>
      </c>
      <c r="H33" s="92" t="n">
        <f aca="false">IF(COUNTIFS(Offers!$B$7:$B$3000,$B33,Offers!$C$7:$C$3000,$C33,Offers!$AH$7:$AH$3000,"yes")=0,"",SUMIFS(Offers!$H$7:$H$3000,Offers!$B$7:$B$3000,$B33,Offers!$C$7:$C$3000,$C33,Offers!$AF$7:$AF$3000,COUNTIFS(Offers!$B$7:$B$3000,$B33,Offers!$C$7:$C$3000,$C33,Offers!$AH$7:$AH$3000,"yes")))</f>
        <v>4.33</v>
      </c>
      <c r="I33" s="94" t="n">
        <f aca="false">IF(COUNTIFS(Offers!$B$7:$B$3000,$B33,Offers!$C$7:$C$3000,$C33,Offers!$AI$7:$AI$3000,"yes")=0,"",SUMIFS(Offers!$I$7:$I$3000,Offers!$B$7:$B$3000,$B33,Offers!$C$7:$C$3000,$C33,Offers!$AG$7:$AG$3000,1))</f>
        <v>1.42</v>
      </c>
      <c r="J33" s="95" t="n">
        <f aca="false">IF(COUNTIFS(Offers!$B$7:$B$3000,$B33,Offers!$C$7:$C$3000,$C33,Offers!$AI$7:$AI$3000,"yes")=0,"",(SUMIFS(Offers!$I$7:$I$3000,Offers!$B$7:$B$3000,$B33,Offers!$C$7:$C$3000,$C33,Offers!$AG$7:$AG$3000,ROUNDUP(COUNTIFS(Offers!$B$7:$B$3000,$B33,Offers!$C$7:$C$3000,$C33,Offers!$AI$7:$AI$3000,"yes")/2,0))+SUMIFS(Offers!$I$7:$I$3000,Offers!$B$7:$B$3000,$B33,Offers!$C$7:$C$3000,$C33,Offers!$AG$7:$AG$3000,INT(COUNTIFS(Offers!$B$7:$B$3000,$B33,Offers!$C$7:$C$3000,$C33,Offers!$AI$7:$AI$3000,"yes")/2)+1))/2)</f>
        <v>2.32</v>
      </c>
      <c r="K33" s="94" t="n">
        <f aca="false">IF(COUNTIFS(Offers!$B$7:$B$3000,$B33,Offers!$C$7:$C$3000,$C33,Offers!$AI$7:$AI$3000,"yes")=0,"",SUMIFS(Offers!$I$7:$I$3000,Offers!$B$7:$B$3000,$B33,Offers!$C$7:$C$3000,$C33,Offers!$AG$7:$AG$3000,COUNTIFS(Offers!$B$7:$B$3000,$B33,Offers!$C$7:$C$3000,$C33,Offers!$AI$7:$AI$3000,"yes")))</f>
        <v>4.33</v>
      </c>
      <c r="L33" s="96"/>
      <c r="M33" s="96"/>
      <c r="N33" s="96"/>
      <c r="O33" s="97" t="n">
        <f aca="false">IF(Compare!$E$5="Local prices",IF(F33="","",IF(Compare!$C$5="Minimum",F33,IF(Compare!$C$5="Maximum",H33,G33))),IF(I33="","",IF(Compare!$C$5="Minimum",I33,IF(Compare!$C$5="Maximum",K33,J33))))</f>
        <v>2.32</v>
      </c>
    </row>
    <row r="34" customFormat="false" ht="39" hidden="false" customHeight="true" outlineLevel="0" collapsed="false">
      <c r="A34" s="3"/>
      <c r="B34" s="36" t="s">
        <v>25</v>
      </c>
      <c r="C34" s="98" t="s">
        <v>16</v>
      </c>
      <c r="D34" s="98" t="s">
        <v>244</v>
      </c>
      <c r="E34" s="98" t="s">
        <v>491</v>
      </c>
      <c r="F34" s="99" t="n">
        <f aca="false">IF(COUNTIFS(Offers!$B$7:$B$3000,$B34,Offers!$C$7:$C$3000,$C34,Offers!$AH$7:$AH$3000,"yes")=0,"",SUMIFS(Offers!$H$7:$H$3000,Offers!$B$7:$B$3000,$B34,Offers!$C$7:$C$3000,$C34,Offers!$AF$7:$AF$3000,1))</f>
        <v>0.94</v>
      </c>
      <c r="G34" s="93" t="n">
        <f aca="false">IF(COUNTIFS(Offers!$B$7:$B$3000,$B34,Offers!$C$7:$C$3000,$C34,Offers!$AH$7:$AH$3000,"yes")=0,"",(SUMIFS(Offers!$H$7:$H$3000,Offers!$B$7:$B$3000,$B34,Offers!$C$7:$C$3000,$C34,Offers!$AF$7:$AF$3000,ROUNDUP(COUNTIFS(Offers!$B$7:$B$3000,$B34,Offers!$C$7:$C$3000,$C34,Offers!$AH$7:$AH$3000,"yes")/2,0))+SUMIFS(Offers!$H$7:$H$3000,Offers!$B$7:$B$3000,$B34,Offers!$C$7:$C$3000,$C34,Offers!$AF$7:$AF$3000,INT(COUNTIFS(Offers!$B$7:$B$3000,$B34,Offers!$C$7:$C$3000,$C34,Offers!$AH$7:$AH$3000,"yes")/2)+1))/2)</f>
        <v>2.055</v>
      </c>
      <c r="H34" s="99" t="n">
        <f aca="false">IF(COUNTIFS(Offers!$B$7:$B$3000,$B34,Offers!$C$7:$C$3000,$C34,Offers!$AH$7:$AH$3000,"yes")=0,"",SUMIFS(Offers!$H$7:$H$3000,Offers!$B$7:$B$3000,$B34,Offers!$C$7:$C$3000,$C34,Offers!$AF$7:$AF$3000,COUNTIFS(Offers!$B$7:$B$3000,$B34,Offers!$C$7:$C$3000,$C34,Offers!$AH$7:$AH$3000,"yes")))</f>
        <v>4</v>
      </c>
      <c r="I34" s="100" t="n">
        <f aca="false">IF(COUNTIFS(Offers!$B$7:$B$3000,$B34,Offers!$C$7:$C$3000,$C34,Offers!$AI$7:$AI$3000,"yes")=0,"",SUMIFS(Offers!$I$7:$I$3000,Offers!$B$7:$B$3000,$B34,Offers!$C$7:$C$3000,$C34,Offers!$AG$7:$AG$3000,1))</f>
        <v>0.94</v>
      </c>
      <c r="J34" s="95" t="n">
        <f aca="false">IF(COUNTIFS(Offers!$B$7:$B$3000,$B34,Offers!$C$7:$C$3000,$C34,Offers!$AI$7:$AI$3000,"yes")=0,"",(SUMIFS(Offers!$I$7:$I$3000,Offers!$B$7:$B$3000,$B34,Offers!$C$7:$C$3000,$C34,Offers!$AG$7:$AG$3000,ROUNDUP(COUNTIFS(Offers!$B$7:$B$3000,$B34,Offers!$C$7:$C$3000,$C34,Offers!$AI$7:$AI$3000,"yes")/2,0))+SUMIFS(Offers!$I$7:$I$3000,Offers!$B$7:$B$3000,$B34,Offers!$C$7:$C$3000,$C34,Offers!$AG$7:$AG$3000,INT(COUNTIFS(Offers!$B$7:$B$3000,$B34,Offers!$C$7:$C$3000,$C34,Offers!$AI$7:$AI$3000,"yes")/2)+1))/2)</f>
        <v>2.055</v>
      </c>
      <c r="K34" s="100" t="n">
        <f aca="false">IF(COUNTIFS(Offers!$B$7:$B$3000,$B34,Offers!$C$7:$C$3000,$C34,Offers!$AI$7:$AI$3000,"yes")=0,"",SUMIFS(Offers!$I$7:$I$3000,Offers!$B$7:$B$3000,$B34,Offers!$C$7:$C$3000,$C34,Offers!$AG$7:$AG$3000,COUNTIFS(Offers!$B$7:$B$3000,$B34,Offers!$C$7:$C$3000,$C34,Offers!$AI$7:$AI$3000,"yes")))</f>
        <v>4</v>
      </c>
      <c r="L34" s="96"/>
      <c r="M34" s="96"/>
      <c r="N34" s="96"/>
      <c r="O34" s="101" t="n">
        <f aca="false">IF(Compare!$E$5="Local prices",IF(F34="","",IF(Compare!$C$5="Minimum",F34,IF(Compare!$C$5="Maximum",H34,G34))),IF(I34="","",IF(Compare!$C$5="Minimum",I34,IF(Compare!$C$5="Maximum",K34,J34))))</f>
        <v>2.055</v>
      </c>
    </row>
    <row r="35" customFormat="false" ht="39" hidden="false" customHeight="true" outlineLevel="0" collapsed="false">
      <c r="A35" s="3"/>
      <c r="B35" s="31" t="s">
        <v>25</v>
      </c>
      <c r="C35" s="91" t="s">
        <v>17</v>
      </c>
      <c r="D35" s="91" t="s">
        <v>333</v>
      </c>
      <c r="E35" s="91" t="s">
        <v>491</v>
      </c>
      <c r="F35" s="92" t="n">
        <f aca="false">IF(COUNTIFS(Offers!$B$7:$B$3000,$B35,Offers!$C$7:$C$3000,$C35,Offers!$AH$7:$AH$3000,"yes")=0,"",SUMIFS(Offers!$H$7:$H$3000,Offers!$B$7:$B$3000,$B35,Offers!$C$7:$C$3000,$C35,Offers!$AF$7:$AF$3000,1))</f>
        <v>34</v>
      </c>
      <c r="G35" s="93" t="n">
        <f aca="false">IF(COUNTIFS(Offers!$B$7:$B$3000,$B35,Offers!$C$7:$C$3000,$C35,Offers!$AH$7:$AH$3000,"yes")=0,"",(SUMIFS(Offers!$H$7:$H$3000,Offers!$B$7:$B$3000,$B35,Offers!$C$7:$C$3000,$C35,Offers!$AF$7:$AF$3000,ROUNDUP(COUNTIFS(Offers!$B$7:$B$3000,$B35,Offers!$C$7:$C$3000,$C35,Offers!$AH$7:$AH$3000,"yes")/2,0))+SUMIFS(Offers!$H$7:$H$3000,Offers!$B$7:$B$3000,$B35,Offers!$C$7:$C$3000,$C35,Offers!$AF$7:$AF$3000,INT(COUNTIFS(Offers!$B$7:$B$3000,$B35,Offers!$C$7:$C$3000,$C35,Offers!$AH$7:$AH$3000,"yes")/2)+1))/2)</f>
        <v>115</v>
      </c>
      <c r="H35" s="92" t="n">
        <f aca="false">IF(COUNTIFS(Offers!$B$7:$B$3000,$B35,Offers!$C$7:$C$3000,$C35,Offers!$AH$7:$AH$3000,"yes")=0,"",SUMIFS(Offers!$H$7:$H$3000,Offers!$B$7:$B$3000,$B35,Offers!$C$7:$C$3000,$C35,Offers!$AF$7:$AF$3000,COUNTIFS(Offers!$B$7:$B$3000,$B35,Offers!$C$7:$C$3000,$C35,Offers!$AH$7:$AH$3000,"yes")))</f>
        <v>352</v>
      </c>
      <c r="I35" s="94" t="n">
        <f aca="false">IF(COUNTIFS(Offers!$B$7:$B$3000,$B35,Offers!$C$7:$C$3000,$C35,Offers!$AI$7:$AI$3000,"yes")=0,"",SUMIFS(Offers!$I$7:$I$3000,Offers!$B$7:$B$3000,$B35,Offers!$C$7:$C$3000,$C35,Offers!$AG$7:$AG$3000,1))</f>
        <v>1.392095</v>
      </c>
      <c r="J35" s="95" t="n">
        <f aca="false">IF(COUNTIFS(Offers!$B$7:$B$3000,$B35,Offers!$C$7:$C$3000,$C35,Offers!$AI$7:$AI$3000,"yes")=0,"",(SUMIFS(Offers!$I$7:$I$3000,Offers!$B$7:$B$3000,$B35,Offers!$C$7:$C$3000,$C35,Offers!$AG$7:$AG$3000,ROUNDUP(COUNTIFS(Offers!$B$7:$B$3000,$B35,Offers!$C$7:$C$3000,$C35,Offers!$AI$7:$AI$3000,"yes")/2,0))+SUMIFS(Offers!$I$7:$I$3000,Offers!$B$7:$B$3000,$B35,Offers!$C$7:$C$3000,$C35,Offers!$AG$7:$AG$3000,INT(COUNTIFS(Offers!$B$7:$B$3000,$B35,Offers!$C$7:$C$3000,$C35,Offers!$AI$7:$AI$3000,"yes")/2)+1))/2)</f>
        <v>4.708558</v>
      </c>
      <c r="K35" s="94" t="n">
        <f aca="false">IF(COUNTIFS(Offers!$B$7:$B$3000,$B35,Offers!$C$7:$C$3000,$C35,Offers!$AI$7:$AI$3000,"yes")=0,"",SUMIFS(Offers!$I$7:$I$3000,Offers!$B$7:$B$3000,$B35,Offers!$C$7:$C$3000,$C35,Offers!$AG$7:$AG$3000,COUNTIFS(Offers!$B$7:$B$3000,$B35,Offers!$C$7:$C$3000,$C35,Offers!$AI$7:$AI$3000,"yes")))</f>
        <v>14.41228</v>
      </c>
      <c r="L35" s="96"/>
      <c r="M35" s="96"/>
      <c r="N35" s="96"/>
      <c r="O35" s="97" t="n">
        <f aca="false">IF(Compare!$E$5="Local prices",IF(F35="","",IF(Compare!$C$5="Minimum",F35,IF(Compare!$C$5="Maximum",H35,G35))),IF(I35="","",IF(Compare!$C$5="Minimum",I35,IF(Compare!$C$5="Maximum",K35,J35))))</f>
        <v>4.708558</v>
      </c>
    </row>
    <row r="36" customFormat="false" ht="39" hidden="false" customHeight="true" outlineLevel="0" collapsed="false">
      <c r="A36" s="3"/>
      <c r="B36" s="36" t="s">
        <v>25</v>
      </c>
      <c r="C36" s="98" t="s">
        <v>18</v>
      </c>
      <c r="D36" s="98" t="s">
        <v>244</v>
      </c>
      <c r="E36" s="98" t="s">
        <v>491</v>
      </c>
      <c r="F36" s="99" t="str">
        <f aca="false">IF(COUNTIFS(Offers!$B$7:$B$3000,$B36,Offers!$C$7:$C$3000,$C36,Offers!$AH$7:$AH$3000,"yes")=0,"",SUMIFS(Offers!$H$7:$H$3000,Offers!$B$7:$B$3000,$B36,Offers!$C$7:$C$3000,$C36,Offers!$AF$7:$AF$3000,1))</f>
        <v/>
      </c>
      <c r="G36" s="93" t="str">
        <f aca="false">IF(COUNTIFS(Offers!$B$7:$B$3000,$B36,Offers!$C$7:$C$3000,$C36,Offers!$AH$7:$AH$3000,"yes")=0,"",(SUMIFS(Offers!$H$7:$H$3000,Offers!$B$7:$B$3000,$B36,Offers!$C$7:$C$3000,$C36,Offers!$AF$7:$AF$3000,ROUNDUP(COUNTIFS(Offers!$B$7:$B$3000,$B36,Offers!$C$7:$C$3000,$C36,Offers!$AH$7:$AH$3000,"yes")/2,0))+SUMIFS(Offers!$H$7:$H$3000,Offers!$B$7:$B$3000,$B36,Offers!$C$7:$C$3000,$C36,Offers!$AF$7:$AF$3000,INT(COUNTIFS(Offers!$B$7:$B$3000,$B36,Offers!$C$7:$C$3000,$C36,Offers!$AH$7:$AH$3000,"yes")/2)+1))/2)</f>
        <v/>
      </c>
      <c r="H36" s="99" t="str">
        <f aca="false">IF(COUNTIFS(Offers!$B$7:$B$3000,$B36,Offers!$C$7:$C$3000,$C36,Offers!$AH$7:$AH$3000,"yes")=0,"",SUMIFS(Offers!$H$7:$H$3000,Offers!$B$7:$B$3000,$B36,Offers!$C$7:$C$3000,$C36,Offers!$AF$7:$AF$3000,COUNTIFS(Offers!$B$7:$B$3000,$B36,Offers!$C$7:$C$3000,$C36,Offers!$AH$7:$AH$3000,"yes")))</f>
        <v/>
      </c>
      <c r="I36" s="100" t="str">
        <f aca="false">IF(COUNTIFS(Offers!$B$7:$B$3000,$B36,Offers!$C$7:$C$3000,$C36,Offers!$AI$7:$AI$3000,"yes")=0,"",SUMIFS(Offers!$I$7:$I$3000,Offers!$B$7:$B$3000,$B36,Offers!$C$7:$C$3000,$C36,Offers!$AG$7:$AG$3000,1))</f>
        <v/>
      </c>
      <c r="J36" s="95" t="str">
        <f aca="false">IF(COUNTIFS(Offers!$B$7:$B$3000,$B36,Offers!$C$7:$C$3000,$C36,Offers!$AI$7:$AI$3000,"yes")=0,"",(SUMIFS(Offers!$I$7:$I$3000,Offers!$B$7:$B$3000,$B36,Offers!$C$7:$C$3000,$C36,Offers!$AG$7:$AG$3000,ROUNDUP(COUNTIFS(Offers!$B$7:$B$3000,$B36,Offers!$C$7:$C$3000,$C36,Offers!$AI$7:$AI$3000,"yes")/2,0))+SUMIFS(Offers!$I$7:$I$3000,Offers!$B$7:$B$3000,$B36,Offers!$C$7:$C$3000,$C36,Offers!$AG$7:$AG$3000,INT(COUNTIFS(Offers!$B$7:$B$3000,$B36,Offers!$C$7:$C$3000,$C36,Offers!$AI$7:$AI$3000,"yes")/2)+1))/2)</f>
        <v/>
      </c>
      <c r="K36" s="100" t="str">
        <f aca="false">IF(COUNTIFS(Offers!$B$7:$B$3000,$B36,Offers!$C$7:$C$3000,$C36,Offers!$AI$7:$AI$3000,"yes")=0,"",SUMIFS(Offers!$I$7:$I$3000,Offers!$B$7:$B$3000,$B36,Offers!$C$7:$C$3000,$C36,Offers!$AG$7:$AG$3000,COUNTIFS(Offers!$B$7:$B$3000,$B36,Offers!$C$7:$C$3000,$C36,Offers!$AI$7:$AI$3000,"yes")))</f>
        <v/>
      </c>
      <c r="L36" s="96"/>
      <c r="M36" s="96"/>
      <c r="N36" s="96"/>
      <c r="O36" s="110" t="str">
        <f aca="false">IF(Compare!$E$5="Local prices",IF(F36="","",IF(Compare!$C$5="Minimum",F36,IF(Compare!$C$5="Maximum",H36,G36))),IF(I36="","",IF(Compare!$C$5="Minimum",I36,IF(Compare!$C$5="Maximum",K36,J36))))</f>
        <v/>
      </c>
    </row>
    <row r="37" customFormat="false" ht="39" hidden="false" customHeight="true" outlineLevel="0" collapsed="false">
      <c r="A37" s="3"/>
      <c r="B37" s="102" t="s">
        <v>26</v>
      </c>
      <c r="C37" s="103" t="s">
        <v>13</v>
      </c>
      <c r="D37" s="103" t="s">
        <v>490</v>
      </c>
      <c r="E37" s="103" t="s">
        <v>491</v>
      </c>
      <c r="F37" s="104" t="str">
        <f aca="false">IF(COUNTIFS(Offers!$B$7:$B$3000,$B37,Offers!$C$7:$C$3000,$C37,Offers!$AH$7:$AH$3000,"yes")=0,"",SUMIFS(Offers!$H$7:$H$3000,Offers!$B$7:$B$3000,$B37,Offers!$C$7:$C$3000,$C37,Offers!$AF$7:$AF$3000,1))</f>
        <v/>
      </c>
      <c r="G37" s="105" t="str">
        <f aca="false">IF(COUNTIFS(Offers!$B$7:$B$3000,$B37,Offers!$C$7:$C$3000,$C37,Offers!$AH$7:$AH$3000,"yes")=0,"",(SUMIFS(Offers!$H$7:$H$3000,Offers!$B$7:$B$3000,$B37,Offers!$C$7:$C$3000,$C37,Offers!$AF$7:$AF$3000,ROUNDUP(COUNTIFS(Offers!$B$7:$B$3000,$B37,Offers!$C$7:$C$3000,$C37,Offers!$AH$7:$AH$3000,"yes")/2,0))+SUMIFS(Offers!$H$7:$H$3000,Offers!$B$7:$B$3000,$B37,Offers!$C$7:$C$3000,$C37,Offers!$AF$7:$AF$3000,INT(COUNTIFS(Offers!$B$7:$B$3000,$B37,Offers!$C$7:$C$3000,$C37,Offers!$AH$7:$AH$3000,"yes")/2)+1))/2)</f>
        <v/>
      </c>
      <c r="H37" s="104" t="str">
        <f aca="false">IF(COUNTIFS(Offers!$B$7:$B$3000,$B37,Offers!$C$7:$C$3000,$C37,Offers!$AH$7:$AH$3000,"yes")=0,"",SUMIFS(Offers!$H$7:$H$3000,Offers!$B$7:$B$3000,$B37,Offers!$C$7:$C$3000,$C37,Offers!$AF$7:$AF$3000,COUNTIFS(Offers!$B$7:$B$3000,$B37,Offers!$C$7:$C$3000,$C37,Offers!$AH$7:$AH$3000,"yes")))</f>
        <v/>
      </c>
      <c r="I37" s="106" t="str">
        <f aca="false">IF(COUNTIFS(Offers!$B$7:$B$3000,$B37,Offers!$C$7:$C$3000,$C37,Offers!$AI$7:$AI$3000,"yes")=0,"",SUMIFS(Offers!$I$7:$I$3000,Offers!$B$7:$B$3000,$B37,Offers!$C$7:$C$3000,$C37,Offers!$AG$7:$AG$3000,1))</f>
        <v/>
      </c>
      <c r="J37" s="107" t="str">
        <f aca="false">IF(COUNTIFS(Offers!$B$7:$B$3000,$B37,Offers!$C$7:$C$3000,$C37,Offers!$AI$7:$AI$3000,"yes")=0,"",(SUMIFS(Offers!$I$7:$I$3000,Offers!$B$7:$B$3000,$B37,Offers!$C$7:$C$3000,$C37,Offers!$AG$7:$AG$3000,ROUNDUP(COUNTIFS(Offers!$B$7:$B$3000,$B37,Offers!$C$7:$C$3000,$C37,Offers!$AI$7:$AI$3000,"yes")/2,0))+SUMIFS(Offers!$I$7:$I$3000,Offers!$B$7:$B$3000,$B37,Offers!$C$7:$C$3000,$C37,Offers!$AG$7:$AG$3000,INT(COUNTIFS(Offers!$B$7:$B$3000,$B37,Offers!$C$7:$C$3000,$C37,Offers!$AI$7:$AI$3000,"yes")/2)+1))/2)</f>
        <v/>
      </c>
      <c r="K37" s="106" t="str">
        <f aca="false">IF(COUNTIFS(Offers!$B$7:$B$3000,$B37,Offers!$C$7:$C$3000,$C37,Offers!$AI$7:$AI$3000,"yes")=0,"",SUMIFS(Offers!$I$7:$I$3000,Offers!$B$7:$B$3000,$B37,Offers!$C$7:$C$3000,$C37,Offers!$AG$7:$AG$3000,COUNTIFS(Offers!$B$7:$B$3000,$B37,Offers!$C$7:$C$3000,$C37,Offers!$AI$7:$AI$3000,"yes")))</f>
        <v/>
      </c>
      <c r="L37" s="108"/>
      <c r="M37" s="108"/>
      <c r="N37" s="108"/>
      <c r="O37" s="109" t="str">
        <f aca="false">IF(Compare!$E$5="Local prices",IF(F37="","",IF(Compare!$C$5="Minimum",F37,IF(Compare!$C$5="Maximum",H37,G37))),IF(I37="","",IF(Compare!$C$5="Minimum",I37,IF(Compare!$C$5="Maximum",K37,J37))))</f>
        <v/>
      </c>
    </row>
    <row r="38" customFormat="false" ht="39" hidden="false" customHeight="true" outlineLevel="0" collapsed="false">
      <c r="A38" s="3"/>
      <c r="B38" s="36" t="s">
        <v>26</v>
      </c>
      <c r="C38" s="98" t="s">
        <v>14</v>
      </c>
      <c r="D38" s="98" t="s">
        <v>374</v>
      </c>
      <c r="E38" s="98" t="s">
        <v>491</v>
      </c>
      <c r="F38" s="99" t="str">
        <f aca="false">IF(COUNTIFS(Offers!$B$7:$B$3000,$B38,Offers!$C$7:$C$3000,$C38,Offers!$AH$7:$AH$3000,"yes")=0,"",SUMIFS(Offers!$H$7:$H$3000,Offers!$B$7:$B$3000,$B38,Offers!$C$7:$C$3000,$C38,Offers!$AF$7:$AF$3000,1))</f>
        <v/>
      </c>
      <c r="G38" s="93" t="str">
        <f aca="false">IF(COUNTIFS(Offers!$B$7:$B$3000,$B38,Offers!$C$7:$C$3000,$C38,Offers!$AH$7:$AH$3000,"yes")=0,"",(SUMIFS(Offers!$H$7:$H$3000,Offers!$B$7:$B$3000,$B38,Offers!$C$7:$C$3000,$C38,Offers!$AF$7:$AF$3000,ROUNDUP(COUNTIFS(Offers!$B$7:$B$3000,$B38,Offers!$C$7:$C$3000,$C38,Offers!$AH$7:$AH$3000,"yes")/2,0))+SUMIFS(Offers!$H$7:$H$3000,Offers!$B$7:$B$3000,$B38,Offers!$C$7:$C$3000,$C38,Offers!$AF$7:$AF$3000,INT(COUNTIFS(Offers!$B$7:$B$3000,$B38,Offers!$C$7:$C$3000,$C38,Offers!$AH$7:$AH$3000,"yes")/2)+1))/2)</f>
        <v/>
      </c>
      <c r="H38" s="99" t="str">
        <f aca="false">IF(COUNTIFS(Offers!$B$7:$B$3000,$B38,Offers!$C$7:$C$3000,$C38,Offers!$AH$7:$AH$3000,"yes")=0,"",SUMIFS(Offers!$H$7:$H$3000,Offers!$B$7:$B$3000,$B38,Offers!$C$7:$C$3000,$C38,Offers!$AF$7:$AF$3000,COUNTIFS(Offers!$B$7:$B$3000,$B38,Offers!$C$7:$C$3000,$C38,Offers!$AH$7:$AH$3000,"yes")))</f>
        <v/>
      </c>
      <c r="I38" s="100" t="str">
        <f aca="false">IF(COUNTIFS(Offers!$B$7:$B$3000,$B38,Offers!$C$7:$C$3000,$C38,Offers!$AI$7:$AI$3000,"yes")=0,"",SUMIFS(Offers!$I$7:$I$3000,Offers!$B$7:$B$3000,$B38,Offers!$C$7:$C$3000,$C38,Offers!$AG$7:$AG$3000,1))</f>
        <v/>
      </c>
      <c r="J38" s="95" t="str">
        <f aca="false">IF(COUNTIFS(Offers!$B$7:$B$3000,$B38,Offers!$C$7:$C$3000,$C38,Offers!$AI$7:$AI$3000,"yes")=0,"",(SUMIFS(Offers!$I$7:$I$3000,Offers!$B$7:$B$3000,$B38,Offers!$C$7:$C$3000,$C38,Offers!$AG$7:$AG$3000,ROUNDUP(COUNTIFS(Offers!$B$7:$B$3000,$B38,Offers!$C$7:$C$3000,$C38,Offers!$AI$7:$AI$3000,"yes")/2,0))+SUMIFS(Offers!$I$7:$I$3000,Offers!$B$7:$B$3000,$B38,Offers!$C$7:$C$3000,$C38,Offers!$AG$7:$AG$3000,INT(COUNTIFS(Offers!$B$7:$B$3000,$B38,Offers!$C$7:$C$3000,$C38,Offers!$AI$7:$AI$3000,"yes")/2)+1))/2)</f>
        <v/>
      </c>
      <c r="K38" s="100" t="str">
        <f aca="false">IF(COUNTIFS(Offers!$B$7:$B$3000,$B38,Offers!$C$7:$C$3000,$C38,Offers!$AI$7:$AI$3000,"yes")=0,"",SUMIFS(Offers!$I$7:$I$3000,Offers!$B$7:$B$3000,$B38,Offers!$C$7:$C$3000,$C38,Offers!$AG$7:$AG$3000,COUNTIFS(Offers!$B$7:$B$3000,$B38,Offers!$C$7:$C$3000,$C38,Offers!$AI$7:$AI$3000,"yes")))</f>
        <v/>
      </c>
      <c r="L38" s="96"/>
      <c r="M38" s="96"/>
      <c r="N38" s="96"/>
      <c r="O38" s="110" t="str">
        <f aca="false">IF(Compare!$E$5="Local prices",IF(F38="","",IF(Compare!$C$5="Minimum",F38,IF(Compare!$C$5="Maximum",H38,G38))),IF(I38="","",IF(Compare!$C$5="Minimum",I38,IF(Compare!$C$5="Maximum",K38,J38))))</f>
        <v/>
      </c>
    </row>
    <row r="39" customFormat="false" ht="39" hidden="false" customHeight="true" outlineLevel="0" collapsed="false">
      <c r="A39" s="3"/>
      <c r="B39" s="31" t="s">
        <v>26</v>
      </c>
      <c r="C39" s="91" t="s">
        <v>15</v>
      </c>
      <c r="D39" s="91" t="s">
        <v>244</v>
      </c>
      <c r="E39" s="91" t="s">
        <v>491</v>
      </c>
      <c r="F39" s="92" t="n">
        <f aca="false">IF(COUNTIFS(Offers!$B$7:$B$3000,$B39,Offers!$C$7:$C$3000,$C39,Offers!$AH$7:$AH$3000,"yes")=0,"",SUMIFS(Offers!$H$7:$H$3000,Offers!$B$7:$B$3000,$B39,Offers!$C$7:$C$3000,$C39,Offers!$AF$7:$AF$3000,1))</f>
        <v>1.95</v>
      </c>
      <c r="G39" s="93" t="n">
        <f aca="false">IF(COUNTIFS(Offers!$B$7:$B$3000,$B39,Offers!$C$7:$C$3000,$C39,Offers!$AH$7:$AH$3000,"yes")=0,"",(SUMIFS(Offers!$H$7:$H$3000,Offers!$B$7:$B$3000,$B39,Offers!$C$7:$C$3000,$C39,Offers!$AF$7:$AF$3000,ROUNDUP(COUNTIFS(Offers!$B$7:$B$3000,$B39,Offers!$C$7:$C$3000,$C39,Offers!$AH$7:$AH$3000,"yes")/2,0))+SUMIFS(Offers!$H$7:$H$3000,Offers!$B$7:$B$3000,$B39,Offers!$C$7:$C$3000,$C39,Offers!$AF$7:$AF$3000,INT(COUNTIFS(Offers!$B$7:$B$3000,$B39,Offers!$C$7:$C$3000,$C39,Offers!$AH$7:$AH$3000,"yes")/2)+1))/2)</f>
        <v>2.96</v>
      </c>
      <c r="H39" s="92" t="n">
        <f aca="false">IF(COUNTIFS(Offers!$B$7:$B$3000,$B39,Offers!$C$7:$C$3000,$C39,Offers!$AH$7:$AH$3000,"yes")=0,"",SUMIFS(Offers!$H$7:$H$3000,Offers!$B$7:$B$3000,$B39,Offers!$C$7:$C$3000,$C39,Offers!$AF$7:$AF$3000,COUNTIFS(Offers!$B$7:$B$3000,$B39,Offers!$C$7:$C$3000,$C39,Offers!$AH$7:$AH$3000,"yes")))</f>
        <v>7.59</v>
      </c>
      <c r="I39" s="94" t="n">
        <f aca="false">IF(COUNTIFS(Offers!$B$7:$B$3000,$B39,Offers!$C$7:$C$3000,$C39,Offers!$AI$7:$AI$3000,"yes")=0,"",SUMIFS(Offers!$I$7:$I$3000,Offers!$B$7:$B$3000,$B39,Offers!$C$7:$C$3000,$C39,Offers!$AG$7:$AG$3000,1))</f>
        <v>1.95</v>
      </c>
      <c r="J39" s="95" t="n">
        <f aca="false">IF(COUNTIFS(Offers!$B$7:$B$3000,$B39,Offers!$C$7:$C$3000,$C39,Offers!$AI$7:$AI$3000,"yes")=0,"",(SUMIFS(Offers!$I$7:$I$3000,Offers!$B$7:$B$3000,$B39,Offers!$C$7:$C$3000,$C39,Offers!$AG$7:$AG$3000,ROUNDUP(COUNTIFS(Offers!$B$7:$B$3000,$B39,Offers!$C$7:$C$3000,$C39,Offers!$AI$7:$AI$3000,"yes")/2,0))+SUMIFS(Offers!$I$7:$I$3000,Offers!$B$7:$B$3000,$B39,Offers!$C$7:$C$3000,$C39,Offers!$AG$7:$AG$3000,INT(COUNTIFS(Offers!$B$7:$B$3000,$B39,Offers!$C$7:$C$3000,$C39,Offers!$AI$7:$AI$3000,"yes")/2)+1))/2)</f>
        <v>2.96</v>
      </c>
      <c r="K39" s="94" t="n">
        <f aca="false">IF(COUNTIFS(Offers!$B$7:$B$3000,$B39,Offers!$C$7:$C$3000,$C39,Offers!$AI$7:$AI$3000,"yes")=0,"",SUMIFS(Offers!$I$7:$I$3000,Offers!$B$7:$B$3000,$B39,Offers!$C$7:$C$3000,$C39,Offers!$AG$7:$AG$3000,COUNTIFS(Offers!$B$7:$B$3000,$B39,Offers!$C$7:$C$3000,$C39,Offers!$AI$7:$AI$3000,"yes")))</f>
        <v>7.59</v>
      </c>
      <c r="L39" s="96"/>
      <c r="M39" s="96"/>
      <c r="N39" s="96"/>
      <c r="O39" s="97" t="n">
        <f aca="false">IF(Compare!$E$5="Local prices",IF(F39="","",IF(Compare!$C$5="Minimum",F39,IF(Compare!$C$5="Maximum",H39,G39))),IF(I39="","",IF(Compare!$C$5="Minimum",I39,IF(Compare!$C$5="Maximum",K39,J39))))</f>
        <v>2.96</v>
      </c>
    </row>
    <row r="40" customFormat="false" ht="39" hidden="false" customHeight="true" outlineLevel="0" collapsed="false">
      <c r="A40" s="3"/>
      <c r="B40" s="36" t="s">
        <v>26</v>
      </c>
      <c r="C40" s="98" t="s">
        <v>16</v>
      </c>
      <c r="D40" s="98" t="s">
        <v>244</v>
      </c>
      <c r="E40" s="98" t="s">
        <v>491</v>
      </c>
      <c r="F40" s="99" t="n">
        <f aca="false">IF(COUNTIFS(Offers!$B$7:$B$3000,$B40,Offers!$C$7:$C$3000,$C40,Offers!$AH$7:$AH$3000,"yes")=0,"",SUMIFS(Offers!$H$7:$H$3000,Offers!$B$7:$B$3000,$B40,Offers!$C$7:$C$3000,$C40,Offers!$AF$7:$AF$3000,1))</f>
        <v>1.52</v>
      </c>
      <c r="G40" s="93" t="n">
        <f aca="false">IF(COUNTIFS(Offers!$B$7:$B$3000,$B40,Offers!$C$7:$C$3000,$C40,Offers!$AH$7:$AH$3000,"yes")=0,"",(SUMIFS(Offers!$H$7:$H$3000,Offers!$B$7:$B$3000,$B40,Offers!$C$7:$C$3000,$C40,Offers!$AF$7:$AF$3000,ROUNDUP(COUNTIFS(Offers!$B$7:$B$3000,$B40,Offers!$C$7:$C$3000,$C40,Offers!$AH$7:$AH$3000,"yes")/2,0))+SUMIFS(Offers!$H$7:$H$3000,Offers!$B$7:$B$3000,$B40,Offers!$C$7:$C$3000,$C40,Offers!$AF$7:$AF$3000,INT(COUNTIFS(Offers!$B$7:$B$3000,$B40,Offers!$C$7:$C$3000,$C40,Offers!$AH$7:$AH$3000,"yes")/2)+1))/2)</f>
        <v>1.97</v>
      </c>
      <c r="H40" s="99" t="n">
        <f aca="false">IF(COUNTIFS(Offers!$B$7:$B$3000,$B40,Offers!$C$7:$C$3000,$C40,Offers!$AH$7:$AH$3000,"yes")=0,"",SUMIFS(Offers!$H$7:$H$3000,Offers!$B$7:$B$3000,$B40,Offers!$C$7:$C$3000,$C40,Offers!$AF$7:$AF$3000,COUNTIFS(Offers!$B$7:$B$3000,$B40,Offers!$C$7:$C$3000,$C40,Offers!$AH$7:$AH$3000,"yes")))</f>
        <v>5.33</v>
      </c>
      <c r="I40" s="100" t="n">
        <f aca="false">IF(COUNTIFS(Offers!$B$7:$B$3000,$B40,Offers!$C$7:$C$3000,$C40,Offers!$AI$7:$AI$3000,"yes")=0,"",SUMIFS(Offers!$I$7:$I$3000,Offers!$B$7:$B$3000,$B40,Offers!$C$7:$C$3000,$C40,Offers!$AG$7:$AG$3000,1))</f>
        <v>1.52</v>
      </c>
      <c r="J40" s="95" t="n">
        <f aca="false">IF(COUNTIFS(Offers!$B$7:$B$3000,$B40,Offers!$C$7:$C$3000,$C40,Offers!$AI$7:$AI$3000,"yes")=0,"",(SUMIFS(Offers!$I$7:$I$3000,Offers!$B$7:$B$3000,$B40,Offers!$C$7:$C$3000,$C40,Offers!$AG$7:$AG$3000,ROUNDUP(COUNTIFS(Offers!$B$7:$B$3000,$B40,Offers!$C$7:$C$3000,$C40,Offers!$AI$7:$AI$3000,"yes")/2,0))+SUMIFS(Offers!$I$7:$I$3000,Offers!$B$7:$B$3000,$B40,Offers!$C$7:$C$3000,$C40,Offers!$AG$7:$AG$3000,INT(COUNTIFS(Offers!$B$7:$B$3000,$B40,Offers!$C$7:$C$3000,$C40,Offers!$AI$7:$AI$3000,"yes")/2)+1))/2)</f>
        <v>1.97</v>
      </c>
      <c r="K40" s="100" t="n">
        <f aca="false">IF(COUNTIFS(Offers!$B$7:$B$3000,$B40,Offers!$C$7:$C$3000,$C40,Offers!$AI$7:$AI$3000,"yes")=0,"",SUMIFS(Offers!$I$7:$I$3000,Offers!$B$7:$B$3000,$B40,Offers!$C$7:$C$3000,$C40,Offers!$AG$7:$AG$3000,COUNTIFS(Offers!$B$7:$B$3000,$B40,Offers!$C$7:$C$3000,$C40,Offers!$AI$7:$AI$3000,"yes")))</f>
        <v>5.33</v>
      </c>
      <c r="L40" s="96"/>
      <c r="M40" s="96"/>
      <c r="N40" s="96"/>
      <c r="O40" s="101" t="n">
        <f aca="false">IF(Compare!$E$5="Local prices",IF(F40="","",IF(Compare!$C$5="Minimum",F40,IF(Compare!$C$5="Maximum",H40,G40))),IF(I40="","",IF(Compare!$C$5="Minimum",I40,IF(Compare!$C$5="Maximum",K40,J40))))</f>
        <v>1.97</v>
      </c>
    </row>
    <row r="41" customFormat="false" ht="39" hidden="false" customHeight="true" outlineLevel="0" collapsed="false">
      <c r="A41" s="3"/>
      <c r="B41" s="31" t="s">
        <v>26</v>
      </c>
      <c r="C41" s="91" t="s">
        <v>17</v>
      </c>
      <c r="D41" s="91" t="s">
        <v>333</v>
      </c>
      <c r="E41" s="91" t="s">
        <v>491</v>
      </c>
      <c r="F41" s="92" t="n">
        <f aca="false">IF(COUNTIFS(Offers!$B$7:$B$3000,$B41,Offers!$C$7:$C$3000,$C41,Offers!$AH$7:$AH$3000,"yes")=0,"",SUMIFS(Offers!$H$7:$H$3000,Offers!$B$7:$B$3000,$B41,Offers!$C$7:$C$3000,$C41,Offers!$AF$7:$AF$3000,1))</f>
        <v>39.67</v>
      </c>
      <c r="G41" s="93" t="n">
        <f aca="false">IF(COUNTIFS(Offers!$B$7:$B$3000,$B41,Offers!$C$7:$C$3000,$C41,Offers!$AH$7:$AH$3000,"yes")=0,"",(SUMIFS(Offers!$H$7:$H$3000,Offers!$B$7:$B$3000,$B41,Offers!$C$7:$C$3000,$C41,Offers!$AF$7:$AF$3000,ROUNDUP(COUNTIFS(Offers!$B$7:$B$3000,$B41,Offers!$C$7:$C$3000,$C41,Offers!$AH$7:$AH$3000,"yes")/2,0))+SUMIFS(Offers!$H$7:$H$3000,Offers!$B$7:$B$3000,$B41,Offers!$C$7:$C$3000,$C41,Offers!$AF$7:$AF$3000,INT(COUNTIFS(Offers!$B$7:$B$3000,$B41,Offers!$C$7:$C$3000,$C41,Offers!$AH$7:$AH$3000,"yes")/2)+1))/2)</f>
        <v>93</v>
      </c>
      <c r="H41" s="92" t="n">
        <f aca="false">IF(COUNTIFS(Offers!$B$7:$B$3000,$B41,Offers!$C$7:$C$3000,$C41,Offers!$AH$7:$AH$3000,"yes")=0,"",SUMIFS(Offers!$H$7:$H$3000,Offers!$B$7:$B$3000,$B41,Offers!$C$7:$C$3000,$C41,Offers!$AF$7:$AF$3000,COUNTIFS(Offers!$B$7:$B$3000,$B41,Offers!$C$7:$C$3000,$C41,Offers!$AH$7:$AH$3000,"yes")))</f>
        <v>368.6</v>
      </c>
      <c r="I41" s="94" t="n">
        <f aca="false">IF(COUNTIFS(Offers!$B$7:$B$3000,$B41,Offers!$C$7:$C$3000,$C41,Offers!$AI$7:$AI$3000,"yes")=0,"",SUMIFS(Offers!$I$7:$I$3000,Offers!$B$7:$B$3000,$B41,Offers!$C$7:$C$3000,$C41,Offers!$AG$7:$AG$3000,1))</f>
        <v>1.624248</v>
      </c>
      <c r="J41" s="95" t="n">
        <f aca="false">IF(COUNTIFS(Offers!$B$7:$B$3000,$B41,Offers!$C$7:$C$3000,$C41,Offers!$AI$7:$AI$3000,"yes")=0,"",(SUMIFS(Offers!$I$7:$I$3000,Offers!$B$7:$B$3000,$B41,Offers!$C$7:$C$3000,$C41,Offers!$AG$7:$AG$3000,ROUNDUP(COUNTIFS(Offers!$B$7:$B$3000,$B41,Offers!$C$7:$C$3000,$C41,Offers!$AI$7:$AI$3000,"yes")/2,0))+SUMIFS(Offers!$I$7:$I$3000,Offers!$B$7:$B$3000,$B41,Offers!$C$7:$C$3000,$C41,Offers!$AG$7:$AG$3000,INT(COUNTIFS(Offers!$B$7:$B$3000,$B41,Offers!$C$7:$C$3000,$C41,Offers!$AI$7:$AI$3000,"yes")/2)+1))/2)</f>
        <v>3.80779</v>
      </c>
      <c r="K41" s="94" t="n">
        <f aca="false">IF(COUNTIFS(Offers!$B$7:$B$3000,$B41,Offers!$C$7:$C$3000,$C41,Offers!$AI$7:$AI$3000,"yes")=0,"",SUMIFS(Offers!$I$7:$I$3000,Offers!$B$7:$B$3000,$B41,Offers!$C$7:$C$3000,$C41,Offers!$AG$7:$AG$3000,COUNTIFS(Offers!$B$7:$B$3000,$B41,Offers!$C$7:$C$3000,$C41,Offers!$AI$7:$AI$3000,"yes")))</f>
        <v>15.091951</v>
      </c>
      <c r="L41" s="96"/>
      <c r="M41" s="96"/>
      <c r="N41" s="96"/>
      <c r="O41" s="97" t="n">
        <f aca="false">IF(Compare!$E$5="Local prices",IF(F41="","",IF(Compare!$C$5="Minimum",F41,IF(Compare!$C$5="Maximum",H41,G41))),IF(I41="","",IF(Compare!$C$5="Minimum",I41,IF(Compare!$C$5="Maximum",K41,J41))))</f>
        <v>3.80779</v>
      </c>
    </row>
    <row r="42" customFormat="false" ht="39" hidden="false" customHeight="true" outlineLevel="0" collapsed="false">
      <c r="A42" s="3"/>
      <c r="B42" s="36" t="s">
        <v>26</v>
      </c>
      <c r="C42" s="98" t="s">
        <v>18</v>
      </c>
      <c r="D42" s="98" t="s">
        <v>244</v>
      </c>
      <c r="E42" s="98" t="s">
        <v>491</v>
      </c>
      <c r="F42" s="99" t="n">
        <f aca="false">IF(COUNTIFS(Offers!$B$7:$B$3000,$B42,Offers!$C$7:$C$3000,$C42,Offers!$AH$7:$AH$3000,"yes")=0,"",SUMIFS(Offers!$H$7:$H$3000,Offers!$B$7:$B$3000,$B42,Offers!$C$7:$C$3000,$C42,Offers!$AF$7:$AF$3000,1))</f>
        <v>1.28</v>
      </c>
      <c r="G42" s="93" t="n">
        <f aca="false">IF(COUNTIFS(Offers!$B$7:$B$3000,$B42,Offers!$C$7:$C$3000,$C42,Offers!$AH$7:$AH$3000,"yes")=0,"",(SUMIFS(Offers!$H$7:$H$3000,Offers!$B$7:$B$3000,$B42,Offers!$C$7:$C$3000,$C42,Offers!$AF$7:$AF$3000,ROUNDUP(COUNTIFS(Offers!$B$7:$B$3000,$B42,Offers!$C$7:$C$3000,$C42,Offers!$AH$7:$AH$3000,"yes")/2,0))+SUMIFS(Offers!$H$7:$H$3000,Offers!$B$7:$B$3000,$B42,Offers!$C$7:$C$3000,$C42,Offers!$AF$7:$AF$3000,INT(COUNTIFS(Offers!$B$7:$B$3000,$B42,Offers!$C$7:$C$3000,$C42,Offers!$AH$7:$AH$3000,"yes")/2)+1))/2)</f>
        <v>1.28</v>
      </c>
      <c r="H42" s="99" t="n">
        <f aca="false">IF(COUNTIFS(Offers!$B$7:$B$3000,$B42,Offers!$C$7:$C$3000,$C42,Offers!$AH$7:$AH$3000,"yes")=0,"",SUMIFS(Offers!$H$7:$H$3000,Offers!$B$7:$B$3000,$B42,Offers!$C$7:$C$3000,$C42,Offers!$AF$7:$AF$3000,COUNTIFS(Offers!$B$7:$B$3000,$B42,Offers!$C$7:$C$3000,$C42,Offers!$AH$7:$AH$3000,"yes")))</f>
        <v>1.28</v>
      </c>
      <c r="I42" s="100" t="n">
        <f aca="false">IF(COUNTIFS(Offers!$B$7:$B$3000,$B42,Offers!$C$7:$C$3000,$C42,Offers!$AI$7:$AI$3000,"yes")=0,"",SUMIFS(Offers!$I$7:$I$3000,Offers!$B$7:$B$3000,$B42,Offers!$C$7:$C$3000,$C42,Offers!$AG$7:$AG$3000,1))</f>
        <v>1.28</v>
      </c>
      <c r="J42" s="95" t="n">
        <f aca="false">IF(COUNTIFS(Offers!$B$7:$B$3000,$B42,Offers!$C$7:$C$3000,$C42,Offers!$AI$7:$AI$3000,"yes")=0,"",(SUMIFS(Offers!$I$7:$I$3000,Offers!$B$7:$B$3000,$B42,Offers!$C$7:$C$3000,$C42,Offers!$AG$7:$AG$3000,ROUNDUP(COUNTIFS(Offers!$B$7:$B$3000,$B42,Offers!$C$7:$C$3000,$C42,Offers!$AI$7:$AI$3000,"yes")/2,0))+SUMIFS(Offers!$I$7:$I$3000,Offers!$B$7:$B$3000,$B42,Offers!$C$7:$C$3000,$C42,Offers!$AG$7:$AG$3000,INT(COUNTIFS(Offers!$B$7:$B$3000,$B42,Offers!$C$7:$C$3000,$C42,Offers!$AI$7:$AI$3000,"yes")/2)+1))/2)</f>
        <v>1.28</v>
      </c>
      <c r="K42" s="100" t="n">
        <f aca="false">IF(COUNTIFS(Offers!$B$7:$B$3000,$B42,Offers!$C$7:$C$3000,$C42,Offers!$AI$7:$AI$3000,"yes")=0,"",SUMIFS(Offers!$I$7:$I$3000,Offers!$B$7:$B$3000,$B42,Offers!$C$7:$C$3000,$C42,Offers!$AG$7:$AG$3000,COUNTIFS(Offers!$B$7:$B$3000,$B42,Offers!$C$7:$C$3000,$C42,Offers!$AI$7:$AI$3000,"yes")))</f>
        <v>1.28</v>
      </c>
      <c r="L42" s="96"/>
      <c r="M42" s="96"/>
      <c r="N42" s="96"/>
      <c r="O42" s="101" t="n">
        <f aca="false">IF(Compare!$E$5="Local prices",IF(F42="","",IF(Compare!$C$5="Minimum",F42,IF(Compare!$C$5="Maximum",H42,G42))),IF(I42="","",IF(Compare!$C$5="Minimum",I42,IF(Compare!$C$5="Maximum",K42,J42))))</f>
        <v>1.28</v>
      </c>
    </row>
    <row r="43" customFormat="false" ht="39" hidden="false" customHeight="true" outlineLevel="0" collapsed="false">
      <c r="A43" s="3"/>
      <c r="B43" s="102" t="s">
        <v>27</v>
      </c>
      <c r="C43" s="103" t="s">
        <v>13</v>
      </c>
      <c r="D43" s="103" t="s">
        <v>490</v>
      </c>
      <c r="E43" s="103" t="s">
        <v>491</v>
      </c>
      <c r="F43" s="104" t="str">
        <f aca="false">IF(COUNTIFS(Offers!$B$7:$B$3000,$B43,Offers!$C$7:$C$3000,$C43,Offers!$AH$7:$AH$3000,"yes")=0,"",SUMIFS(Offers!$H$7:$H$3000,Offers!$B$7:$B$3000,$B43,Offers!$C$7:$C$3000,$C43,Offers!$AF$7:$AF$3000,1))</f>
        <v/>
      </c>
      <c r="G43" s="105" t="str">
        <f aca="false">IF(COUNTIFS(Offers!$B$7:$B$3000,$B43,Offers!$C$7:$C$3000,$C43,Offers!$AH$7:$AH$3000,"yes")=0,"",(SUMIFS(Offers!$H$7:$H$3000,Offers!$B$7:$B$3000,$B43,Offers!$C$7:$C$3000,$C43,Offers!$AF$7:$AF$3000,ROUNDUP(COUNTIFS(Offers!$B$7:$B$3000,$B43,Offers!$C$7:$C$3000,$C43,Offers!$AH$7:$AH$3000,"yes")/2,0))+SUMIFS(Offers!$H$7:$H$3000,Offers!$B$7:$B$3000,$B43,Offers!$C$7:$C$3000,$C43,Offers!$AF$7:$AF$3000,INT(COUNTIFS(Offers!$B$7:$B$3000,$B43,Offers!$C$7:$C$3000,$C43,Offers!$AH$7:$AH$3000,"yes")/2)+1))/2)</f>
        <v/>
      </c>
      <c r="H43" s="104" t="str">
        <f aca="false">IF(COUNTIFS(Offers!$B$7:$B$3000,$B43,Offers!$C$7:$C$3000,$C43,Offers!$AH$7:$AH$3000,"yes")=0,"",SUMIFS(Offers!$H$7:$H$3000,Offers!$B$7:$B$3000,$B43,Offers!$C$7:$C$3000,$C43,Offers!$AF$7:$AF$3000,COUNTIFS(Offers!$B$7:$B$3000,$B43,Offers!$C$7:$C$3000,$C43,Offers!$AH$7:$AH$3000,"yes")))</f>
        <v/>
      </c>
      <c r="I43" s="106" t="str">
        <f aca="false">IF(COUNTIFS(Offers!$B$7:$B$3000,$B43,Offers!$C$7:$C$3000,$C43,Offers!$AI$7:$AI$3000,"yes")=0,"",SUMIFS(Offers!$I$7:$I$3000,Offers!$B$7:$B$3000,$B43,Offers!$C$7:$C$3000,$C43,Offers!$AG$7:$AG$3000,1))</f>
        <v/>
      </c>
      <c r="J43" s="107" t="str">
        <f aca="false">IF(COUNTIFS(Offers!$B$7:$B$3000,$B43,Offers!$C$7:$C$3000,$C43,Offers!$AI$7:$AI$3000,"yes")=0,"",(SUMIFS(Offers!$I$7:$I$3000,Offers!$B$7:$B$3000,$B43,Offers!$C$7:$C$3000,$C43,Offers!$AG$7:$AG$3000,ROUNDUP(COUNTIFS(Offers!$B$7:$B$3000,$B43,Offers!$C$7:$C$3000,$C43,Offers!$AI$7:$AI$3000,"yes")/2,0))+SUMIFS(Offers!$I$7:$I$3000,Offers!$B$7:$B$3000,$B43,Offers!$C$7:$C$3000,$C43,Offers!$AG$7:$AG$3000,INT(COUNTIFS(Offers!$B$7:$B$3000,$B43,Offers!$C$7:$C$3000,$C43,Offers!$AI$7:$AI$3000,"yes")/2)+1))/2)</f>
        <v/>
      </c>
      <c r="K43" s="106" t="str">
        <f aca="false">IF(COUNTIFS(Offers!$B$7:$B$3000,$B43,Offers!$C$7:$C$3000,$C43,Offers!$AI$7:$AI$3000,"yes")=0,"",SUMIFS(Offers!$I$7:$I$3000,Offers!$B$7:$B$3000,$B43,Offers!$C$7:$C$3000,$C43,Offers!$AG$7:$AG$3000,COUNTIFS(Offers!$B$7:$B$3000,$B43,Offers!$C$7:$C$3000,$C43,Offers!$AI$7:$AI$3000,"yes")))</f>
        <v/>
      </c>
      <c r="L43" s="108"/>
      <c r="M43" s="108"/>
      <c r="N43" s="108"/>
      <c r="O43" s="109" t="str">
        <f aca="false">IF(Compare!$E$5="Local prices",IF(F43="","",IF(Compare!$C$5="Minimum",F43,IF(Compare!$C$5="Maximum",H43,G43))),IF(I43="","",IF(Compare!$C$5="Minimum",I43,IF(Compare!$C$5="Maximum",K43,J43))))</f>
        <v/>
      </c>
    </row>
    <row r="44" customFormat="false" ht="39" hidden="false" customHeight="true" outlineLevel="0" collapsed="false">
      <c r="A44" s="3"/>
      <c r="B44" s="36" t="s">
        <v>27</v>
      </c>
      <c r="C44" s="98" t="s">
        <v>14</v>
      </c>
      <c r="D44" s="98" t="s">
        <v>374</v>
      </c>
      <c r="E44" s="98" t="s">
        <v>491</v>
      </c>
      <c r="F44" s="99" t="str">
        <f aca="false">IF(COUNTIFS(Offers!$B$7:$B$3000,$B44,Offers!$C$7:$C$3000,$C44,Offers!$AH$7:$AH$3000,"yes")=0,"",SUMIFS(Offers!$H$7:$H$3000,Offers!$B$7:$B$3000,$B44,Offers!$C$7:$C$3000,$C44,Offers!$AF$7:$AF$3000,1))</f>
        <v/>
      </c>
      <c r="G44" s="93" t="str">
        <f aca="false">IF(COUNTIFS(Offers!$B$7:$B$3000,$B44,Offers!$C$7:$C$3000,$C44,Offers!$AH$7:$AH$3000,"yes")=0,"",(SUMIFS(Offers!$H$7:$H$3000,Offers!$B$7:$B$3000,$B44,Offers!$C$7:$C$3000,$C44,Offers!$AF$7:$AF$3000,ROUNDUP(COUNTIFS(Offers!$B$7:$B$3000,$B44,Offers!$C$7:$C$3000,$C44,Offers!$AH$7:$AH$3000,"yes")/2,0))+SUMIFS(Offers!$H$7:$H$3000,Offers!$B$7:$B$3000,$B44,Offers!$C$7:$C$3000,$C44,Offers!$AF$7:$AF$3000,INT(COUNTIFS(Offers!$B$7:$B$3000,$B44,Offers!$C$7:$C$3000,$C44,Offers!$AH$7:$AH$3000,"yes")/2)+1))/2)</f>
        <v/>
      </c>
      <c r="H44" s="99" t="str">
        <f aca="false">IF(COUNTIFS(Offers!$B$7:$B$3000,$B44,Offers!$C$7:$C$3000,$C44,Offers!$AH$7:$AH$3000,"yes")=0,"",SUMIFS(Offers!$H$7:$H$3000,Offers!$B$7:$B$3000,$B44,Offers!$C$7:$C$3000,$C44,Offers!$AF$7:$AF$3000,COUNTIFS(Offers!$B$7:$B$3000,$B44,Offers!$C$7:$C$3000,$C44,Offers!$AH$7:$AH$3000,"yes")))</f>
        <v/>
      </c>
      <c r="I44" s="100" t="str">
        <f aca="false">IF(COUNTIFS(Offers!$B$7:$B$3000,$B44,Offers!$C$7:$C$3000,$C44,Offers!$AI$7:$AI$3000,"yes")=0,"",SUMIFS(Offers!$I$7:$I$3000,Offers!$B$7:$B$3000,$B44,Offers!$C$7:$C$3000,$C44,Offers!$AG$7:$AG$3000,1))</f>
        <v/>
      </c>
      <c r="J44" s="95" t="str">
        <f aca="false">IF(COUNTIFS(Offers!$B$7:$B$3000,$B44,Offers!$C$7:$C$3000,$C44,Offers!$AI$7:$AI$3000,"yes")=0,"",(SUMIFS(Offers!$I$7:$I$3000,Offers!$B$7:$B$3000,$B44,Offers!$C$7:$C$3000,$C44,Offers!$AG$7:$AG$3000,ROUNDUP(COUNTIFS(Offers!$B$7:$B$3000,$B44,Offers!$C$7:$C$3000,$C44,Offers!$AI$7:$AI$3000,"yes")/2,0))+SUMIFS(Offers!$I$7:$I$3000,Offers!$B$7:$B$3000,$B44,Offers!$C$7:$C$3000,$C44,Offers!$AG$7:$AG$3000,INT(COUNTIFS(Offers!$B$7:$B$3000,$B44,Offers!$C$7:$C$3000,$C44,Offers!$AI$7:$AI$3000,"yes")/2)+1))/2)</f>
        <v/>
      </c>
      <c r="K44" s="100" t="str">
        <f aca="false">IF(COUNTIFS(Offers!$B$7:$B$3000,$B44,Offers!$C$7:$C$3000,$C44,Offers!$AI$7:$AI$3000,"yes")=0,"",SUMIFS(Offers!$I$7:$I$3000,Offers!$B$7:$B$3000,$B44,Offers!$C$7:$C$3000,$C44,Offers!$AG$7:$AG$3000,COUNTIFS(Offers!$B$7:$B$3000,$B44,Offers!$C$7:$C$3000,$C44,Offers!$AI$7:$AI$3000,"yes")))</f>
        <v/>
      </c>
      <c r="L44" s="96"/>
      <c r="M44" s="96"/>
      <c r="N44" s="96"/>
      <c r="O44" s="110" t="str">
        <f aca="false">IF(Compare!$E$5="Local prices",IF(F44="","",IF(Compare!$C$5="Minimum",F44,IF(Compare!$C$5="Maximum",H44,G44))),IF(I44="","",IF(Compare!$C$5="Minimum",I44,IF(Compare!$C$5="Maximum",K44,J44))))</f>
        <v/>
      </c>
    </row>
    <row r="45" customFormat="false" ht="39" hidden="false" customHeight="true" outlineLevel="0" collapsed="false">
      <c r="A45" s="3"/>
      <c r="B45" s="31" t="s">
        <v>27</v>
      </c>
      <c r="C45" s="91" t="s">
        <v>15</v>
      </c>
      <c r="D45" s="91" t="s">
        <v>244</v>
      </c>
      <c r="E45" s="91" t="s">
        <v>491</v>
      </c>
      <c r="F45" s="92" t="str">
        <f aca="false">IF(COUNTIFS(Offers!$B$7:$B$3000,$B45,Offers!$C$7:$C$3000,$C45,Offers!$AH$7:$AH$3000,"yes")=0,"",SUMIFS(Offers!$H$7:$H$3000,Offers!$B$7:$B$3000,$B45,Offers!$C$7:$C$3000,$C45,Offers!$AF$7:$AF$3000,1))</f>
        <v/>
      </c>
      <c r="G45" s="93" t="str">
        <f aca="false">IF(COUNTIFS(Offers!$B$7:$B$3000,$B45,Offers!$C$7:$C$3000,$C45,Offers!$AH$7:$AH$3000,"yes")=0,"",(SUMIFS(Offers!$H$7:$H$3000,Offers!$B$7:$B$3000,$B45,Offers!$C$7:$C$3000,$C45,Offers!$AF$7:$AF$3000,ROUNDUP(COUNTIFS(Offers!$B$7:$B$3000,$B45,Offers!$C$7:$C$3000,$C45,Offers!$AH$7:$AH$3000,"yes")/2,0))+SUMIFS(Offers!$H$7:$H$3000,Offers!$B$7:$B$3000,$B45,Offers!$C$7:$C$3000,$C45,Offers!$AF$7:$AF$3000,INT(COUNTIFS(Offers!$B$7:$B$3000,$B45,Offers!$C$7:$C$3000,$C45,Offers!$AH$7:$AH$3000,"yes")/2)+1))/2)</f>
        <v/>
      </c>
      <c r="H45" s="92" t="str">
        <f aca="false">IF(COUNTIFS(Offers!$B$7:$B$3000,$B45,Offers!$C$7:$C$3000,$C45,Offers!$AH$7:$AH$3000,"yes")=0,"",SUMIFS(Offers!$H$7:$H$3000,Offers!$B$7:$B$3000,$B45,Offers!$C$7:$C$3000,$C45,Offers!$AF$7:$AF$3000,COUNTIFS(Offers!$B$7:$B$3000,$B45,Offers!$C$7:$C$3000,$C45,Offers!$AH$7:$AH$3000,"yes")))</f>
        <v/>
      </c>
      <c r="I45" s="94" t="str">
        <f aca="false">IF(COUNTIFS(Offers!$B$7:$B$3000,$B45,Offers!$C$7:$C$3000,$C45,Offers!$AI$7:$AI$3000,"yes")=0,"",SUMIFS(Offers!$I$7:$I$3000,Offers!$B$7:$B$3000,$B45,Offers!$C$7:$C$3000,$C45,Offers!$AG$7:$AG$3000,1))</f>
        <v/>
      </c>
      <c r="J45" s="95" t="str">
        <f aca="false">IF(COUNTIFS(Offers!$B$7:$B$3000,$B45,Offers!$C$7:$C$3000,$C45,Offers!$AI$7:$AI$3000,"yes")=0,"",(SUMIFS(Offers!$I$7:$I$3000,Offers!$B$7:$B$3000,$B45,Offers!$C$7:$C$3000,$C45,Offers!$AG$7:$AG$3000,ROUNDUP(COUNTIFS(Offers!$B$7:$B$3000,$B45,Offers!$C$7:$C$3000,$C45,Offers!$AI$7:$AI$3000,"yes")/2,0))+SUMIFS(Offers!$I$7:$I$3000,Offers!$B$7:$B$3000,$B45,Offers!$C$7:$C$3000,$C45,Offers!$AG$7:$AG$3000,INT(COUNTIFS(Offers!$B$7:$B$3000,$B45,Offers!$C$7:$C$3000,$C45,Offers!$AI$7:$AI$3000,"yes")/2)+1))/2)</f>
        <v/>
      </c>
      <c r="K45" s="94" t="str">
        <f aca="false">IF(COUNTIFS(Offers!$B$7:$B$3000,$B45,Offers!$C$7:$C$3000,$C45,Offers!$AI$7:$AI$3000,"yes")=0,"",SUMIFS(Offers!$I$7:$I$3000,Offers!$B$7:$B$3000,$B45,Offers!$C$7:$C$3000,$C45,Offers!$AG$7:$AG$3000,COUNTIFS(Offers!$B$7:$B$3000,$B45,Offers!$C$7:$C$3000,$C45,Offers!$AI$7:$AI$3000,"yes")))</f>
        <v/>
      </c>
      <c r="L45" s="96"/>
      <c r="M45" s="96"/>
      <c r="N45" s="96"/>
      <c r="O45" s="109" t="str">
        <f aca="false">IF(Compare!$E$5="Local prices",IF(F45="","",IF(Compare!$C$5="Minimum",F45,IF(Compare!$C$5="Maximum",H45,G45))),IF(I45="","",IF(Compare!$C$5="Minimum",I45,IF(Compare!$C$5="Maximum",K45,J45))))</f>
        <v/>
      </c>
    </row>
    <row r="46" customFormat="false" ht="39" hidden="false" customHeight="true" outlineLevel="0" collapsed="false">
      <c r="A46" s="3"/>
      <c r="B46" s="36" t="s">
        <v>27</v>
      </c>
      <c r="C46" s="98" t="s">
        <v>16</v>
      </c>
      <c r="D46" s="98" t="s">
        <v>244</v>
      </c>
      <c r="E46" s="98" t="s">
        <v>491</v>
      </c>
      <c r="F46" s="99" t="str">
        <f aca="false">IF(COUNTIFS(Offers!$B$7:$B$3000,$B46,Offers!$C$7:$C$3000,$C46,Offers!$AH$7:$AH$3000,"yes")=0,"",SUMIFS(Offers!$H$7:$H$3000,Offers!$B$7:$B$3000,$B46,Offers!$C$7:$C$3000,$C46,Offers!$AF$7:$AF$3000,1))</f>
        <v/>
      </c>
      <c r="G46" s="93" t="str">
        <f aca="false">IF(COUNTIFS(Offers!$B$7:$B$3000,$B46,Offers!$C$7:$C$3000,$C46,Offers!$AH$7:$AH$3000,"yes")=0,"",(SUMIFS(Offers!$H$7:$H$3000,Offers!$B$7:$B$3000,$B46,Offers!$C$7:$C$3000,$C46,Offers!$AF$7:$AF$3000,ROUNDUP(COUNTIFS(Offers!$B$7:$B$3000,$B46,Offers!$C$7:$C$3000,$C46,Offers!$AH$7:$AH$3000,"yes")/2,0))+SUMIFS(Offers!$H$7:$H$3000,Offers!$B$7:$B$3000,$B46,Offers!$C$7:$C$3000,$C46,Offers!$AF$7:$AF$3000,INT(COUNTIFS(Offers!$B$7:$B$3000,$B46,Offers!$C$7:$C$3000,$C46,Offers!$AH$7:$AH$3000,"yes")/2)+1))/2)</f>
        <v/>
      </c>
      <c r="H46" s="99" t="str">
        <f aca="false">IF(COUNTIFS(Offers!$B$7:$B$3000,$B46,Offers!$C$7:$C$3000,$C46,Offers!$AH$7:$AH$3000,"yes")=0,"",SUMIFS(Offers!$H$7:$H$3000,Offers!$B$7:$B$3000,$B46,Offers!$C$7:$C$3000,$C46,Offers!$AF$7:$AF$3000,COUNTIFS(Offers!$B$7:$B$3000,$B46,Offers!$C$7:$C$3000,$C46,Offers!$AH$7:$AH$3000,"yes")))</f>
        <v/>
      </c>
      <c r="I46" s="100" t="str">
        <f aca="false">IF(COUNTIFS(Offers!$B$7:$B$3000,$B46,Offers!$C$7:$C$3000,$C46,Offers!$AI$7:$AI$3000,"yes")=0,"",SUMIFS(Offers!$I$7:$I$3000,Offers!$B$7:$B$3000,$B46,Offers!$C$7:$C$3000,$C46,Offers!$AG$7:$AG$3000,1))</f>
        <v/>
      </c>
      <c r="J46" s="95" t="str">
        <f aca="false">IF(COUNTIFS(Offers!$B$7:$B$3000,$B46,Offers!$C$7:$C$3000,$C46,Offers!$AI$7:$AI$3000,"yes")=0,"",(SUMIFS(Offers!$I$7:$I$3000,Offers!$B$7:$B$3000,$B46,Offers!$C$7:$C$3000,$C46,Offers!$AG$7:$AG$3000,ROUNDUP(COUNTIFS(Offers!$B$7:$B$3000,$B46,Offers!$C$7:$C$3000,$C46,Offers!$AI$7:$AI$3000,"yes")/2,0))+SUMIFS(Offers!$I$7:$I$3000,Offers!$B$7:$B$3000,$B46,Offers!$C$7:$C$3000,$C46,Offers!$AG$7:$AG$3000,INT(COUNTIFS(Offers!$B$7:$B$3000,$B46,Offers!$C$7:$C$3000,$C46,Offers!$AI$7:$AI$3000,"yes")/2)+1))/2)</f>
        <v/>
      </c>
      <c r="K46" s="100" t="str">
        <f aca="false">IF(COUNTIFS(Offers!$B$7:$B$3000,$B46,Offers!$C$7:$C$3000,$C46,Offers!$AI$7:$AI$3000,"yes")=0,"",SUMIFS(Offers!$I$7:$I$3000,Offers!$B$7:$B$3000,$B46,Offers!$C$7:$C$3000,$C46,Offers!$AG$7:$AG$3000,COUNTIFS(Offers!$B$7:$B$3000,$B46,Offers!$C$7:$C$3000,$C46,Offers!$AI$7:$AI$3000,"yes")))</f>
        <v/>
      </c>
      <c r="L46" s="96"/>
      <c r="M46" s="96"/>
      <c r="N46" s="96"/>
      <c r="O46" s="110" t="str">
        <f aca="false">IF(Compare!$E$5="Local prices",IF(F46="","",IF(Compare!$C$5="Minimum",F46,IF(Compare!$C$5="Maximum",H46,G46))),IF(I46="","",IF(Compare!$C$5="Minimum",I46,IF(Compare!$C$5="Maximum",K46,J46))))</f>
        <v/>
      </c>
    </row>
    <row r="47" customFormat="false" ht="39" hidden="false" customHeight="true" outlineLevel="0" collapsed="false">
      <c r="A47" s="3"/>
      <c r="B47" s="31" t="s">
        <v>27</v>
      </c>
      <c r="C47" s="91" t="s">
        <v>17</v>
      </c>
      <c r="D47" s="91" t="s">
        <v>333</v>
      </c>
      <c r="E47" s="91" t="s">
        <v>491</v>
      </c>
      <c r="F47" s="92" t="str">
        <f aca="false">IF(COUNTIFS(Offers!$B$7:$B$3000,$B47,Offers!$C$7:$C$3000,$C47,Offers!$AH$7:$AH$3000,"yes")=0,"",SUMIFS(Offers!$H$7:$H$3000,Offers!$B$7:$B$3000,$B47,Offers!$C$7:$C$3000,$C47,Offers!$AF$7:$AF$3000,1))</f>
        <v/>
      </c>
      <c r="G47" s="93" t="str">
        <f aca="false">IF(COUNTIFS(Offers!$B$7:$B$3000,$B47,Offers!$C$7:$C$3000,$C47,Offers!$AH$7:$AH$3000,"yes")=0,"",(SUMIFS(Offers!$H$7:$H$3000,Offers!$B$7:$B$3000,$B47,Offers!$C$7:$C$3000,$C47,Offers!$AF$7:$AF$3000,ROUNDUP(COUNTIFS(Offers!$B$7:$B$3000,$B47,Offers!$C$7:$C$3000,$C47,Offers!$AH$7:$AH$3000,"yes")/2,0))+SUMIFS(Offers!$H$7:$H$3000,Offers!$B$7:$B$3000,$B47,Offers!$C$7:$C$3000,$C47,Offers!$AF$7:$AF$3000,INT(COUNTIFS(Offers!$B$7:$B$3000,$B47,Offers!$C$7:$C$3000,$C47,Offers!$AH$7:$AH$3000,"yes")/2)+1))/2)</f>
        <v/>
      </c>
      <c r="H47" s="92" t="str">
        <f aca="false">IF(COUNTIFS(Offers!$B$7:$B$3000,$B47,Offers!$C$7:$C$3000,$C47,Offers!$AH$7:$AH$3000,"yes")=0,"",SUMIFS(Offers!$H$7:$H$3000,Offers!$B$7:$B$3000,$B47,Offers!$C$7:$C$3000,$C47,Offers!$AF$7:$AF$3000,COUNTIFS(Offers!$B$7:$B$3000,$B47,Offers!$C$7:$C$3000,$C47,Offers!$AH$7:$AH$3000,"yes")))</f>
        <v/>
      </c>
      <c r="I47" s="94" t="str">
        <f aca="false">IF(COUNTIFS(Offers!$B$7:$B$3000,$B47,Offers!$C$7:$C$3000,$C47,Offers!$AI$7:$AI$3000,"yes")=0,"",SUMIFS(Offers!$I$7:$I$3000,Offers!$B$7:$B$3000,$B47,Offers!$C$7:$C$3000,$C47,Offers!$AG$7:$AG$3000,1))</f>
        <v/>
      </c>
      <c r="J47" s="95" t="str">
        <f aca="false">IF(COUNTIFS(Offers!$B$7:$B$3000,$B47,Offers!$C$7:$C$3000,$C47,Offers!$AI$7:$AI$3000,"yes")=0,"",(SUMIFS(Offers!$I$7:$I$3000,Offers!$B$7:$B$3000,$B47,Offers!$C$7:$C$3000,$C47,Offers!$AG$7:$AG$3000,ROUNDUP(COUNTIFS(Offers!$B$7:$B$3000,$B47,Offers!$C$7:$C$3000,$C47,Offers!$AI$7:$AI$3000,"yes")/2,0))+SUMIFS(Offers!$I$7:$I$3000,Offers!$B$7:$B$3000,$B47,Offers!$C$7:$C$3000,$C47,Offers!$AG$7:$AG$3000,INT(COUNTIFS(Offers!$B$7:$B$3000,$B47,Offers!$C$7:$C$3000,$C47,Offers!$AI$7:$AI$3000,"yes")/2)+1))/2)</f>
        <v/>
      </c>
      <c r="K47" s="94" t="str">
        <f aca="false">IF(COUNTIFS(Offers!$B$7:$B$3000,$B47,Offers!$C$7:$C$3000,$C47,Offers!$AI$7:$AI$3000,"yes")=0,"",SUMIFS(Offers!$I$7:$I$3000,Offers!$B$7:$B$3000,$B47,Offers!$C$7:$C$3000,$C47,Offers!$AG$7:$AG$3000,COUNTIFS(Offers!$B$7:$B$3000,$B47,Offers!$C$7:$C$3000,$C47,Offers!$AI$7:$AI$3000,"yes")))</f>
        <v/>
      </c>
      <c r="L47" s="96"/>
      <c r="M47" s="96"/>
      <c r="N47" s="96"/>
      <c r="O47" s="109" t="str">
        <f aca="false">IF(Compare!$E$5="Local prices",IF(F47="","",IF(Compare!$C$5="Minimum",F47,IF(Compare!$C$5="Maximum",H47,G47))),IF(I47="","",IF(Compare!$C$5="Minimum",I47,IF(Compare!$C$5="Maximum",K47,J47))))</f>
        <v/>
      </c>
    </row>
    <row r="48" customFormat="false" ht="39" hidden="false" customHeight="true" outlineLevel="0" collapsed="false">
      <c r="A48" s="3"/>
      <c r="B48" s="36" t="s">
        <v>27</v>
      </c>
      <c r="C48" s="98" t="s">
        <v>18</v>
      </c>
      <c r="D48" s="98" t="s">
        <v>244</v>
      </c>
      <c r="E48" s="98" t="s">
        <v>491</v>
      </c>
      <c r="F48" s="99" t="str">
        <f aca="false">IF(COUNTIFS(Offers!$B$7:$B$3000,$B48,Offers!$C$7:$C$3000,$C48,Offers!$AH$7:$AH$3000,"yes")=0,"",SUMIFS(Offers!$H$7:$H$3000,Offers!$B$7:$B$3000,$B48,Offers!$C$7:$C$3000,$C48,Offers!$AF$7:$AF$3000,1))</f>
        <v/>
      </c>
      <c r="G48" s="93" t="str">
        <f aca="false">IF(COUNTIFS(Offers!$B$7:$B$3000,$B48,Offers!$C$7:$C$3000,$C48,Offers!$AH$7:$AH$3000,"yes")=0,"",(SUMIFS(Offers!$H$7:$H$3000,Offers!$B$7:$B$3000,$B48,Offers!$C$7:$C$3000,$C48,Offers!$AF$7:$AF$3000,ROUNDUP(COUNTIFS(Offers!$B$7:$B$3000,$B48,Offers!$C$7:$C$3000,$C48,Offers!$AH$7:$AH$3000,"yes")/2,0))+SUMIFS(Offers!$H$7:$H$3000,Offers!$B$7:$B$3000,$B48,Offers!$C$7:$C$3000,$C48,Offers!$AF$7:$AF$3000,INT(COUNTIFS(Offers!$B$7:$B$3000,$B48,Offers!$C$7:$C$3000,$C48,Offers!$AH$7:$AH$3000,"yes")/2)+1))/2)</f>
        <v/>
      </c>
      <c r="H48" s="99" t="str">
        <f aca="false">IF(COUNTIFS(Offers!$B$7:$B$3000,$B48,Offers!$C$7:$C$3000,$C48,Offers!$AH$7:$AH$3000,"yes")=0,"",SUMIFS(Offers!$H$7:$H$3000,Offers!$B$7:$B$3000,$B48,Offers!$C$7:$C$3000,$C48,Offers!$AF$7:$AF$3000,COUNTIFS(Offers!$B$7:$B$3000,$B48,Offers!$C$7:$C$3000,$C48,Offers!$AH$7:$AH$3000,"yes")))</f>
        <v/>
      </c>
      <c r="I48" s="100" t="str">
        <f aca="false">IF(COUNTIFS(Offers!$B$7:$B$3000,$B48,Offers!$C$7:$C$3000,$C48,Offers!$AI$7:$AI$3000,"yes")=0,"",SUMIFS(Offers!$I$7:$I$3000,Offers!$B$7:$B$3000,$B48,Offers!$C$7:$C$3000,$C48,Offers!$AG$7:$AG$3000,1))</f>
        <v/>
      </c>
      <c r="J48" s="95" t="str">
        <f aca="false">IF(COUNTIFS(Offers!$B$7:$B$3000,$B48,Offers!$C$7:$C$3000,$C48,Offers!$AI$7:$AI$3000,"yes")=0,"",(SUMIFS(Offers!$I$7:$I$3000,Offers!$B$7:$B$3000,$B48,Offers!$C$7:$C$3000,$C48,Offers!$AG$7:$AG$3000,ROUNDUP(COUNTIFS(Offers!$B$7:$B$3000,$B48,Offers!$C$7:$C$3000,$C48,Offers!$AI$7:$AI$3000,"yes")/2,0))+SUMIFS(Offers!$I$7:$I$3000,Offers!$B$7:$B$3000,$B48,Offers!$C$7:$C$3000,$C48,Offers!$AG$7:$AG$3000,INT(COUNTIFS(Offers!$B$7:$B$3000,$B48,Offers!$C$7:$C$3000,$C48,Offers!$AI$7:$AI$3000,"yes")/2)+1))/2)</f>
        <v/>
      </c>
      <c r="K48" s="100" t="str">
        <f aca="false">IF(COUNTIFS(Offers!$B$7:$B$3000,$B48,Offers!$C$7:$C$3000,$C48,Offers!$AI$7:$AI$3000,"yes")=0,"",SUMIFS(Offers!$I$7:$I$3000,Offers!$B$7:$B$3000,$B48,Offers!$C$7:$C$3000,$C48,Offers!$AG$7:$AG$3000,COUNTIFS(Offers!$B$7:$B$3000,$B48,Offers!$C$7:$C$3000,$C48,Offers!$AI$7:$AI$3000,"yes")))</f>
        <v/>
      </c>
      <c r="L48" s="96"/>
      <c r="M48" s="96"/>
      <c r="N48" s="96"/>
      <c r="O48" s="110" t="str">
        <f aca="false">IF(Compare!$E$5="Local prices",IF(F48="","",IF(Compare!$C$5="Minimum",F48,IF(Compare!$C$5="Maximum",H48,G48))),IF(I48="","",IF(Compare!$C$5="Minimum",I48,IF(Compare!$C$5="Maximum",K48,J48))))</f>
        <v/>
      </c>
    </row>
    <row r="49" customFormat="false" ht="39" hidden="false" customHeight="true" outlineLevel="0" collapsed="false">
      <c r="A49" s="3"/>
      <c r="B49" s="102" t="s">
        <v>28</v>
      </c>
      <c r="C49" s="103" t="s">
        <v>13</v>
      </c>
      <c r="D49" s="103" t="s">
        <v>490</v>
      </c>
      <c r="E49" s="103" t="s">
        <v>491</v>
      </c>
      <c r="F49" s="104" t="str">
        <f aca="false">IF(COUNTIFS(Offers!$B$7:$B$3000,$B49,Offers!$C$7:$C$3000,$C49,Offers!$AH$7:$AH$3000,"yes")=0,"",SUMIFS(Offers!$H$7:$H$3000,Offers!$B$7:$B$3000,$B49,Offers!$C$7:$C$3000,$C49,Offers!$AF$7:$AF$3000,1))</f>
        <v/>
      </c>
      <c r="G49" s="105" t="str">
        <f aca="false">IF(COUNTIFS(Offers!$B$7:$B$3000,$B49,Offers!$C$7:$C$3000,$C49,Offers!$AH$7:$AH$3000,"yes")=0,"",(SUMIFS(Offers!$H$7:$H$3000,Offers!$B$7:$B$3000,$B49,Offers!$C$7:$C$3000,$C49,Offers!$AF$7:$AF$3000,ROUNDUP(COUNTIFS(Offers!$B$7:$B$3000,$B49,Offers!$C$7:$C$3000,$C49,Offers!$AH$7:$AH$3000,"yes")/2,0))+SUMIFS(Offers!$H$7:$H$3000,Offers!$B$7:$B$3000,$B49,Offers!$C$7:$C$3000,$C49,Offers!$AF$7:$AF$3000,INT(COUNTIFS(Offers!$B$7:$B$3000,$B49,Offers!$C$7:$C$3000,$C49,Offers!$AH$7:$AH$3000,"yes")/2)+1))/2)</f>
        <v/>
      </c>
      <c r="H49" s="104" t="str">
        <f aca="false">IF(COUNTIFS(Offers!$B$7:$B$3000,$B49,Offers!$C$7:$C$3000,$C49,Offers!$AH$7:$AH$3000,"yes")=0,"",SUMIFS(Offers!$H$7:$H$3000,Offers!$B$7:$B$3000,$B49,Offers!$C$7:$C$3000,$C49,Offers!$AF$7:$AF$3000,COUNTIFS(Offers!$B$7:$B$3000,$B49,Offers!$C$7:$C$3000,$C49,Offers!$AH$7:$AH$3000,"yes")))</f>
        <v/>
      </c>
      <c r="I49" s="106" t="str">
        <f aca="false">IF(COUNTIFS(Offers!$B$7:$B$3000,$B49,Offers!$C$7:$C$3000,$C49,Offers!$AI$7:$AI$3000,"yes")=0,"",SUMIFS(Offers!$I$7:$I$3000,Offers!$B$7:$B$3000,$B49,Offers!$C$7:$C$3000,$C49,Offers!$AG$7:$AG$3000,1))</f>
        <v/>
      </c>
      <c r="J49" s="107" t="str">
        <f aca="false">IF(COUNTIFS(Offers!$B$7:$B$3000,$B49,Offers!$C$7:$C$3000,$C49,Offers!$AI$7:$AI$3000,"yes")=0,"",(SUMIFS(Offers!$I$7:$I$3000,Offers!$B$7:$B$3000,$B49,Offers!$C$7:$C$3000,$C49,Offers!$AG$7:$AG$3000,ROUNDUP(COUNTIFS(Offers!$B$7:$B$3000,$B49,Offers!$C$7:$C$3000,$C49,Offers!$AI$7:$AI$3000,"yes")/2,0))+SUMIFS(Offers!$I$7:$I$3000,Offers!$B$7:$B$3000,$B49,Offers!$C$7:$C$3000,$C49,Offers!$AG$7:$AG$3000,INT(COUNTIFS(Offers!$B$7:$B$3000,$B49,Offers!$C$7:$C$3000,$C49,Offers!$AI$7:$AI$3000,"yes")/2)+1))/2)</f>
        <v/>
      </c>
      <c r="K49" s="106" t="str">
        <f aca="false">IF(COUNTIFS(Offers!$B$7:$B$3000,$B49,Offers!$C$7:$C$3000,$C49,Offers!$AI$7:$AI$3000,"yes")=0,"",SUMIFS(Offers!$I$7:$I$3000,Offers!$B$7:$B$3000,$B49,Offers!$C$7:$C$3000,$C49,Offers!$AG$7:$AG$3000,COUNTIFS(Offers!$B$7:$B$3000,$B49,Offers!$C$7:$C$3000,$C49,Offers!$AI$7:$AI$3000,"yes")))</f>
        <v/>
      </c>
      <c r="L49" s="108"/>
      <c r="M49" s="108"/>
      <c r="N49" s="108"/>
      <c r="O49" s="109" t="str">
        <f aca="false">IF(Compare!$E$5="Local prices",IF(F49="","",IF(Compare!$C$5="Minimum",F49,IF(Compare!$C$5="Maximum",H49,G49))),IF(I49="","",IF(Compare!$C$5="Minimum",I49,IF(Compare!$C$5="Maximum",K49,J49))))</f>
        <v/>
      </c>
    </row>
    <row r="50" customFormat="false" ht="39" hidden="false" customHeight="true" outlineLevel="0" collapsed="false">
      <c r="A50" s="3"/>
      <c r="B50" s="36" t="s">
        <v>28</v>
      </c>
      <c r="C50" s="98" t="s">
        <v>14</v>
      </c>
      <c r="D50" s="98" t="s">
        <v>374</v>
      </c>
      <c r="E50" s="98" t="s">
        <v>491</v>
      </c>
      <c r="F50" s="99" t="n">
        <f aca="false">IF(COUNTIFS(Offers!$B$7:$B$3000,$B50,Offers!$C$7:$C$3000,$C50,Offers!$AH$7:$AH$3000,"yes")=0,"",SUMIFS(Offers!$H$7:$H$3000,Offers!$B$7:$B$3000,$B50,Offers!$C$7:$C$3000,$C50,Offers!$AF$7:$AF$3000,1))</f>
        <v>87.83</v>
      </c>
      <c r="G50" s="93" t="n">
        <f aca="false">IF(COUNTIFS(Offers!$B$7:$B$3000,$B50,Offers!$C$7:$C$3000,$C50,Offers!$AH$7:$AH$3000,"yes")=0,"",(SUMIFS(Offers!$H$7:$H$3000,Offers!$B$7:$B$3000,$B50,Offers!$C$7:$C$3000,$C50,Offers!$AF$7:$AF$3000,ROUNDUP(COUNTIFS(Offers!$B$7:$B$3000,$B50,Offers!$C$7:$C$3000,$C50,Offers!$AH$7:$AH$3000,"yes")/2,0))+SUMIFS(Offers!$H$7:$H$3000,Offers!$B$7:$B$3000,$B50,Offers!$C$7:$C$3000,$C50,Offers!$AF$7:$AF$3000,INT(COUNTIFS(Offers!$B$7:$B$3000,$B50,Offers!$C$7:$C$3000,$C50,Offers!$AH$7:$AH$3000,"yes")/2)+1))/2)</f>
        <v>87.83</v>
      </c>
      <c r="H50" s="99" t="n">
        <f aca="false">IF(COUNTIFS(Offers!$B$7:$B$3000,$B50,Offers!$C$7:$C$3000,$C50,Offers!$AH$7:$AH$3000,"yes")=0,"",SUMIFS(Offers!$H$7:$H$3000,Offers!$B$7:$B$3000,$B50,Offers!$C$7:$C$3000,$C50,Offers!$AF$7:$AF$3000,COUNTIFS(Offers!$B$7:$B$3000,$B50,Offers!$C$7:$C$3000,$C50,Offers!$AH$7:$AH$3000,"yes")))</f>
        <v>87.83</v>
      </c>
      <c r="I50" s="100" t="n">
        <f aca="false">IF(COUNTIFS(Offers!$B$7:$B$3000,$B50,Offers!$C$7:$C$3000,$C50,Offers!$AI$7:$AI$3000,"yes")=0,"",SUMIFS(Offers!$I$7:$I$3000,Offers!$B$7:$B$3000,$B50,Offers!$C$7:$C$3000,$C50,Offers!$AG$7:$AG$3000,1))</f>
        <v>16.641903</v>
      </c>
      <c r="J50" s="95" t="n">
        <f aca="false">IF(COUNTIFS(Offers!$B$7:$B$3000,$B50,Offers!$C$7:$C$3000,$C50,Offers!$AI$7:$AI$3000,"yes")=0,"",(SUMIFS(Offers!$I$7:$I$3000,Offers!$B$7:$B$3000,$B50,Offers!$C$7:$C$3000,$C50,Offers!$AG$7:$AG$3000,ROUNDUP(COUNTIFS(Offers!$B$7:$B$3000,$B50,Offers!$C$7:$C$3000,$C50,Offers!$AI$7:$AI$3000,"yes")/2,0))+SUMIFS(Offers!$I$7:$I$3000,Offers!$B$7:$B$3000,$B50,Offers!$C$7:$C$3000,$C50,Offers!$AG$7:$AG$3000,INT(COUNTIFS(Offers!$B$7:$B$3000,$B50,Offers!$C$7:$C$3000,$C50,Offers!$AI$7:$AI$3000,"yes")/2)+1))/2)</f>
        <v>16.641903</v>
      </c>
      <c r="K50" s="100" t="n">
        <f aca="false">IF(COUNTIFS(Offers!$B$7:$B$3000,$B50,Offers!$C$7:$C$3000,$C50,Offers!$AI$7:$AI$3000,"yes")=0,"",SUMIFS(Offers!$I$7:$I$3000,Offers!$B$7:$B$3000,$B50,Offers!$C$7:$C$3000,$C50,Offers!$AG$7:$AG$3000,COUNTIFS(Offers!$B$7:$B$3000,$B50,Offers!$C$7:$C$3000,$C50,Offers!$AI$7:$AI$3000,"yes")))</f>
        <v>16.641903</v>
      </c>
      <c r="L50" s="96"/>
      <c r="M50" s="96"/>
      <c r="N50" s="96"/>
      <c r="O50" s="101" t="n">
        <f aca="false">IF(Compare!$E$5="Local prices",IF(F50="","",IF(Compare!$C$5="Minimum",F50,IF(Compare!$C$5="Maximum",H50,G50))),IF(I50="","",IF(Compare!$C$5="Minimum",I50,IF(Compare!$C$5="Maximum",K50,J50))))</f>
        <v>16.641903</v>
      </c>
    </row>
    <row r="51" customFormat="false" ht="39" hidden="false" customHeight="true" outlineLevel="0" collapsed="false">
      <c r="A51" s="3"/>
      <c r="B51" s="31" t="s">
        <v>28</v>
      </c>
      <c r="C51" s="91" t="s">
        <v>15</v>
      </c>
      <c r="D51" s="91" t="s">
        <v>244</v>
      </c>
      <c r="E51" s="91" t="s">
        <v>491</v>
      </c>
      <c r="F51" s="92" t="n">
        <f aca="false">IF(COUNTIFS(Offers!$B$7:$B$3000,$B51,Offers!$C$7:$C$3000,$C51,Offers!$AH$7:$AH$3000,"yes")=0,"",SUMIFS(Offers!$H$7:$H$3000,Offers!$B$7:$B$3000,$B51,Offers!$C$7:$C$3000,$C51,Offers!$AF$7:$AF$3000,1))</f>
        <v>19.76</v>
      </c>
      <c r="G51" s="93" t="n">
        <f aca="false">IF(COUNTIFS(Offers!$B$7:$B$3000,$B51,Offers!$C$7:$C$3000,$C51,Offers!$AH$7:$AH$3000,"yes")=0,"",(SUMIFS(Offers!$H$7:$H$3000,Offers!$B$7:$B$3000,$B51,Offers!$C$7:$C$3000,$C51,Offers!$AF$7:$AF$3000,ROUNDUP(COUNTIFS(Offers!$B$7:$B$3000,$B51,Offers!$C$7:$C$3000,$C51,Offers!$AH$7:$AH$3000,"yes")/2,0))+SUMIFS(Offers!$H$7:$H$3000,Offers!$B$7:$B$3000,$B51,Offers!$C$7:$C$3000,$C51,Offers!$AF$7:$AF$3000,INT(COUNTIFS(Offers!$B$7:$B$3000,$B51,Offers!$C$7:$C$3000,$C51,Offers!$AH$7:$AH$3000,"yes")/2)+1))/2)</f>
        <v>30.5</v>
      </c>
      <c r="H51" s="92" t="n">
        <f aca="false">IF(COUNTIFS(Offers!$B$7:$B$3000,$B51,Offers!$C$7:$C$3000,$C51,Offers!$AH$7:$AH$3000,"yes")=0,"",SUMIFS(Offers!$H$7:$H$3000,Offers!$B$7:$B$3000,$B51,Offers!$C$7:$C$3000,$C51,Offers!$AF$7:$AF$3000,COUNTIFS(Offers!$B$7:$B$3000,$B51,Offers!$C$7:$C$3000,$C51,Offers!$AH$7:$AH$3000,"yes")))</f>
        <v>93.66</v>
      </c>
      <c r="I51" s="94" t="n">
        <f aca="false">IF(COUNTIFS(Offers!$B$7:$B$3000,$B51,Offers!$C$7:$C$3000,$C51,Offers!$AI$7:$AI$3000,"yes")=0,"",SUMIFS(Offers!$I$7:$I$3000,Offers!$B$7:$B$3000,$B51,Offers!$C$7:$C$3000,$C51,Offers!$AG$7:$AG$3000,1))</f>
        <v>19.76</v>
      </c>
      <c r="J51" s="95" t="n">
        <f aca="false">IF(COUNTIFS(Offers!$B$7:$B$3000,$B51,Offers!$C$7:$C$3000,$C51,Offers!$AI$7:$AI$3000,"yes")=0,"",(SUMIFS(Offers!$I$7:$I$3000,Offers!$B$7:$B$3000,$B51,Offers!$C$7:$C$3000,$C51,Offers!$AG$7:$AG$3000,ROUNDUP(COUNTIFS(Offers!$B$7:$B$3000,$B51,Offers!$C$7:$C$3000,$C51,Offers!$AI$7:$AI$3000,"yes")/2,0))+SUMIFS(Offers!$I$7:$I$3000,Offers!$B$7:$B$3000,$B51,Offers!$C$7:$C$3000,$C51,Offers!$AG$7:$AG$3000,INT(COUNTIFS(Offers!$B$7:$B$3000,$B51,Offers!$C$7:$C$3000,$C51,Offers!$AI$7:$AI$3000,"yes")/2)+1))/2)</f>
        <v>30.5</v>
      </c>
      <c r="K51" s="94" t="n">
        <f aca="false">IF(COUNTIFS(Offers!$B$7:$B$3000,$B51,Offers!$C$7:$C$3000,$C51,Offers!$AI$7:$AI$3000,"yes")=0,"",SUMIFS(Offers!$I$7:$I$3000,Offers!$B$7:$B$3000,$B51,Offers!$C$7:$C$3000,$C51,Offers!$AG$7:$AG$3000,COUNTIFS(Offers!$B$7:$B$3000,$B51,Offers!$C$7:$C$3000,$C51,Offers!$AI$7:$AI$3000,"yes")))</f>
        <v>93.66</v>
      </c>
      <c r="L51" s="96"/>
      <c r="M51" s="96"/>
      <c r="N51" s="96"/>
      <c r="O51" s="97" t="n">
        <f aca="false">IF(Compare!$E$5="Local prices",IF(F51="","",IF(Compare!$C$5="Minimum",F51,IF(Compare!$C$5="Maximum",H51,G51))),IF(I51="","",IF(Compare!$C$5="Minimum",I51,IF(Compare!$C$5="Maximum",K51,J51))))</f>
        <v>30.5</v>
      </c>
    </row>
    <row r="52" customFormat="false" ht="39" hidden="false" customHeight="true" outlineLevel="0" collapsed="false">
      <c r="A52" s="3"/>
      <c r="B52" s="36" t="s">
        <v>28</v>
      </c>
      <c r="C52" s="98" t="s">
        <v>16</v>
      </c>
      <c r="D52" s="98" t="s">
        <v>244</v>
      </c>
      <c r="E52" s="98" t="s">
        <v>491</v>
      </c>
      <c r="F52" s="99" t="n">
        <f aca="false">IF(COUNTIFS(Offers!$B$7:$B$3000,$B52,Offers!$C$7:$C$3000,$C52,Offers!$AH$7:$AH$3000,"yes")=0,"",SUMIFS(Offers!$H$7:$H$3000,Offers!$B$7:$B$3000,$B52,Offers!$C$7:$C$3000,$C52,Offers!$AF$7:$AF$3000,1))</f>
        <v>18.09</v>
      </c>
      <c r="G52" s="93" t="n">
        <f aca="false">IF(COUNTIFS(Offers!$B$7:$B$3000,$B52,Offers!$C$7:$C$3000,$C52,Offers!$AH$7:$AH$3000,"yes")=0,"",(SUMIFS(Offers!$H$7:$H$3000,Offers!$B$7:$B$3000,$B52,Offers!$C$7:$C$3000,$C52,Offers!$AF$7:$AF$3000,ROUNDUP(COUNTIFS(Offers!$B$7:$B$3000,$B52,Offers!$C$7:$C$3000,$C52,Offers!$AH$7:$AH$3000,"yes")/2,0))+SUMIFS(Offers!$H$7:$H$3000,Offers!$B$7:$B$3000,$B52,Offers!$C$7:$C$3000,$C52,Offers!$AF$7:$AF$3000,INT(COUNTIFS(Offers!$B$7:$B$3000,$B52,Offers!$C$7:$C$3000,$C52,Offers!$AH$7:$AH$3000,"yes")/2)+1))/2)</f>
        <v>27.49</v>
      </c>
      <c r="H52" s="99" t="n">
        <f aca="false">IF(COUNTIFS(Offers!$B$7:$B$3000,$B52,Offers!$C$7:$C$3000,$C52,Offers!$AH$7:$AH$3000,"yes")=0,"",SUMIFS(Offers!$H$7:$H$3000,Offers!$B$7:$B$3000,$B52,Offers!$C$7:$C$3000,$C52,Offers!$AF$7:$AF$3000,COUNTIFS(Offers!$B$7:$B$3000,$B52,Offers!$C$7:$C$3000,$C52,Offers!$AH$7:$AH$3000,"yes")))</f>
        <v>93.66</v>
      </c>
      <c r="I52" s="100" t="n">
        <f aca="false">IF(COUNTIFS(Offers!$B$7:$B$3000,$B52,Offers!$C$7:$C$3000,$C52,Offers!$AI$7:$AI$3000,"yes")=0,"",SUMIFS(Offers!$I$7:$I$3000,Offers!$B$7:$B$3000,$B52,Offers!$C$7:$C$3000,$C52,Offers!$AG$7:$AG$3000,1))</f>
        <v>18.09</v>
      </c>
      <c r="J52" s="95" t="n">
        <f aca="false">IF(COUNTIFS(Offers!$B$7:$B$3000,$B52,Offers!$C$7:$C$3000,$C52,Offers!$AI$7:$AI$3000,"yes")=0,"",(SUMIFS(Offers!$I$7:$I$3000,Offers!$B$7:$B$3000,$B52,Offers!$C$7:$C$3000,$C52,Offers!$AG$7:$AG$3000,ROUNDUP(COUNTIFS(Offers!$B$7:$B$3000,$B52,Offers!$C$7:$C$3000,$C52,Offers!$AI$7:$AI$3000,"yes")/2,0))+SUMIFS(Offers!$I$7:$I$3000,Offers!$B$7:$B$3000,$B52,Offers!$C$7:$C$3000,$C52,Offers!$AG$7:$AG$3000,INT(COUNTIFS(Offers!$B$7:$B$3000,$B52,Offers!$C$7:$C$3000,$C52,Offers!$AI$7:$AI$3000,"yes")/2)+1))/2)</f>
        <v>27.49</v>
      </c>
      <c r="K52" s="100" t="n">
        <f aca="false">IF(COUNTIFS(Offers!$B$7:$B$3000,$B52,Offers!$C$7:$C$3000,$C52,Offers!$AI$7:$AI$3000,"yes")=0,"",SUMIFS(Offers!$I$7:$I$3000,Offers!$B$7:$B$3000,$B52,Offers!$C$7:$C$3000,$C52,Offers!$AG$7:$AG$3000,COUNTIFS(Offers!$B$7:$B$3000,$B52,Offers!$C$7:$C$3000,$C52,Offers!$AI$7:$AI$3000,"yes")))</f>
        <v>93.66</v>
      </c>
      <c r="L52" s="96"/>
      <c r="M52" s="96"/>
      <c r="N52" s="96"/>
      <c r="O52" s="101" t="n">
        <f aca="false">IF(Compare!$E$5="Local prices",IF(F52="","",IF(Compare!$C$5="Minimum",F52,IF(Compare!$C$5="Maximum",H52,G52))),IF(I52="","",IF(Compare!$C$5="Minimum",I52,IF(Compare!$C$5="Maximum",K52,J52))))</f>
        <v>27.49</v>
      </c>
    </row>
    <row r="53" customFormat="false" ht="39" hidden="false" customHeight="true" outlineLevel="0" collapsed="false">
      <c r="A53" s="3"/>
      <c r="B53" s="31" t="s">
        <v>28</v>
      </c>
      <c r="C53" s="91" t="s">
        <v>17</v>
      </c>
      <c r="D53" s="91" t="s">
        <v>333</v>
      </c>
      <c r="E53" s="91" t="s">
        <v>491</v>
      </c>
      <c r="F53" s="92" t="n">
        <f aca="false">IF(COUNTIFS(Offers!$B$7:$B$3000,$B53,Offers!$C$7:$C$3000,$C53,Offers!$AH$7:$AH$3000,"yes")=0,"",SUMIFS(Offers!$H$7:$H$3000,Offers!$B$7:$B$3000,$B53,Offers!$C$7:$C$3000,$C53,Offers!$AF$7:$AF$3000,1))</f>
        <v>636</v>
      </c>
      <c r="G53" s="93" t="n">
        <f aca="false">IF(COUNTIFS(Offers!$B$7:$B$3000,$B53,Offers!$C$7:$C$3000,$C53,Offers!$AH$7:$AH$3000,"yes")=0,"",(SUMIFS(Offers!$H$7:$H$3000,Offers!$B$7:$B$3000,$B53,Offers!$C$7:$C$3000,$C53,Offers!$AF$7:$AF$3000,ROUNDUP(COUNTIFS(Offers!$B$7:$B$3000,$B53,Offers!$C$7:$C$3000,$C53,Offers!$AH$7:$AH$3000,"yes")/2,0))+SUMIFS(Offers!$H$7:$H$3000,Offers!$B$7:$B$3000,$B53,Offers!$C$7:$C$3000,$C53,Offers!$AF$7:$AF$3000,INT(COUNTIFS(Offers!$B$7:$B$3000,$B53,Offers!$C$7:$C$3000,$C53,Offers!$AH$7:$AH$3000,"yes")/2)+1))/2)</f>
        <v>997.66</v>
      </c>
      <c r="H53" s="92" t="n">
        <f aca="false">IF(COUNTIFS(Offers!$B$7:$B$3000,$B53,Offers!$C$7:$C$3000,$C53,Offers!$AH$7:$AH$3000,"yes")=0,"",SUMIFS(Offers!$H$7:$H$3000,Offers!$B$7:$B$3000,$B53,Offers!$C$7:$C$3000,$C53,Offers!$AF$7:$AF$3000,COUNTIFS(Offers!$B$7:$B$3000,$B53,Offers!$C$7:$C$3000,$C53,Offers!$AH$7:$AH$3000,"yes")))</f>
        <v>1195.04</v>
      </c>
      <c r="I53" s="94" t="n">
        <f aca="false">IF(COUNTIFS(Offers!$B$7:$B$3000,$B53,Offers!$C$7:$C$3000,$C53,Offers!$AI$7:$AI$3000,"yes")=0,"",SUMIFS(Offers!$I$7:$I$3000,Offers!$B$7:$B$3000,$B53,Offers!$C$7:$C$3000,$C53,Offers!$AG$7:$AG$3000,1))</f>
        <v>26.04037</v>
      </c>
      <c r="J53" s="95" t="n">
        <f aca="false">IF(COUNTIFS(Offers!$B$7:$B$3000,$B53,Offers!$C$7:$C$3000,$C53,Offers!$AI$7:$AI$3000,"yes")=0,"",(SUMIFS(Offers!$I$7:$I$3000,Offers!$B$7:$B$3000,$B53,Offers!$C$7:$C$3000,$C53,Offers!$AG$7:$AG$3000,ROUNDUP(COUNTIFS(Offers!$B$7:$B$3000,$B53,Offers!$C$7:$C$3000,$C53,Offers!$AI$7:$AI$3000,"yes")/2,0))+SUMIFS(Offers!$I$7:$I$3000,Offers!$B$7:$B$3000,$B53,Offers!$C$7:$C$3000,$C53,Offers!$AG$7:$AG$3000,INT(COUNTIFS(Offers!$B$7:$B$3000,$B53,Offers!$C$7:$C$3000,$C53,Offers!$AI$7:$AI$3000,"yes")/2)+1))/2)</f>
        <v>40.84817</v>
      </c>
      <c r="K53" s="94" t="n">
        <f aca="false">IF(COUNTIFS(Offers!$B$7:$B$3000,$B53,Offers!$C$7:$C$3000,$C53,Offers!$AI$7:$AI$3000,"yes")=0,"",SUMIFS(Offers!$I$7:$I$3000,Offers!$B$7:$B$3000,$B53,Offers!$C$7:$C$3000,$C53,Offers!$AG$7:$AG$3000,COUNTIFS(Offers!$B$7:$B$3000,$B53,Offers!$C$7:$C$3000,$C53,Offers!$AI$7:$AI$3000,"yes")))</f>
        <v>48.929692</v>
      </c>
      <c r="L53" s="96"/>
      <c r="M53" s="96"/>
      <c r="N53" s="96"/>
      <c r="O53" s="97" t="n">
        <f aca="false">IF(Compare!$E$5="Local prices",IF(F53="","",IF(Compare!$C$5="Minimum",F53,IF(Compare!$C$5="Maximum",H53,G53))),IF(I53="","",IF(Compare!$C$5="Minimum",I53,IF(Compare!$C$5="Maximum",K53,J53))))</f>
        <v>40.84817</v>
      </c>
    </row>
    <row r="54" customFormat="false" ht="39" hidden="false" customHeight="true" outlineLevel="0" collapsed="false">
      <c r="A54" s="3"/>
      <c r="B54" s="36" t="s">
        <v>28</v>
      </c>
      <c r="C54" s="98" t="s">
        <v>18</v>
      </c>
      <c r="D54" s="98" t="s">
        <v>244</v>
      </c>
      <c r="E54" s="98" t="s">
        <v>491</v>
      </c>
      <c r="F54" s="99" t="str">
        <f aca="false">IF(COUNTIFS(Offers!$B$7:$B$3000,$B54,Offers!$C$7:$C$3000,$C54,Offers!$AH$7:$AH$3000,"yes")=0,"",SUMIFS(Offers!$H$7:$H$3000,Offers!$B$7:$B$3000,$B54,Offers!$C$7:$C$3000,$C54,Offers!$AF$7:$AF$3000,1))</f>
        <v/>
      </c>
      <c r="G54" s="93" t="str">
        <f aca="false">IF(COUNTIFS(Offers!$B$7:$B$3000,$B54,Offers!$C$7:$C$3000,$C54,Offers!$AH$7:$AH$3000,"yes")=0,"",(SUMIFS(Offers!$H$7:$H$3000,Offers!$B$7:$B$3000,$B54,Offers!$C$7:$C$3000,$C54,Offers!$AF$7:$AF$3000,ROUNDUP(COUNTIFS(Offers!$B$7:$B$3000,$B54,Offers!$C$7:$C$3000,$C54,Offers!$AH$7:$AH$3000,"yes")/2,0))+SUMIFS(Offers!$H$7:$H$3000,Offers!$B$7:$B$3000,$B54,Offers!$C$7:$C$3000,$C54,Offers!$AF$7:$AF$3000,INT(COUNTIFS(Offers!$B$7:$B$3000,$B54,Offers!$C$7:$C$3000,$C54,Offers!$AH$7:$AH$3000,"yes")/2)+1))/2)</f>
        <v/>
      </c>
      <c r="H54" s="99" t="str">
        <f aca="false">IF(COUNTIFS(Offers!$B$7:$B$3000,$B54,Offers!$C$7:$C$3000,$C54,Offers!$AH$7:$AH$3000,"yes")=0,"",SUMIFS(Offers!$H$7:$H$3000,Offers!$B$7:$B$3000,$B54,Offers!$C$7:$C$3000,$C54,Offers!$AF$7:$AF$3000,COUNTIFS(Offers!$B$7:$B$3000,$B54,Offers!$C$7:$C$3000,$C54,Offers!$AH$7:$AH$3000,"yes")))</f>
        <v/>
      </c>
      <c r="I54" s="100" t="str">
        <f aca="false">IF(COUNTIFS(Offers!$B$7:$B$3000,$B54,Offers!$C$7:$C$3000,$C54,Offers!$AI$7:$AI$3000,"yes")=0,"",SUMIFS(Offers!$I$7:$I$3000,Offers!$B$7:$B$3000,$B54,Offers!$C$7:$C$3000,$C54,Offers!$AG$7:$AG$3000,1))</f>
        <v/>
      </c>
      <c r="J54" s="95" t="str">
        <f aca="false">IF(COUNTIFS(Offers!$B$7:$B$3000,$B54,Offers!$C$7:$C$3000,$C54,Offers!$AI$7:$AI$3000,"yes")=0,"",(SUMIFS(Offers!$I$7:$I$3000,Offers!$B$7:$B$3000,$B54,Offers!$C$7:$C$3000,$C54,Offers!$AG$7:$AG$3000,ROUNDUP(COUNTIFS(Offers!$B$7:$B$3000,$B54,Offers!$C$7:$C$3000,$C54,Offers!$AI$7:$AI$3000,"yes")/2,0))+SUMIFS(Offers!$I$7:$I$3000,Offers!$B$7:$B$3000,$B54,Offers!$C$7:$C$3000,$C54,Offers!$AG$7:$AG$3000,INT(COUNTIFS(Offers!$B$7:$B$3000,$B54,Offers!$C$7:$C$3000,$C54,Offers!$AI$7:$AI$3000,"yes")/2)+1))/2)</f>
        <v/>
      </c>
      <c r="K54" s="100" t="str">
        <f aca="false">IF(COUNTIFS(Offers!$B$7:$B$3000,$B54,Offers!$C$7:$C$3000,$C54,Offers!$AI$7:$AI$3000,"yes")=0,"",SUMIFS(Offers!$I$7:$I$3000,Offers!$B$7:$B$3000,$B54,Offers!$C$7:$C$3000,$C54,Offers!$AG$7:$AG$3000,COUNTIFS(Offers!$B$7:$B$3000,$B54,Offers!$C$7:$C$3000,$C54,Offers!$AI$7:$AI$3000,"yes")))</f>
        <v/>
      </c>
      <c r="L54" s="96"/>
      <c r="M54" s="96"/>
      <c r="N54" s="96"/>
      <c r="O54" s="110" t="str">
        <f aca="false">IF(Compare!$E$5="Local prices",IF(F54="","",IF(Compare!$C$5="Minimum",F54,IF(Compare!$C$5="Maximum",H54,G54))),IF(I54="","",IF(Compare!$C$5="Minimum",I54,IF(Compare!$C$5="Maximum",K54,J54))))</f>
        <v/>
      </c>
    </row>
    <row r="55" customFormat="false" ht="39" hidden="false" customHeight="true" outlineLevel="0" collapsed="false">
      <c r="A55" s="3"/>
      <c r="B55" s="102" t="s">
        <v>29</v>
      </c>
      <c r="C55" s="103" t="s">
        <v>13</v>
      </c>
      <c r="D55" s="103" t="s">
        <v>490</v>
      </c>
      <c r="E55" s="103" t="s">
        <v>491</v>
      </c>
      <c r="F55" s="104" t="str">
        <f aca="false">IF(COUNTIFS(Offers!$B$7:$B$3000,$B55,Offers!$C$7:$C$3000,$C55,Offers!$AH$7:$AH$3000,"yes")=0,"",SUMIFS(Offers!$H$7:$H$3000,Offers!$B$7:$B$3000,$B55,Offers!$C$7:$C$3000,$C55,Offers!$AF$7:$AF$3000,1))</f>
        <v/>
      </c>
      <c r="G55" s="105" t="str">
        <f aca="false">IF(COUNTIFS(Offers!$B$7:$B$3000,$B55,Offers!$C$7:$C$3000,$C55,Offers!$AH$7:$AH$3000,"yes")=0,"",(SUMIFS(Offers!$H$7:$H$3000,Offers!$B$7:$B$3000,$B55,Offers!$C$7:$C$3000,$C55,Offers!$AF$7:$AF$3000,ROUNDUP(COUNTIFS(Offers!$B$7:$B$3000,$B55,Offers!$C$7:$C$3000,$C55,Offers!$AH$7:$AH$3000,"yes")/2,0))+SUMIFS(Offers!$H$7:$H$3000,Offers!$B$7:$B$3000,$B55,Offers!$C$7:$C$3000,$C55,Offers!$AF$7:$AF$3000,INT(COUNTIFS(Offers!$B$7:$B$3000,$B55,Offers!$C$7:$C$3000,$C55,Offers!$AH$7:$AH$3000,"yes")/2)+1))/2)</f>
        <v/>
      </c>
      <c r="H55" s="104" t="str">
        <f aca="false">IF(COUNTIFS(Offers!$B$7:$B$3000,$B55,Offers!$C$7:$C$3000,$C55,Offers!$AH$7:$AH$3000,"yes")=0,"",SUMIFS(Offers!$H$7:$H$3000,Offers!$B$7:$B$3000,$B55,Offers!$C$7:$C$3000,$C55,Offers!$AF$7:$AF$3000,COUNTIFS(Offers!$B$7:$B$3000,$B55,Offers!$C$7:$C$3000,$C55,Offers!$AH$7:$AH$3000,"yes")))</f>
        <v/>
      </c>
      <c r="I55" s="106" t="str">
        <f aca="false">IF(COUNTIFS(Offers!$B$7:$B$3000,$B55,Offers!$C$7:$C$3000,$C55,Offers!$AI$7:$AI$3000,"yes")=0,"",SUMIFS(Offers!$I$7:$I$3000,Offers!$B$7:$B$3000,$B55,Offers!$C$7:$C$3000,$C55,Offers!$AG$7:$AG$3000,1))</f>
        <v/>
      </c>
      <c r="J55" s="107" t="str">
        <f aca="false">IF(COUNTIFS(Offers!$B$7:$B$3000,$B55,Offers!$C$7:$C$3000,$C55,Offers!$AI$7:$AI$3000,"yes")=0,"",(SUMIFS(Offers!$I$7:$I$3000,Offers!$B$7:$B$3000,$B55,Offers!$C$7:$C$3000,$C55,Offers!$AG$7:$AG$3000,ROUNDUP(COUNTIFS(Offers!$B$7:$B$3000,$B55,Offers!$C$7:$C$3000,$C55,Offers!$AI$7:$AI$3000,"yes")/2,0))+SUMIFS(Offers!$I$7:$I$3000,Offers!$B$7:$B$3000,$B55,Offers!$C$7:$C$3000,$C55,Offers!$AG$7:$AG$3000,INT(COUNTIFS(Offers!$B$7:$B$3000,$B55,Offers!$C$7:$C$3000,$C55,Offers!$AI$7:$AI$3000,"yes")/2)+1))/2)</f>
        <v/>
      </c>
      <c r="K55" s="106" t="str">
        <f aca="false">IF(COUNTIFS(Offers!$B$7:$B$3000,$B55,Offers!$C$7:$C$3000,$C55,Offers!$AI$7:$AI$3000,"yes")=0,"",SUMIFS(Offers!$I$7:$I$3000,Offers!$B$7:$B$3000,$B55,Offers!$C$7:$C$3000,$C55,Offers!$AG$7:$AG$3000,COUNTIFS(Offers!$B$7:$B$3000,$B55,Offers!$C$7:$C$3000,$C55,Offers!$AI$7:$AI$3000,"yes")))</f>
        <v/>
      </c>
      <c r="L55" s="108"/>
      <c r="M55" s="108"/>
      <c r="N55" s="108"/>
      <c r="O55" s="109" t="str">
        <f aca="false">IF(Compare!$E$5="Local prices",IF(F55="","",IF(Compare!$C$5="Minimum",F55,IF(Compare!$C$5="Maximum",H55,G55))),IF(I55="","",IF(Compare!$C$5="Minimum",I55,IF(Compare!$C$5="Maximum",K55,J55))))</f>
        <v/>
      </c>
    </row>
    <row r="56" customFormat="false" ht="39" hidden="false" customHeight="true" outlineLevel="0" collapsed="false">
      <c r="A56" s="3"/>
      <c r="B56" s="36" t="s">
        <v>29</v>
      </c>
      <c r="C56" s="98" t="s">
        <v>14</v>
      </c>
      <c r="D56" s="98" t="s">
        <v>374</v>
      </c>
      <c r="E56" s="98" t="s">
        <v>491</v>
      </c>
      <c r="F56" s="99" t="str">
        <f aca="false">IF(COUNTIFS(Offers!$B$7:$B$3000,$B56,Offers!$C$7:$C$3000,$C56,Offers!$AH$7:$AH$3000,"yes")=0,"",SUMIFS(Offers!$H$7:$H$3000,Offers!$B$7:$B$3000,$B56,Offers!$C$7:$C$3000,$C56,Offers!$AF$7:$AF$3000,1))</f>
        <v/>
      </c>
      <c r="G56" s="93" t="str">
        <f aca="false">IF(COUNTIFS(Offers!$B$7:$B$3000,$B56,Offers!$C$7:$C$3000,$C56,Offers!$AH$7:$AH$3000,"yes")=0,"",(SUMIFS(Offers!$H$7:$H$3000,Offers!$B$7:$B$3000,$B56,Offers!$C$7:$C$3000,$C56,Offers!$AF$7:$AF$3000,ROUNDUP(COUNTIFS(Offers!$B$7:$B$3000,$B56,Offers!$C$7:$C$3000,$C56,Offers!$AH$7:$AH$3000,"yes")/2,0))+SUMIFS(Offers!$H$7:$H$3000,Offers!$B$7:$B$3000,$B56,Offers!$C$7:$C$3000,$C56,Offers!$AF$7:$AF$3000,INT(COUNTIFS(Offers!$B$7:$B$3000,$B56,Offers!$C$7:$C$3000,$C56,Offers!$AH$7:$AH$3000,"yes")/2)+1))/2)</f>
        <v/>
      </c>
      <c r="H56" s="99" t="str">
        <f aca="false">IF(COUNTIFS(Offers!$B$7:$B$3000,$B56,Offers!$C$7:$C$3000,$C56,Offers!$AH$7:$AH$3000,"yes")=0,"",SUMIFS(Offers!$H$7:$H$3000,Offers!$B$7:$B$3000,$B56,Offers!$C$7:$C$3000,$C56,Offers!$AF$7:$AF$3000,COUNTIFS(Offers!$B$7:$B$3000,$B56,Offers!$C$7:$C$3000,$C56,Offers!$AH$7:$AH$3000,"yes")))</f>
        <v/>
      </c>
      <c r="I56" s="100" t="str">
        <f aca="false">IF(COUNTIFS(Offers!$B$7:$B$3000,$B56,Offers!$C$7:$C$3000,$C56,Offers!$AI$7:$AI$3000,"yes")=0,"",SUMIFS(Offers!$I$7:$I$3000,Offers!$B$7:$B$3000,$B56,Offers!$C$7:$C$3000,$C56,Offers!$AG$7:$AG$3000,1))</f>
        <v/>
      </c>
      <c r="J56" s="95" t="str">
        <f aca="false">IF(COUNTIFS(Offers!$B$7:$B$3000,$B56,Offers!$C$7:$C$3000,$C56,Offers!$AI$7:$AI$3000,"yes")=0,"",(SUMIFS(Offers!$I$7:$I$3000,Offers!$B$7:$B$3000,$B56,Offers!$C$7:$C$3000,$C56,Offers!$AG$7:$AG$3000,ROUNDUP(COUNTIFS(Offers!$B$7:$B$3000,$B56,Offers!$C$7:$C$3000,$C56,Offers!$AI$7:$AI$3000,"yes")/2,0))+SUMIFS(Offers!$I$7:$I$3000,Offers!$B$7:$B$3000,$B56,Offers!$C$7:$C$3000,$C56,Offers!$AG$7:$AG$3000,INT(COUNTIFS(Offers!$B$7:$B$3000,$B56,Offers!$C$7:$C$3000,$C56,Offers!$AI$7:$AI$3000,"yes")/2)+1))/2)</f>
        <v/>
      </c>
      <c r="K56" s="100" t="str">
        <f aca="false">IF(COUNTIFS(Offers!$B$7:$B$3000,$B56,Offers!$C$7:$C$3000,$C56,Offers!$AI$7:$AI$3000,"yes")=0,"",SUMIFS(Offers!$I$7:$I$3000,Offers!$B$7:$B$3000,$B56,Offers!$C$7:$C$3000,$C56,Offers!$AG$7:$AG$3000,COUNTIFS(Offers!$B$7:$B$3000,$B56,Offers!$C$7:$C$3000,$C56,Offers!$AI$7:$AI$3000,"yes")))</f>
        <v/>
      </c>
      <c r="L56" s="96"/>
      <c r="M56" s="96"/>
      <c r="N56" s="96"/>
      <c r="O56" s="110" t="str">
        <f aca="false">IF(Compare!$E$5="Local prices",IF(F56="","",IF(Compare!$C$5="Minimum",F56,IF(Compare!$C$5="Maximum",H56,G56))),IF(I56="","",IF(Compare!$C$5="Minimum",I56,IF(Compare!$C$5="Maximum",K56,J56))))</f>
        <v/>
      </c>
    </row>
    <row r="57" customFormat="false" ht="39" hidden="false" customHeight="true" outlineLevel="0" collapsed="false">
      <c r="A57" s="3"/>
      <c r="B57" s="31" t="s">
        <v>29</v>
      </c>
      <c r="C57" s="91" t="s">
        <v>15</v>
      </c>
      <c r="D57" s="91" t="s">
        <v>244</v>
      </c>
      <c r="E57" s="91" t="s">
        <v>491</v>
      </c>
      <c r="F57" s="92" t="n">
        <f aca="false">IF(COUNTIFS(Offers!$B$7:$B$3000,$B57,Offers!$C$7:$C$3000,$C57,Offers!$AH$7:$AH$3000,"yes")=0,"",SUMIFS(Offers!$H$7:$H$3000,Offers!$B$7:$B$3000,$B57,Offers!$C$7:$C$3000,$C57,Offers!$AF$7:$AF$3000,1))</f>
        <v>18</v>
      </c>
      <c r="G57" s="93" t="n">
        <f aca="false">IF(COUNTIFS(Offers!$B$7:$B$3000,$B57,Offers!$C$7:$C$3000,$C57,Offers!$AH$7:$AH$3000,"yes")=0,"",(SUMIFS(Offers!$H$7:$H$3000,Offers!$B$7:$B$3000,$B57,Offers!$C$7:$C$3000,$C57,Offers!$AF$7:$AF$3000,ROUNDUP(COUNTIFS(Offers!$B$7:$B$3000,$B57,Offers!$C$7:$C$3000,$C57,Offers!$AH$7:$AH$3000,"yes")/2,0))+SUMIFS(Offers!$H$7:$H$3000,Offers!$B$7:$B$3000,$B57,Offers!$C$7:$C$3000,$C57,Offers!$AF$7:$AF$3000,INT(COUNTIFS(Offers!$B$7:$B$3000,$B57,Offers!$C$7:$C$3000,$C57,Offers!$AH$7:$AH$3000,"yes")/2)+1))/2)</f>
        <v>24.57</v>
      </c>
      <c r="H57" s="92" t="n">
        <f aca="false">IF(COUNTIFS(Offers!$B$7:$B$3000,$B57,Offers!$C$7:$C$3000,$C57,Offers!$AH$7:$AH$3000,"yes")=0,"",SUMIFS(Offers!$H$7:$H$3000,Offers!$B$7:$B$3000,$B57,Offers!$C$7:$C$3000,$C57,Offers!$AF$7:$AF$3000,COUNTIFS(Offers!$B$7:$B$3000,$B57,Offers!$C$7:$C$3000,$C57,Offers!$AH$7:$AH$3000,"yes")))</f>
        <v>34.99</v>
      </c>
      <c r="I57" s="94" t="n">
        <f aca="false">IF(COUNTIFS(Offers!$B$7:$B$3000,$B57,Offers!$C$7:$C$3000,$C57,Offers!$AI$7:$AI$3000,"yes")=0,"",SUMIFS(Offers!$I$7:$I$3000,Offers!$B$7:$B$3000,$B57,Offers!$C$7:$C$3000,$C57,Offers!$AG$7:$AG$3000,1))</f>
        <v>18</v>
      </c>
      <c r="J57" s="95" t="n">
        <f aca="false">IF(COUNTIFS(Offers!$B$7:$B$3000,$B57,Offers!$C$7:$C$3000,$C57,Offers!$AI$7:$AI$3000,"yes")=0,"",(SUMIFS(Offers!$I$7:$I$3000,Offers!$B$7:$B$3000,$B57,Offers!$C$7:$C$3000,$C57,Offers!$AG$7:$AG$3000,ROUNDUP(COUNTIFS(Offers!$B$7:$B$3000,$B57,Offers!$C$7:$C$3000,$C57,Offers!$AI$7:$AI$3000,"yes")/2,0))+SUMIFS(Offers!$I$7:$I$3000,Offers!$B$7:$B$3000,$B57,Offers!$C$7:$C$3000,$C57,Offers!$AG$7:$AG$3000,INT(COUNTIFS(Offers!$B$7:$B$3000,$B57,Offers!$C$7:$C$3000,$C57,Offers!$AI$7:$AI$3000,"yes")/2)+1))/2)</f>
        <v>24.57</v>
      </c>
      <c r="K57" s="94" t="n">
        <f aca="false">IF(COUNTIFS(Offers!$B$7:$B$3000,$B57,Offers!$C$7:$C$3000,$C57,Offers!$AI$7:$AI$3000,"yes")=0,"",SUMIFS(Offers!$I$7:$I$3000,Offers!$B$7:$B$3000,$B57,Offers!$C$7:$C$3000,$C57,Offers!$AG$7:$AG$3000,COUNTIFS(Offers!$B$7:$B$3000,$B57,Offers!$C$7:$C$3000,$C57,Offers!$AI$7:$AI$3000,"yes")))</f>
        <v>34.99</v>
      </c>
      <c r="L57" s="96"/>
      <c r="M57" s="96"/>
      <c r="N57" s="96"/>
      <c r="O57" s="97" t="n">
        <f aca="false">IF(Compare!$E$5="Local prices",IF(F57="","",IF(Compare!$C$5="Minimum",F57,IF(Compare!$C$5="Maximum",H57,G57))),IF(I57="","",IF(Compare!$C$5="Minimum",I57,IF(Compare!$C$5="Maximum",K57,J57))))</f>
        <v>24.57</v>
      </c>
    </row>
    <row r="58" customFormat="false" ht="39" hidden="false" customHeight="true" outlineLevel="0" collapsed="false">
      <c r="A58" s="3"/>
      <c r="B58" s="36" t="s">
        <v>29</v>
      </c>
      <c r="C58" s="98" t="s">
        <v>16</v>
      </c>
      <c r="D58" s="98" t="s">
        <v>244</v>
      </c>
      <c r="E58" s="98" t="s">
        <v>491</v>
      </c>
      <c r="F58" s="99" t="n">
        <f aca="false">IF(COUNTIFS(Offers!$B$7:$B$3000,$B58,Offers!$C$7:$C$3000,$C58,Offers!$AH$7:$AH$3000,"yes")=0,"",SUMIFS(Offers!$H$7:$H$3000,Offers!$B$7:$B$3000,$B58,Offers!$C$7:$C$3000,$C58,Offers!$AF$7:$AF$3000,1))</f>
        <v>17.29</v>
      </c>
      <c r="G58" s="93" t="n">
        <f aca="false">IF(COUNTIFS(Offers!$B$7:$B$3000,$B58,Offers!$C$7:$C$3000,$C58,Offers!$AH$7:$AH$3000,"yes")=0,"",(SUMIFS(Offers!$H$7:$H$3000,Offers!$B$7:$B$3000,$B58,Offers!$C$7:$C$3000,$C58,Offers!$AF$7:$AF$3000,ROUNDUP(COUNTIFS(Offers!$B$7:$B$3000,$B58,Offers!$C$7:$C$3000,$C58,Offers!$AH$7:$AH$3000,"yes")/2,0))+SUMIFS(Offers!$H$7:$H$3000,Offers!$B$7:$B$3000,$B58,Offers!$C$7:$C$3000,$C58,Offers!$AF$7:$AF$3000,INT(COUNTIFS(Offers!$B$7:$B$3000,$B58,Offers!$C$7:$C$3000,$C58,Offers!$AH$7:$AH$3000,"yes")/2)+1))/2)</f>
        <v>22.79</v>
      </c>
      <c r="H58" s="99" t="n">
        <f aca="false">IF(COUNTIFS(Offers!$B$7:$B$3000,$B58,Offers!$C$7:$C$3000,$C58,Offers!$AH$7:$AH$3000,"yes")=0,"",SUMIFS(Offers!$H$7:$H$3000,Offers!$B$7:$B$3000,$B58,Offers!$C$7:$C$3000,$C58,Offers!$AF$7:$AF$3000,COUNTIFS(Offers!$B$7:$B$3000,$B58,Offers!$C$7:$C$3000,$C58,Offers!$AH$7:$AH$3000,"yes")))</f>
        <v>34.99</v>
      </c>
      <c r="I58" s="100" t="n">
        <f aca="false">IF(COUNTIFS(Offers!$B$7:$B$3000,$B58,Offers!$C$7:$C$3000,$C58,Offers!$AI$7:$AI$3000,"yes")=0,"",SUMIFS(Offers!$I$7:$I$3000,Offers!$B$7:$B$3000,$B58,Offers!$C$7:$C$3000,$C58,Offers!$AG$7:$AG$3000,1))</f>
        <v>17.29</v>
      </c>
      <c r="J58" s="95" t="n">
        <f aca="false">IF(COUNTIFS(Offers!$B$7:$B$3000,$B58,Offers!$C$7:$C$3000,$C58,Offers!$AI$7:$AI$3000,"yes")=0,"",(SUMIFS(Offers!$I$7:$I$3000,Offers!$B$7:$B$3000,$B58,Offers!$C$7:$C$3000,$C58,Offers!$AG$7:$AG$3000,ROUNDUP(COUNTIFS(Offers!$B$7:$B$3000,$B58,Offers!$C$7:$C$3000,$C58,Offers!$AI$7:$AI$3000,"yes")/2,0))+SUMIFS(Offers!$I$7:$I$3000,Offers!$B$7:$B$3000,$B58,Offers!$C$7:$C$3000,$C58,Offers!$AG$7:$AG$3000,INT(COUNTIFS(Offers!$B$7:$B$3000,$B58,Offers!$C$7:$C$3000,$C58,Offers!$AI$7:$AI$3000,"yes")/2)+1))/2)</f>
        <v>22.79</v>
      </c>
      <c r="K58" s="100" t="n">
        <f aca="false">IF(COUNTIFS(Offers!$B$7:$B$3000,$B58,Offers!$C$7:$C$3000,$C58,Offers!$AI$7:$AI$3000,"yes")=0,"",SUMIFS(Offers!$I$7:$I$3000,Offers!$B$7:$B$3000,$B58,Offers!$C$7:$C$3000,$C58,Offers!$AG$7:$AG$3000,COUNTIFS(Offers!$B$7:$B$3000,$B58,Offers!$C$7:$C$3000,$C58,Offers!$AI$7:$AI$3000,"yes")))</f>
        <v>34.99</v>
      </c>
      <c r="L58" s="96"/>
      <c r="M58" s="96"/>
      <c r="N58" s="96"/>
      <c r="O58" s="101" t="n">
        <f aca="false">IF(Compare!$E$5="Local prices",IF(F58="","",IF(Compare!$C$5="Minimum",F58,IF(Compare!$C$5="Maximum",H58,G58))),IF(I58="","",IF(Compare!$C$5="Minimum",I58,IF(Compare!$C$5="Maximum",K58,J58))))</f>
        <v>22.79</v>
      </c>
    </row>
    <row r="59" customFormat="false" ht="39" hidden="false" customHeight="true" outlineLevel="0" collapsed="false">
      <c r="A59" s="3"/>
      <c r="B59" s="31" t="s">
        <v>29</v>
      </c>
      <c r="C59" s="91" t="s">
        <v>17</v>
      </c>
      <c r="D59" s="91" t="s">
        <v>333</v>
      </c>
      <c r="E59" s="91" t="s">
        <v>491</v>
      </c>
      <c r="F59" s="92" t="n">
        <f aca="false">IF(COUNTIFS(Offers!$B$7:$B$3000,$B59,Offers!$C$7:$C$3000,$C59,Offers!$AH$7:$AH$3000,"yes")=0,"",SUMIFS(Offers!$H$7:$H$3000,Offers!$B$7:$B$3000,$B59,Offers!$C$7:$C$3000,$C59,Offers!$AF$7:$AF$3000,1))</f>
        <v>632.57</v>
      </c>
      <c r="G59" s="93" t="n">
        <f aca="false">IF(COUNTIFS(Offers!$B$7:$B$3000,$B59,Offers!$C$7:$C$3000,$C59,Offers!$AH$7:$AH$3000,"yes")=0,"",(SUMIFS(Offers!$H$7:$H$3000,Offers!$B$7:$B$3000,$B59,Offers!$C$7:$C$3000,$C59,Offers!$AF$7:$AF$3000,ROUNDUP(COUNTIFS(Offers!$B$7:$B$3000,$B59,Offers!$C$7:$C$3000,$C59,Offers!$AH$7:$AH$3000,"yes")/2,0))+SUMIFS(Offers!$H$7:$H$3000,Offers!$B$7:$B$3000,$B59,Offers!$C$7:$C$3000,$C59,Offers!$AF$7:$AF$3000,INT(COUNTIFS(Offers!$B$7:$B$3000,$B59,Offers!$C$7:$C$3000,$C59,Offers!$AH$7:$AH$3000,"yes")/2)+1))/2)</f>
        <v>1090</v>
      </c>
      <c r="H59" s="92" t="n">
        <f aca="false">IF(COUNTIFS(Offers!$B$7:$B$3000,$B59,Offers!$C$7:$C$3000,$C59,Offers!$AH$7:$AH$3000,"yes")=0,"",SUMIFS(Offers!$H$7:$H$3000,Offers!$B$7:$B$3000,$B59,Offers!$C$7:$C$3000,$C59,Offers!$AF$7:$AF$3000,COUNTIFS(Offers!$B$7:$B$3000,$B59,Offers!$C$7:$C$3000,$C59,Offers!$AH$7:$AH$3000,"yes")))</f>
        <v>1265.29</v>
      </c>
      <c r="I59" s="94" t="n">
        <f aca="false">IF(COUNTIFS(Offers!$B$7:$B$3000,$B59,Offers!$C$7:$C$3000,$C59,Offers!$AI$7:$AI$3000,"yes")=0,"",SUMIFS(Offers!$I$7:$I$3000,Offers!$B$7:$B$3000,$B59,Offers!$C$7:$C$3000,$C59,Offers!$AG$7:$AG$3000,1))</f>
        <v>25.899933</v>
      </c>
      <c r="J59" s="95" t="n">
        <f aca="false">IF(COUNTIFS(Offers!$B$7:$B$3000,$B59,Offers!$C$7:$C$3000,$C59,Offers!$AI$7:$AI$3000,"yes")=0,"",(SUMIFS(Offers!$I$7:$I$3000,Offers!$B$7:$B$3000,$B59,Offers!$C$7:$C$3000,$C59,Offers!$AG$7:$AG$3000,ROUNDUP(COUNTIFS(Offers!$B$7:$B$3000,$B59,Offers!$C$7:$C$3000,$C59,Offers!$AI$7:$AI$3000,"yes")/2,0))+SUMIFS(Offers!$I$7:$I$3000,Offers!$B$7:$B$3000,$B59,Offers!$C$7:$C$3000,$C59,Offers!$AG$7:$AG$3000,INT(COUNTIFS(Offers!$B$7:$B$3000,$B59,Offers!$C$7:$C$3000,$C59,Offers!$AI$7:$AI$3000,"yes")/2)+1))/2)</f>
        <v>44.628937</v>
      </c>
      <c r="K59" s="94" t="n">
        <f aca="false">IF(COUNTIFS(Offers!$B$7:$B$3000,$B59,Offers!$C$7:$C$3000,$C59,Offers!$AI$7:$AI$3000,"yes")=0,"",SUMIFS(Offers!$I$7:$I$3000,Offers!$B$7:$B$3000,$B59,Offers!$C$7:$C$3000,$C59,Offers!$AG$7:$AG$3000,COUNTIFS(Offers!$B$7:$B$3000,$B59,Offers!$C$7:$C$3000,$C59,Offers!$AI$7:$AI$3000,"yes")))</f>
        <v>51.806007</v>
      </c>
      <c r="L59" s="96"/>
      <c r="M59" s="96"/>
      <c r="N59" s="96"/>
      <c r="O59" s="97" t="n">
        <f aca="false">IF(Compare!$E$5="Local prices",IF(F59="","",IF(Compare!$C$5="Minimum",F59,IF(Compare!$C$5="Maximum",H59,G59))),IF(I59="","",IF(Compare!$C$5="Minimum",I59,IF(Compare!$C$5="Maximum",K59,J59))))</f>
        <v>44.628937</v>
      </c>
    </row>
    <row r="60" customFormat="false" ht="39" hidden="false" customHeight="true" outlineLevel="0" collapsed="false">
      <c r="A60" s="3"/>
      <c r="B60" s="36" t="s">
        <v>29</v>
      </c>
      <c r="C60" s="98" t="s">
        <v>18</v>
      </c>
      <c r="D60" s="98" t="s">
        <v>244</v>
      </c>
      <c r="E60" s="98" t="s">
        <v>491</v>
      </c>
      <c r="F60" s="99" t="n">
        <f aca="false">IF(COUNTIFS(Offers!$B$7:$B$3000,$B60,Offers!$C$7:$C$3000,$C60,Offers!$AH$7:$AH$3000,"yes")=0,"",SUMIFS(Offers!$H$7:$H$3000,Offers!$B$7:$B$3000,$B60,Offers!$C$7:$C$3000,$C60,Offers!$AF$7:$AF$3000,1))</f>
        <v>20.35</v>
      </c>
      <c r="G60" s="93" t="n">
        <f aca="false">IF(COUNTIFS(Offers!$B$7:$B$3000,$B60,Offers!$C$7:$C$3000,$C60,Offers!$AH$7:$AH$3000,"yes")=0,"",(SUMIFS(Offers!$H$7:$H$3000,Offers!$B$7:$B$3000,$B60,Offers!$C$7:$C$3000,$C60,Offers!$AF$7:$AF$3000,ROUNDUP(COUNTIFS(Offers!$B$7:$B$3000,$B60,Offers!$C$7:$C$3000,$C60,Offers!$AH$7:$AH$3000,"yes")/2,0))+SUMIFS(Offers!$H$7:$H$3000,Offers!$B$7:$B$3000,$B60,Offers!$C$7:$C$3000,$C60,Offers!$AF$7:$AF$3000,INT(COUNTIFS(Offers!$B$7:$B$3000,$B60,Offers!$C$7:$C$3000,$C60,Offers!$AH$7:$AH$3000,"yes")/2)+1))/2)</f>
        <v>36.154675</v>
      </c>
      <c r="H60" s="99" t="n">
        <f aca="false">IF(COUNTIFS(Offers!$B$7:$B$3000,$B60,Offers!$C$7:$C$3000,$C60,Offers!$AH$7:$AH$3000,"yes")=0,"",SUMIFS(Offers!$H$7:$H$3000,Offers!$B$7:$B$3000,$B60,Offers!$C$7:$C$3000,$C60,Offers!$AF$7:$AF$3000,COUNTIFS(Offers!$B$7:$B$3000,$B60,Offers!$C$7:$C$3000,$C60,Offers!$AH$7:$AH$3000,"yes")))</f>
        <v>51.95935</v>
      </c>
      <c r="I60" s="100" t="n">
        <f aca="false">IF(COUNTIFS(Offers!$B$7:$B$3000,$B60,Offers!$C$7:$C$3000,$C60,Offers!$AI$7:$AI$3000,"yes")=0,"",SUMIFS(Offers!$I$7:$I$3000,Offers!$B$7:$B$3000,$B60,Offers!$C$7:$C$3000,$C60,Offers!$AG$7:$AG$3000,1))</f>
        <v>20.35</v>
      </c>
      <c r="J60" s="95" t="n">
        <f aca="false">IF(COUNTIFS(Offers!$B$7:$B$3000,$B60,Offers!$C$7:$C$3000,$C60,Offers!$AI$7:$AI$3000,"yes")=0,"",(SUMIFS(Offers!$I$7:$I$3000,Offers!$B$7:$B$3000,$B60,Offers!$C$7:$C$3000,$C60,Offers!$AG$7:$AG$3000,ROUNDUP(COUNTIFS(Offers!$B$7:$B$3000,$B60,Offers!$C$7:$C$3000,$C60,Offers!$AI$7:$AI$3000,"yes")/2,0))+SUMIFS(Offers!$I$7:$I$3000,Offers!$B$7:$B$3000,$B60,Offers!$C$7:$C$3000,$C60,Offers!$AG$7:$AG$3000,INT(COUNTIFS(Offers!$B$7:$B$3000,$B60,Offers!$C$7:$C$3000,$C60,Offers!$AI$7:$AI$3000,"yes")/2)+1))/2)</f>
        <v>36.154675</v>
      </c>
      <c r="K60" s="100" t="n">
        <f aca="false">IF(COUNTIFS(Offers!$B$7:$B$3000,$B60,Offers!$C$7:$C$3000,$C60,Offers!$AI$7:$AI$3000,"yes")=0,"",SUMIFS(Offers!$I$7:$I$3000,Offers!$B$7:$B$3000,$B60,Offers!$C$7:$C$3000,$C60,Offers!$AG$7:$AG$3000,COUNTIFS(Offers!$B$7:$B$3000,$B60,Offers!$C$7:$C$3000,$C60,Offers!$AI$7:$AI$3000,"yes")))</f>
        <v>51.95935</v>
      </c>
      <c r="L60" s="96"/>
      <c r="M60" s="96"/>
      <c r="N60" s="96"/>
      <c r="O60" s="101" t="n">
        <f aca="false">IF(Compare!$E$5="Local prices",IF(F60="","",IF(Compare!$C$5="Minimum",F60,IF(Compare!$C$5="Maximum",H60,G60))),IF(I60="","",IF(Compare!$C$5="Minimum",I60,IF(Compare!$C$5="Maximum",K60,J60))))</f>
        <v>36.154675</v>
      </c>
    </row>
    <row r="61" customFormat="false" ht="39" hidden="false" customHeight="true" outlineLevel="0" collapsed="false">
      <c r="A61" s="3"/>
      <c r="B61" s="102" t="s">
        <v>31</v>
      </c>
      <c r="C61" s="103" t="s">
        <v>13</v>
      </c>
      <c r="D61" s="103" t="s">
        <v>490</v>
      </c>
      <c r="E61" s="103" t="s">
        <v>491</v>
      </c>
      <c r="F61" s="104" t="str">
        <f aca="false">IF(COUNTIFS(Offers!$B$7:$B$3000,$B61,Offers!$C$7:$C$3000,$C61,Offers!$AH$7:$AH$3000,"yes")=0,"",SUMIFS(Offers!$H$7:$H$3000,Offers!$B$7:$B$3000,$B61,Offers!$C$7:$C$3000,$C61,Offers!$AF$7:$AF$3000,1))</f>
        <v/>
      </c>
      <c r="G61" s="105" t="str">
        <f aca="false">IF(COUNTIFS(Offers!$B$7:$B$3000,$B61,Offers!$C$7:$C$3000,$C61,Offers!$AH$7:$AH$3000,"yes")=0,"",(SUMIFS(Offers!$H$7:$H$3000,Offers!$B$7:$B$3000,$B61,Offers!$C$7:$C$3000,$C61,Offers!$AF$7:$AF$3000,ROUNDUP(COUNTIFS(Offers!$B$7:$B$3000,$B61,Offers!$C$7:$C$3000,$C61,Offers!$AH$7:$AH$3000,"yes")/2,0))+SUMIFS(Offers!$H$7:$H$3000,Offers!$B$7:$B$3000,$B61,Offers!$C$7:$C$3000,$C61,Offers!$AF$7:$AF$3000,INT(COUNTIFS(Offers!$B$7:$B$3000,$B61,Offers!$C$7:$C$3000,$C61,Offers!$AH$7:$AH$3000,"yes")/2)+1))/2)</f>
        <v/>
      </c>
      <c r="H61" s="104" t="str">
        <f aca="false">IF(COUNTIFS(Offers!$B$7:$B$3000,$B61,Offers!$C$7:$C$3000,$C61,Offers!$AH$7:$AH$3000,"yes")=0,"",SUMIFS(Offers!$H$7:$H$3000,Offers!$B$7:$B$3000,$B61,Offers!$C$7:$C$3000,$C61,Offers!$AF$7:$AF$3000,COUNTIFS(Offers!$B$7:$B$3000,$B61,Offers!$C$7:$C$3000,$C61,Offers!$AH$7:$AH$3000,"yes")))</f>
        <v/>
      </c>
      <c r="I61" s="106" t="str">
        <f aca="false">IF(COUNTIFS(Offers!$B$7:$B$3000,$B61,Offers!$C$7:$C$3000,$C61,Offers!$AI$7:$AI$3000,"yes")=0,"",SUMIFS(Offers!$I$7:$I$3000,Offers!$B$7:$B$3000,$B61,Offers!$C$7:$C$3000,$C61,Offers!$AG$7:$AG$3000,1))</f>
        <v/>
      </c>
      <c r="J61" s="107" t="str">
        <f aca="false">IF(COUNTIFS(Offers!$B$7:$B$3000,$B61,Offers!$C$7:$C$3000,$C61,Offers!$AI$7:$AI$3000,"yes")=0,"",(SUMIFS(Offers!$I$7:$I$3000,Offers!$B$7:$B$3000,$B61,Offers!$C$7:$C$3000,$C61,Offers!$AG$7:$AG$3000,ROUNDUP(COUNTIFS(Offers!$B$7:$B$3000,$B61,Offers!$C$7:$C$3000,$C61,Offers!$AI$7:$AI$3000,"yes")/2,0))+SUMIFS(Offers!$I$7:$I$3000,Offers!$B$7:$B$3000,$B61,Offers!$C$7:$C$3000,$C61,Offers!$AG$7:$AG$3000,INT(COUNTIFS(Offers!$B$7:$B$3000,$B61,Offers!$C$7:$C$3000,$C61,Offers!$AI$7:$AI$3000,"yes")/2)+1))/2)</f>
        <v/>
      </c>
      <c r="K61" s="106" t="str">
        <f aca="false">IF(COUNTIFS(Offers!$B$7:$B$3000,$B61,Offers!$C$7:$C$3000,$C61,Offers!$AI$7:$AI$3000,"yes")=0,"",SUMIFS(Offers!$I$7:$I$3000,Offers!$B$7:$B$3000,$B61,Offers!$C$7:$C$3000,$C61,Offers!$AG$7:$AG$3000,COUNTIFS(Offers!$B$7:$B$3000,$B61,Offers!$C$7:$C$3000,$C61,Offers!$AI$7:$AI$3000,"yes")))</f>
        <v/>
      </c>
      <c r="L61" s="108"/>
      <c r="M61" s="108"/>
      <c r="N61" s="108"/>
      <c r="O61" s="109" t="str">
        <f aca="false">IF(Compare!$E$5="Local prices",IF(F61="","",IF(Compare!$C$5="Minimum",F61,IF(Compare!$C$5="Maximum",H61,G61))),IF(I61="","",IF(Compare!$C$5="Minimum",I61,IF(Compare!$C$5="Maximum",K61,J61))))</f>
        <v/>
      </c>
    </row>
    <row r="62" customFormat="false" ht="39" hidden="false" customHeight="true" outlineLevel="0" collapsed="false">
      <c r="A62" s="3"/>
      <c r="B62" s="36" t="s">
        <v>31</v>
      </c>
      <c r="C62" s="98" t="s">
        <v>14</v>
      </c>
      <c r="D62" s="98" t="s">
        <v>374</v>
      </c>
      <c r="E62" s="98" t="s">
        <v>491</v>
      </c>
      <c r="F62" s="99" t="str">
        <f aca="false">IF(COUNTIFS(Offers!$B$7:$B$3000,$B62,Offers!$C$7:$C$3000,$C62,Offers!$AH$7:$AH$3000,"yes")=0,"",SUMIFS(Offers!$H$7:$H$3000,Offers!$B$7:$B$3000,$B62,Offers!$C$7:$C$3000,$C62,Offers!$AF$7:$AF$3000,1))</f>
        <v/>
      </c>
      <c r="G62" s="93" t="str">
        <f aca="false">IF(COUNTIFS(Offers!$B$7:$B$3000,$B62,Offers!$C$7:$C$3000,$C62,Offers!$AH$7:$AH$3000,"yes")=0,"",(SUMIFS(Offers!$H$7:$H$3000,Offers!$B$7:$B$3000,$B62,Offers!$C$7:$C$3000,$C62,Offers!$AF$7:$AF$3000,ROUNDUP(COUNTIFS(Offers!$B$7:$B$3000,$B62,Offers!$C$7:$C$3000,$C62,Offers!$AH$7:$AH$3000,"yes")/2,0))+SUMIFS(Offers!$H$7:$H$3000,Offers!$B$7:$B$3000,$B62,Offers!$C$7:$C$3000,$C62,Offers!$AF$7:$AF$3000,INT(COUNTIFS(Offers!$B$7:$B$3000,$B62,Offers!$C$7:$C$3000,$C62,Offers!$AH$7:$AH$3000,"yes")/2)+1))/2)</f>
        <v/>
      </c>
      <c r="H62" s="99" t="str">
        <f aca="false">IF(COUNTIFS(Offers!$B$7:$B$3000,$B62,Offers!$C$7:$C$3000,$C62,Offers!$AH$7:$AH$3000,"yes")=0,"",SUMIFS(Offers!$H$7:$H$3000,Offers!$B$7:$B$3000,$B62,Offers!$C$7:$C$3000,$C62,Offers!$AF$7:$AF$3000,COUNTIFS(Offers!$B$7:$B$3000,$B62,Offers!$C$7:$C$3000,$C62,Offers!$AH$7:$AH$3000,"yes")))</f>
        <v/>
      </c>
      <c r="I62" s="100" t="str">
        <f aca="false">IF(COUNTIFS(Offers!$B$7:$B$3000,$B62,Offers!$C$7:$C$3000,$C62,Offers!$AI$7:$AI$3000,"yes")=0,"",SUMIFS(Offers!$I$7:$I$3000,Offers!$B$7:$B$3000,$B62,Offers!$C$7:$C$3000,$C62,Offers!$AG$7:$AG$3000,1))</f>
        <v/>
      </c>
      <c r="J62" s="95" t="str">
        <f aca="false">IF(COUNTIFS(Offers!$B$7:$B$3000,$B62,Offers!$C$7:$C$3000,$C62,Offers!$AI$7:$AI$3000,"yes")=0,"",(SUMIFS(Offers!$I$7:$I$3000,Offers!$B$7:$B$3000,$B62,Offers!$C$7:$C$3000,$C62,Offers!$AG$7:$AG$3000,ROUNDUP(COUNTIFS(Offers!$B$7:$B$3000,$B62,Offers!$C$7:$C$3000,$C62,Offers!$AI$7:$AI$3000,"yes")/2,0))+SUMIFS(Offers!$I$7:$I$3000,Offers!$B$7:$B$3000,$B62,Offers!$C$7:$C$3000,$C62,Offers!$AG$7:$AG$3000,INT(COUNTIFS(Offers!$B$7:$B$3000,$B62,Offers!$C$7:$C$3000,$C62,Offers!$AI$7:$AI$3000,"yes")/2)+1))/2)</f>
        <v/>
      </c>
      <c r="K62" s="100" t="str">
        <f aca="false">IF(COUNTIFS(Offers!$B$7:$B$3000,$B62,Offers!$C$7:$C$3000,$C62,Offers!$AI$7:$AI$3000,"yes")=0,"",SUMIFS(Offers!$I$7:$I$3000,Offers!$B$7:$B$3000,$B62,Offers!$C$7:$C$3000,$C62,Offers!$AG$7:$AG$3000,COUNTIFS(Offers!$B$7:$B$3000,$B62,Offers!$C$7:$C$3000,$C62,Offers!$AI$7:$AI$3000,"yes")))</f>
        <v/>
      </c>
      <c r="L62" s="96"/>
      <c r="M62" s="96"/>
      <c r="N62" s="96"/>
      <c r="O62" s="110" t="str">
        <f aca="false">IF(Compare!$E$5="Local prices",IF(F62="","",IF(Compare!$C$5="Minimum",F62,IF(Compare!$C$5="Maximum",H62,G62))),IF(I62="","",IF(Compare!$C$5="Minimum",I62,IF(Compare!$C$5="Maximum",K62,J62))))</f>
        <v/>
      </c>
    </row>
    <row r="63" customFormat="false" ht="39" hidden="false" customHeight="true" outlineLevel="0" collapsed="false">
      <c r="A63" s="3"/>
      <c r="B63" s="31" t="s">
        <v>31</v>
      </c>
      <c r="C63" s="91" t="s">
        <v>15</v>
      </c>
      <c r="D63" s="91" t="s">
        <v>244</v>
      </c>
      <c r="E63" s="91" t="s">
        <v>491</v>
      </c>
      <c r="F63" s="92" t="n">
        <f aca="false">IF(COUNTIFS(Offers!$B$7:$B$3000,$B63,Offers!$C$7:$C$3000,$C63,Offers!$AH$7:$AH$3000,"yes")=0,"",SUMIFS(Offers!$H$7:$H$3000,Offers!$B$7:$B$3000,$B63,Offers!$C$7:$C$3000,$C63,Offers!$AF$7:$AF$3000,1))</f>
        <v>27.9</v>
      </c>
      <c r="G63" s="93" t="n">
        <f aca="false">IF(COUNTIFS(Offers!$B$7:$B$3000,$B63,Offers!$C$7:$C$3000,$C63,Offers!$AH$7:$AH$3000,"yes")=0,"",(SUMIFS(Offers!$H$7:$H$3000,Offers!$B$7:$B$3000,$B63,Offers!$C$7:$C$3000,$C63,Offers!$AF$7:$AF$3000,ROUNDUP(COUNTIFS(Offers!$B$7:$B$3000,$B63,Offers!$C$7:$C$3000,$C63,Offers!$AH$7:$AH$3000,"yes")/2,0))+SUMIFS(Offers!$H$7:$H$3000,Offers!$B$7:$B$3000,$B63,Offers!$C$7:$C$3000,$C63,Offers!$AF$7:$AF$3000,INT(COUNTIFS(Offers!$B$7:$B$3000,$B63,Offers!$C$7:$C$3000,$C63,Offers!$AH$7:$AH$3000,"yes")/2)+1))/2)</f>
        <v>33.5</v>
      </c>
      <c r="H63" s="92" t="n">
        <f aca="false">IF(COUNTIFS(Offers!$B$7:$B$3000,$B63,Offers!$C$7:$C$3000,$C63,Offers!$AH$7:$AH$3000,"yes")=0,"",SUMIFS(Offers!$H$7:$H$3000,Offers!$B$7:$B$3000,$B63,Offers!$C$7:$C$3000,$C63,Offers!$AF$7:$AF$3000,COUNTIFS(Offers!$B$7:$B$3000,$B63,Offers!$C$7:$C$3000,$C63,Offers!$AH$7:$AH$3000,"yes")))</f>
        <v>49.39</v>
      </c>
      <c r="I63" s="94" t="n">
        <f aca="false">IF(COUNTIFS(Offers!$B$7:$B$3000,$B63,Offers!$C$7:$C$3000,$C63,Offers!$AI$7:$AI$3000,"yes")=0,"",SUMIFS(Offers!$I$7:$I$3000,Offers!$B$7:$B$3000,$B63,Offers!$C$7:$C$3000,$C63,Offers!$AG$7:$AG$3000,1))</f>
        <v>27.9</v>
      </c>
      <c r="J63" s="95" t="n">
        <f aca="false">IF(COUNTIFS(Offers!$B$7:$B$3000,$B63,Offers!$C$7:$C$3000,$C63,Offers!$AI$7:$AI$3000,"yes")=0,"",(SUMIFS(Offers!$I$7:$I$3000,Offers!$B$7:$B$3000,$B63,Offers!$C$7:$C$3000,$C63,Offers!$AG$7:$AG$3000,ROUNDUP(COUNTIFS(Offers!$B$7:$B$3000,$B63,Offers!$C$7:$C$3000,$C63,Offers!$AI$7:$AI$3000,"yes")/2,0))+SUMIFS(Offers!$I$7:$I$3000,Offers!$B$7:$B$3000,$B63,Offers!$C$7:$C$3000,$C63,Offers!$AG$7:$AG$3000,INT(COUNTIFS(Offers!$B$7:$B$3000,$B63,Offers!$C$7:$C$3000,$C63,Offers!$AI$7:$AI$3000,"yes")/2)+1))/2)</f>
        <v>33.5</v>
      </c>
      <c r="K63" s="94" t="n">
        <f aca="false">IF(COUNTIFS(Offers!$B$7:$B$3000,$B63,Offers!$C$7:$C$3000,$C63,Offers!$AI$7:$AI$3000,"yes")=0,"",SUMIFS(Offers!$I$7:$I$3000,Offers!$B$7:$B$3000,$B63,Offers!$C$7:$C$3000,$C63,Offers!$AG$7:$AG$3000,COUNTIFS(Offers!$B$7:$B$3000,$B63,Offers!$C$7:$C$3000,$C63,Offers!$AI$7:$AI$3000,"yes")))</f>
        <v>49.39</v>
      </c>
      <c r="L63" s="96"/>
      <c r="M63" s="96"/>
      <c r="N63" s="96"/>
      <c r="O63" s="97" t="n">
        <f aca="false">IF(Compare!$E$5="Local prices",IF(F63="","",IF(Compare!$C$5="Minimum",F63,IF(Compare!$C$5="Maximum",H63,G63))),IF(I63="","",IF(Compare!$C$5="Minimum",I63,IF(Compare!$C$5="Maximum",K63,J63))))</f>
        <v>33.5</v>
      </c>
    </row>
    <row r="64" customFormat="false" ht="39" hidden="false" customHeight="true" outlineLevel="0" collapsed="false">
      <c r="A64" s="3"/>
      <c r="B64" s="36" t="s">
        <v>31</v>
      </c>
      <c r="C64" s="98" t="s">
        <v>16</v>
      </c>
      <c r="D64" s="98" t="s">
        <v>244</v>
      </c>
      <c r="E64" s="98" t="s">
        <v>491</v>
      </c>
      <c r="F64" s="99" t="n">
        <f aca="false">IF(COUNTIFS(Offers!$B$7:$B$3000,$B64,Offers!$C$7:$C$3000,$C64,Offers!$AH$7:$AH$3000,"yes")=0,"",SUMIFS(Offers!$H$7:$H$3000,Offers!$B$7:$B$3000,$B64,Offers!$C$7:$C$3000,$C64,Offers!$AF$7:$AF$3000,1))</f>
        <v>28.49</v>
      </c>
      <c r="G64" s="93" t="n">
        <f aca="false">IF(COUNTIFS(Offers!$B$7:$B$3000,$B64,Offers!$C$7:$C$3000,$C64,Offers!$AH$7:$AH$3000,"yes")=0,"",(SUMIFS(Offers!$H$7:$H$3000,Offers!$B$7:$B$3000,$B64,Offers!$C$7:$C$3000,$C64,Offers!$AF$7:$AF$3000,ROUNDUP(COUNTIFS(Offers!$B$7:$B$3000,$B64,Offers!$C$7:$C$3000,$C64,Offers!$AH$7:$AH$3000,"yes")/2,0))+SUMIFS(Offers!$H$7:$H$3000,Offers!$B$7:$B$3000,$B64,Offers!$C$7:$C$3000,$C64,Offers!$AF$7:$AF$3000,INT(COUNTIFS(Offers!$B$7:$B$3000,$B64,Offers!$C$7:$C$3000,$C64,Offers!$AH$7:$AH$3000,"yes")/2)+1))/2)</f>
        <v>34.275</v>
      </c>
      <c r="H64" s="99" t="n">
        <f aca="false">IF(COUNTIFS(Offers!$B$7:$B$3000,$B64,Offers!$C$7:$C$3000,$C64,Offers!$AH$7:$AH$3000,"yes")=0,"",SUMIFS(Offers!$H$7:$H$3000,Offers!$B$7:$B$3000,$B64,Offers!$C$7:$C$3000,$C64,Offers!$AF$7:$AF$3000,COUNTIFS(Offers!$B$7:$B$3000,$B64,Offers!$C$7:$C$3000,$C64,Offers!$AH$7:$AH$3000,"yes")))</f>
        <v>57.99</v>
      </c>
      <c r="I64" s="100" t="n">
        <f aca="false">IF(COUNTIFS(Offers!$B$7:$B$3000,$B64,Offers!$C$7:$C$3000,$C64,Offers!$AI$7:$AI$3000,"yes")=0,"",SUMIFS(Offers!$I$7:$I$3000,Offers!$B$7:$B$3000,$B64,Offers!$C$7:$C$3000,$C64,Offers!$AG$7:$AG$3000,1))</f>
        <v>28.49</v>
      </c>
      <c r="J64" s="95" t="n">
        <f aca="false">IF(COUNTIFS(Offers!$B$7:$B$3000,$B64,Offers!$C$7:$C$3000,$C64,Offers!$AI$7:$AI$3000,"yes")=0,"",(SUMIFS(Offers!$I$7:$I$3000,Offers!$B$7:$B$3000,$B64,Offers!$C$7:$C$3000,$C64,Offers!$AG$7:$AG$3000,ROUNDUP(COUNTIFS(Offers!$B$7:$B$3000,$B64,Offers!$C$7:$C$3000,$C64,Offers!$AI$7:$AI$3000,"yes")/2,0))+SUMIFS(Offers!$I$7:$I$3000,Offers!$B$7:$B$3000,$B64,Offers!$C$7:$C$3000,$C64,Offers!$AG$7:$AG$3000,INT(COUNTIFS(Offers!$B$7:$B$3000,$B64,Offers!$C$7:$C$3000,$C64,Offers!$AI$7:$AI$3000,"yes")/2)+1))/2)</f>
        <v>34.275</v>
      </c>
      <c r="K64" s="100" t="n">
        <f aca="false">IF(COUNTIFS(Offers!$B$7:$B$3000,$B64,Offers!$C$7:$C$3000,$C64,Offers!$AI$7:$AI$3000,"yes")=0,"",SUMIFS(Offers!$I$7:$I$3000,Offers!$B$7:$B$3000,$B64,Offers!$C$7:$C$3000,$C64,Offers!$AG$7:$AG$3000,COUNTIFS(Offers!$B$7:$B$3000,$B64,Offers!$C$7:$C$3000,$C64,Offers!$AI$7:$AI$3000,"yes")))</f>
        <v>57.99</v>
      </c>
      <c r="L64" s="96"/>
      <c r="M64" s="96"/>
      <c r="N64" s="96"/>
      <c r="O64" s="101" t="n">
        <f aca="false">IF(Compare!$E$5="Local prices",IF(F64="","",IF(Compare!$C$5="Minimum",F64,IF(Compare!$C$5="Maximum",H64,G64))),IF(I64="","",IF(Compare!$C$5="Minimum",I64,IF(Compare!$C$5="Maximum",K64,J64))))</f>
        <v>34.275</v>
      </c>
    </row>
    <row r="65" customFormat="false" ht="39" hidden="false" customHeight="true" outlineLevel="0" collapsed="false">
      <c r="A65" s="3"/>
      <c r="B65" s="31" t="s">
        <v>31</v>
      </c>
      <c r="C65" s="91" t="s">
        <v>17</v>
      </c>
      <c r="D65" s="91" t="s">
        <v>333</v>
      </c>
      <c r="E65" s="91" t="s">
        <v>491</v>
      </c>
      <c r="F65" s="92" t="n">
        <f aca="false">IF(COUNTIFS(Offers!$B$7:$B$3000,$B65,Offers!$C$7:$C$3000,$C65,Offers!$AH$7:$AH$3000,"yes")=0,"",SUMIFS(Offers!$H$7:$H$3000,Offers!$B$7:$B$3000,$B65,Offers!$C$7:$C$3000,$C65,Offers!$AF$7:$AF$3000,1))</f>
        <v>574</v>
      </c>
      <c r="G65" s="93" t="n">
        <f aca="false">IF(COUNTIFS(Offers!$B$7:$B$3000,$B65,Offers!$C$7:$C$3000,$C65,Offers!$AH$7:$AH$3000,"yes")=0,"",(SUMIFS(Offers!$H$7:$H$3000,Offers!$B$7:$B$3000,$B65,Offers!$C$7:$C$3000,$C65,Offers!$AF$7:$AF$3000,ROUNDUP(COUNTIFS(Offers!$B$7:$B$3000,$B65,Offers!$C$7:$C$3000,$C65,Offers!$AH$7:$AH$3000,"yes")/2,0))+SUMIFS(Offers!$H$7:$H$3000,Offers!$B$7:$B$3000,$B65,Offers!$C$7:$C$3000,$C65,Offers!$AF$7:$AF$3000,INT(COUNTIFS(Offers!$B$7:$B$3000,$B65,Offers!$C$7:$C$3000,$C65,Offers!$AH$7:$AH$3000,"yes")/2)+1))/2)</f>
        <v>991.54</v>
      </c>
      <c r="H65" s="92" t="n">
        <f aca="false">IF(COUNTIFS(Offers!$B$7:$B$3000,$B65,Offers!$C$7:$C$3000,$C65,Offers!$AH$7:$AH$3000,"yes")=0,"",SUMIFS(Offers!$H$7:$H$3000,Offers!$B$7:$B$3000,$B65,Offers!$C$7:$C$3000,$C65,Offers!$AF$7:$AF$3000,COUNTIFS(Offers!$B$7:$B$3000,$B65,Offers!$C$7:$C$3000,$C65,Offers!$AH$7:$AH$3000,"yes")))</f>
        <v>1838.84</v>
      </c>
      <c r="I65" s="94" t="n">
        <f aca="false">IF(COUNTIFS(Offers!$B$7:$B$3000,$B65,Offers!$C$7:$C$3000,$C65,Offers!$AI$7:$AI$3000,"yes")=0,"",SUMIFS(Offers!$I$7:$I$3000,Offers!$B$7:$B$3000,$B65,Offers!$C$7:$C$3000,$C65,Offers!$AG$7:$AG$3000,1))</f>
        <v>23.501844</v>
      </c>
      <c r="J65" s="95" t="n">
        <f aca="false">IF(COUNTIFS(Offers!$B$7:$B$3000,$B65,Offers!$C$7:$C$3000,$C65,Offers!$AI$7:$AI$3000,"yes")=0,"",(SUMIFS(Offers!$I$7:$I$3000,Offers!$B$7:$B$3000,$B65,Offers!$C$7:$C$3000,$C65,Offers!$AG$7:$AG$3000,ROUNDUP(COUNTIFS(Offers!$B$7:$B$3000,$B65,Offers!$C$7:$C$3000,$C65,Offers!$AI$7:$AI$3000,"yes")/2,0))+SUMIFS(Offers!$I$7:$I$3000,Offers!$B$7:$B$3000,$B65,Offers!$C$7:$C$3000,$C65,Offers!$AG$7:$AG$3000,INT(COUNTIFS(Offers!$B$7:$B$3000,$B65,Offers!$C$7:$C$3000,$C65,Offers!$AI$7:$AI$3000,"yes")/2)+1))/2)</f>
        <v>40.5975925</v>
      </c>
      <c r="K65" s="94" t="n">
        <f aca="false">IF(COUNTIFS(Offers!$B$7:$B$3000,$B65,Offers!$C$7:$C$3000,$C65,Offers!$AI$7:$AI$3000,"yes")=0,"",SUMIFS(Offers!$I$7:$I$3000,Offers!$B$7:$B$3000,$B65,Offers!$C$7:$C$3000,$C65,Offers!$AG$7:$AG$3000,COUNTIFS(Offers!$B$7:$B$3000,$B65,Offers!$C$7:$C$3000,$C65,Offers!$AI$7:$AI$3000,"yes")))</f>
        <v>75.289426</v>
      </c>
      <c r="L65" s="96"/>
      <c r="M65" s="96"/>
      <c r="N65" s="96"/>
      <c r="O65" s="97" t="n">
        <f aca="false">IF(Compare!$E$5="Local prices",IF(F65="","",IF(Compare!$C$5="Minimum",F65,IF(Compare!$C$5="Maximum",H65,G65))),IF(I65="","",IF(Compare!$C$5="Minimum",I65,IF(Compare!$C$5="Maximum",K65,J65))))</f>
        <v>40.5975925</v>
      </c>
    </row>
    <row r="66" customFormat="false" ht="39" hidden="false" customHeight="true" outlineLevel="0" collapsed="false">
      <c r="A66" s="3"/>
      <c r="B66" s="36" t="s">
        <v>31</v>
      </c>
      <c r="C66" s="98" t="s">
        <v>18</v>
      </c>
      <c r="D66" s="98" t="s">
        <v>244</v>
      </c>
      <c r="E66" s="98" t="s">
        <v>491</v>
      </c>
      <c r="F66" s="99" t="n">
        <f aca="false">IF(COUNTIFS(Offers!$B$7:$B$3000,$B66,Offers!$C$7:$C$3000,$C66,Offers!$AH$7:$AH$3000,"yes")=0,"",SUMIFS(Offers!$H$7:$H$3000,Offers!$B$7:$B$3000,$B66,Offers!$C$7:$C$3000,$C66,Offers!$AF$7:$AF$3000,1))</f>
        <v>32.85</v>
      </c>
      <c r="G66" s="93" t="n">
        <f aca="false">IF(COUNTIFS(Offers!$B$7:$B$3000,$B66,Offers!$C$7:$C$3000,$C66,Offers!$AH$7:$AH$3000,"yes")=0,"",(SUMIFS(Offers!$H$7:$H$3000,Offers!$B$7:$B$3000,$B66,Offers!$C$7:$C$3000,$C66,Offers!$AF$7:$AF$3000,ROUNDUP(COUNTIFS(Offers!$B$7:$B$3000,$B66,Offers!$C$7:$C$3000,$C66,Offers!$AH$7:$AH$3000,"yes")/2,0))+SUMIFS(Offers!$H$7:$H$3000,Offers!$B$7:$B$3000,$B66,Offers!$C$7:$C$3000,$C66,Offers!$AF$7:$AF$3000,INT(COUNTIFS(Offers!$B$7:$B$3000,$B66,Offers!$C$7:$C$3000,$C66,Offers!$AH$7:$AH$3000,"yes")/2)+1))/2)</f>
        <v>32.85</v>
      </c>
      <c r="H66" s="99" t="n">
        <f aca="false">IF(COUNTIFS(Offers!$B$7:$B$3000,$B66,Offers!$C$7:$C$3000,$C66,Offers!$AH$7:$AH$3000,"yes")=0,"",SUMIFS(Offers!$H$7:$H$3000,Offers!$B$7:$B$3000,$B66,Offers!$C$7:$C$3000,$C66,Offers!$AF$7:$AF$3000,COUNTIFS(Offers!$B$7:$B$3000,$B66,Offers!$C$7:$C$3000,$C66,Offers!$AH$7:$AH$3000,"yes")))</f>
        <v>32.85</v>
      </c>
      <c r="I66" s="100" t="n">
        <f aca="false">IF(COUNTIFS(Offers!$B$7:$B$3000,$B66,Offers!$C$7:$C$3000,$C66,Offers!$AI$7:$AI$3000,"yes")=0,"",SUMIFS(Offers!$I$7:$I$3000,Offers!$B$7:$B$3000,$B66,Offers!$C$7:$C$3000,$C66,Offers!$AG$7:$AG$3000,1))</f>
        <v>32.85</v>
      </c>
      <c r="J66" s="95" t="n">
        <f aca="false">IF(COUNTIFS(Offers!$B$7:$B$3000,$B66,Offers!$C$7:$C$3000,$C66,Offers!$AI$7:$AI$3000,"yes")=0,"",(SUMIFS(Offers!$I$7:$I$3000,Offers!$B$7:$B$3000,$B66,Offers!$C$7:$C$3000,$C66,Offers!$AG$7:$AG$3000,ROUNDUP(COUNTIFS(Offers!$B$7:$B$3000,$B66,Offers!$C$7:$C$3000,$C66,Offers!$AI$7:$AI$3000,"yes")/2,0))+SUMIFS(Offers!$I$7:$I$3000,Offers!$B$7:$B$3000,$B66,Offers!$C$7:$C$3000,$C66,Offers!$AG$7:$AG$3000,INT(COUNTIFS(Offers!$B$7:$B$3000,$B66,Offers!$C$7:$C$3000,$C66,Offers!$AI$7:$AI$3000,"yes")/2)+1))/2)</f>
        <v>32.85</v>
      </c>
      <c r="K66" s="100" t="n">
        <f aca="false">IF(COUNTIFS(Offers!$B$7:$B$3000,$B66,Offers!$C$7:$C$3000,$C66,Offers!$AI$7:$AI$3000,"yes")=0,"",SUMIFS(Offers!$I$7:$I$3000,Offers!$B$7:$B$3000,$B66,Offers!$C$7:$C$3000,$C66,Offers!$AG$7:$AG$3000,COUNTIFS(Offers!$B$7:$B$3000,$B66,Offers!$C$7:$C$3000,$C66,Offers!$AI$7:$AI$3000,"yes")))</f>
        <v>32.85</v>
      </c>
      <c r="L66" s="96"/>
      <c r="M66" s="96"/>
      <c r="N66" s="96"/>
      <c r="O66" s="101" t="n">
        <f aca="false">IF(Compare!$E$5="Local prices",IF(F66="","",IF(Compare!$C$5="Minimum",F66,IF(Compare!$C$5="Maximum",H66,G66))),IF(I66="","",IF(Compare!$C$5="Minimum",I66,IF(Compare!$C$5="Maximum",K66,J66))))</f>
        <v>32.85</v>
      </c>
    </row>
    <row r="67" customFormat="false" ht="39" hidden="false" customHeight="true" outlineLevel="0" collapsed="false">
      <c r="A67" s="3"/>
      <c r="B67" s="102" t="s">
        <v>33</v>
      </c>
      <c r="C67" s="103" t="s">
        <v>13</v>
      </c>
      <c r="D67" s="103" t="s">
        <v>490</v>
      </c>
      <c r="E67" s="103" t="s">
        <v>491</v>
      </c>
      <c r="F67" s="104" t="str">
        <f aca="false">IF(COUNTIFS(Offers!$B$7:$B$3000,$B67,Offers!$C$7:$C$3000,$C67,Offers!$AH$7:$AH$3000,"yes")=0,"",SUMIFS(Offers!$H$7:$H$3000,Offers!$B$7:$B$3000,$B67,Offers!$C$7:$C$3000,$C67,Offers!$AF$7:$AF$3000,1))</f>
        <v/>
      </c>
      <c r="G67" s="105" t="str">
        <f aca="false">IF(COUNTIFS(Offers!$B$7:$B$3000,$B67,Offers!$C$7:$C$3000,$C67,Offers!$AH$7:$AH$3000,"yes")=0,"",(SUMIFS(Offers!$H$7:$H$3000,Offers!$B$7:$B$3000,$B67,Offers!$C$7:$C$3000,$C67,Offers!$AF$7:$AF$3000,ROUNDUP(COUNTIFS(Offers!$B$7:$B$3000,$B67,Offers!$C$7:$C$3000,$C67,Offers!$AH$7:$AH$3000,"yes")/2,0))+SUMIFS(Offers!$H$7:$H$3000,Offers!$B$7:$B$3000,$B67,Offers!$C$7:$C$3000,$C67,Offers!$AF$7:$AF$3000,INT(COUNTIFS(Offers!$B$7:$B$3000,$B67,Offers!$C$7:$C$3000,$C67,Offers!$AH$7:$AH$3000,"yes")/2)+1))/2)</f>
        <v/>
      </c>
      <c r="H67" s="104" t="str">
        <f aca="false">IF(COUNTIFS(Offers!$B$7:$B$3000,$B67,Offers!$C$7:$C$3000,$C67,Offers!$AH$7:$AH$3000,"yes")=0,"",SUMIFS(Offers!$H$7:$H$3000,Offers!$B$7:$B$3000,$B67,Offers!$C$7:$C$3000,$C67,Offers!$AF$7:$AF$3000,COUNTIFS(Offers!$B$7:$B$3000,$B67,Offers!$C$7:$C$3000,$C67,Offers!$AH$7:$AH$3000,"yes")))</f>
        <v/>
      </c>
      <c r="I67" s="106" t="str">
        <f aca="false">IF(COUNTIFS(Offers!$B$7:$B$3000,$B67,Offers!$C$7:$C$3000,$C67,Offers!$AI$7:$AI$3000,"yes")=0,"",SUMIFS(Offers!$I$7:$I$3000,Offers!$B$7:$B$3000,$B67,Offers!$C$7:$C$3000,$C67,Offers!$AG$7:$AG$3000,1))</f>
        <v/>
      </c>
      <c r="J67" s="107" t="str">
        <f aca="false">IF(COUNTIFS(Offers!$B$7:$B$3000,$B67,Offers!$C$7:$C$3000,$C67,Offers!$AI$7:$AI$3000,"yes")=0,"",(SUMIFS(Offers!$I$7:$I$3000,Offers!$B$7:$B$3000,$B67,Offers!$C$7:$C$3000,$C67,Offers!$AG$7:$AG$3000,ROUNDUP(COUNTIFS(Offers!$B$7:$B$3000,$B67,Offers!$C$7:$C$3000,$C67,Offers!$AI$7:$AI$3000,"yes")/2,0))+SUMIFS(Offers!$I$7:$I$3000,Offers!$B$7:$B$3000,$B67,Offers!$C$7:$C$3000,$C67,Offers!$AG$7:$AG$3000,INT(COUNTIFS(Offers!$B$7:$B$3000,$B67,Offers!$C$7:$C$3000,$C67,Offers!$AI$7:$AI$3000,"yes")/2)+1))/2)</f>
        <v/>
      </c>
      <c r="K67" s="106" t="str">
        <f aca="false">IF(COUNTIFS(Offers!$B$7:$B$3000,$B67,Offers!$C$7:$C$3000,$C67,Offers!$AI$7:$AI$3000,"yes")=0,"",SUMIFS(Offers!$I$7:$I$3000,Offers!$B$7:$B$3000,$B67,Offers!$C$7:$C$3000,$C67,Offers!$AG$7:$AG$3000,COUNTIFS(Offers!$B$7:$B$3000,$B67,Offers!$C$7:$C$3000,$C67,Offers!$AI$7:$AI$3000,"yes")))</f>
        <v/>
      </c>
      <c r="L67" s="108"/>
      <c r="M67" s="108"/>
      <c r="N67" s="108"/>
      <c r="O67" s="109" t="str">
        <f aca="false">IF(Compare!$E$5="Local prices",IF(F67="","",IF(Compare!$C$5="Minimum",F67,IF(Compare!$C$5="Maximum",H67,G67))),IF(I67="","",IF(Compare!$C$5="Minimum",I67,IF(Compare!$C$5="Maximum",K67,J67))))</f>
        <v/>
      </c>
    </row>
    <row r="68" customFormat="false" ht="39" hidden="false" customHeight="true" outlineLevel="0" collapsed="false">
      <c r="A68" s="3"/>
      <c r="B68" s="36" t="s">
        <v>33</v>
      </c>
      <c r="C68" s="98" t="s">
        <v>14</v>
      </c>
      <c r="D68" s="98" t="s">
        <v>374</v>
      </c>
      <c r="E68" s="98" t="s">
        <v>491</v>
      </c>
      <c r="F68" s="99" t="str">
        <f aca="false">IF(COUNTIFS(Offers!$B$7:$B$3000,$B68,Offers!$C$7:$C$3000,$C68,Offers!$AH$7:$AH$3000,"yes")=0,"",SUMIFS(Offers!$H$7:$H$3000,Offers!$B$7:$B$3000,$B68,Offers!$C$7:$C$3000,$C68,Offers!$AF$7:$AF$3000,1))</f>
        <v/>
      </c>
      <c r="G68" s="93" t="str">
        <f aca="false">IF(COUNTIFS(Offers!$B$7:$B$3000,$B68,Offers!$C$7:$C$3000,$C68,Offers!$AH$7:$AH$3000,"yes")=0,"",(SUMIFS(Offers!$H$7:$H$3000,Offers!$B$7:$B$3000,$B68,Offers!$C$7:$C$3000,$C68,Offers!$AF$7:$AF$3000,ROUNDUP(COUNTIFS(Offers!$B$7:$B$3000,$B68,Offers!$C$7:$C$3000,$C68,Offers!$AH$7:$AH$3000,"yes")/2,0))+SUMIFS(Offers!$H$7:$H$3000,Offers!$B$7:$B$3000,$B68,Offers!$C$7:$C$3000,$C68,Offers!$AF$7:$AF$3000,INT(COUNTIFS(Offers!$B$7:$B$3000,$B68,Offers!$C$7:$C$3000,$C68,Offers!$AH$7:$AH$3000,"yes")/2)+1))/2)</f>
        <v/>
      </c>
      <c r="H68" s="99" t="str">
        <f aca="false">IF(COUNTIFS(Offers!$B$7:$B$3000,$B68,Offers!$C$7:$C$3000,$C68,Offers!$AH$7:$AH$3000,"yes")=0,"",SUMIFS(Offers!$H$7:$H$3000,Offers!$B$7:$B$3000,$B68,Offers!$C$7:$C$3000,$C68,Offers!$AF$7:$AF$3000,COUNTIFS(Offers!$B$7:$B$3000,$B68,Offers!$C$7:$C$3000,$C68,Offers!$AH$7:$AH$3000,"yes")))</f>
        <v/>
      </c>
      <c r="I68" s="100" t="str">
        <f aca="false">IF(COUNTIFS(Offers!$B$7:$B$3000,$B68,Offers!$C$7:$C$3000,$C68,Offers!$AI$7:$AI$3000,"yes")=0,"",SUMIFS(Offers!$I$7:$I$3000,Offers!$B$7:$B$3000,$B68,Offers!$C$7:$C$3000,$C68,Offers!$AG$7:$AG$3000,1))</f>
        <v/>
      </c>
      <c r="J68" s="95" t="str">
        <f aca="false">IF(COUNTIFS(Offers!$B$7:$B$3000,$B68,Offers!$C$7:$C$3000,$C68,Offers!$AI$7:$AI$3000,"yes")=0,"",(SUMIFS(Offers!$I$7:$I$3000,Offers!$B$7:$B$3000,$B68,Offers!$C$7:$C$3000,$C68,Offers!$AG$7:$AG$3000,ROUNDUP(COUNTIFS(Offers!$B$7:$B$3000,$B68,Offers!$C$7:$C$3000,$C68,Offers!$AI$7:$AI$3000,"yes")/2,0))+SUMIFS(Offers!$I$7:$I$3000,Offers!$B$7:$B$3000,$B68,Offers!$C$7:$C$3000,$C68,Offers!$AG$7:$AG$3000,INT(COUNTIFS(Offers!$B$7:$B$3000,$B68,Offers!$C$7:$C$3000,$C68,Offers!$AI$7:$AI$3000,"yes")/2)+1))/2)</f>
        <v/>
      </c>
      <c r="K68" s="100" t="str">
        <f aca="false">IF(COUNTIFS(Offers!$B$7:$B$3000,$B68,Offers!$C$7:$C$3000,$C68,Offers!$AI$7:$AI$3000,"yes")=0,"",SUMIFS(Offers!$I$7:$I$3000,Offers!$B$7:$B$3000,$B68,Offers!$C$7:$C$3000,$C68,Offers!$AG$7:$AG$3000,COUNTIFS(Offers!$B$7:$B$3000,$B68,Offers!$C$7:$C$3000,$C68,Offers!$AI$7:$AI$3000,"yes")))</f>
        <v/>
      </c>
      <c r="L68" s="96"/>
      <c r="M68" s="96"/>
      <c r="N68" s="96"/>
      <c r="O68" s="110" t="str">
        <f aca="false">IF(Compare!$E$5="Local prices",IF(F68="","",IF(Compare!$C$5="Minimum",F68,IF(Compare!$C$5="Maximum",H68,G68))),IF(I68="","",IF(Compare!$C$5="Minimum",I68,IF(Compare!$C$5="Maximum",K68,J68))))</f>
        <v/>
      </c>
    </row>
    <row r="69" customFormat="false" ht="39" hidden="false" customHeight="true" outlineLevel="0" collapsed="false">
      <c r="A69" s="3"/>
      <c r="B69" s="31" t="s">
        <v>33</v>
      </c>
      <c r="C69" s="91" t="s">
        <v>15</v>
      </c>
      <c r="D69" s="91" t="s">
        <v>244</v>
      </c>
      <c r="E69" s="91" t="s">
        <v>491</v>
      </c>
      <c r="F69" s="92" t="n">
        <f aca="false">IF(COUNTIFS(Offers!$B$7:$B$3000,$B69,Offers!$C$7:$C$3000,$C69,Offers!$AH$7:$AH$3000,"yes")=0,"",SUMIFS(Offers!$H$7:$H$3000,Offers!$B$7:$B$3000,$B69,Offers!$C$7:$C$3000,$C69,Offers!$AF$7:$AF$3000,1))</f>
        <v>7.41</v>
      </c>
      <c r="G69" s="93" t="n">
        <f aca="false">IF(COUNTIFS(Offers!$B$7:$B$3000,$B69,Offers!$C$7:$C$3000,$C69,Offers!$AH$7:$AH$3000,"yes")=0,"",(SUMIFS(Offers!$H$7:$H$3000,Offers!$B$7:$B$3000,$B69,Offers!$C$7:$C$3000,$C69,Offers!$AF$7:$AF$3000,ROUNDUP(COUNTIFS(Offers!$B$7:$B$3000,$B69,Offers!$C$7:$C$3000,$C69,Offers!$AH$7:$AH$3000,"yes")/2,0))+SUMIFS(Offers!$H$7:$H$3000,Offers!$B$7:$B$3000,$B69,Offers!$C$7:$C$3000,$C69,Offers!$AF$7:$AF$3000,INT(COUNTIFS(Offers!$B$7:$B$3000,$B69,Offers!$C$7:$C$3000,$C69,Offers!$AH$7:$AH$3000,"yes")/2)+1))/2)</f>
        <v>8.12</v>
      </c>
      <c r="H69" s="92" t="n">
        <f aca="false">IF(COUNTIFS(Offers!$B$7:$B$3000,$B69,Offers!$C$7:$C$3000,$C69,Offers!$AH$7:$AH$3000,"yes")=0,"",SUMIFS(Offers!$H$7:$H$3000,Offers!$B$7:$B$3000,$B69,Offers!$C$7:$C$3000,$C69,Offers!$AF$7:$AF$3000,COUNTIFS(Offers!$B$7:$B$3000,$B69,Offers!$C$7:$C$3000,$C69,Offers!$AH$7:$AH$3000,"yes")))</f>
        <v>15.76</v>
      </c>
      <c r="I69" s="94" t="n">
        <f aca="false">IF(COUNTIFS(Offers!$B$7:$B$3000,$B69,Offers!$C$7:$C$3000,$C69,Offers!$AI$7:$AI$3000,"yes")=0,"",SUMIFS(Offers!$I$7:$I$3000,Offers!$B$7:$B$3000,$B69,Offers!$C$7:$C$3000,$C69,Offers!$AG$7:$AG$3000,1))</f>
        <v>7.41</v>
      </c>
      <c r="J69" s="95" t="n">
        <f aca="false">IF(COUNTIFS(Offers!$B$7:$B$3000,$B69,Offers!$C$7:$C$3000,$C69,Offers!$AI$7:$AI$3000,"yes")=0,"",(SUMIFS(Offers!$I$7:$I$3000,Offers!$B$7:$B$3000,$B69,Offers!$C$7:$C$3000,$C69,Offers!$AG$7:$AG$3000,ROUNDUP(COUNTIFS(Offers!$B$7:$B$3000,$B69,Offers!$C$7:$C$3000,$C69,Offers!$AI$7:$AI$3000,"yes")/2,0))+SUMIFS(Offers!$I$7:$I$3000,Offers!$B$7:$B$3000,$B69,Offers!$C$7:$C$3000,$C69,Offers!$AG$7:$AG$3000,INT(COUNTIFS(Offers!$B$7:$B$3000,$B69,Offers!$C$7:$C$3000,$C69,Offers!$AI$7:$AI$3000,"yes")/2)+1))/2)</f>
        <v>8.12</v>
      </c>
      <c r="K69" s="94" t="n">
        <f aca="false">IF(COUNTIFS(Offers!$B$7:$B$3000,$B69,Offers!$C$7:$C$3000,$C69,Offers!$AI$7:$AI$3000,"yes")=0,"",SUMIFS(Offers!$I$7:$I$3000,Offers!$B$7:$B$3000,$B69,Offers!$C$7:$C$3000,$C69,Offers!$AG$7:$AG$3000,COUNTIFS(Offers!$B$7:$B$3000,$B69,Offers!$C$7:$C$3000,$C69,Offers!$AI$7:$AI$3000,"yes")))</f>
        <v>15.76</v>
      </c>
      <c r="L69" s="96"/>
      <c r="M69" s="96"/>
      <c r="N69" s="96"/>
      <c r="O69" s="97" t="n">
        <f aca="false">IF(Compare!$E$5="Local prices",IF(F69="","",IF(Compare!$C$5="Minimum",F69,IF(Compare!$C$5="Maximum",H69,G69))),IF(I69="","",IF(Compare!$C$5="Minimum",I69,IF(Compare!$C$5="Maximum",K69,J69))))</f>
        <v>8.12</v>
      </c>
    </row>
    <row r="70" customFormat="false" ht="39" hidden="false" customHeight="true" outlineLevel="0" collapsed="false">
      <c r="A70" s="3"/>
      <c r="B70" s="36" t="s">
        <v>33</v>
      </c>
      <c r="C70" s="98" t="s">
        <v>16</v>
      </c>
      <c r="D70" s="98" t="s">
        <v>244</v>
      </c>
      <c r="E70" s="98" t="s">
        <v>491</v>
      </c>
      <c r="F70" s="99" t="n">
        <f aca="false">IF(COUNTIFS(Offers!$B$7:$B$3000,$B70,Offers!$C$7:$C$3000,$C70,Offers!$AH$7:$AH$3000,"yes")=0,"",SUMIFS(Offers!$H$7:$H$3000,Offers!$B$7:$B$3000,$B70,Offers!$C$7:$C$3000,$C70,Offers!$AF$7:$AF$3000,1))</f>
        <v>4.89</v>
      </c>
      <c r="G70" s="93" t="n">
        <f aca="false">IF(COUNTIFS(Offers!$B$7:$B$3000,$B70,Offers!$C$7:$C$3000,$C70,Offers!$AH$7:$AH$3000,"yes")=0,"",(SUMIFS(Offers!$H$7:$H$3000,Offers!$B$7:$B$3000,$B70,Offers!$C$7:$C$3000,$C70,Offers!$AF$7:$AF$3000,ROUNDUP(COUNTIFS(Offers!$B$7:$B$3000,$B70,Offers!$C$7:$C$3000,$C70,Offers!$AH$7:$AH$3000,"yes")/2,0))+SUMIFS(Offers!$H$7:$H$3000,Offers!$B$7:$B$3000,$B70,Offers!$C$7:$C$3000,$C70,Offers!$AF$7:$AF$3000,INT(COUNTIFS(Offers!$B$7:$B$3000,$B70,Offers!$C$7:$C$3000,$C70,Offers!$AH$7:$AH$3000,"yes")/2)+1))/2)</f>
        <v>7.96</v>
      </c>
      <c r="H70" s="99" t="n">
        <f aca="false">IF(COUNTIFS(Offers!$B$7:$B$3000,$B70,Offers!$C$7:$C$3000,$C70,Offers!$AH$7:$AH$3000,"yes")=0,"",SUMIFS(Offers!$H$7:$H$3000,Offers!$B$7:$B$3000,$B70,Offers!$C$7:$C$3000,$C70,Offers!$AF$7:$AF$3000,COUNTIFS(Offers!$B$7:$B$3000,$B70,Offers!$C$7:$C$3000,$C70,Offers!$AH$7:$AH$3000,"yes")))</f>
        <v>15.76</v>
      </c>
      <c r="I70" s="100" t="n">
        <f aca="false">IF(COUNTIFS(Offers!$B$7:$B$3000,$B70,Offers!$C$7:$C$3000,$C70,Offers!$AI$7:$AI$3000,"yes")=0,"",SUMIFS(Offers!$I$7:$I$3000,Offers!$B$7:$B$3000,$B70,Offers!$C$7:$C$3000,$C70,Offers!$AG$7:$AG$3000,1))</f>
        <v>4.89</v>
      </c>
      <c r="J70" s="95" t="n">
        <f aca="false">IF(COUNTIFS(Offers!$B$7:$B$3000,$B70,Offers!$C$7:$C$3000,$C70,Offers!$AI$7:$AI$3000,"yes")=0,"",(SUMIFS(Offers!$I$7:$I$3000,Offers!$B$7:$B$3000,$B70,Offers!$C$7:$C$3000,$C70,Offers!$AG$7:$AG$3000,ROUNDUP(COUNTIFS(Offers!$B$7:$B$3000,$B70,Offers!$C$7:$C$3000,$C70,Offers!$AI$7:$AI$3000,"yes")/2,0))+SUMIFS(Offers!$I$7:$I$3000,Offers!$B$7:$B$3000,$B70,Offers!$C$7:$C$3000,$C70,Offers!$AG$7:$AG$3000,INT(COUNTIFS(Offers!$B$7:$B$3000,$B70,Offers!$C$7:$C$3000,$C70,Offers!$AI$7:$AI$3000,"yes")/2)+1))/2)</f>
        <v>7.96</v>
      </c>
      <c r="K70" s="100" t="n">
        <f aca="false">IF(COUNTIFS(Offers!$B$7:$B$3000,$B70,Offers!$C$7:$C$3000,$C70,Offers!$AI$7:$AI$3000,"yes")=0,"",SUMIFS(Offers!$I$7:$I$3000,Offers!$B$7:$B$3000,$B70,Offers!$C$7:$C$3000,$C70,Offers!$AG$7:$AG$3000,COUNTIFS(Offers!$B$7:$B$3000,$B70,Offers!$C$7:$C$3000,$C70,Offers!$AI$7:$AI$3000,"yes")))</f>
        <v>15.76</v>
      </c>
      <c r="L70" s="96"/>
      <c r="M70" s="96"/>
      <c r="N70" s="96"/>
      <c r="O70" s="101" t="n">
        <f aca="false">IF(Compare!$E$5="Local prices",IF(F70="","",IF(Compare!$C$5="Minimum",F70,IF(Compare!$C$5="Maximum",H70,G70))),IF(I70="","",IF(Compare!$C$5="Minimum",I70,IF(Compare!$C$5="Maximum",K70,J70))))</f>
        <v>7.96</v>
      </c>
    </row>
    <row r="71" customFormat="false" ht="39" hidden="false" customHeight="true" outlineLevel="0" collapsed="false">
      <c r="A71" s="3"/>
      <c r="B71" s="31" t="s">
        <v>33</v>
      </c>
      <c r="C71" s="91" t="s">
        <v>17</v>
      </c>
      <c r="D71" s="91" t="s">
        <v>333</v>
      </c>
      <c r="E71" s="91" t="s">
        <v>491</v>
      </c>
      <c r="F71" s="92" t="n">
        <f aca="false">IF(COUNTIFS(Offers!$B$7:$B$3000,$B71,Offers!$C$7:$C$3000,$C71,Offers!$AH$7:$AH$3000,"yes")=0,"",SUMIFS(Offers!$H$7:$H$3000,Offers!$B$7:$B$3000,$B71,Offers!$C$7:$C$3000,$C71,Offers!$AF$7:$AF$3000,1))</f>
        <v>95.04</v>
      </c>
      <c r="G71" s="93" t="n">
        <f aca="false">IF(COUNTIFS(Offers!$B$7:$B$3000,$B71,Offers!$C$7:$C$3000,$C71,Offers!$AH$7:$AH$3000,"yes")=0,"",(SUMIFS(Offers!$H$7:$H$3000,Offers!$B$7:$B$3000,$B71,Offers!$C$7:$C$3000,$C71,Offers!$AF$7:$AF$3000,ROUNDUP(COUNTIFS(Offers!$B$7:$B$3000,$B71,Offers!$C$7:$C$3000,$C71,Offers!$AH$7:$AH$3000,"yes")/2,0))+SUMIFS(Offers!$H$7:$H$3000,Offers!$B$7:$B$3000,$B71,Offers!$C$7:$C$3000,$C71,Offers!$AF$7:$AF$3000,INT(COUNTIFS(Offers!$B$7:$B$3000,$B71,Offers!$C$7:$C$3000,$C71,Offers!$AH$7:$AH$3000,"yes")/2)+1))/2)</f>
        <v>155.12</v>
      </c>
      <c r="H71" s="92" t="n">
        <f aca="false">IF(COUNTIFS(Offers!$B$7:$B$3000,$B71,Offers!$C$7:$C$3000,$C71,Offers!$AH$7:$AH$3000,"yes")=0,"",SUMIFS(Offers!$H$7:$H$3000,Offers!$B$7:$B$3000,$B71,Offers!$C$7:$C$3000,$C71,Offers!$AF$7:$AF$3000,COUNTIFS(Offers!$B$7:$B$3000,$B71,Offers!$C$7:$C$3000,$C71,Offers!$AH$7:$AH$3000,"yes")))</f>
        <v>205</v>
      </c>
      <c r="I71" s="94" t="n">
        <f aca="false">IF(COUNTIFS(Offers!$B$7:$B$3000,$B71,Offers!$C$7:$C$3000,$C71,Offers!$AI$7:$AI$3000,"yes")=0,"",SUMIFS(Offers!$I$7:$I$3000,Offers!$B$7:$B$3000,$B71,Offers!$C$7:$C$3000,$C71,Offers!$AG$7:$AG$3000,1))</f>
        <v>3.891316</v>
      </c>
      <c r="J71" s="95" t="n">
        <f aca="false">IF(COUNTIFS(Offers!$B$7:$B$3000,$B71,Offers!$C$7:$C$3000,$C71,Offers!$AI$7:$AI$3000,"yes")=0,"",(SUMIFS(Offers!$I$7:$I$3000,Offers!$B$7:$B$3000,$B71,Offers!$C$7:$C$3000,$C71,Offers!$AG$7:$AG$3000,ROUNDUP(COUNTIFS(Offers!$B$7:$B$3000,$B71,Offers!$C$7:$C$3000,$C71,Offers!$AI$7:$AI$3000,"yes")/2,0))+SUMIFS(Offers!$I$7:$I$3000,Offers!$B$7:$B$3000,$B71,Offers!$C$7:$C$3000,$C71,Offers!$AG$7:$AG$3000,INT(COUNTIFS(Offers!$B$7:$B$3000,$B71,Offers!$C$7:$C$3000,$C71,Offers!$AI$7:$AI$3000,"yes")/2)+1))/2)</f>
        <v>6.35123</v>
      </c>
      <c r="K71" s="94" t="n">
        <f aca="false">IF(COUNTIFS(Offers!$B$7:$B$3000,$B71,Offers!$C$7:$C$3000,$C71,Offers!$AI$7:$AI$3000,"yes")=0,"",SUMIFS(Offers!$I$7:$I$3000,Offers!$B$7:$B$3000,$B71,Offers!$C$7:$C$3000,$C71,Offers!$AG$7:$AG$3000,COUNTIFS(Offers!$B$7:$B$3000,$B71,Offers!$C$7:$C$3000,$C71,Offers!$AI$7:$AI$3000,"yes")))</f>
        <v>8.393516</v>
      </c>
      <c r="L71" s="96"/>
      <c r="M71" s="96"/>
      <c r="N71" s="96"/>
      <c r="O71" s="97" t="n">
        <f aca="false">IF(Compare!$E$5="Local prices",IF(F71="","",IF(Compare!$C$5="Minimum",F71,IF(Compare!$C$5="Maximum",H71,G71))),IF(I71="","",IF(Compare!$C$5="Minimum",I71,IF(Compare!$C$5="Maximum",K71,J71))))</f>
        <v>6.35123</v>
      </c>
    </row>
    <row r="72" customFormat="false" ht="39" hidden="false" customHeight="true" outlineLevel="0" collapsed="false">
      <c r="A72" s="3"/>
      <c r="B72" s="36" t="s">
        <v>33</v>
      </c>
      <c r="C72" s="98" t="s">
        <v>18</v>
      </c>
      <c r="D72" s="98" t="s">
        <v>244</v>
      </c>
      <c r="E72" s="98" t="s">
        <v>491</v>
      </c>
      <c r="F72" s="99" t="n">
        <f aca="false">IF(COUNTIFS(Offers!$B$7:$B$3000,$B72,Offers!$C$7:$C$3000,$C72,Offers!$AH$7:$AH$3000,"yes")=0,"",SUMIFS(Offers!$H$7:$H$3000,Offers!$B$7:$B$3000,$B72,Offers!$C$7:$C$3000,$C72,Offers!$AF$7:$AF$3000,1))</f>
        <v>6.18</v>
      </c>
      <c r="G72" s="93" t="n">
        <f aca="false">IF(COUNTIFS(Offers!$B$7:$B$3000,$B72,Offers!$C$7:$C$3000,$C72,Offers!$AH$7:$AH$3000,"yes")=0,"",(SUMIFS(Offers!$H$7:$H$3000,Offers!$B$7:$B$3000,$B72,Offers!$C$7:$C$3000,$C72,Offers!$AF$7:$AF$3000,ROUNDUP(COUNTIFS(Offers!$B$7:$B$3000,$B72,Offers!$C$7:$C$3000,$C72,Offers!$AH$7:$AH$3000,"yes")/2,0))+SUMIFS(Offers!$H$7:$H$3000,Offers!$B$7:$B$3000,$B72,Offers!$C$7:$C$3000,$C72,Offers!$AF$7:$AF$3000,INT(COUNTIFS(Offers!$B$7:$B$3000,$B72,Offers!$C$7:$C$3000,$C72,Offers!$AH$7:$AH$3000,"yes")/2)+1))/2)</f>
        <v>6.59</v>
      </c>
      <c r="H72" s="99" t="n">
        <f aca="false">IF(COUNTIFS(Offers!$B$7:$B$3000,$B72,Offers!$C$7:$C$3000,$C72,Offers!$AH$7:$AH$3000,"yes")=0,"",SUMIFS(Offers!$H$7:$H$3000,Offers!$B$7:$B$3000,$B72,Offers!$C$7:$C$3000,$C72,Offers!$AF$7:$AF$3000,COUNTIFS(Offers!$B$7:$B$3000,$B72,Offers!$C$7:$C$3000,$C72,Offers!$AH$7:$AH$3000,"yes")))</f>
        <v>7</v>
      </c>
      <c r="I72" s="100" t="n">
        <f aca="false">IF(COUNTIFS(Offers!$B$7:$B$3000,$B72,Offers!$C$7:$C$3000,$C72,Offers!$AI$7:$AI$3000,"yes")=0,"",SUMIFS(Offers!$I$7:$I$3000,Offers!$B$7:$B$3000,$B72,Offers!$C$7:$C$3000,$C72,Offers!$AG$7:$AG$3000,1))</f>
        <v>6.18</v>
      </c>
      <c r="J72" s="95" t="n">
        <f aca="false">IF(COUNTIFS(Offers!$B$7:$B$3000,$B72,Offers!$C$7:$C$3000,$C72,Offers!$AI$7:$AI$3000,"yes")=0,"",(SUMIFS(Offers!$I$7:$I$3000,Offers!$B$7:$B$3000,$B72,Offers!$C$7:$C$3000,$C72,Offers!$AG$7:$AG$3000,ROUNDUP(COUNTIFS(Offers!$B$7:$B$3000,$B72,Offers!$C$7:$C$3000,$C72,Offers!$AI$7:$AI$3000,"yes")/2,0))+SUMIFS(Offers!$I$7:$I$3000,Offers!$B$7:$B$3000,$B72,Offers!$C$7:$C$3000,$C72,Offers!$AG$7:$AG$3000,INT(COUNTIFS(Offers!$B$7:$B$3000,$B72,Offers!$C$7:$C$3000,$C72,Offers!$AI$7:$AI$3000,"yes")/2)+1))/2)</f>
        <v>6.59</v>
      </c>
      <c r="K72" s="100" t="n">
        <f aca="false">IF(COUNTIFS(Offers!$B$7:$B$3000,$B72,Offers!$C$7:$C$3000,$C72,Offers!$AI$7:$AI$3000,"yes")=0,"",SUMIFS(Offers!$I$7:$I$3000,Offers!$B$7:$B$3000,$B72,Offers!$C$7:$C$3000,$C72,Offers!$AG$7:$AG$3000,COUNTIFS(Offers!$B$7:$B$3000,$B72,Offers!$C$7:$C$3000,$C72,Offers!$AI$7:$AI$3000,"yes")))</f>
        <v>7</v>
      </c>
      <c r="L72" s="96"/>
      <c r="M72" s="96"/>
      <c r="N72" s="96"/>
      <c r="O72" s="101" t="n">
        <f aca="false">IF(Compare!$E$5="Local prices",IF(F72="","",IF(Compare!$C$5="Minimum",F72,IF(Compare!$C$5="Maximum",H72,G72))),IF(I72="","",IF(Compare!$C$5="Minimum",I72,IF(Compare!$C$5="Maximum",K72,J72))))</f>
        <v>6.59</v>
      </c>
    </row>
    <row r="73" customFormat="false" ht="39" hidden="false" customHeight="true" outlineLevel="0" collapsed="false">
      <c r="A73" s="3"/>
      <c r="B73" s="102" t="s">
        <v>34</v>
      </c>
      <c r="C73" s="103" t="s">
        <v>13</v>
      </c>
      <c r="D73" s="103" t="s">
        <v>490</v>
      </c>
      <c r="E73" s="103" t="s">
        <v>491</v>
      </c>
      <c r="F73" s="104" t="n">
        <f aca="false">IF(COUNTIFS(Offers!$B$7:$B$3000,$B73,Offers!$C$7:$C$3000,$C73,Offers!$AH$7:$AH$3000,"yes")=0,"",SUMIFS(Offers!$H$7:$H$3000,Offers!$B$7:$B$3000,$B73,Offers!$C$7:$C$3000,$C73,Offers!$AF$7:$AF$3000,1))</f>
        <v>3560</v>
      </c>
      <c r="G73" s="105" t="n">
        <f aca="false">IF(COUNTIFS(Offers!$B$7:$B$3000,$B73,Offers!$C$7:$C$3000,$C73,Offers!$AH$7:$AH$3000,"yes")=0,"",(SUMIFS(Offers!$H$7:$H$3000,Offers!$B$7:$B$3000,$B73,Offers!$C$7:$C$3000,$C73,Offers!$AF$7:$AF$3000,ROUNDUP(COUNTIFS(Offers!$B$7:$B$3000,$B73,Offers!$C$7:$C$3000,$C73,Offers!$AH$7:$AH$3000,"yes")/2,0))+SUMIFS(Offers!$H$7:$H$3000,Offers!$B$7:$B$3000,$B73,Offers!$C$7:$C$3000,$C73,Offers!$AF$7:$AF$3000,INT(COUNTIFS(Offers!$B$7:$B$3000,$B73,Offers!$C$7:$C$3000,$C73,Offers!$AH$7:$AH$3000,"yes")/2)+1))/2)</f>
        <v>3990</v>
      </c>
      <c r="H73" s="104" t="n">
        <f aca="false">IF(COUNTIFS(Offers!$B$7:$B$3000,$B73,Offers!$C$7:$C$3000,$C73,Offers!$AH$7:$AH$3000,"yes")=0,"",SUMIFS(Offers!$H$7:$H$3000,Offers!$B$7:$B$3000,$B73,Offers!$C$7:$C$3000,$C73,Offers!$AF$7:$AF$3000,COUNTIFS(Offers!$B$7:$B$3000,$B73,Offers!$C$7:$C$3000,$C73,Offers!$AH$7:$AH$3000,"yes")))</f>
        <v>5897</v>
      </c>
      <c r="I73" s="106" t="n">
        <f aca="false">IF(COUNTIFS(Offers!$B$7:$B$3000,$B73,Offers!$C$7:$C$3000,$C73,Offers!$AI$7:$AI$3000,"yes")=0,"",SUMIFS(Offers!$I$7:$I$3000,Offers!$B$7:$B$3000,$B73,Offers!$C$7:$C$3000,$C73,Offers!$AG$7:$AG$3000,1))</f>
        <v>9.723853</v>
      </c>
      <c r="J73" s="107" t="n">
        <f aca="false">IF(COUNTIFS(Offers!$B$7:$B$3000,$B73,Offers!$C$7:$C$3000,$C73,Offers!$AI$7:$AI$3000,"yes")=0,"",(SUMIFS(Offers!$I$7:$I$3000,Offers!$B$7:$B$3000,$B73,Offers!$C$7:$C$3000,$C73,Offers!$AG$7:$AG$3000,ROUNDUP(COUNTIFS(Offers!$B$7:$B$3000,$B73,Offers!$C$7:$C$3000,$C73,Offers!$AI$7:$AI$3000,"yes")/2,0))+SUMIFS(Offers!$I$7:$I$3000,Offers!$B$7:$B$3000,$B73,Offers!$C$7:$C$3000,$C73,Offers!$AG$7:$AG$3000,INT(COUNTIFS(Offers!$B$7:$B$3000,$B73,Offers!$C$7:$C$3000,$C73,Offers!$AI$7:$AI$3000,"yes")/2)+1))/2)</f>
        <v>10.898364</v>
      </c>
      <c r="K73" s="106" t="n">
        <f aca="false">IF(COUNTIFS(Offers!$B$7:$B$3000,$B73,Offers!$C$7:$C$3000,$C73,Offers!$AI$7:$AI$3000,"yes")=0,"",SUMIFS(Offers!$I$7:$I$3000,Offers!$B$7:$B$3000,$B73,Offers!$C$7:$C$3000,$C73,Offers!$AG$7:$AG$3000,COUNTIFS(Offers!$B$7:$B$3000,$B73,Offers!$C$7:$C$3000,$C73,Offers!$AI$7:$AI$3000,"yes")))</f>
        <v>16.107181</v>
      </c>
      <c r="L73" s="108"/>
      <c r="M73" s="108"/>
      <c r="N73" s="108"/>
      <c r="O73" s="97" t="n">
        <f aca="false">IF(Compare!$E$5="Local prices",IF(F73="","",IF(Compare!$C$5="Minimum",F73,IF(Compare!$C$5="Maximum",H73,G73))),IF(I73="","",IF(Compare!$C$5="Minimum",I73,IF(Compare!$C$5="Maximum",K73,J73))))</f>
        <v>10.898364</v>
      </c>
    </row>
    <row r="74" customFormat="false" ht="39" hidden="false" customHeight="true" outlineLevel="0" collapsed="false">
      <c r="A74" s="3"/>
      <c r="B74" s="36" t="s">
        <v>34</v>
      </c>
      <c r="C74" s="98" t="s">
        <v>14</v>
      </c>
      <c r="D74" s="98" t="s">
        <v>374</v>
      </c>
      <c r="E74" s="98" t="s">
        <v>491</v>
      </c>
      <c r="F74" s="99" t="n">
        <f aca="false">IF(COUNTIFS(Offers!$B$7:$B$3000,$B74,Offers!$C$7:$C$3000,$C74,Offers!$AH$7:$AH$3000,"yes")=0,"",SUMIFS(Offers!$H$7:$H$3000,Offers!$B$7:$B$3000,$B74,Offers!$C$7:$C$3000,$C74,Offers!$AF$7:$AF$3000,1))</f>
        <v>60.6</v>
      </c>
      <c r="G74" s="93" t="n">
        <f aca="false">IF(COUNTIFS(Offers!$B$7:$B$3000,$B74,Offers!$C$7:$C$3000,$C74,Offers!$AH$7:$AH$3000,"yes")=0,"",(SUMIFS(Offers!$H$7:$H$3000,Offers!$B$7:$B$3000,$B74,Offers!$C$7:$C$3000,$C74,Offers!$AF$7:$AF$3000,ROUNDUP(COUNTIFS(Offers!$B$7:$B$3000,$B74,Offers!$C$7:$C$3000,$C74,Offers!$AH$7:$AH$3000,"yes")/2,0))+SUMIFS(Offers!$H$7:$H$3000,Offers!$B$7:$B$3000,$B74,Offers!$C$7:$C$3000,$C74,Offers!$AF$7:$AF$3000,INT(COUNTIFS(Offers!$B$7:$B$3000,$B74,Offers!$C$7:$C$3000,$C74,Offers!$AH$7:$AH$3000,"yes")/2)+1))/2)</f>
        <v>60.6</v>
      </c>
      <c r="H74" s="99" t="n">
        <f aca="false">IF(COUNTIFS(Offers!$B$7:$B$3000,$B74,Offers!$C$7:$C$3000,$C74,Offers!$AH$7:$AH$3000,"yes")=0,"",SUMIFS(Offers!$H$7:$H$3000,Offers!$B$7:$B$3000,$B74,Offers!$C$7:$C$3000,$C74,Offers!$AF$7:$AF$3000,COUNTIFS(Offers!$B$7:$B$3000,$B74,Offers!$C$7:$C$3000,$C74,Offers!$AH$7:$AH$3000,"yes")))</f>
        <v>60.6</v>
      </c>
      <c r="I74" s="100" t="n">
        <f aca="false">IF(COUNTIFS(Offers!$B$7:$B$3000,$B74,Offers!$C$7:$C$3000,$C74,Offers!$AI$7:$AI$3000,"yes")=0,"",SUMIFS(Offers!$I$7:$I$3000,Offers!$B$7:$B$3000,$B74,Offers!$C$7:$C$3000,$C74,Offers!$AG$7:$AG$3000,1))</f>
        <v>11.482401</v>
      </c>
      <c r="J74" s="95" t="n">
        <f aca="false">IF(COUNTIFS(Offers!$B$7:$B$3000,$B74,Offers!$C$7:$C$3000,$C74,Offers!$AI$7:$AI$3000,"yes")=0,"",(SUMIFS(Offers!$I$7:$I$3000,Offers!$B$7:$B$3000,$B74,Offers!$C$7:$C$3000,$C74,Offers!$AG$7:$AG$3000,ROUNDUP(COUNTIFS(Offers!$B$7:$B$3000,$B74,Offers!$C$7:$C$3000,$C74,Offers!$AI$7:$AI$3000,"yes")/2,0))+SUMIFS(Offers!$I$7:$I$3000,Offers!$B$7:$B$3000,$B74,Offers!$C$7:$C$3000,$C74,Offers!$AG$7:$AG$3000,INT(COUNTIFS(Offers!$B$7:$B$3000,$B74,Offers!$C$7:$C$3000,$C74,Offers!$AI$7:$AI$3000,"yes")/2)+1))/2)</f>
        <v>11.482401</v>
      </c>
      <c r="K74" s="100" t="n">
        <f aca="false">IF(COUNTIFS(Offers!$B$7:$B$3000,$B74,Offers!$C$7:$C$3000,$C74,Offers!$AI$7:$AI$3000,"yes")=0,"",SUMIFS(Offers!$I$7:$I$3000,Offers!$B$7:$B$3000,$B74,Offers!$C$7:$C$3000,$C74,Offers!$AG$7:$AG$3000,COUNTIFS(Offers!$B$7:$B$3000,$B74,Offers!$C$7:$C$3000,$C74,Offers!$AI$7:$AI$3000,"yes")))</f>
        <v>11.482401</v>
      </c>
      <c r="L74" s="96"/>
      <c r="M74" s="96"/>
      <c r="N74" s="96"/>
      <c r="O74" s="101" t="n">
        <f aca="false">IF(Compare!$E$5="Local prices",IF(F74="","",IF(Compare!$C$5="Minimum",F74,IF(Compare!$C$5="Maximum",H74,G74))),IF(I74="","",IF(Compare!$C$5="Minimum",I74,IF(Compare!$C$5="Maximum",K74,J74))))</f>
        <v>11.482401</v>
      </c>
    </row>
    <row r="75" customFormat="false" ht="39" hidden="false" customHeight="true" outlineLevel="0" collapsed="false">
      <c r="A75" s="3"/>
      <c r="B75" s="31" t="s">
        <v>34</v>
      </c>
      <c r="C75" s="91" t="s">
        <v>15</v>
      </c>
      <c r="D75" s="91" t="s">
        <v>244</v>
      </c>
      <c r="E75" s="91" t="s">
        <v>491</v>
      </c>
      <c r="F75" s="92" t="n">
        <f aca="false">IF(COUNTIFS(Offers!$B$7:$B$3000,$B75,Offers!$C$7:$C$3000,$C75,Offers!$AH$7:$AH$3000,"yes")=0,"",SUMIFS(Offers!$H$7:$H$3000,Offers!$B$7:$B$3000,$B75,Offers!$C$7:$C$3000,$C75,Offers!$AF$7:$AF$3000,1))</f>
        <v>11</v>
      </c>
      <c r="G75" s="93" t="n">
        <f aca="false">IF(COUNTIFS(Offers!$B$7:$B$3000,$B75,Offers!$C$7:$C$3000,$C75,Offers!$AH$7:$AH$3000,"yes")=0,"",(SUMIFS(Offers!$H$7:$H$3000,Offers!$B$7:$B$3000,$B75,Offers!$C$7:$C$3000,$C75,Offers!$AF$7:$AF$3000,ROUNDUP(COUNTIFS(Offers!$B$7:$B$3000,$B75,Offers!$C$7:$C$3000,$C75,Offers!$AH$7:$AH$3000,"yes")/2,0))+SUMIFS(Offers!$H$7:$H$3000,Offers!$B$7:$B$3000,$B75,Offers!$C$7:$C$3000,$C75,Offers!$AF$7:$AF$3000,INT(COUNTIFS(Offers!$B$7:$B$3000,$B75,Offers!$C$7:$C$3000,$C75,Offers!$AH$7:$AH$3000,"yes")/2)+1))/2)</f>
        <v>21.28</v>
      </c>
      <c r="H75" s="92" t="n">
        <f aca="false">IF(COUNTIFS(Offers!$B$7:$B$3000,$B75,Offers!$C$7:$C$3000,$C75,Offers!$AH$7:$AH$3000,"yes")=0,"",SUMIFS(Offers!$H$7:$H$3000,Offers!$B$7:$B$3000,$B75,Offers!$C$7:$C$3000,$C75,Offers!$AF$7:$AF$3000,COUNTIFS(Offers!$B$7:$B$3000,$B75,Offers!$C$7:$C$3000,$C75,Offers!$AH$7:$AH$3000,"yes")))</f>
        <v>28.9</v>
      </c>
      <c r="I75" s="94" t="n">
        <f aca="false">IF(COUNTIFS(Offers!$B$7:$B$3000,$B75,Offers!$C$7:$C$3000,$C75,Offers!$AI$7:$AI$3000,"yes")=0,"",SUMIFS(Offers!$I$7:$I$3000,Offers!$B$7:$B$3000,$B75,Offers!$C$7:$C$3000,$C75,Offers!$AG$7:$AG$3000,1))</f>
        <v>11</v>
      </c>
      <c r="J75" s="95" t="n">
        <f aca="false">IF(COUNTIFS(Offers!$B$7:$B$3000,$B75,Offers!$C$7:$C$3000,$C75,Offers!$AI$7:$AI$3000,"yes")=0,"",(SUMIFS(Offers!$I$7:$I$3000,Offers!$B$7:$B$3000,$B75,Offers!$C$7:$C$3000,$C75,Offers!$AG$7:$AG$3000,ROUNDUP(COUNTIFS(Offers!$B$7:$B$3000,$B75,Offers!$C$7:$C$3000,$C75,Offers!$AI$7:$AI$3000,"yes")/2,0))+SUMIFS(Offers!$I$7:$I$3000,Offers!$B$7:$B$3000,$B75,Offers!$C$7:$C$3000,$C75,Offers!$AG$7:$AG$3000,INT(COUNTIFS(Offers!$B$7:$B$3000,$B75,Offers!$C$7:$C$3000,$C75,Offers!$AI$7:$AI$3000,"yes")/2)+1))/2)</f>
        <v>21.28</v>
      </c>
      <c r="K75" s="94" t="n">
        <f aca="false">IF(COUNTIFS(Offers!$B$7:$B$3000,$B75,Offers!$C$7:$C$3000,$C75,Offers!$AI$7:$AI$3000,"yes")=0,"",SUMIFS(Offers!$I$7:$I$3000,Offers!$B$7:$B$3000,$B75,Offers!$C$7:$C$3000,$C75,Offers!$AG$7:$AG$3000,COUNTIFS(Offers!$B$7:$B$3000,$B75,Offers!$C$7:$C$3000,$C75,Offers!$AI$7:$AI$3000,"yes")))</f>
        <v>28.9</v>
      </c>
      <c r="L75" s="96"/>
      <c r="M75" s="96"/>
      <c r="N75" s="96"/>
      <c r="O75" s="97" t="n">
        <f aca="false">IF(Compare!$E$5="Local prices",IF(F75="","",IF(Compare!$C$5="Minimum",F75,IF(Compare!$C$5="Maximum",H75,G75))),IF(I75="","",IF(Compare!$C$5="Minimum",I75,IF(Compare!$C$5="Maximum",K75,J75))))</f>
        <v>21.28</v>
      </c>
    </row>
    <row r="76" customFormat="false" ht="39" hidden="false" customHeight="true" outlineLevel="0" collapsed="false">
      <c r="A76" s="3"/>
      <c r="B76" s="36" t="s">
        <v>34</v>
      </c>
      <c r="C76" s="98" t="s">
        <v>16</v>
      </c>
      <c r="D76" s="98" t="s">
        <v>244</v>
      </c>
      <c r="E76" s="98" t="s">
        <v>491</v>
      </c>
      <c r="F76" s="99" t="n">
        <f aca="false">IF(COUNTIFS(Offers!$B$7:$B$3000,$B76,Offers!$C$7:$C$3000,$C76,Offers!$AH$7:$AH$3000,"yes")=0,"",SUMIFS(Offers!$H$7:$H$3000,Offers!$B$7:$B$3000,$B76,Offers!$C$7:$C$3000,$C76,Offers!$AF$7:$AF$3000,1))</f>
        <v>9.25</v>
      </c>
      <c r="G76" s="93" t="n">
        <f aca="false">IF(COUNTIFS(Offers!$B$7:$B$3000,$B76,Offers!$C$7:$C$3000,$C76,Offers!$AH$7:$AH$3000,"yes")=0,"",(SUMIFS(Offers!$H$7:$H$3000,Offers!$B$7:$B$3000,$B76,Offers!$C$7:$C$3000,$C76,Offers!$AF$7:$AF$3000,ROUNDUP(COUNTIFS(Offers!$B$7:$B$3000,$B76,Offers!$C$7:$C$3000,$C76,Offers!$AH$7:$AH$3000,"yes")/2,0))+SUMIFS(Offers!$H$7:$H$3000,Offers!$B$7:$B$3000,$B76,Offers!$C$7:$C$3000,$C76,Offers!$AF$7:$AF$3000,INT(COUNTIFS(Offers!$B$7:$B$3000,$B76,Offers!$C$7:$C$3000,$C76,Offers!$AH$7:$AH$3000,"yes")/2)+1))/2)</f>
        <v>21.18</v>
      </c>
      <c r="H76" s="99" t="n">
        <f aca="false">IF(COUNTIFS(Offers!$B$7:$B$3000,$B76,Offers!$C$7:$C$3000,$C76,Offers!$AH$7:$AH$3000,"yes")=0,"",SUMIFS(Offers!$H$7:$H$3000,Offers!$B$7:$B$3000,$B76,Offers!$C$7:$C$3000,$C76,Offers!$AF$7:$AF$3000,COUNTIFS(Offers!$B$7:$B$3000,$B76,Offers!$C$7:$C$3000,$C76,Offers!$AH$7:$AH$3000,"yes")))</f>
        <v>26.81</v>
      </c>
      <c r="I76" s="100" t="n">
        <f aca="false">IF(COUNTIFS(Offers!$B$7:$B$3000,$B76,Offers!$C$7:$C$3000,$C76,Offers!$AI$7:$AI$3000,"yes")=0,"",SUMIFS(Offers!$I$7:$I$3000,Offers!$B$7:$B$3000,$B76,Offers!$C$7:$C$3000,$C76,Offers!$AG$7:$AG$3000,1))</f>
        <v>9.25</v>
      </c>
      <c r="J76" s="95" t="n">
        <f aca="false">IF(COUNTIFS(Offers!$B$7:$B$3000,$B76,Offers!$C$7:$C$3000,$C76,Offers!$AI$7:$AI$3000,"yes")=0,"",(SUMIFS(Offers!$I$7:$I$3000,Offers!$B$7:$B$3000,$B76,Offers!$C$7:$C$3000,$C76,Offers!$AG$7:$AG$3000,ROUNDUP(COUNTIFS(Offers!$B$7:$B$3000,$B76,Offers!$C$7:$C$3000,$C76,Offers!$AI$7:$AI$3000,"yes")/2,0))+SUMIFS(Offers!$I$7:$I$3000,Offers!$B$7:$B$3000,$B76,Offers!$C$7:$C$3000,$C76,Offers!$AG$7:$AG$3000,INT(COUNTIFS(Offers!$B$7:$B$3000,$B76,Offers!$C$7:$C$3000,$C76,Offers!$AI$7:$AI$3000,"yes")/2)+1))/2)</f>
        <v>21.18</v>
      </c>
      <c r="K76" s="100" t="n">
        <f aca="false">IF(COUNTIFS(Offers!$B$7:$B$3000,$B76,Offers!$C$7:$C$3000,$C76,Offers!$AI$7:$AI$3000,"yes")=0,"",SUMIFS(Offers!$I$7:$I$3000,Offers!$B$7:$B$3000,$B76,Offers!$C$7:$C$3000,$C76,Offers!$AG$7:$AG$3000,COUNTIFS(Offers!$B$7:$B$3000,$B76,Offers!$C$7:$C$3000,$C76,Offers!$AI$7:$AI$3000,"yes")))</f>
        <v>26.81</v>
      </c>
      <c r="L76" s="96"/>
      <c r="M76" s="96"/>
      <c r="N76" s="96"/>
      <c r="O76" s="101" t="n">
        <f aca="false">IF(Compare!$E$5="Local prices",IF(F76="","",IF(Compare!$C$5="Minimum",F76,IF(Compare!$C$5="Maximum",H76,G76))),IF(I76="","",IF(Compare!$C$5="Minimum",I76,IF(Compare!$C$5="Maximum",K76,J76))))</f>
        <v>21.18</v>
      </c>
    </row>
    <row r="77" customFormat="false" ht="39" hidden="false" customHeight="true" outlineLevel="0" collapsed="false">
      <c r="A77" s="3"/>
      <c r="B77" s="31" t="s">
        <v>34</v>
      </c>
      <c r="C77" s="91" t="s">
        <v>17</v>
      </c>
      <c r="D77" s="91" t="s">
        <v>333</v>
      </c>
      <c r="E77" s="91" t="s">
        <v>491</v>
      </c>
      <c r="F77" s="92" t="n">
        <f aca="false">IF(COUNTIFS(Offers!$B$7:$B$3000,$B77,Offers!$C$7:$C$3000,$C77,Offers!$AH$7:$AH$3000,"yes")=0,"",SUMIFS(Offers!$H$7:$H$3000,Offers!$B$7:$B$3000,$B77,Offers!$C$7:$C$3000,$C77,Offers!$AF$7:$AF$3000,1))</f>
        <v>255.53</v>
      </c>
      <c r="G77" s="93" t="n">
        <f aca="false">IF(COUNTIFS(Offers!$B$7:$B$3000,$B77,Offers!$C$7:$C$3000,$C77,Offers!$AH$7:$AH$3000,"yes")=0,"",(SUMIFS(Offers!$H$7:$H$3000,Offers!$B$7:$B$3000,$B77,Offers!$C$7:$C$3000,$C77,Offers!$AF$7:$AF$3000,ROUNDUP(COUNTIFS(Offers!$B$7:$B$3000,$B77,Offers!$C$7:$C$3000,$C77,Offers!$AH$7:$AH$3000,"yes")/2,0))+SUMIFS(Offers!$H$7:$H$3000,Offers!$B$7:$B$3000,$B77,Offers!$C$7:$C$3000,$C77,Offers!$AF$7:$AF$3000,INT(COUNTIFS(Offers!$B$7:$B$3000,$B77,Offers!$C$7:$C$3000,$C77,Offers!$AH$7:$AH$3000,"yes")/2)+1))/2)</f>
        <v>420.62</v>
      </c>
      <c r="H77" s="92" t="n">
        <f aca="false">IF(COUNTIFS(Offers!$B$7:$B$3000,$B77,Offers!$C$7:$C$3000,$C77,Offers!$AH$7:$AH$3000,"yes")=0,"",SUMIFS(Offers!$H$7:$H$3000,Offers!$B$7:$B$3000,$B77,Offers!$C$7:$C$3000,$C77,Offers!$AF$7:$AF$3000,COUNTIFS(Offers!$B$7:$B$3000,$B77,Offers!$C$7:$C$3000,$C77,Offers!$AH$7:$AH$3000,"yes")))</f>
        <v>463</v>
      </c>
      <c r="I77" s="94" t="n">
        <f aca="false">IF(COUNTIFS(Offers!$B$7:$B$3000,$B77,Offers!$C$7:$C$3000,$C77,Offers!$AI$7:$AI$3000,"yes")=0,"",SUMIFS(Offers!$I$7:$I$3000,Offers!$B$7:$B$3000,$B77,Offers!$C$7:$C$3000,$C77,Offers!$AG$7:$AG$3000,1))</f>
        <v>10.462415</v>
      </c>
      <c r="J77" s="95" t="n">
        <f aca="false">IF(COUNTIFS(Offers!$B$7:$B$3000,$B77,Offers!$C$7:$C$3000,$C77,Offers!$AI$7:$AI$3000,"yes")=0,"",(SUMIFS(Offers!$I$7:$I$3000,Offers!$B$7:$B$3000,$B77,Offers!$C$7:$C$3000,$C77,Offers!$AG$7:$AG$3000,ROUNDUP(COUNTIFS(Offers!$B$7:$B$3000,$B77,Offers!$C$7:$C$3000,$C77,Offers!$AI$7:$AI$3000,"yes")/2,0))+SUMIFS(Offers!$I$7:$I$3000,Offers!$B$7:$B$3000,$B77,Offers!$C$7:$C$3000,$C77,Offers!$AG$7:$AG$3000,INT(COUNTIFS(Offers!$B$7:$B$3000,$B77,Offers!$C$7:$C$3000,$C77,Offers!$AI$7:$AI$3000,"yes")/2)+1))/2)</f>
        <v>17.2218565</v>
      </c>
      <c r="K77" s="94" t="n">
        <f aca="false">IF(COUNTIFS(Offers!$B$7:$B$3000,$B77,Offers!$C$7:$C$3000,$C77,Offers!$AI$7:$AI$3000,"yes")=0,"",SUMIFS(Offers!$I$7:$I$3000,Offers!$B$7:$B$3000,$B77,Offers!$C$7:$C$3000,$C77,Offers!$AG$7:$AG$3000,COUNTIFS(Offers!$B$7:$B$3000,$B77,Offers!$C$7:$C$3000,$C77,Offers!$AI$7:$AI$3000,"yes")))</f>
        <v>18.957062</v>
      </c>
      <c r="L77" s="96"/>
      <c r="M77" s="96"/>
      <c r="N77" s="96"/>
      <c r="O77" s="97" t="n">
        <f aca="false">IF(Compare!$E$5="Local prices",IF(F77="","",IF(Compare!$C$5="Minimum",F77,IF(Compare!$C$5="Maximum",H77,G77))),IF(I77="","",IF(Compare!$C$5="Minimum",I77,IF(Compare!$C$5="Maximum",K77,J77))))</f>
        <v>17.2218565</v>
      </c>
    </row>
    <row r="78" customFormat="false" ht="39" hidden="false" customHeight="true" outlineLevel="0" collapsed="false">
      <c r="A78" s="3"/>
      <c r="B78" s="36" t="s">
        <v>34</v>
      </c>
      <c r="C78" s="98" t="s">
        <v>18</v>
      </c>
      <c r="D78" s="98" t="s">
        <v>244</v>
      </c>
      <c r="E78" s="98" t="s">
        <v>491</v>
      </c>
      <c r="F78" s="99" t="n">
        <f aca="false">IF(COUNTIFS(Offers!$B$7:$B$3000,$B78,Offers!$C$7:$C$3000,$C78,Offers!$AH$7:$AH$3000,"yes")=0,"",SUMIFS(Offers!$H$7:$H$3000,Offers!$B$7:$B$3000,$B78,Offers!$C$7:$C$3000,$C78,Offers!$AF$7:$AF$3000,1))</f>
        <v>12.65</v>
      </c>
      <c r="G78" s="93" t="n">
        <f aca="false">IF(COUNTIFS(Offers!$B$7:$B$3000,$B78,Offers!$C$7:$C$3000,$C78,Offers!$AH$7:$AH$3000,"yes")=0,"",(SUMIFS(Offers!$H$7:$H$3000,Offers!$B$7:$B$3000,$B78,Offers!$C$7:$C$3000,$C78,Offers!$AF$7:$AF$3000,ROUNDUP(COUNTIFS(Offers!$B$7:$B$3000,$B78,Offers!$C$7:$C$3000,$C78,Offers!$AH$7:$AH$3000,"yes")/2,0))+SUMIFS(Offers!$H$7:$H$3000,Offers!$B$7:$B$3000,$B78,Offers!$C$7:$C$3000,$C78,Offers!$AF$7:$AF$3000,INT(COUNTIFS(Offers!$B$7:$B$3000,$B78,Offers!$C$7:$C$3000,$C78,Offers!$AH$7:$AH$3000,"yes")/2)+1))/2)</f>
        <v>15.6583335</v>
      </c>
      <c r="H78" s="99" t="n">
        <f aca="false">IF(COUNTIFS(Offers!$B$7:$B$3000,$B78,Offers!$C$7:$C$3000,$C78,Offers!$AH$7:$AH$3000,"yes")=0,"",SUMIFS(Offers!$H$7:$H$3000,Offers!$B$7:$B$3000,$B78,Offers!$C$7:$C$3000,$C78,Offers!$AF$7:$AF$3000,COUNTIFS(Offers!$B$7:$B$3000,$B78,Offers!$C$7:$C$3000,$C78,Offers!$AH$7:$AH$3000,"yes")))</f>
        <v>18.666667</v>
      </c>
      <c r="I78" s="100" t="n">
        <f aca="false">IF(COUNTIFS(Offers!$B$7:$B$3000,$B78,Offers!$C$7:$C$3000,$C78,Offers!$AI$7:$AI$3000,"yes")=0,"",SUMIFS(Offers!$I$7:$I$3000,Offers!$B$7:$B$3000,$B78,Offers!$C$7:$C$3000,$C78,Offers!$AG$7:$AG$3000,1))</f>
        <v>12.65</v>
      </c>
      <c r="J78" s="95" t="n">
        <f aca="false">IF(COUNTIFS(Offers!$B$7:$B$3000,$B78,Offers!$C$7:$C$3000,$C78,Offers!$AI$7:$AI$3000,"yes")=0,"",(SUMIFS(Offers!$I$7:$I$3000,Offers!$B$7:$B$3000,$B78,Offers!$C$7:$C$3000,$C78,Offers!$AG$7:$AG$3000,ROUNDUP(COUNTIFS(Offers!$B$7:$B$3000,$B78,Offers!$C$7:$C$3000,$C78,Offers!$AI$7:$AI$3000,"yes")/2,0))+SUMIFS(Offers!$I$7:$I$3000,Offers!$B$7:$B$3000,$B78,Offers!$C$7:$C$3000,$C78,Offers!$AG$7:$AG$3000,INT(COUNTIFS(Offers!$B$7:$B$3000,$B78,Offers!$C$7:$C$3000,$C78,Offers!$AI$7:$AI$3000,"yes")/2)+1))/2)</f>
        <v>15.6583335</v>
      </c>
      <c r="K78" s="100" t="n">
        <f aca="false">IF(COUNTIFS(Offers!$B$7:$B$3000,$B78,Offers!$C$7:$C$3000,$C78,Offers!$AI$7:$AI$3000,"yes")=0,"",SUMIFS(Offers!$I$7:$I$3000,Offers!$B$7:$B$3000,$B78,Offers!$C$7:$C$3000,$C78,Offers!$AG$7:$AG$3000,COUNTIFS(Offers!$B$7:$B$3000,$B78,Offers!$C$7:$C$3000,$C78,Offers!$AI$7:$AI$3000,"yes")))</f>
        <v>18.666667</v>
      </c>
      <c r="L78" s="96"/>
      <c r="M78" s="96"/>
      <c r="N78" s="96"/>
      <c r="O78" s="101" t="n">
        <f aca="false">IF(Compare!$E$5="Local prices",IF(F78="","",IF(Compare!$C$5="Minimum",F78,IF(Compare!$C$5="Maximum",H78,G78))),IF(I78="","",IF(Compare!$C$5="Minimum",I78,IF(Compare!$C$5="Maximum",K78,J78))))</f>
        <v>15.6583335</v>
      </c>
    </row>
    <row r="79" customFormat="false" ht="39" hidden="false" customHeight="true" outlineLevel="0" collapsed="false">
      <c r="A79" s="3"/>
      <c r="B79" s="102" t="s">
        <v>35</v>
      </c>
      <c r="C79" s="103" t="s">
        <v>13</v>
      </c>
      <c r="D79" s="103" t="s">
        <v>490</v>
      </c>
      <c r="E79" s="103" t="s">
        <v>491</v>
      </c>
      <c r="F79" s="104" t="n">
        <f aca="false">IF(COUNTIFS(Offers!$B$7:$B$3000,$B79,Offers!$C$7:$C$3000,$C79,Offers!$AH$7:$AH$3000,"yes")=0,"",SUMIFS(Offers!$H$7:$H$3000,Offers!$B$7:$B$3000,$B79,Offers!$C$7:$C$3000,$C79,Offers!$AF$7:$AF$3000,1))</f>
        <v>1522</v>
      </c>
      <c r="G79" s="105" t="n">
        <f aca="false">IF(COUNTIFS(Offers!$B$7:$B$3000,$B79,Offers!$C$7:$C$3000,$C79,Offers!$AH$7:$AH$3000,"yes")=0,"",(SUMIFS(Offers!$H$7:$H$3000,Offers!$B$7:$B$3000,$B79,Offers!$C$7:$C$3000,$C79,Offers!$AF$7:$AF$3000,ROUNDUP(COUNTIFS(Offers!$B$7:$B$3000,$B79,Offers!$C$7:$C$3000,$C79,Offers!$AH$7:$AH$3000,"yes")/2,0))+SUMIFS(Offers!$H$7:$H$3000,Offers!$B$7:$B$3000,$B79,Offers!$C$7:$C$3000,$C79,Offers!$AF$7:$AF$3000,INT(COUNTIFS(Offers!$B$7:$B$3000,$B79,Offers!$C$7:$C$3000,$C79,Offers!$AH$7:$AH$3000,"yes")/2)+1))/2)</f>
        <v>2681</v>
      </c>
      <c r="H79" s="104" t="n">
        <f aca="false">IF(COUNTIFS(Offers!$B$7:$B$3000,$B79,Offers!$C$7:$C$3000,$C79,Offers!$AH$7:$AH$3000,"yes")=0,"",SUMIFS(Offers!$H$7:$H$3000,Offers!$B$7:$B$3000,$B79,Offers!$C$7:$C$3000,$C79,Offers!$AF$7:$AF$3000,COUNTIFS(Offers!$B$7:$B$3000,$B79,Offers!$C$7:$C$3000,$C79,Offers!$AH$7:$AH$3000,"yes")))</f>
        <v>7147</v>
      </c>
      <c r="I79" s="106" t="n">
        <f aca="false">IF(COUNTIFS(Offers!$B$7:$B$3000,$B79,Offers!$C$7:$C$3000,$C79,Offers!$AI$7:$AI$3000,"yes")=0,"",SUMIFS(Offers!$I$7:$I$3000,Offers!$B$7:$B$3000,$B79,Offers!$C$7:$C$3000,$C79,Offers!$AG$7:$AG$3000,1))</f>
        <v>4.157221</v>
      </c>
      <c r="J79" s="107" t="n">
        <f aca="false">IF(COUNTIFS(Offers!$B$7:$B$3000,$B79,Offers!$C$7:$C$3000,$C79,Offers!$AI$7:$AI$3000,"yes")=0,"",(SUMIFS(Offers!$I$7:$I$3000,Offers!$B$7:$B$3000,$B79,Offers!$C$7:$C$3000,$C79,Offers!$AG$7:$AG$3000,ROUNDUP(COUNTIFS(Offers!$B$7:$B$3000,$B79,Offers!$C$7:$C$3000,$C79,Offers!$AI$7:$AI$3000,"yes")/2,0))+SUMIFS(Offers!$I$7:$I$3000,Offers!$B$7:$B$3000,$B79,Offers!$C$7:$C$3000,$C79,Offers!$AG$7:$AG$3000,INT(COUNTIFS(Offers!$B$7:$B$3000,$B79,Offers!$C$7:$C$3000,$C79,Offers!$AI$7:$AI$3000,"yes")/2)+1))/2)</f>
        <v>7.322936</v>
      </c>
      <c r="K79" s="106" t="n">
        <f aca="false">IF(COUNTIFS(Offers!$B$7:$B$3000,$B79,Offers!$C$7:$C$3000,$C79,Offers!$AI$7:$AI$3000,"yes")=0,"",SUMIFS(Offers!$I$7:$I$3000,Offers!$B$7:$B$3000,$B79,Offers!$C$7:$C$3000,$C79,Offers!$AG$7:$AG$3000,COUNTIFS(Offers!$B$7:$B$3000,$B79,Offers!$C$7:$C$3000,$C79,Offers!$AI$7:$AI$3000,"yes")))</f>
        <v>19.521455</v>
      </c>
      <c r="L79" s="108"/>
      <c r="M79" s="108"/>
      <c r="N79" s="108"/>
      <c r="O79" s="97" t="n">
        <f aca="false">IF(Compare!$E$5="Local prices",IF(F79="","",IF(Compare!$C$5="Minimum",F79,IF(Compare!$C$5="Maximum",H79,G79))),IF(I79="","",IF(Compare!$C$5="Minimum",I79,IF(Compare!$C$5="Maximum",K79,J79))))</f>
        <v>7.322936</v>
      </c>
    </row>
    <row r="80" customFormat="false" ht="39" hidden="false" customHeight="true" outlineLevel="0" collapsed="false">
      <c r="A80" s="3"/>
      <c r="B80" s="36" t="s">
        <v>35</v>
      </c>
      <c r="C80" s="98" t="s">
        <v>14</v>
      </c>
      <c r="D80" s="98" t="s">
        <v>374</v>
      </c>
      <c r="E80" s="98" t="s">
        <v>491</v>
      </c>
      <c r="F80" s="99" t="n">
        <f aca="false">IF(COUNTIFS(Offers!$B$7:$B$3000,$B80,Offers!$C$7:$C$3000,$C80,Offers!$AH$7:$AH$3000,"yes")=0,"",SUMIFS(Offers!$H$7:$H$3000,Offers!$B$7:$B$3000,$B80,Offers!$C$7:$C$3000,$C80,Offers!$AF$7:$AF$3000,1))</f>
        <v>31.68</v>
      </c>
      <c r="G80" s="93" t="n">
        <f aca="false">IF(COUNTIFS(Offers!$B$7:$B$3000,$B80,Offers!$C$7:$C$3000,$C80,Offers!$AH$7:$AH$3000,"yes")=0,"",(SUMIFS(Offers!$H$7:$H$3000,Offers!$B$7:$B$3000,$B80,Offers!$C$7:$C$3000,$C80,Offers!$AF$7:$AF$3000,ROUNDUP(COUNTIFS(Offers!$B$7:$B$3000,$B80,Offers!$C$7:$C$3000,$C80,Offers!$AH$7:$AH$3000,"yes")/2,0))+SUMIFS(Offers!$H$7:$H$3000,Offers!$B$7:$B$3000,$B80,Offers!$C$7:$C$3000,$C80,Offers!$AF$7:$AF$3000,INT(COUNTIFS(Offers!$B$7:$B$3000,$B80,Offers!$C$7:$C$3000,$C80,Offers!$AH$7:$AH$3000,"yes")/2)+1))/2)</f>
        <v>42.165</v>
      </c>
      <c r="H80" s="99" t="n">
        <f aca="false">IF(COUNTIFS(Offers!$B$7:$B$3000,$B80,Offers!$C$7:$C$3000,$C80,Offers!$AH$7:$AH$3000,"yes")=0,"",SUMIFS(Offers!$H$7:$H$3000,Offers!$B$7:$B$3000,$B80,Offers!$C$7:$C$3000,$C80,Offers!$AF$7:$AF$3000,COUNTIFS(Offers!$B$7:$B$3000,$B80,Offers!$C$7:$C$3000,$C80,Offers!$AH$7:$AH$3000,"yes")))</f>
        <v>62.24</v>
      </c>
      <c r="I80" s="100" t="n">
        <f aca="false">IF(COUNTIFS(Offers!$B$7:$B$3000,$B80,Offers!$C$7:$C$3000,$C80,Offers!$AI$7:$AI$3000,"yes")=0,"",SUMIFS(Offers!$I$7:$I$3000,Offers!$B$7:$B$3000,$B80,Offers!$C$7:$C$3000,$C80,Offers!$AG$7:$AG$3000,1))</f>
        <v>6.002681</v>
      </c>
      <c r="J80" s="95" t="n">
        <f aca="false">IF(COUNTIFS(Offers!$B$7:$B$3000,$B80,Offers!$C$7:$C$3000,$C80,Offers!$AI$7:$AI$3000,"yes")=0,"",(SUMIFS(Offers!$I$7:$I$3000,Offers!$B$7:$B$3000,$B80,Offers!$C$7:$C$3000,$C80,Offers!$AG$7:$AG$3000,ROUNDUP(COUNTIFS(Offers!$B$7:$B$3000,$B80,Offers!$C$7:$C$3000,$C80,Offers!$AI$7:$AI$3000,"yes")/2,0))+SUMIFS(Offers!$I$7:$I$3000,Offers!$B$7:$B$3000,$B80,Offers!$C$7:$C$3000,$C80,Offers!$AG$7:$AG$3000,INT(COUNTIFS(Offers!$B$7:$B$3000,$B80,Offers!$C$7:$C$3000,$C80,Offers!$AI$7:$AI$3000,"yes")/2)+1))/2)</f>
        <v>7.989364</v>
      </c>
      <c r="K80" s="100" t="n">
        <f aca="false">IF(COUNTIFS(Offers!$B$7:$B$3000,$B80,Offers!$C$7:$C$3000,$C80,Offers!$AI$7:$AI$3000,"yes")=0,"",SUMIFS(Offers!$I$7:$I$3000,Offers!$B$7:$B$3000,$B80,Offers!$C$7:$C$3000,$C80,Offers!$AG$7:$AG$3000,COUNTIFS(Offers!$B$7:$B$3000,$B80,Offers!$C$7:$C$3000,$C80,Offers!$AI$7:$AI$3000,"yes")))</f>
        <v>11.793146</v>
      </c>
      <c r="L80" s="96"/>
      <c r="M80" s="96"/>
      <c r="N80" s="96"/>
      <c r="O80" s="101" t="n">
        <f aca="false">IF(Compare!$E$5="Local prices",IF(F80="","",IF(Compare!$C$5="Minimum",F80,IF(Compare!$C$5="Maximum",H80,G80))),IF(I80="","",IF(Compare!$C$5="Minimum",I80,IF(Compare!$C$5="Maximum",K80,J80))))</f>
        <v>7.989364</v>
      </c>
    </row>
    <row r="81" customFormat="false" ht="39" hidden="false" customHeight="true" outlineLevel="0" collapsed="false">
      <c r="A81" s="3"/>
      <c r="B81" s="31" t="s">
        <v>35</v>
      </c>
      <c r="C81" s="91" t="s">
        <v>15</v>
      </c>
      <c r="D81" s="91" t="s">
        <v>244</v>
      </c>
      <c r="E81" s="91" t="s">
        <v>491</v>
      </c>
      <c r="F81" s="92" t="n">
        <f aca="false">IF(COUNTIFS(Offers!$B$7:$B$3000,$B81,Offers!$C$7:$C$3000,$C81,Offers!$AH$7:$AH$3000,"yes")=0,"",SUMIFS(Offers!$H$7:$H$3000,Offers!$B$7:$B$3000,$B81,Offers!$C$7:$C$3000,$C81,Offers!$AF$7:$AF$3000,1))</f>
        <v>7.95</v>
      </c>
      <c r="G81" s="93" t="n">
        <f aca="false">IF(COUNTIFS(Offers!$B$7:$B$3000,$B81,Offers!$C$7:$C$3000,$C81,Offers!$AH$7:$AH$3000,"yes")=0,"",(SUMIFS(Offers!$H$7:$H$3000,Offers!$B$7:$B$3000,$B81,Offers!$C$7:$C$3000,$C81,Offers!$AF$7:$AF$3000,ROUNDUP(COUNTIFS(Offers!$B$7:$B$3000,$B81,Offers!$C$7:$C$3000,$C81,Offers!$AH$7:$AH$3000,"yes")/2,0))+SUMIFS(Offers!$H$7:$H$3000,Offers!$B$7:$B$3000,$B81,Offers!$C$7:$C$3000,$C81,Offers!$AF$7:$AF$3000,INT(COUNTIFS(Offers!$B$7:$B$3000,$B81,Offers!$C$7:$C$3000,$C81,Offers!$AH$7:$AH$3000,"yes")/2)+1))/2)</f>
        <v>10.49</v>
      </c>
      <c r="H81" s="92" t="n">
        <f aca="false">IF(COUNTIFS(Offers!$B$7:$B$3000,$B81,Offers!$C$7:$C$3000,$C81,Offers!$AH$7:$AH$3000,"yes")=0,"",SUMIFS(Offers!$H$7:$H$3000,Offers!$B$7:$B$3000,$B81,Offers!$C$7:$C$3000,$C81,Offers!$AF$7:$AF$3000,COUNTIFS(Offers!$B$7:$B$3000,$B81,Offers!$C$7:$C$3000,$C81,Offers!$AH$7:$AH$3000,"yes")))</f>
        <v>22.83</v>
      </c>
      <c r="I81" s="94" t="n">
        <f aca="false">IF(COUNTIFS(Offers!$B$7:$B$3000,$B81,Offers!$C$7:$C$3000,$C81,Offers!$AI$7:$AI$3000,"yes")=0,"",SUMIFS(Offers!$I$7:$I$3000,Offers!$B$7:$B$3000,$B81,Offers!$C$7:$C$3000,$C81,Offers!$AG$7:$AG$3000,1))</f>
        <v>7.95</v>
      </c>
      <c r="J81" s="95" t="n">
        <f aca="false">IF(COUNTIFS(Offers!$B$7:$B$3000,$B81,Offers!$C$7:$C$3000,$C81,Offers!$AI$7:$AI$3000,"yes")=0,"",(SUMIFS(Offers!$I$7:$I$3000,Offers!$B$7:$B$3000,$B81,Offers!$C$7:$C$3000,$C81,Offers!$AG$7:$AG$3000,ROUNDUP(COUNTIFS(Offers!$B$7:$B$3000,$B81,Offers!$C$7:$C$3000,$C81,Offers!$AI$7:$AI$3000,"yes")/2,0))+SUMIFS(Offers!$I$7:$I$3000,Offers!$B$7:$B$3000,$B81,Offers!$C$7:$C$3000,$C81,Offers!$AG$7:$AG$3000,INT(COUNTIFS(Offers!$B$7:$B$3000,$B81,Offers!$C$7:$C$3000,$C81,Offers!$AI$7:$AI$3000,"yes")/2)+1))/2)</f>
        <v>10.49</v>
      </c>
      <c r="K81" s="94" t="n">
        <f aca="false">IF(COUNTIFS(Offers!$B$7:$B$3000,$B81,Offers!$C$7:$C$3000,$C81,Offers!$AI$7:$AI$3000,"yes")=0,"",SUMIFS(Offers!$I$7:$I$3000,Offers!$B$7:$B$3000,$B81,Offers!$C$7:$C$3000,$C81,Offers!$AG$7:$AG$3000,COUNTIFS(Offers!$B$7:$B$3000,$B81,Offers!$C$7:$C$3000,$C81,Offers!$AI$7:$AI$3000,"yes")))</f>
        <v>22.83</v>
      </c>
      <c r="L81" s="96"/>
      <c r="M81" s="96"/>
      <c r="N81" s="96"/>
      <c r="O81" s="97" t="n">
        <f aca="false">IF(Compare!$E$5="Local prices",IF(F81="","",IF(Compare!$C$5="Minimum",F81,IF(Compare!$C$5="Maximum",H81,G81))),IF(I81="","",IF(Compare!$C$5="Minimum",I81,IF(Compare!$C$5="Maximum",K81,J81))))</f>
        <v>10.49</v>
      </c>
    </row>
    <row r="82" customFormat="false" ht="39" hidden="false" customHeight="true" outlineLevel="0" collapsed="false">
      <c r="A82" s="3"/>
      <c r="B82" s="36" t="s">
        <v>35</v>
      </c>
      <c r="C82" s="98" t="s">
        <v>16</v>
      </c>
      <c r="D82" s="98" t="s">
        <v>244</v>
      </c>
      <c r="E82" s="98" t="s">
        <v>491</v>
      </c>
      <c r="F82" s="99" t="n">
        <f aca="false">IF(COUNTIFS(Offers!$B$7:$B$3000,$B82,Offers!$C$7:$C$3000,$C82,Offers!$AH$7:$AH$3000,"yes")=0,"",SUMIFS(Offers!$H$7:$H$3000,Offers!$B$7:$B$3000,$B82,Offers!$C$7:$C$3000,$C82,Offers!$AF$7:$AF$3000,1))</f>
        <v>7.24</v>
      </c>
      <c r="G82" s="93" t="n">
        <f aca="false">IF(COUNTIFS(Offers!$B$7:$B$3000,$B82,Offers!$C$7:$C$3000,$C82,Offers!$AH$7:$AH$3000,"yes")=0,"",(SUMIFS(Offers!$H$7:$H$3000,Offers!$B$7:$B$3000,$B82,Offers!$C$7:$C$3000,$C82,Offers!$AF$7:$AF$3000,ROUNDUP(COUNTIFS(Offers!$B$7:$B$3000,$B82,Offers!$C$7:$C$3000,$C82,Offers!$AH$7:$AH$3000,"yes")/2,0))+SUMIFS(Offers!$H$7:$H$3000,Offers!$B$7:$B$3000,$B82,Offers!$C$7:$C$3000,$C82,Offers!$AF$7:$AF$3000,INT(COUNTIFS(Offers!$B$7:$B$3000,$B82,Offers!$C$7:$C$3000,$C82,Offers!$AH$7:$AH$3000,"yes")/2)+1))/2)</f>
        <v>8.69</v>
      </c>
      <c r="H82" s="99" t="n">
        <f aca="false">IF(COUNTIFS(Offers!$B$7:$B$3000,$B82,Offers!$C$7:$C$3000,$C82,Offers!$AH$7:$AH$3000,"yes")=0,"",SUMIFS(Offers!$H$7:$H$3000,Offers!$B$7:$B$3000,$B82,Offers!$C$7:$C$3000,$C82,Offers!$AF$7:$AF$3000,COUNTIFS(Offers!$B$7:$B$3000,$B82,Offers!$C$7:$C$3000,$C82,Offers!$AH$7:$AH$3000,"yes")))</f>
        <v>22.85</v>
      </c>
      <c r="I82" s="100" t="n">
        <f aca="false">IF(COUNTIFS(Offers!$B$7:$B$3000,$B82,Offers!$C$7:$C$3000,$C82,Offers!$AI$7:$AI$3000,"yes")=0,"",SUMIFS(Offers!$I$7:$I$3000,Offers!$B$7:$B$3000,$B82,Offers!$C$7:$C$3000,$C82,Offers!$AG$7:$AG$3000,1))</f>
        <v>7.24</v>
      </c>
      <c r="J82" s="95" t="n">
        <f aca="false">IF(COUNTIFS(Offers!$B$7:$B$3000,$B82,Offers!$C$7:$C$3000,$C82,Offers!$AI$7:$AI$3000,"yes")=0,"",(SUMIFS(Offers!$I$7:$I$3000,Offers!$B$7:$B$3000,$B82,Offers!$C$7:$C$3000,$C82,Offers!$AG$7:$AG$3000,ROUNDUP(COUNTIFS(Offers!$B$7:$B$3000,$B82,Offers!$C$7:$C$3000,$C82,Offers!$AI$7:$AI$3000,"yes")/2,0))+SUMIFS(Offers!$I$7:$I$3000,Offers!$B$7:$B$3000,$B82,Offers!$C$7:$C$3000,$C82,Offers!$AG$7:$AG$3000,INT(COUNTIFS(Offers!$B$7:$B$3000,$B82,Offers!$C$7:$C$3000,$C82,Offers!$AI$7:$AI$3000,"yes")/2)+1))/2)</f>
        <v>8.69</v>
      </c>
      <c r="K82" s="100" t="n">
        <f aca="false">IF(COUNTIFS(Offers!$B$7:$B$3000,$B82,Offers!$C$7:$C$3000,$C82,Offers!$AI$7:$AI$3000,"yes")=0,"",SUMIFS(Offers!$I$7:$I$3000,Offers!$B$7:$B$3000,$B82,Offers!$C$7:$C$3000,$C82,Offers!$AG$7:$AG$3000,COUNTIFS(Offers!$B$7:$B$3000,$B82,Offers!$C$7:$C$3000,$C82,Offers!$AI$7:$AI$3000,"yes")))</f>
        <v>22.85</v>
      </c>
      <c r="L82" s="96"/>
      <c r="M82" s="96"/>
      <c r="N82" s="96"/>
      <c r="O82" s="101" t="n">
        <f aca="false">IF(Compare!$E$5="Local prices",IF(F82="","",IF(Compare!$C$5="Minimum",F82,IF(Compare!$C$5="Maximum",H82,G82))),IF(I82="","",IF(Compare!$C$5="Minimum",I82,IF(Compare!$C$5="Maximum",K82,J82))))</f>
        <v>8.69</v>
      </c>
    </row>
    <row r="83" customFormat="false" ht="39" hidden="false" customHeight="true" outlineLevel="0" collapsed="false">
      <c r="A83" s="3"/>
      <c r="B83" s="31" t="s">
        <v>35</v>
      </c>
      <c r="C83" s="91" t="s">
        <v>17</v>
      </c>
      <c r="D83" s="91" t="s">
        <v>333</v>
      </c>
      <c r="E83" s="91" t="s">
        <v>491</v>
      </c>
      <c r="F83" s="92" t="n">
        <f aca="false">IF(COUNTIFS(Offers!$B$7:$B$3000,$B83,Offers!$C$7:$C$3000,$C83,Offers!$AH$7:$AH$3000,"yes")=0,"",SUMIFS(Offers!$H$7:$H$3000,Offers!$B$7:$B$3000,$B83,Offers!$C$7:$C$3000,$C83,Offers!$AF$7:$AF$3000,1))</f>
        <v>153.92</v>
      </c>
      <c r="G83" s="93" t="n">
        <f aca="false">IF(COUNTIFS(Offers!$B$7:$B$3000,$B83,Offers!$C$7:$C$3000,$C83,Offers!$AH$7:$AH$3000,"yes")=0,"",(SUMIFS(Offers!$H$7:$H$3000,Offers!$B$7:$B$3000,$B83,Offers!$C$7:$C$3000,$C83,Offers!$AF$7:$AF$3000,ROUNDUP(COUNTIFS(Offers!$B$7:$B$3000,$B83,Offers!$C$7:$C$3000,$C83,Offers!$AH$7:$AH$3000,"yes")/2,0))+SUMIFS(Offers!$H$7:$H$3000,Offers!$B$7:$B$3000,$B83,Offers!$C$7:$C$3000,$C83,Offers!$AF$7:$AF$3000,INT(COUNTIFS(Offers!$B$7:$B$3000,$B83,Offers!$C$7:$C$3000,$C83,Offers!$AH$7:$AH$3000,"yes")/2)+1))/2)</f>
        <v>195.02</v>
      </c>
      <c r="H83" s="92" t="n">
        <f aca="false">IF(COUNTIFS(Offers!$B$7:$B$3000,$B83,Offers!$C$7:$C$3000,$C83,Offers!$AH$7:$AH$3000,"yes")=0,"",SUMIFS(Offers!$H$7:$H$3000,Offers!$B$7:$B$3000,$B83,Offers!$C$7:$C$3000,$C83,Offers!$AF$7:$AF$3000,COUNTIFS(Offers!$B$7:$B$3000,$B83,Offers!$C$7:$C$3000,$C83,Offers!$AH$7:$AH$3000,"yes")))</f>
        <v>519</v>
      </c>
      <c r="I83" s="94" t="n">
        <f aca="false">IF(COUNTIFS(Offers!$B$7:$B$3000,$B83,Offers!$C$7:$C$3000,$C83,Offers!$AI$7:$AI$3000,"yes")=0,"",SUMIFS(Offers!$I$7:$I$3000,Offers!$B$7:$B$3000,$B83,Offers!$C$7:$C$3000,$C83,Offers!$AG$7:$AG$3000,1))</f>
        <v>6.302097</v>
      </c>
      <c r="J83" s="95" t="n">
        <f aca="false">IF(COUNTIFS(Offers!$B$7:$B$3000,$B83,Offers!$C$7:$C$3000,$C83,Offers!$AI$7:$AI$3000,"yes")=0,"",(SUMIFS(Offers!$I$7:$I$3000,Offers!$B$7:$B$3000,$B83,Offers!$C$7:$C$3000,$C83,Offers!$AG$7:$AG$3000,ROUNDUP(COUNTIFS(Offers!$B$7:$B$3000,$B83,Offers!$C$7:$C$3000,$C83,Offers!$AI$7:$AI$3000,"yes")/2,0))+SUMIFS(Offers!$I$7:$I$3000,Offers!$B$7:$B$3000,$B83,Offers!$C$7:$C$3000,$C83,Offers!$AG$7:$AG$3000,INT(COUNTIFS(Offers!$B$7:$B$3000,$B83,Offers!$C$7:$C$3000,$C83,Offers!$AI$7:$AI$3000,"yes")/2)+1))/2)</f>
        <v>7.984895</v>
      </c>
      <c r="K83" s="94" t="n">
        <f aca="false">IF(COUNTIFS(Offers!$B$7:$B$3000,$B83,Offers!$C$7:$C$3000,$C83,Offers!$AI$7:$AI$3000,"yes")=0,"",SUMIFS(Offers!$I$7:$I$3000,Offers!$B$7:$B$3000,$B83,Offers!$C$7:$C$3000,$C83,Offers!$AG$7:$AG$3000,COUNTIFS(Offers!$B$7:$B$3000,$B83,Offers!$C$7:$C$3000,$C83,Offers!$AI$7:$AI$3000,"yes")))</f>
        <v>21.249925</v>
      </c>
      <c r="L83" s="96"/>
      <c r="M83" s="96"/>
      <c r="N83" s="96"/>
      <c r="O83" s="97" t="n">
        <f aca="false">IF(Compare!$E$5="Local prices",IF(F83="","",IF(Compare!$C$5="Minimum",F83,IF(Compare!$C$5="Maximum",H83,G83))),IF(I83="","",IF(Compare!$C$5="Minimum",I83,IF(Compare!$C$5="Maximum",K83,J83))))</f>
        <v>7.984895</v>
      </c>
    </row>
    <row r="84" customFormat="false" ht="39" hidden="false" customHeight="true" outlineLevel="0" collapsed="false">
      <c r="A84" s="3"/>
      <c r="B84" s="36" t="s">
        <v>35</v>
      </c>
      <c r="C84" s="98" t="s">
        <v>18</v>
      </c>
      <c r="D84" s="98" t="s">
        <v>244</v>
      </c>
      <c r="E84" s="98" t="s">
        <v>491</v>
      </c>
      <c r="F84" s="99" t="n">
        <f aca="false">IF(COUNTIFS(Offers!$B$7:$B$3000,$B84,Offers!$C$7:$C$3000,$C84,Offers!$AH$7:$AH$3000,"yes")=0,"",SUMIFS(Offers!$H$7:$H$3000,Offers!$B$7:$B$3000,$B84,Offers!$C$7:$C$3000,$C84,Offers!$AF$7:$AF$3000,1))</f>
        <v>11.065041</v>
      </c>
      <c r="G84" s="93" t="n">
        <f aca="false">IF(COUNTIFS(Offers!$B$7:$B$3000,$B84,Offers!$C$7:$C$3000,$C84,Offers!$AH$7:$AH$3000,"yes")=0,"",(SUMIFS(Offers!$H$7:$H$3000,Offers!$B$7:$B$3000,$B84,Offers!$C$7:$C$3000,$C84,Offers!$AF$7:$AF$3000,ROUNDUP(COUNTIFS(Offers!$B$7:$B$3000,$B84,Offers!$C$7:$C$3000,$C84,Offers!$AH$7:$AH$3000,"yes")/2,0))+SUMIFS(Offers!$H$7:$H$3000,Offers!$B$7:$B$3000,$B84,Offers!$C$7:$C$3000,$C84,Offers!$AF$7:$AF$3000,INT(COUNTIFS(Offers!$B$7:$B$3000,$B84,Offers!$C$7:$C$3000,$C84,Offers!$AH$7:$AH$3000,"yes")/2)+1))/2)</f>
        <v>11.3825205</v>
      </c>
      <c r="H84" s="99" t="n">
        <f aca="false">IF(COUNTIFS(Offers!$B$7:$B$3000,$B84,Offers!$C$7:$C$3000,$C84,Offers!$AH$7:$AH$3000,"yes")=0,"",SUMIFS(Offers!$H$7:$H$3000,Offers!$B$7:$B$3000,$B84,Offers!$C$7:$C$3000,$C84,Offers!$AF$7:$AF$3000,COUNTIFS(Offers!$B$7:$B$3000,$B84,Offers!$C$7:$C$3000,$C84,Offers!$AH$7:$AH$3000,"yes")))</f>
        <v>11.7</v>
      </c>
      <c r="I84" s="100" t="n">
        <f aca="false">IF(COUNTIFS(Offers!$B$7:$B$3000,$B84,Offers!$C$7:$C$3000,$C84,Offers!$AI$7:$AI$3000,"yes")=0,"",SUMIFS(Offers!$I$7:$I$3000,Offers!$B$7:$B$3000,$B84,Offers!$C$7:$C$3000,$C84,Offers!$AG$7:$AG$3000,1))</f>
        <v>11.065041</v>
      </c>
      <c r="J84" s="95" t="n">
        <f aca="false">IF(COUNTIFS(Offers!$B$7:$B$3000,$B84,Offers!$C$7:$C$3000,$C84,Offers!$AI$7:$AI$3000,"yes")=0,"",(SUMIFS(Offers!$I$7:$I$3000,Offers!$B$7:$B$3000,$B84,Offers!$C$7:$C$3000,$C84,Offers!$AG$7:$AG$3000,ROUNDUP(COUNTIFS(Offers!$B$7:$B$3000,$B84,Offers!$C$7:$C$3000,$C84,Offers!$AI$7:$AI$3000,"yes")/2,0))+SUMIFS(Offers!$I$7:$I$3000,Offers!$B$7:$B$3000,$B84,Offers!$C$7:$C$3000,$C84,Offers!$AG$7:$AG$3000,INT(COUNTIFS(Offers!$B$7:$B$3000,$B84,Offers!$C$7:$C$3000,$C84,Offers!$AI$7:$AI$3000,"yes")/2)+1))/2)</f>
        <v>11.3825205</v>
      </c>
      <c r="K84" s="100" t="n">
        <f aca="false">IF(COUNTIFS(Offers!$B$7:$B$3000,$B84,Offers!$C$7:$C$3000,$C84,Offers!$AI$7:$AI$3000,"yes")=0,"",SUMIFS(Offers!$I$7:$I$3000,Offers!$B$7:$B$3000,$B84,Offers!$C$7:$C$3000,$C84,Offers!$AG$7:$AG$3000,COUNTIFS(Offers!$B$7:$B$3000,$B84,Offers!$C$7:$C$3000,$C84,Offers!$AI$7:$AI$3000,"yes")))</f>
        <v>11.7</v>
      </c>
      <c r="L84" s="96"/>
      <c r="M84" s="96"/>
      <c r="N84" s="96"/>
      <c r="O84" s="101" t="n">
        <f aca="false">IF(Compare!$E$5="Local prices",IF(F84="","",IF(Compare!$C$5="Minimum",F84,IF(Compare!$C$5="Maximum",H84,G84))),IF(I84="","",IF(Compare!$C$5="Minimum",I84,IF(Compare!$C$5="Maximum",K84,J84))))</f>
        <v>11.3825205</v>
      </c>
    </row>
    <row r="85" customFormat="false" ht="39" hidden="false" customHeight="true" outlineLevel="0" collapsed="false">
      <c r="A85" s="3"/>
      <c r="B85" s="102" t="s">
        <v>37</v>
      </c>
      <c r="C85" s="103" t="s">
        <v>13</v>
      </c>
      <c r="D85" s="103" t="s">
        <v>490</v>
      </c>
      <c r="E85" s="103" t="s">
        <v>491</v>
      </c>
      <c r="F85" s="104" t="n">
        <f aca="false">IF(COUNTIFS(Offers!$B$7:$B$3000,$B85,Offers!$C$7:$C$3000,$C85,Offers!$AH$7:$AH$3000,"yes")=0,"",SUMIFS(Offers!$H$7:$H$3000,Offers!$B$7:$B$3000,$B85,Offers!$C$7:$C$3000,$C85,Offers!$AF$7:$AF$3000,1))</f>
        <v>2480</v>
      </c>
      <c r="G85" s="105" t="n">
        <f aca="false">IF(COUNTIFS(Offers!$B$7:$B$3000,$B85,Offers!$C$7:$C$3000,$C85,Offers!$AH$7:$AH$3000,"yes")=0,"",(SUMIFS(Offers!$H$7:$H$3000,Offers!$B$7:$B$3000,$B85,Offers!$C$7:$C$3000,$C85,Offers!$AF$7:$AF$3000,ROUNDUP(COUNTIFS(Offers!$B$7:$B$3000,$B85,Offers!$C$7:$C$3000,$C85,Offers!$AH$7:$AH$3000,"yes")/2,0))+SUMIFS(Offers!$H$7:$H$3000,Offers!$B$7:$B$3000,$B85,Offers!$C$7:$C$3000,$C85,Offers!$AF$7:$AF$3000,INT(COUNTIFS(Offers!$B$7:$B$3000,$B85,Offers!$C$7:$C$3000,$C85,Offers!$AH$7:$AH$3000,"yes")/2)+1))/2)</f>
        <v>4000</v>
      </c>
      <c r="H85" s="104" t="n">
        <f aca="false">IF(COUNTIFS(Offers!$B$7:$B$3000,$B85,Offers!$C$7:$C$3000,$C85,Offers!$AH$7:$AH$3000,"yes")=0,"",SUMIFS(Offers!$H$7:$H$3000,Offers!$B$7:$B$3000,$B85,Offers!$C$7:$C$3000,$C85,Offers!$AF$7:$AF$3000,COUNTIFS(Offers!$B$7:$B$3000,$B85,Offers!$C$7:$C$3000,$C85,Offers!$AH$7:$AH$3000,"yes")))</f>
        <v>5105</v>
      </c>
      <c r="I85" s="106" t="n">
        <f aca="false">IF(COUNTIFS(Offers!$B$7:$B$3000,$B85,Offers!$C$7:$C$3000,$C85,Offers!$AI$7:$AI$3000,"yes")=0,"",SUMIFS(Offers!$I$7:$I$3000,Offers!$B$7:$B$3000,$B85,Offers!$C$7:$C$3000,$C85,Offers!$AG$7:$AG$3000,1))</f>
        <v>6.77392</v>
      </c>
      <c r="J85" s="107" t="n">
        <f aca="false">IF(COUNTIFS(Offers!$B$7:$B$3000,$B85,Offers!$C$7:$C$3000,$C85,Offers!$AI$7:$AI$3000,"yes")=0,"",(SUMIFS(Offers!$I$7:$I$3000,Offers!$B$7:$B$3000,$B85,Offers!$C$7:$C$3000,$C85,Offers!$AG$7:$AG$3000,ROUNDUP(COUNTIFS(Offers!$B$7:$B$3000,$B85,Offers!$C$7:$C$3000,$C85,Offers!$AI$7:$AI$3000,"yes")/2,0))+SUMIFS(Offers!$I$7:$I$3000,Offers!$B$7:$B$3000,$B85,Offers!$C$7:$C$3000,$C85,Offers!$AG$7:$AG$3000,INT(COUNTIFS(Offers!$B$7:$B$3000,$B85,Offers!$C$7:$C$3000,$C85,Offers!$AI$7:$AI$3000,"yes")/2)+1))/2)</f>
        <v>10.925678</v>
      </c>
      <c r="K85" s="106" t="n">
        <f aca="false">IF(COUNTIFS(Offers!$B$7:$B$3000,$B85,Offers!$C$7:$C$3000,$C85,Offers!$AI$7:$AI$3000,"yes")=0,"",SUMIFS(Offers!$I$7:$I$3000,Offers!$B$7:$B$3000,$B85,Offers!$C$7:$C$3000,$C85,Offers!$AG$7:$AG$3000,COUNTIFS(Offers!$B$7:$B$3000,$B85,Offers!$C$7:$C$3000,$C85,Offers!$AI$7:$AI$3000,"yes")))</f>
        <v>13.943897</v>
      </c>
      <c r="L85" s="108"/>
      <c r="M85" s="108"/>
      <c r="N85" s="108"/>
      <c r="O85" s="97" t="n">
        <f aca="false">IF(Compare!$E$5="Local prices",IF(F85="","",IF(Compare!$C$5="Minimum",F85,IF(Compare!$C$5="Maximum",H85,G85))),IF(I85="","",IF(Compare!$C$5="Minimum",I85,IF(Compare!$C$5="Maximum",K85,J85))))</f>
        <v>10.925678</v>
      </c>
    </row>
    <row r="86" customFormat="false" ht="39" hidden="false" customHeight="true" outlineLevel="0" collapsed="false">
      <c r="A86" s="3"/>
      <c r="B86" s="36" t="s">
        <v>37</v>
      </c>
      <c r="C86" s="98" t="s">
        <v>14</v>
      </c>
      <c r="D86" s="98" t="s">
        <v>374</v>
      </c>
      <c r="E86" s="98" t="s">
        <v>491</v>
      </c>
      <c r="F86" s="99" t="str">
        <f aca="false">IF(COUNTIFS(Offers!$B$7:$B$3000,$B86,Offers!$C$7:$C$3000,$C86,Offers!$AH$7:$AH$3000,"yes")=0,"",SUMIFS(Offers!$H$7:$H$3000,Offers!$B$7:$B$3000,$B86,Offers!$C$7:$C$3000,$C86,Offers!$AF$7:$AF$3000,1))</f>
        <v/>
      </c>
      <c r="G86" s="93" t="str">
        <f aca="false">IF(COUNTIFS(Offers!$B$7:$B$3000,$B86,Offers!$C$7:$C$3000,$C86,Offers!$AH$7:$AH$3000,"yes")=0,"",(SUMIFS(Offers!$H$7:$H$3000,Offers!$B$7:$B$3000,$B86,Offers!$C$7:$C$3000,$C86,Offers!$AF$7:$AF$3000,ROUNDUP(COUNTIFS(Offers!$B$7:$B$3000,$B86,Offers!$C$7:$C$3000,$C86,Offers!$AH$7:$AH$3000,"yes")/2,0))+SUMIFS(Offers!$H$7:$H$3000,Offers!$B$7:$B$3000,$B86,Offers!$C$7:$C$3000,$C86,Offers!$AF$7:$AF$3000,INT(COUNTIFS(Offers!$B$7:$B$3000,$B86,Offers!$C$7:$C$3000,$C86,Offers!$AH$7:$AH$3000,"yes")/2)+1))/2)</f>
        <v/>
      </c>
      <c r="H86" s="99" t="str">
        <f aca="false">IF(COUNTIFS(Offers!$B$7:$B$3000,$B86,Offers!$C$7:$C$3000,$C86,Offers!$AH$7:$AH$3000,"yes")=0,"",SUMIFS(Offers!$H$7:$H$3000,Offers!$B$7:$B$3000,$B86,Offers!$C$7:$C$3000,$C86,Offers!$AF$7:$AF$3000,COUNTIFS(Offers!$B$7:$B$3000,$B86,Offers!$C$7:$C$3000,$C86,Offers!$AH$7:$AH$3000,"yes")))</f>
        <v/>
      </c>
      <c r="I86" s="100" t="str">
        <f aca="false">IF(COUNTIFS(Offers!$B$7:$B$3000,$B86,Offers!$C$7:$C$3000,$C86,Offers!$AI$7:$AI$3000,"yes")=0,"",SUMIFS(Offers!$I$7:$I$3000,Offers!$B$7:$B$3000,$B86,Offers!$C$7:$C$3000,$C86,Offers!$AG$7:$AG$3000,1))</f>
        <v/>
      </c>
      <c r="J86" s="95" t="str">
        <f aca="false">IF(COUNTIFS(Offers!$B$7:$B$3000,$B86,Offers!$C$7:$C$3000,$C86,Offers!$AI$7:$AI$3000,"yes")=0,"",(SUMIFS(Offers!$I$7:$I$3000,Offers!$B$7:$B$3000,$B86,Offers!$C$7:$C$3000,$C86,Offers!$AG$7:$AG$3000,ROUNDUP(COUNTIFS(Offers!$B$7:$B$3000,$B86,Offers!$C$7:$C$3000,$C86,Offers!$AI$7:$AI$3000,"yes")/2,0))+SUMIFS(Offers!$I$7:$I$3000,Offers!$B$7:$B$3000,$B86,Offers!$C$7:$C$3000,$C86,Offers!$AG$7:$AG$3000,INT(COUNTIFS(Offers!$B$7:$B$3000,$B86,Offers!$C$7:$C$3000,$C86,Offers!$AI$7:$AI$3000,"yes")/2)+1))/2)</f>
        <v/>
      </c>
      <c r="K86" s="100" t="str">
        <f aca="false">IF(COUNTIFS(Offers!$B$7:$B$3000,$B86,Offers!$C$7:$C$3000,$C86,Offers!$AI$7:$AI$3000,"yes")=0,"",SUMIFS(Offers!$I$7:$I$3000,Offers!$B$7:$B$3000,$B86,Offers!$C$7:$C$3000,$C86,Offers!$AG$7:$AG$3000,COUNTIFS(Offers!$B$7:$B$3000,$B86,Offers!$C$7:$C$3000,$C86,Offers!$AI$7:$AI$3000,"yes")))</f>
        <v/>
      </c>
      <c r="L86" s="96"/>
      <c r="M86" s="96"/>
      <c r="N86" s="96"/>
      <c r="O86" s="110" t="str">
        <f aca="false">IF(Compare!$E$5="Local prices",IF(F86="","",IF(Compare!$C$5="Minimum",F86,IF(Compare!$C$5="Maximum",H86,G86))),IF(I86="","",IF(Compare!$C$5="Minimum",I86,IF(Compare!$C$5="Maximum",K86,J86))))</f>
        <v/>
      </c>
    </row>
    <row r="87" customFormat="false" ht="39" hidden="false" customHeight="true" outlineLevel="0" collapsed="false">
      <c r="A87" s="3"/>
      <c r="B87" s="31" t="s">
        <v>37</v>
      </c>
      <c r="C87" s="91" t="s">
        <v>15</v>
      </c>
      <c r="D87" s="91" t="s">
        <v>244</v>
      </c>
      <c r="E87" s="91" t="s">
        <v>491</v>
      </c>
      <c r="F87" s="92" t="n">
        <f aca="false">IF(COUNTIFS(Offers!$B$7:$B$3000,$B87,Offers!$C$7:$C$3000,$C87,Offers!$AH$7:$AH$3000,"yes")=0,"",SUMIFS(Offers!$H$7:$H$3000,Offers!$B$7:$B$3000,$B87,Offers!$C$7:$C$3000,$C87,Offers!$AF$7:$AF$3000,1))</f>
        <v>8.8</v>
      </c>
      <c r="G87" s="93" t="n">
        <f aca="false">IF(COUNTIFS(Offers!$B$7:$B$3000,$B87,Offers!$C$7:$C$3000,$C87,Offers!$AH$7:$AH$3000,"yes")=0,"",(SUMIFS(Offers!$H$7:$H$3000,Offers!$B$7:$B$3000,$B87,Offers!$C$7:$C$3000,$C87,Offers!$AF$7:$AF$3000,ROUNDUP(COUNTIFS(Offers!$B$7:$B$3000,$B87,Offers!$C$7:$C$3000,$C87,Offers!$AH$7:$AH$3000,"yes")/2,0))+SUMIFS(Offers!$H$7:$H$3000,Offers!$B$7:$B$3000,$B87,Offers!$C$7:$C$3000,$C87,Offers!$AF$7:$AF$3000,INT(COUNTIFS(Offers!$B$7:$B$3000,$B87,Offers!$C$7:$C$3000,$C87,Offers!$AH$7:$AH$3000,"yes")/2)+1))/2)</f>
        <v>12.8</v>
      </c>
      <c r="H87" s="92" t="n">
        <f aca="false">IF(COUNTIFS(Offers!$B$7:$B$3000,$B87,Offers!$C$7:$C$3000,$C87,Offers!$AH$7:$AH$3000,"yes")=0,"",SUMIFS(Offers!$H$7:$H$3000,Offers!$B$7:$B$3000,$B87,Offers!$C$7:$C$3000,$C87,Offers!$AF$7:$AF$3000,COUNTIFS(Offers!$B$7:$B$3000,$B87,Offers!$C$7:$C$3000,$C87,Offers!$AH$7:$AH$3000,"yes")))</f>
        <v>34.9</v>
      </c>
      <c r="I87" s="94" t="n">
        <f aca="false">IF(COUNTIFS(Offers!$B$7:$B$3000,$B87,Offers!$C$7:$C$3000,$C87,Offers!$AI$7:$AI$3000,"yes")=0,"",SUMIFS(Offers!$I$7:$I$3000,Offers!$B$7:$B$3000,$B87,Offers!$C$7:$C$3000,$C87,Offers!$AG$7:$AG$3000,1))</f>
        <v>8.8</v>
      </c>
      <c r="J87" s="95" t="n">
        <f aca="false">IF(COUNTIFS(Offers!$B$7:$B$3000,$B87,Offers!$C$7:$C$3000,$C87,Offers!$AI$7:$AI$3000,"yes")=0,"",(SUMIFS(Offers!$I$7:$I$3000,Offers!$B$7:$B$3000,$B87,Offers!$C$7:$C$3000,$C87,Offers!$AG$7:$AG$3000,ROUNDUP(COUNTIFS(Offers!$B$7:$B$3000,$B87,Offers!$C$7:$C$3000,$C87,Offers!$AI$7:$AI$3000,"yes")/2,0))+SUMIFS(Offers!$I$7:$I$3000,Offers!$B$7:$B$3000,$B87,Offers!$C$7:$C$3000,$C87,Offers!$AG$7:$AG$3000,INT(COUNTIFS(Offers!$B$7:$B$3000,$B87,Offers!$C$7:$C$3000,$C87,Offers!$AI$7:$AI$3000,"yes")/2)+1))/2)</f>
        <v>12.8</v>
      </c>
      <c r="K87" s="94" t="n">
        <f aca="false">IF(COUNTIFS(Offers!$B$7:$B$3000,$B87,Offers!$C$7:$C$3000,$C87,Offers!$AI$7:$AI$3000,"yes")=0,"",SUMIFS(Offers!$I$7:$I$3000,Offers!$B$7:$B$3000,$B87,Offers!$C$7:$C$3000,$C87,Offers!$AG$7:$AG$3000,COUNTIFS(Offers!$B$7:$B$3000,$B87,Offers!$C$7:$C$3000,$C87,Offers!$AI$7:$AI$3000,"yes")))</f>
        <v>34.9</v>
      </c>
      <c r="L87" s="96"/>
      <c r="M87" s="96"/>
      <c r="N87" s="96"/>
      <c r="O87" s="97" t="n">
        <f aca="false">IF(Compare!$E$5="Local prices",IF(F87="","",IF(Compare!$C$5="Minimum",F87,IF(Compare!$C$5="Maximum",H87,G87))),IF(I87="","",IF(Compare!$C$5="Minimum",I87,IF(Compare!$C$5="Maximum",K87,J87))))</f>
        <v>12.8</v>
      </c>
    </row>
    <row r="88" customFormat="false" ht="39" hidden="false" customHeight="true" outlineLevel="0" collapsed="false">
      <c r="A88" s="3"/>
      <c r="B88" s="36" t="s">
        <v>37</v>
      </c>
      <c r="C88" s="98" t="s">
        <v>16</v>
      </c>
      <c r="D88" s="98" t="s">
        <v>244</v>
      </c>
      <c r="E88" s="98" t="s">
        <v>491</v>
      </c>
      <c r="F88" s="99" t="n">
        <f aca="false">IF(COUNTIFS(Offers!$B$7:$B$3000,$B88,Offers!$C$7:$C$3000,$C88,Offers!$AH$7:$AH$3000,"yes")=0,"",SUMIFS(Offers!$H$7:$H$3000,Offers!$B$7:$B$3000,$B88,Offers!$C$7:$C$3000,$C88,Offers!$AF$7:$AF$3000,1))</f>
        <v>9.37</v>
      </c>
      <c r="G88" s="93" t="n">
        <f aca="false">IF(COUNTIFS(Offers!$B$7:$B$3000,$B88,Offers!$C$7:$C$3000,$C88,Offers!$AH$7:$AH$3000,"yes")=0,"",(SUMIFS(Offers!$H$7:$H$3000,Offers!$B$7:$B$3000,$B88,Offers!$C$7:$C$3000,$C88,Offers!$AF$7:$AF$3000,ROUNDUP(COUNTIFS(Offers!$B$7:$B$3000,$B88,Offers!$C$7:$C$3000,$C88,Offers!$AH$7:$AH$3000,"yes")/2,0))+SUMIFS(Offers!$H$7:$H$3000,Offers!$B$7:$B$3000,$B88,Offers!$C$7:$C$3000,$C88,Offers!$AF$7:$AF$3000,INT(COUNTIFS(Offers!$B$7:$B$3000,$B88,Offers!$C$7:$C$3000,$C88,Offers!$AH$7:$AH$3000,"yes")/2)+1))/2)</f>
        <v>11.395</v>
      </c>
      <c r="H88" s="99" t="n">
        <f aca="false">IF(COUNTIFS(Offers!$B$7:$B$3000,$B88,Offers!$C$7:$C$3000,$C88,Offers!$AH$7:$AH$3000,"yes")=0,"",SUMIFS(Offers!$H$7:$H$3000,Offers!$B$7:$B$3000,$B88,Offers!$C$7:$C$3000,$C88,Offers!$AF$7:$AF$3000,COUNTIFS(Offers!$B$7:$B$3000,$B88,Offers!$C$7:$C$3000,$C88,Offers!$AH$7:$AH$3000,"yes")))</f>
        <v>26.81</v>
      </c>
      <c r="I88" s="100" t="n">
        <f aca="false">IF(COUNTIFS(Offers!$B$7:$B$3000,$B88,Offers!$C$7:$C$3000,$C88,Offers!$AI$7:$AI$3000,"yes")=0,"",SUMIFS(Offers!$I$7:$I$3000,Offers!$B$7:$B$3000,$B88,Offers!$C$7:$C$3000,$C88,Offers!$AG$7:$AG$3000,1))</f>
        <v>9.37</v>
      </c>
      <c r="J88" s="95" t="n">
        <f aca="false">IF(COUNTIFS(Offers!$B$7:$B$3000,$B88,Offers!$C$7:$C$3000,$C88,Offers!$AI$7:$AI$3000,"yes")=0,"",(SUMIFS(Offers!$I$7:$I$3000,Offers!$B$7:$B$3000,$B88,Offers!$C$7:$C$3000,$C88,Offers!$AG$7:$AG$3000,ROUNDUP(COUNTIFS(Offers!$B$7:$B$3000,$B88,Offers!$C$7:$C$3000,$C88,Offers!$AI$7:$AI$3000,"yes")/2,0))+SUMIFS(Offers!$I$7:$I$3000,Offers!$B$7:$B$3000,$B88,Offers!$C$7:$C$3000,$C88,Offers!$AG$7:$AG$3000,INT(COUNTIFS(Offers!$B$7:$B$3000,$B88,Offers!$C$7:$C$3000,$C88,Offers!$AI$7:$AI$3000,"yes")/2)+1))/2)</f>
        <v>11.395</v>
      </c>
      <c r="K88" s="100" t="n">
        <f aca="false">IF(COUNTIFS(Offers!$B$7:$B$3000,$B88,Offers!$C$7:$C$3000,$C88,Offers!$AI$7:$AI$3000,"yes")=0,"",SUMIFS(Offers!$I$7:$I$3000,Offers!$B$7:$B$3000,$B88,Offers!$C$7:$C$3000,$C88,Offers!$AG$7:$AG$3000,COUNTIFS(Offers!$B$7:$B$3000,$B88,Offers!$C$7:$C$3000,$C88,Offers!$AI$7:$AI$3000,"yes")))</f>
        <v>26.81</v>
      </c>
      <c r="L88" s="96"/>
      <c r="M88" s="96"/>
      <c r="N88" s="96"/>
      <c r="O88" s="101" t="n">
        <f aca="false">IF(Compare!$E$5="Local prices",IF(F88="","",IF(Compare!$C$5="Minimum",F88,IF(Compare!$C$5="Maximum",H88,G88))),IF(I88="","",IF(Compare!$C$5="Minimum",I88,IF(Compare!$C$5="Maximum",K88,J88))))</f>
        <v>11.395</v>
      </c>
    </row>
    <row r="89" customFormat="false" ht="39" hidden="false" customHeight="true" outlineLevel="0" collapsed="false">
      <c r="A89" s="3"/>
      <c r="B89" s="31" t="s">
        <v>37</v>
      </c>
      <c r="C89" s="91" t="s">
        <v>17</v>
      </c>
      <c r="D89" s="91" t="s">
        <v>333</v>
      </c>
      <c r="E89" s="91" t="s">
        <v>491</v>
      </c>
      <c r="F89" s="92" t="n">
        <f aca="false">IF(COUNTIFS(Offers!$B$7:$B$3000,$B89,Offers!$C$7:$C$3000,$C89,Offers!$AH$7:$AH$3000,"yes")=0,"",SUMIFS(Offers!$H$7:$H$3000,Offers!$B$7:$B$3000,$B89,Offers!$C$7:$C$3000,$C89,Offers!$AF$7:$AF$3000,1))</f>
        <v>219.02</v>
      </c>
      <c r="G89" s="93" t="n">
        <f aca="false">IF(COUNTIFS(Offers!$B$7:$B$3000,$B89,Offers!$C$7:$C$3000,$C89,Offers!$AH$7:$AH$3000,"yes")=0,"",(SUMIFS(Offers!$H$7:$H$3000,Offers!$B$7:$B$3000,$B89,Offers!$C$7:$C$3000,$C89,Offers!$AF$7:$AF$3000,ROUNDUP(COUNTIFS(Offers!$B$7:$B$3000,$B89,Offers!$C$7:$C$3000,$C89,Offers!$AH$7:$AH$3000,"yes")/2,0))+SUMIFS(Offers!$H$7:$H$3000,Offers!$B$7:$B$3000,$B89,Offers!$C$7:$C$3000,$C89,Offers!$AF$7:$AF$3000,INT(COUNTIFS(Offers!$B$7:$B$3000,$B89,Offers!$C$7:$C$3000,$C89,Offers!$AH$7:$AH$3000,"yes")/2)+1))/2)</f>
        <v>257.855</v>
      </c>
      <c r="H89" s="92" t="n">
        <f aca="false">IF(COUNTIFS(Offers!$B$7:$B$3000,$B89,Offers!$C$7:$C$3000,$C89,Offers!$AH$7:$AH$3000,"yes")=0,"",SUMIFS(Offers!$H$7:$H$3000,Offers!$B$7:$B$3000,$B89,Offers!$C$7:$C$3000,$C89,Offers!$AF$7:$AF$3000,COUNTIFS(Offers!$B$7:$B$3000,$B89,Offers!$C$7:$C$3000,$C89,Offers!$AH$7:$AH$3000,"yes")))</f>
        <v>391</v>
      </c>
      <c r="I89" s="94" t="n">
        <f aca="false">IF(COUNTIFS(Offers!$B$7:$B$3000,$B89,Offers!$C$7:$C$3000,$C89,Offers!$AI$7:$AI$3000,"yes")=0,"",SUMIFS(Offers!$I$7:$I$3000,Offers!$B$7:$B$3000,$B89,Offers!$C$7:$C$3000,$C89,Offers!$AG$7:$AG$3000,1))</f>
        <v>8.96755</v>
      </c>
      <c r="J89" s="95" t="n">
        <f aca="false">IF(COUNTIFS(Offers!$B$7:$B$3000,$B89,Offers!$C$7:$C$3000,$C89,Offers!$AI$7:$AI$3000,"yes")=0,"",(SUMIFS(Offers!$I$7:$I$3000,Offers!$B$7:$B$3000,$B89,Offers!$C$7:$C$3000,$C89,Offers!$AG$7:$AG$3000,ROUNDUP(COUNTIFS(Offers!$B$7:$B$3000,$B89,Offers!$C$7:$C$3000,$C89,Offers!$AI$7:$AI$3000,"yes")/2,0))+SUMIFS(Offers!$I$7:$I$3000,Offers!$B$7:$B$3000,$B89,Offers!$C$7:$C$3000,$C89,Offers!$AG$7:$AG$3000,INT(COUNTIFS(Offers!$B$7:$B$3000,$B89,Offers!$C$7:$C$3000,$C89,Offers!$AI$7:$AI$3000,"yes")/2)+1))/2)</f>
        <v>10.5576095</v>
      </c>
      <c r="K89" s="94" t="n">
        <f aca="false">IF(COUNTIFS(Offers!$B$7:$B$3000,$B89,Offers!$C$7:$C$3000,$C89,Offers!$AI$7:$AI$3000,"yes")=0,"",SUMIFS(Offers!$I$7:$I$3000,Offers!$B$7:$B$3000,$B89,Offers!$C$7:$C$3000,$C89,Offers!$AG$7:$AG$3000,COUNTIFS(Offers!$B$7:$B$3000,$B89,Offers!$C$7:$C$3000,$C89,Offers!$AI$7:$AI$3000,"yes")))</f>
        <v>16.009096</v>
      </c>
      <c r="L89" s="96"/>
      <c r="M89" s="96"/>
      <c r="N89" s="96"/>
      <c r="O89" s="97" t="n">
        <f aca="false">IF(Compare!$E$5="Local prices",IF(F89="","",IF(Compare!$C$5="Minimum",F89,IF(Compare!$C$5="Maximum",H89,G89))),IF(I89="","",IF(Compare!$C$5="Minimum",I89,IF(Compare!$C$5="Maximum",K89,J89))))</f>
        <v>10.5576095</v>
      </c>
    </row>
    <row r="90" customFormat="false" ht="39" hidden="false" customHeight="true" outlineLevel="0" collapsed="false">
      <c r="A90" s="3"/>
      <c r="B90" s="36" t="s">
        <v>37</v>
      </c>
      <c r="C90" s="98" t="s">
        <v>18</v>
      </c>
      <c r="D90" s="98" t="s">
        <v>244</v>
      </c>
      <c r="E90" s="98" t="s">
        <v>491</v>
      </c>
      <c r="F90" s="99" t="n">
        <f aca="false">IF(COUNTIFS(Offers!$B$7:$B$3000,$B90,Offers!$C$7:$C$3000,$C90,Offers!$AH$7:$AH$3000,"yes")=0,"",SUMIFS(Offers!$H$7:$H$3000,Offers!$B$7:$B$3000,$B90,Offers!$C$7:$C$3000,$C90,Offers!$AF$7:$AF$3000,1))</f>
        <v>15.21</v>
      </c>
      <c r="G90" s="93" t="n">
        <f aca="false">IF(COUNTIFS(Offers!$B$7:$B$3000,$B90,Offers!$C$7:$C$3000,$C90,Offers!$AH$7:$AH$3000,"yes")=0,"",(SUMIFS(Offers!$H$7:$H$3000,Offers!$B$7:$B$3000,$B90,Offers!$C$7:$C$3000,$C90,Offers!$AF$7:$AF$3000,ROUNDUP(COUNTIFS(Offers!$B$7:$B$3000,$B90,Offers!$C$7:$C$3000,$C90,Offers!$AH$7:$AH$3000,"yes")/2,0))+SUMIFS(Offers!$H$7:$H$3000,Offers!$B$7:$B$3000,$B90,Offers!$C$7:$C$3000,$C90,Offers!$AF$7:$AF$3000,INT(COUNTIFS(Offers!$B$7:$B$3000,$B90,Offers!$C$7:$C$3000,$C90,Offers!$AH$7:$AH$3000,"yes")/2)+1))/2)</f>
        <v>15.21</v>
      </c>
      <c r="H90" s="99" t="n">
        <f aca="false">IF(COUNTIFS(Offers!$B$7:$B$3000,$B90,Offers!$C$7:$C$3000,$C90,Offers!$AH$7:$AH$3000,"yes")=0,"",SUMIFS(Offers!$H$7:$H$3000,Offers!$B$7:$B$3000,$B90,Offers!$C$7:$C$3000,$C90,Offers!$AF$7:$AF$3000,COUNTIFS(Offers!$B$7:$B$3000,$B90,Offers!$C$7:$C$3000,$C90,Offers!$AH$7:$AH$3000,"yes")))</f>
        <v>15.21</v>
      </c>
      <c r="I90" s="100" t="n">
        <f aca="false">IF(COUNTIFS(Offers!$B$7:$B$3000,$B90,Offers!$C$7:$C$3000,$C90,Offers!$AI$7:$AI$3000,"yes")=0,"",SUMIFS(Offers!$I$7:$I$3000,Offers!$B$7:$B$3000,$B90,Offers!$C$7:$C$3000,$C90,Offers!$AG$7:$AG$3000,1))</f>
        <v>15.21</v>
      </c>
      <c r="J90" s="95" t="n">
        <f aca="false">IF(COUNTIFS(Offers!$B$7:$B$3000,$B90,Offers!$C$7:$C$3000,$C90,Offers!$AI$7:$AI$3000,"yes")=0,"",(SUMIFS(Offers!$I$7:$I$3000,Offers!$B$7:$B$3000,$B90,Offers!$C$7:$C$3000,$C90,Offers!$AG$7:$AG$3000,ROUNDUP(COUNTIFS(Offers!$B$7:$B$3000,$B90,Offers!$C$7:$C$3000,$C90,Offers!$AI$7:$AI$3000,"yes")/2,0))+SUMIFS(Offers!$I$7:$I$3000,Offers!$B$7:$B$3000,$B90,Offers!$C$7:$C$3000,$C90,Offers!$AG$7:$AG$3000,INT(COUNTIFS(Offers!$B$7:$B$3000,$B90,Offers!$C$7:$C$3000,$C90,Offers!$AI$7:$AI$3000,"yes")/2)+1))/2)</f>
        <v>15.21</v>
      </c>
      <c r="K90" s="100" t="n">
        <f aca="false">IF(COUNTIFS(Offers!$B$7:$B$3000,$B90,Offers!$C$7:$C$3000,$C90,Offers!$AI$7:$AI$3000,"yes")=0,"",SUMIFS(Offers!$I$7:$I$3000,Offers!$B$7:$B$3000,$B90,Offers!$C$7:$C$3000,$C90,Offers!$AG$7:$AG$3000,COUNTIFS(Offers!$B$7:$B$3000,$B90,Offers!$C$7:$C$3000,$C90,Offers!$AI$7:$AI$3000,"yes")))</f>
        <v>15.21</v>
      </c>
      <c r="L90" s="96"/>
      <c r="M90" s="96"/>
      <c r="N90" s="96"/>
      <c r="O90" s="101" t="n">
        <f aca="false">IF(Compare!$E$5="Local prices",IF(F90="","",IF(Compare!$C$5="Minimum",F90,IF(Compare!$C$5="Maximum",H90,G90))),IF(I90="","",IF(Compare!$C$5="Minimum",I90,IF(Compare!$C$5="Maximum",K90,J90))))</f>
        <v>15.21</v>
      </c>
    </row>
    <row r="91" customFormat="false" ht="39" hidden="false" customHeight="true" outlineLevel="0" collapsed="false">
      <c r="A91" s="3"/>
      <c r="B91" s="102" t="s">
        <v>39</v>
      </c>
      <c r="C91" s="103" t="s">
        <v>13</v>
      </c>
      <c r="D91" s="103" t="s">
        <v>490</v>
      </c>
      <c r="E91" s="103" t="s">
        <v>491</v>
      </c>
      <c r="F91" s="104" t="str">
        <f aca="false">IF(COUNTIFS(Offers!$B$7:$B$3000,$B91,Offers!$C$7:$C$3000,$C91,Offers!$AH$7:$AH$3000,"yes")=0,"",SUMIFS(Offers!$H$7:$H$3000,Offers!$B$7:$B$3000,$B91,Offers!$C$7:$C$3000,$C91,Offers!$AF$7:$AF$3000,1))</f>
        <v/>
      </c>
      <c r="G91" s="105" t="str">
        <f aca="false">IF(COUNTIFS(Offers!$B$7:$B$3000,$B91,Offers!$C$7:$C$3000,$C91,Offers!$AH$7:$AH$3000,"yes")=0,"",(SUMIFS(Offers!$H$7:$H$3000,Offers!$B$7:$B$3000,$B91,Offers!$C$7:$C$3000,$C91,Offers!$AF$7:$AF$3000,ROUNDUP(COUNTIFS(Offers!$B$7:$B$3000,$B91,Offers!$C$7:$C$3000,$C91,Offers!$AH$7:$AH$3000,"yes")/2,0))+SUMIFS(Offers!$H$7:$H$3000,Offers!$B$7:$B$3000,$B91,Offers!$C$7:$C$3000,$C91,Offers!$AF$7:$AF$3000,INT(COUNTIFS(Offers!$B$7:$B$3000,$B91,Offers!$C$7:$C$3000,$C91,Offers!$AH$7:$AH$3000,"yes")/2)+1))/2)</f>
        <v/>
      </c>
      <c r="H91" s="104" t="str">
        <f aca="false">IF(COUNTIFS(Offers!$B$7:$B$3000,$B91,Offers!$C$7:$C$3000,$C91,Offers!$AH$7:$AH$3000,"yes")=0,"",SUMIFS(Offers!$H$7:$H$3000,Offers!$B$7:$B$3000,$B91,Offers!$C$7:$C$3000,$C91,Offers!$AF$7:$AF$3000,COUNTIFS(Offers!$B$7:$B$3000,$B91,Offers!$C$7:$C$3000,$C91,Offers!$AH$7:$AH$3000,"yes")))</f>
        <v/>
      </c>
      <c r="I91" s="106" t="str">
        <f aca="false">IF(COUNTIFS(Offers!$B$7:$B$3000,$B91,Offers!$C$7:$C$3000,$C91,Offers!$AI$7:$AI$3000,"yes")=0,"",SUMIFS(Offers!$I$7:$I$3000,Offers!$B$7:$B$3000,$B91,Offers!$C$7:$C$3000,$C91,Offers!$AG$7:$AG$3000,1))</f>
        <v/>
      </c>
      <c r="J91" s="107" t="str">
        <f aca="false">IF(COUNTIFS(Offers!$B$7:$B$3000,$B91,Offers!$C$7:$C$3000,$C91,Offers!$AI$7:$AI$3000,"yes")=0,"",(SUMIFS(Offers!$I$7:$I$3000,Offers!$B$7:$B$3000,$B91,Offers!$C$7:$C$3000,$C91,Offers!$AG$7:$AG$3000,ROUNDUP(COUNTIFS(Offers!$B$7:$B$3000,$B91,Offers!$C$7:$C$3000,$C91,Offers!$AI$7:$AI$3000,"yes")/2,0))+SUMIFS(Offers!$I$7:$I$3000,Offers!$B$7:$B$3000,$B91,Offers!$C$7:$C$3000,$C91,Offers!$AG$7:$AG$3000,INT(COUNTIFS(Offers!$B$7:$B$3000,$B91,Offers!$C$7:$C$3000,$C91,Offers!$AI$7:$AI$3000,"yes")/2)+1))/2)</f>
        <v/>
      </c>
      <c r="K91" s="106" t="str">
        <f aca="false">IF(COUNTIFS(Offers!$B$7:$B$3000,$B91,Offers!$C$7:$C$3000,$C91,Offers!$AI$7:$AI$3000,"yes")=0,"",SUMIFS(Offers!$I$7:$I$3000,Offers!$B$7:$B$3000,$B91,Offers!$C$7:$C$3000,$C91,Offers!$AG$7:$AG$3000,COUNTIFS(Offers!$B$7:$B$3000,$B91,Offers!$C$7:$C$3000,$C91,Offers!$AI$7:$AI$3000,"yes")))</f>
        <v/>
      </c>
      <c r="L91" s="108"/>
      <c r="M91" s="108"/>
      <c r="N91" s="108"/>
      <c r="O91" s="109" t="str">
        <f aca="false">IF(Compare!$E$5="Local prices",IF(F91="","",IF(Compare!$C$5="Minimum",F91,IF(Compare!$C$5="Maximum",H91,G91))),IF(I91="","",IF(Compare!$C$5="Minimum",I91,IF(Compare!$C$5="Maximum",K91,J91))))</f>
        <v/>
      </c>
    </row>
    <row r="92" customFormat="false" ht="39" hidden="false" customHeight="true" outlineLevel="0" collapsed="false">
      <c r="A92" s="3"/>
      <c r="B92" s="36" t="s">
        <v>39</v>
      </c>
      <c r="C92" s="98" t="s">
        <v>14</v>
      </c>
      <c r="D92" s="98" t="s">
        <v>374</v>
      </c>
      <c r="E92" s="98" t="s">
        <v>491</v>
      </c>
      <c r="F92" s="99" t="str">
        <f aca="false">IF(COUNTIFS(Offers!$B$7:$B$3000,$B92,Offers!$C$7:$C$3000,$C92,Offers!$AH$7:$AH$3000,"yes")=0,"",SUMIFS(Offers!$H$7:$H$3000,Offers!$B$7:$B$3000,$B92,Offers!$C$7:$C$3000,$C92,Offers!$AF$7:$AF$3000,1))</f>
        <v/>
      </c>
      <c r="G92" s="93" t="str">
        <f aca="false">IF(COUNTIFS(Offers!$B$7:$B$3000,$B92,Offers!$C$7:$C$3000,$C92,Offers!$AH$7:$AH$3000,"yes")=0,"",(SUMIFS(Offers!$H$7:$H$3000,Offers!$B$7:$B$3000,$B92,Offers!$C$7:$C$3000,$C92,Offers!$AF$7:$AF$3000,ROUNDUP(COUNTIFS(Offers!$B$7:$B$3000,$B92,Offers!$C$7:$C$3000,$C92,Offers!$AH$7:$AH$3000,"yes")/2,0))+SUMIFS(Offers!$H$7:$H$3000,Offers!$B$7:$B$3000,$B92,Offers!$C$7:$C$3000,$C92,Offers!$AF$7:$AF$3000,INT(COUNTIFS(Offers!$B$7:$B$3000,$B92,Offers!$C$7:$C$3000,$C92,Offers!$AH$7:$AH$3000,"yes")/2)+1))/2)</f>
        <v/>
      </c>
      <c r="H92" s="99" t="str">
        <f aca="false">IF(COUNTIFS(Offers!$B$7:$B$3000,$B92,Offers!$C$7:$C$3000,$C92,Offers!$AH$7:$AH$3000,"yes")=0,"",SUMIFS(Offers!$H$7:$H$3000,Offers!$B$7:$B$3000,$B92,Offers!$C$7:$C$3000,$C92,Offers!$AF$7:$AF$3000,COUNTIFS(Offers!$B$7:$B$3000,$B92,Offers!$C$7:$C$3000,$C92,Offers!$AH$7:$AH$3000,"yes")))</f>
        <v/>
      </c>
      <c r="I92" s="100" t="str">
        <f aca="false">IF(COUNTIFS(Offers!$B$7:$B$3000,$B92,Offers!$C$7:$C$3000,$C92,Offers!$AI$7:$AI$3000,"yes")=0,"",SUMIFS(Offers!$I$7:$I$3000,Offers!$B$7:$B$3000,$B92,Offers!$C$7:$C$3000,$C92,Offers!$AG$7:$AG$3000,1))</f>
        <v/>
      </c>
      <c r="J92" s="95" t="str">
        <f aca="false">IF(COUNTIFS(Offers!$B$7:$B$3000,$B92,Offers!$C$7:$C$3000,$C92,Offers!$AI$7:$AI$3000,"yes")=0,"",(SUMIFS(Offers!$I$7:$I$3000,Offers!$B$7:$B$3000,$B92,Offers!$C$7:$C$3000,$C92,Offers!$AG$7:$AG$3000,ROUNDUP(COUNTIFS(Offers!$B$7:$B$3000,$B92,Offers!$C$7:$C$3000,$C92,Offers!$AI$7:$AI$3000,"yes")/2,0))+SUMIFS(Offers!$I$7:$I$3000,Offers!$B$7:$B$3000,$B92,Offers!$C$7:$C$3000,$C92,Offers!$AG$7:$AG$3000,INT(COUNTIFS(Offers!$B$7:$B$3000,$B92,Offers!$C$7:$C$3000,$C92,Offers!$AI$7:$AI$3000,"yes")/2)+1))/2)</f>
        <v/>
      </c>
      <c r="K92" s="100" t="str">
        <f aca="false">IF(COUNTIFS(Offers!$B$7:$B$3000,$B92,Offers!$C$7:$C$3000,$C92,Offers!$AI$7:$AI$3000,"yes")=0,"",SUMIFS(Offers!$I$7:$I$3000,Offers!$B$7:$B$3000,$B92,Offers!$C$7:$C$3000,$C92,Offers!$AG$7:$AG$3000,COUNTIFS(Offers!$B$7:$B$3000,$B92,Offers!$C$7:$C$3000,$C92,Offers!$AI$7:$AI$3000,"yes")))</f>
        <v/>
      </c>
      <c r="L92" s="96"/>
      <c r="M92" s="96"/>
      <c r="N92" s="96"/>
      <c r="O92" s="110" t="str">
        <f aca="false">IF(Compare!$E$5="Local prices",IF(F92="","",IF(Compare!$C$5="Minimum",F92,IF(Compare!$C$5="Maximum",H92,G92))),IF(I92="","",IF(Compare!$C$5="Minimum",I92,IF(Compare!$C$5="Maximum",K92,J92))))</f>
        <v/>
      </c>
    </row>
    <row r="93" customFormat="false" ht="39" hidden="false" customHeight="true" outlineLevel="0" collapsed="false">
      <c r="A93" s="3"/>
      <c r="B93" s="31" t="s">
        <v>39</v>
      </c>
      <c r="C93" s="91" t="s">
        <v>15</v>
      </c>
      <c r="D93" s="91" t="s">
        <v>244</v>
      </c>
      <c r="E93" s="91" t="s">
        <v>491</v>
      </c>
      <c r="F93" s="92" t="n">
        <f aca="false">IF(COUNTIFS(Offers!$B$7:$B$3000,$B93,Offers!$C$7:$C$3000,$C93,Offers!$AH$7:$AH$3000,"yes")=0,"",SUMIFS(Offers!$H$7:$H$3000,Offers!$B$7:$B$3000,$B93,Offers!$C$7:$C$3000,$C93,Offers!$AF$7:$AF$3000,1))</f>
        <v>169.9</v>
      </c>
      <c r="G93" s="93" t="n">
        <f aca="false">IF(COUNTIFS(Offers!$B$7:$B$3000,$B93,Offers!$C$7:$C$3000,$C93,Offers!$AH$7:$AH$3000,"yes")=0,"",(SUMIFS(Offers!$H$7:$H$3000,Offers!$B$7:$B$3000,$B93,Offers!$C$7:$C$3000,$C93,Offers!$AF$7:$AF$3000,ROUNDUP(COUNTIFS(Offers!$B$7:$B$3000,$B93,Offers!$C$7:$C$3000,$C93,Offers!$AH$7:$AH$3000,"yes")/2,0))+SUMIFS(Offers!$H$7:$H$3000,Offers!$B$7:$B$3000,$B93,Offers!$C$7:$C$3000,$C93,Offers!$AF$7:$AF$3000,INT(COUNTIFS(Offers!$B$7:$B$3000,$B93,Offers!$C$7:$C$3000,$C93,Offers!$AH$7:$AH$3000,"yes")/2)+1))/2)</f>
        <v>260.435</v>
      </c>
      <c r="H93" s="92" t="n">
        <f aca="false">IF(COUNTIFS(Offers!$B$7:$B$3000,$B93,Offers!$C$7:$C$3000,$C93,Offers!$AH$7:$AH$3000,"yes")=0,"",SUMIFS(Offers!$H$7:$H$3000,Offers!$B$7:$B$3000,$B93,Offers!$C$7:$C$3000,$C93,Offers!$AF$7:$AF$3000,COUNTIFS(Offers!$B$7:$B$3000,$B93,Offers!$C$7:$C$3000,$C93,Offers!$AH$7:$AH$3000,"yes")))</f>
        <v>299</v>
      </c>
      <c r="I93" s="94" t="n">
        <f aca="false">IF(COUNTIFS(Offers!$B$7:$B$3000,$B93,Offers!$C$7:$C$3000,$C93,Offers!$AI$7:$AI$3000,"yes")=0,"",SUMIFS(Offers!$I$7:$I$3000,Offers!$B$7:$B$3000,$B93,Offers!$C$7:$C$3000,$C93,Offers!$AG$7:$AG$3000,1))</f>
        <v>169.9</v>
      </c>
      <c r="J93" s="95" t="n">
        <f aca="false">IF(COUNTIFS(Offers!$B$7:$B$3000,$B93,Offers!$C$7:$C$3000,$C93,Offers!$AI$7:$AI$3000,"yes")=0,"",(SUMIFS(Offers!$I$7:$I$3000,Offers!$B$7:$B$3000,$B93,Offers!$C$7:$C$3000,$C93,Offers!$AG$7:$AG$3000,ROUNDUP(COUNTIFS(Offers!$B$7:$B$3000,$B93,Offers!$C$7:$C$3000,$C93,Offers!$AI$7:$AI$3000,"yes")/2,0))+SUMIFS(Offers!$I$7:$I$3000,Offers!$B$7:$B$3000,$B93,Offers!$C$7:$C$3000,$C93,Offers!$AG$7:$AG$3000,INT(COUNTIFS(Offers!$B$7:$B$3000,$B93,Offers!$C$7:$C$3000,$C93,Offers!$AI$7:$AI$3000,"yes")/2)+1))/2)</f>
        <v>260.435</v>
      </c>
      <c r="K93" s="94" t="n">
        <f aca="false">IF(COUNTIFS(Offers!$B$7:$B$3000,$B93,Offers!$C$7:$C$3000,$C93,Offers!$AI$7:$AI$3000,"yes")=0,"",SUMIFS(Offers!$I$7:$I$3000,Offers!$B$7:$B$3000,$B93,Offers!$C$7:$C$3000,$C93,Offers!$AG$7:$AG$3000,COUNTIFS(Offers!$B$7:$B$3000,$B93,Offers!$C$7:$C$3000,$C93,Offers!$AI$7:$AI$3000,"yes")))</f>
        <v>299</v>
      </c>
      <c r="L93" s="96"/>
      <c r="M93" s="96"/>
      <c r="N93" s="96"/>
      <c r="O93" s="97" t="n">
        <f aca="false">IF(Compare!$E$5="Local prices",IF(F93="","",IF(Compare!$C$5="Minimum",F93,IF(Compare!$C$5="Maximum",H93,G93))),IF(I93="","",IF(Compare!$C$5="Minimum",I93,IF(Compare!$C$5="Maximum",K93,J93))))</f>
        <v>260.435</v>
      </c>
    </row>
    <row r="94" customFormat="false" ht="39" hidden="false" customHeight="true" outlineLevel="0" collapsed="false">
      <c r="A94" s="3"/>
      <c r="B94" s="36" t="s">
        <v>39</v>
      </c>
      <c r="C94" s="98" t="s">
        <v>16</v>
      </c>
      <c r="D94" s="98" t="s">
        <v>244</v>
      </c>
      <c r="E94" s="98" t="s">
        <v>491</v>
      </c>
      <c r="F94" s="99" t="n">
        <f aca="false">IF(COUNTIFS(Offers!$B$7:$B$3000,$B94,Offers!$C$7:$C$3000,$C94,Offers!$AH$7:$AH$3000,"yes")=0,"",SUMIFS(Offers!$H$7:$H$3000,Offers!$B$7:$B$3000,$B94,Offers!$C$7:$C$3000,$C94,Offers!$AF$7:$AF$3000,1))</f>
        <v>169.9</v>
      </c>
      <c r="G94" s="93" t="n">
        <f aca="false">IF(COUNTIFS(Offers!$B$7:$B$3000,$B94,Offers!$C$7:$C$3000,$C94,Offers!$AH$7:$AH$3000,"yes")=0,"",(SUMIFS(Offers!$H$7:$H$3000,Offers!$B$7:$B$3000,$B94,Offers!$C$7:$C$3000,$C94,Offers!$AF$7:$AF$3000,ROUNDUP(COUNTIFS(Offers!$B$7:$B$3000,$B94,Offers!$C$7:$C$3000,$C94,Offers!$AH$7:$AH$3000,"yes")/2,0))+SUMIFS(Offers!$H$7:$H$3000,Offers!$B$7:$B$3000,$B94,Offers!$C$7:$C$3000,$C94,Offers!$AF$7:$AF$3000,INT(COUNTIFS(Offers!$B$7:$B$3000,$B94,Offers!$C$7:$C$3000,$C94,Offers!$AH$7:$AH$3000,"yes")/2)+1))/2)</f>
        <v>252.97</v>
      </c>
      <c r="H94" s="99" t="n">
        <f aca="false">IF(COUNTIFS(Offers!$B$7:$B$3000,$B94,Offers!$C$7:$C$3000,$C94,Offers!$AH$7:$AH$3000,"yes")=0,"",SUMIFS(Offers!$H$7:$H$3000,Offers!$B$7:$B$3000,$B94,Offers!$C$7:$C$3000,$C94,Offers!$AF$7:$AF$3000,COUNTIFS(Offers!$B$7:$B$3000,$B94,Offers!$C$7:$C$3000,$C94,Offers!$AH$7:$AH$3000,"yes")))</f>
        <v>284</v>
      </c>
      <c r="I94" s="100" t="n">
        <f aca="false">IF(COUNTIFS(Offers!$B$7:$B$3000,$B94,Offers!$C$7:$C$3000,$C94,Offers!$AI$7:$AI$3000,"yes")=0,"",SUMIFS(Offers!$I$7:$I$3000,Offers!$B$7:$B$3000,$B94,Offers!$C$7:$C$3000,$C94,Offers!$AG$7:$AG$3000,1))</f>
        <v>169.9</v>
      </c>
      <c r="J94" s="95" t="n">
        <f aca="false">IF(COUNTIFS(Offers!$B$7:$B$3000,$B94,Offers!$C$7:$C$3000,$C94,Offers!$AI$7:$AI$3000,"yes")=0,"",(SUMIFS(Offers!$I$7:$I$3000,Offers!$B$7:$B$3000,$B94,Offers!$C$7:$C$3000,$C94,Offers!$AG$7:$AG$3000,ROUNDUP(COUNTIFS(Offers!$B$7:$B$3000,$B94,Offers!$C$7:$C$3000,$C94,Offers!$AI$7:$AI$3000,"yes")/2,0))+SUMIFS(Offers!$I$7:$I$3000,Offers!$B$7:$B$3000,$B94,Offers!$C$7:$C$3000,$C94,Offers!$AG$7:$AG$3000,INT(COUNTIFS(Offers!$B$7:$B$3000,$B94,Offers!$C$7:$C$3000,$C94,Offers!$AI$7:$AI$3000,"yes")/2)+1))/2)</f>
        <v>252.97</v>
      </c>
      <c r="K94" s="100" t="n">
        <f aca="false">IF(COUNTIFS(Offers!$B$7:$B$3000,$B94,Offers!$C$7:$C$3000,$C94,Offers!$AI$7:$AI$3000,"yes")=0,"",SUMIFS(Offers!$I$7:$I$3000,Offers!$B$7:$B$3000,$B94,Offers!$C$7:$C$3000,$C94,Offers!$AG$7:$AG$3000,COUNTIFS(Offers!$B$7:$B$3000,$B94,Offers!$C$7:$C$3000,$C94,Offers!$AI$7:$AI$3000,"yes")))</f>
        <v>284</v>
      </c>
      <c r="L94" s="96"/>
      <c r="M94" s="96"/>
      <c r="N94" s="96"/>
      <c r="O94" s="101" t="n">
        <f aca="false">IF(Compare!$E$5="Local prices",IF(F94="","",IF(Compare!$C$5="Minimum",F94,IF(Compare!$C$5="Maximum",H94,G94))),IF(I94="","",IF(Compare!$C$5="Minimum",I94,IF(Compare!$C$5="Maximum",K94,J94))))</f>
        <v>252.97</v>
      </c>
    </row>
    <row r="95" customFormat="false" ht="39" hidden="false" customHeight="true" outlineLevel="0" collapsed="false">
      <c r="A95" s="3"/>
      <c r="B95" s="31" t="s">
        <v>39</v>
      </c>
      <c r="C95" s="91" t="s">
        <v>17</v>
      </c>
      <c r="D95" s="91" t="s">
        <v>333</v>
      </c>
      <c r="E95" s="91" t="s">
        <v>491</v>
      </c>
      <c r="F95" s="92" t="n">
        <f aca="false">IF(COUNTIFS(Offers!$B$7:$B$3000,$B95,Offers!$C$7:$C$3000,$C95,Offers!$AH$7:$AH$3000,"yes")=0,"",SUMIFS(Offers!$H$7:$H$3000,Offers!$B$7:$B$3000,$B95,Offers!$C$7:$C$3000,$C95,Offers!$AF$7:$AF$3000,1))</f>
        <v>4088.71</v>
      </c>
      <c r="G95" s="93" t="n">
        <f aca="false">IF(COUNTIFS(Offers!$B$7:$B$3000,$B95,Offers!$C$7:$C$3000,$C95,Offers!$AH$7:$AH$3000,"yes")=0,"",(SUMIFS(Offers!$H$7:$H$3000,Offers!$B$7:$B$3000,$B95,Offers!$C$7:$C$3000,$C95,Offers!$AF$7:$AF$3000,ROUNDUP(COUNTIFS(Offers!$B$7:$B$3000,$B95,Offers!$C$7:$C$3000,$C95,Offers!$AH$7:$AH$3000,"yes")/2,0))+SUMIFS(Offers!$H$7:$H$3000,Offers!$B$7:$B$3000,$B95,Offers!$C$7:$C$3000,$C95,Offers!$AF$7:$AF$3000,INT(COUNTIFS(Offers!$B$7:$B$3000,$B95,Offers!$C$7:$C$3000,$C95,Offers!$AH$7:$AH$3000,"yes")/2)+1))/2)</f>
        <v>5507.895</v>
      </c>
      <c r="H95" s="92" t="n">
        <f aca="false">IF(COUNTIFS(Offers!$B$7:$B$3000,$B95,Offers!$C$7:$C$3000,$C95,Offers!$AH$7:$AH$3000,"yes")=0,"",SUMIFS(Offers!$H$7:$H$3000,Offers!$B$7:$B$3000,$B95,Offers!$C$7:$C$3000,$C95,Offers!$AF$7:$AF$3000,COUNTIFS(Offers!$B$7:$B$3000,$B95,Offers!$C$7:$C$3000,$C95,Offers!$AH$7:$AH$3000,"yes")))</f>
        <v>6447</v>
      </c>
      <c r="I95" s="94" t="n">
        <f aca="false">IF(COUNTIFS(Offers!$B$7:$B$3000,$B95,Offers!$C$7:$C$3000,$C95,Offers!$AI$7:$AI$3000,"yes")=0,"",SUMIFS(Offers!$I$7:$I$3000,Offers!$B$7:$B$3000,$B95,Offers!$C$7:$C$3000,$C95,Offers!$AG$7:$AG$3000,1))</f>
        <v>167.408055</v>
      </c>
      <c r="J95" s="95" t="n">
        <f aca="false">IF(COUNTIFS(Offers!$B$7:$B$3000,$B95,Offers!$C$7:$C$3000,$C95,Offers!$AI$7:$AI$3000,"yes")=0,"",(SUMIFS(Offers!$I$7:$I$3000,Offers!$B$7:$B$3000,$B95,Offers!$C$7:$C$3000,$C95,Offers!$AG$7:$AG$3000,ROUNDUP(COUNTIFS(Offers!$B$7:$B$3000,$B95,Offers!$C$7:$C$3000,$C95,Offers!$AI$7:$AI$3000,"yes")/2,0))+SUMIFS(Offers!$I$7:$I$3000,Offers!$B$7:$B$3000,$B95,Offers!$C$7:$C$3000,$C95,Offers!$AG$7:$AG$3000,INT(COUNTIFS(Offers!$B$7:$B$3000,$B95,Offers!$C$7:$C$3000,$C95,Offers!$AI$7:$AI$3000,"yes")/2)+1))/2)</f>
        <v>225.515135</v>
      </c>
      <c r="K95" s="94" t="n">
        <f aca="false">IF(COUNTIFS(Offers!$B$7:$B$3000,$B95,Offers!$C$7:$C$3000,$C95,Offers!$AI$7:$AI$3000,"yes")=0,"",SUMIFS(Offers!$I$7:$I$3000,Offers!$B$7:$B$3000,$B95,Offers!$C$7:$C$3000,$C95,Offers!$AG$7:$AG$3000,COUNTIFS(Offers!$B$7:$B$3000,$B95,Offers!$C$7:$C$3000,$C95,Offers!$AI$7:$AI$3000,"yes")))</f>
        <v>263.96583</v>
      </c>
      <c r="L95" s="96"/>
      <c r="M95" s="96"/>
      <c r="N95" s="96"/>
      <c r="O95" s="97" t="n">
        <f aca="false">IF(Compare!$E$5="Local prices",IF(F95="","",IF(Compare!$C$5="Minimum",F95,IF(Compare!$C$5="Maximum",H95,G95))),IF(I95="","",IF(Compare!$C$5="Minimum",I95,IF(Compare!$C$5="Maximum",K95,J95))))</f>
        <v>225.515135</v>
      </c>
    </row>
    <row r="96" customFormat="false" ht="39" hidden="false" customHeight="true" outlineLevel="0" collapsed="false">
      <c r="A96" s="3"/>
      <c r="B96" s="36" t="s">
        <v>39</v>
      </c>
      <c r="C96" s="98" t="s">
        <v>18</v>
      </c>
      <c r="D96" s="98" t="s">
        <v>244</v>
      </c>
      <c r="E96" s="98" t="s">
        <v>491</v>
      </c>
      <c r="F96" s="99" t="n">
        <f aca="false">IF(COUNTIFS(Offers!$B$7:$B$3000,$B96,Offers!$C$7:$C$3000,$C96,Offers!$AH$7:$AH$3000,"yes")=0,"",SUMIFS(Offers!$H$7:$H$3000,Offers!$B$7:$B$3000,$B96,Offers!$C$7:$C$3000,$C96,Offers!$AF$7:$AF$3000,1))</f>
        <v>186</v>
      </c>
      <c r="G96" s="93" t="n">
        <f aca="false">IF(COUNTIFS(Offers!$B$7:$B$3000,$B96,Offers!$C$7:$C$3000,$C96,Offers!$AH$7:$AH$3000,"yes")=0,"",(SUMIFS(Offers!$H$7:$H$3000,Offers!$B$7:$B$3000,$B96,Offers!$C$7:$C$3000,$C96,Offers!$AF$7:$AF$3000,ROUNDUP(COUNTIFS(Offers!$B$7:$B$3000,$B96,Offers!$C$7:$C$3000,$C96,Offers!$AH$7:$AH$3000,"yes")/2,0))+SUMIFS(Offers!$H$7:$H$3000,Offers!$B$7:$B$3000,$B96,Offers!$C$7:$C$3000,$C96,Offers!$AF$7:$AF$3000,INT(COUNTIFS(Offers!$B$7:$B$3000,$B96,Offers!$C$7:$C$3000,$C96,Offers!$AH$7:$AH$3000,"yes")/2)+1))/2)</f>
        <v>207.12</v>
      </c>
      <c r="H96" s="99" t="n">
        <f aca="false">IF(COUNTIFS(Offers!$B$7:$B$3000,$B96,Offers!$C$7:$C$3000,$C96,Offers!$AH$7:$AH$3000,"yes")=0,"",SUMIFS(Offers!$H$7:$H$3000,Offers!$B$7:$B$3000,$B96,Offers!$C$7:$C$3000,$C96,Offers!$AF$7:$AF$3000,COUNTIFS(Offers!$B$7:$B$3000,$B96,Offers!$C$7:$C$3000,$C96,Offers!$AH$7:$AH$3000,"yes")))</f>
        <v>228.24</v>
      </c>
      <c r="I96" s="100" t="n">
        <f aca="false">IF(COUNTIFS(Offers!$B$7:$B$3000,$B96,Offers!$C$7:$C$3000,$C96,Offers!$AI$7:$AI$3000,"yes")=0,"",SUMIFS(Offers!$I$7:$I$3000,Offers!$B$7:$B$3000,$B96,Offers!$C$7:$C$3000,$C96,Offers!$AG$7:$AG$3000,1))</f>
        <v>186</v>
      </c>
      <c r="J96" s="95" t="n">
        <f aca="false">IF(COUNTIFS(Offers!$B$7:$B$3000,$B96,Offers!$C$7:$C$3000,$C96,Offers!$AI$7:$AI$3000,"yes")=0,"",(SUMIFS(Offers!$I$7:$I$3000,Offers!$B$7:$B$3000,$B96,Offers!$C$7:$C$3000,$C96,Offers!$AG$7:$AG$3000,ROUNDUP(COUNTIFS(Offers!$B$7:$B$3000,$B96,Offers!$C$7:$C$3000,$C96,Offers!$AI$7:$AI$3000,"yes")/2,0))+SUMIFS(Offers!$I$7:$I$3000,Offers!$B$7:$B$3000,$B96,Offers!$C$7:$C$3000,$C96,Offers!$AG$7:$AG$3000,INT(COUNTIFS(Offers!$B$7:$B$3000,$B96,Offers!$C$7:$C$3000,$C96,Offers!$AI$7:$AI$3000,"yes")/2)+1))/2)</f>
        <v>207.12</v>
      </c>
      <c r="K96" s="100" t="n">
        <f aca="false">IF(COUNTIFS(Offers!$B$7:$B$3000,$B96,Offers!$C$7:$C$3000,$C96,Offers!$AI$7:$AI$3000,"yes")=0,"",SUMIFS(Offers!$I$7:$I$3000,Offers!$B$7:$B$3000,$B96,Offers!$C$7:$C$3000,$C96,Offers!$AG$7:$AG$3000,COUNTIFS(Offers!$B$7:$B$3000,$B96,Offers!$C$7:$C$3000,$C96,Offers!$AI$7:$AI$3000,"yes")))</f>
        <v>228.24</v>
      </c>
      <c r="L96" s="96"/>
      <c r="M96" s="96"/>
      <c r="N96" s="96"/>
      <c r="O96" s="101" t="n">
        <f aca="false">IF(Compare!$E$5="Local prices",IF(F96="","",IF(Compare!$C$5="Minimum",F96,IF(Compare!$C$5="Maximum",H96,G96))),IF(I96="","",IF(Compare!$C$5="Minimum",I96,IF(Compare!$C$5="Maximum",K96,J96))))</f>
        <v>207.12</v>
      </c>
    </row>
    <row r="97" customFormat="false" ht="39" hidden="false" customHeight="true" outlineLevel="0" collapsed="false">
      <c r="A97" s="3"/>
      <c r="B97" s="102" t="s">
        <v>40</v>
      </c>
      <c r="C97" s="103" t="s">
        <v>13</v>
      </c>
      <c r="D97" s="103" t="s">
        <v>490</v>
      </c>
      <c r="E97" s="103" t="s">
        <v>491</v>
      </c>
      <c r="F97" s="104" t="str">
        <f aca="false">IF(COUNTIFS(Offers!$B$7:$B$3000,$B97,Offers!$C$7:$C$3000,$C97,Offers!$AH$7:$AH$3000,"yes")=0,"",SUMIFS(Offers!$H$7:$H$3000,Offers!$B$7:$B$3000,$B97,Offers!$C$7:$C$3000,$C97,Offers!$AF$7:$AF$3000,1))</f>
        <v/>
      </c>
      <c r="G97" s="105" t="str">
        <f aca="false">IF(COUNTIFS(Offers!$B$7:$B$3000,$B97,Offers!$C$7:$C$3000,$C97,Offers!$AH$7:$AH$3000,"yes")=0,"",(SUMIFS(Offers!$H$7:$H$3000,Offers!$B$7:$B$3000,$B97,Offers!$C$7:$C$3000,$C97,Offers!$AF$7:$AF$3000,ROUNDUP(COUNTIFS(Offers!$B$7:$B$3000,$B97,Offers!$C$7:$C$3000,$C97,Offers!$AH$7:$AH$3000,"yes")/2,0))+SUMIFS(Offers!$H$7:$H$3000,Offers!$B$7:$B$3000,$B97,Offers!$C$7:$C$3000,$C97,Offers!$AF$7:$AF$3000,INT(COUNTIFS(Offers!$B$7:$B$3000,$B97,Offers!$C$7:$C$3000,$C97,Offers!$AH$7:$AH$3000,"yes")/2)+1))/2)</f>
        <v/>
      </c>
      <c r="H97" s="104" t="str">
        <f aca="false">IF(COUNTIFS(Offers!$B$7:$B$3000,$B97,Offers!$C$7:$C$3000,$C97,Offers!$AH$7:$AH$3000,"yes")=0,"",SUMIFS(Offers!$H$7:$H$3000,Offers!$B$7:$B$3000,$B97,Offers!$C$7:$C$3000,$C97,Offers!$AF$7:$AF$3000,COUNTIFS(Offers!$B$7:$B$3000,$B97,Offers!$C$7:$C$3000,$C97,Offers!$AH$7:$AH$3000,"yes")))</f>
        <v/>
      </c>
      <c r="I97" s="106" t="str">
        <f aca="false">IF(COUNTIFS(Offers!$B$7:$B$3000,$B97,Offers!$C$7:$C$3000,$C97,Offers!$AI$7:$AI$3000,"yes")=0,"",SUMIFS(Offers!$I$7:$I$3000,Offers!$B$7:$B$3000,$B97,Offers!$C$7:$C$3000,$C97,Offers!$AG$7:$AG$3000,1))</f>
        <v/>
      </c>
      <c r="J97" s="107" t="str">
        <f aca="false">IF(COUNTIFS(Offers!$B$7:$B$3000,$B97,Offers!$C$7:$C$3000,$C97,Offers!$AI$7:$AI$3000,"yes")=0,"",(SUMIFS(Offers!$I$7:$I$3000,Offers!$B$7:$B$3000,$B97,Offers!$C$7:$C$3000,$C97,Offers!$AG$7:$AG$3000,ROUNDUP(COUNTIFS(Offers!$B$7:$B$3000,$B97,Offers!$C$7:$C$3000,$C97,Offers!$AI$7:$AI$3000,"yes")/2,0))+SUMIFS(Offers!$I$7:$I$3000,Offers!$B$7:$B$3000,$B97,Offers!$C$7:$C$3000,$C97,Offers!$AG$7:$AG$3000,INT(COUNTIFS(Offers!$B$7:$B$3000,$B97,Offers!$C$7:$C$3000,$C97,Offers!$AI$7:$AI$3000,"yes")/2)+1))/2)</f>
        <v/>
      </c>
      <c r="K97" s="106" t="str">
        <f aca="false">IF(COUNTIFS(Offers!$B$7:$B$3000,$B97,Offers!$C$7:$C$3000,$C97,Offers!$AI$7:$AI$3000,"yes")=0,"",SUMIFS(Offers!$I$7:$I$3000,Offers!$B$7:$B$3000,$B97,Offers!$C$7:$C$3000,$C97,Offers!$AG$7:$AG$3000,COUNTIFS(Offers!$B$7:$B$3000,$B97,Offers!$C$7:$C$3000,$C97,Offers!$AI$7:$AI$3000,"yes")))</f>
        <v/>
      </c>
      <c r="L97" s="108"/>
      <c r="M97" s="108"/>
      <c r="N97" s="108"/>
      <c r="O97" s="109" t="str">
        <f aca="false">IF(Compare!$E$5="Local prices",IF(F97="","",IF(Compare!$C$5="Minimum",F97,IF(Compare!$C$5="Maximum",H97,G97))),IF(I97="","",IF(Compare!$C$5="Minimum",I97,IF(Compare!$C$5="Maximum",K97,J97))))</f>
        <v/>
      </c>
    </row>
    <row r="98" customFormat="false" ht="39" hidden="false" customHeight="true" outlineLevel="0" collapsed="false">
      <c r="A98" s="3"/>
      <c r="B98" s="36" t="s">
        <v>40</v>
      </c>
      <c r="C98" s="98" t="s">
        <v>14</v>
      </c>
      <c r="D98" s="98" t="s">
        <v>374</v>
      </c>
      <c r="E98" s="98" t="s">
        <v>491</v>
      </c>
      <c r="F98" s="99" t="str">
        <f aca="false">IF(COUNTIFS(Offers!$B$7:$B$3000,$B98,Offers!$C$7:$C$3000,$C98,Offers!$AH$7:$AH$3000,"yes")=0,"",SUMIFS(Offers!$H$7:$H$3000,Offers!$B$7:$B$3000,$B98,Offers!$C$7:$C$3000,$C98,Offers!$AF$7:$AF$3000,1))</f>
        <v/>
      </c>
      <c r="G98" s="93" t="str">
        <f aca="false">IF(COUNTIFS(Offers!$B$7:$B$3000,$B98,Offers!$C$7:$C$3000,$C98,Offers!$AH$7:$AH$3000,"yes")=0,"",(SUMIFS(Offers!$H$7:$H$3000,Offers!$B$7:$B$3000,$B98,Offers!$C$7:$C$3000,$C98,Offers!$AF$7:$AF$3000,ROUNDUP(COUNTIFS(Offers!$B$7:$B$3000,$B98,Offers!$C$7:$C$3000,$C98,Offers!$AH$7:$AH$3000,"yes")/2,0))+SUMIFS(Offers!$H$7:$H$3000,Offers!$B$7:$B$3000,$B98,Offers!$C$7:$C$3000,$C98,Offers!$AF$7:$AF$3000,INT(COUNTIFS(Offers!$B$7:$B$3000,$B98,Offers!$C$7:$C$3000,$C98,Offers!$AH$7:$AH$3000,"yes")/2)+1))/2)</f>
        <v/>
      </c>
      <c r="H98" s="99" t="str">
        <f aca="false">IF(COUNTIFS(Offers!$B$7:$B$3000,$B98,Offers!$C$7:$C$3000,$C98,Offers!$AH$7:$AH$3000,"yes")=0,"",SUMIFS(Offers!$H$7:$H$3000,Offers!$B$7:$B$3000,$B98,Offers!$C$7:$C$3000,$C98,Offers!$AF$7:$AF$3000,COUNTIFS(Offers!$B$7:$B$3000,$B98,Offers!$C$7:$C$3000,$C98,Offers!$AH$7:$AH$3000,"yes")))</f>
        <v/>
      </c>
      <c r="I98" s="100" t="str">
        <f aca="false">IF(COUNTIFS(Offers!$B$7:$B$3000,$B98,Offers!$C$7:$C$3000,$C98,Offers!$AI$7:$AI$3000,"yes")=0,"",SUMIFS(Offers!$I$7:$I$3000,Offers!$B$7:$B$3000,$B98,Offers!$C$7:$C$3000,$C98,Offers!$AG$7:$AG$3000,1))</f>
        <v/>
      </c>
      <c r="J98" s="95" t="str">
        <f aca="false">IF(COUNTIFS(Offers!$B$7:$B$3000,$B98,Offers!$C$7:$C$3000,$C98,Offers!$AI$7:$AI$3000,"yes")=0,"",(SUMIFS(Offers!$I$7:$I$3000,Offers!$B$7:$B$3000,$B98,Offers!$C$7:$C$3000,$C98,Offers!$AG$7:$AG$3000,ROUNDUP(COUNTIFS(Offers!$B$7:$B$3000,$B98,Offers!$C$7:$C$3000,$C98,Offers!$AI$7:$AI$3000,"yes")/2,0))+SUMIFS(Offers!$I$7:$I$3000,Offers!$B$7:$B$3000,$B98,Offers!$C$7:$C$3000,$C98,Offers!$AG$7:$AG$3000,INT(COUNTIFS(Offers!$B$7:$B$3000,$B98,Offers!$C$7:$C$3000,$C98,Offers!$AI$7:$AI$3000,"yes")/2)+1))/2)</f>
        <v/>
      </c>
      <c r="K98" s="100" t="str">
        <f aca="false">IF(COUNTIFS(Offers!$B$7:$B$3000,$B98,Offers!$C$7:$C$3000,$C98,Offers!$AI$7:$AI$3000,"yes")=0,"",SUMIFS(Offers!$I$7:$I$3000,Offers!$B$7:$B$3000,$B98,Offers!$C$7:$C$3000,$C98,Offers!$AG$7:$AG$3000,COUNTIFS(Offers!$B$7:$B$3000,$B98,Offers!$C$7:$C$3000,$C98,Offers!$AI$7:$AI$3000,"yes")))</f>
        <v/>
      </c>
      <c r="L98" s="96"/>
      <c r="M98" s="96"/>
      <c r="N98" s="96"/>
      <c r="O98" s="110" t="str">
        <f aca="false">IF(Compare!$E$5="Local prices",IF(F98="","",IF(Compare!$C$5="Minimum",F98,IF(Compare!$C$5="Maximum",H98,G98))),IF(I98="","",IF(Compare!$C$5="Minimum",I98,IF(Compare!$C$5="Maximum",K98,J98))))</f>
        <v/>
      </c>
    </row>
    <row r="99" customFormat="false" ht="39" hidden="false" customHeight="true" outlineLevel="0" collapsed="false">
      <c r="A99" s="3"/>
      <c r="B99" s="31" t="s">
        <v>40</v>
      </c>
      <c r="C99" s="91" t="s">
        <v>15</v>
      </c>
      <c r="D99" s="91" t="s">
        <v>244</v>
      </c>
      <c r="E99" s="91" t="s">
        <v>491</v>
      </c>
      <c r="F99" s="92" t="n">
        <f aca="false">IF(COUNTIFS(Offers!$B$7:$B$3000,$B99,Offers!$C$7:$C$3000,$C99,Offers!$AH$7:$AH$3000,"yes")=0,"",SUMIFS(Offers!$H$7:$H$3000,Offers!$B$7:$B$3000,$B99,Offers!$C$7:$C$3000,$C99,Offers!$AF$7:$AF$3000,1))</f>
        <v>7.48</v>
      </c>
      <c r="G99" s="93" t="n">
        <f aca="false">IF(COUNTIFS(Offers!$B$7:$B$3000,$B99,Offers!$C$7:$C$3000,$C99,Offers!$AH$7:$AH$3000,"yes")=0,"",(SUMIFS(Offers!$H$7:$H$3000,Offers!$B$7:$B$3000,$B99,Offers!$C$7:$C$3000,$C99,Offers!$AF$7:$AF$3000,ROUNDUP(COUNTIFS(Offers!$B$7:$B$3000,$B99,Offers!$C$7:$C$3000,$C99,Offers!$AH$7:$AH$3000,"yes")/2,0))+SUMIFS(Offers!$H$7:$H$3000,Offers!$B$7:$B$3000,$B99,Offers!$C$7:$C$3000,$C99,Offers!$AF$7:$AF$3000,INT(COUNTIFS(Offers!$B$7:$B$3000,$B99,Offers!$C$7:$C$3000,$C99,Offers!$AH$7:$AH$3000,"yes")/2)+1))/2)</f>
        <v>11.365</v>
      </c>
      <c r="H99" s="92" t="n">
        <f aca="false">IF(COUNTIFS(Offers!$B$7:$B$3000,$B99,Offers!$C$7:$C$3000,$C99,Offers!$AH$7:$AH$3000,"yes")=0,"",SUMIFS(Offers!$H$7:$H$3000,Offers!$B$7:$B$3000,$B99,Offers!$C$7:$C$3000,$C99,Offers!$AF$7:$AF$3000,COUNTIFS(Offers!$B$7:$B$3000,$B99,Offers!$C$7:$C$3000,$C99,Offers!$AH$7:$AH$3000,"yes")))</f>
        <v>15.25</v>
      </c>
      <c r="I99" s="94" t="n">
        <f aca="false">IF(COUNTIFS(Offers!$B$7:$B$3000,$B99,Offers!$C$7:$C$3000,$C99,Offers!$AI$7:$AI$3000,"yes")=0,"",SUMIFS(Offers!$I$7:$I$3000,Offers!$B$7:$B$3000,$B99,Offers!$C$7:$C$3000,$C99,Offers!$AG$7:$AG$3000,1))</f>
        <v>7.48</v>
      </c>
      <c r="J99" s="95" t="n">
        <f aca="false">IF(COUNTIFS(Offers!$B$7:$B$3000,$B99,Offers!$C$7:$C$3000,$C99,Offers!$AI$7:$AI$3000,"yes")=0,"",(SUMIFS(Offers!$I$7:$I$3000,Offers!$B$7:$B$3000,$B99,Offers!$C$7:$C$3000,$C99,Offers!$AG$7:$AG$3000,ROUNDUP(COUNTIFS(Offers!$B$7:$B$3000,$B99,Offers!$C$7:$C$3000,$C99,Offers!$AI$7:$AI$3000,"yes")/2,0))+SUMIFS(Offers!$I$7:$I$3000,Offers!$B$7:$B$3000,$B99,Offers!$C$7:$C$3000,$C99,Offers!$AG$7:$AG$3000,INT(COUNTIFS(Offers!$B$7:$B$3000,$B99,Offers!$C$7:$C$3000,$C99,Offers!$AI$7:$AI$3000,"yes")/2)+1))/2)</f>
        <v>11.365</v>
      </c>
      <c r="K99" s="94" t="n">
        <f aca="false">IF(COUNTIFS(Offers!$B$7:$B$3000,$B99,Offers!$C$7:$C$3000,$C99,Offers!$AI$7:$AI$3000,"yes")=0,"",SUMIFS(Offers!$I$7:$I$3000,Offers!$B$7:$B$3000,$B99,Offers!$C$7:$C$3000,$C99,Offers!$AG$7:$AG$3000,COUNTIFS(Offers!$B$7:$B$3000,$B99,Offers!$C$7:$C$3000,$C99,Offers!$AI$7:$AI$3000,"yes")))</f>
        <v>15.25</v>
      </c>
      <c r="L99" s="96"/>
      <c r="M99" s="96"/>
      <c r="N99" s="96"/>
      <c r="O99" s="97" t="n">
        <f aca="false">IF(Compare!$E$5="Local prices",IF(F99="","",IF(Compare!$C$5="Minimum",F99,IF(Compare!$C$5="Maximum",H99,G99))),IF(I99="","",IF(Compare!$C$5="Minimum",I99,IF(Compare!$C$5="Maximum",K99,J99))))</f>
        <v>11.365</v>
      </c>
    </row>
    <row r="100" customFormat="false" ht="39" hidden="false" customHeight="true" outlineLevel="0" collapsed="false">
      <c r="A100" s="3"/>
      <c r="B100" s="36" t="s">
        <v>40</v>
      </c>
      <c r="C100" s="98" t="s">
        <v>16</v>
      </c>
      <c r="D100" s="98" t="s">
        <v>244</v>
      </c>
      <c r="E100" s="98" t="s">
        <v>491</v>
      </c>
      <c r="F100" s="99" t="n">
        <f aca="false">IF(COUNTIFS(Offers!$B$7:$B$3000,$B100,Offers!$C$7:$C$3000,$C100,Offers!$AH$7:$AH$3000,"yes")=0,"",SUMIFS(Offers!$H$7:$H$3000,Offers!$B$7:$B$3000,$B100,Offers!$C$7:$C$3000,$C100,Offers!$AF$7:$AF$3000,1))</f>
        <v>5.09</v>
      </c>
      <c r="G100" s="93" t="n">
        <f aca="false">IF(COUNTIFS(Offers!$B$7:$B$3000,$B100,Offers!$C$7:$C$3000,$C100,Offers!$AH$7:$AH$3000,"yes")=0,"",(SUMIFS(Offers!$H$7:$H$3000,Offers!$B$7:$B$3000,$B100,Offers!$C$7:$C$3000,$C100,Offers!$AF$7:$AF$3000,ROUNDUP(COUNTIFS(Offers!$B$7:$B$3000,$B100,Offers!$C$7:$C$3000,$C100,Offers!$AH$7:$AH$3000,"yes")/2,0))+SUMIFS(Offers!$H$7:$H$3000,Offers!$B$7:$B$3000,$B100,Offers!$C$7:$C$3000,$C100,Offers!$AF$7:$AF$3000,INT(COUNTIFS(Offers!$B$7:$B$3000,$B100,Offers!$C$7:$C$3000,$C100,Offers!$AH$7:$AH$3000,"yes")/2)+1))/2)</f>
        <v>7.47</v>
      </c>
      <c r="H100" s="99" t="n">
        <f aca="false">IF(COUNTIFS(Offers!$B$7:$B$3000,$B100,Offers!$C$7:$C$3000,$C100,Offers!$AH$7:$AH$3000,"yes")=0,"",SUMIFS(Offers!$H$7:$H$3000,Offers!$B$7:$B$3000,$B100,Offers!$C$7:$C$3000,$C100,Offers!$AF$7:$AF$3000,COUNTIFS(Offers!$B$7:$B$3000,$B100,Offers!$C$7:$C$3000,$C100,Offers!$AH$7:$AH$3000,"yes")))</f>
        <v>15.25</v>
      </c>
      <c r="I100" s="100" t="n">
        <f aca="false">IF(COUNTIFS(Offers!$B$7:$B$3000,$B100,Offers!$C$7:$C$3000,$C100,Offers!$AI$7:$AI$3000,"yes")=0,"",SUMIFS(Offers!$I$7:$I$3000,Offers!$B$7:$B$3000,$B100,Offers!$C$7:$C$3000,$C100,Offers!$AG$7:$AG$3000,1))</f>
        <v>5.09</v>
      </c>
      <c r="J100" s="95" t="n">
        <f aca="false">IF(COUNTIFS(Offers!$B$7:$B$3000,$B100,Offers!$C$7:$C$3000,$C100,Offers!$AI$7:$AI$3000,"yes")=0,"",(SUMIFS(Offers!$I$7:$I$3000,Offers!$B$7:$B$3000,$B100,Offers!$C$7:$C$3000,$C100,Offers!$AG$7:$AG$3000,ROUNDUP(COUNTIFS(Offers!$B$7:$B$3000,$B100,Offers!$C$7:$C$3000,$C100,Offers!$AI$7:$AI$3000,"yes")/2,0))+SUMIFS(Offers!$I$7:$I$3000,Offers!$B$7:$B$3000,$B100,Offers!$C$7:$C$3000,$C100,Offers!$AG$7:$AG$3000,INT(COUNTIFS(Offers!$B$7:$B$3000,$B100,Offers!$C$7:$C$3000,$C100,Offers!$AI$7:$AI$3000,"yes")/2)+1))/2)</f>
        <v>7.47</v>
      </c>
      <c r="K100" s="100" t="n">
        <f aca="false">IF(COUNTIFS(Offers!$B$7:$B$3000,$B100,Offers!$C$7:$C$3000,$C100,Offers!$AI$7:$AI$3000,"yes")=0,"",SUMIFS(Offers!$I$7:$I$3000,Offers!$B$7:$B$3000,$B100,Offers!$C$7:$C$3000,$C100,Offers!$AG$7:$AG$3000,COUNTIFS(Offers!$B$7:$B$3000,$B100,Offers!$C$7:$C$3000,$C100,Offers!$AI$7:$AI$3000,"yes")))</f>
        <v>15.25</v>
      </c>
      <c r="L100" s="96"/>
      <c r="M100" s="96"/>
      <c r="N100" s="96"/>
      <c r="O100" s="101" t="n">
        <f aca="false">IF(Compare!$E$5="Local prices",IF(F100="","",IF(Compare!$C$5="Minimum",F100,IF(Compare!$C$5="Maximum",H100,G100))),IF(I100="","",IF(Compare!$C$5="Minimum",I100,IF(Compare!$C$5="Maximum",K100,J100))))</f>
        <v>7.47</v>
      </c>
    </row>
    <row r="101" customFormat="false" ht="39" hidden="false" customHeight="true" outlineLevel="0" collapsed="false">
      <c r="A101" s="3"/>
      <c r="B101" s="31" t="s">
        <v>40</v>
      </c>
      <c r="C101" s="91" t="s">
        <v>17</v>
      </c>
      <c r="D101" s="91" t="s">
        <v>333</v>
      </c>
      <c r="E101" s="91" t="s">
        <v>491</v>
      </c>
      <c r="F101" s="92" t="n">
        <f aca="false">IF(COUNTIFS(Offers!$B$7:$B$3000,$B101,Offers!$C$7:$C$3000,$C101,Offers!$AH$7:$AH$3000,"yes")=0,"",SUMIFS(Offers!$H$7:$H$3000,Offers!$B$7:$B$3000,$B101,Offers!$C$7:$C$3000,$C101,Offers!$AF$7:$AF$3000,1))</f>
        <v>182.52</v>
      </c>
      <c r="G101" s="93" t="n">
        <f aca="false">IF(COUNTIFS(Offers!$B$7:$B$3000,$B101,Offers!$C$7:$C$3000,$C101,Offers!$AH$7:$AH$3000,"yes")=0,"",(SUMIFS(Offers!$H$7:$H$3000,Offers!$B$7:$B$3000,$B101,Offers!$C$7:$C$3000,$C101,Offers!$AF$7:$AF$3000,ROUNDUP(COUNTIFS(Offers!$B$7:$B$3000,$B101,Offers!$C$7:$C$3000,$C101,Offers!$AH$7:$AH$3000,"yes")/2,0))+SUMIFS(Offers!$H$7:$H$3000,Offers!$B$7:$B$3000,$B101,Offers!$C$7:$C$3000,$C101,Offers!$AF$7:$AF$3000,INT(COUNTIFS(Offers!$B$7:$B$3000,$B101,Offers!$C$7:$C$3000,$C101,Offers!$AH$7:$AH$3000,"yes")/2)+1))/2)</f>
        <v>200.155</v>
      </c>
      <c r="H101" s="92" t="n">
        <f aca="false">IF(COUNTIFS(Offers!$B$7:$B$3000,$B101,Offers!$C$7:$C$3000,$C101,Offers!$AH$7:$AH$3000,"yes")=0,"",SUMIFS(Offers!$H$7:$H$3000,Offers!$B$7:$B$3000,$B101,Offers!$C$7:$C$3000,$C101,Offers!$AF$7:$AF$3000,COUNTIFS(Offers!$B$7:$B$3000,$B101,Offers!$C$7:$C$3000,$C101,Offers!$AH$7:$AH$3000,"yes")))</f>
        <v>300</v>
      </c>
      <c r="I101" s="94" t="n">
        <f aca="false">IF(COUNTIFS(Offers!$B$7:$B$3000,$B101,Offers!$C$7:$C$3000,$C101,Offers!$AI$7:$AI$3000,"yes")=0,"",SUMIFS(Offers!$I$7:$I$3000,Offers!$B$7:$B$3000,$B101,Offers!$C$7:$C$3000,$C101,Offers!$AG$7:$AG$3000,1))</f>
        <v>7.473095</v>
      </c>
      <c r="J101" s="95" t="n">
        <f aca="false">IF(COUNTIFS(Offers!$B$7:$B$3000,$B101,Offers!$C$7:$C$3000,$C101,Offers!$AI$7:$AI$3000,"yes")=0,"",(SUMIFS(Offers!$I$7:$I$3000,Offers!$B$7:$B$3000,$B101,Offers!$C$7:$C$3000,$C101,Offers!$AG$7:$AG$3000,ROUNDUP(COUNTIFS(Offers!$B$7:$B$3000,$B101,Offers!$C$7:$C$3000,$C101,Offers!$AI$7:$AI$3000,"yes")/2,0))+SUMIFS(Offers!$I$7:$I$3000,Offers!$B$7:$B$3000,$B101,Offers!$C$7:$C$3000,$C101,Offers!$AG$7:$AG$3000,INT(COUNTIFS(Offers!$B$7:$B$3000,$B101,Offers!$C$7:$C$3000,$C101,Offers!$AI$7:$AI$3000,"yes")/2)+1))/2)</f>
        <v>8.195142</v>
      </c>
      <c r="K101" s="94" t="n">
        <f aca="false">IF(COUNTIFS(Offers!$B$7:$B$3000,$B101,Offers!$C$7:$C$3000,$C101,Offers!$AI$7:$AI$3000,"yes")=0,"",SUMIFS(Offers!$I$7:$I$3000,Offers!$B$7:$B$3000,$B101,Offers!$C$7:$C$3000,$C101,Offers!$AG$7:$AG$3000,COUNTIFS(Offers!$B$7:$B$3000,$B101,Offers!$C$7:$C$3000,$C101,Offers!$AI$7:$AI$3000,"yes")))</f>
        <v>12.283194</v>
      </c>
      <c r="L101" s="96"/>
      <c r="M101" s="96"/>
      <c r="N101" s="96"/>
      <c r="O101" s="97" t="n">
        <f aca="false">IF(Compare!$E$5="Local prices",IF(F101="","",IF(Compare!$C$5="Minimum",F101,IF(Compare!$C$5="Maximum",H101,G101))),IF(I101="","",IF(Compare!$C$5="Minimum",I101,IF(Compare!$C$5="Maximum",K101,J101))))</f>
        <v>8.195142</v>
      </c>
    </row>
    <row r="102" customFormat="false" ht="39" hidden="false" customHeight="true" outlineLevel="0" collapsed="false">
      <c r="A102" s="3"/>
      <c r="B102" s="36" t="s">
        <v>40</v>
      </c>
      <c r="C102" s="98" t="s">
        <v>18</v>
      </c>
      <c r="D102" s="98" t="s">
        <v>244</v>
      </c>
      <c r="E102" s="98" t="s">
        <v>491</v>
      </c>
      <c r="F102" s="99" t="str">
        <f aca="false">IF(COUNTIFS(Offers!$B$7:$B$3000,$B102,Offers!$C$7:$C$3000,$C102,Offers!$AH$7:$AH$3000,"yes")=0,"",SUMIFS(Offers!$H$7:$H$3000,Offers!$B$7:$B$3000,$B102,Offers!$C$7:$C$3000,$C102,Offers!$AF$7:$AF$3000,1))</f>
        <v/>
      </c>
      <c r="G102" s="93" t="str">
        <f aca="false">IF(COUNTIFS(Offers!$B$7:$B$3000,$B102,Offers!$C$7:$C$3000,$C102,Offers!$AH$7:$AH$3000,"yes")=0,"",(SUMIFS(Offers!$H$7:$H$3000,Offers!$B$7:$B$3000,$B102,Offers!$C$7:$C$3000,$C102,Offers!$AF$7:$AF$3000,ROUNDUP(COUNTIFS(Offers!$B$7:$B$3000,$B102,Offers!$C$7:$C$3000,$C102,Offers!$AH$7:$AH$3000,"yes")/2,0))+SUMIFS(Offers!$H$7:$H$3000,Offers!$B$7:$B$3000,$B102,Offers!$C$7:$C$3000,$C102,Offers!$AF$7:$AF$3000,INT(COUNTIFS(Offers!$B$7:$B$3000,$B102,Offers!$C$7:$C$3000,$C102,Offers!$AH$7:$AH$3000,"yes")/2)+1))/2)</f>
        <v/>
      </c>
      <c r="H102" s="99" t="str">
        <f aca="false">IF(COUNTIFS(Offers!$B$7:$B$3000,$B102,Offers!$C$7:$C$3000,$C102,Offers!$AH$7:$AH$3000,"yes")=0,"",SUMIFS(Offers!$H$7:$H$3000,Offers!$B$7:$B$3000,$B102,Offers!$C$7:$C$3000,$C102,Offers!$AF$7:$AF$3000,COUNTIFS(Offers!$B$7:$B$3000,$B102,Offers!$C$7:$C$3000,$C102,Offers!$AH$7:$AH$3000,"yes")))</f>
        <v/>
      </c>
      <c r="I102" s="100" t="str">
        <f aca="false">IF(COUNTIFS(Offers!$B$7:$B$3000,$B102,Offers!$C$7:$C$3000,$C102,Offers!$AI$7:$AI$3000,"yes")=0,"",SUMIFS(Offers!$I$7:$I$3000,Offers!$B$7:$B$3000,$B102,Offers!$C$7:$C$3000,$C102,Offers!$AG$7:$AG$3000,1))</f>
        <v/>
      </c>
      <c r="J102" s="95" t="str">
        <f aca="false">IF(COUNTIFS(Offers!$B$7:$B$3000,$B102,Offers!$C$7:$C$3000,$C102,Offers!$AI$7:$AI$3000,"yes")=0,"",(SUMIFS(Offers!$I$7:$I$3000,Offers!$B$7:$B$3000,$B102,Offers!$C$7:$C$3000,$C102,Offers!$AG$7:$AG$3000,ROUNDUP(COUNTIFS(Offers!$B$7:$B$3000,$B102,Offers!$C$7:$C$3000,$C102,Offers!$AI$7:$AI$3000,"yes")/2,0))+SUMIFS(Offers!$I$7:$I$3000,Offers!$B$7:$B$3000,$B102,Offers!$C$7:$C$3000,$C102,Offers!$AG$7:$AG$3000,INT(COUNTIFS(Offers!$B$7:$B$3000,$B102,Offers!$C$7:$C$3000,$C102,Offers!$AI$7:$AI$3000,"yes")/2)+1))/2)</f>
        <v/>
      </c>
      <c r="K102" s="100" t="str">
        <f aca="false">IF(COUNTIFS(Offers!$B$7:$B$3000,$B102,Offers!$C$7:$C$3000,$C102,Offers!$AI$7:$AI$3000,"yes")=0,"",SUMIFS(Offers!$I$7:$I$3000,Offers!$B$7:$B$3000,$B102,Offers!$C$7:$C$3000,$C102,Offers!$AG$7:$AG$3000,COUNTIFS(Offers!$B$7:$B$3000,$B102,Offers!$C$7:$C$3000,$C102,Offers!$AI$7:$AI$3000,"yes")))</f>
        <v/>
      </c>
      <c r="L102" s="96"/>
      <c r="M102" s="96"/>
      <c r="N102" s="96"/>
      <c r="O102" s="110" t="str">
        <f aca="false">IF(Compare!$E$5="Local prices",IF(F102="","",IF(Compare!$C$5="Minimum",F102,IF(Compare!$C$5="Maximum",H102,G102))),IF(I102="","",IF(Compare!$C$5="Minimum",I102,IF(Compare!$C$5="Maximum",K102,J102))))</f>
        <v/>
      </c>
    </row>
    <row r="103" customFormat="false" ht="39" hidden="false" customHeight="true" outlineLevel="0" collapsed="false">
      <c r="A103" s="3"/>
      <c r="B103" s="102" t="s">
        <v>41</v>
      </c>
      <c r="C103" s="103" t="s">
        <v>13</v>
      </c>
      <c r="D103" s="103" t="s">
        <v>490</v>
      </c>
      <c r="E103" s="103" t="s">
        <v>491</v>
      </c>
      <c r="F103" s="104" t="str">
        <f aca="false">IF(COUNTIFS(Offers!$B$7:$B$3000,$B103,Offers!$C$7:$C$3000,$C103,Offers!$AH$7:$AH$3000,"yes")=0,"",SUMIFS(Offers!$H$7:$H$3000,Offers!$B$7:$B$3000,$B103,Offers!$C$7:$C$3000,$C103,Offers!$AF$7:$AF$3000,1))</f>
        <v/>
      </c>
      <c r="G103" s="105" t="str">
        <f aca="false">IF(COUNTIFS(Offers!$B$7:$B$3000,$B103,Offers!$C$7:$C$3000,$C103,Offers!$AH$7:$AH$3000,"yes")=0,"",(SUMIFS(Offers!$H$7:$H$3000,Offers!$B$7:$B$3000,$B103,Offers!$C$7:$C$3000,$C103,Offers!$AF$7:$AF$3000,ROUNDUP(COUNTIFS(Offers!$B$7:$B$3000,$B103,Offers!$C$7:$C$3000,$C103,Offers!$AH$7:$AH$3000,"yes")/2,0))+SUMIFS(Offers!$H$7:$H$3000,Offers!$B$7:$B$3000,$B103,Offers!$C$7:$C$3000,$C103,Offers!$AF$7:$AF$3000,INT(COUNTIFS(Offers!$B$7:$B$3000,$B103,Offers!$C$7:$C$3000,$C103,Offers!$AH$7:$AH$3000,"yes")/2)+1))/2)</f>
        <v/>
      </c>
      <c r="H103" s="104" t="str">
        <f aca="false">IF(COUNTIFS(Offers!$B$7:$B$3000,$B103,Offers!$C$7:$C$3000,$C103,Offers!$AH$7:$AH$3000,"yes")=0,"",SUMIFS(Offers!$H$7:$H$3000,Offers!$B$7:$B$3000,$B103,Offers!$C$7:$C$3000,$C103,Offers!$AF$7:$AF$3000,COUNTIFS(Offers!$B$7:$B$3000,$B103,Offers!$C$7:$C$3000,$C103,Offers!$AH$7:$AH$3000,"yes")))</f>
        <v/>
      </c>
      <c r="I103" s="106" t="str">
        <f aca="false">IF(COUNTIFS(Offers!$B$7:$B$3000,$B103,Offers!$C$7:$C$3000,$C103,Offers!$AI$7:$AI$3000,"yes")=0,"",SUMIFS(Offers!$I$7:$I$3000,Offers!$B$7:$B$3000,$B103,Offers!$C$7:$C$3000,$C103,Offers!$AG$7:$AG$3000,1))</f>
        <v/>
      </c>
      <c r="J103" s="107" t="str">
        <f aca="false">IF(COUNTIFS(Offers!$B$7:$B$3000,$B103,Offers!$C$7:$C$3000,$C103,Offers!$AI$7:$AI$3000,"yes")=0,"",(SUMIFS(Offers!$I$7:$I$3000,Offers!$B$7:$B$3000,$B103,Offers!$C$7:$C$3000,$C103,Offers!$AG$7:$AG$3000,ROUNDUP(COUNTIFS(Offers!$B$7:$B$3000,$B103,Offers!$C$7:$C$3000,$C103,Offers!$AI$7:$AI$3000,"yes")/2,0))+SUMIFS(Offers!$I$7:$I$3000,Offers!$B$7:$B$3000,$B103,Offers!$C$7:$C$3000,$C103,Offers!$AG$7:$AG$3000,INT(COUNTIFS(Offers!$B$7:$B$3000,$B103,Offers!$C$7:$C$3000,$C103,Offers!$AI$7:$AI$3000,"yes")/2)+1))/2)</f>
        <v/>
      </c>
      <c r="K103" s="106" t="str">
        <f aca="false">IF(COUNTIFS(Offers!$B$7:$B$3000,$B103,Offers!$C$7:$C$3000,$C103,Offers!$AI$7:$AI$3000,"yes")=0,"",SUMIFS(Offers!$I$7:$I$3000,Offers!$B$7:$B$3000,$B103,Offers!$C$7:$C$3000,$C103,Offers!$AG$7:$AG$3000,COUNTIFS(Offers!$B$7:$B$3000,$B103,Offers!$C$7:$C$3000,$C103,Offers!$AI$7:$AI$3000,"yes")))</f>
        <v/>
      </c>
      <c r="L103" s="108"/>
      <c r="M103" s="108"/>
      <c r="N103" s="108"/>
      <c r="O103" s="109" t="str">
        <f aca="false">IF(Compare!$E$5="Local prices",IF(F103="","",IF(Compare!$C$5="Minimum",F103,IF(Compare!$C$5="Maximum",H103,G103))),IF(I103="","",IF(Compare!$C$5="Minimum",I103,IF(Compare!$C$5="Maximum",K103,J103))))</f>
        <v/>
      </c>
    </row>
    <row r="104" customFormat="false" ht="39" hidden="false" customHeight="true" outlineLevel="0" collapsed="false">
      <c r="A104" s="3"/>
      <c r="B104" s="36" t="s">
        <v>41</v>
      </c>
      <c r="C104" s="98" t="s">
        <v>14</v>
      </c>
      <c r="D104" s="98" t="s">
        <v>374</v>
      </c>
      <c r="E104" s="98" t="s">
        <v>491</v>
      </c>
      <c r="F104" s="99" t="str">
        <f aca="false">IF(COUNTIFS(Offers!$B$7:$B$3000,$B104,Offers!$C$7:$C$3000,$C104,Offers!$AH$7:$AH$3000,"yes")=0,"",SUMIFS(Offers!$H$7:$H$3000,Offers!$B$7:$B$3000,$B104,Offers!$C$7:$C$3000,$C104,Offers!$AF$7:$AF$3000,1))</f>
        <v/>
      </c>
      <c r="G104" s="93" t="str">
        <f aca="false">IF(COUNTIFS(Offers!$B$7:$B$3000,$B104,Offers!$C$7:$C$3000,$C104,Offers!$AH$7:$AH$3000,"yes")=0,"",(SUMIFS(Offers!$H$7:$H$3000,Offers!$B$7:$B$3000,$B104,Offers!$C$7:$C$3000,$C104,Offers!$AF$7:$AF$3000,ROUNDUP(COUNTIFS(Offers!$B$7:$B$3000,$B104,Offers!$C$7:$C$3000,$C104,Offers!$AH$7:$AH$3000,"yes")/2,0))+SUMIFS(Offers!$H$7:$H$3000,Offers!$B$7:$B$3000,$B104,Offers!$C$7:$C$3000,$C104,Offers!$AF$7:$AF$3000,INT(COUNTIFS(Offers!$B$7:$B$3000,$B104,Offers!$C$7:$C$3000,$C104,Offers!$AH$7:$AH$3000,"yes")/2)+1))/2)</f>
        <v/>
      </c>
      <c r="H104" s="99" t="str">
        <f aca="false">IF(COUNTIFS(Offers!$B$7:$B$3000,$B104,Offers!$C$7:$C$3000,$C104,Offers!$AH$7:$AH$3000,"yes")=0,"",SUMIFS(Offers!$H$7:$H$3000,Offers!$B$7:$B$3000,$B104,Offers!$C$7:$C$3000,$C104,Offers!$AF$7:$AF$3000,COUNTIFS(Offers!$B$7:$B$3000,$B104,Offers!$C$7:$C$3000,$C104,Offers!$AH$7:$AH$3000,"yes")))</f>
        <v/>
      </c>
      <c r="I104" s="100" t="str">
        <f aca="false">IF(COUNTIFS(Offers!$B$7:$B$3000,$B104,Offers!$C$7:$C$3000,$C104,Offers!$AI$7:$AI$3000,"yes")=0,"",SUMIFS(Offers!$I$7:$I$3000,Offers!$B$7:$B$3000,$B104,Offers!$C$7:$C$3000,$C104,Offers!$AG$7:$AG$3000,1))</f>
        <v/>
      </c>
      <c r="J104" s="95" t="str">
        <f aca="false">IF(COUNTIFS(Offers!$B$7:$B$3000,$B104,Offers!$C$7:$C$3000,$C104,Offers!$AI$7:$AI$3000,"yes")=0,"",(SUMIFS(Offers!$I$7:$I$3000,Offers!$B$7:$B$3000,$B104,Offers!$C$7:$C$3000,$C104,Offers!$AG$7:$AG$3000,ROUNDUP(COUNTIFS(Offers!$B$7:$B$3000,$B104,Offers!$C$7:$C$3000,$C104,Offers!$AI$7:$AI$3000,"yes")/2,0))+SUMIFS(Offers!$I$7:$I$3000,Offers!$B$7:$B$3000,$B104,Offers!$C$7:$C$3000,$C104,Offers!$AG$7:$AG$3000,INT(COUNTIFS(Offers!$B$7:$B$3000,$B104,Offers!$C$7:$C$3000,$C104,Offers!$AI$7:$AI$3000,"yes")/2)+1))/2)</f>
        <v/>
      </c>
      <c r="K104" s="100" t="str">
        <f aca="false">IF(COUNTIFS(Offers!$B$7:$B$3000,$B104,Offers!$C$7:$C$3000,$C104,Offers!$AI$7:$AI$3000,"yes")=0,"",SUMIFS(Offers!$I$7:$I$3000,Offers!$B$7:$B$3000,$B104,Offers!$C$7:$C$3000,$C104,Offers!$AG$7:$AG$3000,COUNTIFS(Offers!$B$7:$B$3000,$B104,Offers!$C$7:$C$3000,$C104,Offers!$AI$7:$AI$3000,"yes")))</f>
        <v/>
      </c>
      <c r="L104" s="96"/>
      <c r="M104" s="96"/>
      <c r="N104" s="96"/>
      <c r="O104" s="110" t="str">
        <f aca="false">IF(Compare!$E$5="Local prices",IF(F104="","",IF(Compare!$C$5="Minimum",F104,IF(Compare!$C$5="Maximum",H104,G104))),IF(I104="","",IF(Compare!$C$5="Minimum",I104,IF(Compare!$C$5="Maximum",K104,J104))))</f>
        <v/>
      </c>
    </row>
    <row r="105" customFormat="false" ht="39" hidden="false" customHeight="true" outlineLevel="0" collapsed="false">
      <c r="A105" s="3"/>
      <c r="B105" s="31" t="s">
        <v>41</v>
      </c>
      <c r="C105" s="91" t="s">
        <v>15</v>
      </c>
      <c r="D105" s="91" t="s">
        <v>244</v>
      </c>
      <c r="E105" s="91" t="s">
        <v>491</v>
      </c>
      <c r="F105" s="92" t="n">
        <f aca="false">IF(COUNTIFS(Offers!$B$7:$B$3000,$B105,Offers!$C$7:$C$3000,$C105,Offers!$AH$7:$AH$3000,"yes")=0,"",SUMIFS(Offers!$H$7:$H$3000,Offers!$B$7:$B$3000,$B105,Offers!$C$7:$C$3000,$C105,Offers!$AF$7:$AF$3000,1))</f>
        <v>24.99</v>
      </c>
      <c r="G105" s="93" t="n">
        <f aca="false">IF(COUNTIFS(Offers!$B$7:$B$3000,$B105,Offers!$C$7:$C$3000,$C105,Offers!$AH$7:$AH$3000,"yes")=0,"",(SUMIFS(Offers!$H$7:$H$3000,Offers!$B$7:$B$3000,$B105,Offers!$C$7:$C$3000,$C105,Offers!$AF$7:$AF$3000,ROUNDUP(COUNTIFS(Offers!$B$7:$B$3000,$B105,Offers!$C$7:$C$3000,$C105,Offers!$AH$7:$AH$3000,"yes")/2,0))+SUMIFS(Offers!$H$7:$H$3000,Offers!$B$7:$B$3000,$B105,Offers!$C$7:$C$3000,$C105,Offers!$AF$7:$AF$3000,INT(COUNTIFS(Offers!$B$7:$B$3000,$B105,Offers!$C$7:$C$3000,$C105,Offers!$AH$7:$AH$3000,"yes")/2)+1))/2)</f>
        <v>26.19</v>
      </c>
      <c r="H105" s="92" t="n">
        <f aca="false">IF(COUNTIFS(Offers!$B$7:$B$3000,$B105,Offers!$C$7:$C$3000,$C105,Offers!$AH$7:$AH$3000,"yes")=0,"",SUMIFS(Offers!$H$7:$H$3000,Offers!$B$7:$B$3000,$B105,Offers!$C$7:$C$3000,$C105,Offers!$AF$7:$AF$3000,COUNTIFS(Offers!$B$7:$B$3000,$B105,Offers!$C$7:$C$3000,$C105,Offers!$AH$7:$AH$3000,"yes")))</f>
        <v>36.09</v>
      </c>
      <c r="I105" s="94" t="n">
        <f aca="false">IF(COUNTIFS(Offers!$B$7:$B$3000,$B105,Offers!$C$7:$C$3000,$C105,Offers!$AI$7:$AI$3000,"yes")=0,"",SUMIFS(Offers!$I$7:$I$3000,Offers!$B$7:$B$3000,$B105,Offers!$C$7:$C$3000,$C105,Offers!$AG$7:$AG$3000,1))</f>
        <v>24.99</v>
      </c>
      <c r="J105" s="95" t="n">
        <f aca="false">IF(COUNTIFS(Offers!$B$7:$B$3000,$B105,Offers!$C$7:$C$3000,$C105,Offers!$AI$7:$AI$3000,"yes")=0,"",(SUMIFS(Offers!$I$7:$I$3000,Offers!$B$7:$B$3000,$B105,Offers!$C$7:$C$3000,$C105,Offers!$AG$7:$AG$3000,ROUNDUP(COUNTIFS(Offers!$B$7:$B$3000,$B105,Offers!$C$7:$C$3000,$C105,Offers!$AI$7:$AI$3000,"yes")/2,0))+SUMIFS(Offers!$I$7:$I$3000,Offers!$B$7:$B$3000,$B105,Offers!$C$7:$C$3000,$C105,Offers!$AG$7:$AG$3000,INT(COUNTIFS(Offers!$B$7:$B$3000,$B105,Offers!$C$7:$C$3000,$C105,Offers!$AI$7:$AI$3000,"yes")/2)+1))/2)</f>
        <v>26.19</v>
      </c>
      <c r="K105" s="94" t="n">
        <f aca="false">IF(COUNTIFS(Offers!$B$7:$B$3000,$B105,Offers!$C$7:$C$3000,$C105,Offers!$AI$7:$AI$3000,"yes")=0,"",SUMIFS(Offers!$I$7:$I$3000,Offers!$B$7:$B$3000,$B105,Offers!$C$7:$C$3000,$C105,Offers!$AG$7:$AG$3000,COUNTIFS(Offers!$B$7:$B$3000,$B105,Offers!$C$7:$C$3000,$C105,Offers!$AI$7:$AI$3000,"yes")))</f>
        <v>36.09</v>
      </c>
      <c r="L105" s="96"/>
      <c r="M105" s="96"/>
      <c r="N105" s="96"/>
      <c r="O105" s="97" t="n">
        <f aca="false">IF(Compare!$E$5="Local prices",IF(F105="","",IF(Compare!$C$5="Minimum",F105,IF(Compare!$C$5="Maximum",H105,G105))),IF(I105="","",IF(Compare!$C$5="Minimum",I105,IF(Compare!$C$5="Maximum",K105,J105))))</f>
        <v>26.19</v>
      </c>
    </row>
    <row r="106" customFormat="false" ht="39" hidden="false" customHeight="true" outlineLevel="0" collapsed="false">
      <c r="A106" s="3"/>
      <c r="B106" s="36" t="s">
        <v>41</v>
      </c>
      <c r="C106" s="98" t="s">
        <v>16</v>
      </c>
      <c r="D106" s="98" t="s">
        <v>244</v>
      </c>
      <c r="E106" s="98" t="s">
        <v>491</v>
      </c>
      <c r="F106" s="99" t="n">
        <f aca="false">IF(COUNTIFS(Offers!$B$7:$B$3000,$B106,Offers!$C$7:$C$3000,$C106,Offers!$AH$7:$AH$3000,"yes")=0,"",SUMIFS(Offers!$H$7:$H$3000,Offers!$B$7:$B$3000,$B106,Offers!$C$7:$C$3000,$C106,Offers!$AF$7:$AF$3000,1))</f>
        <v>23.39</v>
      </c>
      <c r="G106" s="93" t="n">
        <f aca="false">IF(COUNTIFS(Offers!$B$7:$B$3000,$B106,Offers!$C$7:$C$3000,$C106,Offers!$AH$7:$AH$3000,"yes")=0,"",(SUMIFS(Offers!$H$7:$H$3000,Offers!$B$7:$B$3000,$B106,Offers!$C$7:$C$3000,$C106,Offers!$AF$7:$AF$3000,ROUNDUP(COUNTIFS(Offers!$B$7:$B$3000,$B106,Offers!$C$7:$C$3000,$C106,Offers!$AH$7:$AH$3000,"yes")/2,0))+SUMIFS(Offers!$H$7:$H$3000,Offers!$B$7:$B$3000,$B106,Offers!$C$7:$C$3000,$C106,Offers!$AF$7:$AF$3000,INT(COUNTIFS(Offers!$B$7:$B$3000,$B106,Offers!$C$7:$C$3000,$C106,Offers!$AH$7:$AH$3000,"yes")/2)+1))/2)</f>
        <v>29.74</v>
      </c>
      <c r="H106" s="99" t="n">
        <f aca="false">IF(COUNTIFS(Offers!$B$7:$B$3000,$B106,Offers!$C$7:$C$3000,$C106,Offers!$AH$7:$AH$3000,"yes")=0,"",SUMIFS(Offers!$H$7:$H$3000,Offers!$B$7:$B$3000,$B106,Offers!$C$7:$C$3000,$C106,Offers!$AF$7:$AF$3000,COUNTIFS(Offers!$B$7:$B$3000,$B106,Offers!$C$7:$C$3000,$C106,Offers!$AH$7:$AH$3000,"yes")))</f>
        <v>36.09</v>
      </c>
      <c r="I106" s="100" t="n">
        <f aca="false">IF(COUNTIFS(Offers!$B$7:$B$3000,$B106,Offers!$C$7:$C$3000,$C106,Offers!$AI$7:$AI$3000,"yes")=0,"",SUMIFS(Offers!$I$7:$I$3000,Offers!$B$7:$B$3000,$B106,Offers!$C$7:$C$3000,$C106,Offers!$AG$7:$AG$3000,1))</f>
        <v>23.39</v>
      </c>
      <c r="J106" s="95" t="n">
        <f aca="false">IF(COUNTIFS(Offers!$B$7:$B$3000,$B106,Offers!$C$7:$C$3000,$C106,Offers!$AI$7:$AI$3000,"yes")=0,"",(SUMIFS(Offers!$I$7:$I$3000,Offers!$B$7:$B$3000,$B106,Offers!$C$7:$C$3000,$C106,Offers!$AG$7:$AG$3000,ROUNDUP(COUNTIFS(Offers!$B$7:$B$3000,$B106,Offers!$C$7:$C$3000,$C106,Offers!$AI$7:$AI$3000,"yes")/2,0))+SUMIFS(Offers!$I$7:$I$3000,Offers!$B$7:$B$3000,$B106,Offers!$C$7:$C$3000,$C106,Offers!$AG$7:$AG$3000,INT(COUNTIFS(Offers!$B$7:$B$3000,$B106,Offers!$C$7:$C$3000,$C106,Offers!$AI$7:$AI$3000,"yes")/2)+1))/2)</f>
        <v>29.74</v>
      </c>
      <c r="K106" s="100" t="n">
        <f aca="false">IF(COUNTIFS(Offers!$B$7:$B$3000,$B106,Offers!$C$7:$C$3000,$C106,Offers!$AI$7:$AI$3000,"yes")=0,"",SUMIFS(Offers!$I$7:$I$3000,Offers!$B$7:$B$3000,$B106,Offers!$C$7:$C$3000,$C106,Offers!$AG$7:$AG$3000,COUNTIFS(Offers!$B$7:$B$3000,$B106,Offers!$C$7:$C$3000,$C106,Offers!$AI$7:$AI$3000,"yes")))</f>
        <v>36.09</v>
      </c>
      <c r="L106" s="96"/>
      <c r="M106" s="96"/>
      <c r="N106" s="96"/>
      <c r="O106" s="101" t="n">
        <f aca="false">IF(Compare!$E$5="Local prices",IF(F106="","",IF(Compare!$C$5="Minimum",F106,IF(Compare!$C$5="Maximum",H106,G106))),IF(I106="","",IF(Compare!$C$5="Minimum",I106,IF(Compare!$C$5="Maximum",K106,J106))))</f>
        <v>29.74</v>
      </c>
    </row>
    <row r="107" customFormat="false" ht="39" hidden="false" customHeight="true" outlineLevel="0" collapsed="false">
      <c r="A107" s="3"/>
      <c r="B107" s="31" t="s">
        <v>41</v>
      </c>
      <c r="C107" s="91" t="s">
        <v>17</v>
      </c>
      <c r="D107" s="91" t="s">
        <v>333</v>
      </c>
      <c r="E107" s="91" t="s">
        <v>491</v>
      </c>
      <c r="F107" s="92" t="n">
        <f aca="false">IF(COUNTIFS(Offers!$B$7:$B$3000,$B107,Offers!$C$7:$C$3000,$C107,Offers!$AH$7:$AH$3000,"yes")=0,"",SUMIFS(Offers!$H$7:$H$3000,Offers!$B$7:$B$3000,$B107,Offers!$C$7:$C$3000,$C107,Offers!$AF$7:$AF$3000,1))</f>
        <v>2418.18</v>
      </c>
      <c r="G107" s="93" t="n">
        <f aca="false">IF(COUNTIFS(Offers!$B$7:$B$3000,$B107,Offers!$C$7:$C$3000,$C107,Offers!$AH$7:$AH$3000,"yes")=0,"",(SUMIFS(Offers!$H$7:$H$3000,Offers!$B$7:$B$3000,$B107,Offers!$C$7:$C$3000,$C107,Offers!$AF$7:$AF$3000,ROUNDUP(COUNTIFS(Offers!$B$7:$B$3000,$B107,Offers!$C$7:$C$3000,$C107,Offers!$AH$7:$AH$3000,"yes")/2,0))+SUMIFS(Offers!$H$7:$H$3000,Offers!$B$7:$B$3000,$B107,Offers!$C$7:$C$3000,$C107,Offers!$AF$7:$AF$3000,INT(COUNTIFS(Offers!$B$7:$B$3000,$B107,Offers!$C$7:$C$3000,$C107,Offers!$AH$7:$AH$3000,"yes")/2)+1))/2)</f>
        <v>2418.18</v>
      </c>
      <c r="H107" s="92" t="n">
        <f aca="false">IF(COUNTIFS(Offers!$B$7:$B$3000,$B107,Offers!$C$7:$C$3000,$C107,Offers!$AH$7:$AH$3000,"yes")=0,"",SUMIFS(Offers!$H$7:$H$3000,Offers!$B$7:$B$3000,$B107,Offers!$C$7:$C$3000,$C107,Offers!$AF$7:$AF$3000,COUNTIFS(Offers!$B$7:$B$3000,$B107,Offers!$C$7:$C$3000,$C107,Offers!$AH$7:$AH$3000,"yes")))</f>
        <v>2418.18</v>
      </c>
      <c r="I107" s="94" t="n">
        <f aca="false">IF(COUNTIFS(Offers!$B$7:$B$3000,$B107,Offers!$C$7:$C$3000,$C107,Offers!$AI$7:$AI$3000,"yes")=0,"",SUMIFS(Offers!$I$7:$I$3000,Offers!$B$7:$B$3000,$B107,Offers!$C$7:$C$3000,$C107,Offers!$AG$7:$AG$3000,1))</f>
        <v>99.00991</v>
      </c>
      <c r="J107" s="95" t="n">
        <f aca="false">IF(COUNTIFS(Offers!$B$7:$B$3000,$B107,Offers!$C$7:$C$3000,$C107,Offers!$AI$7:$AI$3000,"yes")=0,"",(SUMIFS(Offers!$I$7:$I$3000,Offers!$B$7:$B$3000,$B107,Offers!$C$7:$C$3000,$C107,Offers!$AG$7:$AG$3000,ROUNDUP(COUNTIFS(Offers!$B$7:$B$3000,$B107,Offers!$C$7:$C$3000,$C107,Offers!$AI$7:$AI$3000,"yes")/2,0))+SUMIFS(Offers!$I$7:$I$3000,Offers!$B$7:$B$3000,$B107,Offers!$C$7:$C$3000,$C107,Offers!$AG$7:$AG$3000,INT(COUNTIFS(Offers!$B$7:$B$3000,$B107,Offers!$C$7:$C$3000,$C107,Offers!$AI$7:$AI$3000,"yes")/2)+1))/2)</f>
        <v>99.00991</v>
      </c>
      <c r="K107" s="94" t="n">
        <f aca="false">IF(COUNTIFS(Offers!$B$7:$B$3000,$B107,Offers!$C$7:$C$3000,$C107,Offers!$AI$7:$AI$3000,"yes")=0,"",SUMIFS(Offers!$I$7:$I$3000,Offers!$B$7:$B$3000,$B107,Offers!$C$7:$C$3000,$C107,Offers!$AG$7:$AG$3000,COUNTIFS(Offers!$B$7:$B$3000,$B107,Offers!$C$7:$C$3000,$C107,Offers!$AI$7:$AI$3000,"yes")))</f>
        <v>99.00991</v>
      </c>
      <c r="L107" s="96"/>
      <c r="M107" s="96"/>
      <c r="N107" s="96"/>
      <c r="O107" s="97" t="n">
        <f aca="false">IF(Compare!$E$5="Local prices",IF(F107="","",IF(Compare!$C$5="Minimum",F107,IF(Compare!$C$5="Maximum",H107,G107))),IF(I107="","",IF(Compare!$C$5="Minimum",I107,IF(Compare!$C$5="Maximum",K107,J107))))</f>
        <v>99.00991</v>
      </c>
    </row>
    <row r="108" customFormat="false" ht="39" hidden="false" customHeight="true" outlineLevel="0" collapsed="false">
      <c r="A108" s="3"/>
      <c r="B108" s="36" t="s">
        <v>41</v>
      </c>
      <c r="C108" s="98" t="s">
        <v>18</v>
      </c>
      <c r="D108" s="98" t="s">
        <v>244</v>
      </c>
      <c r="E108" s="98" t="s">
        <v>491</v>
      </c>
      <c r="F108" s="99" t="str">
        <f aca="false">IF(COUNTIFS(Offers!$B$7:$B$3000,$B108,Offers!$C$7:$C$3000,$C108,Offers!$AH$7:$AH$3000,"yes")=0,"",SUMIFS(Offers!$H$7:$H$3000,Offers!$B$7:$B$3000,$B108,Offers!$C$7:$C$3000,$C108,Offers!$AF$7:$AF$3000,1))</f>
        <v/>
      </c>
      <c r="G108" s="93" t="str">
        <f aca="false">IF(COUNTIFS(Offers!$B$7:$B$3000,$B108,Offers!$C$7:$C$3000,$C108,Offers!$AH$7:$AH$3000,"yes")=0,"",(SUMIFS(Offers!$H$7:$H$3000,Offers!$B$7:$B$3000,$B108,Offers!$C$7:$C$3000,$C108,Offers!$AF$7:$AF$3000,ROUNDUP(COUNTIFS(Offers!$B$7:$B$3000,$B108,Offers!$C$7:$C$3000,$C108,Offers!$AH$7:$AH$3000,"yes")/2,0))+SUMIFS(Offers!$H$7:$H$3000,Offers!$B$7:$B$3000,$B108,Offers!$C$7:$C$3000,$C108,Offers!$AF$7:$AF$3000,INT(COUNTIFS(Offers!$B$7:$B$3000,$B108,Offers!$C$7:$C$3000,$C108,Offers!$AH$7:$AH$3000,"yes")/2)+1))/2)</f>
        <v/>
      </c>
      <c r="H108" s="99" t="str">
        <f aca="false">IF(COUNTIFS(Offers!$B$7:$B$3000,$B108,Offers!$C$7:$C$3000,$C108,Offers!$AH$7:$AH$3000,"yes")=0,"",SUMIFS(Offers!$H$7:$H$3000,Offers!$B$7:$B$3000,$B108,Offers!$C$7:$C$3000,$C108,Offers!$AF$7:$AF$3000,COUNTIFS(Offers!$B$7:$B$3000,$B108,Offers!$C$7:$C$3000,$C108,Offers!$AH$7:$AH$3000,"yes")))</f>
        <v/>
      </c>
      <c r="I108" s="100" t="str">
        <f aca="false">IF(COUNTIFS(Offers!$B$7:$B$3000,$B108,Offers!$C$7:$C$3000,$C108,Offers!$AI$7:$AI$3000,"yes")=0,"",SUMIFS(Offers!$I$7:$I$3000,Offers!$B$7:$B$3000,$B108,Offers!$C$7:$C$3000,$C108,Offers!$AG$7:$AG$3000,1))</f>
        <v/>
      </c>
      <c r="J108" s="95" t="str">
        <f aca="false">IF(COUNTIFS(Offers!$B$7:$B$3000,$B108,Offers!$C$7:$C$3000,$C108,Offers!$AI$7:$AI$3000,"yes")=0,"",(SUMIFS(Offers!$I$7:$I$3000,Offers!$B$7:$B$3000,$B108,Offers!$C$7:$C$3000,$C108,Offers!$AG$7:$AG$3000,ROUNDUP(COUNTIFS(Offers!$B$7:$B$3000,$B108,Offers!$C$7:$C$3000,$C108,Offers!$AI$7:$AI$3000,"yes")/2,0))+SUMIFS(Offers!$I$7:$I$3000,Offers!$B$7:$B$3000,$B108,Offers!$C$7:$C$3000,$C108,Offers!$AG$7:$AG$3000,INT(COUNTIFS(Offers!$B$7:$B$3000,$B108,Offers!$C$7:$C$3000,$C108,Offers!$AI$7:$AI$3000,"yes")/2)+1))/2)</f>
        <v/>
      </c>
      <c r="K108" s="100" t="str">
        <f aca="false">IF(COUNTIFS(Offers!$B$7:$B$3000,$B108,Offers!$C$7:$C$3000,$C108,Offers!$AI$7:$AI$3000,"yes")=0,"",SUMIFS(Offers!$I$7:$I$3000,Offers!$B$7:$B$3000,$B108,Offers!$C$7:$C$3000,$C108,Offers!$AG$7:$AG$3000,COUNTIFS(Offers!$B$7:$B$3000,$B108,Offers!$C$7:$C$3000,$C108,Offers!$AI$7:$AI$3000,"yes")))</f>
        <v/>
      </c>
      <c r="L108" s="96"/>
      <c r="M108" s="96"/>
      <c r="N108" s="96"/>
      <c r="O108" s="110" t="str">
        <f aca="false">IF(Compare!$E$5="Local prices",IF(F108="","",IF(Compare!$C$5="Minimum",F108,IF(Compare!$C$5="Maximum",H108,G108))),IF(I108="","",IF(Compare!$C$5="Minimum",I108,IF(Compare!$C$5="Maximum",K108,J108))))</f>
        <v/>
      </c>
    </row>
    <row r="109" customFormat="false" ht="39" hidden="false" customHeight="true" outlineLevel="0" collapsed="false">
      <c r="A109" s="3"/>
      <c r="B109" s="102" t="s">
        <v>43</v>
      </c>
      <c r="C109" s="103" t="s">
        <v>13</v>
      </c>
      <c r="D109" s="103" t="s">
        <v>490</v>
      </c>
      <c r="E109" s="103" t="s">
        <v>491</v>
      </c>
      <c r="F109" s="104" t="str">
        <f aca="false">IF(COUNTIFS(Offers!$B$7:$B$3000,$B109,Offers!$C$7:$C$3000,$C109,Offers!$AH$7:$AH$3000,"yes")=0,"",SUMIFS(Offers!$H$7:$H$3000,Offers!$B$7:$B$3000,$B109,Offers!$C$7:$C$3000,$C109,Offers!$AF$7:$AF$3000,1))</f>
        <v/>
      </c>
      <c r="G109" s="105" t="str">
        <f aca="false">IF(COUNTIFS(Offers!$B$7:$B$3000,$B109,Offers!$C$7:$C$3000,$C109,Offers!$AH$7:$AH$3000,"yes")=0,"",(SUMIFS(Offers!$H$7:$H$3000,Offers!$B$7:$B$3000,$B109,Offers!$C$7:$C$3000,$C109,Offers!$AF$7:$AF$3000,ROUNDUP(COUNTIFS(Offers!$B$7:$B$3000,$B109,Offers!$C$7:$C$3000,$C109,Offers!$AH$7:$AH$3000,"yes")/2,0))+SUMIFS(Offers!$H$7:$H$3000,Offers!$B$7:$B$3000,$B109,Offers!$C$7:$C$3000,$C109,Offers!$AF$7:$AF$3000,INT(COUNTIFS(Offers!$B$7:$B$3000,$B109,Offers!$C$7:$C$3000,$C109,Offers!$AH$7:$AH$3000,"yes")/2)+1))/2)</f>
        <v/>
      </c>
      <c r="H109" s="104" t="str">
        <f aca="false">IF(COUNTIFS(Offers!$B$7:$B$3000,$B109,Offers!$C$7:$C$3000,$C109,Offers!$AH$7:$AH$3000,"yes")=0,"",SUMIFS(Offers!$H$7:$H$3000,Offers!$B$7:$B$3000,$B109,Offers!$C$7:$C$3000,$C109,Offers!$AF$7:$AF$3000,COUNTIFS(Offers!$B$7:$B$3000,$B109,Offers!$C$7:$C$3000,$C109,Offers!$AH$7:$AH$3000,"yes")))</f>
        <v/>
      </c>
      <c r="I109" s="106" t="str">
        <f aca="false">IF(COUNTIFS(Offers!$B$7:$B$3000,$B109,Offers!$C$7:$C$3000,$C109,Offers!$AI$7:$AI$3000,"yes")=0,"",SUMIFS(Offers!$I$7:$I$3000,Offers!$B$7:$B$3000,$B109,Offers!$C$7:$C$3000,$C109,Offers!$AG$7:$AG$3000,1))</f>
        <v/>
      </c>
      <c r="J109" s="107" t="str">
        <f aca="false">IF(COUNTIFS(Offers!$B$7:$B$3000,$B109,Offers!$C$7:$C$3000,$C109,Offers!$AI$7:$AI$3000,"yes")=0,"",(SUMIFS(Offers!$I$7:$I$3000,Offers!$B$7:$B$3000,$B109,Offers!$C$7:$C$3000,$C109,Offers!$AG$7:$AG$3000,ROUNDUP(COUNTIFS(Offers!$B$7:$B$3000,$B109,Offers!$C$7:$C$3000,$C109,Offers!$AI$7:$AI$3000,"yes")/2,0))+SUMIFS(Offers!$I$7:$I$3000,Offers!$B$7:$B$3000,$B109,Offers!$C$7:$C$3000,$C109,Offers!$AG$7:$AG$3000,INT(COUNTIFS(Offers!$B$7:$B$3000,$B109,Offers!$C$7:$C$3000,$C109,Offers!$AI$7:$AI$3000,"yes")/2)+1))/2)</f>
        <v/>
      </c>
      <c r="K109" s="106" t="str">
        <f aca="false">IF(COUNTIFS(Offers!$B$7:$B$3000,$B109,Offers!$C$7:$C$3000,$C109,Offers!$AI$7:$AI$3000,"yes")=0,"",SUMIFS(Offers!$I$7:$I$3000,Offers!$B$7:$B$3000,$B109,Offers!$C$7:$C$3000,$C109,Offers!$AG$7:$AG$3000,COUNTIFS(Offers!$B$7:$B$3000,$B109,Offers!$C$7:$C$3000,$C109,Offers!$AI$7:$AI$3000,"yes")))</f>
        <v/>
      </c>
      <c r="L109" s="108"/>
      <c r="M109" s="108"/>
      <c r="N109" s="108"/>
      <c r="O109" s="109" t="str">
        <f aca="false">IF(Compare!$E$5="Local prices",IF(F109="","",IF(Compare!$C$5="Minimum",F109,IF(Compare!$C$5="Maximum",H109,G109))),IF(I109="","",IF(Compare!$C$5="Minimum",I109,IF(Compare!$C$5="Maximum",K109,J109))))</f>
        <v/>
      </c>
    </row>
    <row r="110" customFormat="false" ht="39" hidden="false" customHeight="true" outlineLevel="0" collapsed="false">
      <c r="A110" s="3"/>
      <c r="B110" s="36" t="s">
        <v>43</v>
      </c>
      <c r="C110" s="98" t="s">
        <v>14</v>
      </c>
      <c r="D110" s="98" t="s">
        <v>374</v>
      </c>
      <c r="E110" s="98" t="s">
        <v>491</v>
      </c>
      <c r="F110" s="99" t="str">
        <f aca="false">IF(COUNTIFS(Offers!$B$7:$B$3000,$B110,Offers!$C$7:$C$3000,$C110,Offers!$AH$7:$AH$3000,"yes")=0,"",SUMIFS(Offers!$H$7:$H$3000,Offers!$B$7:$B$3000,$B110,Offers!$C$7:$C$3000,$C110,Offers!$AF$7:$AF$3000,1))</f>
        <v/>
      </c>
      <c r="G110" s="93" t="str">
        <f aca="false">IF(COUNTIFS(Offers!$B$7:$B$3000,$B110,Offers!$C$7:$C$3000,$C110,Offers!$AH$7:$AH$3000,"yes")=0,"",(SUMIFS(Offers!$H$7:$H$3000,Offers!$B$7:$B$3000,$B110,Offers!$C$7:$C$3000,$C110,Offers!$AF$7:$AF$3000,ROUNDUP(COUNTIFS(Offers!$B$7:$B$3000,$B110,Offers!$C$7:$C$3000,$C110,Offers!$AH$7:$AH$3000,"yes")/2,0))+SUMIFS(Offers!$H$7:$H$3000,Offers!$B$7:$B$3000,$B110,Offers!$C$7:$C$3000,$C110,Offers!$AF$7:$AF$3000,INT(COUNTIFS(Offers!$B$7:$B$3000,$B110,Offers!$C$7:$C$3000,$C110,Offers!$AH$7:$AH$3000,"yes")/2)+1))/2)</f>
        <v/>
      </c>
      <c r="H110" s="99" t="str">
        <f aca="false">IF(COUNTIFS(Offers!$B$7:$B$3000,$B110,Offers!$C$7:$C$3000,$C110,Offers!$AH$7:$AH$3000,"yes")=0,"",SUMIFS(Offers!$H$7:$H$3000,Offers!$B$7:$B$3000,$B110,Offers!$C$7:$C$3000,$C110,Offers!$AF$7:$AF$3000,COUNTIFS(Offers!$B$7:$B$3000,$B110,Offers!$C$7:$C$3000,$C110,Offers!$AH$7:$AH$3000,"yes")))</f>
        <v/>
      </c>
      <c r="I110" s="100" t="str">
        <f aca="false">IF(COUNTIFS(Offers!$B$7:$B$3000,$B110,Offers!$C$7:$C$3000,$C110,Offers!$AI$7:$AI$3000,"yes")=0,"",SUMIFS(Offers!$I$7:$I$3000,Offers!$B$7:$B$3000,$B110,Offers!$C$7:$C$3000,$C110,Offers!$AG$7:$AG$3000,1))</f>
        <v/>
      </c>
      <c r="J110" s="95" t="str">
        <f aca="false">IF(COUNTIFS(Offers!$B$7:$B$3000,$B110,Offers!$C$7:$C$3000,$C110,Offers!$AI$7:$AI$3000,"yes")=0,"",(SUMIFS(Offers!$I$7:$I$3000,Offers!$B$7:$B$3000,$B110,Offers!$C$7:$C$3000,$C110,Offers!$AG$7:$AG$3000,ROUNDUP(COUNTIFS(Offers!$B$7:$B$3000,$B110,Offers!$C$7:$C$3000,$C110,Offers!$AI$7:$AI$3000,"yes")/2,0))+SUMIFS(Offers!$I$7:$I$3000,Offers!$B$7:$B$3000,$B110,Offers!$C$7:$C$3000,$C110,Offers!$AG$7:$AG$3000,INT(COUNTIFS(Offers!$B$7:$B$3000,$B110,Offers!$C$7:$C$3000,$C110,Offers!$AI$7:$AI$3000,"yes")/2)+1))/2)</f>
        <v/>
      </c>
      <c r="K110" s="100" t="str">
        <f aca="false">IF(COUNTIFS(Offers!$B$7:$B$3000,$B110,Offers!$C$7:$C$3000,$C110,Offers!$AI$7:$AI$3000,"yes")=0,"",SUMIFS(Offers!$I$7:$I$3000,Offers!$B$7:$B$3000,$B110,Offers!$C$7:$C$3000,$C110,Offers!$AG$7:$AG$3000,COUNTIFS(Offers!$B$7:$B$3000,$B110,Offers!$C$7:$C$3000,$C110,Offers!$AI$7:$AI$3000,"yes")))</f>
        <v/>
      </c>
      <c r="L110" s="96"/>
      <c r="M110" s="96"/>
      <c r="N110" s="96"/>
      <c r="O110" s="110" t="str">
        <f aca="false">IF(Compare!$E$5="Local prices",IF(F110="","",IF(Compare!$C$5="Minimum",F110,IF(Compare!$C$5="Maximum",H110,G110))),IF(I110="","",IF(Compare!$C$5="Minimum",I110,IF(Compare!$C$5="Maximum",K110,J110))))</f>
        <v/>
      </c>
    </row>
    <row r="111" customFormat="false" ht="39" hidden="false" customHeight="true" outlineLevel="0" collapsed="false">
      <c r="A111" s="3"/>
      <c r="B111" s="31" t="s">
        <v>43</v>
      </c>
      <c r="C111" s="91" t="s">
        <v>15</v>
      </c>
      <c r="D111" s="91" t="s">
        <v>244</v>
      </c>
      <c r="E111" s="91" t="s">
        <v>491</v>
      </c>
      <c r="F111" s="92" t="n">
        <f aca="false">IF(COUNTIFS(Offers!$B$7:$B$3000,$B111,Offers!$C$7:$C$3000,$C111,Offers!$AH$7:$AH$3000,"yes")=0,"",SUMIFS(Offers!$H$7:$H$3000,Offers!$B$7:$B$3000,$B111,Offers!$C$7:$C$3000,$C111,Offers!$AF$7:$AF$3000,1))</f>
        <v>7.17</v>
      </c>
      <c r="G111" s="93" t="n">
        <f aca="false">IF(COUNTIFS(Offers!$B$7:$B$3000,$B111,Offers!$C$7:$C$3000,$C111,Offers!$AH$7:$AH$3000,"yes")=0,"",(SUMIFS(Offers!$H$7:$H$3000,Offers!$B$7:$B$3000,$B111,Offers!$C$7:$C$3000,$C111,Offers!$AF$7:$AF$3000,ROUNDUP(COUNTIFS(Offers!$B$7:$B$3000,$B111,Offers!$C$7:$C$3000,$C111,Offers!$AH$7:$AH$3000,"yes")/2,0))+SUMIFS(Offers!$H$7:$H$3000,Offers!$B$7:$B$3000,$B111,Offers!$C$7:$C$3000,$C111,Offers!$AF$7:$AF$3000,INT(COUNTIFS(Offers!$B$7:$B$3000,$B111,Offers!$C$7:$C$3000,$C111,Offers!$AH$7:$AH$3000,"yes")/2)+1))/2)</f>
        <v>12.23</v>
      </c>
      <c r="H111" s="92" t="n">
        <f aca="false">IF(COUNTIFS(Offers!$B$7:$B$3000,$B111,Offers!$C$7:$C$3000,$C111,Offers!$AH$7:$AH$3000,"yes")=0,"",SUMIFS(Offers!$H$7:$H$3000,Offers!$B$7:$B$3000,$B111,Offers!$C$7:$C$3000,$C111,Offers!$AF$7:$AF$3000,COUNTIFS(Offers!$B$7:$B$3000,$B111,Offers!$C$7:$C$3000,$C111,Offers!$AH$7:$AH$3000,"yes")))</f>
        <v>19.99</v>
      </c>
      <c r="I111" s="94" t="n">
        <f aca="false">IF(COUNTIFS(Offers!$B$7:$B$3000,$B111,Offers!$C$7:$C$3000,$C111,Offers!$AI$7:$AI$3000,"yes")=0,"",SUMIFS(Offers!$I$7:$I$3000,Offers!$B$7:$B$3000,$B111,Offers!$C$7:$C$3000,$C111,Offers!$AG$7:$AG$3000,1))</f>
        <v>7.17</v>
      </c>
      <c r="J111" s="95" t="n">
        <f aca="false">IF(COUNTIFS(Offers!$B$7:$B$3000,$B111,Offers!$C$7:$C$3000,$C111,Offers!$AI$7:$AI$3000,"yes")=0,"",(SUMIFS(Offers!$I$7:$I$3000,Offers!$B$7:$B$3000,$B111,Offers!$C$7:$C$3000,$C111,Offers!$AG$7:$AG$3000,ROUNDUP(COUNTIFS(Offers!$B$7:$B$3000,$B111,Offers!$C$7:$C$3000,$C111,Offers!$AI$7:$AI$3000,"yes")/2,0))+SUMIFS(Offers!$I$7:$I$3000,Offers!$B$7:$B$3000,$B111,Offers!$C$7:$C$3000,$C111,Offers!$AG$7:$AG$3000,INT(COUNTIFS(Offers!$B$7:$B$3000,$B111,Offers!$C$7:$C$3000,$C111,Offers!$AI$7:$AI$3000,"yes")/2)+1))/2)</f>
        <v>12.23</v>
      </c>
      <c r="K111" s="94" t="n">
        <f aca="false">IF(COUNTIFS(Offers!$B$7:$B$3000,$B111,Offers!$C$7:$C$3000,$C111,Offers!$AI$7:$AI$3000,"yes")=0,"",SUMIFS(Offers!$I$7:$I$3000,Offers!$B$7:$B$3000,$B111,Offers!$C$7:$C$3000,$C111,Offers!$AG$7:$AG$3000,COUNTIFS(Offers!$B$7:$B$3000,$B111,Offers!$C$7:$C$3000,$C111,Offers!$AI$7:$AI$3000,"yes")))</f>
        <v>19.99</v>
      </c>
      <c r="L111" s="96"/>
      <c r="M111" s="96"/>
      <c r="N111" s="96"/>
      <c r="O111" s="97" t="n">
        <f aca="false">IF(Compare!$E$5="Local prices",IF(F111="","",IF(Compare!$C$5="Minimum",F111,IF(Compare!$C$5="Maximum",H111,G111))),IF(I111="","",IF(Compare!$C$5="Minimum",I111,IF(Compare!$C$5="Maximum",K111,J111))))</f>
        <v>12.23</v>
      </c>
    </row>
    <row r="112" customFormat="false" ht="39" hidden="false" customHeight="true" outlineLevel="0" collapsed="false">
      <c r="A112" s="3"/>
      <c r="B112" s="36" t="s">
        <v>43</v>
      </c>
      <c r="C112" s="98" t="s">
        <v>16</v>
      </c>
      <c r="D112" s="98" t="s">
        <v>244</v>
      </c>
      <c r="E112" s="98" t="s">
        <v>491</v>
      </c>
      <c r="F112" s="99" t="n">
        <f aca="false">IF(COUNTIFS(Offers!$B$7:$B$3000,$B112,Offers!$C$7:$C$3000,$C112,Offers!$AH$7:$AH$3000,"yes")=0,"",SUMIFS(Offers!$H$7:$H$3000,Offers!$B$7:$B$3000,$B112,Offers!$C$7:$C$3000,$C112,Offers!$AF$7:$AF$3000,1))</f>
        <v>4.67</v>
      </c>
      <c r="G112" s="93" t="n">
        <f aca="false">IF(COUNTIFS(Offers!$B$7:$B$3000,$B112,Offers!$C$7:$C$3000,$C112,Offers!$AH$7:$AH$3000,"yes")=0,"",(SUMIFS(Offers!$H$7:$H$3000,Offers!$B$7:$B$3000,$B112,Offers!$C$7:$C$3000,$C112,Offers!$AF$7:$AF$3000,ROUNDUP(COUNTIFS(Offers!$B$7:$B$3000,$B112,Offers!$C$7:$C$3000,$C112,Offers!$AH$7:$AH$3000,"yes")/2,0))+SUMIFS(Offers!$H$7:$H$3000,Offers!$B$7:$B$3000,$B112,Offers!$C$7:$C$3000,$C112,Offers!$AF$7:$AF$3000,INT(COUNTIFS(Offers!$B$7:$B$3000,$B112,Offers!$C$7:$C$3000,$C112,Offers!$AH$7:$AH$3000,"yes")/2)+1))/2)</f>
        <v>8.505</v>
      </c>
      <c r="H112" s="99" t="n">
        <f aca="false">IF(COUNTIFS(Offers!$B$7:$B$3000,$B112,Offers!$C$7:$C$3000,$C112,Offers!$AH$7:$AH$3000,"yes")=0,"",SUMIFS(Offers!$H$7:$H$3000,Offers!$B$7:$B$3000,$B112,Offers!$C$7:$C$3000,$C112,Offers!$AF$7:$AF$3000,COUNTIFS(Offers!$B$7:$B$3000,$B112,Offers!$C$7:$C$3000,$C112,Offers!$AH$7:$AH$3000,"yes")))</f>
        <v>15.69</v>
      </c>
      <c r="I112" s="100" t="n">
        <f aca="false">IF(COUNTIFS(Offers!$B$7:$B$3000,$B112,Offers!$C$7:$C$3000,$C112,Offers!$AI$7:$AI$3000,"yes")=0,"",SUMIFS(Offers!$I$7:$I$3000,Offers!$B$7:$B$3000,$B112,Offers!$C$7:$C$3000,$C112,Offers!$AG$7:$AG$3000,1))</f>
        <v>4.67</v>
      </c>
      <c r="J112" s="95" t="n">
        <f aca="false">IF(COUNTIFS(Offers!$B$7:$B$3000,$B112,Offers!$C$7:$C$3000,$C112,Offers!$AI$7:$AI$3000,"yes")=0,"",(SUMIFS(Offers!$I$7:$I$3000,Offers!$B$7:$B$3000,$B112,Offers!$C$7:$C$3000,$C112,Offers!$AG$7:$AG$3000,ROUNDUP(COUNTIFS(Offers!$B$7:$B$3000,$B112,Offers!$C$7:$C$3000,$C112,Offers!$AI$7:$AI$3000,"yes")/2,0))+SUMIFS(Offers!$I$7:$I$3000,Offers!$B$7:$B$3000,$B112,Offers!$C$7:$C$3000,$C112,Offers!$AG$7:$AG$3000,INT(COUNTIFS(Offers!$B$7:$B$3000,$B112,Offers!$C$7:$C$3000,$C112,Offers!$AI$7:$AI$3000,"yes")/2)+1))/2)</f>
        <v>8.505</v>
      </c>
      <c r="K112" s="100" t="n">
        <f aca="false">IF(COUNTIFS(Offers!$B$7:$B$3000,$B112,Offers!$C$7:$C$3000,$C112,Offers!$AI$7:$AI$3000,"yes")=0,"",SUMIFS(Offers!$I$7:$I$3000,Offers!$B$7:$B$3000,$B112,Offers!$C$7:$C$3000,$C112,Offers!$AG$7:$AG$3000,COUNTIFS(Offers!$B$7:$B$3000,$B112,Offers!$C$7:$C$3000,$C112,Offers!$AI$7:$AI$3000,"yes")))</f>
        <v>15.69</v>
      </c>
      <c r="L112" s="96"/>
      <c r="M112" s="96"/>
      <c r="N112" s="96"/>
      <c r="O112" s="101" t="n">
        <f aca="false">IF(Compare!$E$5="Local prices",IF(F112="","",IF(Compare!$C$5="Minimum",F112,IF(Compare!$C$5="Maximum",H112,G112))),IF(I112="","",IF(Compare!$C$5="Minimum",I112,IF(Compare!$C$5="Maximum",K112,J112))))</f>
        <v>8.505</v>
      </c>
    </row>
    <row r="113" customFormat="false" ht="39" hidden="false" customHeight="true" outlineLevel="0" collapsed="false">
      <c r="A113" s="3"/>
      <c r="B113" s="31" t="s">
        <v>43</v>
      </c>
      <c r="C113" s="91" t="s">
        <v>17</v>
      </c>
      <c r="D113" s="91" t="s">
        <v>333</v>
      </c>
      <c r="E113" s="91" t="s">
        <v>491</v>
      </c>
      <c r="F113" s="92" t="n">
        <f aca="false">IF(COUNTIFS(Offers!$B$7:$B$3000,$B113,Offers!$C$7:$C$3000,$C113,Offers!$AH$7:$AH$3000,"yes")=0,"",SUMIFS(Offers!$H$7:$H$3000,Offers!$B$7:$B$3000,$B113,Offers!$C$7:$C$3000,$C113,Offers!$AF$7:$AF$3000,1))</f>
        <v>141</v>
      </c>
      <c r="G113" s="93" t="n">
        <f aca="false">IF(COUNTIFS(Offers!$B$7:$B$3000,$B113,Offers!$C$7:$C$3000,$C113,Offers!$AH$7:$AH$3000,"yes")=0,"",(SUMIFS(Offers!$H$7:$H$3000,Offers!$B$7:$B$3000,$B113,Offers!$C$7:$C$3000,$C113,Offers!$AF$7:$AF$3000,ROUNDUP(COUNTIFS(Offers!$B$7:$B$3000,$B113,Offers!$C$7:$C$3000,$C113,Offers!$AH$7:$AH$3000,"yes")/2,0))+SUMIFS(Offers!$H$7:$H$3000,Offers!$B$7:$B$3000,$B113,Offers!$C$7:$C$3000,$C113,Offers!$AF$7:$AF$3000,INT(COUNTIFS(Offers!$B$7:$B$3000,$B113,Offers!$C$7:$C$3000,$C113,Offers!$AH$7:$AH$3000,"yes")/2)+1))/2)</f>
        <v>185.54</v>
      </c>
      <c r="H113" s="92" t="n">
        <f aca="false">IF(COUNTIFS(Offers!$B$7:$B$3000,$B113,Offers!$C$7:$C$3000,$C113,Offers!$AH$7:$AH$3000,"yes")=0,"",SUMIFS(Offers!$H$7:$H$3000,Offers!$B$7:$B$3000,$B113,Offers!$C$7:$C$3000,$C113,Offers!$AF$7:$AF$3000,COUNTIFS(Offers!$B$7:$B$3000,$B113,Offers!$C$7:$C$3000,$C113,Offers!$AH$7:$AH$3000,"yes")))</f>
        <v>366.12</v>
      </c>
      <c r="I113" s="94" t="n">
        <f aca="false">IF(COUNTIFS(Offers!$B$7:$B$3000,$B113,Offers!$C$7:$C$3000,$C113,Offers!$AI$7:$AI$3000,"yes")=0,"",SUMIFS(Offers!$I$7:$I$3000,Offers!$B$7:$B$3000,$B113,Offers!$C$7:$C$3000,$C113,Offers!$AG$7:$AG$3000,1))</f>
        <v>5.773101</v>
      </c>
      <c r="J113" s="95" t="n">
        <f aca="false">IF(COUNTIFS(Offers!$B$7:$B$3000,$B113,Offers!$C$7:$C$3000,$C113,Offers!$AI$7:$AI$3000,"yes")=0,"",(SUMIFS(Offers!$I$7:$I$3000,Offers!$B$7:$B$3000,$B113,Offers!$C$7:$C$3000,$C113,Offers!$AG$7:$AG$3000,ROUNDUP(COUNTIFS(Offers!$B$7:$B$3000,$B113,Offers!$C$7:$C$3000,$C113,Offers!$AI$7:$AI$3000,"yes")/2,0))+SUMIFS(Offers!$I$7:$I$3000,Offers!$B$7:$B$3000,$B113,Offers!$C$7:$C$3000,$C113,Offers!$AG$7:$AG$3000,INT(COUNTIFS(Offers!$B$7:$B$3000,$B113,Offers!$C$7:$C$3000,$C113,Offers!$AI$7:$AI$3000,"yes")/2)+1))/2)</f>
        <v>7.596746</v>
      </c>
      <c r="K113" s="94" t="n">
        <f aca="false">IF(COUNTIFS(Offers!$B$7:$B$3000,$B113,Offers!$C$7:$C$3000,$C113,Offers!$AI$7:$AI$3000,"yes")=0,"",SUMIFS(Offers!$I$7:$I$3000,Offers!$B$7:$B$3000,$B113,Offers!$C$7:$C$3000,$C113,Offers!$AG$7:$AG$3000,COUNTIFS(Offers!$B$7:$B$3000,$B113,Offers!$C$7:$C$3000,$C113,Offers!$AI$7:$AI$3000,"yes")))</f>
        <v>14.990409</v>
      </c>
      <c r="L113" s="96"/>
      <c r="M113" s="96"/>
      <c r="N113" s="96"/>
      <c r="O113" s="97" t="n">
        <f aca="false">IF(Compare!$E$5="Local prices",IF(F113="","",IF(Compare!$C$5="Minimum",F113,IF(Compare!$C$5="Maximum",H113,G113))),IF(I113="","",IF(Compare!$C$5="Minimum",I113,IF(Compare!$C$5="Maximum",K113,J113))))</f>
        <v>7.596746</v>
      </c>
    </row>
    <row r="114" customFormat="false" ht="39" hidden="false" customHeight="true" outlineLevel="0" collapsed="false">
      <c r="A114" s="3"/>
      <c r="B114" s="36" t="s">
        <v>43</v>
      </c>
      <c r="C114" s="98" t="s">
        <v>18</v>
      </c>
      <c r="D114" s="98" t="s">
        <v>244</v>
      </c>
      <c r="E114" s="98" t="s">
        <v>491</v>
      </c>
      <c r="F114" s="99" t="str">
        <f aca="false">IF(COUNTIFS(Offers!$B$7:$B$3000,$B114,Offers!$C$7:$C$3000,$C114,Offers!$AH$7:$AH$3000,"yes")=0,"",SUMIFS(Offers!$H$7:$H$3000,Offers!$B$7:$B$3000,$B114,Offers!$C$7:$C$3000,$C114,Offers!$AF$7:$AF$3000,1))</f>
        <v/>
      </c>
      <c r="G114" s="93" t="str">
        <f aca="false">IF(COUNTIFS(Offers!$B$7:$B$3000,$B114,Offers!$C$7:$C$3000,$C114,Offers!$AH$7:$AH$3000,"yes")=0,"",(SUMIFS(Offers!$H$7:$H$3000,Offers!$B$7:$B$3000,$B114,Offers!$C$7:$C$3000,$C114,Offers!$AF$7:$AF$3000,ROUNDUP(COUNTIFS(Offers!$B$7:$B$3000,$B114,Offers!$C$7:$C$3000,$C114,Offers!$AH$7:$AH$3000,"yes")/2,0))+SUMIFS(Offers!$H$7:$H$3000,Offers!$B$7:$B$3000,$B114,Offers!$C$7:$C$3000,$C114,Offers!$AF$7:$AF$3000,INT(COUNTIFS(Offers!$B$7:$B$3000,$B114,Offers!$C$7:$C$3000,$C114,Offers!$AH$7:$AH$3000,"yes")/2)+1))/2)</f>
        <v/>
      </c>
      <c r="H114" s="99" t="str">
        <f aca="false">IF(COUNTIFS(Offers!$B$7:$B$3000,$B114,Offers!$C$7:$C$3000,$C114,Offers!$AH$7:$AH$3000,"yes")=0,"",SUMIFS(Offers!$H$7:$H$3000,Offers!$B$7:$B$3000,$B114,Offers!$C$7:$C$3000,$C114,Offers!$AF$7:$AF$3000,COUNTIFS(Offers!$B$7:$B$3000,$B114,Offers!$C$7:$C$3000,$C114,Offers!$AH$7:$AH$3000,"yes")))</f>
        <v/>
      </c>
      <c r="I114" s="100" t="str">
        <f aca="false">IF(COUNTIFS(Offers!$B$7:$B$3000,$B114,Offers!$C$7:$C$3000,$C114,Offers!$AI$7:$AI$3000,"yes")=0,"",SUMIFS(Offers!$I$7:$I$3000,Offers!$B$7:$B$3000,$B114,Offers!$C$7:$C$3000,$C114,Offers!$AG$7:$AG$3000,1))</f>
        <v/>
      </c>
      <c r="J114" s="95" t="str">
        <f aca="false">IF(COUNTIFS(Offers!$B$7:$B$3000,$B114,Offers!$C$7:$C$3000,$C114,Offers!$AI$7:$AI$3000,"yes")=0,"",(SUMIFS(Offers!$I$7:$I$3000,Offers!$B$7:$B$3000,$B114,Offers!$C$7:$C$3000,$C114,Offers!$AG$7:$AG$3000,ROUNDUP(COUNTIFS(Offers!$B$7:$B$3000,$B114,Offers!$C$7:$C$3000,$C114,Offers!$AI$7:$AI$3000,"yes")/2,0))+SUMIFS(Offers!$I$7:$I$3000,Offers!$B$7:$B$3000,$B114,Offers!$C$7:$C$3000,$C114,Offers!$AG$7:$AG$3000,INT(COUNTIFS(Offers!$B$7:$B$3000,$B114,Offers!$C$7:$C$3000,$C114,Offers!$AI$7:$AI$3000,"yes")/2)+1))/2)</f>
        <v/>
      </c>
      <c r="K114" s="100" t="str">
        <f aca="false">IF(COUNTIFS(Offers!$B$7:$B$3000,$B114,Offers!$C$7:$C$3000,$C114,Offers!$AI$7:$AI$3000,"yes")=0,"",SUMIFS(Offers!$I$7:$I$3000,Offers!$B$7:$B$3000,$B114,Offers!$C$7:$C$3000,$C114,Offers!$AG$7:$AG$3000,COUNTIFS(Offers!$B$7:$B$3000,$B114,Offers!$C$7:$C$3000,$C114,Offers!$AI$7:$AI$3000,"yes")))</f>
        <v/>
      </c>
      <c r="L114" s="96"/>
      <c r="M114" s="96"/>
      <c r="N114" s="96"/>
      <c r="O114" s="110" t="str">
        <f aca="false">IF(Compare!$E$5="Local prices",IF(F114="","",IF(Compare!$C$5="Minimum",F114,IF(Compare!$C$5="Maximum",H114,G114))),IF(I114="","",IF(Compare!$C$5="Minimum",I114,IF(Compare!$C$5="Maximum",K114,J114))))</f>
        <v/>
      </c>
    </row>
    <row r="115" customFormat="false" ht="39" hidden="false" customHeight="true" outlineLevel="0" collapsed="false">
      <c r="A115" s="3"/>
      <c r="B115" s="102" t="s">
        <v>45</v>
      </c>
      <c r="C115" s="103" t="s">
        <v>13</v>
      </c>
      <c r="D115" s="103" t="s">
        <v>490</v>
      </c>
      <c r="E115" s="103" t="s">
        <v>491</v>
      </c>
      <c r="F115" s="104" t="str">
        <f aca="false">IF(COUNTIFS(Offers!$B$7:$B$3000,$B115,Offers!$C$7:$C$3000,$C115,Offers!$AH$7:$AH$3000,"yes")=0,"",SUMIFS(Offers!$H$7:$H$3000,Offers!$B$7:$B$3000,$B115,Offers!$C$7:$C$3000,$C115,Offers!$AF$7:$AF$3000,1))</f>
        <v/>
      </c>
      <c r="G115" s="105" t="str">
        <f aca="false">IF(COUNTIFS(Offers!$B$7:$B$3000,$B115,Offers!$C$7:$C$3000,$C115,Offers!$AH$7:$AH$3000,"yes")=0,"",(SUMIFS(Offers!$H$7:$H$3000,Offers!$B$7:$B$3000,$B115,Offers!$C$7:$C$3000,$C115,Offers!$AF$7:$AF$3000,ROUNDUP(COUNTIFS(Offers!$B$7:$B$3000,$B115,Offers!$C$7:$C$3000,$C115,Offers!$AH$7:$AH$3000,"yes")/2,0))+SUMIFS(Offers!$H$7:$H$3000,Offers!$B$7:$B$3000,$B115,Offers!$C$7:$C$3000,$C115,Offers!$AF$7:$AF$3000,INT(COUNTIFS(Offers!$B$7:$B$3000,$B115,Offers!$C$7:$C$3000,$C115,Offers!$AH$7:$AH$3000,"yes")/2)+1))/2)</f>
        <v/>
      </c>
      <c r="H115" s="104" t="str">
        <f aca="false">IF(COUNTIFS(Offers!$B$7:$B$3000,$B115,Offers!$C$7:$C$3000,$C115,Offers!$AH$7:$AH$3000,"yes")=0,"",SUMIFS(Offers!$H$7:$H$3000,Offers!$B$7:$B$3000,$B115,Offers!$C$7:$C$3000,$C115,Offers!$AF$7:$AF$3000,COUNTIFS(Offers!$B$7:$B$3000,$B115,Offers!$C$7:$C$3000,$C115,Offers!$AH$7:$AH$3000,"yes")))</f>
        <v/>
      </c>
      <c r="I115" s="106" t="str">
        <f aca="false">IF(COUNTIFS(Offers!$B$7:$B$3000,$B115,Offers!$C$7:$C$3000,$C115,Offers!$AI$7:$AI$3000,"yes")=0,"",SUMIFS(Offers!$I$7:$I$3000,Offers!$B$7:$B$3000,$B115,Offers!$C$7:$C$3000,$C115,Offers!$AG$7:$AG$3000,1))</f>
        <v/>
      </c>
      <c r="J115" s="107" t="str">
        <f aca="false">IF(COUNTIFS(Offers!$B$7:$B$3000,$B115,Offers!$C$7:$C$3000,$C115,Offers!$AI$7:$AI$3000,"yes")=0,"",(SUMIFS(Offers!$I$7:$I$3000,Offers!$B$7:$B$3000,$B115,Offers!$C$7:$C$3000,$C115,Offers!$AG$7:$AG$3000,ROUNDUP(COUNTIFS(Offers!$B$7:$B$3000,$B115,Offers!$C$7:$C$3000,$C115,Offers!$AI$7:$AI$3000,"yes")/2,0))+SUMIFS(Offers!$I$7:$I$3000,Offers!$B$7:$B$3000,$B115,Offers!$C$7:$C$3000,$C115,Offers!$AG$7:$AG$3000,INT(COUNTIFS(Offers!$B$7:$B$3000,$B115,Offers!$C$7:$C$3000,$C115,Offers!$AI$7:$AI$3000,"yes")/2)+1))/2)</f>
        <v/>
      </c>
      <c r="K115" s="106" t="str">
        <f aca="false">IF(COUNTIFS(Offers!$B$7:$B$3000,$B115,Offers!$C$7:$C$3000,$C115,Offers!$AI$7:$AI$3000,"yes")=0,"",SUMIFS(Offers!$I$7:$I$3000,Offers!$B$7:$B$3000,$B115,Offers!$C$7:$C$3000,$C115,Offers!$AG$7:$AG$3000,COUNTIFS(Offers!$B$7:$B$3000,$B115,Offers!$C$7:$C$3000,$C115,Offers!$AI$7:$AI$3000,"yes")))</f>
        <v/>
      </c>
      <c r="L115" s="108"/>
      <c r="M115" s="108"/>
      <c r="N115" s="108"/>
      <c r="O115" s="109" t="str">
        <f aca="false">IF(Compare!$E$5="Local prices",IF(F115="","",IF(Compare!$C$5="Minimum",F115,IF(Compare!$C$5="Maximum",H115,G115))),IF(I115="","",IF(Compare!$C$5="Minimum",I115,IF(Compare!$C$5="Maximum",K115,J115))))</f>
        <v/>
      </c>
    </row>
    <row r="116" customFormat="false" ht="39" hidden="false" customHeight="true" outlineLevel="0" collapsed="false">
      <c r="A116" s="3"/>
      <c r="B116" s="36" t="s">
        <v>45</v>
      </c>
      <c r="C116" s="98" t="s">
        <v>14</v>
      </c>
      <c r="D116" s="98" t="s">
        <v>374</v>
      </c>
      <c r="E116" s="98" t="s">
        <v>491</v>
      </c>
      <c r="F116" s="99" t="str">
        <f aca="false">IF(COUNTIFS(Offers!$B$7:$B$3000,$B116,Offers!$C$7:$C$3000,$C116,Offers!$AH$7:$AH$3000,"yes")=0,"",SUMIFS(Offers!$H$7:$H$3000,Offers!$B$7:$B$3000,$B116,Offers!$C$7:$C$3000,$C116,Offers!$AF$7:$AF$3000,1))</f>
        <v/>
      </c>
      <c r="G116" s="93" t="str">
        <f aca="false">IF(COUNTIFS(Offers!$B$7:$B$3000,$B116,Offers!$C$7:$C$3000,$C116,Offers!$AH$7:$AH$3000,"yes")=0,"",(SUMIFS(Offers!$H$7:$H$3000,Offers!$B$7:$B$3000,$B116,Offers!$C$7:$C$3000,$C116,Offers!$AF$7:$AF$3000,ROUNDUP(COUNTIFS(Offers!$B$7:$B$3000,$B116,Offers!$C$7:$C$3000,$C116,Offers!$AH$7:$AH$3000,"yes")/2,0))+SUMIFS(Offers!$H$7:$H$3000,Offers!$B$7:$B$3000,$B116,Offers!$C$7:$C$3000,$C116,Offers!$AF$7:$AF$3000,INT(COUNTIFS(Offers!$B$7:$B$3000,$B116,Offers!$C$7:$C$3000,$C116,Offers!$AH$7:$AH$3000,"yes")/2)+1))/2)</f>
        <v/>
      </c>
      <c r="H116" s="99" t="str">
        <f aca="false">IF(COUNTIFS(Offers!$B$7:$B$3000,$B116,Offers!$C$7:$C$3000,$C116,Offers!$AH$7:$AH$3000,"yes")=0,"",SUMIFS(Offers!$H$7:$H$3000,Offers!$B$7:$B$3000,$B116,Offers!$C$7:$C$3000,$C116,Offers!$AF$7:$AF$3000,COUNTIFS(Offers!$B$7:$B$3000,$B116,Offers!$C$7:$C$3000,$C116,Offers!$AH$7:$AH$3000,"yes")))</f>
        <v/>
      </c>
      <c r="I116" s="100" t="str">
        <f aca="false">IF(COUNTIFS(Offers!$B$7:$B$3000,$B116,Offers!$C$7:$C$3000,$C116,Offers!$AI$7:$AI$3000,"yes")=0,"",SUMIFS(Offers!$I$7:$I$3000,Offers!$B$7:$B$3000,$B116,Offers!$C$7:$C$3000,$C116,Offers!$AG$7:$AG$3000,1))</f>
        <v/>
      </c>
      <c r="J116" s="95" t="str">
        <f aca="false">IF(COUNTIFS(Offers!$B$7:$B$3000,$B116,Offers!$C$7:$C$3000,$C116,Offers!$AI$7:$AI$3000,"yes")=0,"",(SUMIFS(Offers!$I$7:$I$3000,Offers!$B$7:$B$3000,$B116,Offers!$C$7:$C$3000,$C116,Offers!$AG$7:$AG$3000,ROUNDUP(COUNTIFS(Offers!$B$7:$B$3000,$B116,Offers!$C$7:$C$3000,$C116,Offers!$AI$7:$AI$3000,"yes")/2,0))+SUMIFS(Offers!$I$7:$I$3000,Offers!$B$7:$B$3000,$B116,Offers!$C$7:$C$3000,$C116,Offers!$AG$7:$AG$3000,INT(COUNTIFS(Offers!$B$7:$B$3000,$B116,Offers!$C$7:$C$3000,$C116,Offers!$AI$7:$AI$3000,"yes")/2)+1))/2)</f>
        <v/>
      </c>
      <c r="K116" s="100" t="str">
        <f aca="false">IF(COUNTIFS(Offers!$B$7:$B$3000,$B116,Offers!$C$7:$C$3000,$C116,Offers!$AI$7:$AI$3000,"yes")=0,"",SUMIFS(Offers!$I$7:$I$3000,Offers!$B$7:$B$3000,$B116,Offers!$C$7:$C$3000,$C116,Offers!$AG$7:$AG$3000,COUNTIFS(Offers!$B$7:$B$3000,$B116,Offers!$C$7:$C$3000,$C116,Offers!$AI$7:$AI$3000,"yes")))</f>
        <v/>
      </c>
      <c r="L116" s="96"/>
      <c r="M116" s="96"/>
      <c r="N116" s="96"/>
      <c r="O116" s="110" t="str">
        <f aca="false">IF(Compare!$E$5="Local prices",IF(F116="","",IF(Compare!$C$5="Minimum",F116,IF(Compare!$C$5="Maximum",H116,G116))),IF(I116="","",IF(Compare!$C$5="Minimum",I116,IF(Compare!$C$5="Maximum",K116,J116))))</f>
        <v/>
      </c>
    </row>
    <row r="117" customFormat="false" ht="39" hidden="false" customHeight="true" outlineLevel="0" collapsed="false">
      <c r="A117" s="3"/>
      <c r="B117" s="31" t="s">
        <v>45</v>
      </c>
      <c r="C117" s="91" t="s">
        <v>15</v>
      </c>
      <c r="D117" s="91" t="s">
        <v>244</v>
      </c>
      <c r="E117" s="91" t="s">
        <v>491</v>
      </c>
      <c r="F117" s="92" t="n">
        <f aca="false">IF(COUNTIFS(Offers!$B$7:$B$3000,$B117,Offers!$C$7:$C$3000,$C117,Offers!$AH$7:$AH$3000,"yes")=0,"",SUMIFS(Offers!$H$7:$H$3000,Offers!$B$7:$B$3000,$B117,Offers!$C$7:$C$3000,$C117,Offers!$AF$7:$AF$3000,1))</f>
        <v>4.02</v>
      </c>
      <c r="G117" s="93" t="n">
        <f aca="false">IF(COUNTIFS(Offers!$B$7:$B$3000,$B117,Offers!$C$7:$C$3000,$C117,Offers!$AH$7:$AH$3000,"yes")=0,"",(SUMIFS(Offers!$H$7:$H$3000,Offers!$B$7:$B$3000,$B117,Offers!$C$7:$C$3000,$C117,Offers!$AF$7:$AF$3000,ROUNDUP(COUNTIFS(Offers!$B$7:$B$3000,$B117,Offers!$C$7:$C$3000,$C117,Offers!$AH$7:$AH$3000,"yes")/2,0))+SUMIFS(Offers!$H$7:$H$3000,Offers!$B$7:$B$3000,$B117,Offers!$C$7:$C$3000,$C117,Offers!$AF$7:$AF$3000,INT(COUNTIFS(Offers!$B$7:$B$3000,$B117,Offers!$C$7:$C$3000,$C117,Offers!$AH$7:$AH$3000,"yes")/2)+1))/2)</f>
        <v>7.295</v>
      </c>
      <c r="H117" s="92" t="n">
        <f aca="false">IF(COUNTIFS(Offers!$B$7:$B$3000,$B117,Offers!$C$7:$C$3000,$C117,Offers!$AH$7:$AH$3000,"yes")=0,"",SUMIFS(Offers!$H$7:$H$3000,Offers!$B$7:$B$3000,$B117,Offers!$C$7:$C$3000,$C117,Offers!$AF$7:$AF$3000,COUNTIFS(Offers!$B$7:$B$3000,$B117,Offers!$C$7:$C$3000,$C117,Offers!$AH$7:$AH$3000,"yes")))</f>
        <v>15.7</v>
      </c>
      <c r="I117" s="94" t="n">
        <f aca="false">IF(COUNTIFS(Offers!$B$7:$B$3000,$B117,Offers!$C$7:$C$3000,$C117,Offers!$AI$7:$AI$3000,"yes")=0,"",SUMIFS(Offers!$I$7:$I$3000,Offers!$B$7:$B$3000,$B117,Offers!$C$7:$C$3000,$C117,Offers!$AG$7:$AG$3000,1))</f>
        <v>4.02</v>
      </c>
      <c r="J117" s="95" t="n">
        <f aca="false">IF(COUNTIFS(Offers!$B$7:$B$3000,$B117,Offers!$C$7:$C$3000,$C117,Offers!$AI$7:$AI$3000,"yes")=0,"",(SUMIFS(Offers!$I$7:$I$3000,Offers!$B$7:$B$3000,$B117,Offers!$C$7:$C$3000,$C117,Offers!$AG$7:$AG$3000,ROUNDUP(COUNTIFS(Offers!$B$7:$B$3000,$B117,Offers!$C$7:$C$3000,$C117,Offers!$AI$7:$AI$3000,"yes")/2,0))+SUMIFS(Offers!$I$7:$I$3000,Offers!$B$7:$B$3000,$B117,Offers!$C$7:$C$3000,$C117,Offers!$AG$7:$AG$3000,INT(COUNTIFS(Offers!$B$7:$B$3000,$B117,Offers!$C$7:$C$3000,$C117,Offers!$AI$7:$AI$3000,"yes")/2)+1))/2)</f>
        <v>7.295</v>
      </c>
      <c r="K117" s="94" t="n">
        <f aca="false">IF(COUNTIFS(Offers!$B$7:$B$3000,$B117,Offers!$C$7:$C$3000,$C117,Offers!$AI$7:$AI$3000,"yes")=0,"",SUMIFS(Offers!$I$7:$I$3000,Offers!$B$7:$B$3000,$B117,Offers!$C$7:$C$3000,$C117,Offers!$AG$7:$AG$3000,COUNTIFS(Offers!$B$7:$B$3000,$B117,Offers!$C$7:$C$3000,$C117,Offers!$AI$7:$AI$3000,"yes")))</f>
        <v>15.7</v>
      </c>
      <c r="L117" s="96"/>
      <c r="M117" s="96"/>
      <c r="N117" s="96"/>
      <c r="O117" s="97" t="n">
        <f aca="false">IF(Compare!$E$5="Local prices",IF(F117="","",IF(Compare!$C$5="Minimum",F117,IF(Compare!$C$5="Maximum",H117,G117))),IF(I117="","",IF(Compare!$C$5="Minimum",I117,IF(Compare!$C$5="Maximum",K117,J117))))</f>
        <v>7.295</v>
      </c>
    </row>
    <row r="118" customFormat="false" ht="39" hidden="false" customHeight="true" outlineLevel="0" collapsed="false">
      <c r="A118" s="3"/>
      <c r="B118" s="36" t="s">
        <v>45</v>
      </c>
      <c r="C118" s="98" t="s">
        <v>16</v>
      </c>
      <c r="D118" s="98" t="s">
        <v>244</v>
      </c>
      <c r="E118" s="98" t="s">
        <v>491</v>
      </c>
      <c r="F118" s="99" t="n">
        <f aca="false">IF(COUNTIFS(Offers!$B$7:$B$3000,$B118,Offers!$C$7:$C$3000,$C118,Offers!$AH$7:$AH$3000,"yes")=0,"",SUMIFS(Offers!$H$7:$H$3000,Offers!$B$7:$B$3000,$B118,Offers!$C$7:$C$3000,$C118,Offers!$AF$7:$AF$3000,1))</f>
        <v>5.33</v>
      </c>
      <c r="G118" s="93" t="n">
        <f aca="false">IF(COUNTIFS(Offers!$B$7:$B$3000,$B118,Offers!$C$7:$C$3000,$C118,Offers!$AH$7:$AH$3000,"yes")=0,"",(SUMIFS(Offers!$H$7:$H$3000,Offers!$B$7:$B$3000,$B118,Offers!$C$7:$C$3000,$C118,Offers!$AF$7:$AF$3000,ROUNDUP(COUNTIFS(Offers!$B$7:$B$3000,$B118,Offers!$C$7:$C$3000,$C118,Offers!$AH$7:$AH$3000,"yes")/2,0))+SUMIFS(Offers!$H$7:$H$3000,Offers!$B$7:$B$3000,$B118,Offers!$C$7:$C$3000,$C118,Offers!$AF$7:$AF$3000,INT(COUNTIFS(Offers!$B$7:$B$3000,$B118,Offers!$C$7:$C$3000,$C118,Offers!$AH$7:$AH$3000,"yes")/2)+1))/2)</f>
        <v>5.52</v>
      </c>
      <c r="H118" s="99" t="n">
        <f aca="false">IF(COUNTIFS(Offers!$B$7:$B$3000,$B118,Offers!$C$7:$C$3000,$C118,Offers!$AH$7:$AH$3000,"yes")=0,"",SUMIFS(Offers!$H$7:$H$3000,Offers!$B$7:$B$3000,$B118,Offers!$C$7:$C$3000,$C118,Offers!$AF$7:$AF$3000,COUNTIFS(Offers!$B$7:$B$3000,$B118,Offers!$C$7:$C$3000,$C118,Offers!$AH$7:$AH$3000,"yes")))</f>
        <v>6.99</v>
      </c>
      <c r="I118" s="100" t="n">
        <f aca="false">IF(COUNTIFS(Offers!$B$7:$B$3000,$B118,Offers!$C$7:$C$3000,$C118,Offers!$AI$7:$AI$3000,"yes")=0,"",SUMIFS(Offers!$I$7:$I$3000,Offers!$B$7:$B$3000,$B118,Offers!$C$7:$C$3000,$C118,Offers!$AG$7:$AG$3000,1))</f>
        <v>5.33</v>
      </c>
      <c r="J118" s="95" t="n">
        <f aca="false">IF(COUNTIFS(Offers!$B$7:$B$3000,$B118,Offers!$C$7:$C$3000,$C118,Offers!$AI$7:$AI$3000,"yes")=0,"",(SUMIFS(Offers!$I$7:$I$3000,Offers!$B$7:$B$3000,$B118,Offers!$C$7:$C$3000,$C118,Offers!$AG$7:$AG$3000,ROUNDUP(COUNTIFS(Offers!$B$7:$B$3000,$B118,Offers!$C$7:$C$3000,$C118,Offers!$AI$7:$AI$3000,"yes")/2,0))+SUMIFS(Offers!$I$7:$I$3000,Offers!$B$7:$B$3000,$B118,Offers!$C$7:$C$3000,$C118,Offers!$AG$7:$AG$3000,INT(COUNTIFS(Offers!$B$7:$B$3000,$B118,Offers!$C$7:$C$3000,$C118,Offers!$AI$7:$AI$3000,"yes")/2)+1))/2)</f>
        <v>5.52</v>
      </c>
      <c r="K118" s="100" t="n">
        <f aca="false">IF(COUNTIFS(Offers!$B$7:$B$3000,$B118,Offers!$C$7:$C$3000,$C118,Offers!$AI$7:$AI$3000,"yes")=0,"",SUMIFS(Offers!$I$7:$I$3000,Offers!$B$7:$B$3000,$B118,Offers!$C$7:$C$3000,$C118,Offers!$AG$7:$AG$3000,COUNTIFS(Offers!$B$7:$B$3000,$B118,Offers!$C$7:$C$3000,$C118,Offers!$AI$7:$AI$3000,"yes")))</f>
        <v>6.99</v>
      </c>
      <c r="L118" s="96"/>
      <c r="M118" s="96"/>
      <c r="N118" s="96"/>
      <c r="O118" s="101" t="n">
        <f aca="false">IF(Compare!$E$5="Local prices",IF(F118="","",IF(Compare!$C$5="Minimum",F118,IF(Compare!$C$5="Maximum",H118,G118))),IF(I118="","",IF(Compare!$C$5="Minimum",I118,IF(Compare!$C$5="Maximum",K118,J118))))</f>
        <v>5.52</v>
      </c>
    </row>
    <row r="119" customFormat="false" ht="39" hidden="false" customHeight="true" outlineLevel="0" collapsed="false">
      <c r="A119" s="3"/>
      <c r="B119" s="31" t="s">
        <v>45</v>
      </c>
      <c r="C119" s="91" t="s">
        <v>17</v>
      </c>
      <c r="D119" s="91" t="s">
        <v>333</v>
      </c>
      <c r="E119" s="91" t="s">
        <v>491</v>
      </c>
      <c r="F119" s="92" t="n">
        <f aca="false">IF(COUNTIFS(Offers!$B$7:$B$3000,$B119,Offers!$C$7:$C$3000,$C119,Offers!$AH$7:$AH$3000,"yes")=0,"",SUMIFS(Offers!$H$7:$H$3000,Offers!$B$7:$B$3000,$B119,Offers!$C$7:$C$3000,$C119,Offers!$AF$7:$AF$3000,1))</f>
        <v>106</v>
      </c>
      <c r="G119" s="93" t="n">
        <f aca="false">IF(COUNTIFS(Offers!$B$7:$B$3000,$B119,Offers!$C$7:$C$3000,$C119,Offers!$AH$7:$AH$3000,"yes")=0,"",(SUMIFS(Offers!$H$7:$H$3000,Offers!$B$7:$B$3000,$B119,Offers!$C$7:$C$3000,$C119,Offers!$AF$7:$AF$3000,ROUNDUP(COUNTIFS(Offers!$B$7:$B$3000,$B119,Offers!$C$7:$C$3000,$C119,Offers!$AH$7:$AH$3000,"yes")/2,0))+SUMIFS(Offers!$H$7:$H$3000,Offers!$B$7:$B$3000,$B119,Offers!$C$7:$C$3000,$C119,Offers!$AF$7:$AF$3000,INT(COUNTIFS(Offers!$B$7:$B$3000,$B119,Offers!$C$7:$C$3000,$C119,Offers!$AH$7:$AH$3000,"yes")/2)+1))/2)</f>
        <v>133.84</v>
      </c>
      <c r="H119" s="92" t="n">
        <f aca="false">IF(COUNTIFS(Offers!$B$7:$B$3000,$B119,Offers!$C$7:$C$3000,$C119,Offers!$AH$7:$AH$3000,"yes")=0,"",SUMIFS(Offers!$H$7:$H$3000,Offers!$B$7:$B$3000,$B119,Offers!$C$7:$C$3000,$C119,Offers!$AF$7:$AF$3000,COUNTIFS(Offers!$B$7:$B$3000,$B119,Offers!$C$7:$C$3000,$C119,Offers!$AH$7:$AH$3000,"yes")))</f>
        <v>233.88</v>
      </c>
      <c r="I119" s="94" t="n">
        <f aca="false">IF(COUNTIFS(Offers!$B$7:$B$3000,$B119,Offers!$C$7:$C$3000,$C119,Offers!$AI$7:$AI$3000,"yes")=0,"",SUMIFS(Offers!$I$7:$I$3000,Offers!$B$7:$B$3000,$B119,Offers!$C$7:$C$3000,$C119,Offers!$AG$7:$AG$3000,1))</f>
        <v>4.340062</v>
      </c>
      <c r="J119" s="95" t="n">
        <f aca="false">IF(COUNTIFS(Offers!$B$7:$B$3000,$B119,Offers!$C$7:$C$3000,$C119,Offers!$AI$7:$AI$3000,"yes")=0,"",(SUMIFS(Offers!$I$7:$I$3000,Offers!$B$7:$B$3000,$B119,Offers!$C$7:$C$3000,$C119,Offers!$AG$7:$AG$3000,ROUNDUP(COUNTIFS(Offers!$B$7:$B$3000,$B119,Offers!$C$7:$C$3000,$C119,Offers!$AI$7:$AI$3000,"yes")/2,0))+SUMIFS(Offers!$I$7:$I$3000,Offers!$B$7:$B$3000,$B119,Offers!$C$7:$C$3000,$C119,Offers!$AG$7:$AG$3000,INT(COUNTIFS(Offers!$B$7:$B$3000,$B119,Offers!$C$7:$C$3000,$C119,Offers!$AI$7:$AI$3000,"yes")/2)+1))/2)</f>
        <v>5.479942</v>
      </c>
      <c r="K119" s="94" t="n">
        <f aca="false">IF(COUNTIFS(Offers!$B$7:$B$3000,$B119,Offers!$C$7:$C$3000,$C119,Offers!$AI$7:$AI$3000,"yes")=0,"",SUMIFS(Offers!$I$7:$I$3000,Offers!$B$7:$B$3000,$B119,Offers!$C$7:$C$3000,$C119,Offers!$AG$7:$AG$3000,COUNTIFS(Offers!$B$7:$B$3000,$B119,Offers!$C$7:$C$3000,$C119,Offers!$AI$7:$AI$3000,"yes")))</f>
        <v>9.575978</v>
      </c>
      <c r="L119" s="96"/>
      <c r="M119" s="96"/>
      <c r="N119" s="96"/>
      <c r="O119" s="97" t="n">
        <f aca="false">IF(Compare!$E$5="Local prices",IF(F119="","",IF(Compare!$C$5="Minimum",F119,IF(Compare!$C$5="Maximum",H119,G119))),IF(I119="","",IF(Compare!$C$5="Minimum",I119,IF(Compare!$C$5="Maximum",K119,J119))))</f>
        <v>5.479942</v>
      </c>
    </row>
    <row r="120" customFormat="false" ht="39" hidden="false" customHeight="true" outlineLevel="0" collapsed="false">
      <c r="A120" s="3"/>
      <c r="B120" s="36" t="s">
        <v>45</v>
      </c>
      <c r="C120" s="98" t="s">
        <v>18</v>
      </c>
      <c r="D120" s="98" t="s">
        <v>244</v>
      </c>
      <c r="E120" s="98" t="s">
        <v>491</v>
      </c>
      <c r="F120" s="99" t="str">
        <f aca="false">IF(COUNTIFS(Offers!$B$7:$B$3000,$B120,Offers!$C$7:$C$3000,$C120,Offers!$AH$7:$AH$3000,"yes")=0,"",SUMIFS(Offers!$H$7:$H$3000,Offers!$B$7:$B$3000,$B120,Offers!$C$7:$C$3000,$C120,Offers!$AF$7:$AF$3000,1))</f>
        <v/>
      </c>
      <c r="G120" s="93" t="str">
        <f aca="false">IF(COUNTIFS(Offers!$B$7:$B$3000,$B120,Offers!$C$7:$C$3000,$C120,Offers!$AH$7:$AH$3000,"yes")=0,"",(SUMIFS(Offers!$H$7:$H$3000,Offers!$B$7:$B$3000,$B120,Offers!$C$7:$C$3000,$C120,Offers!$AF$7:$AF$3000,ROUNDUP(COUNTIFS(Offers!$B$7:$B$3000,$B120,Offers!$C$7:$C$3000,$C120,Offers!$AH$7:$AH$3000,"yes")/2,0))+SUMIFS(Offers!$H$7:$H$3000,Offers!$B$7:$B$3000,$B120,Offers!$C$7:$C$3000,$C120,Offers!$AF$7:$AF$3000,INT(COUNTIFS(Offers!$B$7:$B$3000,$B120,Offers!$C$7:$C$3000,$C120,Offers!$AH$7:$AH$3000,"yes")/2)+1))/2)</f>
        <v/>
      </c>
      <c r="H120" s="99" t="str">
        <f aca="false">IF(COUNTIFS(Offers!$B$7:$B$3000,$B120,Offers!$C$7:$C$3000,$C120,Offers!$AH$7:$AH$3000,"yes")=0,"",SUMIFS(Offers!$H$7:$H$3000,Offers!$B$7:$B$3000,$B120,Offers!$C$7:$C$3000,$C120,Offers!$AF$7:$AF$3000,COUNTIFS(Offers!$B$7:$B$3000,$B120,Offers!$C$7:$C$3000,$C120,Offers!$AH$7:$AH$3000,"yes")))</f>
        <v/>
      </c>
      <c r="I120" s="100" t="str">
        <f aca="false">IF(COUNTIFS(Offers!$B$7:$B$3000,$B120,Offers!$C$7:$C$3000,$C120,Offers!$AI$7:$AI$3000,"yes")=0,"",SUMIFS(Offers!$I$7:$I$3000,Offers!$B$7:$B$3000,$B120,Offers!$C$7:$C$3000,$C120,Offers!$AG$7:$AG$3000,1))</f>
        <v/>
      </c>
      <c r="J120" s="95" t="str">
        <f aca="false">IF(COUNTIFS(Offers!$B$7:$B$3000,$B120,Offers!$C$7:$C$3000,$C120,Offers!$AI$7:$AI$3000,"yes")=0,"",(SUMIFS(Offers!$I$7:$I$3000,Offers!$B$7:$B$3000,$B120,Offers!$C$7:$C$3000,$C120,Offers!$AG$7:$AG$3000,ROUNDUP(COUNTIFS(Offers!$B$7:$B$3000,$B120,Offers!$C$7:$C$3000,$C120,Offers!$AI$7:$AI$3000,"yes")/2,0))+SUMIFS(Offers!$I$7:$I$3000,Offers!$B$7:$B$3000,$B120,Offers!$C$7:$C$3000,$C120,Offers!$AG$7:$AG$3000,INT(COUNTIFS(Offers!$B$7:$B$3000,$B120,Offers!$C$7:$C$3000,$C120,Offers!$AI$7:$AI$3000,"yes")/2)+1))/2)</f>
        <v/>
      </c>
      <c r="K120" s="100" t="str">
        <f aca="false">IF(COUNTIFS(Offers!$B$7:$B$3000,$B120,Offers!$C$7:$C$3000,$C120,Offers!$AI$7:$AI$3000,"yes")=0,"",SUMIFS(Offers!$I$7:$I$3000,Offers!$B$7:$B$3000,$B120,Offers!$C$7:$C$3000,$C120,Offers!$AG$7:$AG$3000,COUNTIFS(Offers!$B$7:$B$3000,$B120,Offers!$C$7:$C$3000,$C120,Offers!$AI$7:$AI$3000,"yes")))</f>
        <v/>
      </c>
      <c r="L120" s="96"/>
      <c r="M120" s="96"/>
      <c r="N120" s="96"/>
      <c r="O120" s="110" t="str">
        <f aca="false">IF(Compare!$E$5="Local prices",IF(F120="","",IF(Compare!$C$5="Minimum",F120,IF(Compare!$C$5="Maximum",H120,G120))),IF(I120="","",IF(Compare!$C$5="Minimum",I120,IF(Compare!$C$5="Maximum",K120,J120))))</f>
        <v/>
      </c>
    </row>
    <row r="121" customFormat="false" ht="39" hidden="false" customHeight="true" outlineLevel="0" collapsed="false">
      <c r="A121" s="3"/>
      <c r="B121" s="102" t="s">
        <v>46</v>
      </c>
      <c r="C121" s="103" t="s">
        <v>13</v>
      </c>
      <c r="D121" s="103" t="s">
        <v>490</v>
      </c>
      <c r="E121" s="103" t="s">
        <v>491</v>
      </c>
      <c r="F121" s="104" t="str">
        <f aca="false">IF(COUNTIFS(Offers!$B$7:$B$3000,$B121,Offers!$C$7:$C$3000,$C121,Offers!$AH$7:$AH$3000,"yes")=0,"",SUMIFS(Offers!$H$7:$H$3000,Offers!$B$7:$B$3000,$B121,Offers!$C$7:$C$3000,$C121,Offers!$AF$7:$AF$3000,1))</f>
        <v/>
      </c>
      <c r="G121" s="105" t="str">
        <f aca="false">IF(COUNTIFS(Offers!$B$7:$B$3000,$B121,Offers!$C$7:$C$3000,$C121,Offers!$AH$7:$AH$3000,"yes")=0,"",(SUMIFS(Offers!$H$7:$H$3000,Offers!$B$7:$B$3000,$B121,Offers!$C$7:$C$3000,$C121,Offers!$AF$7:$AF$3000,ROUNDUP(COUNTIFS(Offers!$B$7:$B$3000,$B121,Offers!$C$7:$C$3000,$C121,Offers!$AH$7:$AH$3000,"yes")/2,0))+SUMIFS(Offers!$H$7:$H$3000,Offers!$B$7:$B$3000,$B121,Offers!$C$7:$C$3000,$C121,Offers!$AF$7:$AF$3000,INT(COUNTIFS(Offers!$B$7:$B$3000,$B121,Offers!$C$7:$C$3000,$C121,Offers!$AH$7:$AH$3000,"yes")/2)+1))/2)</f>
        <v/>
      </c>
      <c r="H121" s="104" t="str">
        <f aca="false">IF(COUNTIFS(Offers!$B$7:$B$3000,$B121,Offers!$C$7:$C$3000,$C121,Offers!$AH$7:$AH$3000,"yes")=0,"",SUMIFS(Offers!$H$7:$H$3000,Offers!$B$7:$B$3000,$B121,Offers!$C$7:$C$3000,$C121,Offers!$AF$7:$AF$3000,COUNTIFS(Offers!$B$7:$B$3000,$B121,Offers!$C$7:$C$3000,$C121,Offers!$AH$7:$AH$3000,"yes")))</f>
        <v/>
      </c>
      <c r="I121" s="106" t="str">
        <f aca="false">IF(COUNTIFS(Offers!$B$7:$B$3000,$B121,Offers!$C$7:$C$3000,$C121,Offers!$AI$7:$AI$3000,"yes")=0,"",SUMIFS(Offers!$I$7:$I$3000,Offers!$B$7:$B$3000,$B121,Offers!$C$7:$C$3000,$C121,Offers!$AG$7:$AG$3000,1))</f>
        <v/>
      </c>
      <c r="J121" s="107" t="str">
        <f aca="false">IF(COUNTIFS(Offers!$B$7:$B$3000,$B121,Offers!$C$7:$C$3000,$C121,Offers!$AI$7:$AI$3000,"yes")=0,"",(SUMIFS(Offers!$I$7:$I$3000,Offers!$B$7:$B$3000,$B121,Offers!$C$7:$C$3000,$C121,Offers!$AG$7:$AG$3000,ROUNDUP(COUNTIFS(Offers!$B$7:$B$3000,$B121,Offers!$C$7:$C$3000,$C121,Offers!$AI$7:$AI$3000,"yes")/2,0))+SUMIFS(Offers!$I$7:$I$3000,Offers!$B$7:$B$3000,$B121,Offers!$C$7:$C$3000,$C121,Offers!$AG$7:$AG$3000,INT(COUNTIFS(Offers!$B$7:$B$3000,$B121,Offers!$C$7:$C$3000,$C121,Offers!$AI$7:$AI$3000,"yes")/2)+1))/2)</f>
        <v/>
      </c>
      <c r="K121" s="106" t="str">
        <f aca="false">IF(COUNTIFS(Offers!$B$7:$B$3000,$B121,Offers!$C$7:$C$3000,$C121,Offers!$AI$7:$AI$3000,"yes")=0,"",SUMIFS(Offers!$I$7:$I$3000,Offers!$B$7:$B$3000,$B121,Offers!$C$7:$C$3000,$C121,Offers!$AG$7:$AG$3000,COUNTIFS(Offers!$B$7:$B$3000,$B121,Offers!$C$7:$C$3000,$C121,Offers!$AI$7:$AI$3000,"yes")))</f>
        <v/>
      </c>
      <c r="L121" s="108"/>
      <c r="M121" s="108"/>
      <c r="N121" s="108"/>
      <c r="O121" s="109" t="str">
        <f aca="false">IF(Compare!$E$5="Local prices",IF(F121="","",IF(Compare!$C$5="Minimum",F121,IF(Compare!$C$5="Maximum",H121,G121))),IF(I121="","",IF(Compare!$C$5="Minimum",I121,IF(Compare!$C$5="Maximum",K121,J121))))</f>
        <v/>
      </c>
    </row>
    <row r="122" customFormat="false" ht="39" hidden="false" customHeight="true" outlineLevel="0" collapsed="false">
      <c r="A122" s="3"/>
      <c r="B122" s="36" t="s">
        <v>46</v>
      </c>
      <c r="C122" s="98" t="s">
        <v>14</v>
      </c>
      <c r="D122" s="98" t="s">
        <v>374</v>
      </c>
      <c r="E122" s="98" t="s">
        <v>491</v>
      </c>
      <c r="F122" s="99" t="str">
        <f aca="false">IF(COUNTIFS(Offers!$B$7:$B$3000,$B122,Offers!$C$7:$C$3000,$C122,Offers!$AH$7:$AH$3000,"yes")=0,"",SUMIFS(Offers!$H$7:$H$3000,Offers!$B$7:$B$3000,$B122,Offers!$C$7:$C$3000,$C122,Offers!$AF$7:$AF$3000,1))</f>
        <v/>
      </c>
      <c r="G122" s="93" t="str">
        <f aca="false">IF(COUNTIFS(Offers!$B$7:$B$3000,$B122,Offers!$C$7:$C$3000,$C122,Offers!$AH$7:$AH$3000,"yes")=0,"",(SUMIFS(Offers!$H$7:$H$3000,Offers!$B$7:$B$3000,$B122,Offers!$C$7:$C$3000,$C122,Offers!$AF$7:$AF$3000,ROUNDUP(COUNTIFS(Offers!$B$7:$B$3000,$B122,Offers!$C$7:$C$3000,$C122,Offers!$AH$7:$AH$3000,"yes")/2,0))+SUMIFS(Offers!$H$7:$H$3000,Offers!$B$7:$B$3000,$B122,Offers!$C$7:$C$3000,$C122,Offers!$AF$7:$AF$3000,INT(COUNTIFS(Offers!$B$7:$B$3000,$B122,Offers!$C$7:$C$3000,$C122,Offers!$AH$7:$AH$3000,"yes")/2)+1))/2)</f>
        <v/>
      </c>
      <c r="H122" s="99" t="str">
        <f aca="false">IF(COUNTIFS(Offers!$B$7:$B$3000,$B122,Offers!$C$7:$C$3000,$C122,Offers!$AH$7:$AH$3000,"yes")=0,"",SUMIFS(Offers!$H$7:$H$3000,Offers!$B$7:$B$3000,$B122,Offers!$C$7:$C$3000,$C122,Offers!$AF$7:$AF$3000,COUNTIFS(Offers!$B$7:$B$3000,$B122,Offers!$C$7:$C$3000,$C122,Offers!$AH$7:$AH$3000,"yes")))</f>
        <v/>
      </c>
      <c r="I122" s="100" t="str">
        <f aca="false">IF(COUNTIFS(Offers!$B$7:$B$3000,$B122,Offers!$C$7:$C$3000,$C122,Offers!$AI$7:$AI$3000,"yes")=0,"",SUMIFS(Offers!$I$7:$I$3000,Offers!$B$7:$B$3000,$B122,Offers!$C$7:$C$3000,$C122,Offers!$AG$7:$AG$3000,1))</f>
        <v/>
      </c>
      <c r="J122" s="95" t="str">
        <f aca="false">IF(COUNTIFS(Offers!$B$7:$B$3000,$B122,Offers!$C$7:$C$3000,$C122,Offers!$AI$7:$AI$3000,"yes")=0,"",(SUMIFS(Offers!$I$7:$I$3000,Offers!$B$7:$B$3000,$B122,Offers!$C$7:$C$3000,$C122,Offers!$AG$7:$AG$3000,ROUNDUP(COUNTIFS(Offers!$B$7:$B$3000,$B122,Offers!$C$7:$C$3000,$C122,Offers!$AI$7:$AI$3000,"yes")/2,0))+SUMIFS(Offers!$I$7:$I$3000,Offers!$B$7:$B$3000,$B122,Offers!$C$7:$C$3000,$C122,Offers!$AG$7:$AG$3000,INT(COUNTIFS(Offers!$B$7:$B$3000,$B122,Offers!$C$7:$C$3000,$C122,Offers!$AI$7:$AI$3000,"yes")/2)+1))/2)</f>
        <v/>
      </c>
      <c r="K122" s="100" t="str">
        <f aca="false">IF(COUNTIFS(Offers!$B$7:$B$3000,$B122,Offers!$C$7:$C$3000,$C122,Offers!$AI$7:$AI$3000,"yes")=0,"",SUMIFS(Offers!$I$7:$I$3000,Offers!$B$7:$B$3000,$B122,Offers!$C$7:$C$3000,$C122,Offers!$AG$7:$AG$3000,COUNTIFS(Offers!$B$7:$B$3000,$B122,Offers!$C$7:$C$3000,$C122,Offers!$AI$7:$AI$3000,"yes")))</f>
        <v/>
      </c>
      <c r="L122" s="96"/>
      <c r="M122" s="96"/>
      <c r="N122" s="96"/>
      <c r="O122" s="110" t="str">
        <f aca="false">IF(Compare!$E$5="Local prices",IF(F122="","",IF(Compare!$C$5="Minimum",F122,IF(Compare!$C$5="Maximum",H122,G122))),IF(I122="","",IF(Compare!$C$5="Minimum",I122,IF(Compare!$C$5="Maximum",K122,J122))))</f>
        <v/>
      </c>
    </row>
    <row r="123" customFormat="false" ht="39" hidden="false" customHeight="true" outlineLevel="0" collapsed="false">
      <c r="A123" s="3"/>
      <c r="B123" s="31" t="s">
        <v>46</v>
      </c>
      <c r="C123" s="91" t="s">
        <v>15</v>
      </c>
      <c r="D123" s="91" t="s">
        <v>244</v>
      </c>
      <c r="E123" s="91" t="s">
        <v>491</v>
      </c>
      <c r="F123" s="92" t="n">
        <f aca="false">IF(COUNTIFS(Offers!$B$7:$B$3000,$B123,Offers!$C$7:$C$3000,$C123,Offers!$AH$7:$AH$3000,"yes")=0,"",SUMIFS(Offers!$H$7:$H$3000,Offers!$B$7:$B$3000,$B123,Offers!$C$7:$C$3000,$C123,Offers!$AF$7:$AF$3000,1))</f>
        <v>4.25</v>
      </c>
      <c r="G123" s="93" t="n">
        <f aca="false">IF(COUNTIFS(Offers!$B$7:$B$3000,$B123,Offers!$C$7:$C$3000,$C123,Offers!$AH$7:$AH$3000,"yes")=0,"",(SUMIFS(Offers!$H$7:$H$3000,Offers!$B$7:$B$3000,$B123,Offers!$C$7:$C$3000,$C123,Offers!$AF$7:$AF$3000,ROUNDUP(COUNTIFS(Offers!$B$7:$B$3000,$B123,Offers!$C$7:$C$3000,$C123,Offers!$AH$7:$AH$3000,"yes")/2,0))+SUMIFS(Offers!$H$7:$H$3000,Offers!$B$7:$B$3000,$B123,Offers!$C$7:$C$3000,$C123,Offers!$AF$7:$AF$3000,INT(COUNTIFS(Offers!$B$7:$B$3000,$B123,Offers!$C$7:$C$3000,$C123,Offers!$AH$7:$AH$3000,"yes")/2)+1))/2)</f>
        <v>6.99</v>
      </c>
      <c r="H123" s="92" t="n">
        <f aca="false">IF(COUNTIFS(Offers!$B$7:$B$3000,$B123,Offers!$C$7:$C$3000,$C123,Offers!$AH$7:$AH$3000,"yes")=0,"",SUMIFS(Offers!$H$7:$H$3000,Offers!$B$7:$B$3000,$B123,Offers!$C$7:$C$3000,$C123,Offers!$AF$7:$AF$3000,COUNTIFS(Offers!$B$7:$B$3000,$B123,Offers!$C$7:$C$3000,$C123,Offers!$AH$7:$AH$3000,"yes")))</f>
        <v>37.9</v>
      </c>
      <c r="I123" s="94" t="n">
        <f aca="false">IF(COUNTIFS(Offers!$B$7:$B$3000,$B123,Offers!$C$7:$C$3000,$C123,Offers!$AI$7:$AI$3000,"yes")=0,"",SUMIFS(Offers!$I$7:$I$3000,Offers!$B$7:$B$3000,$B123,Offers!$C$7:$C$3000,$C123,Offers!$AG$7:$AG$3000,1))</f>
        <v>4.25</v>
      </c>
      <c r="J123" s="95" t="n">
        <f aca="false">IF(COUNTIFS(Offers!$B$7:$B$3000,$B123,Offers!$C$7:$C$3000,$C123,Offers!$AI$7:$AI$3000,"yes")=0,"",(SUMIFS(Offers!$I$7:$I$3000,Offers!$B$7:$B$3000,$B123,Offers!$C$7:$C$3000,$C123,Offers!$AG$7:$AG$3000,ROUNDUP(COUNTIFS(Offers!$B$7:$B$3000,$B123,Offers!$C$7:$C$3000,$C123,Offers!$AI$7:$AI$3000,"yes")/2,0))+SUMIFS(Offers!$I$7:$I$3000,Offers!$B$7:$B$3000,$B123,Offers!$C$7:$C$3000,$C123,Offers!$AG$7:$AG$3000,INT(COUNTIFS(Offers!$B$7:$B$3000,$B123,Offers!$C$7:$C$3000,$C123,Offers!$AI$7:$AI$3000,"yes")/2)+1))/2)</f>
        <v>6.99</v>
      </c>
      <c r="K123" s="94" t="n">
        <f aca="false">IF(COUNTIFS(Offers!$B$7:$B$3000,$B123,Offers!$C$7:$C$3000,$C123,Offers!$AI$7:$AI$3000,"yes")=0,"",SUMIFS(Offers!$I$7:$I$3000,Offers!$B$7:$B$3000,$B123,Offers!$C$7:$C$3000,$C123,Offers!$AG$7:$AG$3000,COUNTIFS(Offers!$B$7:$B$3000,$B123,Offers!$C$7:$C$3000,$C123,Offers!$AI$7:$AI$3000,"yes")))</f>
        <v>37.9</v>
      </c>
      <c r="L123" s="96"/>
      <c r="M123" s="96"/>
      <c r="N123" s="96"/>
      <c r="O123" s="97" t="n">
        <f aca="false">IF(Compare!$E$5="Local prices",IF(F123="","",IF(Compare!$C$5="Minimum",F123,IF(Compare!$C$5="Maximum",H123,G123))),IF(I123="","",IF(Compare!$C$5="Minimum",I123,IF(Compare!$C$5="Maximum",K123,J123))))</f>
        <v>6.99</v>
      </c>
    </row>
    <row r="124" customFormat="false" ht="39" hidden="false" customHeight="true" outlineLevel="0" collapsed="false">
      <c r="A124" s="3"/>
      <c r="B124" s="36" t="s">
        <v>46</v>
      </c>
      <c r="C124" s="98" t="s">
        <v>16</v>
      </c>
      <c r="D124" s="98" t="s">
        <v>244</v>
      </c>
      <c r="E124" s="98" t="s">
        <v>491</v>
      </c>
      <c r="F124" s="99" t="n">
        <f aca="false">IF(COUNTIFS(Offers!$B$7:$B$3000,$B124,Offers!$C$7:$C$3000,$C124,Offers!$AH$7:$AH$3000,"yes")=0,"",SUMIFS(Offers!$H$7:$H$3000,Offers!$B$7:$B$3000,$B124,Offers!$C$7:$C$3000,$C124,Offers!$AF$7:$AF$3000,1))</f>
        <v>5.36</v>
      </c>
      <c r="G124" s="93" t="n">
        <f aca="false">IF(COUNTIFS(Offers!$B$7:$B$3000,$B124,Offers!$C$7:$C$3000,$C124,Offers!$AH$7:$AH$3000,"yes")=0,"",(SUMIFS(Offers!$H$7:$H$3000,Offers!$B$7:$B$3000,$B124,Offers!$C$7:$C$3000,$C124,Offers!$AF$7:$AF$3000,ROUNDUP(COUNTIFS(Offers!$B$7:$B$3000,$B124,Offers!$C$7:$C$3000,$C124,Offers!$AH$7:$AH$3000,"yes")/2,0))+SUMIFS(Offers!$H$7:$H$3000,Offers!$B$7:$B$3000,$B124,Offers!$C$7:$C$3000,$C124,Offers!$AF$7:$AF$3000,INT(COUNTIFS(Offers!$B$7:$B$3000,$B124,Offers!$C$7:$C$3000,$C124,Offers!$AH$7:$AH$3000,"yes")/2)+1))/2)</f>
        <v>9.94</v>
      </c>
      <c r="H124" s="99" t="n">
        <f aca="false">IF(COUNTIFS(Offers!$B$7:$B$3000,$B124,Offers!$C$7:$C$3000,$C124,Offers!$AH$7:$AH$3000,"yes")=0,"",SUMIFS(Offers!$H$7:$H$3000,Offers!$B$7:$B$3000,$B124,Offers!$C$7:$C$3000,$C124,Offers!$AF$7:$AF$3000,COUNTIFS(Offers!$B$7:$B$3000,$B124,Offers!$C$7:$C$3000,$C124,Offers!$AH$7:$AH$3000,"yes")))</f>
        <v>13.19</v>
      </c>
      <c r="I124" s="100" t="n">
        <f aca="false">IF(COUNTIFS(Offers!$B$7:$B$3000,$B124,Offers!$C$7:$C$3000,$C124,Offers!$AI$7:$AI$3000,"yes")=0,"",SUMIFS(Offers!$I$7:$I$3000,Offers!$B$7:$B$3000,$B124,Offers!$C$7:$C$3000,$C124,Offers!$AG$7:$AG$3000,1))</f>
        <v>5.36</v>
      </c>
      <c r="J124" s="95" t="n">
        <f aca="false">IF(COUNTIFS(Offers!$B$7:$B$3000,$B124,Offers!$C$7:$C$3000,$C124,Offers!$AI$7:$AI$3000,"yes")=0,"",(SUMIFS(Offers!$I$7:$I$3000,Offers!$B$7:$B$3000,$B124,Offers!$C$7:$C$3000,$C124,Offers!$AG$7:$AG$3000,ROUNDUP(COUNTIFS(Offers!$B$7:$B$3000,$B124,Offers!$C$7:$C$3000,$C124,Offers!$AI$7:$AI$3000,"yes")/2,0))+SUMIFS(Offers!$I$7:$I$3000,Offers!$B$7:$B$3000,$B124,Offers!$C$7:$C$3000,$C124,Offers!$AG$7:$AG$3000,INT(COUNTIFS(Offers!$B$7:$B$3000,$B124,Offers!$C$7:$C$3000,$C124,Offers!$AI$7:$AI$3000,"yes")/2)+1))/2)</f>
        <v>9.94</v>
      </c>
      <c r="K124" s="100" t="n">
        <f aca="false">IF(COUNTIFS(Offers!$B$7:$B$3000,$B124,Offers!$C$7:$C$3000,$C124,Offers!$AI$7:$AI$3000,"yes")=0,"",SUMIFS(Offers!$I$7:$I$3000,Offers!$B$7:$B$3000,$B124,Offers!$C$7:$C$3000,$C124,Offers!$AG$7:$AG$3000,COUNTIFS(Offers!$B$7:$B$3000,$B124,Offers!$C$7:$C$3000,$C124,Offers!$AI$7:$AI$3000,"yes")))</f>
        <v>13.19</v>
      </c>
      <c r="L124" s="96"/>
      <c r="M124" s="96"/>
      <c r="N124" s="96"/>
      <c r="O124" s="101" t="n">
        <f aca="false">IF(Compare!$E$5="Local prices",IF(F124="","",IF(Compare!$C$5="Minimum",F124,IF(Compare!$C$5="Maximum",H124,G124))),IF(I124="","",IF(Compare!$C$5="Minimum",I124,IF(Compare!$C$5="Maximum",K124,J124))))</f>
        <v>9.94</v>
      </c>
    </row>
    <row r="125" customFormat="false" ht="39" hidden="false" customHeight="true" outlineLevel="0" collapsed="false">
      <c r="A125" s="3"/>
      <c r="B125" s="31" t="s">
        <v>46</v>
      </c>
      <c r="C125" s="91" t="s">
        <v>17</v>
      </c>
      <c r="D125" s="91" t="s">
        <v>333</v>
      </c>
      <c r="E125" s="91" t="s">
        <v>491</v>
      </c>
      <c r="F125" s="92" t="n">
        <f aca="false">IF(COUNTIFS(Offers!$B$7:$B$3000,$B125,Offers!$C$7:$C$3000,$C125,Offers!$AH$7:$AH$3000,"yes")=0,"",SUMIFS(Offers!$H$7:$H$3000,Offers!$B$7:$B$3000,$B125,Offers!$C$7:$C$3000,$C125,Offers!$AF$7:$AF$3000,1))</f>
        <v>101.39</v>
      </c>
      <c r="G125" s="93" t="n">
        <f aca="false">IF(COUNTIFS(Offers!$B$7:$B$3000,$B125,Offers!$C$7:$C$3000,$C125,Offers!$AH$7:$AH$3000,"yes")=0,"",(SUMIFS(Offers!$H$7:$H$3000,Offers!$B$7:$B$3000,$B125,Offers!$C$7:$C$3000,$C125,Offers!$AF$7:$AF$3000,ROUNDUP(COUNTIFS(Offers!$B$7:$B$3000,$B125,Offers!$C$7:$C$3000,$C125,Offers!$AH$7:$AH$3000,"yes")/2,0))+SUMIFS(Offers!$H$7:$H$3000,Offers!$B$7:$B$3000,$B125,Offers!$C$7:$C$3000,$C125,Offers!$AF$7:$AF$3000,INT(COUNTIFS(Offers!$B$7:$B$3000,$B125,Offers!$C$7:$C$3000,$C125,Offers!$AH$7:$AH$3000,"yes")/2)+1))/2)</f>
        <v>147.355</v>
      </c>
      <c r="H125" s="92" t="n">
        <f aca="false">IF(COUNTIFS(Offers!$B$7:$B$3000,$B125,Offers!$C$7:$C$3000,$C125,Offers!$AH$7:$AH$3000,"yes")=0,"",SUMIFS(Offers!$H$7:$H$3000,Offers!$B$7:$B$3000,$B125,Offers!$C$7:$C$3000,$C125,Offers!$AF$7:$AF$3000,COUNTIFS(Offers!$B$7:$B$3000,$B125,Offers!$C$7:$C$3000,$C125,Offers!$AH$7:$AH$3000,"yes")))</f>
        <v>276.03</v>
      </c>
      <c r="I125" s="94" t="n">
        <f aca="false">IF(COUNTIFS(Offers!$B$7:$B$3000,$B125,Offers!$C$7:$C$3000,$C125,Offers!$AI$7:$AI$3000,"yes")=0,"",SUMIFS(Offers!$I$7:$I$3000,Offers!$B$7:$B$3000,$B125,Offers!$C$7:$C$3000,$C125,Offers!$AG$7:$AG$3000,1))</f>
        <v>4.15131</v>
      </c>
      <c r="J125" s="95" t="n">
        <f aca="false">IF(COUNTIFS(Offers!$B$7:$B$3000,$B125,Offers!$C$7:$C$3000,$C125,Offers!$AI$7:$AI$3000,"yes")=0,"",(SUMIFS(Offers!$I$7:$I$3000,Offers!$B$7:$B$3000,$B125,Offers!$C$7:$C$3000,$C125,Offers!$AG$7:$AG$3000,ROUNDUP(COUNTIFS(Offers!$B$7:$B$3000,$B125,Offers!$C$7:$C$3000,$C125,Offers!$AI$7:$AI$3000,"yes")/2,0))+SUMIFS(Offers!$I$7:$I$3000,Offers!$B$7:$B$3000,$B125,Offers!$C$7:$C$3000,$C125,Offers!$AG$7:$AG$3000,INT(COUNTIFS(Offers!$B$7:$B$3000,$B125,Offers!$C$7:$C$3000,$C125,Offers!$AI$7:$AI$3000,"yes")/2)+1))/2)</f>
        <v>6.0333</v>
      </c>
      <c r="K125" s="94" t="n">
        <f aca="false">IF(COUNTIFS(Offers!$B$7:$B$3000,$B125,Offers!$C$7:$C$3000,$C125,Offers!$AI$7:$AI$3000,"yes")=0,"",SUMIFS(Offers!$I$7:$I$3000,Offers!$B$7:$B$3000,$B125,Offers!$C$7:$C$3000,$C125,Offers!$AG$7:$AG$3000,COUNTIFS(Offers!$B$7:$B$3000,$B125,Offers!$C$7:$C$3000,$C125,Offers!$AI$7:$AI$3000,"yes")))</f>
        <v>11.301766</v>
      </c>
      <c r="L125" s="96"/>
      <c r="M125" s="96"/>
      <c r="N125" s="96"/>
      <c r="O125" s="97" t="n">
        <f aca="false">IF(Compare!$E$5="Local prices",IF(F125="","",IF(Compare!$C$5="Minimum",F125,IF(Compare!$C$5="Maximum",H125,G125))),IF(I125="","",IF(Compare!$C$5="Minimum",I125,IF(Compare!$C$5="Maximum",K125,J125))))</f>
        <v>6.0333</v>
      </c>
    </row>
    <row r="126" customFormat="false" ht="39" hidden="false" customHeight="true" outlineLevel="0" collapsed="false">
      <c r="A126" s="3"/>
      <c r="B126" s="36" t="s">
        <v>46</v>
      </c>
      <c r="C126" s="98" t="s">
        <v>18</v>
      </c>
      <c r="D126" s="98" t="s">
        <v>244</v>
      </c>
      <c r="E126" s="98" t="s">
        <v>491</v>
      </c>
      <c r="F126" s="99" t="str">
        <f aca="false">IF(COUNTIFS(Offers!$B$7:$B$3000,$B126,Offers!$C$7:$C$3000,$C126,Offers!$AH$7:$AH$3000,"yes")=0,"",SUMIFS(Offers!$H$7:$H$3000,Offers!$B$7:$B$3000,$B126,Offers!$C$7:$C$3000,$C126,Offers!$AF$7:$AF$3000,1))</f>
        <v/>
      </c>
      <c r="G126" s="93" t="str">
        <f aca="false">IF(COUNTIFS(Offers!$B$7:$B$3000,$B126,Offers!$C$7:$C$3000,$C126,Offers!$AH$7:$AH$3000,"yes")=0,"",(SUMIFS(Offers!$H$7:$H$3000,Offers!$B$7:$B$3000,$B126,Offers!$C$7:$C$3000,$C126,Offers!$AF$7:$AF$3000,ROUNDUP(COUNTIFS(Offers!$B$7:$B$3000,$B126,Offers!$C$7:$C$3000,$C126,Offers!$AH$7:$AH$3000,"yes")/2,0))+SUMIFS(Offers!$H$7:$H$3000,Offers!$B$7:$B$3000,$B126,Offers!$C$7:$C$3000,$C126,Offers!$AF$7:$AF$3000,INT(COUNTIFS(Offers!$B$7:$B$3000,$B126,Offers!$C$7:$C$3000,$C126,Offers!$AH$7:$AH$3000,"yes")/2)+1))/2)</f>
        <v/>
      </c>
      <c r="H126" s="99" t="str">
        <f aca="false">IF(COUNTIFS(Offers!$B$7:$B$3000,$B126,Offers!$C$7:$C$3000,$C126,Offers!$AH$7:$AH$3000,"yes")=0,"",SUMIFS(Offers!$H$7:$H$3000,Offers!$B$7:$B$3000,$B126,Offers!$C$7:$C$3000,$C126,Offers!$AF$7:$AF$3000,COUNTIFS(Offers!$B$7:$B$3000,$B126,Offers!$C$7:$C$3000,$C126,Offers!$AH$7:$AH$3000,"yes")))</f>
        <v/>
      </c>
      <c r="I126" s="100" t="str">
        <f aca="false">IF(COUNTIFS(Offers!$B$7:$B$3000,$B126,Offers!$C$7:$C$3000,$C126,Offers!$AI$7:$AI$3000,"yes")=0,"",SUMIFS(Offers!$I$7:$I$3000,Offers!$B$7:$B$3000,$B126,Offers!$C$7:$C$3000,$C126,Offers!$AG$7:$AG$3000,1))</f>
        <v/>
      </c>
      <c r="J126" s="95" t="str">
        <f aca="false">IF(COUNTIFS(Offers!$B$7:$B$3000,$B126,Offers!$C$7:$C$3000,$C126,Offers!$AI$7:$AI$3000,"yes")=0,"",(SUMIFS(Offers!$I$7:$I$3000,Offers!$B$7:$B$3000,$B126,Offers!$C$7:$C$3000,$C126,Offers!$AG$7:$AG$3000,ROUNDUP(COUNTIFS(Offers!$B$7:$B$3000,$B126,Offers!$C$7:$C$3000,$C126,Offers!$AI$7:$AI$3000,"yes")/2,0))+SUMIFS(Offers!$I$7:$I$3000,Offers!$B$7:$B$3000,$B126,Offers!$C$7:$C$3000,$C126,Offers!$AG$7:$AG$3000,INT(COUNTIFS(Offers!$B$7:$B$3000,$B126,Offers!$C$7:$C$3000,$C126,Offers!$AI$7:$AI$3000,"yes")/2)+1))/2)</f>
        <v/>
      </c>
      <c r="K126" s="100" t="str">
        <f aca="false">IF(COUNTIFS(Offers!$B$7:$B$3000,$B126,Offers!$C$7:$C$3000,$C126,Offers!$AI$7:$AI$3000,"yes")=0,"",SUMIFS(Offers!$I$7:$I$3000,Offers!$B$7:$B$3000,$B126,Offers!$C$7:$C$3000,$C126,Offers!$AG$7:$AG$3000,COUNTIFS(Offers!$B$7:$B$3000,$B126,Offers!$C$7:$C$3000,$C126,Offers!$AI$7:$AI$3000,"yes")))</f>
        <v/>
      </c>
      <c r="L126" s="96"/>
      <c r="M126" s="96"/>
      <c r="N126" s="96"/>
      <c r="O126" s="110" t="str">
        <f aca="false">IF(Compare!$E$5="Local prices",IF(F126="","",IF(Compare!$C$5="Minimum",F126,IF(Compare!$C$5="Maximum",H126,G126))),IF(I126="","",IF(Compare!$C$5="Minimum",I126,IF(Compare!$C$5="Maximum",K126,J126))))</f>
        <v/>
      </c>
    </row>
    <row r="127" customFormat="false" ht="39" hidden="false" customHeight="true" outlineLevel="0" collapsed="false">
      <c r="A127" s="3"/>
      <c r="B127" s="102" t="s">
        <v>47</v>
      </c>
      <c r="C127" s="103" t="s">
        <v>13</v>
      </c>
      <c r="D127" s="103" t="s">
        <v>490</v>
      </c>
      <c r="E127" s="103" t="s">
        <v>491</v>
      </c>
      <c r="F127" s="104" t="str">
        <f aca="false">IF(COUNTIFS(Offers!$B$7:$B$3000,$B127,Offers!$C$7:$C$3000,$C127,Offers!$AH$7:$AH$3000,"yes")=0,"",SUMIFS(Offers!$H$7:$H$3000,Offers!$B$7:$B$3000,$B127,Offers!$C$7:$C$3000,$C127,Offers!$AF$7:$AF$3000,1))</f>
        <v/>
      </c>
      <c r="G127" s="105" t="str">
        <f aca="false">IF(COUNTIFS(Offers!$B$7:$B$3000,$B127,Offers!$C$7:$C$3000,$C127,Offers!$AH$7:$AH$3000,"yes")=0,"",(SUMIFS(Offers!$H$7:$H$3000,Offers!$B$7:$B$3000,$B127,Offers!$C$7:$C$3000,$C127,Offers!$AF$7:$AF$3000,ROUNDUP(COUNTIFS(Offers!$B$7:$B$3000,$B127,Offers!$C$7:$C$3000,$C127,Offers!$AH$7:$AH$3000,"yes")/2,0))+SUMIFS(Offers!$H$7:$H$3000,Offers!$B$7:$B$3000,$B127,Offers!$C$7:$C$3000,$C127,Offers!$AF$7:$AF$3000,INT(COUNTIFS(Offers!$B$7:$B$3000,$B127,Offers!$C$7:$C$3000,$C127,Offers!$AH$7:$AH$3000,"yes")/2)+1))/2)</f>
        <v/>
      </c>
      <c r="H127" s="104" t="str">
        <f aca="false">IF(COUNTIFS(Offers!$B$7:$B$3000,$B127,Offers!$C$7:$C$3000,$C127,Offers!$AH$7:$AH$3000,"yes")=0,"",SUMIFS(Offers!$H$7:$H$3000,Offers!$B$7:$B$3000,$B127,Offers!$C$7:$C$3000,$C127,Offers!$AF$7:$AF$3000,COUNTIFS(Offers!$B$7:$B$3000,$B127,Offers!$C$7:$C$3000,$C127,Offers!$AH$7:$AH$3000,"yes")))</f>
        <v/>
      </c>
      <c r="I127" s="106" t="str">
        <f aca="false">IF(COUNTIFS(Offers!$B$7:$B$3000,$B127,Offers!$C$7:$C$3000,$C127,Offers!$AI$7:$AI$3000,"yes")=0,"",SUMIFS(Offers!$I$7:$I$3000,Offers!$B$7:$B$3000,$B127,Offers!$C$7:$C$3000,$C127,Offers!$AG$7:$AG$3000,1))</f>
        <v/>
      </c>
      <c r="J127" s="107" t="str">
        <f aca="false">IF(COUNTIFS(Offers!$B$7:$B$3000,$B127,Offers!$C$7:$C$3000,$C127,Offers!$AI$7:$AI$3000,"yes")=0,"",(SUMIFS(Offers!$I$7:$I$3000,Offers!$B$7:$B$3000,$B127,Offers!$C$7:$C$3000,$C127,Offers!$AG$7:$AG$3000,ROUNDUP(COUNTIFS(Offers!$B$7:$B$3000,$B127,Offers!$C$7:$C$3000,$C127,Offers!$AI$7:$AI$3000,"yes")/2,0))+SUMIFS(Offers!$I$7:$I$3000,Offers!$B$7:$B$3000,$B127,Offers!$C$7:$C$3000,$C127,Offers!$AG$7:$AG$3000,INT(COUNTIFS(Offers!$B$7:$B$3000,$B127,Offers!$C$7:$C$3000,$C127,Offers!$AI$7:$AI$3000,"yes")/2)+1))/2)</f>
        <v/>
      </c>
      <c r="K127" s="106" t="str">
        <f aca="false">IF(COUNTIFS(Offers!$B$7:$B$3000,$B127,Offers!$C$7:$C$3000,$C127,Offers!$AI$7:$AI$3000,"yes")=0,"",SUMIFS(Offers!$I$7:$I$3000,Offers!$B$7:$B$3000,$B127,Offers!$C$7:$C$3000,$C127,Offers!$AG$7:$AG$3000,COUNTIFS(Offers!$B$7:$B$3000,$B127,Offers!$C$7:$C$3000,$C127,Offers!$AI$7:$AI$3000,"yes")))</f>
        <v/>
      </c>
      <c r="L127" s="108"/>
      <c r="M127" s="108"/>
      <c r="N127" s="108"/>
      <c r="O127" s="109" t="str">
        <f aca="false">IF(Compare!$E$5="Local prices",IF(F127="","",IF(Compare!$C$5="Minimum",F127,IF(Compare!$C$5="Maximum",H127,G127))),IF(I127="","",IF(Compare!$C$5="Minimum",I127,IF(Compare!$C$5="Maximum",K127,J127))))</f>
        <v/>
      </c>
    </row>
    <row r="128" customFormat="false" ht="39" hidden="false" customHeight="true" outlineLevel="0" collapsed="false">
      <c r="A128" s="3"/>
      <c r="B128" s="36" t="s">
        <v>47</v>
      </c>
      <c r="C128" s="98" t="s">
        <v>14</v>
      </c>
      <c r="D128" s="98" t="s">
        <v>374</v>
      </c>
      <c r="E128" s="98" t="s">
        <v>491</v>
      </c>
      <c r="F128" s="99" t="str">
        <f aca="false">IF(COUNTIFS(Offers!$B$7:$B$3000,$B128,Offers!$C$7:$C$3000,$C128,Offers!$AH$7:$AH$3000,"yes")=0,"",SUMIFS(Offers!$H$7:$H$3000,Offers!$B$7:$B$3000,$B128,Offers!$C$7:$C$3000,$C128,Offers!$AF$7:$AF$3000,1))</f>
        <v/>
      </c>
      <c r="G128" s="93" t="str">
        <f aca="false">IF(COUNTIFS(Offers!$B$7:$B$3000,$B128,Offers!$C$7:$C$3000,$C128,Offers!$AH$7:$AH$3000,"yes")=0,"",(SUMIFS(Offers!$H$7:$H$3000,Offers!$B$7:$B$3000,$B128,Offers!$C$7:$C$3000,$C128,Offers!$AF$7:$AF$3000,ROUNDUP(COUNTIFS(Offers!$B$7:$B$3000,$B128,Offers!$C$7:$C$3000,$C128,Offers!$AH$7:$AH$3000,"yes")/2,0))+SUMIFS(Offers!$H$7:$H$3000,Offers!$B$7:$B$3000,$B128,Offers!$C$7:$C$3000,$C128,Offers!$AF$7:$AF$3000,INT(COUNTIFS(Offers!$B$7:$B$3000,$B128,Offers!$C$7:$C$3000,$C128,Offers!$AH$7:$AH$3000,"yes")/2)+1))/2)</f>
        <v/>
      </c>
      <c r="H128" s="99" t="str">
        <f aca="false">IF(COUNTIFS(Offers!$B$7:$B$3000,$B128,Offers!$C$7:$C$3000,$C128,Offers!$AH$7:$AH$3000,"yes")=0,"",SUMIFS(Offers!$H$7:$H$3000,Offers!$B$7:$B$3000,$B128,Offers!$C$7:$C$3000,$C128,Offers!$AF$7:$AF$3000,COUNTIFS(Offers!$B$7:$B$3000,$B128,Offers!$C$7:$C$3000,$C128,Offers!$AH$7:$AH$3000,"yes")))</f>
        <v/>
      </c>
      <c r="I128" s="100" t="str">
        <f aca="false">IF(COUNTIFS(Offers!$B$7:$B$3000,$B128,Offers!$C$7:$C$3000,$C128,Offers!$AI$7:$AI$3000,"yes")=0,"",SUMIFS(Offers!$I$7:$I$3000,Offers!$B$7:$B$3000,$B128,Offers!$C$7:$C$3000,$C128,Offers!$AG$7:$AG$3000,1))</f>
        <v/>
      </c>
      <c r="J128" s="95" t="str">
        <f aca="false">IF(COUNTIFS(Offers!$B$7:$B$3000,$B128,Offers!$C$7:$C$3000,$C128,Offers!$AI$7:$AI$3000,"yes")=0,"",(SUMIFS(Offers!$I$7:$I$3000,Offers!$B$7:$B$3000,$B128,Offers!$C$7:$C$3000,$C128,Offers!$AG$7:$AG$3000,ROUNDUP(COUNTIFS(Offers!$B$7:$B$3000,$B128,Offers!$C$7:$C$3000,$C128,Offers!$AI$7:$AI$3000,"yes")/2,0))+SUMIFS(Offers!$I$7:$I$3000,Offers!$B$7:$B$3000,$B128,Offers!$C$7:$C$3000,$C128,Offers!$AG$7:$AG$3000,INT(COUNTIFS(Offers!$B$7:$B$3000,$B128,Offers!$C$7:$C$3000,$C128,Offers!$AI$7:$AI$3000,"yes")/2)+1))/2)</f>
        <v/>
      </c>
      <c r="K128" s="100" t="str">
        <f aca="false">IF(COUNTIFS(Offers!$B$7:$B$3000,$B128,Offers!$C$7:$C$3000,$C128,Offers!$AI$7:$AI$3000,"yes")=0,"",SUMIFS(Offers!$I$7:$I$3000,Offers!$B$7:$B$3000,$B128,Offers!$C$7:$C$3000,$C128,Offers!$AG$7:$AG$3000,COUNTIFS(Offers!$B$7:$B$3000,$B128,Offers!$C$7:$C$3000,$C128,Offers!$AI$7:$AI$3000,"yes")))</f>
        <v/>
      </c>
      <c r="L128" s="96"/>
      <c r="M128" s="96"/>
      <c r="N128" s="96"/>
      <c r="O128" s="110" t="str">
        <f aca="false">IF(Compare!$E$5="Local prices",IF(F128="","",IF(Compare!$C$5="Minimum",F128,IF(Compare!$C$5="Maximum",H128,G128))),IF(I128="","",IF(Compare!$C$5="Minimum",I128,IF(Compare!$C$5="Maximum",K128,J128))))</f>
        <v/>
      </c>
    </row>
    <row r="129" customFormat="false" ht="39" hidden="false" customHeight="true" outlineLevel="0" collapsed="false">
      <c r="A129" s="3"/>
      <c r="B129" s="31" t="s">
        <v>47</v>
      </c>
      <c r="C129" s="91" t="s">
        <v>15</v>
      </c>
      <c r="D129" s="91" t="s">
        <v>244</v>
      </c>
      <c r="E129" s="91" t="s">
        <v>491</v>
      </c>
      <c r="F129" s="92" t="n">
        <f aca="false">IF(COUNTIFS(Offers!$B$7:$B$3000,$B129,Offers!$C$7:$C$3000,$C129,Offers!$AH$7:$AH$3000,"yes")=0,"",SUMIFS(Offers!$H$7:$H$3000,Offers!$B$7:$B$3000,$B129,Offers!$C$7:$C$3000,$C129,Offers!$AF$7:$AF$3000,1))</f>
        <v>6.54</v>
      </c>
      <c r="G129" s="93" t="n">
        <f aca="false">IF(COUNTIFS(Offers!$B$7:$B$3000,$B129,Offers!$C$7:$C$3000,$C129,Offers!$AH$7:$AH$3000,"yes")=0,"",(SUMIFS(Offers!$H$7:$H$3000,Offers!$B$7:$B$3000,$B129,Offers!$C$7:$C$3000,$C129,Offers!$AF$7:$AF$3000,ROUNDUP(COUNTIFS(Offers!$B$7:$B$3000,$B129,Offers!$C$7:$C$3000,$C129,Offers!$AH$7:$AH$3000,"yes")/2,0))+SUMIFS(Offers!$H$7:$H$3000,Offers!$B$7:$B$3000,$B129,Offers!$C$7:$C$3000,$C129,Offers!$AF$7:$AF$3000,INT(COUNTIFS(Offers!$B$7:$B$3000,$B129,Offers!$C$7:$C$3000,$C129,Offers!$AH$7:$AH$3000,"yes")/2)+1))/2)</f>
        <v>10.39</v>
      </c>
      <c r="H129" s="92" t="n">
        <f aca="false">IF(COUNTIFS(Offers!$B$7:$B$3000,$B129,Offers!$C$7:$C$3000,$C129,Offers!$AH$7:$AH$3000,"yes")=0,"",SUMIFS(Offers!$H$7:$H$3000,Offers!$B$7:$B$3000,$B129,Offers!$C$7:$C$3000,$C129,Offers!$AF$7:$AF$3000,COUNTIFS(Offers!$B$7:$B$3000,$B129,Offers!$C$7:$C$3000,$C129,Offers!$AH$7:$AH$3000,"yes")))</f>
        <v>22</v>
      </c>
      <c r="I129" s="94" t="n">
        <f aca="false">IF(COUNTIFS(Offers!$B$7:$B$3000,$B129,Offers!$C$7:$C$3000,$C129,Offers!$AI$7:$AI$3000,"yes")=0,"",SUMIFS(Offers!$I$7:$I$3000,Offers!$B$7:$B$3000,$B129,Offers!$C$7:$C$3000,$C129,Offers!$AG$7:$AG$3000,1))</f>
        <v>6.54</v>
      </c>
      <c r="J129" s="95" t="n">
        <f aca="false">IF(COUNTIFS(Offers!$B$7:$B$3000,$B129,Offers!$C$7:$C$3000,$C129,Offers!$AI$7:$AI$3000,"yes")=0,"",(SUMIFS(Offers!$I$7:$I$3000,Offers!$B$7:$B$3000,$B129,Offers!$C$7:$C$3000,$C129,Offers!$AG$7:$AG$3000,ROUNDUP(COUNTIFS(Offers!$B$7:$B$3000,$B129,Offers!$C$7:$C$3000,$C129,Offers!$AI$7:$AI$3000,"yes")/2,0))+SUMIFS(Offers!$I$7:$I$3000,Offers!$B$7:$B$3000,$B129,Offers!$C$7:$C$3000,$C129,Offers!$AG$7:$AG$3000,INT(COUNTIFS(Offers!$B$7:$B$3000,$B129,Offers!$C$7:$C$3000,$C129,Offers!$AI$7:$AI$3000,"yes")/2)+1))/2)</f>
        <v>10.39</v>
      </c>
      <c r="K129" s="94" t="n">
        <f aca="false">IF(COUNTIFS(Offers!$B$7:$B$3000,$B129,Offers!$C$7:$C$3000,$C129,Offers!$AI$7:$AI$3000,"yes")=0,"",SUMIFS(Offers!$I$7:$I$3000,Offers!$B$7:$B$3000,$B129,Offers!$C$7:$C$3000,$C129,Offers!$AG$7:$AG$3000,COUNTIFS(Offers!$B$7:$B$3000,$B129,Offers!$C$7:$C$3000,$C129,Offers!$AI$7:$AI$3000,"yes")))</f>
        <v>22</v>
      </c>
      <c r="L129" s="96"/>
      <c r="M129" s="96"/>
      <c r="N129" s="96"/>
      <c r="O129" s="97" t="n">
        <f aca="false">IF(Compare!$E$5="Local prices",IF(F129="","",IF(Compare!$C$5="Minimum",F129,IF(Compare!$C$5="Maximum",H129,G129))),IF(I129="","",IF(Compare!$C$5="Minimum",I129,IF(Compare!$C$5="Maximum",K129,J129))))</f>
        <v>10.39</v>
      </c>
    </row>
    <row r="130" customFormat="false" ht="39" hidden="false" customHeight="true" outlineLevel="0" collapsed="false">
      <c r="A130" s="3"/>
      <c r="B130" s="36" t="s">
        <v>47</v>
      </c>
      <c r="C130" s="98" t="s">
        <v>16</v>
      </c>
      <c r="D130" s="98" t="s">
        <v>244</v>
      </c>
      <c r="E130" s="98" t="s">
        <v>491</v>
      </c>
      <c r="F130" s="99" t="n">
        <f aca="false">IF(COUNTIFS(Offers!$B$7:$B$3000,$B130,Offers!$C$7:$C$3000,$C130,Offers!$AH$7:$AH$3000,"yes")=0,"",SUMIFS(Offers!$H$7:$H$3000,Offers!$B$7:$B$3000,$B130,Offers!$C$7:$C$3000,$C130,Offers!$AF$7:$AF$3000,1))</f>
        <v>6.54</v>
      </c>
      <c r="G130" s="93" t="n">
        <f aca="false">IF(COUNTIFS(Offers!$B$7:$B$3000,$B130,Offers!$C$7:$C$3000,$C130,Offers!$AH$7:$AH$3000,"yes")=0,"",(SUMIFS(Offers!$H$7:$H$3000,Offers!$B$7:$B$3000,$B130,Offers!$C$7:$C$3000,$C130,Offers!$AF$7:$AF$3000,ROUNDUP(COUNTIFS(Offers!$B$7:$B$3000,$B130,Offers!$C$7:$C$3000,$C130,Offers!$AH$7:$AH$3000,"yes")/2,0))+SUMIFS(Offers!$H$7:$H$3000,Offers!$B$7:$B$3000,$B130,Offers!$C$7:$C$3000,$C130,Offers!$AF$7:$AF$3000,INT(COUNTIFS(Offers!$B$7:$B$3000,$B130,Offers!$C$7:$C$3000,$C130,Offers!$AH$7:$AH$3000,"yes")/2)+1))/2)</f>
        <v>9.245</v>
      </c>
      <c r="H130" s="99" t="n">
        <f aca="false">IF(COUNTIFS(Offers!$B$7:$B$3000,$B130,Offers!$C$7:$C$3000,$C130,Offers!$AH$7:$AH$3000,"yes")=0,"",SUMIFS(Offers!$H$7:$H$3000,Offers!$B$7:$B$3000,$B130,Offers!$C$7:$C$3000,$C130,Offers!$AF$7:$AF$3000,COUNTIFS(Offers!$B$7:$B$3000,$B130,Offers!$C$7:$C$3000,$C130,Offers!$AH$7:$AH$3000,"yes")))</f>
        <v>12.26</v>
      </c>
      <c r="I130" s="100" t="n">
        <f aca="false">IF(COUNTIFS(Offers!$B$7:$B$3000,$B130,Offers!$C$7:$C$3000,$C130,Offers!$AI$7:$AI$3000,"yes")=0,"",SUMIFS(Offers!$I$7:$I$3000,Offers!$B$7:$B$3000,$B130,Offers!$C$7:$C$3000,$C130,Offers!$AG$7:$AG$3000,1))</f>
        <v>6.54</v>
      </c>
      <c r="J130" s="95" t="n">
        <f aca="false">IF(COUNTIFS(Offers!$B$7:$B$3000,$B130,Offers!$C$7:$C$3000,$C130,Offers!$AI$7:$AI$3000,"yes")=0,"",(SUMIFS(Offers!$I$7:$I$3000,Offers!$B$7:$B$3000,$B130,Offers!$C$7:$C$3000,$C130,Offers!$AG$7:$AG$3000,ROUNDUP(COUNTIFS(Offers!$B$7:$B$3000,$B130,Offers!$C$7:$C$3000,$C130,Offers!$AI$7:$AI$3000,"yes")/2,0))+SUMIFS(Offers!$I$7:$I$3000,Offers!$B$7:$B$3000,$B130,Offers!$C$7:$C$3000,$C130,Offers!$AG$7:$AG$3000,INT(COUNTIFS(Offers!$B$7:$B$3000,$B130,Offers!$C$7:$C$3000,$C130,Offers!$AI$7:$AI$3000,"yes")/2)+1))/2)</f>
        <v>9.245</v>
      </c>
      <c r="K130" s="100" t="n">
        <f aca="false">IF(COUNTIFS(Offers!$B$7:$B$3000,$B130,Offers!$C$7:$C$3000,$C130,Offers!$AI$7:$AI$3000,"yes")=0,"",SUMIFS(Offers!$I$7:$I$3000,Offers!$B$7:$B$3000,$B130,Offers!$C$7:$C$3000,$C130,Offers!$AG$7:$AG$3000,COUNTIFS(Offers!$B$7:$B$3000,$B130,Offers!$C$7:$C$3000,$C130,Offers!$AI$7:$AI$3000,"yes")))</f>
        <v>12.26</v>
      </c>
      <c r="L130" s="96"/>
      <c r="M130" s="96"/>
      <c r="N130" s="96"/>
      <c r="O130" s="101" t="n">
        <f aca="false">IF(Compare!$E$5="Local prices",IF(F130="","",IF(Compare!$C$5="Minimum",F130,IF(Compare!$C$5="Maximum",H130,G130))),IF(I130="","",IF(Compare!$C$5="Minimum",I130,IF(Compare!$C$5="Maximum",K130,J130))))</f>
        <v>9.245</v>
      </c>
    </row>
    <row r="131" customFormat="false" ht="39" hidden="false" customHeight="true" outlineLevel="0" collapsed="false">
      <c r="A131" s="3"/>
      <c r="B131" s="31" t="s">
        <v>47</v>
      </c>
      <c r="C131" s="91" t="s">
        <v>17</v>
      </c>
      <c r="D131" s="91" t="s">
        <v>333</v>
      </c>
      <c r="E131" s="91" t="s">
        <v>491</v>
      </c>
      <c r="F131" s="92" t="n">
        <f aca="false">IF(COUNTIFS(Offers!$B$7:$B$3000,$B131,Offers!$C$7:$C$3000,$C131,Offers!$AH$7:$AH$3000,"yes")=0,"",SUMIFS(Offers!$H$7:$H$3000,Offers!$B$7:$B$3000,$B131,Offers!$C$7:$C$3000,$C131,Offers!$AF$7:$AF$3000,1))</f>
        <v>242.15</v>
      </c>
      <c r="G131" s="93" t="n">
        <f aca="false">IF(COUNTIFS(Offers!$B$7:$B$3000,$B131,Offers!$C$7:$C$3000,$C131,Offers!$AH$7:$AH$3000,"yes")=0,"",(SUMIFS(Offers!$H$7:$H$3000,Offers!$B$7:$B$3000,$B131,Offers!$C$7:$C$3000,$C131,Offers!$AF$7:$AF$3000,ROUNDUP(COUNTIFS(Offers!$B$7:$B$3000,$B131,Offers!$C$7:$C$3000,$C131,Offers!$AH$7:$AH$3000,"yes")/2,0))+SUMIFS(Offers!$H$7:$H$3000,Offers!$B$7:$B$3000,$B131,Offers!$C$7:$C$3000,$C131,Offers!$AF$7:$AF$3000,INT(COUNTIFS(Offers!$B$7:$B$3000,$B131,Offers!$C$7:$C$3000,$C131,Offers!$AH$7:$AH$3000,"yes")/2)+1))/2)</f>
        <v>264.43</v>
      </c>
      <c r="H131" s="92" t="n">
        <f aca="false">IF(COUNTIFS(Offers!$B$7:$B$3000,$B131,Offers!$C$7:$C$3000,$C131,Offers!$AH$7:$AH$3000,"yes")=0,"",SUMIFS(Offers!$H$7:$H$3000,Offers!$B$7:$B$3000,$B131,Offers!$C$7:$C$3000,$C131,Offers!$AF$7:$AF$3000,COUNTIFS(Offers!$B$7:$B$3000,$B131,Offers!$C$7:$C$3000,$C131,Offers!$AH$7:$AH$3000,"yes")))</f>
        <v>314.05</v>
      </c>
      <c r="I131" s="94" t="n">
        <f aca="false">IF(COUNTIFS(Offers!$B$7:$B$3000,$B131,Offers!$C$7:$C$3000,$C131,Offers!$AI$7:$AI$3000,"yes")=0,"",SUMIFS(Offers!$I$7:$I$3000,Offers!$B$7:$B$3000,$B131,Offers!$C$7:$C$3000,$C131,Offers!$AG$7:$AG$3000,1))</f>
        <v>9.914584</v>
      </c>
      <c r="J131" s="95" t="n">
        <f aca="false">IF(COUNTIFS(Offers!$B$7:$B$3000,$B131,Offers!$C$7:$C$3000,$C131,Offers!$AI$7:$AI$3000,"yes")=0,"",(SUMIFS(Offers!$I$7:$I$3000,Offers!$B$7:$B$3000,$B131,Offers!$C$7:$C$3000,$C131,Offers!$AG$7:$AG$3000,ROUNDUP(COUNTIFS(Offers!$B$7:$B$3000,$B131,Offers!$C$7:$C$3000,$C131,Offers!$AI$7:$AI$3000,"yes")/2,0))+SUMIFS(Offers!$I$7:$I$3000,Offers!$B$7:$B$3000,$B131,Offers!$C$7:$C$3000,$C131,Offers!$AG$7:$AG$3000,INT(COUNTIFS(Offers!$B$7:$B$3000,$B131,Offers!$C$7:$C$3000,$C131,Offers!$AI$7:$AI$3000,"yes")/2)+1))/2)</f>
        <v>10.8268165</v>
      </c>
      <c r="K131" s="94" t="n">
        <f aca="false">IF(COUNTIFS(Offers!$B$7:$B$3000,$B131,Offers!$C$7:$C$3000,$C131,Offers!$AI$7:$AI$3000,"yes")=0,"",SUMIFS(Offers!$I$7:$I$3000,Offers!$B$7:$B$3000,$B131,Offers!$C$7:$C$3000,$C131,Offers!$AG$7:$AG$3000,COUNTIFS(Offers!$B$7:$B$3000,$B131,Offers!$C$7:$C$3000,$C131,Offers!$AI$7:$AI$3000,"yes")))</f>
        <v>12.858456</v>
      </c>
      <c r="L131" s="96"/>
      <c r="M131" s="96"/>
      <c r="N131" s="96"/>
      <c r="O131" s="97" t="n">
        <f aca="false">IF(Compare!$E$5="Local prices",IF(F131="","",IF(Compare!$C$5="Minimum",F131,IF(Compare!$C$5="Maximum",H131,G131))),IF(I131="","",IF(Compare!$C$5="Minimum",I131,IF(Compare!$C$5="Maximum",K131,J131))))</f>
        <v>10.8268165</v>
      </c>
    </row>
    <row r="132" customFormat="false" ht="39" hidden="false" customHeight="true" outlineLevel="0" collapsed="false">
      <c r="A132" s="3"/>
      <c r="B132" s="36" t="s">
        <v>47</v>
      </c>
      <c r="C132" s="98" t="s">
        <v>18</v>
      </c>
      <c r="D132" s="98" t="s">
        <v>244</v>
      </c>
      <c r="E132" s="98" t="s">
        <v>491</v>
      </c>
      <c r="F132" s="99" t="str">
        <f aca="false">IF(COUNTIFS(Offers!$B$7:$B$3000,$B132,Offers!$C$7:$C$3000,$C132,Offers!$AH$7:$AH$3000,"yes")=0,"",SUMIFS(Offers!$H$7:$H$3000,Offers!$B$7:$B$3000,$B132,Offers!$C$7:$C$3000,$C132,Offers!$AF$7:$AF$3000,1))</f>
        <v/>
      </c>
      <c r="G132" s="93" t="str">
        <f aca="false">IF(COUNTIFS(Offers!$B$7:$B$3000,$B132,Offers!$C$7:$C$3000,$C132,Offers!$AH$7:$AH$3000,"yes")=0,"",(SUMIFS(Offers!$H$7:$H$3000,Offers!$B$7:$B$3000,$B132,Offers!$C$7:$C$3000,$C132,Offers!$AF$7:$AF$3000,ROUNDUP(COUNTIFS(Offers!$B$7:$B$3000,$B132,Offers!$C$7:$C$3000,$C132,Offers!$AH$7:$AH$3000,"yes")/2,0))+SUMIFS(Offers!$H$7:$H$3000,Offers!$B$7:$B$3000,$B132,Offers!$C$7:$C$3000,$C132,Offers!$AF$7:$AF$3000,INT(COUNTIFS(Offers!$B$7:$B$3000,$B132,Offers!$C$7:$C$3000,$C132,Offers!$AH$7:$AH$3000,"yes")/2)+1))/2)</f>
        <v/>
      </c>
      <c r="H132" s="99" t="str">
        <f aca="false">IF(COUNTIFS(Offers!$B$7:$B$3000,$B132,Offers!$C$7:$C$3000,$C132,Offers!$AH$7:$AH$3000,"yes")=0,"",SUMIFS(Offers!$H$7:$H$3000,Offers!$B$7:$B$3000,$B132,Offers!$C$7:$C$3000,$C132,Offers!$AF$7:$AF$3000,COUNTIFS(Offers!$B$7:$B$3000,$B132,Offers!$C$7:$C$3000,$C132,Offers!$AH$7:$AH$3000,"yes")))</f>
        <v/>
      </c>
      <c r="I132" s="100" t="str">
        <f aca="false">IF(COUNTIFS(Offers!$B$7:$B$3000,$B132,Offers!$C$7:$C$3000,$C132,Offers!$AI$7:$AI$3000,"yes")=0,"",SUMIFS(Offers!$I$7:$I$3000,Offers!$B$7:$B$3000,$B132,Offers!$C$7:$C$3000,$C132,Offers!$AG$7:$AG$3000,1))</f>
        <v/>
      </c>
      <c r="J132" s="95" t="str">
        <f aca="false">IF(COUNTIFS(Offers!$B$7:$B$3000,$B132,Offers!$C$7:$C$3000,$C132,Offers!$AI$7:$AI$3000,"yes")=0,"",(SUMIFS(Offers!$I$7:$I$3000,Offers!$B$7:$B$3000,$B132,Offers!$C$7:$C$3000,$C132,Offers!$AG$7:$AG$3000,ROUNDUP(COUNTIFS(Offers!$B$7:$B$3000,$B132,Offers!$C$7:$C$3000,$C132,Offers!$AI$7:$AI$3000,"yes")/2,0))+SUMIFS(Offers!$I$7:$I$3000,Offers!$B$7:$B$3000,$B132,Offers!$C$7:$C$3000,$C132,Offers!$AG$7:$AG$3000,INT(COUNTIFS(Offers!$B$7:$B$3000,$B132,Offers!$C$7:$C$3000,$C132,Offers!$AI$7:$AI$3000,"yes")/2)+1))/2)</f>
        <v/>
      </c>
      <c r="K132" s="100" t="str">
        <f aca="false">IF(COUNTIFS(Offers!$B$7:$B$3000,$B132,Offers!$C$7:$C$3000,$C132,Offers!$AI$7:$AI$3000,"yes")=0,"",SUMIFS(Offers!$I$7:$I$3000,Offers!$B$7:$B$3000,$B132,Offers!$C$7:$C$3000,$C132,Offers!$AG$7:$AG$3000,COUNTIFS(Offers!$B$7:$B$3000,$B132,Offers!$C$7:$C$3000,$C132,Offers!$AI$7:$AI$3000,"yes")))</f>
        <v/>
      </c>
      <c r="L132" s="96"/>
      <c r="M132" s="96"/>
      <c r="N132" s="96"/>
      <c r="O132" s="110" t="str">
        <f aca="false">IF(Compare!$E$5="Local prices",IF(F132="","",IF(Compare!$C$5="Minimum",F132,IF(Compare!$C$5="Maximum",H132,G132))),IF(I132="","",IF(Compare!$C$5="Minimum",I132,IF(Compare!$C$5="Maximum",K132,J132))))</f>
        <v/>
      </c>
    </row>
    <row r="133" customFormat="false" ht="39" hidden="false" customHeight="true" outlineLevel="0" collapsed="false">
      <c r="A133" s="3"/>
      <c r="B133" s="102" t="s">
        <v>49</v>
      </c>
      <c r="C133" s="103" t="s">
        <v>13</v>
      </c>
      <c r="D133" s="103" t="s">
        <v>490</v>
      </c>
      <c r="E133" s="103" t="s">
        <v>491</v>
      </c>
      <c r="F133" s="104" t="str">
        <f aca="false">IF(COUNTIFS(Offers!$B$7:$B$3000,$B133,Offers!$C$7:$C$3000,$C133,Offers!$AH$7:$AH$3000,"yes")=0,"",SUMIFS(Offers!$H$7:$H$3000,Offers!$B$7:$B$3000,$B133,Offers!$C$7:$C$3000,$C133,Offers!$AF$7:$AF$3000,1))</f>
        <v/>
      </c>
      <c r="G133" s="105" t="str">
        <f aca="false">IF(COUNTIFS(Offers!$B$7:$B$3000,$B133,Offers!$C$7:$C$3000,$C133,Offers!$AH$7:$AH$3000,"yes")=0,"",(SUMIFS(Offers!$H$7:$H$3000,Offers!$B$7:$B$3000,$B133,Offers!$C$7:$C$3000,$C133,Offers!$AF$7:$AF$3000,ROUNDUP(COUNTIFS(Offers!$B$7:$B$3000,$B133,Offers!$C$7:$C$3000,$C133,Offers!$AH$7:$AH$3000,"yes")/2,0))+SUMIFS(Offers!$H$7:$H$3000,Offers!$B$7:$B$3000,$B133,Offers!$C$7:$C$3000,$C133,Offers!$AF$7:$AF$3000,INT(COUNTIFS(Offers!$B$7:$B$3000,$B133,Offers!$C$7:$C$3000,$C133,Offers!$AH$7:$AH$3000,"yes")/2)+1))/2)</f>
        <v/>
      </c>
      <c r="H133" s="104" t="str">
        <f aca="false">IF(COUNTIFS(Offers!$B$7:$B$3000,$B133,Offers!$C$7:$C$3000,$C133,Offers!$AH$7:$AH$3000,"yes")=0,"",SUMIFS(Offers!$H$7:$H$3000,Offers!$B$7:$B$3000,$B133,Offers!$C$7:$C$3000,$C133,Offers!$AF$7:$AF$3000,COUNTIFS(Offers!$B$7:$B$3000,$B133,Offers!$C$7:$C$3000,$C133,Offers!$AH$7:$AH$3000,"yes")))</f>
        <v/>
      </c>
      <c r="I133" s="106" t="str">
        <f aca="false">IF(COUNTIFS(Offers!$B$7:$B$3000,$B133,Offers!$C$7:$C$3000,$C133,Offers!$AI$7:$AI$3000,"yes")=0,"",SUMIFS(Offers!$I$7:$I$3000,Offers!$B$7:$B$3000,$B133,Offers!$C$7:$C$3000,$C133,Offers!$AG$7:$AG$3000,1))</f>
        <v/>
      </c>
      <c r="J133" s="107" t="str">
        <f aca="false">IF(COUNTIFS(Offers!$B$7:$B$3000,$B133,Offers!$C$7:$C$3000,$C133,Offers!$AI$7:$AI$3000,"yes")=0,"",(SUMIFS(Offers!$I$7:$I$3000,Offers!$B$7:$B$3000,$B133,Offers!$C$7:$C$3000,$C133,Offers!$AG$7:$AG$3000,ROUNDUP(COUNTIFS(Offers!$B$7:$B$3000,$B133,Offers!$C$7:$C$3000,$C133,Offers!$AI$7:$AI$3000,"yes")/2,0))+SUMIFS(Offers!$I$7:$I$3000,Offers!$B$7:$B$3000,$B133,Offers!$C$7:$C$3000,$C133,Offers!$AG$7:$AG$3000,INT(COUNTIFS(Offers!$B$7:$B$3000,$B133,Offers!$C$7:$C$3000,$C133,Offers!$AI$7:$AI$3000,"yes")/2)+1))/2)</f>
        <v/>
      </c>
      <c r="K133" s="106" t="str">
        <f aca="false">IF(COUNTIFS(Offers!$B$7:$B$3000,$B133,Offers!$C$7:$C$3000,$C133,Offers!$AI$7:$AI$3000,"yes")=0,"",SUMIFS(Offers!$I$7:$I$3000,Offers!$B$7:$B$3000,$B133,Offers!$C$7:$C$3000,$C133,Offers!$AG$7:$AG$3000,COUNTIFS(Offers!$B$7:$B$3000,$B133,Offers!$C$7:$C$3000,$C133,Offers!$AI$7:$AI$3000,"yes")))</f>
        <v/>
      </c>
      <c r="L133" s="108"/>
      <c r="M133" s="108"/>
      <c r="N133" s="108"/>
      <c r="O133" s="109" t="str">
        <f aca="false">IF(Compare!$E$5="Local prices",IF(F133="","",IF(Compare!$C$5="Minimum",F133,IF(Compare!$C$5="Maximum",H133,G133))),IF(I133="","",IF(Compare!$C$5="Minimum",I133,IF(Compare!$C$5="Maximum",K133,J133))))</f>
        <v/>
      </c>
    </row>
    <row r="134" customFormat="false" ht="39" hidden="false" customHeight="true" outlineLevel="0" collapsed="false">
      <c r="A134" s="3"/>
      <c r="B134" s="36" t="s">
        <v>49</v>
      </c>
      <c r="C134" s="98" t="s">
        <v>14</v>
      </c>
      <c r="D134" s="98" t="s">
        <v>374</v>
      </c>
      <c r="E134" s="98" t="s">
        <v>491</v>
      </c>
      <c r="F134" s="99" t="str">
        <f aca="false">IF(COUNTIFS(Offers!$B$7:$B$3000,$B134,Offers!$C$7:$C$3000,$C134,Offers!$AH$7:$AH$3000,"yes")=0,"",SUMIFS(Offers!$H$7:$H$3000,Offers!$B$7:$B$3000,$B134,Offers!$C$7:$C$3000,$C134,Offers!$AF$7:$AF$3000,1))</f>
        <v/>
      </c>
      <c r="G134" s="93" t="str">
        <f aca="false">IF(COUNTIFS(Offers!$B$7:$B$3000,$B134,Offers!$C$7:$C$3000,$C134,Offers!$AH$7:$AH$3000,"yes")=0,"",(SUMIFS(Offers!$H$7:$H$3000,Offers!$B$7:$B$3000,$B134,Offers!$C$7:$C$3000,$C134,Offers!$AF$7:$AF$3000,ROUNDUP(COUNTIFS(Offers!$B$7:$B$3000,$B134,Offers!$C$7:$C$3000,$C134,Offers!$AH$7:$AH$3000,"yes")/2,0))+SUMIFS(Offers!$H$7:$H$3000,Offers!$B$7:$B$3000,$B134,Offers!$C$7:$C$3000,$C134,Offers!$AF$7:$AF$3000,INT(COUNTIFS(Offers!$B$7:$B$3000,$B134,Offers!$C$7:$C$3000,$C134,Offers!$AH$7:$AH$3000,"yes")/2)+1))/2)</f>
        <v/>
      </c>
      <c r="H134" s="99" t="str">
        <f aca="false">IF(COUNTIFS(Offers!$B$7:$B$3000,$B134,Offers!$C$7:$C$3000,$C134,Offers!$AH$7:$AH$3000,"yes")=0,"",SUMIFS(Offers!$H$7:$H$3000,Offers!$B$7:$B$3000,$B134,Offers!$C$7:$C$3000,$C134,Offers!$AF$7:$AF$3000,COUNTIFS(Offers!$B$7:$B$3000,$B134,Offers!$C$7:$C$3000,$C134,Offers!$AH$7:$AH$3000,"yes")))</f>
        <v/>
      </c>
      <c r="I134" s="100" t="str">
        <f aca="false">IF(COUNTIFS(Offers!$B$7:$B$3000,$B134,Offers!$C$7:$C$3000,$C134,Offers!$AI$7:$AI$3000,"yes")=0,"",SUMIFS(Offers!$I$7:$I$3000,Offers!$B$7:$B$3000,$B134,Offers!$C$7:$C$3000,$C134,Offers!$AG$7:$AG$3000,1))</f>
        <v/>
      </c>
      <c r="J134" s="95" t="str">
        <f aca="false">IF(COUNTIFS(Offers!$B$7:$B$3000,$B134,Offers!$C$7:$C$3000,$C134,Offers!$AI$7:$AI$3000,"yes")=0,"",(SUMIFS(Offers!$I$7:$I$3000,Offers!$B$7:$B$3000,$B134,Offers!$C$7:$C$3000,$C134,Offers!$AG$7:$AG$3000,ROUNDUP(COUNTIFS(Offers!$B$7:$B$3000,$B134,Offers!$C$7:$C$3000,$C134,Offers!$AI$7:$AI$3000,"yes")/2,0))+SUMIFS(Offers!$I$7:$I$3000,Offers!$B$7:$B$3000,$B134,Offers!$C$7:$C$3000,$C134,Offers!$AG$7:$AG$3000,INT(COUNTIFS(Offers!$B$7:$B$3000,$B134,Offers!$C$7:$C$3000,$C134,Offers!$AI$7:$AI$3000,"yes")/2)+1))/2)</f>
        <v/>
      </c>
      <c r="K134" s="100" t="str">
        <f aca="false">IF(COUNTIFS(Offers!$B$7:$B$3000,$B134,Offers!$C$7:$C$3000,$C134,Offers!$AI$7:$AI$3000,"yes")=0,"",SUMIFS(Offers!$I$7:$I$3000,Offers!$B$7:$B$3000,$B134,Offers!$C$7:$C$3000,$C134,Offers!$AG$7:$AG$3000,COUNTIFS(Offers!$B$7:$B$3000,$B134,Offers!$C$7:$C$3000,$C134,Offers!$AI$7:$AI$3000,"yes")))</f>
        <v/>
      </c>
      <c r="L134" s="96"/>
      <c r="M134" s="96"/>
      <c r="N134" s="96"/>
      <c r="O134" s="110" t="str">
        <f aca="false">IF(Compare!$E$5="Local prices",IF(F134="","",IF(Compare!$C$5="Minimum",F134,IF(Compare!$C$5="Maximum",H134,G134))),IF(I134="","",IF(Compare!$C$5="Minimum",I134,IF(Compare!$C$5="Maximum",K134,J134))))</f>
        <v/>
      </c>
    </row>
    <row r="135" customFormat="false" ht="39" hidden="false" customHeight="true" outlineLevel="0" collapsed="false">
      <c r="A135" s="3"/>
      <c r="B135" s="31" t="s">
        <v>49</v>
      </c>
      <c r="C135" s="91" t="s">
        <v>15</v>
      </c>
      <c r="D135" s="91" t="s">
        <v>244</v>
      </c>
      <c r="E135" s="91" t="s">
        <v>491</v>
      </c>
      <c r="F135" s="92" t="n">
        <f aca="false">IF(COUNTIFS(Offers!$B$7:$B$3000,$B135,Offers!$C$7:$C$3000,$C135,Offers!$AH$7:$AH$3000,"yes")=0,"",SUMIFS(Offers!$H$7:$H$3000,Offers!$B$7:$B$3000,$B135,Offers!$C$7:$C$3000,$C135,Offers!$AF$7:$AF$3000,1))</f>
        <v>2.8</v>
      </c>
      <c r="G135" s="93" t="n">
        <f aca="false">IF(COUNTIFS(Offers!$B$7:$B$3000,$B135,Offers!$C$7:$C$3000,$C135,Offers!$AH$7:$AH$3000,"yes")=0,"",(SUMIFS(Offers!$H$7:$H$3000,Offers!$B$7:$B$3000,$B135,Offers!$C$7:$C$3000,$C135,Offers!$AF$7:$AF$3000,ROUNDUP(COUNTIFS(Offers!$B$7:$B$3000,$B135,Offers!$C$7:$C$3000,$C135,Offers!$AH$7:$AH$3000,"yes")/2,0))+SUMIFS(Offers!$H$7:$H$3000,Offers!$B$7:$B$3000,$B135,Offers!$C$7:$C$3000,$C135,Offers!$AF$7:$AF$3000,INT(COUNTIFS(Offers!$B$7:$B$3000,$B135,Offers!$C$7:$C$3000,$C135,Offers!$AH$7:$AH$3000,"yes")/2)+1))/2)</f>
        <v>3.44</v>
      </c>
      <c r="H135" s="92" t="n">
        <f aca="false">IF(COUNTIFS(Offers!$B$7:$B$3000,$B135,Offers!$C$7:$C$3000,$C135,Offers!$AH$7:$AH$3000,"yes")=0,"",SUMIFS(Offers!$H$7:$H$3000,Offers!$B$7:$B$3000,$B135,Offers!$C$7:$C$3000,$C135,Offers!$AF$7:$AF$3000,COUNTIFS(Offers!$B$7:$B$3000,$B135,Offers!$C$7:$C$3000,$C135,Offers!$AH$7:$AH$3000,"yes")))</f>
        <v>13.2</v>
      </c>
      <c r="I135" s="94" t="n">
        <f aca="false">IF(COUNTIFS(Offers!$B$7:$B$3000,$B135,Offers!$C$7:$C$3000,$C135,Offers!$AI$7:$AI$3000,"yes")=0,"",SUMIFS(Offers!$I$7:$I$3000,Offers!$B$7:$B$3000,$B135,Offers!$C$7:$C$3000,$C135,Offers!$AG$7:$AG$3000,1))</f>
        <v>2.8</v>
      </c>
      <c r="J135" s="95" t="n">
        <f aca="false">IF(COUNTIFS(Offers!$B$7:$B$3000,$B135,Offers!$C$7:$C$3000,$C135,Offers!$AI$7:$AI$3000,"yes")=0,"",(SUMIFS(Offers!$I$7:$I$3000,Offers!$B$7:$B$3000,$B135,Offers!$C$7:$C$3000,$C135,Offers!$AG$7:$AG$3000,ROUNDUP(COUNTIFS(Offers!$B$7:$B$3000,$B135,Offers!$C$7:$C$3000,$C135,Offers!$AI$7:$AI$3000,"yes")/2,0))+SUMIFS(Offers!$I$7:$I$3000,Offers!$B$7:$B$3000,$B135,Offers!$C$7:$C$3000,$C135,Offers!$AG$7:$AG$3000,INT(COUNTIFS(Offers!$B$7:$B$3000,$B135,Offers!$C$7:$C$3000,$C135,Offers!$AI$7:$AI$3000,"yes")/2)+1))/2)</f>
        <v>3.44</v>
      </c>
      <c r="K135" s="94" t="n">
        <f aca="false">IF(COUNTIFS(Offers!$B$7:$B$3000,$B135,Offers!$C$7:$C$3000,$C135,Offers!$AI$7:$AI$3000,"yes")=0,"",SUMIFS(Offers!$I$7:$I$3000,Offers!$B$7:$B$3000,$B135,Offers!$C$7:$C$3000,$C135,Offers!$AG$7:$AG$3000,COUNTIFS(Offers!$B$7:$B$3000,$B135,Offers!$C$7:$C$3000,$C135,Offers!$AI$7:$AI$3000,"yes")))</f>
        <v>13.2</v>
      </c>
      <c r="L135" s="96"/>
      <c r="M135" s="96"/>
      <c r="N135" s="96"/>
      <c r="O135" s="97" t="n">
        <f aca="false">IF(Compare!$E$5="Local prices",IF(F135="","",IF(Compare!$C$5="Minimum",F135,IF(Compare!$C$5="Maximum",H135,G135))),IF(I135="","",IF(Compare!$C$5="Minimum",I135,IF(Compare!$C$5="Maximum",K135,J135))))</f>
        <v>3.44</v>
      </c>
    </row>
    <row r="136" customFormat="false" ht="39" hidden="false" customHeight="true" outlineLevel="0" collapsed="false">
      <c r="A136" s="3"/>
      <c r="B136" s="36" t="s">
        <v>49</v>
      </c>
      <c r="C136" s="98" t="s">
        <v>16</v>
      </c>
      <c r="D136" s="98" t="s">
        <v>244</v>
      </c>
      <c r="E136" s="98" t="s">
        <v>491</v>
      </c>
      <c r="F136" s="99" t="n">
        <f aca="false">IF(COUNTIFS(Offers!$B$7:$B$3000,$B136,Offers!$C$7:$C$3000,$C136,Offers!$AH$7:$AH$3000,"yes")=0,"",SUMIFS(Offers!$H$7:$H$3000,Offers!$B$7:$B$3000,$B136,Offers!$C$7:$C$3000,$C136,Offers!$AF$7:$AF$3000,1))</f>
        <v>2.09</v>
      </c>
      <c r="G136" s="93" t="n">
        <f aca="false">IF(COUNTIFS(Offers!$B$7:$B$3000,$B136,Offers!$C$7:$C$3000,$C136,Offers!$AH$7:$AH$3000,"yes")=0,"",(SUMIFS(Offers!$H$7:$H$3000,Offers!$B$7:$B$3000,$B136,Offers!$C$7:$C$3000,$C136,Offers!$AF$7:$AF$3000,ROUNDUP(COUNTIFS(Offers!$B$7:$B$3000,$B136,Offers!$C$7:$C$3000,$C136,Offers!$AH$7:$AH$3000,"yes")/2,0))+SUMIFS(Offers!$H$7:$H$3000,Offers!$B$7:$B$3000,$B136,Offers!$C$7:$C$3000,$C136,Offers!$AF$7:$AF$3000,INT(COUNTIFS(Offers!$B$7:$B$3000,$B136,Offers!$C$7:$C$3000,$C136,Offers!$AH$7:$AH$3000,"yes")/2)+1))/2)</f>
        <v>2.315</v>
      </c>
      <c r="H136" s="99" t="n">
        <f aca="false">IF(COUNTIFS(Offers!$B$7:$B$3000,$B136,Offers!$C$7:$C$3000,$C136,Offers!$AH$7:$AH$3000,"yes")=0,"",SUMIFS(Offers!$H$7:$H$3000,Offers!$B$7:$B$3000,$B136,Offers!$C$7:$C$3000,$C136,Offers!$AF$7:$AF$3000,COUNTIFS(Offers!$B$7:$B$3000,$B136,Offers!$C$7:$C$3000,$C136,Offers!$AH$7:$AH$3000,"yes")))</f>
        <v>2.54</v>
      </c>
      <c r="I136" s="100" t="n">
        <f aca="false">IF(COUNTIFS(Offers!$B$7:$B$3000,$B136,Offers!$C$7:$C$3000,$C136,Offers!$AI$7:$AI$3000,"yes")=0,"",SUMIFS(Offers!$I$7:$I$3000,Offers!$B$7:$B$3000,$B136,Offers!$C$7:$C$3000,$C136,Offers!$AG$7:$AG$3000,1))</f>
        <v>2.09</v>
      </c>
      <c r="J136" s="95" t="n">
        <f aca="false">IF(COUNTIFS(Offers!$B$7:$B$3000,$B136,Offers!$C$7:$C$3000,$C136,Offers!$AI$7:$AI$3000,"yes")=0,"",(SUMIFS(Offers!$I$7:$I$3000,Offers!$B$7:$B$3000,$B136,Offers!$C$7:$C$3000,$C136,Offers!$AG$7:$AG$3000,ROUNDUP(COUNTIFS(Offers!$B$7:$B$3000,$B136,Offers!$C$7:$C$3000,$C136,Offers!$AI$7:$AI$3000,"yes")/2,0))+SUMIFS(Offers!$I$7:$I$3000,Offers!$B$7:$B$3000,$B136,Offers!$C$7:$C$3000,$C136,Offers!$AG$7:$AG$3000,INT(COUNTIFS(Offers!$B$7:$B$3000,$B136,Offers!$C$7:$C$3000,$C136,Offers!$AI$7:$AI$3000,"yes")/2)+1))/2)</f>
        <v>2.315</v>
      </c>
      <c r="K136" s="100" t="n">
        <f aca="false">IF(COUNTIFS(Offers!$B$7:$B$3000,$B136,Offers!$C$7:$C$3000,$C136,Offers!$AI$7:$AI$3000,"yes")=0,"",SUMIFS(Offers!$I$7:$I$3000,Offers!$B$7:$B$3000,$B136,Offers!$C$7:$C$3000,$C136,Offers!$AG$7:$AG$3000,COUNTIFS(Offers!$B$7:$B$3000,$B136,Offers!$C$7:$C$3000,$C136,Offers!$AI$7:$AI$3000,"yes")))</f>
        <v>2.54</v>
      </c>
      <c r="L136" s="96"/>
      <c r="M136" s="96"/>
      <c r="N136" s="96"/>
      <c r="O136" s="101" t="n">
        <f aca="false">IF(Compare!$E$5="Local prices",IF(F136="","",IF(Compare!$C$5="Minimum",F136,IF(Compare!$C$5="Maximum",H136,G136))),IF(I136="","",IF(Compare!$C$5="Minimum",I136,IF(Compare!$C$5="Maximum",K136,J136))))</f>
        <v>2.315</v>
      </c>
    </row>
    <row r="137" customFormat="false" ht="39" hidden="false" customHeight="true" outlineLevel="0" collapsed="false">
      <c r="A137" s="3"/>
      <c r="B137" s="31" t="s">
        <v>49</v>
      </c>
      <c r="C137" s="91" t="s">
        <v>17</v>
      </c>
      <c r="D137" s="91" t="s">
        <v>333</v>
      </c>
      <c r="E137" s="91" t="s">
        <v>491</v>
      </c>
      <c r="F137" s="92" t="n">
        <f aca="false">IF(COUNTIFS(Offers!$B$7:$B$3000,$B137,Offers!$C$7:$C$3000,$C137,Offers!$AH$7:$AH$3000,"yes")=0,"",SUMIFS(Offers!$H$7:$H$3000,Offers!$B$7:$B$3000,$B137,Offers!$C$7:$C$3000,$C137,Offers!$AF$7:$AF$3000,1))</f>
        <v>44</v>
      </c>
      <c r="G137" s="93" t="n">
        <f aca="false">IF(COUNTIFS(Offers!$B$7:$B$3000,$B137,Offers!$C$7:$C$3000,$C137,Offers!$AH$7:$AH$3000,"yes")=0,"",(SUMIFS(Offers!$H$7:$H$3000,Offers!$B$7:$B$3000,$B137,Offers!$C$7:$C$3000,$C137,Offers!$AF$7:$AF$3000,ROUNDUP(COUNTIFS(Offers!$B$7:$B$3000,$B137,Offers!$C$7:$C$3000,$C137,Offers!$AH$7:$AH$3000,"yes")/2,0))+SUMIFS(Offers!$H$7:$H$3000,Offers!$B$7:$B$3000,$B137,Offers!$C$7:$C$3000,$C137,Offers!$AF$7:$AF$3000,INT(COUNTIFS(Offers!$B$7:$B$3000,$B137,Offers!$C$7:$C$3000,$C137,Offers!$AH$7:$AH$3000,"yes")/2)+1))/2)</f>
        <v>76.345</v>
      </c>
      <c r="H137" s="92" t="n">
        <f aca="false">IF(COUNTIFS(Offers!$B$7:$B$3000,$B137,Offers!$C$7:$C$3000,$C137,Offers!$AH$7:$AH$3000,"yes")=0,"",SUMIFS(Offers!$H$7:$H$3000,Offers!$B$7:$B$3000,$B137,Offers!$C$7:$C$3000,$C137,Offers!$AF$7:$AF$3000,COUNTIFS(Offers!$B$7:$B$3000,$B137,Offers!$C$7:$C$3000,$C137,Offers!$AH$7:$AH$3000,"yes")))</f>
        <v>107.44</v>
      </c>
      <c r="I137" s="94" t="n">
        <f aca="false">IF(COUNTIFS(Offers!$B$7:$B$3000,$B137,Offers!$C$7:$C$3000,$C137,Offers!$AI$7:$AI$3000,"yes")=0,"",SUMIFS(Offers!$I$7:$I$3000,Offers!$B$7:$B$3000,$B137,Offers!$C$7:$C$3000,$C137,Offers!$AG$7:$AG$3000,1))</f>
        <v>1.801535</v>
      </c>
      <c r="J137" s="95" t="n">
        <f aca="false">IF(COUNTIFS(Offers!$B$7:$B$3000,$B137,Offers!$C$7:$C$3000,$C137,Offers!$AI$7:$AI$3000,"yes")=0,"",(SUMIFS(Offers!$I$7:$I$3000,Offers!$B$7:$B$3000,$B137,Offers!$C$7:$C$3000,$C137,Offers!$AG$7:$AG$3000,ROUNDUP(COUNTIFS(Offers!$B$7:$B$3000,$B137,Offers!$C$7:$C$3000,$C137,Offers!$AI$7:$AI$3000,"yes")/2,0))+SUMIFS(Offers!$I$7:$I$3000,Offers!$B$7:$B$3000,$B137,Offers!$C$7:$C$3000,$C137,Offers!$AG$7:$AG$3000,INT(COUNTIFS(Offers!$B$7:$B$3000,$B137,Offers!$C$7:$C$3000,$C137,Offers!$AI$7:$AI$3000,"yes")/2)+1))/2)</f>
        <v>3.125868</v>
      </c>
      <c r="K137" s="94" t="n">
        <f aca="false">IF(COUNTIFS(Offers!$B$7:$B$3000,$B137,Offers!$C$7:$C$3000,$C137,Offers!$AI$7:$AI$3000,"yes")=0,"",SUMIFS(Offers!$I$7:$I$3000,Offers!$B$7:$B$3000,$B137,Offers!$C$7:$C$3000,$C137,Offers!$AG$7:$AG$3000,COUNTIFS(Offers!$B$7:$B$3000,$B137,Offers!$C$7:$C$3000,$C137,Offers!$AI$7:$AI$3000,"yes")))</f>
        <v>4.399021</v>
      </c>
      <c r="L137" s="96"/>
      <c r="M137" s="96"/>
      <c r="N137" s="96"/>
      <c r="O137" s="97" t="n">
        <f aca="false">IF(Compare!$E$5="Local prices",IF(F137="","",IF(Compare!$C$5="Minimum",F137,IF(Compare!$C$5="Maximum",H137,G137))),IF(I137="","",IF(Compare!$C$5="Minimum",I137,IF(Compare!$C$5="Maximum",K137,J137))))</f>
        <v>3.125868</v>
      </c>
    </row>
    <row r="138" customFormat="false" ht="39" hidden="false" customHeight="true" outlineLevel="0" collapsed="false">
      <c r="A138" s="3"/>
      <c r="B138" s="36" t="s">
        <v>49</v>
      </c>
      <c r="C138" s="98" t="s">
        <v>18</v>
      </c>
      <c r="D138" s="98" t="s">
        <v>244</v>
      </c>
      <c r="E138" s="98" t="s">
        <v>491</v>
      </c>
      <c r="F138" s="99" t="str">
        <f aca="false">IF(COUNTIFS(Offers!$B$7:$B$3000,$B138,Offers!$C$7:$C$3000,$C138,Offers!$AH$7:$AH$3000,"yes")=0,"",SUMIFS(Offers!$H$7:$H$3000,Offers!$B$7:$B$3000,$B138,Offers!$C$7:$C$3000,$C138,Offers!$AF$7:$AF$3000,1))</f>
        <v/>
      </c>
      <c r="G138" s="93" t="str">
        <f aca="false">IF(COUNTIFS(Offers!$B$7:$B$3000,$B138,Offers!$C$7:$C$3000,$C138,Offers!$AH$7:$AH$3000,"yes")=0,"",(SUMIFS(Offers!$H$7:$H$3000,Offers!$B$7:$B$3000,$B138,Offers!$C$7:$C$3000,$C138,Offers!$AF$7:$AF$3000,ROUNDUP(COUNTIFS(Offers!$B$7:$B$3000,$B138,Offers!$C$7:$C$3000,$C138,Offers!$AH$7:$AH$3000,"yes")/2,0))+SUMIFS(Offers!$H$7:$H$3000,Offers!$B$7:$B$3000,$B138,Offers!$C$7:$C$3000,$C138,Offers!$AF$7:$AF$3000,INT(COUNTIFS(Offers!$B$7:$B$3000,$B138,Offers!$C$7:$C$3000,$C138,Offers!$AH$7:$AH$3000,"yes")/2)+1))/2)</f>
        <v/>
      </c>
      <c r="H138" s="99" t="str">
        <f aca="false">IF(COUNTIFS(Offers!$B$7:$B$3000,$B138,Offers!$C$7:$C$3000,$C138,Offers!$AH$7:$AH$3000,"yes")=0,"",SUMIFS(Offers!$H$7:$H$3000,Offers!$B$7:$B$3000,$B138,Offers!$C$7:$C$3000,$C138,Offers!$AF$7:$AF$3000,COUNTIFS(Offers!$B$7:$B$3000,$B138,Offers!$C$7:$C$3000,$C138,Offers!$AH$7:$AH$3000,"yes")))</f>
        <v/>
      </c>
      <c r="I138" s="100" t="str">
        <f aca="false">IF(COUNTIFS(Offers!$B$7:$B$3000,$B138,Offers!$C$7:$C$3000,$C138,Offers!$AI$7:$AI$3000,"yes")=0,"",SUMIFS(Offers!$I$7:$I$3000,Offers!$B$7:$B$3000,$B138,Offers!$C$7:$C$3000,$C138,Offers!$AG$7:$AG$3000,1))</f>
        <v/>
      </c>
      <c r="J138" s="95" t="str">
        <f aca="false">IF(COUNTIFS(Offers!$B$7:$B$3000,$B138,Offers!$C$7:$C$3000,$C138,Offers!$AI$7:$AI$3000,"yes")=0,"",(SUMIFS(Offers!$I$7:$I$3000,Offers!$B$7:$B$3000,$B138,Offers!$C$7:$C$3000,$C138,Offers!$AG$7:$AG$3000,ROUNDUP(COUNTIFS(Offers!$B$7:$B$3000,$B138,Offers!$C$7:$C$3000,$C138,Offers!$AI$7:$AI$3000,"yes")/2,0))+SUMIFS(Offers!$I$7:$I$3000,Offers!$B$7:$B$3000,$B138,Offers!$C$7:$C$3000,$C138,Offers!$AG$7:$AG$3000,INT(COUNTIFS(Offers!$B$7:$B$3000,$B138,Offers!$C$7:$C$3000,$C138,Offers!$AI$7:$AI$3000,"yes")/2)+1))/2)</f>
        <v/>
      </c>
      <c r="K138" s="100" t="str">
        <f aca="false">IF(COUNTIFS(Offers!$B$7:$B$3000,$B138,Offers!$C$7:$C$3000,$C138,Offers!$AI$7:$AI$3000,"yes")=0,"",SUMIFS(Offers!$I$7:$I$3000,Offers!$B$7:$B$3000,$B138,Offers!$C$7:$C$3000,$C138,Offers!$AG$7:$AG$3000,COUNTIFS(Offers!$B$7:$B$3000,$B138,Offers!$C$7:$C$3000,$C138,Offers!$AI$7:$AI$3000,"yes")))</f>
        <v/>
      </c>
      <c r="L138" s="96"/>
      <c r="M138" s="96"/>
      <c r="N138" s="96"/>
      <c r="O138" s="110" t="str">
        <f aca="false">IF(Compare!$E$5="Local prices",IF(F138="","",IF(Compare!$C$5="Minimum",F138,IF(Compare!$C$5="Maximum",H138,G138))),IF(I138="","",IF(Compare!$C$5="Minimum",I138,IF(Compare!$C$5="Maximum",K138,J138))))</f>
        <v/>
      </c>
    </row>
    <row r="139" customFormat="false" ht="39" hidden="false" customHeight="true" outlineLevel="0" collapsed="false">
      <c r="A139" s="3"/>
      <c r="B139" s="102" t="s">
        <v>51</v>
      </c>
      <c r="C139" s="103" t="s">
        <v>13</v>
      </c>
      <c r="D139" s="103" t="s">
        <v>490</v>
      </c>
      <c r="E139" s="103" t="s">
        <v>491</v>
      </c>
      <c r="F139" s="104" t="str">
        <f aca="false">IF(COUNTIFS(Offers!$B$7:$B$3000,$B139,Offers!$C$7:$C$3000,$C139,Offers!$AH$7:$AH$3000,"yes")=0,"",SUMIFS(Offers!$H$7:$H$3000,Offers!$B$7:$B$3000,$B139,Offers!$C$7:$C$3000,$C139,Offers!$AF$7:$AF$3000,1))</f>
        <v/>
      </c>
      <c r="G139" s="105" t="str">
        <f aca="false">IF(COUNTIFS(Offers!$B$7:$B$3000,$B139,Offers!$C$7:$C$3000,$C139,Offers!$AH$7:$AH$3000,"yes")=0,"",(SUMIFS(Offers!$H$7:$H$3000,Offers!$B$7:$B$3000,$B139,Offers!$C$7:$C$3000,$C139,Offers!$AF$7:$AF$3000,ROUNDUP(COUNTIFS(Offers!$B$7:$B$3000,$B139,Offers!$C$7:$C$3000,$C139,Offers!$AH$7:$AH$3000,"yes")/2,0))+SUMIFS(Offers!$H$7:$H$3000,Offers!$B$7:$B$3000,$B139,Offers!$C$7:$C$3000,$C139,Offers!$AF$7:$AF$3000,INT(COUNTIFS(Offers!$B$7:$B$3000,$B139,Offers!$C$7:$C$3000,$C139,Offers!$AH$7:$AH$3000,"yes")/2)+1))/2)</f>
        <v/>
      </c>
      <c r="H139" s="104" t="str">
        <f aca="false">IF(COUNTIFS(Offers!$B$7:$B$3000,$B139,Offers!$C$7:$C$3000,$C139,Offers!$AH$7:$AH$3000,"yes")=0,"",SUMIFS(Offers!$H$7:$H$3000,Offers!$B$7:$B$3000,$B139,Offers!$C$7:$C$3000,$C139,Offers!$AF$7:$AF$3000,COUNTIFS(Offers!$B$7:$B$3000,$B139,Offers!$C$7:$C$3000,$C139,Offers!$AH$7:$AH$3000,"yes")))</f>
        <v/>
      </c>
      <c r="I139" s="106" t="str">
        <f aca="false">IF(COUNTIFS(Offers!$B$7:$B$3000,$B139,Offers!$C$7:$C$3000,$C139,Offers!$AI$7:$AI$3000,"yes")=0,"",SUMIFS(Offers!$I$7:$I$3000,Offers!$B$7:$B$3000,$B139,Offers!$C$7:$C$3000,$C139,Offers!$AG$7:$AG$3000,1))</f>
        <v/>
      </c>
      <c r="J139" s="107" t="str">
        <f aca="false">IF(COUNTIFS(Offers!$B$7:$B$3000,$B139,Offers!$C$7:$C$3000,$C139,Offers!$AI$7:$AI$3000,"yes")=0,"",(SUMIFS(Offers!$I$7:$I$3000,Offers!$B$7:$B$3000,$B139,Offers!$C$7:$C$3000,$C139,Offers!$AG$7:$AG$3000,ROUNDUP(COUNTIFS(Offers!$B$7:$B$3000,$B139,Offers!$C$7:$C$3000,$C139,Offers!$AI$7:$AI$3000,"yes")/2,0))+SUMIFS(Offers!$I$7:$I$3000,Offers!$B$7:$B$3000,$B139,Offers!$C$7:$C$3000,$C139,Offers!$AG$7:$AG$3000,INT(COUNTIFS(Offers!$B$7:$B$3000,$B139,Offers!$C$7:$C$3000,$C139,Offers!$AI$7:$AI$3000,"yes")/2)+1))/2)</f>
        <v/>
      </c>
      <c r="K139" s="106" t="str">
        <f aca="false">IF(COUNTIFS(Offers!$B$7:$B$3000,$B139,Offers!$C$7:$C$3000,$C139,Offers!$AI$7:$AI$3000,"yes")=0,"",SUMIFS(Offers!$I$7:$I$3000,Offers!$B$7:$B$3000,$B139,Offers!$C$7:$C$3000,$C139,Offers!$AG$7:$AG$3000,COUNTIFS(Offers!$B$7:$B$3000,$B139,Offers!$C$7:$C$3000,$C139,Offers!$AI$7:$AI$3000,"yes")))</f>
        <v/>
      </c>
      <c r="L139" s="108"/>
      <c r="M139" s="108"/>
      <c r="N139" s="108"/>
      <c r="O139" s="109" t="str">
        <f aca="false">IF(Compare!$E$5="Local prices",IF(F139="","",IF(Compare!$C$5="Minimum",F139,IF(Compare!$C$5="Maximum",H139,G139))),IF(I139="","",IF(Compare!$C$5="Minimum",I139,IF(Compare!$C$5="Maximum",K139,J139))))</f>
        <v/>
      </c>
    </row>
    <row r="140" customFormat="false" ht="39" hidden="false" customHeight="true" outlineLevel="0" collapsed="false">
      <c r="A140" s="3"/>
      <c r="B140" s="36" t="s">
        <v>51</v>
      </c>
      <c r="C140" s="98" t="s">
        <v>14</v>
      </c>
      <c r="D140" s="98" t="s">
        <v>374</v>
      </c>
      <c r="E140" s="98" t="s">
        <v>491</v>
      </c>
      <c r="F140" s="99" t="str">
        <f aca="false">IF(COUNTIFS(Offers!$B$7:$B$3000,$B140,Offers!$C$7:$C$3000,$C140,Offers!$AH$7:$AH$3000,"yes")=0,"",SUMIFS(Offers!$H$7:$H$3000,Offers!$B$7:$B$3000,$B140,Offers!$C$7:$C$3000,$C140,Offers!$AF$7:$AF$3000,1))</f>
        <v/>
      </c>
      <c r="G140" s="93" t="str">
        <f aca="false">IF(COUNTIFS(Offers!$B$7:$B$3000,$B140,Offers!$C$7:$C$3000,$C140,Offers!$AH$7:$AH$3000,"yes")=0,"",(SUMIFS(Offers!$H$7:$H$3000,Offers!$B$7:$B$3000,$B140,Offers!$C$7:$C$3000,$C140,Offers!$AF$7:$AF$3000,ROUNDUP(COUNTIFS(Offers!$B$7:$B$3000,$B140,Offers!$C$7:$C$3000,$C140,Offers!$AH$7:$AH$3000,"yes")/2,0))+SUMIFS(Offers!$H$7:$H$3000,Offers!$B$7:$B$3000,$B140,Offers!$C$7:$C$3000,$C140,Offers!$AF$7:$AF$3000,INT(COUNTIFS(Offers!$B$7:$B$3000,$B140,Offers!$C$7:$C$3000,$C140,Offers!$AH$7:$AH$3000,"yes")/2)+1))/2)</f>
        <v/>
      </c>
      <c r="H140" s="99" t="str">
        <f aca="false">IF(COUNTIFS(Offers!$B$7:$B$3000,$B140,Offers!$C$7:$C$3000,$C140,Offers!$AH$7:$AH$3000,"yes")=0,"",SUMIFS(Offers!$H$7:$H$3000,Offers!$B$7:$B$3000,$B140,Offers!$C$7:$C$3000,$C140,Offers!$AF$7:$AF$3000,COUNTIFS(Offers!$B$7:$B$3000,$B140,Offers!$C$7:$C$3000,$C140,Offers!$AH$7:$AH$3000,"yes")))</f>
        <v/>
      </c>
      <c r="I140" s="100" t="str">
        <f aca="false">IF(COUNTIFS(Offers!$B$7:$B$3000,$B140,Offers!$C$7:$C$3000,$C140,Offers!$AI$7:$AI$3000,"yes")=0,"",SUMIFS(Offers!$I$7:$I$3000,Offers!$B$7:$B$3000,$B140,Offers!$C$7:$C$3000,$C140,Offers!$AG$7:$AG$3000,1))</f>
        <v/>
      </c>
      <c r="J140" s="95" t="str">
        <f aca="false">IF(COUNTIFS(Offers!$B$7:$B$3000,$B140,Offers!$C$7:$C$3000,$C140,Offers!$AI$7:$AI$3000,"yes")=0,"",(SUMIFS(Offers!$I$7:$I$3000,Offers!$B$7:$B$3000,$B140,Offers!$C$7:$C$3000,$C140,Offers!$AG$7:$AG$3000,ROUNDUP(COUNTIFS(Offers!$B$7:$B$3000,$B140,Offers!$C$7:$C$3000,$C140,Offers!$AI$7:$AI$3000,"yes")/2,0))+SUMIFS(Offers!$I$7:$I$3000,Offers!$B$7:$B$3000,$B140,Offers!$C$7:$C$3000,$C140,Offers!$AG$7:$AG$3000,INT(COUNTIFS(Offers!$B$7:$B$3000,$B140,Offers!$C$7:$C$3000,$C140,Offers!$AI$7:$AI$3000,"yes")/2)+1))/2)</f>
        <v/>
      </c>
      <c r="K140" s="100" t="str">
        <f aca="false">IF(COUNTIFS(Offers!$B$7:$B$3000,$B140,Offers!$C$7:$C$3000,$C140,Offers!$AI$7:$AI$3000,"yes")=0,"",SUMIFS(Offers!$I$7:$I$3000,Offers!$B$7:$B$3000,$B140,Offers!$C$7:$C$3000,$C140,Offers!$AG$7:$AG$3000,COUNTIFS(Offers!$B$7:$B$3000,$B140,Offers!$C$7:$C$3000,$C140,Offers!$AI$7:$AI$3000,"yes")))</f>
        <v/>
      </c>
      <c r="L140" s="96"/>
      <c r="M140" s="96"/>
      <c r="N140" s="96"/>
      <c r="O140" s="110" t="str">
        <f aca="false">IF(Compare!$E$5="Local prices",IF(F140="","",IF(Compare!$C$5="Minimum",F140,IF(Compare!$C$5="Maximum",H140,G140))),IF(I140="","",IF(Compare!$C$5="Minimum",I140,IF(Compare!$C$5="Maximum",K140,J140))))</f>
        <v/>
      </c>
    </row>
    <row r="141" customFormat="false" ht="39" hidden="false" customHeight="true" outlineLevel="0" collapsed="false">
      <c r="A141" s="3"/>
      <c r="B141" s="31" t="s">
        <v>51</v>
      </c>
      <c r="C141" s="91" t="s">
        <v>15</v>
      </c>
      <c r="D141" s="91" t="s">
        <v>244</v>
      </c>
      <c r="E141" s="91" t="s">
        <v>491</v>
      </c>
      <c r="F141" s="92" t="n">
        <f aca="false">IF(COUNTIFS(Offers!$B$7:$B$3000,$B141,Offers!$C$7:$C$3000,$C141,Offers!$AH$7:$AH$3000,"yes")=0,"",SUMIFS(Offers!$H$7:$H$3000,Offers!$B$7:$B$3000,$B141,Offers!$C$7:$C$3000,$C141,Offers!$AF$7:$AF$3000,1))</f>
        <v>2.1</v>
      </c>
      <c r="G141" s="93" t="n">
        <f aca="false">IF(COUNTIFS(Offers!$B$7:$B$3000,$B141,Offers!$C$7:$C$3000,$C141,Offers!$AH$7:$AH$3000,"yes")=0,"",(SUMIFS(Offers!$H$7:$H$3000,Offers!$B$7:$B$3000,$B141,Offers!$C$7:$C$3000,$C141,Offers!$AF$7:$AF$3000,ROUNDUP(COUNTIFS(Offers!$B$7:$B$3000,$B141,Offers!$C$7:$C$3000,$C141,Offers!$AH$7:$AH$3000,"yes")/2,0))+SUMIFS(Offers!$H$7:$H$3000,Offers!$B$7:$B$3000,$B141,Offers!$C$7:$C$3000,$C141,Offers!$AF$7:$AF$3000,INT(COUNTIFS(Offers!$B$7:$B$3000,$B141,Offers!$C$7:$C$3000,$C141,Offers!$AH$7:$AH$3000,"yes")/2)+1))/2)</f>
        <v>3.5</v>
      </c>
      <c r="H141" s="92" t="n">
        <f aca="false">IF(COUNTIFS(Offers!$B$7:$B$3000,$B141,Offers!$C$7:$C$3000,$C141,Offers!$AH$7:$AH$3000,"yes")=0,"",SUMIFS(Offers!$H$7:$H$3000,Offers!$B$7:$B$3000,$B141,Offers!$C$7:$C$3000,$C141,Offers!$AF$7:$AF$3000,COUNTIFS(Offers!$B$7:$B$3000,$B141,Offers!$C$7:$C$3000,$C141,Offers!$AH$7:$AH$3000,"yes")))</f>
        <v>17.5</v>
      </c>
      <c r="I141" s="94" t="n">
        <f aca="false">IF(COUNTIFS(Offers!$B$7:$B$3000,$B141,Offers!$C$7:$C$3000,$C141,Offers!$AI$7:$AI$3000,"yes")=0,"",SUMIFS(Offers!$I$7:$I$3000,Offers!$B$7:$B$3000,$B141,Offers!$C$7:$C$3000,$C141,Offers!$AG$7:$AG$3000,1))</f>
        <v>2.1</v>
      </c>
      <c r="J141" s="95" t="n">
        <f aca="false">IF(COUNTIFS(Offers!$B$7:$B$3000,$B141,Offers!$C$7:$C$3000,$C141,Offers!$AI$7:$AI$3000,"yes")=0,"",(SUMIFS(Offers!$I$7:$I$3000,Offers!$B$7:$B$3000,$B141,Offers!$C$7:$C$3000,$C141,Offers!$AG$7:$AG$3000,ROUNDUP(COUNTIFS(Offers!$B$7:$B$3000,$B141,Offers!$C$7:$C$3000,$C141,Offers!$AI$7:$AI$3000,"yes")/2,0))+SUMIFS(Offers!$I$7:$I$3000,Offers!$B$7:$B$3000,$B141,Offers!$C$7:$C$3000,$C141,Offers!$AG$7:$AG$3000,INT(COUNTIFS(Offers!$B$7:$B$3000,$B141,Offers!$C$7:$C$3000,$C141,Offers!$AI$7:$AI$3000,"yes")/2)+1))/2)</f>
        <v>3.5</v>
      </c>
      <c r="K141" s="94" t="n">
        <f aca="false">IF(COUNTIFS(Offers!$B$7:$B$3000,$B141,Offers!$C$7:$C$3000,$C141,Offers!$AI$7:$AI$3000,"yes")=0,"",SUMIFS(Offers!$I$7:$I$3000,Offers!$B$7:$B$3000,$B141,Offers!$C$7:$C$3000,$C141,Offers!$AG$7:$AG$3000,COUNTIFS(Offers!$B$7:$B$3000,$B141,Offers!$C$7:$C$3000,$C141,Offers!$AI$7:$AI$3000,"yes")))</f>
        <v>17.5</v>
      </c>
      <c r="L141" s="96"/>
      <c r="M141" s="96"/>
      <c r="N141" s="96"/>
      <c r="O141" s="97" t="n">
        <f aca="false">IF(Compare!$E$5="Local prices",IF(F141="","",IF(Compare!$C$5="Minimum",F141,IF(Compare!$C$5="Maximum",H141,G141))),IF(I141="","",IF(Compare!$C$5="Minimum",I141,IF(Compare!$C$5="Maximum",K141,J141))))</f>
        <v>3.5</v>
      </c>
    </row>
    <row r="142" customFormat="false" ht="39" hidden="false" customHeight="true" outlineLevel="0" collapsed="false">
      <c r="A142" s="3"/>
      <c r="B142" s="36" t="s">
        <v>51</v>
      </c>
      <c r="C142" s="98" t="s">
        <v>16</v>
      </c>
      <c r="D142" s="98" t="s">
        <v>244</v>
      </c>
      <c r="E142" s="98" t="s">
        <v>491</v>
      </c>
      <c r="F142" s="99" t="n">
        <f aca="false">IF(COUNTIFS(Offers!$B$7:$B$3000,$B142,Offers!$C$7:$C$3000,$C142,Offers!$AH$7:$AH$3000,"yes")=0,"",SUMIFS(Offers!$H$7:$H$3000,Offers!$B$7:$B$3000,$B142,Offers!$C$7:$C$3000,$C142,Offers!$AF$7:$AF$3000,1))</f>
        <v>1.79</v>
      </c>
      <c r="G142" s="93" t="n">
        <f aca="false">IF(COUNTIFS(Offers!$B$7:$B$3000,$B142,Offers!$C$7:$C$3000,$C142,Offers!$AH$7:$AH$3000,"yes")=0,"",(SUMIFS(Offers!$H$7:$H$3000,Offers!$B$7:$B$3000,$B142,Offers!$C$7:$C$3000,$C142,Offers!$AF$7:$AF$3000,ROUNDUP(COUNTIFS(Offers!$B$7:$B$3000,$B142,Offers!$C$7:$C$3000,$C142,Offers!$AH$7:$AH$3000,"yes")/2,0))+SUMIFS(Offers!$H$7:$H$3000,Offers!$B$7:$B$3000,$B142,Offers!$C$7:$C$3000,$C142,Offers!$AF$7:$AF$3000,INT(COUNTIFS(Offers!$B$7:$B$3000,$B142,Offers!$C$7:$C$3000,$C142,Offers!$AH$7:$AH$3000,"yes")/2)+1))/2)</f>
        <v>2.79</v>
      </c>
      <c r="H142" s="99" t="n">
        <f aca="false">IF(COUNTIFS(Offers!$B$7:$B$3000,$B142,Offers!$C$7:$C$3000,$C142,Offers!$AH$7:$AH$3000,"yes")=0,"",SUMIFS(Offers!$H$7:$H$3000,Offers!$B$7:$B$3000,$B142,Offers!$C$7:$C$3000,$C142,Offers!$AF$7:$AF$3000,COUNTIFS(Offers!$B$7:$B$3000,$B142,Offers!$C$7:$C$3000,$C142,Offers!$AH$7:$AH$3000,"yes")))</f>
        <v>4.13</v>
      </c>
      <c r="I142" s="100" t="n">
        <f aca="false">IF(COUNTIFS(Offers!$B$7:$B$3000,$B142,Offers!$C$7:$C$3000,$C142,Offers!$AI$7:$AI$3000,"yes")=0,"",SUMIFS(Offers!$I$7:$I$3000,Offers!$B$7:$B$3000,$B142,Offers!$C$7:$C$3000,$C142,Offers!$AG$7:$AG$3000,1))</f>
        <v>1.79</v>
      </c>
      <c r="J142" s="95" t="n">
        <f aca="false">IF(COUNTIFS(Offers!$B$7:$B$3000,$B142,Offers!$C$7:$C$3000,$C142,Offers!$AI$7:$AI$3000,"yes")=0,"",(SUMIFS(Offers!$I$7:$I$3000,Offers!$B$7:$B$3000,$B142,Offers!$C$7:$C$3000,$C142,Offers!$AG$7:$AG$3000,ROUNDUP(COUNTIFS(Offers!$B$7:$B$3000,$B142,Offers!$C$7:$C$3000,$C142,Offers!$AI$7:$AI$3000,"yes")/2,0))+SUMIFS(Offers!$I$7:$I$3000,Offers!$B$7:$B$3000,$B142,Offers!$C$7:$C$3000,$C142,Offers!$AG$7:$AG$3000,INT(COUNTIFS(Offers!$B$7:$B$3000,$B142,Offers!$C$7:$C$3000,$C142,Offers!$AI$7:$AI$3000,"yes")/2)+1))/2)</f>
        <v>2.79</v>
      </c>
      <c r="K142" s="100" t="n">
        <f aca="false">IF(COUNTIFS(Offers!$B$7:$B$3000,$B142,Offers!$C$7:$C$3000,$C142,Offers!$AI$7:$AI$3000,"yes")=0,"",SUMIFS(Offers!$I$7:$I$3000,Offers!$B$7:$B$3000,$B142,Offers!$C$7:$C$3000,$C142,Offers!$AG$7:$AG$3000,COUNTIFS(Offers!$B$7:$B$3000,$B142,Offers!$C$7:$C$3000,$C142,Offers!$AI$7:$AI$3000,"yes")))</f>
        <v>4.13</v>
      </c>
      <c r="L142" s="96"/>
      <c r="M142" s="96"/>
      <c r="N142" s="96"/>
      <c r="O142" s="101" t="n">
        <f aca="false">IF(Compare!$E$5="Local prices",IF(F142="","",IF(Compare!$C$5="Minimum",F142,IF(Compare!$C$5="Maximum",H142,G142))),IF(I142="","",IF(Compare!$C$5="Minimum",I142,IF(Compare!$C$5="Maximum",K142,J142))))</f>
        <v>2.79</v>
      </c>
    </row>
    <row r="143" customFormat="false" ht="39" hidden="false" customHeight="true" outlineLevel="0" collapsed="false">
      <c r="A143" s="3"/>
      <c r="B143" s="31" t="s">
        <v>51</v>
      </c>
      <c r="C143" s="91" t="s">
        <v>17</v>
      </c>
      <c r="D143" s="91" t="s">
        <v>333</v>
      </c>
      <c r="E143" s="91" t="s">
        <v>491</v>
      </c>
      <c r="F143" s="92" t="n">
        <f aca="false">IF(COUNTIFS(Offers!$B$7:$B$3000,$B143,Offers!$C$7:$C$3000,$C143,Offers!$AH$7:$AH$3000,"yes")=0,"",SUMIFS(Offers!$H$7:$H$3000,Offers!$B$7:$B$3000,$B143,Offers!$C$7:$C$3000,$C143,Offers!$AF$7:$AF$3000,1))</f>
        <v>43</v>
      </c>
      <c r="G143" s="93" t="n">
        <f aca="false">IF(COUNTIFS(Offers!$B$7:$B$3000,$B143,Offers!$C$7:$C$3000,$C143,Offers!$AH$7:$AH$3000,"yes")=0,"",(SUMIFS(Offers!$H$7:$H$3000,Offers!$B$7:$B$3000,$B143,Offers!$C$7:$C$3000,$C143,Offers!$AF$7:$AF$3000,ROUNDUP(COUNTIFS(Offers!$B$7:$B$3000,$B143,Offers!$C$7:$C$3000,$C143,Offers!$AH$7:$AH$3000,"yes")/2,0))+SUMIFS(Offers!$H$7:$H$3000,Offers!$B$7:$B$3000,$B143,Offers!$C$7:$C$3000,$C143,Offers!$AF$7:$AF$3000,INT(COUNTIFS(Offers!$B$7:$B$3000,$B143,Offers!$C$7:$C$3000,$C143,Offers!$AH$7:$AH$3000,"yes")/2)+1))/2)</f>
        <v>69</v>
      </c>
      <c r="H143" s="92" t="n">
        <f aca="false">IF(COUNTIFS(Offers!$B$7:$B$3000,$B143,Offers!$C$7:$C$3000,$C143,Offers!$AH$7:$AH$3000,"yes")=0,"",SUMIFS(Offers!$H$7:$H$3000,Offers!$B$7:$B$3000,$B143,Offers!$C$7:$C$3000,$C143,Offers!$AF$7:$AF$3000,COUNTIFS(Offers!$B$7:$B$3000,$B143,Offers!$C$7:$C$3000,$C143,Offers!$AH$7:$AH$3000,"yes")))</f>
        <v>102.48</v>
      </c>
      <c r="I143" s="94" t="n">
        <f aca="false">IF(COUNTIFS(Offers!$B$7:$B$3000,$B143,Offers!$C$7:$C$3000,$C143,Offers!$AI$7:$AI$3000,"yes")=0,"",SUMIFS(Offers!$I$7:$I$3000,Offers!$B$7:$B$3000,$B143,Offers!$C$7:$C$3000,$C143,Offers!$AG$7:$AG$3000,1))</f>
        <v>1.760591</v>
      </c>
      <c r="J143" s="95" t="n">
        <f aca="false">IF(COUNTIFS(Offers!$B$7:$B$3000,$B143,Offers!$C$7:$C$3000,$C143,Offers!$AI$7:$AI$3000,"yes")=0,"",(SUMIFS(Offers!$I$7:$I$3000,Offers!$B$7:$B$3000,$B143,Offers!$C$7:$C$3000,$C143,Offers!$AG$7:$AG$3000,ROUNDUP(COUNTIFS(Offers!$B$7:$B$3000,$B143,Offers!$C$7:$C$3000,$C143,Offers!$AI$7:$AI$3000,"yes")/2,0))+SUMIFS(Offers!$I$7:$I$3000,Offers!$B$7:$B$3000,$B143,Offers!$C$7:$C$3000,$C143,Offers!$AG$7:$AG$3000,INT(COUNTIFS(Offers!$B$7:$B$3000,$B143,Offers!$C$7:$C$3000,$C143,Offers!$AI$7:$AI$3000,"yes")/2)+1))/2)</f>
        <v>2.825135</v>
      </c>
      <c r="K143" s="94" t="n">
        <f aca="false">IF(COUNTIFS(Offers!$B$7:$B$3000,$B143,Offers!$C$7:$C$3000,$C143,Offers!$AI$7:$AI$3000,"yes")=0,"",SUMIFS(Offers!$I$7:$I$3000,Offers!$B$7:$B$3000,$B143,Offers!$C$7:$C$3000,$C143,Offers!$AG$7:$AG$3000,COUNTIFS(Offers!$B$7:$B$3000,$B143,Offers!$C$7:$C$3000,$C143,Offers!$AI$7:$AI$3000,"yes")))</f>
        <v>4.195939</v>
      </c>
      <c r="L143" s="96"/>
      <c r="M143" s="96"/>
      <c r="N143" s="96"/>
      <c r="O143" s="97" t="n">
        <f aca="false">IF(Compare!$E$5="Local prices",IF(F143="","",IF(Compare!$C$5="Minimum",F143,IF(Compare!$C$5="Maximum",H143,G143))),IF(I143="","",IF(Compare!$C$5="Minimum",I143,IF(Compare!$C$5="Maximum",K143,J143))))</f>
        <v>2.825135</v>
      </c>
    </row>
    <row r="144" customFormat="false" ht="39" hidden="false" customHeight="true" outlineLevel="0" collapsed="false">
      <c r="A144" s="3"/>
      <c r="B144" s="36" t="s">
        <v>51</v>
      </c>
      <c r="C144" s="98" t="s">
        <v>18</v>
      </c>
      <c r="D144" s="98" t="s">
        <v>244</v>
      </c>
      <c r="E144" s="98" t="s">
        <v>491</v>
      </c>
      <c r="F144" s="99" t="str">
        <f aca="false">IF(COUNTIFS(Offers!$B$7:$B$3000,$B144,Offers!$C$7:$C$3000,$C144,Offers!$AH$7:$AH$3000,"yes")=0,"",SUMIFS(Offers!$H$7:$H$3000,Offers!$B$7:$B$3000,$B144,Offers!$C$7:$C$3000,$C144,Offers!$AF$7:$AF$3000,1))</f>
        <v/>
      </c>
      <c r="G144" s="93" t="str">
        <f aca="false">IF(COUNTIFS(Offers!$B$7:$B$3000,$B144,Offers!$C$7:$C$3000,$C144,Offers!$AH$7:$AH$3000,"yes")=0,"",(SUMIFS(Offers!$H$7:$H$3000,Offers!$B$7:$B$3000,$B144,Offers!$C$7:$C$3000,$C144,Offers!$AF$7:$AF$3000,ROUNDUP(COUNTIFS(Offers!$B$7:$B$3000,$B144,Offers!$C$7:$C$3000,$C144,Offers!$AH$7:$AH$3000,"yes")/2,0))+SUMIFS(Offers!$H$7:$H$3000,Offers!$B$7:$B$3000,$B144,Offers!$C$7:$C$3000,$C144,Offers!$AF$7:$AF$3000,INT(COUNTIFS(Offers!$B$7:$B$3000,$B144,Offers!$C$7:$C$3000,$C144,Offers!$AH$7:$AH$3000,"yes")/2)+1))/2)</f>
        <v/>
      </c>
      <c r="H144" s="99" t="str">
        <f aca="false">IF(COUNTIFS(Offers!$B$7:$B$3000,$B144,Offers!$C$7:$C$3000,$C144,Offers!$AH$7:$AH$3000,"yes")=0,"",SUMIFS(Offers!$H$7:$H$3000,Offers!$B$7:$B$3000,$B144,Offers!$C$7:$C$3000,$C144,Offers!$AF$7:$AF$3000,COUNTIFS(Offers!$B$7:$B$3000,$B144,Offers!$C$7:$C$3000,$C144,Offers!$AH$7:$AH$3000,"yes")))</f>
        <v/>
      </c>
      <c r="I144" s="100" t="str">
        <f aca="false">IF(COUNTIFS(Offers!$B$7:$B$3000,$B144,Offers!$C$7:$C$3000,$C144,Offers!$AI$7:$AI$3000,"yes")=0,"",SUMIFS(Offers!$I$7:$I$3000,Offers!$B$7:$B$3000,$B144,Offers!$C$7:$C$3000,$C144,Offers!$AG$7:$AG$3000,1))</f>
        <v/>
      </c>
      <c r="J144" s="95" t="str">
        <f aca="false">IF(COUNTIFS(Offers!$B$7:$B$3000,$B144,Offers!$C$7:$C$3000,$C144,Offers!$AI$7:$AI$3000,"yes")=0,"",(SUMIFS(Offers!$I$7:$I$3000,Offers!$B$7:$B$3000,$B144,Offers!$C$7:$C$3000,$C144,Offers!$AG$7:$AG$3000,ROUNDUP(COUNTIFS(Offers!$B$7:$B$3000,$B144,Offers!$C$7:$C$3000,$C144,Offers!$AI$7:$AI$3000,"yes")/2,0))+SUMIFS(Offers!$I$7:$I$3000,Offers!$B$7:$B$3000,$B144,Offers!$C$7:$C$3000,$C144,Offers!$AG$7:$AG$3000,INT(COUNTIFS(Offers!$B$7:$B$3000,$B144,Offers!$C$7:$C$3000,$C144,Offers!$AI$7:$AI$3000,"yes")/2)+1))/2)</f>
        <v/>
      </c>
      <c r="K144" s="100" t="str">
        <f aca="false">IF(COUNTIFS(Offers!$B$7:$B$3000,$B144,Offers!$C$7:$C$3000,$C144,Offers!$AI$7:$AI$3000,"yes")=0,"",SUMIFS(Offers!$I$7:$I$3000,Offers!$B$7:$B$3000,$B144,Offers!$C$7:$C$3000,$C144,Offers!$AG$7:$AG$3000,COUNTIFS(Offers!$B$7:$B$3000,$B144,Offers!$C$7:$C$3000,$C144,Offers!$AI$7:$AI$3000,"yes")))</f>
        <v/>
      </c>
      <c r="L144" s="96"/>
      <c r="M144" s="96"/>
      <c r="N144" s="96"/>
      <c r="O144" s="110" t="str">
        <f aca="false">IF(Compare!$E$5="Local prices",IF(F144="","",IF(Compare!$C$5="Minimum",F144,IF(Compare!$C$5="Maximum",H144,G144))),IF(I144="","",IF(Compare!$C$5="Minimum",I144,IF(Compare!$C$5="Maximum",K144,J144))))</f>
        <v/>
      </c>
    </row>
    <row r="145" customFormat="false" ht="39" hidden="false" customHeight="true" outlineLevel="0" collapsed="false">
      <c r="A145" s="3"/>
      <c r="B145" s="102" t="s">
        <v>52</v>
      </c>
      <c r="C145" s="103" t="s">
        <v>13</v>
      </c>
      <c r="D145" s="103" t="s">
        <v>490</v>
      </c>
      <c r="E145" s="103" t="s">
        <v>491</v>
      </c>
      <c r="F145" s="104" t="str">
        <f aca="false">IF(COUNTIFS(Offers!$B$7:$B$3000,$B145,Offers!$C$7:$C$3000,$C145,Offers!$AH$7:$AH$3000,"yes")=0,"",SUMIFS(Offers!$H$7:$H$3000,Offers!$B$7:$B$3000,$B145,Offers!$C$7:$C$3000,$C145,Offers!$AF$7:$AF$3000,1))</f>
        <v/>
      </c>
      <c r="G145" s="105" t="str">
        <f aca="false">IF(COUNTIFS(Offers!$B$7:$B$3000,$B145,Offers!$C$7:$C$3000,$C145,Offers!$AH$7:$AH$3000,"yes")=0,"",(SUMIFS(Offers!$H$7:$H$3000,Offers!$B$7:$B$3000,$B145,Offers!$C$7:$C$3000,$C145,Offers!$AF$7:$AF$3000,ROUNDUP(COUNTIFS(Offers!$B$7:$B$3000,$B145,Offers!$C$7:$C$3000,$C145,Offers!$AH$7:$AH$3000,"yes")/2,0))+SUMIFS(Offers!$H$7:$H$3000,Offers!$B$7:$B$3000,$B145,Offers!$C$7:$C$3000,$C145,Offers!$AF$7:$AF$3000,INT(COUNTIFS(Offers!$B$7:$B$3000,$B145,Offers!$C$7:$C$3000,$C145,Offers!$AH$7:$AH$3000,"yes")/2)+1))/2)</f>
        <v/>
      </c>
      <c r="H145" s="104" t="str">
        <f aca="false">IF(COUNTIFS(Offers!$B$7:$B$3000,$B145,Offers!$C$7:$C$3000,$C145,Offers!$AH$7:$AH$3000,"yes")=0,"",SUMIFS(Offers!$H$7:$H$3000,Offers!$B$7:$B$3000,$B145,Offers!$C$7:$C$3000,$C145,Offers!$AF$7:$AF$3000,COUNTIFS(Offers!$B$7:$B$3000,$B145,Offers!$C$7:$C$3000,$C145,Offers!$AH$7:$AH$3000,"yes")))</f>
        <v/>
      </c>
      <c r="I145" s="106" t="str">
        <f aca="false">IF(COUNTIFS(Offers!$B$7:$B$3000,$B145,Offers!$C$7:$C$3000,$C145,Offers!$AI$7:$AI$3000,"yes")=0,"",SUMIFS(Offers!$I$7:$I$3000,Offers!$B$7:$B$3000,$B145,Offers!$C$7:$C$3000,$C145,Offers!$AG$7:$AG$3000,1))</f>
        <v/>
      </c>
      <c r="J145" s="107" t="str">
        <f aca="false">IF(COUNTIFS(Offers!$B$7:$B$3000,$B145,Offers!$C$7:$C$3000,$C145,Offers!$AI$7:$AI$3000,"yes")=0,"",(SUMIFS(Offers!$I$7:$I$3000,Offers!$B$7:$B$3000,$B145,Offers!$C$7:$C$3000,$C145,Offers!$AG$7:$AG$3000,ROUNDUP(COUNTIFS(Offers!$B$7:$B$3000,$B145,Offers!$C$7:$C$3000,$C145,Offers!$AI$7:$AI$3000,"yes")/2,0))+SUMIFS(Offers!$I$7:$I$3000,Offers!$B$7:$B$3000,$B145,Offers!$C$7:$C$3000,$C145,Offers!$AG$7:$AG$3000,INT(COUNTIFS(Offers!$B$7:$B$3000,$B145,Offers!$C$7:$C$3000,$C145,Offers!$AI$7:$AI$3000,"yes")/2)+1))/2)</f>
        <v/>
      </c>
      <c r="K145" s="106" t="str">
        <f aca="false">IF(COUNTIFS(Offers!$B$7:$B$3000,$B145,Offers!$C$7:$C$3000,$C145,Offers!$AI$7:$AI$3000,"yes")=0,"",SUMIFS(Offers!$I$7:$I$3000,Offers!$B$7:$B$3000,$B145,Offers!$C$7:$C$3000,$C145,Offers!$AG$7:$AG$3000,COUNTIFS(Offers!$B$7:$B$3000,$B145,Offers!$C$7:$C$3000,$C145,Offers!$AI$7:$AI$3000,"yes")))</f>
        <v/>
      </c>
      <c r="L145" s="108"/>
      <c r="M145" s="108"/>
      <c r="N145" s="108"/>
      <c r="O145" s="109" t="str">
        <f aca="false">IF(Compare!$E$5="Local prices",IF(F145="","",IF(Compare!$C$5="Minimum",F145,IF(Compare!$C$5="Maximum",H145,G145))),IF(I145="","",IF(Compare!$C$5="Minimum",I145,IF(Compare!$C$5="Maximum",K145,J145))))</f>
        <v/>
      </c>
    </row>
    <row r="146" customFormat="false" ht="39" hidden="false" customHeight="true" outlineLevel="0" collapsed="false">
      <c r="A146" s="3"/>
      <c r="B146" s="36" t="s">
        <v>52</v>
      </c>
      <c r="C146" s="98" t="s">
        <v>14</v>
      </c>
      <c r="D146" s="98" t="s">
        <v>374</v>
      </c>
      <c r="E146" s="98" t="s">
        <v>491</v>
      </c>
      <c r="F146" s="99" t="str">
        <f aca="false">IF(COUNTIFS(Offers!$B$7:$B$3000,$B146,Offers!$C$7:$C$3000,$C146,Offers!$AH$7:$AH$3000,"yes")=0,"",SUMIFS(Offers!$H$7:$H$3000,Offers!$B$7:$B$3000,$B146,Offers!$C$7:$C$3000,$C146,Offers!$AF$7:$AF$3000,1))</f>
        <v/>
      </c>
      <c r="G146" s="93" t="str">
        <f aca="false">IF(COUNTIFS(Offers!$B$7:$B$3000,$B146,Offers!$C$7:$C$3000,$C146,Offers!$AH$7:$AH$3000,"yes")=0,"",(SUMIFS(Offers!$H$7:$H$3000,Offers!$B$7:$B$3000,$B146,Offers!$C$7:$C$3000,$C146,Offers!$AF$7:$AF$3000,ROUNDUP(COUNTIFS(Offers!$B$7:$B$3000,$B146,Offers!$C$7:$C$3000,$C146,Offers!$AH$7:$AH$3000,"yes")/2,0))+SUMIFS(Offers!$H$7:$H$3000,Offers!$B$7:$B$3000,$B146,Offers!$C$7:$C$3000,$C146,Offers!$AF$7:$AF$3000,INT(COUNTIFS(Offers!$B$7:$B$3000,$B146,Offers!$C$7:$C$3000,$C146,Offers!$AH$7:$AH$3000,"yes")/2)+1))/2)</f>
        <v/>
      </c>
      <c r="H146" s="99" t="str">
        <f aca="false">IF(COUNTIFS(Offers!$B$7:$B$3000,$B146,Offers!$C$7:$C$3000,$C146,Offers!$AH$7:$AH$3000,"yes")=0,"",SUMIFS(Offers!$H$7:$H$3000,Offers!$B$7:$B$3000,$B146,Offers!$C$7:$C$3000,$C146,Offers!$AF$7:$AF$3000,COUNTIFS(Offers!$B$7:$B$3000,$B146,Offers!$C$7:$C$3000,$C146,Offers!$AH$7:$AH$3000,"yes")))</f>
        <v/>
      </c>
      <c r="I146" s="100" t="str">
        <f aca="false">IF(COUNTIFS(Offers!$B$7:$B$3000,$B146,Offers!$C$7:$C$3000,$C146,Offers!$AI$7:$AI$3000,"yes")=0,"",SUMIFS(Offers!$I$7:$I$3000,Offers!$B$7:$B$3000,$B146,Offers!$C$7:$C$3000,$C146,Offers!$AG$7:$AG$3000,1))</f>
        <v/>
      </c>
      <c r="J146" s="95" t="str">
        <f aca="false">IF(COUNTIFS(Offers!$B$7:$B$3000,$B146,Offers!$C$7:$C$3000,$C146,Offers!$AI$7:$AI$3000,"yes")=0,"",(SUMIFS(Offers!$I$7:$I$3000,Offers!$B$7:$B$3000,$B146,Offers!$C$7:$C$3000,$C146,Offers!$AG$7:$AG$3000,ROUNDUP(COUNTIFS(Offers!$B$7:$B$3000,$B146,Offers!$C$7:$C$3000,$C146,Offers!$AI$7:$AI$3000,"yes")/2,0))+SUMIFS(Offers!$I$7:$I$3000,Offers!$B$7:$B$3000,$B146,Offers!$C$7:$C$3000,$C146,Offers!$AG$7:$AG$3000,INT(COUNTIFS(Offers!$B$7:$B$3000,$B146,Offers!$C$7:$C$3000,$C146,Offers!$AI$7:$AI$3000,"yes")/2)+1))/2)</f>
        <v/>
      </c>
      <c r="K146" s="100" t="str">
        <f aca="false">IF(COUNTIFS(Offers!$B$7:$B$3000,$B146,Offers!$C$7:$C$3000,$C146,Offers!$AI$7:$AI$3000,"yes")=0,"",SUMIFS(Offers!$I$7:$I$3000,Offers!$B$7:$B$3000,$B146,Offers!$C$7:$C$3000,$C146,Offers!$AG$7:$AG$3000,COUNTIFS(Offers!$B$7:$B$3000,$B146,Offers!$C$7:$C$3000,$C146,Offers!$AI$7:$AI$3000,"yes")))</f>
        <v/>
      </c>
      <c r="L146" s="96"/>
      <c r="M146" s="96"/>
      <c r="N146" s="96"/>
      <c r="O146" s="110" t="str">
        <f aca="false">IF(Compare!$E$5="Local prices",IF(F146="","",IF(Compare!$C$5="Minimum",F146,IF(Compare!$C$5="Maximum",H146,G146))),IF(I146="","",IF(Compare!$C$5="Minimum",I146,IF(Compare!$C$5="Maximum",K146,J146))))</f>
        <v/>
      </c>
    </row>
    <row r="147" customFormat="false" ht="39" hidden="false" customHeight="true" outlineLevel="0" collapsed="false">
      <c r="A147" s="3"/>
      <c r="B147" s="31" t="s">
        <v>52</v>
      </c>
      <c r="C147" s="91" t="s">
        <v>15</v>
      </c>
      <c r="D147" s="91" t="s">
        <v>244</v>
      </c>
      <c r="E147" s="91" t="s">
        <v>491</v>
      </c>
      <c r="F147" s="92" t="n">
        <f aca="false">IF(COUNTIFS(Offers!$B$7:$B$3000,$B147,Offers!$C$7:$C$3000,$C147,Offers!$AH$7:$AH$3000,"yes")=0,"",SUMIFS(Offers!$H$7:$H$3000,Offers!$B$7:$B$3000,$B147,Offers!$C$7:$C$3000,$C147,Offers!$AF$7:$AF$3000,1))</f>
        <v>0.81</v>
      </c>
      <c r="G147" s="93" t="n">
        <f aca="false">IF(COUNTIFS(Offers!$B$7:$B$3000,$B147,Offers!$C$7:$C$3000,$C147,Offers!$AH$7:$AH$3000,"yes")=0,"",(SUMIFS(Offers!$H$7:$H$3000,Offers!$B$7:$B$3000,$B147,Offers!$C$7:$C$3000,$C147,Offers!$AF$7:$AF$3000,ROUNDUP(COUNTIFS(Offers!$B$7:$B$3000,$B147,Offers!$C$7:$C$3000,$C147,Offers!$AH$7:$AH$3000,"yes")/2,0))+SUMIFS(Offers!$H$7:$H$3000,Offers!$B$7:$B$3000,$B147,Offers!$C$7:$C$3000,$C147,Offers!$AF$7:$AF$3000,INT(COUNTIFS(Offers!$B$7:$B$3000,$B147,Offers!$C$7:$C$3000,$C147,Offers!$AH$7:$AH$3000,"yes")/2)+1))/2)</f>
        <v>1.175</v>
      </c>
      <c r="H147" s="92" t="n">
        <f aca="false">IF(COUNTIFS(Offers!$B$7:$B$3000,$B147,Offers!$C$7:$C$3000,$C147,Offers!$AH$7:$AH$3000,"yes")=0,"",SUMIFS(Offers!$H$7:$H$3000,Offers!$B$7:$B$3000,$B147,Offers!$C$7:$C$3000,$C147,Offers!$AF$7:$AF$3000,COUNTIFS(Offers!$B$7:$B$3000,$B147,Offers!$C$7:$C$3000,$C147,Offers!$AH$7:$AH$3000,"yes")))</f>
        <v>6.59</v>
      </c>
      <c r="I147" s="94" t="n">
        <f aca="false">IF(COUNTIFS(Offers!$B$7:$B$3000,$B147,Offers!$C$7:$C$3000,$C147,Offers!$AI$7:$AI$3000,"yes")=0,"",SUMIFS(Offers!$I$7:$I$3000,Offers!$B$7:$B$3000,$B147,Offers!$C$7:$C$3000,$C147,Offers!$AG$7:$AG$3000,1))</f>
        <v>0.81</v>
      </c>
      <c r="J147" s="95" t="n">
        <f aca="false">IF(COUNTIFS(Offers!$B$7:$B$3000,$B147,Offers!$C$7:$C$3000,$C147,Offers!$AI$7:$AI$3000,"yes")=0,"",(SUMIFS(Offers!$I$7:$I$3000,Offers!$B$7:$B$3000,$B147,Offers!$C$7:$C$3000,$C147,Offers!$AG$7:$AG$3000,ROUNDUP(COUNTIFS(Offers!$B$7:$B$3000,$B147,Offers!$C$7:$C$3000,$C147,Offers!$AI$7:$AI$3000,"yes")/2,0))+SUMIFS(Offers!$I$7:$I$3000,Offers!$B$7:$B$3000,$B147,Offers!$C$7:$C$3000,$C147,Offers!$AG$7:$AG$3000,INT(COUNTIFS(Offers!$B$7:$B$3000,$B147,Offers!$C$7:$C$3000,$C147,Offers!$AI$7:$AI$3000,"yes")/2)+1))/2)</f>
        <v>1.175</v>
      </c>
      <c r="K147" s="94" t="n">
        <f aca="false">IF(COUNTIFS(Offers!$B$7:$B$3000,$B147,Offers!$C$7:$C$3000,$C147,Offers!$AI$7:$AI$3000,"yes")=0,"",SUMIFS(Offers!$I$7:$I$3000,Offers!$B$7:$B$3000,$B147,Offers!$C$7:$C$3000,$C147,Offers!$AG$7:$AG$3000,COUNTIFS(Offers!$B$7:$B$3000,$B147,Offers!$C$7:$C$3000,$C147,Offers!$AI$7:$AI$3000,"yes")))</f>
        <v>6.59</v>
      </c>
      <c r="L147" s="96"/>
      <c r="M147" s="96"/>
      <c r="N147" s="96"/>
      <c r="O147" s="97" t="n">
        <f aca="false">IF(Compare!$E$5="Local prices",IF(F147="","",IF(Compare!$C$5="Minimum",F147,IF(Compare!$C$5="Maximum",H147,G147))),IF(I147="","",IF(Compare!$C$5="Minimum",I147,IF(Compare!$C$5="Maximum",K147,J147))))</f>
        <v>1.175</v>
      </c>
    </row>
    <row r="148" customFormat="false" ht="39" hidden="false" customHeight="true" outlineLevel="0" collapsed="false">
      <c r="A148" s="3"/>
      <c r="B148" s="36" t="s">
        <v>52</v>
      </c>
      <c r="C148" s="98" t="s">
        <v>16</v>
      </c>
      <c r="D148" s="98" t="s">
        <v>244</v>
      </c>
      <c r="E148" s="98" t="s">
        <v>491</v>
      </c>
      <c r="F148" s="99" t="n">
        <f aca="false">IF(COUNTIFS(Offers!$B$7:$B$3000,$B148,Offers!$C$7:$C$3000,$C148,Offers!$AH$7:$AH$3000,"yes")=0,"",SUMIFS(Offers!$H$7:$H$3000,Offers!$B$7:$B$3000,$B148,Offers!$C$7:$C$3000,$C148,Offers!$AF$7:$AF$3000,1))</f>
        <v>0.69</v>
      </c>
      <c r="G148" s="93" t="n">
        <f aca="false">IF(COUNTIFS(Offers!$B$7:$B$3000,$B148,Offers!$C$7:$C$3000,$C148,Offers!$AH$7:$AH$3000,"yes")=0,"",(SUMIFS(Offers!$H$7:$H$3000,Offers!$B$7:$B$3000,$B148,Offers!$C$7:$C$3000,$C148,Offers!$AF$7:$AF$3000,ROUNDUP(COUNTIFS(Offers!$B$7:$B$3000,$B148,Offers!$C$7:$C$3000,$C148,Offers!$AH$7:$AH$3000,"yes")/2,0))+SUMIFS(Offers!$H$7:$H$3000,Offers!$B$7:$B$3000,$B148,Offers!$C$7:$C$3000,$C148,Offers!$AF$7:$AF$3000,INT(COUNTIFS(Offers!$B$7:$B$3000,$B148,Offers!$C$7:$C$3000,$C148,Offers!$AH$7:$AH$3000,"yes")/2)+1))/2)</f>
        <v>1.08</v>
      </c>
      <c r="H148" s="99" t="n">
        <f aca="false">IF(COUNTIFS(Offers!$B$7:$B$3000,$B148,Offers!$C$7:$C$3000,$C148,Offers!$AH$7:$AH$3000,"yes")=0,"",SUMIFS(Offers!$H$7:$H$3000,Offers!$B$7:$B$3000,$B148,Offers!$C$7:$C$3000,$C148,Offers!$AF$7:$AF$3000,COUNTIFS(Offers!$B$7:$B$3000,$B148,Offers!$C$7:$C$3000,$C148,Offers!$AH$7:$AH$3000,"yes")))</f>
        <v>2.79</v>
      </c>
      <c r="I148" s="100" t="n">
        <f aca="false">IF(COUNTIFS(Offers!$B$7:$B$3000,$B148,Offers!$C$7:$C$3000,$C148,Offers!$AI$7:$AI$3000,"yes")=0,"",SUMIFS(Offers!$I$7:$I$3000,Offers!$B$7:$B$3000,$B148,Offers!$C$7:$C$3000,$C148,Offers!$AG$7:$AG$3000,1))</f>
        <v>0.69</v>
      </c>
      <c r="J148" s="95" t="n">
        <f aca="false">IF(COUNTIFS(Offers!$B$7:$B$3000,$B148,Offers!$C$7:$C$3000,$C148,Offers!$AI$7:$AI$3000,"yes")=0,"",(SUMIFS(Offers!$I$7:$I$3000,Offers!$B$7:$B$3000,$B148,Offers!$C$7:$C$3000,$C148,Offers!$AG$7:$AG$3000,ROUNDUP(COUNTIFS(Offers!$B$7:$B$3000,$B148,Offers!$C$7:$C$3000,$C148,Offers!$AI$7:$AI$3000,"yes")/2,0))+SUMIFS(Offers!$I$7:$I$3000,Offers!$B$7:$B$3000,$B148,Offers!$C$7:$C$3000,$C148,Offers!$AG$7:$AG$3000,INT(COUNTIFS(Offers!$B$7:$B$3000,$B148,Offers!$C$7:$C$3000,$C148,Offers!$AI$7:$AI$3000,"yes")/2)+1))/2)</f>
        <v>1.08</v>
      </c>
      <c r="K148" s="100" t="n">
        <f aca="false">IF(COUNTIFS(Offers!$B$7:$B$3000,$B148,Offers!$C$7:$C$3000,$C148,Offers!$AI$7:$AI$3000,"yes")=0,"",SUMIFS(Offers!$I$7:$I$3000,Offers!$B$7:$B$3000,$B148,Offers!$C$7:$C$3000,$C148,Offers!$AG$7:$AG$3000,COUNTIFS(Offers!$B$7:$B$3000,$B148,Offers!$C$7:$C$3000,$C148,Offers!$AI$7:$AI$3000,"yes")))</f>
        <v>2.79</v>
      </c>
      <c r="L148" s="96"/>
      <c r="M148" s="96"/>
      <c r="N148" s="96"/>
      <c r="O148" s="101" t="n">
        <f aca="false">IF(Compare!$E$5="Local prices",IF(F148="","",IF(Compare!$C$5="Minimum",F148,IF(Compare!$C$5="Maximum",H148,G148))),IF(I148="","",IF(Compare!$C$5="Minimum",I148,IF(Compare!$C$5="Maximum",K148,J148))))</f>
        <v>1.08</v>
      </c>
    </row>
    <row r="149" customFormat="false" ht="39" hidden="false" customHeight="true" outlineLevel="0" collapsed="false">
      <c r="A149" s="3"/>
      <c r="B149" s="31" t="s">
        <v>52</v>
      </c>
      <c r="C149" s="91" t="s">
        <v>17</v>
      </c>
      <c r="D149" s="91" t="s">
        <v>333</v>
      </c>
      <c r="E149" s="91" t="s">
        <v>491</v>
      </c>
      <c r="F149" s="92" t="n">
        <f aca="false">IF(COUNTIFS(Offers!$B$7:$B$3000,$B149,Offers!$C$7:$C$3000,$C149,Offers!$AH$7:$AH$3000,"yes")=0,"",SUMIFS(Offers!$H$7:$H$3000,Offers!$B$7:$B$3000,$B149,Offers!$C$7:$C$3000,$C149,Offers!$AF$7:$AF$3000,1))</f>
        <v>35.54</v>
      </c>
      <c r="G149" s="93" t="n">
        <f aca="false">IF(COUNTIFS(Offers!$B$7:$B$3000,$B149,Offers!$C$7:$C$3000,$C149,Offers!$AH$7:$AH$3000,"yes")=0,"",(SUMIFS(Offers!$H$7:$H$3000,Offers!$B$7:$B$3000,$B149,Offers!$C$7:$C$3000,$C149,Offers!$AF$7:$AF$3000,ROUNDUP(COUNTIFS(Offers!$B$7:$B$3000,$B149,Offers!$C$7:$C$3000,$C149,Offers!$AH$7:$AH$3000,"yes")/2,0))+SUMIFS(Offers!$H$7:$H$3000,Offers!$B$7:$B$3000,$B149,Offers!$C$7:$C$3000,$C149,Offers!$AF$7:$AF$3000,INT(COUNTIFS(Offers!$B$7:$B$3000,$B149,Offers!$C$7:$C$3000,$C149,Offers!$AH$7:$AH$3000,"yes")/2)+1))/2)</f>
        <v>42.49</v>
      </c>
      <c r="H149" s="92" t="n">
        <f aca="false">IF(COUNTIFS(Offers!$B$7:$B$3000,$B149,Offers!$C$7:$C$3000,$C149,Offers!$AH$7:$AH$3000,"yes")=0,"",SUMIFS(Offers!$H$7:$H$3000,Offers!$B$7:$B$3000,$B149,Offers!$C$7:$C$3000,$C149,Offers!$AF$7:$AF$3000,COUNTIFS(Offers!$B$7:$B$3000,$B149,Offers!$C$7:$C$3000,$C149,Offers!$AH$7:$AH$3000,"yes")))</f>
        <v>81.82</v>
      </c>
      <c r="I149" s="94" t="n">
        <f aca="false">IF(COUNTIFS(Offers!$B$7:$B$3000,$B149,Offers!$C$7:$C$3000,$C149,Offers!$AI$7:$AI$3000,"yes")=0,"",SUMIFS(Offers!$I$7:$I$3000,Offers!$B$7:$B$3000,$B149,Offers!$C$7:$C$3000,$C149,Offers!$AG$7:$AG$3000,1))</f>
        <v>1.455149</v>
      </c>
      <c r="J149" s="95" t="n">
        <f aca="false">IF(COUNTIFS(Offers!$B$7:$B$3000,$B149,Offers!$C$7:$C$3000,$C149,Offers!$AI$7:$AI$3000,"yes")=0,"",(SUMIFS(Offers!$I$7:$I$3000,Offers!$B$7:$B$3000,$B149,Offers!$C$7:$C$3000,$C149,Offers!$AG$7:$AG$3000,ROUNDUP(COUNTIFS(Offers!$B$7:$B$3000,$B149,Offers!$C$7:$C$3000,$C149,Offers!$AI$7:$AI$3000,"yes")/2,0))+SUMIFS(Offers!$I$7:$I$3000,Offers!$B$7:$B$3000,$B149,Offers!$C$7:$C$3000,$C149,Offers!$AG$7:$AG$3000,INT(COUNTIFS(Offers!$B$7:$B$3000,$B149,Offers!$C$7:$C$3000,$C149,Offers!$AI$7:$AI$3000,"yes")/2)+1))/2)</f>
        <v>1.7397095</v>
      </c>
      <c r="K149" s="94" t="n">
        <f aca="false">IF(COUNTIFS(Offers!$B$7:$B$3000,$B149,Offers!$C$7:$C$3000,$C149,Offers!$AI$7:$AI$3000,"yes")=0,"",SUMIFS(Offers!$I$7:$I$3000,Offers!$B$7:$B$3000,$B149,Offers!$C$7:$C$3000,$C149,Offers!$AG$7:$AG$3000,COUNTIFS(Offers!$B$7:$B$3000,$B149,Offers!$C$7:$C$3000,$C149,Offers!$AI$7:$AI$3000,"yes")))</f>
        <v>3.350036</v>
      </c>
      <c r="L149" s="96"/>
      <c r="M149" s="96"/>
      <c r="N149" s="96"/>
      <c r="O149" s="97" t="n">
        <f aca="false">IF(Compare!$E$5="Local prices",IF(F149="","",IF(Compare!$C$5="Minimum",F149,IF(Compare!$C$5="Maximum",H149,G149))),IF(I149="","",IF(Compare!$C$5="Minimum",I149,IF(Compare!$C$5="Maximum",K149,J149))))</f>
        <v>1.7397095</v>
      </c>
    </row>
    <row r="150" customFormat="false" ht="39" hidden="false" customHeight="true" outlineLevel="0" collapsed="false">
      <c r="A150" s="3"/>
      <c r="B150" s="36" t="s">
        <v>52</v>
      </c>
      <c r="C150" s="98" t="s">
        <v>18</v>
      </c>
      <c r="D150" s="98" t="s">
        <v>244</v>
      </c>
      <c r="E150" s="98" t="s">
        <v>491</v>
      </c>
      <c r="F150" s="99" t="str">
        <f aca="false">IF(COUNTIFS(Offers!$B$7:$B$3000,$B150,Offers!$C$7:$C$3000,$C150,Offers!$AH$7:$AH$3000,"yes")=0,"",SUMIFS(Offers!$H$7:$H$3000,Offers!$B$7:$B$3000,$B150,Offers!$C$7:$C$3000,$C150,Offers!$AF$7:$AF$3000,1))</f>
        <v/>
      </c>
      <c r="G150" s="93" t="str">
        <f aca="false">IF(COUNTIFS(Offers!$B$7:$B$3000,$B150,Offers!$C$7:$C$3000,$C150,Offers!$AH$7:$AH$3000,"yes")=0,"",(SUMIFS(Offers!$H$7:$H$3000,Offers!$B$7:$B$3000,$B150,Offers!$C$7:$C$3000,$C150,Offers!$AF$7:$AF$3000,ROUNDUP(COUNTIFS(Offers!$B$7:$B$3000,$B150,Offers!$C$7:$C$3000,$C150,Offers!$AH$7:$AH$3000,"yes")/2,0))+SUMIFS(Offers!$H$7:$H$3000,Offers!$B$7:$B$3000,$B150,Offers!$C$7:$C$3000,$C150,Offers!$AF$7:$AF$3000,INT(COUNTIFS(Offers!$B$7:$B$3000,$B150,Offers!$C$7:$C$3000,$C150,Offers!$AH$7:$AH$3000,"yes")/2)+1))/2)</f>
        <v/>
      </c>
      <c r="H150" s="99" t="str">
        <f aca="false">IF(COUNTIFS(Offers!$B$7:$B$3000,$B150,Offers!$C$7:$C$3000,$C150,Offers!$AH$7:$AH$3000,"yes")=0,"",SUMIFS(Offers!$H$7:$H$3000,Offers!$B$7:$B$3000,$B150,Offers!$C$7:$C$3000,$C150,Offers!$AF$7:$AF$3000,COUNTIFS(Offers!$B$7:$B$3000,$B150,Offers!$C$7:$C$3000,$C150,Offers!$AH$7:$AH$3000,"yes")))</f>
        <v/>
      </c>
      <c r="I150" s="100" t="str">
        <f aca="false">IF(COUNTIFS(Offers!$B$7:$B$3000,$B150,Offers!$C$7:$C$3000,$C150,Offers!$AI$7:$AI$3000,"yes")=0,"",SUMIFS(Offers!$I$7:$I$3000,Offers!$B$7:$B$3000,$B150,Offers!$C$7:$C$3000,$C150,Offers!$AG$7:$AG$3000,1))</f>
        <v/>
      </c>
      <c r="J150" s="95" t="str">
        <f aca="false">IF(COUNTIFS(Offers!$B$7:$B$3000,$B150,Offers!$C$7:$C$3000,$C150,Offers!$AI$7:$AI$3000,"yes")=0,"",(SUMIFS(Offers!$I$7:$I$3000,Offers!$B$7:$B$3000,$B150,Offers!$C$7:$C$3000,$C150,Offers!$AG$7:$AG$3000,ROUNDUP(COUNTIFS(Offers!$B$7:$B$3000,$B150,Offers!$C$7:$C$3000,$C150,Offers!$AI$7:$AI$3000,"yes")/2,0))+SUMIFS(Offers!$I$7:$I$3000,Offers!$B$7:$B$3000,$B150,Offers!$C$7:$C$3000,$C150,Offers!$AG$7:$AG$3000,INT(COUNTIFS(Offers!$B$7:$B$3000,$B150,Offers!$C$7:$C$3000,$C150,Offers!$AI$7:$AI$3000,"yes")/2)+1))/2)</f>
        <v/>
      </c>
      <c r="K150" s="100" t="str">
        <f aca="false">IF(COUNTIFS(Offers!$B$7:$B$3000,$B150,Offers!$C$7:$C$3000,$C150,Offers!$AI$7:$AI$3000,"yes")=0,"",SUMIFS(Offers!$I$7:$I$3000,Offers!$B$7:$B$3000,$B150,Offers!$C$7:$C$3000,$C150,Offers!$AG$7:$AG$3000,COUNTIFS(Offers!$B$7:$B$3000,$B150,Offers!$C$7:$C$3000,$C150,Offers!$AI$7:$AI$3000,"yes")))</f>
        <v/>
      </c>
      <c r="L150" s="96"/>
      <c r="M150" s="96"/>
      <c r="N150" s="96"/>
      <c r="O150" s="110" t="str">
        <f aca="false">IF(Compare!$E$5="Local prices",IF(F150="","",IF(Compare!$C$5="Minimum",F150,IF(Compare!$C$5="Maximum",H150,G150))),IF(I150="","",IF(Compare!$C$5="Minimum",I150,IF(Compare!$C$5="Maximum",K150,J150))))</f>
        <v/>
      </c>
    </row>
    <row r="151" customFormat="false" ht="39" hidden="false" customHeight="true" outlineLevel="0" collapsed="false">
      <c r="A151" s="3"/>
      <c r="B151" s="102" t="s">
        <v>53</v>
      </c>
      <c r="C151" s="103" t="s">
        <v>13</v>
      </c>
      <c r="D151" s="103" t="s">
        <v>490</v>
      </c>
      <c r="E151" s="103" t="s">
        <v>491</v>
      </c>
      <c r="F151" s="104" t="str">
        <f aca="false">IF(COUNTIFS(Offers!$B$7:$B$3000,$B151,Offers!$C$7:$C$3000,$C151,Offers!$AH$7:$AH$3000,"yes")=0,"",SUMIFS(Offers!$H$7:$H$3000,Offers!$B$7:$B$3000,$B151,Offers!$C$7:$C$3000,$C151,Offers!$AF$7:$AF$3000,1))</f>
        <v/>
      </c>
      <c r="G151" s="105" t="str">
        <f aca="false">IF(COUNTIFS(Offers!$B$7:$B$3000,$B151,Offers!$C$7:$C$3000,$C151,Offers!$AH$7:$AH$3000,"yes")=0,"",(SUMIFS(Offers!$H$7:$H$3000,Offers!$B$7:$B$3000,$B151,Offers!$C$7:$C$3000,$C151,Offers!$AF$7:$AF$3000,ROUNDUP(COUNTIFS(Offers!$B$7:$B$3000,$B151,Offers!$C$7:$C$3000,$C151,Offers!$AH$7:$AH$3000,"yes")/2,0))+SUMIFS(Offers!$H$7:$H$3000,Offers!$B$7:$B$3000,$B151,Offers!$C$7:$C$3000,$C151,Offers!$AF$7:$AF$3000,INT(COUNTIFS(Offers!$B$7:$B$3000,$B151,Offers!$C$7:$C$3000,$C151,Offers!$AH$7:$AH$3000,"yes")/2)+1))/2)</f>
        <v/>
      </c>
      <c r="H151" s="104" t="str">
        <f aca="false">IF(COUNTIFS(Offers!$B$7:$B$3000,$B151,Offers!$C$7:$C$3000,$C151,Offers!$AH$7:$AH$3000,"yes")=0,"",SUMIFS(Offers!$H$7:$H$3000,Offers!$B$7:$B$3000,$B151,Offers!$C$7:$C$3000,$C151,Offers!$AF$7:$AF$3000,COUNTIFS(Offers!$B$7:$B$3000,$B151,Offers!$C$7:$C$3000,$C151,Offers!$AH$7:$AH$3000,"yes")))</f>
        <v/>
      </c>
      <c r="I151" s="106" t="str">
        <f aca="false">IF(COUNTIFS(Offers!$B$7:$B$3000,$B151,Offers!$C$7:$C$3000,$C151,Offers!$AI$7:$AI$3000,"yes")=0,"",SUMIFS(Offers!$I$7:$I$3000,Offers!$B$7:$B$3000,$B151,Offers!$C$7:$C$3000,$C151,Offers!$AG$7:$AG$3000,1))</f>
        <v/>
      </c>
      <c r="J151" s="107" t="str">
        <f aca="false">IF(COUNTIFS(Offers!$B$7:$B$3000,$B151,Offers!$C$7:$C$3000,$C151,Offers!$AI$7:$AI$3000,"yes")=0,"",(SUMIFS(Offers!$I$7:$I$3000,Offers!$B$7:$B$3000,$B151,Offers!$C$7:$C$3000,$C151,Offers!$AG$7:$AG$3000,ROUNDUP(COUNTIFS(Offers!$B$7:$B$3000,$B151,Offers!$C$7:$C$3000,$C151,Offers!$AI$7:$AI$3000,"yes")/2,0))+SUMIFS(Offers!$I$7:$I$3000,Offers!$B$7:$B$3000,$B151,Offers!$C$7:$C$3000,$C151,Offers!$AG$7:$AG$3000,INT(COUNTIFS(Offers!$B$7:$B$3000,$B151,Offers!$C$7:$C$3000,$C151,Offers!$AI$7:$AI$3000,"yes")/2)+1))/2)</f>
        <v/>
      </c>
      <c r="K151" s="106" t="str">
        <f aca="false">IF(COUNTIFS(Offers!$B$7:$B$3000,$B151,Offers!$C$7:$C$3000,$C151,Offers!$AI$7:$AI$3000,"yes")=0,"",SUMIFS(Offers!$I$7:$I$3000,Offers!$B$7:$B$3000,$B151,Offers!$C$7:$C$3000,$C151,Offers!$AG$7:$AG$3000,COUNTIFS(Offers!$B$7:$B$3000,$B151,Offers!$C$7:$C$3000,$C151,Offers!$AI$7:$AI$3000,"yes")))</f>
        <v/>
      </c>
      <c r="L151" s="108"/>
      <c r="M151" s="108"/>
      <c r="N151" s="108"/>
      <c r="O151" s="109" t="str">
        <f aca="false">IF(Compare!$E$5="Local prices",IF(F151="","",IF(Compare!$C$5="Minimum",F151,IF(Compare!$C$5="Maximum",H151,G151))),IF(I151="","",IF(Compare!$C$5="Minimum",I151,IF(Compare!$C$5="Maximum",K151,J151))))</f>
        <v/>
      </c>
    </row>
    <row r="152" customFormat="false" ht="39" hidden="false" customHeight="true" outlineLevel="0" collapsed="false">
      <c r="A152" s="3"/>
      <c r="B152" s="36" t="s">
        <v>53</v>
      </c>
      <c r="C152" s="98" t="s">
        <v>14</v>
      </c>
      <c r="D152" s="98" t="s">
        <v>374</v>
      </c>
      <c r="E152" s="98" t="s">
        <v>491</v>
      </c>
      <c r="F152" s="99" t="str">
        <f aca="false">IF(COUNTIFS(Offers!$B$7:$B$3000,$B152,Offers!$C$7:$C$3000,$C152,Offers!$AH$7:$AH$3000,"yes")=0,"",SUMIFS(Offers!$H$7:$H$3000,Offers!$B$7:$B$3000,$B152,Offers!$C$7:$C$3000,$C152,Offers!$AF$7:$AF$3000,1))</f>
        <v/>
      </c>
      <c r="G152" s="93" t="str">
        <f aca="false">IF(COUNTIFS(Offers!$B$7:$B$3000,$B152,Offers!$C$7:$C$3000,$C152,Offers!$AH$7:$AH$3000,"yes")=0,"",(SUMIFS(Offers!$H$7:$H$3000,Offers!$B$7:$B$3000,$B152,Offers!$C$7:$C$3000,$C152,Offers!$AF$7:$AF$3000,ROUNDUP(COUNTIFS(Offers!$B$7:$B$3000,$B152,Offers!$C$7:$C$3000,$C152,Offers!$AH$7:$AH$3000,"yes")/2,0))+SUMIFS(Offers!$H$7:$H$3000,Offers!$B$7:$B$3000,$B152,Offers!$C$7:$C$3000,$C152,Offers!$AF$7:$AF$3000,INT(COUNTIFS(Offers!$B$7:$B$3000,$B152,Offers!$C$7:$C$3000,$C152,Offers!$AH$7:$AH$3000,"yes")/2)+1))/2)</f>
        <v/>
      </c>
      <c r="H152" s="99" t="str">
        <f aca="false">IF(COUNTIFS(Offers!$B$7:$B$3000,$B152,Offers!$C$7:$C$3000,$C152,Offers!$AH$7:$AH$3000,"yes")=0,"",SUMIFS(Offers!$H$7:$H$3000,Offers!$B$7:$B$3000,$B152,Offers!$C$7:$C$3000,$C152,Offers!$AF$7:$AF$3000,COUNTIFS(Offers!$B$7:$B$3000,$B152,Offers!$C$7:$C$3000,$C152,Offers!$AH$7:$AH$3000,"yes")))</f>
        <v/>
      </c>
      <c r="I152" s="100" t="str">
        <f aca="false">IF(COUNTIFS(Offers!$B$7:$B$3000,$B152,Offers!$C$7:$C$3000,$C152,Offers!$AI$7:$AI$3000,"yes")=0,"",SUMIFS(Offers!$I$7:$I$3000,Offers!$B$7:$B$3000,$B152,Offers!$C$7:$C$3000,$C152,Offers!$AG$7:$AG$3000,1))</f>
        <v/>
      </c>
      <c r="J152" s="95" t="str">
        <f aca="false">IF(COUNTIFS(Offers!$B$7:$B$3000,$B152,Offers!$C$7:$C$3000,$C152,Offers!$AI$7:$AI$3000,"yes")=0,"",(SUMIFS(Offers!$I$7:$I$3000,Offers!$B$7:$B$3000,$B152,Offers!$C$7:$C$3000,$C152,Offers!$AG$7:$AG$3000,ROUNDUP(COUNTIFS(Offers!$B$7:$B$3000,$B152,Offers!$C$7:$C$3000,$C152,Offers!$AI$7:$AI$3000,"yes")/2,0))+SUMIFS(Offers!$I$7:$I$3000,Offers!$B$7:$B$3000,$B152,Offers!$C$7:$C$3000,$C152,Offers!$AG$7:$AG$3000,INT(COUNTIFS(Offers!$B$7:$B$3000,$B152,Offers!$C$7:$C$3000,$C152,Offers!$AI$7:$AI$3000,"yes")/2)+1))/2)</f>
        <v/>
      </c>
      <c r="K152" s="100" t="str">
        <f aca="false">IF(COUNTIFS(Offers!$B$7:$B$3000,$B152,Offers!$C$7:$C$3000,$C152,Offers!$AI$7:$AI$3000,"yes")=0,"",SUMIFS(Offers!$I$7:$I$3000,Offers!$B$7:$B$3000,$B152,Offers!$C$7:$C$3000,$C152,Offers!$AG$7:$AG$3000,COUNTIFS(Offers!$B$7:$B$3000,$B152,Offers!$C$7:$C$3000,$C152,Offers!$AI$7:$AI$3000,"yes")))</f>
        <v/>
      </c>
      <c r="L152" s="96"/>
      <c r="M152" s="96"/>
      <c r="N152" s="96"/>
      <c r="O152" s="110" t="str">
        <f aca="false">IF(Compare!$E$5="Local prices",IF(F152="","",IF(Compare!$C$5="Minimum",F152,IF(Compare!$C$5="Maximum",H152,G152))),IF(I152="","",IF(Compare!$C$5="Minimum",I152,IF(Compare!$C$5="Maximum",K152,J152))))</f>
        <v/>
      </c>
    </row>
    <row r="153" customFormat="false" ht="39" hidden="false" customHeight="true" outlineLevel="0" collapsed="false">
      <c r="A153" s="3"/>
      <c r="B153" s="31" t="s">
        <v>53</v>
      </c>
      <c r="C153" s="91" t="s">
        <v>15</v>
      </c>
      <c r="D153" s="91" t="s">
        <v>244</v>
      </c>
      <c r="E153" s="91" t="s">
        <v>491</v>
      </c>
      <c r="F153" s="92" t="n">
        <f aca="false">IF(COUNTIFS(Offers!$B$7:$B$3000,$B153,Offers!$C$7:$C$3000,$C153,Offers!$AH$7:$AH$3000,"yes")=0,"",SUMIFS(Offers!$H$7:$H$3000,Offers!$B$7:$B$3000,$B153,Offers!$C$7:$C$3000,$C153,Offers!$AF$7:$AF$3000,1))</f>
        <v>1.06</v>
      </c>
      <c r="G153" s="93" t="n">
        <f aca="false">IF(COUNTIFS(Offers!$B$7:$B$3000,$B153,Offers!$C$7:$C$3000,$C153,Offers!$AH$7:$AH$3000,"yes")=0,"",(SUMIFS(Offers!$H$7:$H$3000,Offers!$B$7:$B$3000,$B153,Offers!$C$7:$C$3000,$C153,Offers!$AF$7:$AF$3000,ROUNDUP(COUNTIFS(Offers!$B$7:$B$3000,$B153,Offers!$C$7:$C$3000,$C153,Offers!$AH$7:$AH$3000,"yes")/2,0))+SUMIFS(Offers!$H$7:$H$3000,Offers!$B$7:$B$3000,$B153,Offers!$C$7:$C$3000,$C153,Offers!$AF$7:$AF$3000,INT(COUNTIFS(Offers!$B$7:$B$3000,$B153,Offers!$C$7:$C$3000,$C153,Offers!$AH$7:$AH$3000,"yes")/2)+1))/2)</f>
        <v>1.73</v>
      </c>
      <c r="H153" s="92" t="n">
        <f aca="false">IF(COUNTIFS(Offers!$B$7:$B$3000,$B153,Offers!$C$7:$C$3000,$C153,Offers!$AH$7:$AH$3000,"yes")=0,"",SUMIFS(Offers!$H$7:$H$3000,Offers!$B$7:$B$3000,$B153,Offers!$C$7:$C$3000,$C153,Offers!$AF$7:$AF$3000,COUNTIFS(Offers!$B$7:$B$3000,$B153,Offers!$C$7:$C$3000,$C153,Offers!$AH$7:$AH$3000,"yes")))</f>
        <v>5.83</v>
      </c>
      <c r="I153" s="94" t="n">
        <f aca="false">IF(COUNTIFS(Offers!$B$7:$B$3000,$B153,Offers!$C$7:$C$3000,$C153,Offers!$AI$7:$AI$3000,"yes")=0,"",SUMIFS(Offers!$I$7:$I$3000,Offers!$B$7:$B$3000,$B153,Offers!$C$7:$C$3000,$C153,Offers!$AG$7:$AG$3000,1))</f>
        <v>1.06</v>
      </c>
      <c r="J153" s="95" t="n">
        <f aca="false">IF(COUNTIFS(Offers!$B$7:$B$3000,$B153,Offers!$C$7:$C$3000,$C153,Offers!$AI$7:$AI$3000,"yes")=0,"",(SUMIFS(Offers!$I$7:$I$3000,Offers!$B$7:$B$3000,$B153,Offers!$C$7:$C$3000,$C153,Offers!$AG$7:$AG$3000,ROUNDUP(COUNTIFS(Offers!$B$7:$B$3000,$B153,Offers!$C$7:$C$3000,$C153,Offers!$AI$7:$AI$3000,"yes")/2,0))+SUMIFS(Offers!$I$7:$I$3000,Offers!$B$7:$B$3000,$B153,Offers!$C$7:$C$3000,$C153,Offers!$AG$7:$AG$3000,INT(COUNTIFS(Offers!$B$7:$B$3000,$B153,Offers!$C$7:$C$3000,$C153,Offers!$AI$7:$AI$3000,"yes")/2)+1))/2)</f>
        <v>1.73</v>
      </c>
      <c r="K153" s="94" t="n">
        <f aca="false">IF(COUNTIFS(Offers!$B$7:$B$3000,$B153,Offers!$C$7:$C$3000,$C153,Offers!$AI$7:$AI$3000,"yes")=0,"",SUMIFS(Offers!$I$7:$I$3000,Offers!$B$7:$B$3000,$B153,Offers!$C$7:$C$3000,$C153,Offers!$AG$7:$AG$3000,COUNTIFS(Offers!$B$7:$B$3000,$B153,Offers!$C$7:$C$3000,$C153,Offers!$AI$7:$AI$3000,"yes")))</f>
        <v>5.83</v>
      </c>
      <c r="L153" s="96"/>
      <c r="M153" s="96"/>
      <c r="N153" s="96"/>
      <c r="O153" s="97" t="n">
        <f aca="false">IF(Compare!$E$5="Local prices",IF(F153="","",IF(Compare!$C$5="Minimum",F153,IF(Compare!$C$5="Maximum",H153,G153))),IF(I153="","",IF(Compare!$C$5="Minimum",I153,IF(Compare!$C$5="Maximum",K153,J153))))</f>
        <v>1.73</v>
      </c>
    </row>
    <row r="154" customFormat="false" ht="39" hidden="false" customHeight="true" outlineLevel="0" collapsed="false">
      <c r="A154" s="3"/>
      <c r="B154" s="36" t="s">
        <v>53</v>
      </c>
      <c r="C154" s="98" t="s">
        <v>16</v>
      </c>
      <c r="D154" s="98" t="s">
        <v>244</v>
      </c>
      <c r="E154" s="98" t="s">
        <v>491</v>
      </c>
      <c r="F154" s="99" t="n">
        <f aca="false">IF(COUNTIFS(Offers!$B$7:$B$3000,$B154,Offers!$C$7:$C$3000,$C154,Offers!$AH$7:$AH$3000,"yes")=0,"",SUMIFS(Offers!$H$7:$H$3000,Offers!$B$7:$B$3000,$B154,Offers!$C$7:$C$3000,$C154,Offers!$AF$7:$AF$3000,1))</f>
        <v>1.08</v>
      </c>
      <c r="G154" s="93" t="n">
        <f aca="false">IF(COUNTIFS(Offers!$B$7:$B$3000,$B154,Offers!$C$7:$C$3000,$C154,Offers!$AH$7:$AH$3000,"yes")=0,"",(SUMIFS(Offers!$H$7:$H$3000,Offers!$B$7:$B$3000,$B154,Offers!$C$7:$C$3000,$C154,Offers!$AF$7:$AF$3000,ROUNDUP(COUNTIFS(Offers!$B$7:$B$3000,$B154,Offers!$C$7:$C$3000,$C154,Offers!$AH$7:$AH$3000,"yes")/2,0))+SUMIFS(Offers!$H$7:$H$3000,Offers!$B$7:$B$3000,$B154,Offers!$C$7:$C$3000,$C154,Offers!$AF$7:$AF$3000,INT(COUNTIFS(Offers!$B$7:$B$3000,$B154,Offers!$C$7:$C$3000,$C154,Offers!$AH$7:$AH$3000,"yes")/2)+1))/2)</f>
        <v>1.08</v>
      </c>
      <c r="H154" s="99" t="n">
        <f aca="false">IF(COUNTIFS(Offers!$B$7:$B$3000,$B154,Offers!$C$7:$C$3000,$C154,Offers!$AH$7:$AH$3000,"yes")=0,"",SUMIFS(Offers!$H$7:$H$3000,Offers!$B$7:$B$3000,$B154,Offers!$C$7:$C$3000,$C154,Offers!$AF$7:$AF$3000,COUNTIFS(Offers!$B$7:$B$3000,$B154,Offers!$C$7:$C$3000,$C154,Offers!$AH$7:$AH$3000,"yes")))</f>
        <v>1.08</v>
      </c>
      <c r="I154" s="100" t="n">
        <f aca="false">IF(COUNTIFS(Offers!$B$7:$B$3000,$B154,Offers!$C$7:$C$3000,$C154,Offers!$AI$7:$AI$3000,"yes")=0,"",SUMIFS(Offers!$I$7:$I$3000,Offers!$B$7:$B$3000,$B154,Offers!$C$7:$C$3000,$C154,Offers!$AG$7:$AG$3000,1))</f>
        <v>1.08</v>
      </c>
      <c r="J154" s="95" t="n">
        <f aca="false">IF(COUNTIFS(Offers!$B$7:$B$3000,$B154,Offers!$C$7:$C$3000,$C154,Offers!$AI$7:$AI$3000,"yes")=0,"",(SUMIFS(Offers!$I$7:$I$3000,Offers!$B$7:$B$3000,$B154,Offers!$C$7:$C$3000,$C154,Offers!$AG$7:$AG$3000,ROUNDUP(COUNTIFS(Offers!$B$7:$B$3000,$B154,Offers!$C$7:$C$3000,$C154,Offers!$AI$7:$AI$3000,"yes")/2,0))+SUMIFS(Offers!$I$7:$I$3000,Offers!$B$7:$B$3000,$B154,Offers!$C$7:$C$3000,$C154,Offers!$AG$7:$AG$3000,INT(COUNTIFS(Offers!$B$7:$B$3000,$B154,Offers!$C$7:$C$3000,$C154,Offers!$AI$7:$AI$3000,"yes")/2)+1))/2)</f>
        <v>1.08</v>
      </c>
      <c r="K154" s="100" t="n">
        <f aca="false">IF(COUNTIFS(Offers!$B$7:$B$3000,$B154,Offers!$C$7:$C$3000,$C154,Offers!$AI$7:$AI$3000,"yes")=0,"",SUMIFS(Offers!$I$7:$I$3000,Offers!$B$7:$B$3000,$B154,Offers!$C$7:$C$3000,$C154,Offers!$AG$7:$AG$3000,COUNTIFS(Offers!$B$7:$B$3000,$B154,Offers!$C$7:$C$3000,$C154,Offers!$AI$7:$AI$3000,"yes")))</f>
        <v>1.08</v>
      </c>
      <c r="L154" s="96"/>
      <c r="M154" s="96"/>
      <c r="N154" s="96"/>
      <c r="O154" s="101" t="n">
        <f aca="false">IF(Compare!$E$5="Local prices",IF(F154="","",IF(Compare!$C$5="Minimum",F154,IF(Compare!$C$5="Maximum",H154,G154))),IF(I154="","",IF(Compare!$C$5="Minimum",I154,IF(Compare!$C$5="Maximum",K154,J154))))</f>
        <v>1.08</v>
      </c>
    </row>
    <row r="155" customFormat="false" ht="39" hidden="false" customHeight="true" outlineLevel="0" collapsed="false">
      <c r="A155" s="3"/>
      <c r="B155" s="31" t="s">
        <v>53</v>
      </c>
      <c r="C155" s="91" t="s">
        <v>17</v>
      </c>
      <c r="D155" s="91" t="s">
        <v>333</v>
      </c>
      <c r="E155" s="91" t="s">
        <v>491</v>
      </c>
      <c r="F155" s="92" t="n">
        <f aca="false">IF(COUNTIFS(Offers!$B$7:$B$3000,$B155,Offers!$C$7:$C$3000,$C155,Offers!$AH$7:$AH$3000,"yes")=0,"",SUMIFS(Offers!$H$7:$H$3000,Offers!$B$7:$B$3000,$B155,Offers!$C$7:$C$3000,$C155,Offers!$AF$7:$AF$3000,1))</f>
        <v>28.1</v>
      </c>
      <c r="G155" s="93" t="n">
        <f aca="false">IF(COUNTIFS(Offers!$B$7:$B$3000,$B155,Offers!$C$7:$C$3000,$C155,Offers!$AH$7:$AH$3000,"yes")=0,"",(SUMIFS(Offers!$H$7:$H$3000,Offers!$B$7:$B$3000,$B155,Offers!$C$7:$C$3000,$C155,Offers!$AF$7:$AF$3000,ROUNDUP(COUNTIFS(Offers!$B$7:$B$3000,$B155,Offers!$C$7:$C$3000,$C155,Offers!$AH$7:$AH$3000,"yes")/2,0))+SUMIFS(Offers!$H$7:$H$3000,Offers!$B$7:$B$3000,$B155,Offers!$C$7:$C$3000,$C155,Offers!$AF$7:$AF$3000,INT(COUNTIFS(Offers!$B$7:$B$3000,$B155,Offers!$C$7:$C$3000,$C155,Offers!$AH$7:$AH$3000,"yes")/2)+1))/2)</f>
        <v>38</v>
      </c>
      <c r="H155" s="92" t="n">
        <f aca="false">IF(COUNTIFS(Offers!$B$7:$B$3000,$B155,Offers!$C$7:$C$3000,$C155,Offers!$AH$7:$AH$3000,"yes")=0,"",SUMIFS(Offers!$H$7:$H$3000,Offers!$B$7:$B$3000,$B155,Offers!$C$7:$C$3000,$C155,Offers!$AF$7:$AF$3000,COUNTIFS(Offers!$B$7:$B$3000,$B155,Offers!$C$7:$C$3000,$C155,Offers!$AH$7:$AH$3000,"yes")))</f>
        <v>137.88</v>
      </c>
      <c r="I155" s="94" t="n">
        <f aca="false">IF(COUNTIFS(Offers!$B$7:$B$3000,$B155,Offers!$C$7:$C$3000,$C155,Offers!$AI$7:$AI$3000,"yes")=0,"",SUMIFS(Offers!$I$7:$I$3000,Offers!$B$7:$B$3000,$B155,Offers!$C$7:$C$3000,$C155,Offers!$AG$7:$AG$3000,1))</f>
        <v>1.150526</v>
      </c>
      <c r="J155" s="95" t="n">
        <f aca="false">IF(COUNTIFS(Offers!$B$7:$B$3000,$B155,Offers!$C$7:$C$3000,$C155,Offers!$AI$7:$AI$3000,"yes")=0,"",(SUMIFS(Offers!$I$7:$I$3000,Offers!$B$7:$B$3000,$B155,Offers!$C$7:$C$3000,$C155,Offers!$AG$7:$AG$3000,ROUNDUP(COUNTIFS(Offers!$B$7:$B$3000,$B155,Offers!$C$7:$C$3000,$C155,Offers!$AI$7:$AI$3000,"yes")/2,0))+SUMIFS(Offers!$I$7:$I$3000,Offers!$B$7:$B$3000,$B155,Offers!$C$7:$C$3000,$C155,Offers!$AG$7:$AG$3000,INT(COUNTIFS(Offers!$B$7:$B$3000,$B155,Offers!$C$7:$C$3000,$C155,Offers!$AI$7:$AI$3000,"yes")/2)+1))/2)</f>
        <v>1.555871</v>
      </c>
      <c r="K155" s="94" t="n">
        <f aca="false">IF(COUNTIFS(Offers!$B$7:$B$3000,$B155,Offers!$C$7:$C$3000,$C155,Offers!$AI$7:$AI$3000,"yes")=0,"",SUMIFS(Offers!$I$7:$I$3000,Offers!$B$7:$B$3000,$B155,Offers!$C$7:$C$3000,$C155,Offers!$AG$7:$AG$3000,COUNTIFS(Offers!$B$7:$B$3000,$B155,Offers!$C$7:$C$3000,$C155,Offers!$AI$7:$AI$3000,"yes")))</f>
        <v>5.645356</v>
      </c>
      <c r="L155" s="96"/>
      <c r="M155" s="96"/>
      <c r="N155" s="96"/>
      <c r="O155" s="97" t="n">
        <f aca="false">IF(Compare!$E$5="Local prices",IF(F155="","",IF(Compare!$C$5="Minimum",F155,IF(Compare!$C$5="Maximum",H155,G155))),IF(I155="","",IF(Compare!$C$5="Minimum",I155,IF(Compare!$C$5="Maximum",K155,J155))))</f>
        <v>1.555871</v>
      </c>
    </row>
    <row r="156" customFormat="false" ht="39" hidden="false" customHeight="true" outlineLevel="0" collapsed="false">
      <c r="A156" s="3"/>
      <c r="B156" s="36" t="s">
        <v>53</v>
      </c>
      <c r="C156" s="98" t="s">
        <v>18</v>
      </c>
      <c r="D156" s="98" t="s">
        <v>244</v>
      </c>
      <c r="E156" s="98" t="s">
        <v>491</v>
      </c>
      <c r="F156" s="99" t="str">
        <f aca="false">IF(COUNTIFS(Offers!$B$7:$B$3000,$B156,Offers!$C$7:$C$3000,$C156,Offers!$AH$7:$AH$3000,"yes")=0,"",SUMIFS(Offers!$H$7:$H$3000,Offers!$B$7:$B$3000,$B156,Offers!$C$7:$C$3000,$C156,Offers!$AF$7:$AF$3000,1))</f>
        <v/>
      </c>
      <c r="G156" s="93" t="str">
        <f aca="false">IF(COUNTIFS(Offers!$B$7:$B$3000,$B156,Offers!$C$7:$C$3000,$C156,Offers!$AH$7:$AH$3000,"yes")=0,"",(SUMIFS(Offers!$H$7:$H$3000,Offers!$B$7:$B$3000,$B156,Offers!$C$7:$C$3000,$C156,Offers!$AF$7:$AF$3000,ROUNDUP(COUNTIFS(Offers!$B$7:$B$3000,$B156,Offers!$C$7:$C$3000,$C156,Offers!$AH$7:$AH$3000,"yes")/2,0))+SUMIFS(Offers!$H$7:$H$3000,Offers!$B$7:$B$3000,$B156,Offers!$C$7:$C$3000,$C156,Offers!$AF$7:$AF$3000,INT(COUNTIFS(Offers!$B$7:$B$3000,$B156,Offers!$C$7:$C$3000,$C156,Offers!$AH$7:$AH$3000,"yes")/2)+1))/2)</f>
        <v/>
      </c>
      <c r="H156" s="99" t="str">
        <f aca="false">IF(COUNTIFS(Offers!$B$7:$B$3000,$B156,Offers!$C$7:$C$3000,$C156,Offers!$AH$7:$AH$3000,"yes")=0,"",SUMIFS(Offers!$H$7:$H$3000,Offers!$B$7:$B$3000,$B156,Offers!$C$7:$C$3000,$C156,Offers!$AF$7:$AF$3000,COUNTIFS(Offers!$B$7:$B$3000,$B156,Offers!$C$7:$C$3000,$C156,Offers!$AH$7:$AH$3000,"yes")))</f>
        <v/>
      </c>
      <c r="I156" s="100" t="str">
        <f aca="false">IF(COUNTIFS(Offers!$B$7:$B$3000,$B156,Offers!$C$7:$C$3000,$C156,Offers!$AI$7:$AI$3000,"yes")=0,"",SUMIFS(Offers!$I$7:$I$3000,Offers!$B$7:$B$3000,$B156,Offers!$C$7:$C$3000,$C156,Offers!$AG$7:$AG$3000,1))</f>
        <v/>
      </c>
      <c r="J156" s="95" t="str">
        <f aca="false">IF(COUNTIFS(Offers!$B$7:$B$3000,$B156,Offers!$C$7:$C$3000,$C156,Offers!$AI$7:$AI$3000,"yes")=0,"",(SUMIFS(Offers!$I$7:$I$3000,Offers!$B$7:$B$3000,$B156,Offers!$C$7:$C$3000,$C156,Offers!$AG$7:$AG$3000,ROUNDUP(COUNTIFS(Offers!$B$7:$B$3000,$B156,Offers!$C$7:$C$3000,$C156,Offers!$AI$7:$AI$3000,"yes")/2,0))+SUMIFS(Offers!$I$7:$I$3000,Offers!$B$7:$B$3000,$B156,Offers!$C$7:$C$3000,$C156,Offers!$AG$7:$AG$3000,INT(COUNTIFS(Offers!$B$7:$B$3000,$B156,Offers!$C$7:$C$3000,$C156,Offers!$AI$7:$AI$3000,"yes")/2)+1))/2)</f>
        <v/>
      </c>
      <c r="K156" s="100" t="str">
        <f aca="false">IF(COUNTIFS(Offers!$B$7:$B$3000,$B156,Offers!$C$7:$C$3000,$C156,Offers!$AI$7:$AI$3000,"yes")=0,"",SUMIFS(Offers!$I$7:$I$3000,Offers!$B$7:$B$3000,$B156,Offers!$C$7:$C$3000,$C156,Offers!$AG$7:$AG$3000,COUNTIFS(Offers!$B$7:$B$3000,$B156,Offers!$C$7:$C$3000,$C156,Offers!$AI$7:$AI$3000,"yes")))</f>
        <v/>
      </c>
      <c r="L156" s="96"/>
      <c r="M156" s="96"/>
      <c r="N156" s="96"/>
      <c r="O156" s="110" t="str">
        <f aca="false">IF(Compare!$E$5="Local prices",IF(F156="","",IF(Compare!$C$5="Minimum",F156,IF(Compare!$C$5="Maximum",H156,G156))),IF(I156="","",IF(Compare!$C$5="Minimum",I156,IF(Compare!$C$5="Maximum",K156,J156))))</f>
        <v/>
      </c>
    </row>
    <row r="157" customFormat="false" ht="39" hidden="false" customHeight="true" outlineLevel="0" collapsed="false">
      <c r="A157" s="3"/>
      <c r="B157" s="102" t="s">
        <v>55</v>
      </c>
      <c r="C157" s="103" t="s">
        <v>13</v>
      </c>
      <c r="D157" s="103" t="s">
        <v>490</v>
      </c>
      <c r="E157" s="103" t="s">
        <v>491</v>
      </c>
      <c r="F157" s="104" t="str">
        <f aca="false">IF(COUNTIFS(Offers!$B$7:$B$3000,$B157,Offers!$C$7:$C$3000,$C157,Offers!$AH$7:$AH$3000,"yes")=0,"",SUMIFS(Offers!$H$7:$H$3000,Offers!$B$7:$B$3000,$B157,Offers!$C$7:$C$3000,$C157,Offers!$AF$7:$AF$3000,1))</f>
        <v/>
      </c>
      <c r="G157" s="105" t="str">
        <f aca="false">IF(COUNTIFS(Offers!$B$7:$B$3000,$B157,Offers!$C$7:$C$3000,$C157,Offers!$AH$7:$AH$3000,"yes")=0,"",(SUMIFS(Offers!$H$7:$H$3000,Offers!$B$7:$B$3000,$B157,Offers!$C$7:$C$3000,$C157,Offers!$AF$7:$AF$3000,ROUNDUP(COUNTIFS(Offers!$B$7:$B$3000,$B157,Offers!$C$7:$C$3000,$C157,Offers!$AH$7:$AH$3000,"yes")/2,0))+SUMIFS(Offers!$H$7:$H$3000,Offers!$B$7:$B$3000,$B157,Offers!$C$7:$C$3000,$C157,Offers!$AF$7:$AF$3000,INT(COUNTIFS(Offers!$B$7:$B$3000,$B157,Offers!$C$7:$C$3000,$C157,Offers!$AH$7:$AH$3000,"yes")/2)+1))/2)</f>
        <v/>
      </c>
      <c r="H157" s="104" t="str">
        <f aca="false">IF(COUNTIFS(Offers!$B$7:$B$3000,$B157,Offers!$C$7:$C$3000,$C157,Offers!$AH$7:$AH$3000,"yes")=0,"",SUMIFS(Offers!$H$7:$H$3000,Offers!$B$7:$B$3000,$B157,Offers!$C$7:$C$3000,$C157,Offers!$AF$7:$AF$3000,COUNTIFS(Offers!$B$7:$B$3000,$B157,Offers!$C$7:$C$3000,$C157,Offers!$AH$7:$AH$3000,"yes")))</f>
        <v/>
      </c>
      <c r="I157" s="106" t="str">
        <f aca="false">IF(COUNTIFS(Offers!$B$7:$B$3000,$B157,Offers!$C$7:$C$3000,$C157,Offers!$AI$7:$AI$3000,"yes")=0,"",SUMIFS(Offers!$I$7:$I$3000,Offers!$B$7:$B$3000,$B157,Offers!$C$7:$C$3000,$C157,Offers!$AG$7:$AG$3000,1))</f>
        <v/>
      </c>
      <c r="J157" s="107" t="str">
        <f aca="false">IF(COUNTIFS(Offers!$B$7:$B$3000,$B157,Offers!$C$7:$C$3000,$C157,Offers!$AI$7:$AI$3000,"yes")=0,"",(SUMIFS(Offers!$I$7:$I$3000,Offers!$B$7:$B$3000,$B157,Offers!$C$7:$C$3000,$C157,Offers!$AG$7:$AG$3000,ROUNDUP(COUNTIFS(Offers!$B$7:$B$3000,$B157,Offers!$C$7:$C$3000,$C157,Offers!$AI$7:$AI$3000,"yes")/2,0))+SUMIFS(Offers!$I$7:$I$3000,Offers!$B$7:$B$3000,$B157,Offers!$C$7:$C$3000,$C157,Offers!$AG$7:$AG$3000,INT(COUNTIFS(Offers!$B$7:$B$3000,$B157,Offers!$C$7:$C$3000,$C157,Offers!$AI$7:$AI$3000,"yes")/2)+1))/2)</f>
        <v/>
      </c>
      <c r="K157" s="106" t="str">
        <f aca="false">IF(COUNTIFS(Offers!$B$7:$B$3000,$B157,Offers!$C$7:$C$3000,$C157,Offers!$AI$7:$AI$3000,"yes")=0,"",SUMIFS(Offers!$I$7:$I$3000,Offers!$B$7:$B$3000,$B157,Offers!$C$7:$C$3000,$C157,Offers!$AG$7:$AG$3000,COUNTIFS(Offers!$B$7:$B$3000,$B157,Offers!$C$7:$C$3000,$C157,Offers!$AI$7:$AI$3000,"yes")))</f>
        <v/>
      </c>
      <c r="L157" s="108"/>
      <c r="M157" s="108"/>
      <c r="N157" s="108"/>
      <c r="O157" s="109" t="str">
        <f aca="false">IF(Compare!$E$5="Local prices",IF(F157="","",IF(Compare!$C$5="Minimum",F157,IF(Compare!$C$5="Maximum",H157,G157))),IF(I157="","",IF(Compare!$C$5="Minimum",I157,IF(Compare!$C$5="Maximum",K157,J157))))</f>
        <v/>
      </c>
    </row>
    <row r="158" customFormat="false" ht="39" hidden="false" customHeight="true" outlineLevel="0" collapsed="false">
      <c r="A158" s="3"/>
      <c r="B158" s="36" t="s">
        <v>55</v>
      </c>
      <c r="C158" s="98" t="s">
        <v>14</v>
      </c>
      <c r="D158" s="98" t="s">
        <v>374</v>
      </c>
      <c r="E158" s="98" t="s">
        <v>491</v>
      </c>
      <c r="F158" s="99" t="str">
        <f aca="false">IF(COUNTIFS(Offers!$B$7:$B$3000,$B158,Offers!$C$7:$C$3000,$C158,Offers!$AH$7:$AH$3000,"yes")=0,"",SUMIFS(Offers!$H$7:$H$3000,Offers!$B$7:$B$3000,$B158,Offers!$C$7:$C$3000,$C158,Offers!$AF$7:$AF$3000,1))</f>
        <v/>
      </c>
      <c r="G158" s="93" t="str">
        <f aca="false">IF(COUNTIFS(Offers!$B$7:$B$3000,$B158,Offers!$C$7:$C$3000,$C158,Offers!$AH$7:$AH$3000,"yes")=0,"",(SUMIFS(Offers!$H$7:$H$3000,Offers!$B$7:$B$3000,$B158,Offers!$C$7:$C$3000,$C158,Offers!$AF$7:$AF$3000,ROUNDUP(COUNTIFS(Offers!$B$7:$B$3000,$B158,Offers!$C$7:$C$3000,$C158,Offers!$AH$7:$AH$3000,"yes")/2,0))+SUMIFS(Offers!$H$7:$H$3000,Offers!$B$7:$B$3000,$B158,Offers!$C$7:$C$3000,$C158,Offers!$AF$7:$AF$3000,INT(COUNTIFS(Offers!$B$7:$B$3000,$B158,Offers!$C$7:$C$3000,$C158,Offers!$AH$7:$AH$3000,"yes")/2)+1))/2)</f>
        <v/>
      </c>
      <c r="H158" s="99" t="str">
        <f aca="false">IF(COUNTIFS(Offers!$B$7:$B$3000,$B158,Offers!$C$7:$C$3000,$C158,Offers!$AH$7:$AH$3000,"yes")=0,"",SUMIFS(Offers!$H$7:$H$3000,Offers!$B$7:$B$3000,$B158,Offers!$C$7:$C$3000,$C158,Offers!$AF$7:$AF$3000,COUNTIFS(Offers!$B$7:$B$3000,$B158,Offers!$C$7:$C$3000,$C158,Offers!$AH$7:$AH$3000,"yes")))</f>
        <v/>
      </c>
      <c r="I158" s="100" t="str">
        <f aca="false">IF(COUNTIFS(Offers!$B$7:$B$3000,$B158,Offers!$C$7:$C$3000,$C158,Offers!$AI$7:$AI$3000,"yes")=0,"",SUMIFS(Offers!$I$7:$I$3000,Offers!$B$7:$B$3000,$B158,Offers!$C$7:$C$3000,$C158,Offers!$AG$7:$AG$3000,1))</f>
        <v/>
      </c>
      <c r="J158" s="95" t="str">
        <f aca="false">IF(COUNTIFS(Offers!$B$7:$B$3000,$B158,Offers!$C$7:$C$3000,$C158,Offers!$AI$7:$AI$3000,"yes")=0,"",(SUMIFS(Offers!$I$7:$I$3000,Offers!$B$7:$B$3000,$B158,Offers!$C$7:$C$3000,$C158,Offers!$AG$7:$AG$3000,ROUNDUP(COUNTIFS(Offers!$B$7:$B$3000,$B158,Offers!$C$7:$C$3000,$C158,Offers!$AI$7:$AI$3000,"yes")/2,0))+SUMIFS(Offers!$I$7:$I$3000,Offers!$B$7:$B$3000,$B158,Offers!$C$7:$C$3000,$C158,Offers!$AG$7:$AG$3000,INT(COUNTIFS(Offers!$B$7:$B$3000,$B158,Offers!$C$7:$C$3000,$C158,Offers!$AI$7:$AI$3000,"yes")/2)+1))/2)</f>
        <v/>
      </c>
      <c r="K158" s="100" t="str">
        <f aca="false">IF(COUNTIFS(Offers!$B$7:$B$3000,$B158,Offers!$C$7:$C$3000,$C158,Offers!$AI$7:$AI$3000,"yes")=0,"",SUMIFS(Offers!$I$7:$I$3000,Offers!$B$7:$B$3000,$B158,Offers!$C$7:$C$3000,$C158,Offers!$AG$7:$AG$3000,COUNTIFS(Offers!$B$7:$B$3000,$B158,Offers!$C$7:$C$3000,$C158,Offers!$AI$7:$AI$3000,"yes")))</f>
        <v/>
      </c>
      <c r="L158" s="96"/>
      <c r="M158" s="96"/>
      <c r="N158" s="96"/>
      <c r="O158" s="110" t="str">
        <f aca="false">IF(Compare!$E$5="Local prices",IF(F158="","",IF(Compare!$C$5="Minimum",F158,IF(Compare!$C$5="Maximum",H158,G158))),IF(I158="","",IF(Compare!$C$5="Minimum",I158,IF(Compare!$C$5="Maximum",K158,J158))))</f>
        <v/>
      </c>
    </row>
    <row r="159" customFormat="false" ht="39" hidden="false" customHeight="true" outlineLevel="0" collapsed="false">
      <c r="A159" s="3"/>
      <c r="B159" s="31" t="s">
        <v>55</v>
      </c>
      <c r="C159" s="91" t="s">
        <v>15</v>
      </c>
      <c r="D159" s="91" t="s">
        <v>244</v>
      </c>
      <c r="E159" s="91" t="s">
        <v>491</v>
      </c>
      <c r="F159" s="92" t="n">
        <f aca="false">IF(COUNTIFS(Offers!$B$7:$B$3000,$B159,Offers!$C$7:$C$3000,$C159,Offers!$AH$7:$AH$3000,"yes")=0,"",SUMIFS(Offers!$H$7:$H$3000,Offers!$B$7:$B$3000,$B159,Offers!$C$7:$C$3000,$C159,Offers!$AF$7:$AF$3000,1))</f>
        <v>20.96</v>
      </c>
      <c r="G159" s="93" t="n">
        <f aca="false">IF(COUNTIFS(Offers!$B$7:$B$3000,$B159,Offers!$C$7:$C$3000,$C159,Offers!$AH$7:$AH$3000,"yes")=0,"",(SUMIFS(Offers!$H$7:$H$3000,Offers!$B$7:$B$3000,$B159,Offers!$C$7:$C$3000,$C159,Offers!$AF$7:$AF$3000,ROUNDUP(COUNTIFS(Offers!$B$7:$B$3000,$B159,Offers!$C$7:$C$3000,$C159,Offers!$AH$7:$AH$3000,"yes")/2,0))+SUMIFS(Offers!$H$7:$H$3000,Offers!$B$7:$B$3000,$B159,Offers!$C$7:$C$3000,$C159,Offers!$AF$7:$AF$3000,INT(COUNTIFS(Offers!$B$7:$B$3000,$B159,Offers!$C$7:$C$3000,$C159,Offers!$AH$7:$AH$3000,"yes")/2)+1))/2)</f>
        <v>20.96</v>
      </c>
      <c r="H159" s="92" t="n">
        <f aca="false">IF(COUNTIFS(Offers!$B$7:$B$3000,$B159,Offers!$C$7:$C$3000,$C159,Offers!$AH$7:$AH$3000,"yes")=0,"",SUMIFS(Offers!$H$7:$H$3000,Offers!$B$7:$B$3000,$B159,Offers!$C$7:$C$3000,$C159,Offers!$AF$7:$AF$3000,COUNTIFS(Offers!$B$7:$B$3000,$B159,Offers!$C$7:$C$3000,$C159,Offers!$AH$7:$AH$3000,"yes")))</f>
        <v>20.96</v>
      </c>
      <c r="I159" s="94" t="n">
        <f aca="false">IF(COUNTIFS(Offers!$B$7:$B$3000,$B159,Offers!$C$7:$C$3000,$C159,Offers!$AI$7:$AI$3000,"yes")=0,"",SUMIFS(Offers!$I$7:$I$3000,Offers!$B$7:$B$3000,$B159,Offers!$C$7:$C$3000,$C159,Offers!$AG$7:$AG$3000,1))</f>
        <v>20.96</v>
      </c>
      <c r="J159" s="95" t="n">
        <f aca="false">IF(COUNTIFS(Offers!$B$7:$B$3000,$B159,Offers!$C$7:$C$3000,$C159,Offers!$AI$7:$AI$3000,"yes")=0,"",(SUMIFS(Offers!$I$7:$I$3000,Offers!$B$7:$B$3000,$B159,Offers!$C$7:$C$3000,$C159,Offers!$AG$7:$AG$3000,ROUNDUP(COUNTIFS(Offers!$B$7:$B$3000,$B159,Offers!$C$7:$C$3000,$C159,Offers!$AI$7:$AI$3000,"yes")/2,0))+SUMIFS(Offers!$I$7:$I$3000,Offers!$B$7:$B$3000,$B159,Offers!$C$7:$C$3000,$C159,Offers!$AG$7:$AG$3000,INT(COUNTIFS(Offers!$B$7:$B$3000,$B159,Offers!$C$7:$C$3000,$C159,Offers!$AI$7:$AI$3000,"yes")/2)+1))/2)</f>
        <v>20.96</v>
      </c>
      <c r="K159" s="94" t="n">
        <f aca="false">IF(COUNTIFS(Offers!$B$7:$B$3000,$B159,Offers!$C$7:$C$3000,$C159,Offers!$AI$7:$AI$3000,"yes")=0,"",SUMIFS(Offers!$I$7:$I$3000,Offers!$B$7:$B$3000,$B159,Offers!$C$7:$C$3000,$C159,Offers!$AG$7:$AG$3000,COUNTIFS(Offers!$B$7:$B$3000,$B159,Offers!$C$7:$C$3000,$C159,Offers!$AI$7:$AI$3000,"yes")))</f>
        <v>20.96</v>
      </c>
      <c r="L159" s="96"/>
      <c r="M159" s="96"/>
      <c r="N159" s="96"/>
      <c r="O159" s="97" t="n">
        <f aca="false">IF(Compare!$E$5="Local prices",IF(F159="","",IF(Compare!$C$5="Minimum",F159,IF(Compare!$C$5="Maximum",H159,G159))),IF(I159="","",IF(Compare!$C$5="Minimum",I159,IF(Compare!$C$5="Maximum",K159,J159))))</f>
        <v>20.96</v>
      </c>
    </row>
    <row r="160" customFormat="false" ht="39" hidden="false" customHeight="true" outlineLevel="0" collapsed="false">
      <c r="A160" s="3"/>
      <c r="B160" s="36" t="s">
        <v>55</v>
      </c>
      <c r="C160" s="98" t="s">
        <v>16</v>
      </c>
      <c r="D160" s="98" t="s">
        <v>244</v>
      </c>
      <c r="E160" s="98" t="s">
        <v>491</v>
      </c>
      <c r="F160" s="99" t="n">
        <f aca="false">IF(COUNTIFS(Offers!$B$7:$B$3000,$B160,Offers!$C$7:$C$3000,$C160,Offers!$AH$7:$AH$3000,"yes")=0,"",SUMIFS(Offers!$H$7:$H$3000,Offers!$B$7:$B$3000,$B160,Offers!$C$7:$C$3000,$C160,Offers!$AF$7:$AF$3000,1))</f>
        <v>6.58</v>
      </c>
      <c r="G160" s="93" t="n">
        <f aca="false">IF(COUNTIFS(Offers!$B$7:$B$3000,$B160,Offers!$C$7:$C$3000,$C160,Offers!$AH$7:$AH$3000,"yes")=0,"",(SUMIFS(Offers!$H$7:$H$3000,Offers!$B$7:$B$3000,$B160,Offers!$C$7:$C$3000,$C160,Offers!$AF$7:$AF$3000,ROUNDUP(COUNTIFS(Offers!$B$7:$B$3000,$B160,Offers!$C$7:$C$3000,$C160,Offers!$AH$7:$AH$3000,"yes")/2,0))+SUMIFS(Offers!$H$7:$H$3000,Offers!$B$7:$B$3000,$B160,Offers!$C$7:$C$3000,$C160,Offers!$AF$7:$AF$3000,INT(COUNTIFS(Offers!$B$7:$B$3000,$B160,Offers!$C$7:$C$3000,$C160,Offers!$AH$7:$AH$3000,"yes")/2)+1))/2)</f>
        <v>6.58</v>
      </c>
      <c r="H160" s="99" t="n">
        <f aca="false">IF(COUNTIFS(Offers!$B$7:$B$3000,$B160,Offers!$C$7:$C$3000,$C160,Offers!$AH$7:$AH$3000,"yes")=0,"",SUMIFS(Offers!$H$7:$H$3000,Offers!$B$7:$B$3000,$B160,Offers!$C$7:$C$3000,$C160,Offers!$AF$7:$AF$3000,COUNTIFS(Offers!$B$7:$B$3000,$B160,Offers!$C$7:$C$3000,$C160,Offers!$AH$7:$AH$3000,"yes")))</f>
        <v>6.58</v>
      </c>
      <c r="I160" s="100" t="n">
        <f aca="false">IF(COUNTIFS(Offers!$B$7:$B$3000,$B160,Offers!$C$7:$C$3000,$C160,Offers!$AI$7:$AI$3000,"yes")=0,"",SUMIFS(Offers!$I$7:$I$3000,Offers!$B$7:$B$3000,$B160,Offers!$C$7:$C$3000,$C160,Offers!$AG$7:$AG$3000,1))</f>
        <v>6.58</v>
      </c>
      <c r="J160" s="95" t="n">
        <f aca="false">IF(COUNTIFS(Offers!$B$7:$B$3000,$B160,Offers!$C$7:$C$3000,$C160,Offers!$AI$7:$AI$3000,"yes")=0,"",(SUMIFS(Offers!$I$7:$I$3000,Offers!$B$7:$B$3000,$B160,Offers!$C$7:$C$3000,$C160,Offers!$AG$7:$AG$3000,ROUNDUP(COUNTIFS(Offers!$B$7:$B$3000,$B160,Offers!$C$7:$C$3000,$C160,Offers!$AI$7:$AI$3000,"yes")/2,0))+SUMIFS(Offers!$I$7:$I$3000,Offers!$B$7:$B$3000,$B160,Offers!$C$7:$C$3000,$C160,Offers!$AG$7:$AG$3000,INT(COUNTIFS(Offers!$B$7:$B$3000,$B160,Offers!$C$7:$C$3000,$C160,Offers!$AI$7:$AI$3000,"yes")/2)+1))/2)</f>
        <v>6.58</v>
      </c>
      <c r="K160" s="100" t="n">
        <f aca="false">IF(COUNTIFS(Offers!$B$7:$B$3000,$B160,Offers!$C$7:$C$3000,$C160,Offers!$AI$7:$AI$3000,"yes")=0,"",SUMIFS(Offers!$I$7:$I$3000,Offers!$B$7:$B$3000,$B160,Offers!$C$7:$C$3000,$C160,Offers!$AG$7:$AG$3000,COUNTIFS(Offers!$B$7:$B$3000,$B160,Offers!$C$7:$C$3000,$C160,Offers!$AI$7:$AI$3000,"yes")))</f>
        <v>6.58</v>
      </c>
      <c r="L160" s="96"/>
      <c r="M160" s="96"/>
      <c r="N160" s="96"/>
      <c r="O160" s="101" t="n">
        <f aca="false">IF(Compare!$E$5="Local prices",IF(F160="","",IF(Compare!$C$5="Minimum",F160,IF(Compare!$C$5="Maximum",H160,G160))),IF(I160="","",IF(Compare!$C$5="Minimum",I160,IF(Compare!$C$5="Maximum",K160,J160))))</f>
        <v>6.58</v>
      </c>
    </row>
    <row r="161" customFormat="false" ht="39" hidden="false" customHeight="true" outlineLevel="0" collapsed="false">
      <c r="A161" s="3"/>
      <c r="B161" s="31" t="s">
        <v>55</v>
      </c>
      <c r="C161" s="91" t="s">
        <v>17</v>
      </c>
      <c r="D161" s="91" t="s">
        <v>333</v>
      </c>
      <c r="E161" s="91" t="s">
        <v>491</v>
      </c>
      <c r="F161" s="92" t="n">
        <f aca="false">IF(COUNTIFS(Offers!$B$7:$B$3000,$B161,Offers!$C$7:$C$3000,$C161,Offers!$AH$7:$AH$3000,"yes")=0,"",SUMIFS(Offers!$H$7:$H$3000,Offers!$B$7:$B$3000,$B161,Offers!$C$7:$C$3000,$C161,Offers!$AF$7:$AF$3000,1))</f>
        <v>894.21</v>
      </c>
      <c r="G161" s="93" t="n">
        <f aca="false">IF(COUNTIFS(Offers!$B$7:$B$3000,$B161,Offers!$C$7:$C$3000,$C161,Offers!$AH$7:$AH$3000,"yes")=0,"",(SUMIFS(Offers!$H$7:$H$3000,Offers!$B$7:$B$3000,$B161,Offers!$C$7:$C$3000,$C161,Offers!$AF$7:$AF$3000,ROUNDUP(COUNTIFS(Offers!$B$7:$B$3000,$B161,Offers!$C$7:$C$3000,$C161,Offers!$AH$7:$AH$3000,"yes")/2,0))+SUMIFS(Offers!$H$7:$H$3000,Offers!$B$7:$B$3000,$B161,Offers!$C$7:$C$3000,$C161,Offers!$AF$7:$AF$3000,INT(COUNTIFS(Offers!$B$7:$B$3000,$B161,Offers!$C$7:$C$3000,$C161,Offers!$AH$7:$AH$3000,"yes")/2)+1))/2)</f>
        <v>894.21</v>
      </c>
      <c r="H161" s="92" t="n">
        <f aca="false">IF(COUNTIFS(Offers!$B$7:$B$3000,$B161,Offers!$C$7:$C$3000,$C161,Offers!$AH$7:$AH$3000,"yes")=0,"",SUMIFS(Offers!$H$7:$H$3000,Offers!$B$7:$B$3000,$B161,Offers!$C$7:$C$3000,$C161,Offers!$AF$7:$AF$3000,COUNTIFS(Offers!$B$7:$B$3000,$B161,Offers!$C$7:$C$3000,$C161,Offers!$AH$7:$AH$3000,"yes")))</f>
        <v>894.21</v>
      </c>
      <c r="I161" s="94" t="n">
        <f aca="false">IF(COUNTIFS(Offers!$B$7:$B$3000,$B161,Offers!$C$7:$C$3000,$C161,Offers!$AI$7:$AI$3000,"yes")=0,"",SUMIFS(Offers!$I$7:$I$3000,Offers!$B$7:$B$3000,$B161,Offers!$C$7:$C$3000,$C161,Offers!$AG$7:$AG$3000,1))</f>
        <v>36.612515</v>
      </c>
      <c r="J161" s="95" t="n">
        <f aca="false">IF(COUNTIFS(Offers!$B$7:$B$3000,$B161,Offers!$C$7:$C$3000,$C161,Offers!$AI$7:$AI$3000,"yes")=0,"",(SUMIFS(Offers!$I$7:$I$3000,Offers!$B$7:$B$3000,$B161,Offers!$C$7:$C$3000,$C161,Offers!$AG$7:$AG$3000,ROUNDUP(COUNTIFS(Offers!$B$7:$B$3000,$B161,Offers!$C$7:$C$3000,$C161,Offers!$AI$7:$AI$3000,"yes")/2,0))+SUMIFS(Offers!$I$7:$I$3000,Offers!$B$7:$B$3000,$B161,Offers!$C$7:$C$3000,$C161,Offers!$AG$7:$AG$3000,INT(COUNTIFS(Offers!$B$7:$B$3000,$B161,Offers!$C$7:$C$3000,$C161,Offers!$AI$7:$AI$3000,"yes")/2)+1))/2)</f>
        <v>36.612515</v>
      </c>
      <c r="K161" s="94" t="n">
        <f aca="false">IF(COUNTIFS(Offers!$B$7:$B$3000,$B161,Offers!$C$7:$C$3000,$C161,Offers!$AI$7:$AI$3000,"yes")=0,"",SUMIFS(Offers!$I$7:$I$3000,Offers!$B$7:$B$3000,$B161,Offers!$C$7:$C$3000,$C161,Offers!$AG$7:$AG$3000,COUNTIFS(Offers!$B$7:$B$3000,$B161,Offers!$C$7:$C$3000,$C161,Offers!$AI$7:$AI$3000,"yes")))</f>
        <v>36.612515</v>
      </c>
      <c r="L161" s="96"/>
      <c r="M161" s="96"/>
      <c r="N161" s="96"/>
      <c r="O161" s="97" t="n">
        <f aca="false">IF(Compare!$E$5="Local prices",IF(F161="","",IF(Compare!$C$5="Minimum",F161,IF(Compare!$C$5="Maximum",H161,G161))),IF(I161="","",IF(Compare!$C$5="Minimum",I161,IF(Compare!$C$5="Maximum",K161,J161))))</f>
        <v>36.612515</v>
      </c>
    </row>
    <row r="162" customFormat="false" ht="39" hidden="false" customHeight="true" outlineLevel="0" collapsed="false">
      <c r="A162" s="3"/>
      <c r="B162" s="36" t="s">
        <v>55</v>
      </c>
      <c r="C162" s="98" t="s">
        <v>18</v>
      </c>
      <c r="D162" s="98" t="s">
        <v>244</v>
      </c>
      <c r="E162" s="98" t="s">
        <v>491</v>
      </c>
      <c r="F162" s="99" t="str">
        <f aca="false">IF(COUNTIFS(Offers!$B$7:$B$3000,$B162,Offers!$C$7:$C$3000,$C162,Offers!$AH$7:$AH$3000,"yes")=0,"",SUMIFS(Offers!$H$7:$H$3000,Offers!$B$7:$B$3000,$B162,Offers!$C$7:$C$3000,$C162,Offers!$AF$7:$AF$3000,1))</f>
        <v/>
      </c>
      <c r="G162" s="93" t="str">
        <f aca="false">IF(COUNTIFS(Offers!$B$7:$B$3000,$B162,Offers!$C$7:$C$3000,$C162,Offers!$AH$7:$AH$3000,"yes")=0,"",(SUMIFS(Offers!$H$7:$H$3000,Offers!$B$7:$B$3000,$B162,Offers!$C$7:$C$3000,$C162,Offers!$AF$7:$AF$3000,ROUNDUP(COUNTIFS(Offers!$B$7:$B$3000,$B162,Offers!$C$7:$C$3000,$C162,Offers!$AH$7:$AH$3000,"yes")/2,0))+SUMIFS(Offers!$H$7:$H$3000,Offers!$B$7:$B$3000,$B162,Offers!$C$7:$C$3000,$C162,Offers!$AF$7:$AF$3000,INT(COUNTIFS(Offers!$B$7:$B$3000,$B162,Offers!$C$7:$C$3000,$C162,Offers!$AH$7:$AH$3000,"yes")/2)+1))/2)</f>
        <v/>
      </c>
      <c r="H162" s="99" t="str">
        <f aca="false">IF(COUNTIFS(Offers!$B$7:$B$3000,$B162,Offers!$C$7:$C$3000,$C162,Offers!$AH$7:$AH$3000,"yes")=0,"",SUMIFS(Offers!$H$7:$H$3000,Offers!$B$7:$B$3000,$B162,Offers!$C$7:$C$3000,$C162,Offers!$AF$7:$AF$3000,COUNTIFS(Offers!$B$7:$B$3000,$B162,Offers!$C$7:$C$3000,$C162,Offers!$AH$7:$AH$3000,"yes")))</f>
        <v/>
      </c>
      <c r="I162" s="100" t="str">
        <f aca="false">IF(COUNTIFS(Offers!$B$7:$B$3000,$B162,Offers!$C$7:$C$3000,$C162,Offers!$AI$7:$AI$3000,"yes")=0,"",SUMIFS(Offers!$I$7:$I$3000,Offers!$B$7:$B$3000,$B162,Offers!$C$7:$C$3000,$C162,Offers!$AG$7:$AG$3000,1))</f>
        <v/>
      </c>
      <c r="J162" s="95" t="str">
        <f aca="false">IF(COUNTIFS(Offers!$B$7:$B$3000,$B162,Offers!$C$7:$C$3000,$C162,Offers!$AI$7:$AI$3000,"yes")=0,"",(SUMIFS(Offers!$I$7:$I$3000,Offers!$B$7:$B$3000,$B162,Offers!$C$7:$C$3000,$C162,Offers!$AG$7:$AG$3000,ROUNDUP(COUNTIFS(Offers!$B$7:$B$3000,$B162,Offers!$C$7:$C$3000,$C162,Offers!$AI$7:$AI$3000,"yes")/2,0))+SUMIFS(Offers!$I$7:$I$3000,Offers!$B$7:$B$3000,$B162,Offers!$C$7:$C$3000,$C162,Offers!$AG$7:$AG$3000,INT(COUNTIFS(Offers!$B$7:$B$3000,$B162,Offers!$C$7:$C$3000,$C162,Offers!$AI$7:$AI$3000,"yes")/2)+1))/2)</f>
        <v/>
      </c>
      <c r="K162" s="100" t="str">
        <f aca="false">IF(COUNTIFS(Offers!$B$7:$B$3000,$B162,Offers!$C$7:$C$3000,$C162,Offers!$AI$7:$AI$3000,"yes")=0,"",SUMIFS(Offers!$I$7:$I$3000,Offers!$B$7:$B$3000,$B162,Offers!$C$7:$C$3000,$C162,Offers!$AG$7:$AG$3000,COUNTIFS(Offers!$B$7:$B$3000,$B162,Offers!$C$7:$C$3000,$C162,Offers!$AI$7:$AI$3000,"yes")))</f>
        <v/>
      </c>
      <c r="L162" s="96"/>
      <c r="M162" s="96"/>
      <c r="N162" s="96"/>
      <c r="O162" s="110" t="str">
        <f aca="false">IF(Compare!$E$5="Local prices",IF(F162="","",IF(Compare!$C$5="Minimum",F162,IF(Compare!$C$5="Maximum",H162,G162))),IF(I162="","",IF(Compare!$C$5="Minimum",I162,IF(Compare!$C$5="Maximum",K162,J162))))</f>
        <v/>
      </c>
    </row>
    <row r="163" customFormat="false" ht="39" hidden="false" customHeight="true" outlineLevel="0" collapsed="false">
      <c r="A163" s="3"/>
      <c r="B163" s="102" t="s">
        <v>57</v>
      </c>
      <c r="C163" s="103" t="s">
        <v>13</v>
      </c>
      <c r="D163" s="103" t="s">
        <v>490</v>
      </c>
      <c r="E163" s="103" t="s">
        <v>491</v>
      </c>
      <c r="F163" s="104" t="str">
        <f aca="false">IF(COUNTIFS(Offers!$B$7:$B$3000,$B163,Offers!$C$7:$C$3000,$C163,Offers!$AH$7:$AH$3000,"yes")=0,"",SUMIFS(Offers!$H$7:$H$3000,Offers!$B$7:$B$3000,$B163,Offers!$C$7:$C$3000,$C163,Offers!$AF$7:$AF$3000,1))</f>
        <v/>
      </c>
      <c r="G163" s="105" t="str">
        <f aca="false">IF(COUNTIFS(Offers!$B$7:$B$3000,$B163,Offers!$C$7:$C$3000,$C163,Offers!$AH$7:$AH$3000,"yes")=0,"",(SUMIFS(Offers!$H$7:$H$3000,Offers!$B$7:$B$3000,$B163,Offers!$C$7:$C$3000,$C163,Offers!$AF$7:$AF$3000,ROUNDUP(COUNTIFS(Offers!$B$7:$B$3000,$B163,Offers!$C$7:$C$3000,$C163,Offers!$AH$7:$AH$3000,"yes")/2,0))+SUMIFS(Offers!$H$7:$H$3000,Offers!$B$7:$B$3000,$B163,Offers!$C$7:$C$3000,$C163,Offers!$AF$7:$AF$3000,INT(COUNTIFS(Offers!$B$7:$B$3000,$B163,Offers!$C$7:$C$3000,$C163,Offers!$AH$7:$AH$3000,"yes")/2)+1))/2)</f>
        <v/>
      </c>
      <c r="H163" s="104" t="str">
        <f aca="false">IF(COUNTIFS(Offers!$B$7:$B$3000,$B163,Offers!$C$7:$C$3000,$C163,Offers!$AH$7:$AH$3000,"yes")=0,"",SUMIFS(Offers!$H$7:$H$3000,Offers!$B$7:$B$3000,$B163,Offers!$C$7:$C$3000,$C163,Offers!$AF$7:$AF$3000,COUNTIFS(Offers!$B$7:$B$3000,$B163,Offers!$C$7:$C$3000,$C163,Offers!$AH$7:$AH$3000,"yes")))</f>
        <v/>
      </c>
      <c r="I163" s="106" t="str">
        <f aca="false">IF(COUNTIFS(Offers!$B$7:$B$3000,$B163,Offers!$C$7:$C$3000,$C163,Offers!$AI$7:$AI$3000,"yes")=0,"",SUMIFS(Offers!$I$7:$I$3000,Offers!$B$7:$B$3000,$B163,Offers!$C$7:$C$3000,$C163,Offers!$AG$7:$AG$3000,1))</f>
        <v/>
      </c>
      <c r="J163" s="107" t="str">
        <f aca="false">IF(COUNTIFS(Offers!$B$7:$B$3000,$B163,Offers!$C$7:$C$3000,$C163,Offers!$AI$7:$AI$3000,"yes")=0,"",(SUMIFS(Offers!$I$7:$I$3000,Offers!$B$7:$B$3000,$B163,Offers!$C$7:$C$3000,$C163,Offers!$AG$7:$AG$3000,ROUNDUP(COUNTIFS(Offers!$B$7:$B$3000,$B163,Offers!$C$7:$C$3000,$C163,Offers!$AI$7:$AI$3000,"yes")/2,0))+SUMIFS(Offers!$I$7:$I$3000,Offers!$B$7:$B$3000,$B163,Offers!$C$7:$C$3000,$C163,Offers!$AG$7:$AG$3000,INT(COUNTIFS(Offers!$B$7:$B$3000,$B163,Offers!$C$7:$C$3000,$C163,Offers!$AI$7:$AI$3000,"yes")/2)+1))/2)</f>
        <v/>
      </c>
      <c r="K163" s="106" t="str">
        <f aca="false">IF(COUNTIFS(Offers!$B$7:$B$3000,$B163,Offers!$C$7:$C$3000,$C163,Offers!$AI$7:$AI$3000,"yes")=0,"",SUMIFS(Offers!$I$7:$I$3000,Offers!$B$7:$B$3000,$B163,Offers!$C$7:$C$3000,$C163,Offers!$AG$7:$AG$3000,COUNTIFS(Offers!$B$7:$B$3000,$B163,Offers!$C$7:$C$3000,$C163,Offers!$AI$7:$AI$3000,"yes")))</f>
        <v/>
      </c>
      <c r="L163" s="108"/>
      <c r="M163" s="108"/>
      <c r="N163" s="108"/>
      <c r="O163" s="109" t="str">
        <f aca="false">IF(Compare!$E$5="Local prices",IF(F163="","",IF(Compare!$C$5="Minimum",F163,IF(Compare!$C$5="Maximum",H163,G163))),IF(I163="","",IF(Compare!$C$5="Minimum",I163,IF(Compare!$C$5="Maximum",K163,J163))))</f>
        <v/>
      </c>
    </row>
    <row r="164" customFormat="false" ht="39" hidden="false" customHeight="true" outlineLevel="0" collapsed="false">
      <c r="A164" s="3"/>
      <c r="B164" s="36" t="s">
        <v>57</v>
      </c>
      <c r="C164" s="98" t="s">
        <v>14</v>
      </c>
      <c r="D164" s="98" t="s">
        <v>374</v>
      </c>
      <c r="E164" s="98" t="s">
        <v>491</v>
      </c>
      <c r="F164" s="99" t="str">
        <f aca="false">IF(COUNTIFS(Offers!$B$7:$B$3000,$B164,Offers!$C$7:$C$3000,$C164,Offers!$AH$7:$AH$3000,"yes")=0,"",SUMIFS(Offers!$H$7:$H$3000,Offers!$B$7:$B$3000,$B164,Offers!$C$7:$C$3000,$C164,Offers!$AF$7:$AF$3000,1))</f>
        <v/>
      </c>
      <c r="G164" s="93" t="str">
        <f aca="false">IF(COUNTIFS(Offers!$B$7:$B$3000,$B164,Offers!$C$7:$C$3000,$C164,Offers!$AH$7:$AH$3000,"yes")=0,"",(SUMIFS(Offers!$H$7:$H$3000,Offers!$B$7:$B$3000,$B164,Offers!$C$7:$C$3000,$C164,Offers!$AF$7:$AF$3000,ROUNDUP(COUNTIFS(Offers!$B$7:$B$3000,$B164,Offers!$C$7:$C$3000,$C164,Offers!$AH$7:$AH$3000,"yes")/2,0))+SUMIFS(Offers!$H$7:$H$3000,Offers!$B$7:$B$3000,$B164,Offers!$C$7:$C$3000,$C164,Offers!$AF$7:$AF$3000,INT(COUNTIFS(Offers!$B$7:$B$3000,$B164,Offers!$C$7:$C$3000,$C164,Offers!$AH$7:$AH$3000,"yes")/2)+1))/2)</f>
        <v/>
      </c>
      <c r="H164" s="99" t="str">
        <f aca="false">IF(COUNTIFS(Offers!$B$7:$B$3000,$B164,Offers!$C$7:$C$3000,$C164,Offers!$AH$7:$AH$3000,"yes")=0,"",SUMIFS(Offers!$H$7:$H$3000,Offers!$B$7:$B$3000,$B164,Offers!$C$7:$C$3000,$C164,Offers!$AF$7:$AF$3000,COUNTIFS(Offers!$B$7:$B$3000,$B164,Offers!$C$7:$C$3000,$C164,Offers!$AH$7:$AH$3000,"yes")))</f>
        <v/>
      </c>
      <c r="I164" s="100" t="str">
        <f aca="false">IF(COUNTIFS(Offers!$B$7:$B$3000,$B164,Offers!$C$7:$C$3000,$C164,Offers!$AI$7:$AI$3000,"yes")=0,"",SUMIFS(Offers!$I$7:$I$3000,Offers!$B$7:$B$3000,$B164,Offers!$C$7:$C$3000,$C164,Offers!$AG$7:$AG$3000,1))</f>
        <v/>
      </c>
      <c r="J164" s="95" t="str">
        <f aca="false">IF(COUNTIFS(Offers!$B$7:$B$3000,$B164,Offers!$C$7:$C$3000,$C164,Offers!$AI$7:$AI$3000,"yes")=0,"",(SUMIFS(Offers!$I$7:$I$3000,Offers!$B$7:$B$3000,$B164,Offers!$C$7:$C$3000,$C164,Offers!$AG$7:$AG$3000,ROUNDUP(COUNTIFS(Offers!$B$7:$B$3000,$B164,Offers!$C$7:$C$3000,$C164,Offers!$AI$7:$AI$3000,"yes")/2,0))+SUMIFS(Offers!$I$7:$I$3000,Offers!$B$7:$B$3000,$B164,Offers!$C$7:$C$3000,$C164,Offers!$AG$7:$AG$3000,INT(COUNTIFS(Offers!$B$7:$B$3000,$B164,Offers!$C$7:$C$3000,$C164,Offers!$AI$7:$AI$3000,"yes")/2)+1))/2)</f>
        <v/>
      </c>
      <c r="K164" s="100" t="str">
        <f aca="false">IF(COUNTIFS(Offers!$B$7:$B$3000,$B164,Offers!$C$7:$C$3000,$C164,Offers!$AI$7:$AI$3000,"yes")=0,"",SUMIFS(Offers!$I$7:$I$3000,Offers!$B$7:$B$3000,$B164,Offers!$C$7:$C$3000,$C164,Offers!$AG$7:$AG$3000,COUNTIFS(Offers!$B$7:$B$3000,$B164,Offers!$C$7:$C$3000,$C164,Offers!$AI$7:$AI$3000,"yes")))</f>
        <v/>
      </c>
      <c r="L164" s="96"/>
      <c r="M164" s="96"/>
      <c r="N164" s="96"/>
      <c r="O164" s="110" t="str">
        <f aca="false">IF(Compare!$E$5="Local prices",IF(F164="","",IF(Compare!$C$5="Minimum",F164,IF(Compare!$C$5="Maximum",H164,G164))),IF(I164="","",IF(Compare!$C$5="Minimum",I164,IF(Compare!$C$5="Maximum",K164,J164))))</f>
        <v/>
      </c>
    </row>
    <row r="165" customFormat="false" ht="39" hidden="false" customHeight="true" outlineLevel="0" collapsed="false">
      <c r="A165" s="3"/>
      <c r="B165" s="31" t="s">
        <v>57</v>
      </c>
      <c r="C165" s="91" t="s">
        <v>15</v>
      </c>
      <c r="D165" s="91" t="s">
        <v>244</v>
      </c>
      <c r="E165" s="91" t="s">
        <v>491</v>
      </c>
      <c r="F165" s="92" t="n">
        <f aca="false">IF(COUNTIFS(Offers!$B$7:$B$3000,$B165,Offers!$C$7:$C$3000,$C165,Offers!$AH$7:$AH$3000,"yes")=0,"",SUMIFS(Offers!$H$7:$H$3000,Offers!$B$7:$B$3000,$B165,Offers!$C$7:$C$3000,$C165,Offers!$AF$7:$AF$3000,1))</f>
        <v>9.12</v>
      </c>
      <c r="G165" s="93" t="n">
        <f aca="false">IF(COUNTIFS(Offers!$B$7:$B$3000,$B165,Offers!$C$7:$C$3000,$C165,Offers!$AH$7:$AH$3000,"yes")=0,"",(SUMIFS(Offers!$H$7:$H$3000,Offers!$B$7:$B$3000,$B165,Offers!$C$7:$C$3000,$C165,Offers!$AF$7:$AF$3000,ROUNDUP(COUNTIFS(Offers!$B$7:$B$3000,$B165,Offers!$C$7:$C$3000,$C165,Offers!$AH$7:$AH$3000,"yes")/2,0))+SUMIFS(Offers!$H$7:$H$3000,Offers!$B$7:$B$3000,$B165,Offers!$C$7:$C$3000,$C165,Offers!$AF$7:$AF$3000,INT(COUNTIFS(Offers!$B$7:$B$3000,$B165,Offers!$C$7:$C$3000,$C165,Offers!$AH$7:$AH$3000,"yes")/2)+1))/2)</f>
        <v>21.46</v>
      </c>
      <c r="H165" s="92" t="n">
        <f aca="false">IF(COUNTIFS(Offers!$B$7:$B$3000,$B165,Offers!$C$7:$C$3000,$C165,Offers!$AH$7:$AH$3000,"yes")=0,"",SUMIFS(Offers!$H$7:$H$3000,Offers!$B$7:$B$3000,$B165,Offers!$C$7:$C$3000,$C165,Offers!$AF$7:$AF$3000,COUNTIFS(Offers!$B$7:$B$3000,$B165,Offers!$C$7:$C$3000,$C165,Offers!$AH$7:$AH$3000,"yes")))</f>
        <v>38</v>
      </c>
      <c r="I165" s="94" t="n">
        <f aca="false">IF(COUNTIFS(Offers!$B$7:$B$3000,$B165,Offers!$C$7:$C$3000,$C165,Offers!$AI$7:$AI$3000,"yes")=0,"",SUMIFS(Offers!$I$7:$I$3000,Offers!$B$7:$B$3000,$B165,Offers!$C$7:$C$3000,$C165,Offers!$AG$7:$AG$3000,1))</f>
        <v>9.12</v>
      </c>
      <c r="J165" s="95" t="n">
        <f aca="false">IF(COUNTIFS(Offers!$B$7:$B$3000,$B165,Offers!$C$7:$C$3000,$C165,Offers!$AI$7:$AI$3000,"yes")=0,"",(SUMIFS(Offers!$I$7:$I$3000,Offers!$B$7:$B$3000,$B165,Offers!$C$7:$C$3000,$C165,Offers!$AG$7:$AG$3000,ROUNDUP(COUNTIFS(Offers!$B$7:$B$3000,$B165,Offers!$C$7:$C$3000,$C165,Offers!$AI$7:$AI$3000,"yes")/2,0))+SUMIFS(Offers!$I$7:$I$3000,Offers!$B$7:$B$3000,$B165,Offers!$C$7:$C$3000,$C165,Offers!$AG$7:$AG$3000,INT(COUNTIFS(Offers!$B$7:$B$3000,$B165,Offers!$C$7:$C$3000,$C165,Offers!$AI$7:$AI$3000,"yes")/2)+1))/2)</f>
        <v>21.46</v>
      </c>
      <c r="K165" s="94" t="n">
        <f aca="false">IF(COUNTIFS(Offers!$B$7:$B$3000,$B165,Offers!$C$7:$C$3000,$C165,Offers!$AI$7:$AI$3000,"yes")=0,"",SUMIFS(Offers!$I$7:$I$3000,Offers!$B$7:$B$3000,$B165,Offers!$C$7:$C$3000,$C165,Offers!$AG$7:$AG$3000,COUNTIFS(Offers!$B$7:$B$3000,$B165,Offers!$C$7:$C$3000,$C165,Offers!$AI$7:$AI$3000,"yes")))</f>
        <v>38</v>
      </c>
      <c r="L165" s="96"/>
      <c r="M165" s="96"/>
      <c r="N165" s="96"/>
      <c r="O165" s="97" t="n">
        <f aca="false">IF(Compare!$E$5="Local prices",IF(F165="","",IF(Compare!$C$5="Minimum",F165,IF(Compare!$C$5="Maximum",H165,G165))),IF(I165="","",IF(Compare!$C$5="Minimum",I165,IF(Compare!$C$5="Maximum",K165,J165))))</f>
        <v>21.46</v>
      </c>
    </row>
    <row r="166" customFormat="false" ht="39" hidden="false" customHeight="true" outlineLevel="0" collapsed="false">
      <c r="A166" s="3"/>
      <c r="B166" s="36" t="s">
        <v>57</v>
      </c>
      <c r="C166" s="98" t="s">
        <v>16</v>
      </c>
      <c r="D166" s="98" t="s">
        <v>244</v>
      </c>
      <c r="E166" s="98" t="s">
        <v>491</v>
      </c>
      <c r="F166" s="99" t="n">
        <f aca="false">IF(COUNTIFS(Offers!$B$7:$B$3000,$B166,Offers!$C$7:$C$3000,$C166,Offers!$AH$7:$AH$3000,"yes")=0,"",SUMIFS(Offers!$H$7:$H$3000,Offers!$B$7:$B$3000,$B166,Offers!$C$7:$C$3000,$C166,Offers!$AF$7:$AF$3000,1))</f>
        <v>9.37</v>
      </c>
      <c r="G166" s="93" t="n">
        <f aca="false">IF(COUNTIFS(Offers!$B$7:$B$3000,$B166,Offers!$C$7:$C$3000,$C166,Offers!$AH$7:$AH$3000,"yes")=0,"",(SUMIFS(Offers!$H$7:$H$3000,Offers!$B$7:$B$3000,$B166,Offers!$C$7:$C$3000,$C166,Offers!$AF$7:$AF$3000,ROUNDUP(COUNTIFS(Offers!$B$7:$B$3000,$B166,Offers!$C$7:$C$3000,$C166,Offers!$AH$7:$AH$3000,"yes")/2,0))+SUMIFS(Offers!$H$7:$H$3000,Offers!$B$7:$B$3000,$B166,Offers!$C$7:$C$3000,$C166,Offers!$AF$7:$AF$3000,INT(COUNTIFS(Offers!$B$7:$B$3000,$B166,Offers!$C$7:$C$3000,$C166,Offers!$AH$7:$AH$3000,"yes")/2)+1))/2)</f>
        <v>9.4</v>
      </c>
      <c r="H166" s="99" t="n">
        <f aca="false">IF(COUNTIFS(Offers!$B$7:$B$3000,$B166,Offers!$C$7:$C$3000,$C166,Offers!$AH$7:$AH$3000,"yes")=0,"",SUMIFS(Offers!$H$7:$H$3000,Offers!$B$7:$B$3000,$B166,Offers!$C$7:$C$3000,$C166,Offers!$AF$7:$AF$3000,COUNTIFS(Offers!$B$7:$B$3000,$B166,Offers!$C$7:$C$3000,$C166,Offers!$AH$7:$AH$3000,"yes")))</f>
        <v>9.88</v>
      </c>
      <c r="I166" s="100" t="n">
        <f aca="false">IF(COUNTIFS(Offers!$B$7:$B$3000,$B166,Offers!$C$7:$C$3000,$C166,Offers!$AI$7:$AI$3000,"yes")=0,"",SUMIFS(Offers!$I$7:$I$3000,Offers!$B$7:$B$3000,$B166,Offers!$C$7:$C$3000,$C166,Offers!$AG$7:$AG$3000,1))</f>
        <v>9.37</v>
      </c>
      <c r="J166" s="95" t="n">
        <f aca="false">IF(COUNTIFS(Offers!$B$7:$B$3000,$B166,Offers!$C$7:$C$3000,$C166,Offers!$AI$7:$AI$3000,"yes")=0,"",(SUMIFS(Offers!$I$7:$I$3000,Offers!$B$7:$B$3000,$B166,Offers!$C$7:$C$3000,$C166,Offers!$AG$7:$AG$3000,ROUNDUP(COUNTIFS(Offers!$B$7:$B$3000,$B166,Offers!$C$7:$C$3000,$C166,Offers!$AI$7:$AI$3000,"yes")/2,0))+SUMIFS(Offers!$I$7:$I$3000,Offers!$B$7:$B$3000,$B166,Offers!$C$7:$C$3000,$C166,Offers!$AG$7:$AG$3000,INT(COUNTIFS(Offers!$B$7:$B$3000,$B166,Offers!$C$7:$C$3000,$C166,Offers!$AI$7:$AI$3000,"yes")/2)+1))/2)</f>
        <v>9.4</v>
      </c>
      <c r="K166" s="100" t="n">
        <f aca="false">IF(COUNTIFS(Offers!$B$7:$B$3000,$B166,Offers!$C$7:$C$3000,$C166,Offers!$AI$7:$AI$3000,"yes")=0,"",SUMIFS(Offers!$I$7:$I$3000,Offers!$B$7:$B$3000,$B166,Offers!$C$7:$C$3000,$C166,Offers!$AG$7:$AG$3000,COUNTIFS(Offers!$B$7:$B$3000,$B166,Offers!$C$7:$C$3000,$C166,Offers!$AI$7:$AI$3000,"yes")))</f>
        <v>9.88</v>
      </c>
      <c r="L166" s="96"/>
      <c r="M166" s="96"/>
      <c r="N166" s="96"/>
      <c r="O166" s="101" t="n">
        <f aca="false">IF(Compare!$E$5="Local prices",IF(F166="","",IF(Compare!$C$5="Minimum",F166,IF(Compare!$C$5="Maximum",H166,G166))),IF(I166="","",IF(Compare!$C$5="Minimum",I166,IF(Compare!$C$5="Maximum",K166,J166))))</f>
        <v>9.4</v>
      </c>
    </row>
    <row r="167" customFormat="false" ht="39" hidden="false" customHeight="true" outlineLevel="0" collapsed="false">
      <c r="A167" s="3"/>
      <c r="B167" s="31" t="s">
        <v>57</v>
      </c>
      <c r="C167" s="91" t="s">
        <v>17</v>
      </c>
      <c r="D167" s="91" t="s">
        <v>333</v>
      </c>
      <c r="E167" s="91" t="s">
        <v>491</v>
      </c>
      <c r="F167" s="92" t="n">
        <f aca="false">IF(COUNTIFS(Offers!$B$7:$B$3000,$B167,Offers!$C$7:$C$3000,$C167,Offers!$AH$7:$AH$3000,"yes")=0,"",SUMIFS(Offers!$H$7:$H$3000,Offers!$B$7:$B$3000,$B167,Offers!$C$7:$C$3000,$C167,Offers!$AF$7:$AF$3000,1))</f>
        <v>219.02</v>
      </c>
      <c r="G167" s="93" t="n">
        <f aca="false">IF(COUNTIFS(Offers!$B$7:$B$3000,$B167,Offers!$C$7:$C$3000,$C167,Offers!$AH$7:$AH$3000,"yes")=0,"",(SUMIFS(Offers!$H$7:$H$3000,Offers!$B$7:$B$3000,$B167,Offers!$C$7:$C$3000,$C167,Offers!$AF$7:$AF$3000,ROUNDUP(COUNTIFS(Offers!$B$7:$B$3000,$B167,Offers!$C$7:$C$3000,$C167,Offers!$AH$7:$AH$3000,"yes")/2,0))+SUMIFS(Offers!$H$7:$H$3000,Offers!$B$7:$B$3000,$B167,Offers!$C$7:$C$3000,$C167,Offers!$AF$7:$AF$3000,INT(COUNTIFS(Offers!$B$7:$B$3000,$B167,Offers!$C$7:$C$3000,$C167,Offers!$AH$7:$AH$3000,"yes")/2)+1))/2)</f>
        <v>257.855</v>
      </c>
      <c r="H167" s="92" t="n">
        <f aca="false">IF(COUNTIFS(Offers!$B$7:$B$3000,$B167,Offers!$C$7:$C$3000,$C167,Offers!$AH$7:$AH$3000,"yes")=0,"",SUMIFS(Offers!$H$7:$H$3000,Offers!$B$7:$B$3000,$B167,Offers!$C$7:$C$3000,$C167,Offers!$AF$7:$AF$3000,COUNTIFS(Offers!$B$7:$B$3000,$B167,Offers!$C$7:$C$3000,$C167,Offers!$AH$7:$AH$3000,"yes")))</f>
        <v>280.17</v>
      </c>
      <c r="I167" s="94" t="n">
        <f aca="false">IF(COUNTIFS(Offers!$B$7:$B$3000,$B167,Offers!$C$7:$C$3000,$C167,Offers!$AI$7:$AI$3000,"yes")=0,"",SUMIFS(Offers!$I$7:$I$3000,Offers!$B$7:$B$3000,$B167,Offers!$C$7:$C$3000,$C167,Offers!$AG$7:$AG$3000,1))</f>
        <v>8.96755</v>
      </c>
      <c r="J167" s="95" t="n">
        <f aca="false">IF(COUNTIFS(Offers!$B$7:$B$3000,$B167,Offers!$C$7:$C$3000,$C167,Offers!$AI$7:$AI$3000,"yes")=0,"",(SUMIFS(Offers!$I$7:$I$3000,Offers!$B$7:$B$3000,$B167,Offers!$C$7:$C$3000,$C167,Offers!$AG$7:$AG$3000,ROUNDUP(COUNTIFS(Offers!$B$7:$B$3000,$B167,Offers!$C$7:$C$3000,$C167,Offers!$AI$7:$AI$3000,"yes")/2,0))+SUMIFS(Offers!$I$7:$I$3000,Offers!$B$7:$B$3000,$B167,Offers!$C$7:$C$3000,$C167,Offers!$AG$7:$AG$3000,INT(COUNTIFS(Offers!$B$7:$B$3000,$B167,Offers!$C$7:$C$3000,$C167,Offers!$AI$7:$AI$3000,"yes")/2)+1))/2)</f>
        <v>10.5576095</v>
      </c>
      <c r="K167" s="94" t="n">
        <f aca="false">IF(COUNTIFS(Offers!$B$7:$B$3000,$B167,Offers!$C$7:$C$3000,$C167,Offers!$AI$7:$AI$3000,"yes")=0,"",SUMIFS(Offers!$I$7:$I$3000,Offers!$B$7:$B$3000,$B167,Offers!$C$7:$C$3000,$C167,Offers!$AG$7:$AG$3000,COUNTIFS(Offers!$B$7:$B$3000,$B167,Offers!$C$7:$C$3000,$C167,Offers!$AI$7:$AI$3000,"yes")))</f>
        <v>11.471274</v>
      </c>
      <c r="L167" s="96"/>
      <c r="M167" s="96"/>
      <c r="N167" s="96"/>
      <c r="O167" s="97" t="n">
        <f aca="false">IF(Compare!$E$5="Local prices",IF(F167="","",IF(Compare!$C$5="Minimum",F167,IF(Compare!$C$5="Maximum",H167,G167))),IF(I167="","",IF(Compare!$C$5="Minimum",I167,IF(Compare!$C$5="Maximum",K167,J167))))</f>
        <v>10.5576095</v>
      </c>
    </row>
    <row r="168" customFormat="false" ht="39" hidden="false" customHeight="true" outlineLevel="0" collapsed="false">
      <c r="A168" s="3"/>
      <c r="B168" s="36" t="s">
        <v>57</v>
      </c>
      <c r="C168" s="98" t="s">
        <v>18</v>
      </c>
      <c r="D168" s="98" t="s">
        <v>244</v>
      </c>
      <c r="E168" s="98" t="s">
        <v>491</v>
      </c>
      <c r="F168" s="99" t="str">
        <f aca="false">IF(COUNTIFS(Offers!$B$7:$B$3000,$B168,Offers!$C$7:$C$3000,$C168,Offers!$AH$7:$AH$3000,"yes")=0,"",SUMIFS(Offers!$H$7:$H$3000,Offers!$B$7:$B$3000,$B168,Offers!$C$7:$C$3000,$C168,Offers!$AF$7:$AF$3000,1))</f>
        <v/>
      </c>
      <c r="G168" s="93" t="str">
        <f aca="false">IF(COUNTIFS(Offers!$B$7:$B$3000,$B168,Offers!$C$7:$C$3000,$C168,Offers!$AH$7:$AH$3000,"yes")=0,"",(SUMIFS(Offers!$H$7:$H$3000,Offers!$B$7:$B$3000,$B168,Offers!$C$7:$C$3000,$C168,Offers!$AF$7:$AF$3000,ROUNDUP(COUNTIFS(Offers!$B$7:$B$3000,$B168,Offers!$C$7:$C$3000,$C168,Offers!$AH$7:$AH$3000,"yes")/2,0))+SUMIFS(Offers!$H$7:$H$3000,Offers!$B$7:$B$3000,$B168,Offers!$C$7:$C$3000,$C168,Offers!$AF$7:$AF$3000,INT(COUNTIFS(Offers!$B$7:$B$3000,$B168,Offers!$C$7:$C$3000,$C168,Offers!$AH$7:$AH$3000,"yes")/2)+1))/2)</f>
        <v/>
      </c>
      <c r="H168" s="99" t="str">
        <f aca="false">IF(COUNTIFS(Offers!$B$7:$B$3000,$B168,Offers!$C$7:$C$3000,$C168,Offers!$AH$7:$AH$3000,"yes")=0,"",SUMIFS(Offers!$H$7:$H$3000,Offers!$B$7:$B$3000,$B168,Offers!$C$7:$C$3000,$C168,Offers!$AF$7:$AF$3000,COUNTIFS(Offers!$B$7:$B$3000,$B168,Offers!$C$7:$C$3000,$C168,Offers!$AH$7:$AH$3000,"yes")))</f>
        <v/>
      </c>
      <c r="I168" s="100" t="str">
        <f aca="false">IF(COUNTIFS(Offers!$B$7:$B$3000,$B168,Offers!$C$7:$C$3000,$C168,Offers!$AI$7:$AI$3000,"yes")=0,"",SUMIFS(Offers!$I$7:$I$3000,Offers!$B$7:$B$3000,$B168,Offers!$C$7:$C$3000,$C168,Offers!$AG$7:$AG$3000,1))</f>
        <v/>
      </c>
      <c r="J168" s="95" t="str">
        <f aca="false">IF(COUNTIFS(Offers!$B$7:$B$3000,$B168,Offers!$C$7:$C$3000,$C168,Offers!$AI$7:$AI$3000,"yes")=0,"",(SUMIFS(Offers!$I$7:$I$3000,Offers!$B$7:$B$3000,$B168,Offers!$C$7:$C$3000,$C168,Offers!$AG$7:$AG$3000,ROUNDUP(COUNTIFS(Offers!$B$7:$B$3000,$B168,Offers!$C$7:$C$3000,$C168,Offers!$AI$7:$AI$3000,"yes")/2,0))+SUMIFS(Offers!$I$7:$I$3000,Offers!$B$7:$B$3000,$B168,Offers!$C$7:$C$3000,$C168,Offers!$AG$7:$AG$3000,INT(COUNTIFS(Offers!$B$7:$B$3000,$B168,Offers!$C$7:$C$3000,$C168,Offers!$AI$7:$AI$3000,"yes")/2)+1))/2)</f>
        <v/>
      </c>
      <c r="K168" s="100" t="str">
        <f aca="false">IF(COUNTIFS(Offers!$B$7:$B$3000,$B168,Offers!$C$7:$C$3000,$C168,Offers!$AI$7:$AI$3000,"yes")=0,"",SUMIFS(Offers!$I$7:$I$3000,Offers!$B$7:$B$3000,$B168,Offers!$C$7:$C$3000,$C168,Offers!$AG$7:$AG$3000,COUNTIFS(Offers!$B$7:$B$3000,$B168,Offers!$C$7:$C$3000,$C168,Offers!$AI$7:$AI$3000,"yes")))</f>
        <v/>
      </c>
      <c r="L168" s="96"/>
      <c r="M168" s="96"/>
      <c r="N168" s="96"/>
      <c r="O168" s="110" t="str">
        <f aca="false">IF(Compare!$E$5="Local prices",IF(F168="","",IF(Compare!$C$5="Minimum",F168,IF(Compare!$C$5="Maximum",H168,G168))),IF(I168="","",IF(Compare!$C$5="Minimum",I168,IF(Compare!$C$5="Maximum",K168,J168))))</f>
        <v/>
      </c>
    </row>
    <row r="169" customFormat="false" ht="39" hidden="false" customHeight="true" outlineLevel="0" collapsed="false">
      <c r="A169" s="3"/>
      <c r="B169" s="102" t="s">
        <v>58</v>
      </c>
      <c r="C169" s="103" t="s">
        <v>13</v>
      </c>
      <c r="D169" s="103" t="s">
        <v>490</v>
      </c>
      <c r="E169" s="103" t="s">
        <v>491</v>
      </c>
      <c r="F169" s="104" t="str">
        <f aca="false">IF(COUNTIFS(Offers!$B$7:$B$3000,$B169,Offers!$C$7:$C$3000,$C169,Offers!$AH$7:$AH$3000,"yes")=0,"",SUMIFS(Offers!$H$7:$H$3000,Offers!$B$7:$B$3000,$B169,Offers!$C$7:$C$3000,$C169,Offers!$AF$7:$AF$3000,1))</f>
        <v/>
      </c>
      <c r="G169" s="105" t="str">
        <f aca="false">IF(COUNTIFS(Offers!$B$7:$B$3000,$B169,Offers!$C$7:$C$3000,$C169,Offers!$AH$7:$AH$3000,"yes")=0,"",(SUMIFS(Offers!$H$7:$H$3000,Offers!$B$7:$B$3000,$B169,Offers!$C$7:$C$3000,$C169,Offers!$AF$7:$AF$3000,ROUNDUP(COUNTIFS(Offers!$B$7:$B$3000,$B169,Offers!$C$7:$C$3000,$C169,Offers!$AH$7:$AH$3000,"yes")/2,0))+SUMIFS(Offers!$H$7:$H$3000,Offers!$B$7:$B$3000,$B169,Offers!$C$7:$C$3000,$C169,Offers!$AF$7:$AF$3000,INT(COUNTIFS(Offers!$B$7:$B$3000,$B169,Offers!$C$7:$C$3000,$C169,Offers!$AH$7:$AH$3000,"yes")/2)+1))/2)</f>
        <v/>
      </c>
      <c r="H169" s="104" t="str">
        <f aca="false">IF(COUNTIFS(Offers!$B$7:$B$3000,$B169,Offers!$C$7:$C$3000,$C169,Offers!$AH$7:$AH$3000,"yes")=0,"",SUMIFS(Offers!$H$7:$H$3000,Offers!$B$7:$B$3000,$B169,Offers!$C$7:$C$3000,$C169,Offers!$AF$7:$AF$3000,COUNTIFS(Offers!$B$7:$B$3000,$B169,Offers!$C$7:$C$3000,$C169,Offers!$AH$7:$AH$3000,"yes")))</f>
        <v/>
      </c>
      <c r="I169" s="106" t="str">
        <f aca="false">IF(COUNTIFS(Offers!$B$7:$B$3000,$B169,Offers!$C$7:$C$3000,$C169,Offers!$AI$7:$AI$3000,"yes")=0,"",SUMIFS(Offers!$I$7:$I$3000,Offers!$B$7:$B$3000,$B169,Offers!$C$7:$C$3000,$C169,Offers!$AG$7:$AG$3000,1))</f>
        <v/>
      </c>
      <c r="J169" s="107" t="str">
        <f aca="false">IF(COUNTIFS(Offers!$B$7:$B$3000,$B169,Offers!$C$7:$C$3000,$C169,Offers!$AI$7:$AI$3000,"yes")=0,"",(SUMIFS(Offers!$I$7:$I$3000,Offers!$B$7:$B$3000,$B169,Offers!$C$7:$C$3000,$C169,Offers!$AG$7:$AG$3000,ROUNDUP(COUNTIFS(Offers!$B$7:$B$3000,$B169,Offers!$C$7:$C$3000,$C169,Offers!$AI$7:$AI$3000,"yes")/2,0))+SUMIFS(Offers!$I$7:$I$3000,Offers!$B$7:$B$3000,$B169,Offers!$C$7:$C$3000,$C169,Offers!$AG$7:$AG$3000,INT(COUNTIFS(Offers!$B$7:$B$3000,$B169,Offers!$C$7:$C$3000,$C169,Offers!$AI$7:$AI$3000,"yes")/2)+1))/2)</f>
        <v/>
      </c>
      <c r="K169" s="106" t="str">
        <f aca="false">IF(COUNTIFS(Offers!$B$7:$B$3000,$B169,Offers!$C$7:$C$3000,$C169,Offers!$AI$7:$AI$3000,"yes")=0,"",SUMIFS(Offers!$I$7:$I$3000,Offers!$B$7:$B$3000,$B169,Offers!$C$7:$C$3000,$C169,Offers!$AG$7:$AG$3000,COUNTIFS(Offers!$B$7:$B$3000,$B169,Offers!$C$7:$C$3000,$C169,Offers!$AI$7:$AI$3000,"yes")))</f>
        <v/>
      </c>
      <c r="L169" s="108"/>
      <c r="M169" s="108"/>
      <c r="N169" s="108"/>
      <c r="O169" s="109" t="str">
        <f aca="false">IF(Compare!$E$5="Local prices",IF(F169="","",IF(Compare!$C$5="Minimum",F169,IF(Compare!$C$5="Maximum",H169,G169))),IF(I169="","",IF(Compare!$C$5="Minimum",I169,IF(Compare!$C$5="Maximum",K169,J169))))</f>
        <v/>
      </c>
    </row>
    <row r="170" customFormat="false" ht="39" hidden="false" customHeight="true" outlineLevel="0" collapsed="false">
      <c r="A170" s="3"/>
      <c r="B170" s="36" t="s">
        <v>58</v>
      </c>
      <c r="C170" s="98" t="s">
        <v>14</v>
      </c>
      <c r="D170" s="98" t="s">
        <v>374</v>
      </c>
      <c r="E170" s="98" t="s">
        <v>491</v>
      </c>
      <c r="F170" s="99" t="str">
        <f aca="false">IF(COUNTIFS(Offers!$B$7:$B$3000,$B170,Offers!$C$7:$C$3000,$C170,Offers!$AH$7:$AH$3000,"yes")=0,"",SUMIFS(Offers!$H$7:$H$3000,Offers!$B$7:$B$3000,$B170,Offers!$C$7:$C$3000,$C170,Offers!$AF$7:$AF$3000,1))</f>
        <v/>
      </c>
      <c r="G170" s="93" t="str">
        <f aca="false">IF(COUNTIFS(Offers!$B$7:$B$3000,$B170,Offers!$C$7:$C$3000,$C170,Offers!$AH$7:$AH$3000,"yes")=0,"",(SUMIFS(Offers!$H$7:$H$3000,Offers!$B$7:$B$3000,$B170,Offers!$C$7:$C$3000,$C170,Offers!$AF$7:$AF$3000,ROUNDUP(COUNTIFS(Offers!$B$7:$B$3000,$B170,Offers!$C$7:$C$3000,$C170,Offers!$AH$7:$AH$3000,"yes")/2,0))+SUMIFS(Offers!$H$7:$H$3000,Offers!$B$7:$B$3000,$B170,Offers!$C$7:$C$3000,$C170,Offers!$AF$7:$AF$3000,INT(COUNTIFS(Offers!$B$7:$B$3000,$B170,Offers!$C$7:$C$3000,$C170,Offers!$AH$7:$AH$3000,"yes")/2)+1))/2)</f>
        <v/>
      </c>
      <c r="H170" s="99" t="str">
        <f aca="false">IF(COUNTIFS(Offers!$B$7:$B$3000,$B170,Offers!$C$7:$C$3000,$C170,Offers!$AH$7:$AH$3000,"yes")=0,"",SUMIFS(Offers!$H$7:$H$3000,Offers!$B$7:$B$3000,$B170,Offers!$C$7:$C$3000,$C170,Offers!$AF$7:$AF$3000,COUNTIFS(Offers!$B$7:$B$3000,$B170,Offers!$C$7:$C$3000,$C170,Offers!$AH$7:$AH$3000,"yes")))</f>
        <v/>
      </c>
      <c r="I170" s="100" t="str">
        <f aca="false">IF(COUNTIFS(Offers!$B$7:$B$3000,$B170,Offers!$C$7:$C$3000,$C170,Offers!$AI$7:$AI$3000,"yes")=0,"",SUMIFS(Offers!$I$7:$I$3000,Offers!$B$7:$B$3000,$B170,Offers!$C$7:$C$3000,$C170,Offers!$AG$7:$AG$3000,1))</f>
        <v/>
      </c>
      <c r="J170" s="95" t="str">
        <f aca="false">IF(COUNTIFS(Offers!$B$7:$B$3000,$B170,Offers!$C$7:$C$3000,$C170,Offers!$AI$7:$AI$3000,"yes")=0,"",(SUMIFS(Offers!$I$7:$I$3000,Offers!$B$7:$B$3000,$B170,Offers!$C$7:$C$3000,$C170,Offers!$AG$7:$AG$3000,ROUNDUP(COUNTIFS(Offers!$B$7:$B$3000,$B170,Offers!$C$7:$C$3000,$C170,Offers!$AI$7:$AI$3000,"yes")/2,0))+SUMIFS(Offers!$I$7:$I$3000,Offers!$B$7:$B$3000,$B170,Offers!$C$7:$C$3000,$C170,Offers!$AG$7:$AG$3000,INT(COUNTIFS(Offers!$B$7:$B$3000,$B170,Offers!$C$7:$C$3000,$C170,Offers!$AI$7:$AI$3000,"yes")/2)+1))/2)</f>
        <v/>
      </c>
      <c r="K170" s="100" t="str">
        <f aca="false">IF(COUNTIFS(Offers!$B$7:$B$3000,$B170,Offers!$C$7:$C$3000,$C170,Offers!$AI$7:$AI$3000,"yes")=0,"",SUMIFS(Offers!$I$7:$I$3000,Offers!$B$7:$B$3000,$B170,Offers!$C$7:$C$3000,$C170,Offers!$AG$7:$AG$3000,COUNTIFS(Offers!$B$7:$B$3000,$B170,Offers!$C$7:$C$3000,$C170,Offers!$AI$7:$AI$3000,"yes")))</f>
        <v/>
      </c>
      <c r="L170" s="96"/>
      <c r="M170" s="96"/>
      <c r="N170" s="96"/>
      <c r="O170" s="110" t="str">
        <f aca="false">IF(Compare!$E$5="Local prices",IF(F170="","",IF(Compare!$C$5="Minimum",F170,IF(Compare!$C$5="Maximum",H170,G170))),IF(I170="","",IF(Compare!$C$5="Minimum",I170,IF(Compare!$C$5="Maximum",K170,J170))))</f>
        <v/>
      </c>
    </row>
    <row r="171" customFormat="false" ht="39" hidden="false" customHeight="true" outlineLevel="0" collapsed="false">
      <c r="A171" s="3"/>
      <c r="B171" s="31" t="s">
        <v>58</v>
      </c>
      <c r="C171" s="91" t="s">
        <v>15</v>
      </c>
      <c r="D171" s="91" t="s">
        <v>244</v>
      </c>
      <c r="E171" s="91" t="s">
        <v>491</v>
      </c>
      <c r="F171" s="92" t="n">
        <f aca="false">IF(COUNTIFS(Offers!$B$7:$B$3000,$B171,Offers!$C$7:$C$3000,$C171,Offers!$AH$7:$AH$3000,"yes")=0,"",SUMIFS(Offers!$H$7:$H$3000,Offers!$B$7:$B$3000,$B171,Offers!$C$7:$C$3000,$C171,Offers!$AF$7:$AF$3000,1))</f>
        <v>6.4</v>
      </c>
      <c r="G171" s="93" t="n">
        <f aca="false">IF(COUNTIFS(Offers!$B$7:$B$3000,$B171,Offers!$C$7:$C$3000,$C171,Offers!$AH$7:$AH$3000,"yes")=0,"",(SUMIFS(Offers!$H$7:$H$3000,Offers!$B$7:$B$3000,$B171,Offers!$C$7:$C$3000,$C171,Offers!$AF$7:$AF$3000,ROUNDUP(COUNTIFS(Offers!$B$7:$B$3000,$B171,Offers!$C$7:$C$3000,$C171,Offers!$AH$7:$AH$3000,"yes")/2,0))+SUMIFS(Offers!$H$7:$H$3000,Offers!$B$7:$B$3000,$B171,Offers!$C$7:$C$3000,$C171,Offers!$AF$7:$AF$3000,INT(COUNTIFS(Offers!$B$7:$B$3000,$B171,Offers!$C$7:$C$3000,$C171,Offers!$AH$7:$AH$3000,"yes")/2)+1))/2)</f>
        <v>17.545</v>
      </c>
      <c r="H171" s="92" t="n">
        <f aca="false">IF(COUNTIFS(Offers!$B$7:$B$3000,$B171,Offers!$C$7:$C$3000,$C171,Offers!$AH$7:$AH$3000,"yes")=0,"",SUMIFS(Offers!$H$7:$H$3000,Offers!$B$7:$B$3000,$B171,Offers!$C$7:$C$3000,$C171,Offers!$AF$7:$AF$3000,COUNTIFS(Offers!$B$7:$B$3000,$B171,Offers!$C$7:$C$3000,$C171,Offers!$AH$7:$AH$3000,"yes")))</f>
        <v>34.99</v>
      </c>
      <c r="I171" s="94" t="n">
        <f aca="false">IF(COUNTIFS(Offers!$B$7:$B$3000,$B171,Offers!$C$7:$C$3000,$C171,Offers!$AI$7:$AI$3000,"yes")=0,"",SUMIFS(Offers!$I$7:$I$3000,Offers!$B$7:$B$3000,$B171,Offers!$C$7:$C$3000,$C171,Offers!$AG$7:$AG$3000,1))</f>
        <v>6.4</v>
      </c>
      <c r="J171" s="95" t="n">
        <f aca="false">IF(COUNTIFS(Offers!$B$7:$B$3000,$B171,Offers!$C$7:$C$3000,$C171,Offers!$AI$7:$AI$3000,"yes")=0,"",(SUMIFS(Offers!$I$7:$I$3000,Offers!$B$7:$B$3000,$B171,Offers!$C$7:$C$3000,$C171,Offers!$AG$7:$AG$3000,ROUNDUP(COUNTIFS(Offers!$B$7:$B$3000,$B171,Offers!$C$7:$C$3000,$C171,Offers!$AI$7:$AI$3000,"yes")/2,0))+SUMIFS(Offers!$I$7:$I$3000,Offers!$B$7:$B$3000,$B171,Offers!$C$7:$C$3000,$C171,Offers!$AG$7:$AG$3000,INT(COUNTIFS(Offers!$B$7:$B$3000,$B171,Offers!$C$7:$C$3000,$C171,Offers!$AI$7:$AI$3000,"yes")/2)+1))/2)</f>
        <v>17.545</v>
      </c>
      <c r="K171" s="94" t="n">
        <f aca="false">IF(COUNTIFS(Offers!$B$7:$B$3000,$B171,Offers!$C$7:$C$3000,$C171,Offers!$AI$7:$AI$3000,"yes")=0,"",SUMIFS(Offers!$I$7:$I$3000,Offers!$B$7:$B$3000,$B171,Offers!$C$7:$C$3000,$C171,Offers!$AG$7:$AG$3000,COUNTIFS(Offers!$B$7:$B$3000,$B171,Offers!$C$7:$C$3000,$C171,Offers!$AI$7:$AI$3000,"yes")))</f>
        <v>34.99</v>
      </c>
      <c r="L171" s="96"/>
      <c r="M171" s="96"/>
      <c r="N171" s="96"/>
      <c r="O171" s="97" t="n">
        <f aca="false">IF(Compare!$E$5="Local prices",IF(F171="","",IF(Compare!$C$5="Minimum",F171,IF(Compare!$C$5="Maximum",H171,G171))),IF(I171="","",IF(Compare!$C$5="Minimum",I171,IF(Compare!$C$5="Maximum",K171,J171))))</f>
        <v>17.545</v>
      </c>
    </row>
    <row r="172" customFormat="false" ht="39" hidden="false" customHeight="true" outlineLevel="0" collapsed="false">
      <c r="A172" s="3"/>
      <c r="B172" s="36" t="s">
        <v>58</v>
      </c>
      <c r="C172" s="98" t="s">
        <v>16</v>
      </c>
      <c r="D172" s="98" t="s">
        <v>244</v>
      </c>
      <c r="E172" s="98" t="s">
        <v>491</v>
      </c>
      <c r="F172" s="99" t="n">
        <f aca="false">IF(COUNTIFS(Offers!$B$7:$B$3000,$B172,Offers!$C$7:$C$3000,$C172,Offers!$AH$7:$AH$3000,"yes")=0,"",SUMIFS(Offers!$H$7:$H$3000,Offers!$B$7:$B$3000,$B172,Offers!$C$7:$C$3000,$C172,Offers!$AF$7:$AF$3000,1))</f>
        <v>6.4</v>
      </c>
      <c r="G172" s="93" t="n">
        <f aca="false">IF(COUNTIFS(Offers!$B$7:$B$3000,$B172,Offers!$C$7:$C$3000,$C172,Offers!$AH$7:$AH$3000,"yes")=0,"",(SUMIFS(Offers!$H$7:$H$3000,Offers!$B$7:$B$3000,$B172,Offers!$C$7:$C$3000,$C172,Offers!$AF$7:$AF$3000,ROUNDUP(COUNTIFS(Offers!$B$7:$B$3000,$B172,Offers!$C$7:$C$3000,$C172,Offers!$AH$7:$AH$3000,"yes")/2,0))+SUMIFS(Offers!$H$7:$H$3000,Offers!$B$7:$B$3000,$B172,Offers!$C$7:$C$3000,$C172,Offers!$AF$7:$AF$3000,INT(COUNTIFS(Offers!$B$7:$B$3000,$B172,Offers!$C$7:$C$3000,$C172,Offers!$AH$7:$AH$3000,"yes")/2)+1))/2)</f>
        <v>13.62</v>
      </c>
      <c r="H172" s="99" t="n">
        <f aca="false">IF(COUNTIFS(Offers!$B$7:$B$3000,$B172,Offers!$C$7:$C$3000,$C172,Offers!$AH$7:$AH$3000,"yes")=0,"",SUMIFS(Offers!$H$7:$H$3000,Offers!$B$7:$B$3000,$B172,Offers!$C$7:$C$3000,$C172,Offers!$AF$7:$AF$3000,COUNTIFS(Offers!$B$7:$B$3000,$B172,Offers!$C$7:$C$3000,$C172,Offers!$AH$7:$AH$3000,"yes")))</f>
        <v>32.09</v>
      </c>
      <c r="I172" s="100" t="n">
        <f aca="false">IF(COUNTIFS(Offers!$B$7:$B$3000,$B172,Offers!$C$7:$C$3000,$C172,Offers!$AI$7:$AI$3000,"yes")=0,"",SUMIFS(Offers!$I$7:$I$3000,Offers!$B$7:$B$3000,$B172,Offers!$C$7:$C$3000,$C172,Offers!$AG$7:$AG$3000,1))</f>
        <v>6.4</v>
      </c>
      <c r="J172" s="95" t="n">
        <f aca="false">IF(COUNTIFS(Offers!$B$7:$B$3000,$B172,Offers!$C$7:$C$3000,$C172,Offers!$AI$7:$AI$3000,"yes")=0,"",(SUMIFS(Offers!$I$7:$I$3000,Offers!$B$7:$B$3000,$B172,Offers!$C$7:$C$3000,$C172,Offers!$AG$7:$AG$3000,ROUNDUP(COUNTIFS(Offers!$B$7:$B$3000,$B172,Offers!$C$7:$C$3000,$C172,Offers!$AI$7:$AI$3000,"yes")/2,0))+SUMIFS(Offers!$I$7:$I$3000,Offers!$B$7:$B$3000,$B172,Offers!$C$7:$C$3000,$C172,Offers!$AG$7:$AG$3000,INT(COUNTIFS(Offers!$B$7:$B$3000,$B172,Offers!$C$7:$C$3000,$C172,Offers!$AI$7:$AI$3000,"yes")/2)+1))/2)</f>
        <v>13.62</v>
      </c>
      <c r="K172" s="100" t="n">
        <f aca="false">IF(COUNTIFS(Offers!$B$7:$B$3000,$B172,Offers!$C$7:$C$3000,$C172,Offers!$AI$7:$AI$3000,"yes")=0,"",SUMIFS(Offers!$I$7:$I$3000,Offers!$B$7:$B$3000,$B172,Offers!$C$7:$C$3000,$C172,Offers!$AG$7:$AG$3000,COUNTIFS(Offers!$B$7:$B$3000,$B172,Offers!$C$7:$C$3000,$C172,Offers!$AI$7:$AI$3000,"yes")))</f>
        <v>32.09</v>
      </c>
      <c r="L172" s="96"/>
      <c r="M172" s="96"/>
      <c r="N172" s="96"/>
      <c r="O172" s="101" t="n">
        <f aca="false">IF(Compare!$E$5="Local prices",IF(F172="","",IF(Compare!$C$5="Minimum",F172,IF(Compare!$C$5="Maximum",H172,G172))),IF(I172="","",IF(Compare!$C$5="Minimum",I172,IF(Compare!$C$5="Maximum",K172,J172))))</f>
        <v>13.62</v>
      </c>
    </row>
    <row r="173" customFormat="false" ht="39" hidden="false" customHeight="true" outlineLevel="0" collapsed="false">
      <c r="A173" s="3"/>
      <c r="B173" s="31" t="s">
        <v>58</v>
      </c>
      <c r="C173" s="91" t="s">
        <v>17</v>
      </c>
      <c r="D173" s="91" t="s">
        <v>333</v>
      </c>
      <c r="E173" s="91" t="s">
        <v>491</v>
      </c>
      <c r="F173" s="92" t="n">
        <f aca="false">IF(COUNTIFS(Offers!$B$7:$B$3000,$B173,Offers!$C$7:$C$3000,$C173,Offers!$AH$7:$AH$3000,"yes")=0,"",SUMIFS(Offers!$H$7:$H$3000,Offers!$B$7:$B$3000,$B173,Offers!$C$7:$C$3000,$C173,Offers!$AF$7:$AF$3000,1))</f>
        <v>219.01</v>
      </c>
      <c r="G173" s="93" t="n">
        <f aca="false">IF(COUNTIFS(Offers!$B$7:$B$3000,$B173,Offers!$C$7:$C$3000,$C173,Offers!$AH$7:$AH$3000,"yes")=0,"",(SUMIFS(Offers!$H$7:$H$3000,Offers!$B$7:$B$3000,$B173,Offers!$C$7:$C$3000,$C173,Offers!$AF$7:$AF$3000,ROUNDUP(COUNTIFS(Offers!$B$7:$B$3000,$B173,Offers!$C$7:$C$3000,$C173,Offers!$AH$7:$AH$3000,"yes")/2,0))+SUMIFS(Offers!$H$7:$H$3000,Offers!$B$7:$B$3000,$B173,Offers!$C$7:$C$3000,$C173,Offers!$AF$7:$AF$3000,INT(COUNTIFS(Offers!$B$7:$B$3000,$B173,Offers!$C$7:$C$3000,$C173,Offers!$AH$7:$AH$3000,"yes")/2)+1))/2)</f>
        <v>289</v>
      </c>
      <c r="H173" s="92" t="n">
        <f aca="false">IF(COUNTIFS(Offers!$B$7:$B$3000,$B173,Offers!$C$7:$C$3000,$C173,Offers!$AH$7:$AH$3000,"yes")=0,"",SUMIFS(Offers!$H$7:$H$3000,Offers!$B$7:$B$3000,$B173,Offers!$C$7:$C$3000,$C173,Offers!$AF$7:$AF$3000,COUNTIFS(Offers!$B$7:$B$3000,$B173,Offers!$C$7:$C$3000,$C173,Offers!$AH$7:$AH$3000,"yes")))</f>
        <v>524.79</v>
      </c>
      <c r="I173" s="94" t="n">
        <f aca="false">IF(COUNTIFS(Offers!$B$7:$B$3000,$B173,Offers!$C$7:$C$3000,$C173,Offers!$AI$7:$AI$3000,"yes")=0,"",SUMIFS(Offers!$I$7:$I$3000,Offers!$B$7:$B$3000,$B173,Offers!$C$7:$C$3000,$C173,Offers!$AG$7:$AG$3000,1))</f>
        <v>8.967141</v>
      </c>
      <c r="J173" s="95" t="n">
        <f aca="false">IF(COUNTIFS(Offers!$B$7:$B$3000,$B173,Offers!$C$7:$C$3000,$C173,Offers!$AI$7:$AI$3000,"yes")=0,"",(SUMIFS(Offers!$I$7:$I$3000,Offers!$B$7:$B$3000,$B173,Offers!$C$7:$C$3000,$C173,Offers!$AG$7:$AG$3000,ROUNDUP(COUNTIFS(Offers!$B$7:$B$3000,$B173,Offers!$C$7:$C$3000,$C173,Offers!$AI$7:$AI$3000,"yes")/2,0))+SUMIFS(Offers!$I$7:$I$3000,Offers!$B$7:$B$3000,$B173,Offers!$C$7:$C$3000,$C173,Offers!$AG$7:$AG$3000,INT(COUNTIFS(Offers!$B$7:$B$3000,$B173,Offers!$C$7:$C$3000,$C173,Offers!$AI$7:$AI$3000,"yes")/2)+1))/2)</f>
        <v>11.83281</v>
      </c>
      <c r="K173" s="94" t="n">
        <f aca="false">IF(COUNTIFS(Offers!$B$7:$B$3000,$B173,Offers!$C$7:$C$3000,$C173,Offers!$AI$7:$AI$3000,"yes")=0,"",SUMIFS(Offers!$I$7:$I$3000,Offers!$B$7:$B$3000,$B173,Offers!$C$7:$C$3000,$C173,Offers!$AG$7:$AG$3000,COUNTIFS(Offers!$B$7:$B$3000,$B173,Offers!$C$7:$C$3000,$C173,Offers!$AI$7:$AI$3000,"yes")))</f>
        <v>21.486991</v>
      </c>
      <c r="L173" s="96"/>
      <c r="M173" s="96"/>
      <c r="N173" s="96"/>
      <c r="O173" s="97" t="n">
        <f aca="false">IF(Compare!$E$5="Local prices",IF(F173="","",IF(Compare!$C$5="Minimum",F173,IF(Compare!$C$5="Maximum",H173,G173))),IF(I173="","",IF(Compare!$C$5="Minimum",I173,IF(Compare!$C$5="Maximum",K173,J173))))</f>
        <v>11.83281</v>
      </c>
    </row>
    <row r="174" customFormat="false" ht="39" hidden="false" customHeight="true" outlineLevel="0" collapsed="false">
      <c r="A174" s="3"/>
      <c r="B174" s="36" t="s">
        <v>58</v>
      </c>
      <c r="C174" s="98" t="s">
        <v>18</v>
      </c>
      <c r="D174" s="98" t="s">
        <v>244</v>
      </c>
      <c r="E174" s="98" t="s">
        <v>491</v>
      </c>
      <c r="F174" s="99" t="str">
        <f aca="false">IF(COUNTIFS(Offers!$B$7:$B$3000,$B174,Offers!$C$7:$C$3000,$C174,Offers!$AH$7:$AH$3000,"yes")=0,"",SUMIFS(Offers!$H$7:$H$3000,Offers!$B$7:$B$3000,$B174,Offers!$C$7:$C$3000,$C174,Offers!$AF$7:$AF$3000,1))</f>
        <v/>
      </c>
      <c r="G174" s="93" t="str">
        <f aca="false">IF(COUNTIFS(Offers!$B$7:$B$3000,$B174,Offers!$C$7:$C$3000,$C174,Offers!$AH$7:$AH$3000,"yes")=0,"",(SUMIFS(Offers!$H$7:$H$3000,Offers!$B$7:$B$3000,$B174,Offers!$C$7:$C$3000,$C174,Offers!$AF$7:$AF$3000,ROUNDUP(COUNTIFS(Offers!$B$7:$B$3000,$B174,Offers!$C$7:$C$3000,$C174,Offers!$AH$7:$AH$3000,"yes")/2,0))+SUMIFS(Offers!$H$7:$H$3000,Offers!$B$7:$B$3000,$B174,Offers!$C$7:$C$3000,$C174,Offers!$AF$7:$AF$3000,INT(COUNTIFS(Offers!$B$7:$B$3000,$B174,Offers!$C$7:$C$3000,$C174,Offers!$AH$7:$AH$3000,"yes")/2)+1))/2)</f>
        <v/>
      </c>
      <c r="H174" s="99" t="str">
        <f aca="false">IF(COUNTIFS(Offers!$B$7:$B$3000,$B174,Offers!$C$7:$C$3000,$C174,Offers!$AH$7:$AH$3000,"yes")=0,"",SUMIFS(Offers!$H$7:$H$3000,Offers!$B$7:$B$3000,$B174,Offers!$C$7:$C$3000,$C174,Offers!$AF$7:$AF$3000,COUNTIFS(Offers!$B$7:$B$3000,$B174,Offers!$C$7:$C$3000,$C174,Offers!$AH$7:$AH$3000,"yes")))</f>
        <v/>
      </c>
      <c r="I174" s="100" t="str">
        <f aca="false">IF(COUNTIFS(Offers!$B$7:$B$3000,$B174,Offers!$C$7:$C$3000,$C174,Offers!$AI$7:$AI$3000,"yes")=0,"",SUMIFS(Offers!$I$7:$I$3000,Offers!$B$7:$B$3000,$B174,Offers!$C$7:$C$3000,$C174,Offers!$AG$7:$AG$3000,1))</f>
        <v/>
      </c>
      <c r="J174" s="95" t="str">
        <f aca="false">IF(COUNTIFS(Offers!$B$7:$B$3000,$B174,Offers!$C$7:$C$3000,$C174,Offers!$AI$7:$AI$3000,"yes")=0,"",(SUMIFS(Offers!$I$7:$I$3000,Offers!$B$7:$B$3000,$B174,Offers!$C$7:$C$3000,$C174,Offers!$AG$7:$AG$3000,ROUNDUP(COUNTIFS(Offers!$B$7:$B$3000,$B174,Offers!$C$7:$C$3000,$C174,Offers!$AI$7:$AI$3000,"yes")/2,0))+SUMIFS(Offers!$I$7:$I$3000,Offers!$B$7:$B$3000,$B174,Offers!$C$7:$C$3000,$C174,Offers!$AG$7:$AG$3000,INT(COUNTIFS(Offers!$B$7:$B$3000,$B174,Offers!$C$7:$C$3000,$C174,Offers!$AI$7:$AI$3000,"yes")/2)+1))/2)</f>
        <v/>
      </c>
      <c r="K174" s="100" t="str">
        <f aca="false">IF(COUNTIFS(Offers!$B$7:$B$3000,$B174,Offers!$C$7:$C$3000,$C174,Offers!$AI$7:$AI$3000,"yes")=0,"",SUMIFS(Offers!$I$7:$I$3000,Offers!$B$7:$B$3000,$B174,Offers!$C$7:$C$3000,$C174,Offers!$AG$7:$AG$3000,COUNTIFS(Offers!$B$7:$B$3000,$B174,Offers!$C$7:$C$3000,$C174,Offers!$AI$7:$AI$3000,"yes")))</f>
        <v/>
      </c>
      <c r="L174" s="96"/>
      <c r="M174" s="96"/>
      <c r="N174" s="96"/>
      <c r="O174" s="110" t="str">
        <f aca="false">IF(Compare!$E$5="Local prices",IF(F174="","",IF(Compare!$C$5="Minimum",F174,IF(Compare!$C$5="Maximum",H174,G174))),IF(I174="","",IF(Compare!$C$5="Minimum",I174,IF(Compare!$C$5="Maximum",K174,J174))))</f>
        <v/>
      </c>
    </row>
    <row r="175" customFormat="false" ht="39" hidden="false" customHeight="true" outlineLevel="0" collapsed="false">
      <c r="A175" s="3"/>
      <c r="B175" s="102" t="s">
        <v>59</v>
      </c>
      <c r="C175" s="103" t="s">
        <v>13</v>
      </c>
      <c r="D175" s="103" t="s">
        <v>490</v>
      </c>
      <c r="E175" s="103" t="s">
        <v>491</v>
      </c>
      <c r="F175" s="104" t="str">
        <f aca="false">IF(COUNTIFS(Offers!$B$7:$B$3000,$B175,Offers!$C$7:$C$3000,$C175,Offers!$AH$7:$AH$3000,"yes")=0,"",SUMIFS(Offers!$H$7:$H$3000,Offers!$B$7:$B$3000,$B175,Offers!$C$7:$C$3000,$C175,Offers!$AF$7:$AF$3000,1))</f>
        <v/>
      </c>
      <c r="G175" s="105" t="str">
        <f aca="false">IF(COUNTIFS(Offers!$B$7:$B$3000,$B175,Offers!$C$7:$C$3000,$C175,Offers!$AH$7:$AH$3000,"yes")=0,"",(SUMIFS(Offers!$H$7:$H$3000,Offers!$B$7:$B$3000,$B175,Offers!$C$7:$C$3000,$C175,Offers!$AF$7:$AF$3000,ROUNDUP(COUNTIFS(Offers!$B$7:$B$3000,$B175,Offers!$C$7:$C$3000,$C175,Offers!$AH$7:$AH$3000,"yes")/2,0))+SUMIFS(Offers!$H$7:$H$3000,Offers!$B$7:$B$3000,$B175,Offers!$C$7:$C$3000,$C175,Offers!$AF$7:$AF$3000,INT(COUNTIFS(Offers!$B$7:$B$3000,$B175,Offers!$C$7:$C$3000,$C175,Offers!$AH$7:$AH$3000,"yes")/2)+1))/2)</f>
        <v/>
      </c>
      <c r="H175" s="104" t="str">
        <f aca="false">IF(COUNTIFS(Offers!$B$7:$B$3000,$B175,Offers!$C$7:$C$3000,$C175,Offers!$AH$7:$AH$3000,"yes")=0,"",SUMIFS(Offers!$H$7:$H$3000,Offers!$B$7:$B$3000,$B175,Offers!$C$7:$C$3000,$C175,Offers!$AF$7:$AF$3000,COUNTIFS(Offers!$B$7:$B$3000,$B175,Offers!$C$7:$C$3000,$C175,Offers!$AH$7:$AH$3000,"yes")))</f>
        <v/>
      </c>
      <c r="I175" s="106" t="str">
        <f aca="false">IF(COUNTIFS(Offers!$B$7:$B$3000,$B175,Offers!$C$7:$C$3000,$C175,Offers!$AI$7:$AI$3000,"yes")=0,"",SUMIFS(Offers!$I$7:$I$3000,Offers!$B$7:$B$3000,$B175,Offers!$C$7:$C$3000,$C175,Offers!$AG$7:$AG$3000,1))</f>
        <v/>
      </c>
      <c r="J175" s="107" t="str">
        <f aca="false">IF(COUNTIFS(Offers!$B$7:$B$3000,$B175,Offers!$C$7:$C$3000,$C175,Offers!$AI$7:$AI$3000,"yes")=0,"",(SUMIFS(Offers!$I$7:$I$3000,Offers!$B$7:$B$3000,$B175,Offers!$C$7:$C$3000,$C175,Offers!$AG$7:$AG$3000,ROUNDUP(COUNTIFS(Offers!$B$7:$B$3000,$B175,Offers!$C$7:$C$3000,$C175,Offers!$AI$7:$AI$3000,"yes")/2,0))+SUMIFS(Offers!$I$7:$I$3000,Offers!$B$7:$B$3000,$B175,Offers!$C$7:$C$3000,$C175,Offers!$AG$7:$AG$3000,INT(COUNTIFS(Offers!$B$7:$B$3000,$B175,Offers!$C$7:$C$3000,$C175,Offers!$AI$7:$AI$3000,"yes")/2)+1))/2)</f>
        <v/>
      </c>
      <c r="K175" s="106" t="str">
        <f aca="false">IF(COUNTIFS(Offers!$B$7:$B$3000,$B175,Offers!$C$7:$C$3000,$C175,Offers!$AI$7:$AI$3000,"yes")=0,"",SUMIFS(Offers!$I$7:$I$3000,Offers!$B$7:$B$3000,$B175,Offers!$C$7:$C$3000,$C175,Offers!$AG$7:$AG$3000,COUNTIFS(Offers!$B$7:$B$3000,$B175,Offers!$C$7:$C$3000,$C175,Offers!$AI$7:$AI$3000,"yes")))</f>
        <v/>
      </c>
      <c r="L175" s="108"/>
      <c r="M175" s="108"/>
      <c r="N175" s="108"/>
      <c r="O175" s="109" t="str">
        <f aca="false">IF(Compare!$E$5="Local prices",IF(F175="","",IF(Compare!$C$5="Minimum",F175,IF(Compare!$C$5="Maximum",H175,G175))),IF(I175="","",IF(Compare!$C$5="Minimum",I175,IF(Compare!$C$5="Maximum",K175,J175))))</f>
        <v/>
      </c>
    </row>
    <row r="176" customFormat="false" ht="39" hidden="false" customHeight="true" outlineLevel="0" collapsed="false">
      <c r="A176" s="3"/>
      <c r="B176" s="36" t="s">
        <v>59</v>
      </c>
      <c r="C176" s="98" t="s">
        <v>14</v>
      </c>
      <c r="D176" s="98" t="s">
        <v>374</v>
      </c>
      <c r="E176" s="98" t="s">
        <v>491</v>
      </c>
      <c r="F176" s="99" t="str">
        <f aca="false">IF(COUNTIFS(Offers!$B$7:$B$3000,$B176,Offers!$C$7:$C$3000,$C176,Offers!$AH$7:$AH$3000,"yes")=0,"",SUMIFS(Offers!$H$7:$H$3000,Offers!$B$7:$B$3000,$B176,Offers!$C$7:$C$3000,$C176,Offers!$AF$7:$AF$3000,1))</f>
        <v/>
      </c>
      <c r="G176" s="93" t="str">
        <f aca="false">IF(COUNTIFS(Offers!$B$7:$B$3000,$B176,Offers!$C$7:$C$3000,$C176,Offers!$AH$7:$AH$3000,"yes")=0,"",(SUMIFS(Offers!$H$7:$H$3000,Offers!$B$7:$B$3000,$B176,Offers!$C$7:$C$3000,$C176,Offers!$AF$7:$AF$3000,ROUNDUP(COUNTIFS(Offers!$B$7:$B$3000,$B176,Offers!$C$7:$C$3000,$C176,Offers!$AH$7:$AH$3000,"yes")/2,0))+SUMIFS(Offers!$H$7:$H$3000,Offers!$B$7:$B$3000,$B176,Offers!$C$7:$C$3000,$C176,Offers!$AF$7:$AF$3000,INT(COUNTIFS(Offers!$B$7:$B$3000,$B176,Offers!$C$7:$C$3000,$C176,Offers!$AH$7:$AH$3000,"yes")/2)+1))/2)</f>
        <v/>
      </c>
      <c r="H176" s="99" t="str">
        <f aca="false">IF(COUNTIFS(Offers!$B$7:$B$3000,$B176,Offers!$C$7:$C$3000,$C176,Offers!$AH$7:$AH$3000,"yes")=0,"",SUMIFS(Offers!$H$7:$H$3000,Offers!$B$7:$B$3000,$B176,Offers!$C$7:$C$3000,$C176,Offers!$AF$7:$AF$3000,COUNTIFS(Offers!$B$7:$B$3000,$B176,Offers!$C$7:$C$3000,$C176,Offers!$AH$7:$AH$3000,"yes")))</f>
        <v/>
      </c>
      <c r="I176" s="100" t="str">
        <f aca="false">IF(COUNTIFS(Offers!$B$7:$B$3000,$B176,Offers!$C$7:$C$3000,$C176,Offers!$AI$7:$AI$3000,"yes")=0,"",SUMIFS(Offers!$I$7:$I$3000,Offers!$B$7:$B$3000,$B176,Offers!$C$7:$C$3000,$C176,Offers!$AG$7:$AG$3000,1))</f>
        <v/>
      </c>
      <c r="J176" s="95" t="str">
        <f aca="false">IF(COUNTIFS(Offers!$B$7:$B$3000,$B176,Offers!$C$7:$C$3000,$C176,Offers!$AI$7:$AI$3000,"yes")=0,"",(SUMIFS(Offers!$I$7:$I$3000,Offers!$B$7:$B$3000,$B176,Offers!$C$7:$C$3000,$C176,Offers!$AG$7:$AG$3000,ROUNDUP(COUNTIFS(Offers!$B$7:$B$3000,$B176,Offers!$C$7:$C$3000,$C176,Offers!$AI$7:$AI$3000,"yes")/2,0))+SUMIFS(Offers!$I$7:$I$3000,Offers!$B$7:$B$3000,$B176,Offers!$C$7:$C$3000,$C176,Offers!$AG$7:$AG$3000,INT(COUNTIFS(Offers!$B$7:$B$3000,$B176,Offers!$C$7:$C$3000,$C176,Offers!$AI$7:$AI$3000,"yes")/2)+1))/2)</f>
        <v/>
      </c>
      <c r="K176" s="100" t="str">
        <f aca="false">IF(COUNTIFS(Offers!$B$7:$B$3000,$B176,Offers!$C$7:$C$3000,$C176,Offers!$AI$7:$AI$3000,"yes")=0,"",SUMIFS(Offers!$I$7:$I$3000,Offers!$B$7:$B$3000,$B176,Offers!$C$7:$C$3000,$C176,Offers!$AG$7:$AG$3000,COUNTIFS(Offers!$B$7:$B$3000,$B176,Offers!$C$7:$C$3000,$C176,Offers!$AI$7:$AI$3000,"yes")))</f>
        <v/>
      </c>
      <c r="L176" s="96"/>
      <c r="M176" s="96"/>
      <c r="N176" s="96"/>
      <c r="O176" s="110" t="str">
        <f aca="false">IF(Compare!$E$5="Local prices",IF(F176="","",IF(Compare!$C$5="Minimum",F176,IF(Compare!$C$5="Maximum",H176,G176))),IF(I176="","",IF(Compare!$C$5="Minimum",I176,IF(Compare!$C$5="Maximum",K176,J176))))</f>
        <v/>
      </c>
    </row>
    <row r="177" customFormat="false" ht="39" hidden="false" customHeight="true" outlineLevel="0" collapsed="false">
      <c r="A177" s="3"/>
      <c r="B177" s="31" t="s">
        <v>59</v>
      </c>
      <c r="C177" s="91" t="s">
        <v>15</v>
      </c>
      <c r="D177" s="91" t="s">
        <v>244</v>
      </c>
      <c r="E177" s="91" t="s">
        <v>491</v>
      </c>
      <c r="F177" s="92" t="n">
        <f aca="false">IF(COUNTIFS(Offers!$B$7:$B$3000,$B177,Offers!$C$7:$C$3000,$C177,Offers!$AH$7:$AH$3000,"yes")=0,"",SUMIFS(Offers!$H$7:$H$3000,Offers!$B$7:$B$3000,$B177,Offers!$C$7:$C$3000,$C177,Offers!$AF$7:$AF$3000,1))</f>
        <v>3.23</v>
      </c>
      <c r="G177" s="93" t="n">
        <f aca="false">IF(COUNTIFS(Offers!$B$7:$B$3000,$B177,Offers!$C$7:$C$3000,$C177,Offers!$AH$7:$AH$3000,"yes")=0,"",(SUMIFS(Offers!$H$7:$H$3000,Offers!$B$7:$B$3000,$B177,Offers!$C$7:$C$3000,$C177,Offers!$AF$7:$AF$3000,ROUNDUP(COUNTIFS(Offers!$B$7:$B$3000,$B177,Offers!$C$7:$C$3000,$C177,Offers!$AH$7:$AH$3000,"yes")/2,0))+SUMIFS(Offers!$H$7:$H$3000,Offers!$B$7:$B$3000,$B177,Offers!$C$7:$C$3000,$C177,Offers!$AF$7:$AF$3000,INT(COUNTIFS(Offers!$B$7:$B$3000,$B177,Offers!$C$7:$C$3000,$C177,Offers!$AH$7:$AH$3000,"yes")/2)+1))/2)</f>
        <v>4.13</v>
      </c>
      <c r="H177" s="92" t="n">
        <f aca="false">IF(COUNTIFS(Offers!$B$7:$B$3000,$B177,Offers!$C$7:$C$3000,$C177,Offers!$AH$7:$AH$3000,"yes")=0,"",SUMIFS(Offers!$H$7:$H$3000,Offers!$B$7:$B$3000,$B177,Offers!$C$7:$C$3000,$C177,Offers!$AF$7:$AF$3000,COUNTIFS(Offers!$B$7:$B$3000,$B177,Offers!$C$7:$C$3000,$C177,Offers!$AH$7:$AH$3000,"yes")))</f>
        <v>14.86</v>
      </c>
      <c r="I177" s="94" t="n">
        <f aca="false">IF(COUNTIFS(Offers!$B$7:$B$3000,$B177,Offers!$C$7:$C$3000,$C177,Offers!$AI$7:$AI$3000,"yes")=0,"",SUMIFS(Offers!$I$7:$I$3000,Offers!$B$7:$B$3000,$B177,Offers!$C$7:$C$3000,$C177,Offers!$AG$7:$AG$3000,1))</f>
        <v>3.23</v>
      </c>
      <c r="J177" s="95" t="n">
        <f aca="false">IF(COUNTIFS(Offers!$B$7:$B$3000,$B177,Offers!$C$7:$C$3000,$C177,Offers!$AI$7:$AI$3000,"yes")=0,"",(SUMIFS(Offers!$I$7:$I$3000,Offers!$B$7:$B$3000,$B177,Offers!$C$7:$C$3000,$C177,Offers!$AG$7:$AG$3000,ROUNDUP(COUNTIFS(Offers!$B$7:$B$3000,$B177,Offers!$C$7:$C$3000,$C177,Offers!$AI$7:$AI$3000,"yes")/2,0))+SUMIFS(Offers!$I$7:$I$3000,Offers!$B$7:$B$3000,$B177,Offers!$C$7:$C$3000,$C177,Offers!$AG$7:$AG$3000,INT(COUNTIFS(Offers!$B$7:$B$3000,$B177,Offers!$C$7:$C$3000,$C177,Offers!$AI$7:$AI$3000,"yes")/2)+1))/2)</f>
        <v>4.13</v>
      </c>
      <c r="K177" s="94" t="n">
        <f aca="false">IF(COUNTIFS(Offers!$B$7:$B$3000,$B177,Offers!$C$7:$C$3000,$C177,Offers!$AI$7:$AI$3000,"yes")=0,"",SUMIFS(Offers!$I$7:$I$3000,Offers!$B$7:$B$3000,$B177,Offers!$C$7:$C$3000,$C177,Offers!$AG$7:$AG$3000,COUNTIFS(Offers!$B$7:$B$3000,$B177,Offers!$C$7:$C$3000,$C177,Offers!$AI$7:$AI$3000,"yes")))</f>
        <v>14.86</v>
      </c>
      <c r="L177" s="96"/>
      <c r="M177" s="96"/>
      <c r="N177" s="96"/>
      <c r="O177" s="97" t="n">
        <f aca="false">IF(Compare!$E$5="Local prices",IF(F177="","",IF(Compare!$C$5="Minimum",F177,IF(Compare!$C$5="Maximum",H177,G177))),IF(I177="","",IF(Compare!$C$5="Minimum",I177,IF(Compare!$C$5="Maximum",K177,J177))))</f>
        <v>4.13</v>
      </c>
    </row>
    <row r="178" customFormat="false" ht="39" hidden="false" customHeight="true" outlineLevel="0" collapsed="false">
      <c r="A178" s="3"/>
      <c r="B178" s="36" t="s">
        <v>59</v>
      </c>
      <c r="C178" s="98" t="s">
        <v>16</v>
      </c>
      <c r="D178" s="98" t="s">
        <v>244</v>
      </c>
      <c r="E178" s="98" t="s">
        <v>491</v>
      </c>
      <c r="F178" s="99" t="n">
        <f aca="false">IF(COUNTIFS(Offers!$B$7:$B$3000,$B178,Offers!$C$7:$C$3000,$C178,Offers!$AH$7:$AH$3000,"yes")=0,"",SUMIFS(Offers!$H$7:$H$3000,Offers!$B$7:$B$3000,$B178,Offers!$C$7:$C$3000,$C178,Offers!$AF$7:$AF$3000,1))</f>
        <v>3.23</v>
      </c>
      <c r="G178" s="93" t="n">
        <f aca="false">IF(COUNTIFS(Offers!$B$7:$B$3000,$B178,Offers!$C$7:$C$3000,$C178,Offers!$AH$7:$AH$3000,"yes")=0,"",(SUMIFS(Offers!$H$7:$H$3000,Offers!$B$7:$B$3000,$B178,Offers!$C$7:$C$3000,$C178,Offers!$AF$7:$AF$3000,ROUNDUP(COUNTIFS(Offers!$B$7:$B$3000,$B178,Offers!$C$7:$C$3000,$C178,Offers!$AH$7:$AH$3000,"yes")/2,0))+SUMIFS(Offers!$H$7:$H$3000,Offers!$B$7:$B$3000,$B178,Offers!$C$7:$C$3000,$C178,Offers!$AF$7:$AF$3000,INT(COUNTIFS(Offers!$B$7:$B$3000,$B178,Offers!$C$7:$C$3000,$C178,Offers!$AH$7:$AH$3000,"yes")/2)+1))/2)</f>
        <v>3.75</v>
      </c>
      <c r="H178" s="99" t="n">
        <f aca="false">IF(COUNTIFS(Offers!$B$7:$B$3000,$B178,Offers!$C$7:$C$3000,$C178,Offers!$AH$7:$AH$3000,"yes")=0,"",SUMIFS(Offers!$H$7:$H$3000,Offers!$B$7:$B$3000,$B178,Offers!$C$7:$C$3000,$C178,Offers!$AF$7:$AF$3000,COUNTIFS(Offers!$B$7:$B$3000,$B178,Offers!$C$7:$C$3000,$C178,Offers!$AH$7:$AH$3000,"yes")))</f>
        <v>5.6</v>
      </c>
      <c r="I178" s="100" t="n">
        <f aca="false">IF(COUNTIFS(Offers!$B$7:$B$3000,$B178,Offers!$C$7:$C$3000,$C178,Offers!$AI$7:$AI$3000,"yes")=0,"",SUMIFS(Offers!$I$7:$I$3000,Offers!$B$7:$B$3000,$B178,Offers!$C$7:$C$3000,$C178,Offers!$AG$7:$AG$3000,1))</f>
        <v>3.23</v>
      </c>
      <c r="J178" s="95" t="n">
        <f aca="false">IF(COUNTIFS(Offers!$B$7:$B$3000,$B178,Offers!$C$7:$C$3000,$C178,Offers!$AI$7:$AI$3000,"yes")=0,"",(SUMIFS(Offers!$I$7:$I$3000,Offers!$B$7:$B$3000,$B178,Offers!$C$7:$C$3000,$C178,Offers!$AG$7:$AG$3000,ROUNDUP(COUNTIFS(Offers!$B$7:$B$3000,$B178,Offers!$C$7:$C$3000,$C178,Offers!$AI$7:$AI$3000,"yes")/2,0))+SUMIFS(Offers!$I$7:$I$3000,Offers!$B$7:$B$3000,$B178,Offers!$C$7:$C$3000,$C178,Offers!$AG$7:$AG$3000,INT(COUNTIFS(Offers!$B$7:$B$3000,$B178,Offers!$C$7:$C$3000,$C178,Offers!$AI$7:$AI$3000,"yes")/2)+1))/2)</f>
        <v>3.75</v>
      </c>
      <c r="K178" s="100" t="n">
        <f aca="false">IF(COUNTIFS(Offers!$B$7:$B$3000,$B178,Offers!$C$7:$C$3000,$C178,Offers!$AI$7:$AI$3000,"yes")=0,"",SUMIFS(Offers!$I$7:$I$3000,Offers!$B$7:$B$3000,$B178,Offers!$C$7:$C$3000,$C178,Offers!$AG$7:$AG$3000,COUNTIFS(Offers!$B$7:$B$3000,$B178,Offers!$C$7:$C$3000,$C178,Offers!$AI$7:$AI$3000,"yes")))</f>
        <v>5.6</v>
      </c>
      <c r="L178" s="96"/>
      <c r="M178" s="96"/>
      <c r="N178" s="96"/>
      <c r="O178" s="101" t="n">
        <f aca="false">IF(Compare!$E$5="Local prices",IF(F178="","",IF(Compare!$C$5="Minimum",F178,IF(Compare!$C$5="Maximum",H178,G178))),IF(I178="","",IF(Compare!$C$5="Minimum",I178,IF(Compare!$C$5="Maximum",K178,J178))))</f>
        <v>3.75</v>
      </c>
    </row>
    <row r="179" customFormat="false" ht="39" hidden="false" customHeight="true" outlineLevel="0" collapsed="false">
      <c r="A179" s="3"/>
      <c r="B179" s="31" t="s">
        <v>59</v>
      </c>
      <c r="C179" s="91" t="s">
        <v>17</v>
      </c>
      <c r="D179" s="91" t="s">
        <v>333</v>
      </c>
      <c r="E179" s="91" t="s">
        <v>491</v>
      </c>
      <c r="F179" s="92" t="n">
        <f aca="false">IF(COUNTIFS(Offers!$B$7:$B$3000,$B179,Offers!$C$7:$C$3000,$C179,Offers!$AH$7:$AH$3000,"yes")=0,"",SUMIFS(Offers!$H$7:$H$3000,Offers!$B$7:$B$3000,$B179,Offers!$C$7:$C$3000,$C179,Offers!$AF$7:$AF$3000,1))</f>
        <v>57</v>
      </c>
      <c r="G179" s="93" t="n">
        <f aca="false">IF(COUNTIFS(Offers!$B$7:$B$3000,$B179,Offers!$C$7:$C$3000,$C179,Offers!$AH$7:$AH$3000,"yes")=0,"",(SUMIFS(Offers!$H$7:$H$3000,Offers!$B$7:$B$3000,$B179,Offers!$C$7:$C$3000,$C179,Offers!$AF$7:$AF$3000,ROUNDUP(COUNTIFS(Offers!$B$7:$B$3000,$B179,Offers!$C$7:$C$3000,$C179,Offers!$AH$7:$AH$3000,"yes")/2,0))+SUMIFS(Offers!$H$7:$H$3000,Offers!$B$7:$B$3000,$B179,Offers!$C$7:$C$3000,$C179,Offers!$AF$7:$AF$3000,INT(COUNTIFS(Offers!$B$7:$B$3000,$B179,Offers!$C$7:$C$3000,$C179,Offers!$AH$7:$AH$3000,"yes")/2)+1))/2)</f>
        <v>95.655</v>
      </c>
      <c r="H179" s="92" t="n">
        <f aca="false">IF(COUNTIFS(Offers!$B$7:$B$3000,$B179,Offers!$C$7:$C$3000,$C179,Offers!$AH$7:$AH$3000,"yes")=0,"",SUMIFS(Offers!$H$7:$H$3000,Offers!$B$7:$B$3000,$B179,Offers!$C$7:$C$3000,$C179,Offers!$AF$7:$AF$3000,COUNTIFS(Offers!$B$7:$B$3000,$B179,Offers!$C$7:$C$3000,$C179,Offers!$AH$7:$AH$3000,"yes")))</f>
        <v>133.88</v>
      </c>
      <c r="I179" s="94" t="n">
        <f aca="false">IF(COUNTIFS(Offers!$B$7:$B$3000,$B179,Offers!$C$7:$C$3000,$C179,Offers!$AI$7:$AI$3000,"yes")=0,"",SUMIFS(Offers!$I$7:$I$3000,Offers!$B$7:$B$3000,$B179,Offers!$C$7:$C$3000,$C179,Offers!$AG$7:$AG$3000,1))</f>
        <v>2.333807</v>
      </c>
      <c r="J179" s="95" t="n">
        <f aca="false">IF(COUNTIFS(Offers!$B$7:$B$3000,$B179,Offers!$C$7:$C$3000,$C179,Offers!$AI$7:$AI$3000,"yes")=0,"",(SUMIFS(Offers!$I$7:$I$3000,Offers!$B$7:$B$3000,$B179,Offers!$C$7:$C$3000,$C179,Offers!$AG$7:$AG$3000,ROUNDUP(COUNTIFS(Offers!$B$7:$B$3000,$B179,Offers!$C$7:$C$3000,$C179,Offers!$AI$7:$AI$3000,"yes")/2,0))+SUMIFS(Offers!$I$7:$I$3000,Offers!$B$7:$B$3000,$B179,Offers!$C$7:$C$3000,$C179,Offers!$AG$7:$AG$3000,INT(COUNTIFS(Offers!$B$7:$B$3000,$B179,Offers!$C$7:$C$3000,$C179,Offers!$AI$7:$AI$3000,"yes")/2)+1))/2)</f>
        <v>3.9164965</v>
      </c>
      <c r="K179" s="94" t="n">
        <f aca="false">IF(COUNTIFS(Offers!$B$7:$B$3000,$B179,Offers!$C$7:$C$3000,$C179,Offers!$AI$7:$AI$3000,"yes")=0,"",SUMIFS(Offers!$I$7:$I$3000,Offers!$B$7:$B$3000,$B179,Offers!$C$7:$C$3000,$C179,Offers!$AG$7:$AG$3000,COUNTIFS(Offers!$B$7:$B$3000,$B179,Offers!$C$7:$C$3000,$C179,Offers!$AI$7:$AI$3000,"yes")))</f>
        <v>5.48158</v>
      </c>
      <c r="L179" s="96"/>
      <c r="M179" s="96"/>
      <c r="N179" s="96"/>
      <c r="O179" s="97" t="n">
        <f aca="false">IF(Compare!$E$5="Local prices",IF(F179="","",IF(Compare!$C$5="Minimum",F179,IF(Compare!$C$5="Maximum",H179,G179))),IF(I179="","",IF(Compare!$C$5="Minimum",I179,IF(Compare!$C$5="Maximum",K179,J179))))</f>
        <v>3.9164965</v>
      </c>
    </row>
    <row r="180" customFormat="false" ht="39" hidden="false" customHeight="true" outlineLevel="0" collapsed="false">
      <c r="A180" s="3"/>
      <c r="B180" s="36" t="s">
        <v>59</v>
      </c>
      <c r="C180" s="98" t="s">
        <v>18</v>
      </c>
      <c r="D180" s="98" t="s">
        <v>244</v>
      </c>
      <c r="E180" s="98" t="s">
        <v>491</v>
      </c>
      <c r="F180" s="99" t="str">
        <f aca="false">IF(COUNTIFS(Offers!$B$7:$B$3000,$B180,Offers!$C$7:$C$3000,$C180,Offers!$AH$7:$AH$3000,"yes")=0,"",SUMIFS(Offers!$H$7:$H$3000,Offers!$B$7:$B$3000,$B180,Offers!$C$7:$C$3000,$C180,Offers!$AF$7:$AF$3000,1))</f>
        <v/>
      </c>
      <c r="G180" s="93" t="str">
        <f aca="false">IF(COUNTIFS(Offers!$B$7:$B$3000,$B180,Offers!$C$7:$C$3000,$C180,Offers!$AH$7:$AH$3000,"yes")=0,"",(SUMIFS(Offers!$H$7:$H$3000,Offers!$B$7:$B$3000,$B180,Offers!$C$7:$C$3000,$C180,Offers!$AF$7:$AF$3000,ROUNDUP(COUNTIFS(Offers!$B$7:$B$3000,$B180,Offers!$C$7:$C$3000,$C180,Offers!$AH$7:$AH$3000,"yes")/2,0))+SUMIFS(Offers!$H$7:$H$3000,Offers!$B$7:$B$3000,$B180,Offers!$C$7:$C$3000,$C180,Offers!$AF$7:$AF$3000,INT(COUNTIFS(Offers!$B$7:$B$3000,$B180,Offers!$C$7:$C$3000,$C180,Offers!$AH$7:$AH$3000,"yes")/2)+1))/2)</f>
        <v/>
      </c>
      <c r="H180" s="99" t="str">
        <f aca="false">IF(COUNTIFS(Offers!$B$7:$B$3000,$B180,Offers!$C$7:$C$3000,$C180,Offers!$AH$7:$AH$3000,"yes")=0,"",SUMIFS(Offers!$H$7:$H$3000,Offers!$B$7:$B$3000,$B180,Offers!$C$7:$C$3000,$C180,Offers!$AF$7:$AF$3000,COUNTIFS(Offers!$B$7:$B$3000,$B180,Offers!$C$7:$C$3000,$C180,Offers!$AH$7:$AH$3000,"yes")))</f>
        <v/>
      </c>
      <c r="I180" s="100" t="str">
        <f aca="false">IF(COUNTIFS(Offers!$B$7:$B$3000,$B180,Offers!$C$7:$C$3000,$C180,Offers!$AI$7:$AI$3000,"yes")=0,"",SUMIFS(Offers!$I$7:$I$3000,Offers!$B$7:$B$3000,$B180,Offers!$C$7:$C$3000,$C180,Offers!$AG$7:$AG$3000,1))</f>
        <v/>
      </c>
      <c r="J180" s="95" t="str">
        <f aca="false">IF(COUNTIFS(Offers!$B$7:$B$3000,$B180,Offers!$C$7:$C$3000,$C180,Offers!$AI$7:$AI$3000,"yes")=0,"",(SUMIFS(Offers!$I$7:$I$3000,Offers!$B$7:$B$3000,$B180,Offers!$C$7:$C$3000,$C180,Offers!$AG$7:$AG$3000,ROUNDUP(COUNTIFS(Offers!$B$7:$B$3000,$B180,Offers!$C$7:$C$3000,$C180,Offers!$AI$7:$AI$3000,"yes")/2,0))+SUMIFS(Offers!$I$7:$I$3000,Offers!$B$7:$B$3000,$B180,Offers!$C$7:$C$3000,$C180,Offers!$AG$7:$AG$3000,INT(COUNTIFS(Offers!$B$7:$B$3000,$B180,Offers!$C$7:$C$3000,$C180,Offers!$AI$7:$AI$3000,"yes")/2)+1))/2)</f>
        <v/>
      </c>
      <c r="K180" s="100" t="str">
        <f aca="false">IF(COUNTIFS(Offers!$B$7:$B$3000,$B180,Offers!$C$7:$C$3000,$C180,Offers!$AI$7:$AI$3000,"yes")=0,"",SUMIFS(Offers!$I$7:$I$3000,Offers!$B$7:$B$3000,$B180,Offers!$C$7:$C$3000,$C180,Offers!$AG$7:$AG$3000,COUNTIFS(Offers!$B$7:$B$3000,$B180,Offers!$C$7:$C$3000,$C180,Offers!$AI$7:$AI$3000,"yes")))</f>
        <v/>
      </c>
      <c r="L180" s="96"/>
      <c r="M180" s="96"/>
      <c r="N180" s="96"/>
      <c r="O180" s="110" t="str">
        <f aca="false">IF(Compare!$E$5="Local prices",IF(F180="","",IF(Compare!$C$5="Minimum",F180,IF(Compare!$C$5="Maximum",H180,G180))),IF(I180="","",IF(Compare!$C$5="Minimum",I180,IF(Compare!$C$5="Maximum",K180,J180))))</f>
        <v/>
      </c>
    </row>
    <row r="181" customFormat="false" ht="39" hidden="false" customHeight="true" outlineLevel="0" collapsed="false">
      <c r="A181" s="3"/>
      <c r="B181" s="102" t="s">
        <v>60</v>
      </c>
      <c r="C181" s="103" t="s">
        <v>13</v>
      </c>
      <c r="D181" s="103" t="s">
        <v>490</v>
      </c>
      <c r="E181" s="103" t="s">
        <v>491</v>
      </c>
      <c r="F181" s="104" t="str">
        <f aca="false">IF(COUNTIFS(Offers!$B$7:$B$3000,$B181,Offers!$C$7:$C$3000,$C181,Offers!$AH$7:$AH$3000,"yes")=0,"",SUMIFS(Offers!$H$7:$H$3000,Offers!$B$7:$B$3000,$B181,Offers!$C$7:$C$3000,$C181,Offers!$AF$7:$AF$3000,1))</f>
        <v/>
      </c>
      <c r="G181" s="105" t="str">
        <f aca="false">IF(COUNTIFS(Offers!$B$7:$B$3000,$B181,Offers!$C$7:$C$3000,$C181,Offers!$AH$7:$AH$3000,"yes")=0,"",(SUMIFS(Offers!$H$7:$H$3000,Offers!$B$7:$B$3000,$B181,Offers!$C$7:$C$3000,$C181,Offers!$AF$7:$AF$3000,ROUNDUP(COUNTIFS(Offers!$B$7:$B$3000,$B181,Offers!$C$7:$C$3000,$C181,Offers!$AH$7:$AH$3000,"yes")/2,0))+SUMIFS(Offers!$H$7:$H$3000,Offers!$B$7:$B$3000,$B181,Offers!$C$7:$C$3000,$C181,Offers!$AF$7:$AF$3000,INT(COUNTIFS(Offers!$B$7:$B$3000,$B181,Offers!$C$7:$C$3000,$C181,Offers!$AH$7:$AH$3000,"yes")/2)+1))/2)</f>
        <v/>
      </c>
      <c r="H181" s="104" t="str">
        <f aca="false">IF(COUNTIFS(Offers!$B$7:$B$3000,$B181,Offers!$C$7:$C$3000,$C181,Offers!$AH$7:$AH$3000,"yes")=0,"",SUMIFS(Offers!$H$7:$H$3000,Offers!$B$7:$B$3000,$B181,Offers!$C$7:$C$3000,$C181,Offers!$AF$7:$AF$3000,COUNTIFS(Offers!$B$7:$B$3000,$B181,Offers!$C$7:$C$3000,$C181,Offers!$AH$7:$AH$3000,"yes")))</f>
        <v/>
      </c>
      <c r="I181" s="106" t="str">
        <f aca="false">IF(COUNTIFS(Offers!$B$7:$B$3000,$B181,Offers!$C$7:$C$3000,$C181,Offers!$AI$7:$AI$3000,"yes")=0,"",SUMIFS(Offers!$I$7:$I$3000,Offers!$B$7:$B$3000,$B181,Offers!$C$7:$C$3000,$C181,Offers!$AG$7:$AG$3000,1))</f>
        <v/>
      </c>
      <c r="J181" s="107" t="str">
        <f aca="false">IF(COUNTIFS(Offers!$B$7:$B$3000,$B181,Offers!$C$7:$C$3000,$C181,Offers!$AI$7:$AI$3000,"yes")=0,"",(SUMIFS(Offers!$I$7:$I$3000,Offers!$B$7:$B$3000,$B181,Offers!$C$7:$C$3000,$C181,Offers!$AG$7:$AG$3000,ROUNDUP(COUNTIFS(Offers!$B$7:$B$3000,$B181,Offers!$C$7:$C$3000,$C181,Offers!$AI$7:$AI$3000,"yes")/2,0))+SUMIFS(Offers!$I$7:$I$3000,Offers!$B$7:$B$3000,$B181,Offers!$C$7:$C$3000,$C181,Offers!$AG$7:$AG$3000,INT(COUNTIFS(Offers!$B$7:$B$3000,$B181,Offers!$C$7:$C$3000,$C181,Offers!$AI$7:$AI$3000,"yes")/2)+1))/2)</f>
        <v/>
      </c>
      <c r="K181" s="106" t="str">
        <f aca="false">IF(COUNTIFS(Offers!$B$7:$B$3000,$B181,Offers!$C$7:$C$3000,$C181,Offers!$AI$7:$AI$3000,"yes")=0,"",SUMIFS(Offers!$I$7:$I$3000,Offers!$B$7:$B$3000,$B181,Offers!$C$7:$C$3000,$C181,Offers!$AG$7:$AG$3000,COUNTIFS(Offers!$B$7:$B$3000,$B181,Offers!$C$7:$C$3000,$C181,Offers!$AI$7:$AI$3000,"yes")))</f>
        <v/>
      </c>
      <c r="L181" s="108"/>
      <c r="M181" s="108"/>
      <c r="N181" s="108"/>
      <c r="O181" s="109" t="str">
        <f aca="false">IF(Compare!$E$5="Local prices",IF(F181="","",IF(Compare!$C$5="Minimum",F181,IF(Compare!$C$5="Maximum",H181,G181))),IF(I181="","",IF(Compare!$C$5="Minimum",I181,IF(Compare!$C$5="Maximum",K181,J181))))</f>
        <v/>
      </c>
    </row>
    <row r="182" customFormat="false" ht="39" hidden="false" customHeight="true" outlineLevel="0" collapsed="false">
      <c r="A182" s="3"/>
      <c r="B182" s="36" t="s">
        <v>60</v>
      </c>
      <c r="C182" s="98" t="s">
        <v>14</v>
      </c>
      <c r="D182" s="98" t="s">
        <v>374</v>
      </c>
      <c r="E182" s="98" t="s">
        <v>491</v>
      </c>
      <c r="F182" s="99" t="str">
        <f aca="false">IF(COUNTIFS(Offers!$B$7:$B$3000,$B182,Offers!$C$7:$C$3000,$C182,Offers!$AH$7:$AH$3000,"yes")=0,"",SUMIFS(Offers!$H$7:$H$3000,Offers!$B$7:$B$3000,$B182,Offers!$C$7:$C$3000,$C182,Offers!$AF$7:$AF$3000,1))</f>
        <v/>
      </c>
      <c r="G182" s="93" t="str">
        <f aca="false">IF(COUNTIFS(Offers!$B$7:$B$3000,$B182,Offers!$C$7:$C$3000,$C182,Offers!$AH$7:$AH$3000,"yes")=0,"",(SUMIFS(Offers!$H$7:$H$3000,Offers!$B$7:$B$3000,$B182,Offers!$C$7:$C$3000,$C182,Offers!$AF$7:$AF$3000,ROUNDUP(COUNTIFS(Offers!$B$7:$B$3000,$B182,Offers!$C$7:$C$3000,$C182,Offers!$AH$7:$AH$3000,"yes")/2,0))+SUMIFS(Offers!$H$7:$H$3000,Offers!$B$7:$B$3000,$B182,Offers!$C$7:$C$3000,$C182,Offers!$AF$7:$AF$3000,INT(COUNTIFS(Offers!$B$7:$B$3000,$B182,Offers!$C$7:$C$3000,$C182,Offers!$AH$7:$AH$3000,"yes")/2)+1))/2)</f>
        <v/>
      </c>
      <c r="H182" s="99" t="str">
        <f aca="false">IF(COUNTIFS(Offers!$B$7:$B$3000,$B182,Offers!$C$7:$C$3000,$C182,Offers!$AH$7:$AH$3000,"yes")=0,"",SUMIFS(Offers!$H$7:$H$3000,Offers!$B$7:$B$3000,$B182,Offers!$C$7:$C$3000,$C182,Offers!$AF$7:$AF$3000,COUNTIFS(Offers!$B$7:$B$3000,$B182,Offers!$C$7:$C$3000,$C182,Offers!$AH$7:$AH$3000,"yes")))</f>
        <v/>
      </c>
      <c r="I182" s="100" t="str">
        <f aca="false">IF(COUNTIFS(Offers!$B$7:$B$3000,$B182,Offers!$C$7:$C$3000,$C182,Offers!$AI$7:$AI$3000,"yes")=0,"",SUMIFS(Offers!$I$7:$I$3000,Offers!$B$7:$B$3000,$B182,Offers!$C$7:$C$3000,$C182,Offers!$AG$7:$AG$3000,1))</f>
        <v/>
      </c>
      <c r="J182" s="95" t="str">
        <f aca="false">IF(COUNTIFS(Offers!$B$7:$B$3000,$B182,Offers!$C$7:$C$3000,$C182,Offers!$AI$7:$AI$3000,"yes")=0,"",(SUMIFS(Offers!$I$7:$I$3000,Offers!$B$7:$B$3000,$B182,Offers!$C$7:$C$3000,$C182,Offers!$AG$7:$AG$3000,ROUNDUP(COUNTIFS(Offers!$B$7:$B$3000,$B182,Offers!$C$7:$C$3000,$C182,Offers!$AI$7:$AI$3000,"yes")/2,0))+SUMIFS(Offers!$I$7:$I$3000,Offers!$B$7:$B$3000,$B182,Offers!$C$7:$C$3000,$C182,Offers!$AG$7:$AG$3000,INT(COUNTIFS(Offers!$B$7:$B$3000,$B182,Offers!$C$7:$C$3000,$C182,Offers!$AI$7:$AI$3000,"yes")/2)+1))/2)</f>
        <v/>
      </c>
      <c r="K182" s="100" t="str">
        <f aca="false">IF(COUNTIFS(Offers!$B$7:$B$3000,$B182,Offers!$C$7:$C$3000,$C182,Offers!$AI$7:$AI$3000,"yes")=0,"",SUMIFS(Offers!$I$7:$I$3000,Offers!$B$7:$B$3000,$B182,Offers!$C$7:$C$3000,$C182,Offers!$AG$7:$AG$3000,COUNTIFS(Offers!$B$7:$B$3000,$B182,Offers!$C$7:$C$3000,$C182,Offers!$AI$7:$AI$3000,"yes")))</f>
        <v/>
      </c>
      <c r="L182" s="96"/>
      <c r="M182" s="96"/>
      <c r="N182" s="96"/>
      <c r="O182" s="110" t="str">
        <f aca="false">IF(Compare!$E$5="Local prices",IF(F182="","",IF(Compare!$C$5="Minimum",F182,IF(Compare!$C$5="Maximum",H182,G182))),IF(I182="","",IF(Compare!$C$5="Minimum",I182,IF(Compare!$C$5="Maximum",K182,J182))))</f>
        <v/>
      </c>
    </row>
    <row r="183" customFormat="false" ht="39" hidden="false" customHeight="true" outlineLevel="0" collapsed="false">
      <c r="A183" s="3"/>
      <c r="B183" s="31" t="s">
        <v>60</v>
      </c>
      <c r="C183" s="91" t="s">
        <v>15</v>
      </c>
      <c r="D183" s="91" t="s">
        <v>244</v>
      </c>
      <c r="E183" s="91" t="s">
        <v>491</v>
      </c>
      <c r="F183" s="92" t="n">
        <f aca="false">IF(COUNTIFS(Offers!$B$7:$B$3000,$B183,Offers!$C$7:$C$3000,$C183,Offers!$AH$7:$AH$3000,"yes")=0,"",SUMIFS(Offers!$H$7:$H$3000,Offers!$B$7:$B$3000,$B183,Offers!$C$7:$C$3000,$C183,Offers!$AF$7:$AF$3000,1))</f>
        <v>20.95</v>
      </c>
      <c r="G183" s="93" t="n">
        <f aca="false">IF(COUNTIFS(Offers!$B$7:$B$3000,$B183,Offers!$C$7:$C$3000,$C183,Offers!$AH$7:$AH$3000,"yes")=0,"",(SUMIFS(Offers!$H$7:$H$3000,Offers!$B$7:$B$3000,$B183,Offers!$C$7:$C$3000,$C183,Offers!$AF$7:$AF$3000,ROUNDUP(COUNTIFS(Offers!$B$7:$B$3000,$B183,Offers!$C$7:$C$3000,$C183,Offers!$AH$7:$AH$3000,"yes")/2,0))+SUMIFS(Offers!$H$7:$H$3000,Offers!$B$7:$B$3000,$B183,Offers!$C$7:$C$3000,$C183,Offers!$AF$7:$AF$3000,INT(COUNTIFS(Offers!$B$7:$B$3000,$B183,Offers!$C$7:$C$3000,$C183,Offers!$AH$7:$AH$3000,"yes")/2)+1))/2)</f>
        <v>25.53</v>
      </c>
      <c r="H183" s="92" t="n">
        <f aca="false">IF(COUNTIFS(Offers!$B$7:$B$3000,$B183,Offers!$C$7:$C$3000,$C183,Offers!$AH$7:$AH$3000,"yes")=0,"",SUMIFS(Offers!$H$7:$H$3000,Offers!$B$7:$B$3000,$B183,Offers!$C$7:$C$3000,$C183,Offers!$AF$7:$AF$3000,COUNTIFS(Offers!$B$7:$B$3000,$B183,Offers!$C$7:$C$3000,$C183,Offers!$AH$7:$AH$3000,"yes")))</f>
        <v>51.09</v>
      </c>
      <c r="I183" s="94" t="n">
        <f aca="false">IF(COUNTIFS(Offers!$B$7:$B$3000,$B183,Offers!$C$7:$C$3000,$C183,Offers!$AI$7:$AI$3000,"yes")=0,"",SUMIFS(Offers!$I$7:$I$3000,Offers!$B$7:$B$3000,$B183,Offers!$C$7:$C$3000,$C183,Offers!$AG$7:$AG$3000,1))</f>
        <v>20.95</v>
      </c>
      <c r="J183" s="95" t="n">
        <f aca="false">IF(COUNTIFS(Offers!$B$7:$B$3000,$B183,Offers!$C$7:$C$3000,$C183,Offers!$AI$7:$AI$3000,"yes")=0,"",(SUMIFS(Offers!$I$7:$I$3000,Offers!$B$7:$B$3000,$B183,Offers!$C$7:$C$3000,$C183,Offers!$AG$7:$AG$3000,ROUNDUP(COUNTIFS(Offers!$B$7:$B$3000,$B183,Offers!$C$7:$C$3000,$C183,Offers!$AI$7:$AI$3000,"yes")/2,0))+SUMIFS(Offers!$I$7:$I$3000,Offers!$B$7:$B$3000,$B183,Offers!$C$7:$C$3000,$C183,Offers!$AG$7:$AG$3000,INT(COUNTIFS(Offers!$B$7:$B$3000,$B183,Offers!$C$7:$C$3000,$C183,Offers!$AI$7:$AI$3000,"yes")/2)+1))/2)</f>
        <v>25.53</v>
      </c>
      <c r="K183" s="94" t="n">
        <f aca="false">IF(COUNTIFS(Offers!$B$7:$B$3000,$B183,Offers!$C$7:$C$3000,$C183,Offers!$AI$7:$AI$3000,"yes")=0,"",SUMIFS(Offers!$I$7:$I$3000,Offers!$B$7:$B$3000,$B183,Offers!$C$7:$C$3000,$C183,Offers!$AG$7:$AG$3000,COUNTIFS(Offers!$B$7:$B$3000,$B183,Offers!$C$7:$C$3000,$C183,Offers!$AI$7:$AI$3000,"yes")))</f>
        <v>51.09</v>
      </c>
      <c r="L183" s="96"/>
      <c r="M183" s="96"/>
      <c r="N183" s="96"/>
      <c r="O183" s="97" t="n">
        <f aca="false">IF(Compare!$E$5="Local prices",IF(F183="","",IF(Compare!$C$5="Minimum",F183,IF(Compare!$C$5="Maximum",H183,G183))),IF(I183="","",IF(Compare!$C$5="Minimum",I183,IF(Compare!$C$5="Maximum",K183,J183))))</f>
        <v>25.53</v>
      </c>
    </row>
    <row r="184" customFormat="false" ht="39" hidden="false" customHeight="true" outlineLevel="0" collapsed="false">
      <c r="A184" s="3"/>
      <c r="B184" s="36" t="s">
        <v>60</v>
      </c>
      <c r="C184" s="98" t="s">
        <v>16</v>
      </c>
      <c r="D184" s="98" t="s">
        <v>244</v>
      </c>
      <c r="E184" s="98" t="s">
        <v>491</v>
      </c>
      <c r="F184" s="99" t="n">
        <f aca="false">IF(COUNTIFS(Offers!$B$7:$B$3000,$B184,Offers!$C$7:$C$3000,$C184,Offers!$AH$7:$AH$3000,"yes")=0,"",SUMIFS(Offers!$H$7:$H$3000,Offers!$B$7:$B$3000,$B184,Offers!$C$7:$C$3000,$C184,Offers!$AF$7:$AF$3000,1))</f>
        <v>19.53</v>
      </c>
      <c r="G184" s="93" t="n">
        <f aca="false">IF(COUNTIFS(Offers!$B$7:$B$3000,$B184,Offers!$C$7:$C$3000,$C184,Offers!$AH$7:$AH$3000,"yes")=0,"",(SUMIFS(Offers!$H$7:$H$3000,Offers!$B$7:$B$3000,$B184,Offers!$C$7:$C$3000,$C184,Offers!$AF$7:$AF$3000,ROUNDUP(COUNTIFS(Offers!$B$7:$B$3000,$B184,Offers!$C$7:$C$3000,$C184,Offers!$AH$7:$AH$3000,"yes")/2,0))+SUMIFS(Offers!$H$7:$H$3000,Offers!$B$7:$B$3000,$B184,Offers!$C$7:$C$3000,$C184,Offers!$AF$7:$AF$3000,INT(COUNTIFS(Offers!$B$7:$B$3000,$B184,Offers!$C$7:$C$3000,$C184,Offers!$AH$7:$AH$3000,"yes")/2)+1))/2)</f>
        <v>24.05</v>
      </c>
      <c r="H184" s="99" t="n">
        <f aca="false">IF(COUNTIFS(Offers!$B$7:$B$3000,$B184,Offers!$C$7:$C$3000,$C184,Offers!$AH$7:$AH$3000,"yes")=0,"",SUMIFS(Offers!$H$7:$H$3000,Offers!$B$7:$B$3000,$B184,Offers!$C$7:$C$3000,$C184,Offers!$AF$7:$AF$3000,COUNTIFS(Offers!$B$7:$B$3000,$B184,Offers!$C$7:$C$3000,$C184,Offers!$AH$7:$AH$3000,"yes")))</f>
        <v>31.99</v>
      </c>
      <c r="I184" s="100" t="n">
        <f aca="false">IF(COUNTIFS(Offers!$B$7:$B$3000,$B184,Offers!$C$7:$C$3000,$C184,Offers!$AI$7:$AI$3000,"yes")=0,"",SUMIFS(Offers!$I$7:$I$3000,Offers!$B$7:$B$3000,$B184,Offers!$C$7:$C$3000,$C184,Offers!$AG$7:$AG$3000,1))</f>
        <v>19.53</v>
      </c>
      <c r="J184" s="95" t="n">
        <f aca="false">IF(COUNTIFS(Offers!$B$7:$B$3000,$B184,Offers!$C$7:$C$3000,$C184,Offers!$AI$7:$AI$3000,"yes")=0,"",(SUMIFS(Offers!$I$7:$I$3000,Offers!$B$7:$B$3000,$B184,Offers!$C$7:$C$3000,$C184,Offers!$AG$7:$AG$3000,ROUNDUP(COUNTIFS(Offers!$B$7:$B$3000,$B184,Offers!$C$7:$C$3000,$C184,Offers!$AI$7:$AI$3000,"yes")/2,0))+SUMIFS(Offers!$I$7:$I$3000,Offers!$B$7:$B$3000,$B184,Offers!$C$7:$C$3000,$C184,Offers!$AG$7:$AG$3000,INT(COUNTIFS(Offers!$B$7:$B$3000,$B184,Offers!$C$7:$C$3000,$C184,Offers!$AI$7:$AI$3000,"yes")/2)+1))/2)</f>
        <v>24.05</v>
      </c>
      <c r="K184" s="100" t="n">
        <f aca="false">IF(COUNTIFS(Offers!$B$7:$B$3000,$B184,Offers!$C$7:$C$3000,$C184,Offers!$AI$7:$AI$3000,"yes")=0,"",SUMIFS(Offers!$I$7:$I$3000,Offers!$B$7:$B$3000,$B184,Offers!$C$7:$C$3000,$C184,Offers!$AG$7:$AG$3000,COUNTIFS(Offers!$B$7:$B$3000,$B184,Offers!$C$7:$C$3000,$C184,Offers!$AI$7:$AI$3000,"yes")))</f>
        <v>31.99</v>
      </c>
      <c r="L184" s="96"/>
      <c r="M184" s="96"/>
      <c r="N184" s="96"/>
      <c r="O184" s="101" t="n">
        <f aca="false">IF(Compare!$E$5="Local prices",IF(F184="","",IF(Compare!$C$5="Minimum",F184,IF(Compare!$C$5="Maximum",H184,G184))),IF(I184="","",IF(Compare!$C$5="Minimum",I184,IF(Compare!$C$5="Maximum",K184,J184))))</f>
        <v>24.05</v>
      </c>
    </row>
    <row r="185" customFormat="false" ht="39" hidden="false" customHeight="true" outlineLevel="0" collapsed="false">
      <c r="A185" s="3"/>
      <c r="B185" s="31" t="s">
        <v>60</v>
      </c>
      <c r="C185" s="91" t="s">
        <v>17</v>
      </c>
      <c r="D185" s="91" t="s">
        <v>333</v>
      </c>
      <c r="E185" s="91" t="s">
        <v>491</v>
      </c>
      <c r="F185" s="92" t="n">
        <f aca="false">IF(COUNTIFS(Offers!$B$7:$B$3000,$B185,Offers!$C$7:$C$3000,$C185,Offers!$AH$7:$AH$3000,"yes")=0,"",SUMIFS(Offers!$H$7:$H$3000,Offers!$B$7:$B$3000,$B185,Offers!$C$7:$C$3000,$C185,Offers!$AF$7:$AF$3000,1))</f>
        <v>539.67</v>
      </c>
      <c r="G185" s="93" t="n">
        <f aca="false">IF(COUNTIFS(Offers!$B$7:$B$3000,$B185,Offers!$C$7:$C$3000,$C185,Offers!$AH$7:$AH$3000,"yes")=0,"",(SUMIFS(Offers!$H$7:$H$3000,Offers!$B$7:$B$3000,$B185,Offers!$C$7:$C$3000,$C185,Offers!$AF$7:$AF$3000,ROUNDUP(COUNTIFS(Offers!$B$7:$B$3000,$B185,Offers!$C$7:$C$3000,$C185,Offers!$AH$7:$AH$3000,"yes")/2,0))+SUMIFS(Offers!$H$7:$H$3000,Offers!$B$7:$B$3000,$B185,Offers!$C$7:$C$3000,$C185,Offers!$AF$7:$AF$3000,INT(COUNTIFS(Offers!$B$7:$B$3000,$B185,Offers!$C$7:$C$3000,$C185,Offers!$AH$7:$AH$3000,"yes")/2)+1))/2)</f>
        <v>921</v>
      </c>
      <c r="H185" s="92" t="n">
        <f aca="false">IF(COUNTIFS(Offers!$B$7:$B$3000,$B185,Offers!$C$7:$C$3000,$C185,Offers!$AH$7:$AH$3000,"yes")=0,"",SUMIFS(Offers!$H$7:$H$3000,Offers!$B$7:$B$3000,$B185,Offers!$C$7:$C$3000,$C185,Offers!$AF$7:$AF$3000,COUNTIFS(Offers!$B$7:$B$3000,$B185,Offers!$C$7:$C$3000,$C185,Offers!$AH$7:$AH$3000,"yes")))</f>
        <v>1265.29</v>
      </c>
      <c r="I185" s="94" t="n">
        <f aca="false">IF(COUNTIFS(Offers!$B$7:$B$3000,$B185,Offers!$C$7:$C$3000,$C185,Offers!$AI$7:$AI$3000,"yes")=0,"",SUMIFS(Offers!$I$7:$I$3000,Offers!$B$7:$B$3000,$B185,Offers!$C$7:$C$3000,$C185,Offers!$AG$7:$AG$3000,1))</f>
        <v>22.096237</v>
      </c>
      <c r="J185" s="95" t="n">
        <f aca="false">IF(COUNTIFS(Offers!$B$7:$B$3000,$B185,Offers!$C$7:$C$3000,$C185,Offers!$AI$7:$AI$3000,"yes")=0,"",(SUMIFS(Offers!$I$7:$I$3000,Offers!$B$7:$B$3000,$B185,Offers!$C$7:$C$3000,$C185,Offers!$AG$7:$AG$3000,ROUNDUP(COUNTIFS(Offers!$B$7:$B$3000,$B185,Offers!$C$7:$C$3000,$C185,Offers!$AI$7:$AI$3000,"yes")/2,0))+SUMIFS(Offers!$I$7:$I$3000,Offers!$B$7:$B$3000,$B185,Offers!$C$7:$C$3000,$C185,Offers!$AG$7:$AG$3000,INT(COUNTIFS(Offers!$B$7:$B$3000,$B185,Offers!$C$7:$C$3000,$C185,Offers!$AI$7:$AI$3000,"yes")/2)+1))/2)</f>
        <v>37.709404</v>
      </c>
      <c r="K185" s="94" t="n">
        <f aca="false">IF(COUNTIFS(Offers!$B$7:$B$3000,$B185,Offers!$C$7:$C$3000,$C185,Offers!$AI$7:$AI$3000,"yes")=0,"",SUMIFS(Offers!$I$7:$I$3000,Offers!$B$7:$B$3000,$B185,Offers!$C$7:$C$3000,$C185,Offers!$AG$7:$AG$3000,COUNTIFS(Offers!$B$7:$B$3000,$B185,Offers!$C$7:$C$3000,$C185,Offers!$AI$7:$AI$3000,"yes")))</f>
        <v>51.806007</v>
      </c>
      <c r="L185" s="96"/>
      <c r="M185" s="96"/>
      <c r="N185" s="96"/>
      <c r="O185" s="97" t="n">
        <f aca="false">IF(Compare!$E$5="Local prices",IF(F185="","",IF(Compare!$C$5="Minimum",F185,IF(Compare!$C$5="Maximum",H185,G185))),IF(I185="","",IF(Compare!$C$5="Minimum",I185,IF(Compare!$C$5="Maximum",K185,J185))))</f>
        <v>37.709404</v>
      </c>
    </row>
    <row r="186" customFormat="false" ht="39" hidden="false" customHeight="true" outlineLevel="0" collapsed="false">
      <c r="A186" s="3"/>
      <c r="B186" s="36" t="s">
        <v>60</v>
      </c>
      <c r="C186" s="98" t="s">
        <v>18</v>
      </c>
      <c r="D186" s="98" t="s">
        <v>244</v>
      </c>
      <c r="E186" s="98" t="s">
        <v>491</v>
      </c>
      <c r="F186" s="99" t="str">
        <f aca="false">IF(COUNTIFS(Offers!$B$7:$B$3000,$B186,Offers!$C$7:$C$3000,$C186,Offers!$AH$7:$AH$3000,"yes")=0,"",SUMIFS(Offers!$H$7:$H$3000,Offers!$B$7:$B$3000,$B186,Offers!$C$7:$C$3000,$C186,Offers!$AF$7:$AF$3000,1))</f>
        <v/>
      </c>
      <c r="G186" s="93" t="str">
        <f aca="false">IF(COUNTIFS(Offers!$B$7:$B$3000,$B186,Offers!$C$7:$C$3000,$C186,Offers!$AH$7:$AH$3000,"yes")=0,"",(SUMIFS(Offers!$H$7:$H$3000,Offers!$B$7:$B$3000,$B186,Offers!$C$7:$C$3000,$C186,Offers!$AF$7:$AF$3000,ROUNDUP(COUNTIFS(Offers!$B$7:$B$3000,$B186,Offers!$C$7:$C$3000,$C186,Offers!$AH$7:$AH$3000,"yes")/2,0))+SUMIFS(Offers!$H$7:$H$3000,Offers!$B$7:$B$3000,$B186,Offers!$C$7:$C$3000,$C186,Offers!$AF$7:$AF$3000,INT(COUNTIFS(Offers!$B$7:$B$3000,$B186,Offers!$C$7:$C$3000,$C186,Offers!$AH$7:$AH$3000,"yes")/2)+1))/2)</f>
        <v/>
      </c>
      <c r="H186" s="99" t="str">
        <f aca="false">IF(COUNTIFS(Offers!$B$7:$B$3000,$B186,Offers!$C$7:$C$3000,$C186,Offers!$AH$7:$AH$3000,"yes")=0,"",SUMIFS(Offers!$H$7:$H$3000,Offers!$B$7:$B$3000,$B186,Offers!$C$7:$C$3000,$C186,Offers!$AF$7:$AF$3000,COUNTIFS(Offers!$B$7:$B$3000,$B186,Offers!$C$7:$C$3000,$C186,Offers!$AH$7:$AH$3000,"yes")))</f>
        <v/>
      </c>
      <c r="I186" s="100" t="str">
        <f aca="false">IF(COUNTIFS(Offers!$B$7:$B$3000,$B186,Offers!$C$7:$C$3000,$C186,Offers!$AI$7:$AI$3000,"yes")=0,"",SUMIFS(Offers!$I$7:$I$3000,Offers!$B$7:$B$3000,$B186,Offers!$C$7:$C$3000,$C186,Offers!$AG$7:$AG$3000,1))</f>
        <v/>
      </c>
      <c r="J186" s="95" t="str">
        <f aca="false">IF(COUNTIFS(Offers!$B$7:$B$3000,$B186,Offers!$C$7:$C$3000,$C186,Offers!$AI$7:$AI$3000,"yes")=0,"",(SUMIFS(Offers!$I$7:$I$3000,Offers!$B$7:$B$3000,$B186,Offers!$C$7:$C$3000,$C186,Offers!$AG$7:$AG$3000,ROUNDUP(COUNTIFS(Offers!$B$7:$B$3000,$B186,Offers!$C$7:$C$3000,$C186,Offers!$AI$7:$AI$3000,"yes")/2,0))+SUMIFS(Offers!$I$7:$I$3000,Offers!$B$7:$B$3000,$B186,Offers!$C$7:$C$3000,$C186,Offers!$AG$7:$AG$3000,INT(COUNTIFS(Offers!$B$7:$B$3000,$B186,Offers!$C$7:$C$3000,$C186,Offers!$AI$7:$AI$3000,"yes")/2)+1))/2)</f>
        <v/>
      </c>
      <c r="K186" s="100" t="str">
        <f aca="false">IF(COUNTIFS(Offers!$B$7:$B$3000,$B186,Offers!$C$7:$C$3000,$C186,Offers!$AI$7:$AI$3000,"yes")=0,"",SUMIFS(Offers!$I$7:$I$3000,Offers!$B$7:$B$3000,$B186,Offers!$C$7:$C$3000,$C186,Offers!$AG$7:$AG$3000,COUNTIFS(Offers!$B$7:$B$3000,$B186,Offers!$C$7:$C$3000,$C186,Offers!$AI$7:$AI$3000,"yes")))</f>
        <v/>
      </c>
      <c r="L186" s="96"/>
      <c r="M186" s="96"/>
      <c r="N186" s="96"/>
      <c r="O186" s="110" t="str">
        <f aca="false">IF(Compare!$E$5="Local prices",IF(F186="","",IF(Compare!$C$5="Minimum",F186,IF(Compare!$C$5="Maximum",H186,G186))),IF(I186="","",IF(Compare!$C$5="Minimum",I186,IF(Compare!$C$5="Maximum",K186,J186))))</f>
        <v/>
      </c>
    </row>
    <row r="187" customFormat="false" ht="39" hidden="false" customHeight="true" outlineLevel="0" collapsed="false">
      <c r="A187" s="3"/>
      <c r="B187" s="102" t="s">
        <v>61</v>
      </c>
      <c r="C187" s="103" t="s">
        <v>13</v>
      </c>
      <c r="D187" s="103" t="s">
        <v>490</v>
      </c>
      <c r="E187" s="103" t="s">
        <v>491</v>
      </c>
      <c r="F187" s="104" t="str">
        <f aca="false">IF(COUNTIFS(Offers!$B$7:$B$3000,$B187,Offers!$C$7:$C$3000,$C187,Offers!$AH$7:$AH$3000,"yes")=0,"",SUMIFS(Offers!$H$7:$H$3000,Offers!$B$7:$B$3000,$B187,Offers!$C$7:$C$3000,$C187,Offers!$AF$7:$AF$3000,1))</f>
        <v/>
      </c>
      <c r="G187" s="105" t="str">
        <f aca="false">IF(COUNTIFS(Offers!$B$7:$B$3000,$B187,Offers!$C$7:$C$3000,$C187,Offers!$AH$7:$AH$3000,"yes")=0,"",(SUMIFS(Offers!$H$7:$H$3000,Offers!$B$7:$B$3000,$B187,Offers!$C$7:$C$3000,$C187,Offers!$AF$7:$AF$3000,ROUNDUP(COUNTIFS(Offers!$B$7:$B$3000,$B187,Offers!$C$7:$C$3000,$C187,Offers!$AH$7:$AH$3000,"yes")/2,0))+SUMIFS(Offers!$H$7:$H$3000,Offers!$B$7:$B$3000,$B187,Offers!$C$7:$C$3000,$C187,Offers!$AF$7:$AF$3000,INT(COUNTIFS(Offers!$B$7:$B$3000,$B187,Offers!$C$7:$C$3000,$C187,Offers!$AH$7:$AH$3000,"yes")/2)+1))/2)</f>
        <v/>
      </c>
      <c r="H187" s="104" t="str">
        <f aca="false">IF(COUNTIFS(Offers!$B$7:$B$3000,$B187,Offers!$C$7:$C$3000,$C187,Offers!$AH$7:$AH$3000,"yes")=0,"",SUMIFS(Offers!$H$7:$H$3000,Offers!$B$7:$B$3000,$B187,Offers!$C$7:$C$3000,$C187,Offers!$AF$7:$AF$3000,COUNTIFS(Offers!$B$7:$B$3000,$B187,Offers!$C$7:$C$3000,$C187,Offers!$AH$7:$AH$3000,"yes")))</f>
        <v/>
      </c>
      <c r="I187" s="106" t="str">
        <f aca="false">IF(COUNTIFS(Offers!$B$7:$B$3000,$B187,Offers!$C$7:$C$3000,$C187,Offers!$AI$7:$AI$3000,"yes")=0,"",SUMIFS(Offers!$I$7:$I$3000,Offers!$B$7:$B$3000,$B187,Offers!$C$7:$C$3000,$C187,Offers!$AG$7:$AG$3000,1))</f>
        <v/>
      </c>
      <c r="J187" s="107" t="str">
        <f aca="false">IF(COUNTIFS(Offers!$B$7:$B$3000,$B187,Offers!$C$7:$C$3000,$C187,Offers!$AI$7:$AI$3000,"yes")=0,"",(SUMIFS(Offers!$I$7:$I$3000,Offers!$B$7:$B$3000,$B187,Offers!$C$7:$C$3000,$C187,Offers!$AG$7:$AG$3000,ROUNDUP(COUNTIFS(Offers!$B$7:$B$3000,$B187,Offers!$C$7:$C$3000,$C187,Offers!$AI$7:$AI$3000,"yes")/2,0))+SUMIFS(Offers!$I$7:$I$3000,Offers!$B$7:$B$3000,$B187,Offers!$C$7:$C$3000,$C187,Offers!$AG$7:$AG$3000,INT(COUNTIFS(Offers!$B$7:$B$3000,$B187,Offers!$C$7:$C$3000,$C187,Offers!$AI$7:$AI$3000,"yes")/2)+1))/2)</f>
        <v/>
      </c>
      <c r="K187" s="106" t="str">
        <f aca="false">IF(COUNTIFS(Offers!$B$7:$B$3000,$B187,Offers!$C$7:$C$3000,$C187,Offers!$AI$7:$AI$3000,"yes")=0,"",SUMIFS(Offers!$I$7:$I$3000,Offers!$B$7:$B$3000,$B187,Offers!$C$7:$C$3000,$C187,Offers!$AG$7:$AG$3000,COUNTIFS(Offers!$B$7:$B$3000,$B187,Offers!$C$7:$C$3000,$C187,Offers!$AI$7:$AI$3000,"yes")))</f>
        <v/>
      </c>
      <c r="L187" s="108"/>
      <c r="M187" s="108"/>
      <c r="N187" s="108"/>
      <c r="O187" s="109" t="str">
        <f aca="false">IF(Compare!$E$5="Local prices",IF(F187="","",IF(Compare!$C$5="Minimum",F187,IF(Compare!$C$5="Maximum",H187,G187))),IF(I187="","",IF(Compare!$C$5="Minimum",I187,IF(Compare!$C$5="Maximum",K187,J187))))</f>
        <v/>
      </c>
    </row>
    <row r="188" customFormat="false" ht="39" hidden="false" customHeight="true" outlineLevel="0" collapsed="false">
      <c r="A188" s="3"/>
      <c r="B188" s="36" t="s">
        <v>61</v>
      </c>
      <c r="C188" s="98" t="s">
        <v>14</v>
      </c>
      <c r="D188" s="98" t="s">
        <v>374</v>
      </c>
      <c r="E188" s="98" t="s">
        <v>491</v>
      </c>
      <c r="F188" s="99" t="str">
        <f aca="false">IF(COUNTIFS(Offers!$B$7:$B$3000,$B188,Offers!$C$7:$C$3000,$C188,Offers!$AH$7:$AH$3000,"yes")=0,"",SUMIFS(Offers!$H$7:$H$3000,Offers!$B$7:$B$3000,$B188,Offers!$C$7:$C$3000,$C188,Offers!$AF$7:$AF$3000,1))</f>
        <v/>
      </c>
      <c r="G188" s="93" t="str">
        <f aca="false">IF(COUNTIFS(Offers!$B$7:$B$3000,$B188,Offers!$C$7:$C$3000,$C188,Offers!$AH$7:$AH$3000,"yes")=0,"",(SUMIFS(Offers!$H$7:$H$3000,Offers!$B$7:$B$3000,$B188,Offers!$C$7:$C$3000,$C188,Offers!$AF$7:$AF$3000,ROUNDUP(COUNTIFS(Offers!$B$7:$B$3000,$B188,Offers!$C$7:$C$3000,$C188,Offers!$AH$7:$AH$3000,"yes")/2,0))+SUMIFS(Offers!$H$7:$H$3000,Offers!$B$7:$B$3000,$B188,Offers!$C$7:$C$3000,$C188,Offers!$AF$7:$AF$3000,INT(COUNTIFS(Offers!$B$7:$B$3000,$B188,Offers!$C$7:$C$3000,$C188,Offers!$AH$7:$AH$3000,"yes")/2)+1))/2)</f>
        <v/>
      </c>
      <c r="H188" s="99" t="str">
        <f aca="false">IF(COUNTIFS(Offers!$B$7:$B$3000,$B188,Offers!$C$7:$C$3000,$C188,Offers!$AH$7:$AH$3000,"yes")=0,"",SUMIFS(Offers!$H$7:$H$3000,Offers!$B$7:$B$3000,$B188,Offers!$C$7:$C$3000,$C188,Offers!$AF$7:$AF$3000,COUNTIFS(Offers!$B$7:$B$3000,$B188,Offers!$C$7:$C$3000,$C188,Offers!$AH$7:$AH$3000,"yes")))</f>
        <v/>
      </c>
      <c r="I188" s="100" t="str">
        <f aca="false">IF(COUNTIFS(Offers!$B$7:$B$3000,$B188,Offers!$C$7:$C$3000,$C188,Offers!$AI$7:$AI$3000,"yes")=0,"",SUMIFS(Offers!$I$7:$I$3000,Offers!$B$7:$B$3000,$B188,Offers!$C$7:$C$3000,$C188,Offers!$AG$7:$AG$3000,1))</f>
        <v/>
      </c>
      <c r="J188" s="95" t="str">
        <f aca="false">IF(COUNTIFS(Offers!$B$7:$B$3000,$B188,Offers!$C$7:$C$3000,$C188,Offers!$AI$7:$AI$3000,"yes")=0,"",(SUMIFS(Offers!$I$7:$I$3000,Offers!$B$7:$B$3000,$B188,Offers!$C$7:$C$3000,$C188,Offers!$AG$7:$AG$3000,ROUNDUP(COUNTIFS(Offers!$B$7:$B$3000,$B188,Offers!$C$7:$C$3000,$C188,Offers!$AI$7:$AI$3000,"yes")/2,0))+SUMIFS(Offers!$I$7:$I$3000,Offers!$B$7:$B$3000,$B188,Offers!$C$7:$C$3000,$C188,Offers!$AG$7:$AG$3000,INT(COUNTIFS(Offers!$B$7:$B$3000,$B188,Offers!$C$7:$C$3000,$C188,Offers!$AI$7:$AI$3000,"yes")/2)+1))/2)</f>
        <v/>
      </c>
      <c r="K188" s="100" t="str">
        <f aca="false">IF(COUNTIFS(Offers!$B$7:$B$3000,$B188,Offers!$C$7:$C$3000,$C188,Offers!$AI$7:$AI$3000,"yes")=0,"",SUMIFS(Offers!$I$7:$I$3000,Offers!$B$7:$B$3000,$B188,Offers!$C$7:$C$3000,$C188,Offers!$AG$7:$AG$3000,COUNTIFS(Offers!$B$7:$B$3000,$B188,Offers!$C$7:$C$3000,$C188,Offers!$AI$7:$AI$3000,"yes")))</f>
        <v/>
      </c>
      <c r="L188" s="96"/>
      <c r="M188" s="96"/>
      <c r="N188" s="96"/>
      <c r="O188" s="110" t="str">
        <f aca="false">IF(Compare!$E$5="Local prices",IF(F188="","",IF(Compare!$C$5="Minimum",F188,IF(Compare!$C$5="Maximum",H188,G188))),IF(I188="","",IF(Compare!$C$5="Minimum",I188,IF(Compare!$C$5="Maximum",K188,J188))))</f>
        <v/>
      </c>
    </row>
    <row r="189" customFormat="false" ht="39" hidden="false" customHeight="true" outlineLevel="0" collapsed="false">
      <c r="A189" s="3"/>
      <c r="B189" s="31" t="s">
        <v>61</v>
      </c>
      <c r="C189" s="91" t="s">
        <v>15</v>
      </c>
      <c r="D189" s="91" t="s">
        <v>244</v>
      </c>
      <c r="E189" s="91" t="s">
        <v>491</v>
      </c>
      <c r="F189" s="92" t="n">
        <f aca="false">IF(COUNTIFS(Offers!$B$7:$B$3000,$B189,Offers!$C$7:$C$3000,$C189,Offers!$AH$7:$AH$3000,"yes")=0,"",SUMIFS(Offers!$H$7:$H$3000,Offers!$B$7:$B$3000,$B189,Offers!$C$7:$C$3000,$C189,Offers!$AF$7:$AF$3000,1))</f>
        <v>2.3</v>
      </c>
      <c r="G189" s="93" t="n">
        <f aca="false">IF(COUNTIFS(Offers!$B$7:$B$3000,$B189,Offers!$C$7:$C$3000,$C189,Offers!$AH$7:$AH$3000,"yes")=0,"",(SUMIFS(Offers!$H$7:$H$3000,Offers!$B$7:$B$3000,$B189,Offers!$C$7:$C$3000,$C189,Offers!$AF$7:$AF$3000,ROUNDUP(COUNTIFS(Offers!$B$7:$B$3000,$B189,Offers!$C$7:$C$3000,$C189,Offers!$AH$7:$AH$3000,"yes")/2,0))+SUMIFS(Offers!$H$7:$H$3000,Offers!$B$7:$B$3000,$B189,Offers!$C$7:$C$3000,$C189,Offers!$AF$7:$AF$3000,INT(COUNTIFS(Offers!$B$7:$B$3000,$B189,Offers!$C$7:$C$3000,$C189,Offers!$AH$7:$AH$3000,"yes")/2)+1))/2)</f>
        <v>3.27</v>
      </c>
      <c r="H189" s="92" t="n">
        <f aca="false">IF(COUNTIFS(Offers!$B$7:$B$3000,$B189,Offers!$C$7:$C$3000,$C189,Offers!$AH$7:$AH$3000,"yes")=0,"",SUMIFS(Offers!$H$7:$H$3000,Offers!$B$7:$B$3000,$B189,Offers!$C$7:$C$3000,$C189,Offers!$AF$7:$AF$3000,COUNTIFS(Offers!$B$7:$B$3000,$B189,Offers!$C$7:$C$3000,$C189,Offers!$AH$7:$AH$3000,"yes")))</f>
        <v>12.7</v>
      </c>
      <c r="I189" s="94" t="n">
        <f aca="false">IF(COUNTIFS(Offers!$B$7:$B$3000,$B189,Offers!$C$7:$C$3000,$C189,Offers!$AI$7:$AI$3000,"yes")=0,"",SUMIFS(Offers!$I$7:$I$3000,Offers!$B$7:$B$3000,$B189,Offers!$C$7:$C$3000,$C189,Offers!$AG$7:$AG$3000,1))</f>
        <v>2.3</v>
      </c>
      <c r="J189" s="95" t="n">
        <f aca="false">IF(COUNTIFS(Offers!$B$7:$B$3000,$B189,Offers!$C$7:$C$3000,$C189,Offers!$AI$7:$AI$3000,"yes")=0,"",(SUMIFS(Offers!$I$7:$I$3000,Offers!$B$7:$B$3000,$B189,Offers!$C$7:$C$3000,$C189,Offers!$AG$7:$AG$3000,ROUNDUP(COUNTIFS(Offers!$B$7:$B$3000,$B189,Offers!$C$7:$C$3000,$C189,Offers!$AI$7:$AI$3000,"yes")/2,0))+SUMIFS(Offers!$I$7:$I$3000,Offers!$B$7:$B$3000,$B189,Offers!$C$7:$C$3000,$C189,Offers!$AG$7:$AG$3000,INT(COUNTIFS(Offers!$B$7:$B$3000,$B189,Offers!$C$7:$C$3000,$C189,Offers!$AI$7:$AI$3000,"yes")/2)+1))/2)</f>
        <v>3.27</v>
      </c>
      <c r="K189" s="94" t="n">
        <f aca="false">IF(COUNTIFS(Offers!$B$7:$B$3000,$B189,Offers!$C$7:$C$3000,$C189,Offers!$AI$7:$AI$3000,"yes")=0,"",SUMIFS(Offers!$I$7:$I$3000,Offers!$B$7:$B$3000,$B189,Offers!$C$7:$C$3000,$C189,Offers!$AG$7:$AG$3000,COUNTIFS(Offers!$B$7:$B$3000,$B189,Offers!$C$7:$C$3000,$C189,Offers!$AI$7:$AI$3000,"yes")))</f>
        <v>12.7</v>
      </c>
      <c r="L189" s="96"/>
      <c r="M189" s="96"/>
      <c r="N189" s="96"/>
      <c r="O189" s="97" t="n">
        <f aca="false">IF(Compare!$E$5="Local prices",IF(F189="","",IF(Compare!$C$5="Minimum",F189,IF(Compare!$C$5="Maximum",H189,G189))),IF(I189="","",IF(Compare!$C$5="Minimum",I189,IF(Compare!$C$5="Maximum",K189,J189))))</f>
        <v>3.27</v>
      </c>
    </row>
    <row r="190" customFormat="false" ht="39" hidden="false" customHeight="true" outlineLevel="0" collapsed="false">
      <c r="A190" s="3"/>
      <c r="B190" s="36" t="s">
        <v>61</v>
      </c>
      <c r="C190" s="98" t="s">
        <v>16</v>
      </c>
      <c r="D190" s="98" t="s">
        <v>244</v>
      </c>
      <c r="E190" s="98" t="s">
        <v>491</v>
      </c>
      <c r="F190" s="99" t="n">
        <f aca="false">IF(COUNTIFS(Offers!$B$7:$B$3000,$B190,Offers!$C$7:$C$3000,$C190,Offers!$AH$7:$AH$3000,"yes")=0,"",SUMIFS(Offers!$H$7:$H$3000,Offers!$B$7:$B$3000,$B190,Offers!$C$7:$C$3000,$C190,Offers!$AF$7:$AF$3000,1))</f>
        <v>1.75</v>
      </c>
      <c r="G190" s="93" t="n">
        <f aca="false">IF(COUNTIFS(Offers!$B$7:$B$3000,$B190,Offers!$C$7:$C$3000,$C190,Offers!$AH$7:$AH$3000,"yes")=0,"",(SUMIFS(Offers!$H$7:$H$3000,Offers!$B$7:$B$3000,$B190,Offers!$C$7:$C$3000,$C190,Offers!$AF$7:$AF$3000,ROUNDUP(COUNTIFS(Offers!$B$7:$B$3000,$B190,Offers!$C$7:$C$3000,$C190,Offers!$AH$7:$AH$3000,"yes")/2,0))+SUMIFS(Offers!$H$7:$H$3000,Offers!$B$7:$B$3000,$B190,Offers!$C$7:$C$3000,$C190,Offers!$AF$7:$AF$3000,INT(COUNTIFS(Offers!$B$7:$B$3000,$B190,Offers!$C$7:$C$3000,$C190,Offers!$AH$7:$AH$3000,"yes")/2)+1))/2)</f>
        <v>3.17</v>
      </c>
      <c r="H190" s="99" t="n">
        <f aca="false">IF(COUNTIFS(Offers!$B$7:$B$3000,$B190,Offers!$C$7:$C$3000,$C190,Offers!$AH$7:$AH$3000,"yes")=0,"",SUMIFS(Offers!$H$7:$H$3000,Offers!$B$7:$B$3000,$B190,Offers!$C$7:$C$3000,$C190,Offers!$AF$7:$AF$3000,COUNTIFS(Offers!$B$7:$B$3000,$B190,Offers!$C$7:$C$3000,$C190,Offers!$AH$7:$AH$3000,"yes")))</f>
        <v>5.19</v>
      </c>
      <c r="I190" s="100" t="n">
        <f aca="false">IF(COUNTIFS(Offers!$B$7:$B$3000,$B190,Offers!$C$7:$C$3000,$C190,Offers!$AI$7:$AI$3000,"yes")=0,"",SUMIFS(Offers!$I$7:$I$3000,Offers!$B$7:$B$3000,$B190,Offers!$C$7:$C$3000,$C190,Offers!$AG$7:$AG$3000,1))</f>
        <v>1.75</v>
      </c>
      <c r="J190" s="95" t="n">
        <f aca="false">IF(COUNTIFS(Offers!$B$7:$B$3000,$B190,Offers!$C$7:$C$3000,$C190,Offers!$AI$7:$AI$3000,"yes")=0,"",(SUMIFS(Offers!$I$7:$I$3000,Offers!$B$7:$B$3000,$B190,Offers!$C$7:$C$3000,$C190,Offers!$AG$7:$AG$3000,ROUNDUP(COUNTIFS(Offers!$B$7:$B$3000,$B190,Offers!$C$7:$C$3000,$C190,Offers!$AI$7:$AI$3000,"yes")/2,0))+SUMIFS(Offers!$I$7:$I$3000,Offers!$B$7:$B$3000,$B190,Offers!$C$7:$C$3000,$C190,Offers!$AG$7:$AG$3000,INT(COUNTIFS(Offers!$B$7:$B$3000,$B190,Offers!$C$7:$C$3000,$C190,Offers!$AI$7:$AI$3000,"yes")/2)+1))/2)</f>
        <v>3.17</v>
      </c>
      <c r="K190" s="100" t="n">
        <f aca="false">IF(COUNTIFS(Offers!$B$7:$B$3000,$B190,Offers!$C$7:$C$3000,$C190,Offers!$AI$7:$AI$3000,"yes")=0,"",SUMIFS(Offers!$I$7:$I$3000,Offers!$B$7:$B$3000,$B190,Offers!$C$7:$C$3000,$C190,Offers!$AG$7:$AG$3000,COUNTIFS(Offers!$B$7:$B$3000,$B190,Offers!$C$7:$C$3000,$C190,Offers!$AI$7:$AI$3000,"yes")))</f>
        <v>5.19</v>
      </c>
      <c r="L190" s="96"/>
      <c r="M190" s="96"/>
      <c r="N190" s="96"/>
      <c r="O190" s="101" t="n">
        <f aca="false">IF(Compare!$E$5="Local prices",IF(F190="","",IF(Compare!$C$5="Minimum",F190,IF(Compare!$C$5="Maximum",H190,G190))),IF(I190="","",IF(Compare!$C$5="Minimum",I190,IF(Compare!$C$5="Maximum",K190,J190))))</f>
        <v>3.17</v>
      </c>
    </row>
    <row r="191" customFormat="false" ht="39" hidden="false" customHeight="true" outlineLevel="0" collapsed="false">
      <c r="A191" s="3"/>
      <c r="B191" s="31" t="s">
        <v>61</v>
      </c>
      <c r="C191" s="91" t="s">
        <v>17</v>
      </c>
      <c r="D191" s="91" t="s">
        <v>333</v>
      </c>
      <c r="E191" s="91" t="s">
        <v>491</v>
      </c>
      <c r="F191" s="92" t="n">
        <f aca="false">IF(COUNTIFS(Offers!$B$7:$B$3000,$B191,Offers!$C$7:$C$3000,$C191,Offers!$AH$7:$AH$3000,"yes")=0,"",SUMIFS(Offers!$H$7:$H$3000,Offers!$B$7:$B$3000,$B191,Offers!$C$7:$C$3000,$C191,Offers!$AF$7:$AF$3000,1))</f>
        <v>35</v>
      </c>
      <c r="G191" s="93" t="n">
        <f aca="false">IF(COUNTIFS(Offers!$B$7:$B$3000,$B191,Offers!$C$7:$C$3000,$C191,Offers!$AH$7:$AH$3000,"yes")=0,"",(SUMIFS(Offers!$H$7:$H$3000,Offers!$B$7:$B$3000,$B191,Offers!$C$7:$C$3000,$C191,Offers!$AF$7:$AF$3000,ROUNDUP(COUNTIFS(Offers!$B$7:$B$3000,$B191,Offers!$C$7:$C$3000,$C191,Offers!$AH$7:$AH$3000,"yes")/2,0))+SUMIFS(Offers!$H$7:$H$3000,Offers!$B$7:$B$3000,$B191,Offers!$C$7:$C$3000,$C191,Offers!$AF$7:$AF$3000,INT(COUNTIFS(Offers!$B$7:$B$3000,$B191,Offers!$C$7:$C$3000,$C191,Offers!$AH$7:$AH$3000,"yes")/2)+1))/2)</f>
        <v>66.49</v>
      </c>
      <c r="H191" s="92" t="n">
        <f aca="false">IF(COUNTIFS(Offers!$B$7:$B$3000,$B191,Offers!$C$7:$C$3000,$C191,Offers!$AH$7:$AH$3000,"yes")=0,"",SUMIFS(Offers!$H$7:$H$3000,Offers!$B$7:$B$3000,$B191,Offers!$C$7:$C$3000,$C191,Offers!$AF$7:$AF$3000,COUNTIFS(Offers!$B$7:$B$3000,$B191,Offers!$C$7:$C$3000,$C191,Offers!$AH$7:$AH$3000,"yes")))</f>
        <v>149.59</v>
      </c>
      <c r="I191" s="94" t="n">
        <f aca="false">IF(COUNTIFS(Offers!$B$7:$B$3000,$B191,Offers!$C$7:$C$3000,$C191,Offers!$AI$7:$AI$3000,"yes")=0,"",SUMIFS(Offers!$I$7:$I$3000,Offers!$B$7:$B$3000,$B191,Offers!$C$7:$C$3000,$C191,Offers!$AG$7:$AG$3000,1))</f>
        <v>1.433039</v>
      </c>
      <c r="J191" s="95" t="n">
        <f aca="false">IF(COUNTIFS(Offers!$B$7:$B$3000,$B191,Offers!$C$7:$C$3000,$C191,Offers!$AI$7:$AI$3000,"yes")=0,"",(SUMIFS(Offers!$I$7:$I$3000,Offers!$B$7:$B$3000,$B191,Offers!$C$7:$C$3000,$C191,Offers!$AG$7:$AG$3000,ROUNDUP(COUNTIFS(Offers!$B$7:$B$3000,$B191,Offers!$C$7:$C$3000,$C191,Offers!$AI$7:$AI$3000,"yes")/2,0))+SUMIFS(Offers!$I$7:$I$3000,Offers!$B$7:$B$3000,$B191,Offers!$C$7:$C$3000,$C191,Offers!$AG$7:$AG$3000,INT(COUNTIFS(Offers!$B$7:$B$3000,$B191,Offers!$C$7:$C$3000,$C191,Offers!$AI$7:$AI$3000,"yes")/2)+1))/2)</f>
        <v>2.7223655</v>
      </c>
      <c r="K191" s="94" t="n">
        <f aca="false">IF(COUNTIFS(Offers!$B$7:$B$3000,$B191,Offers!$C$7:$C$3000,$C191,Offers!$AI$7:$AI$3000,"yes")=0,"",SUMIFS(Offers!$I$7:$I$3000,Offers!$B$7:$B$3000,$B191,Offers!$C$7:$C$3000,$C191,Offers!$AG$7:$AG$3000,COUNTIFS(Offers!$B$7:$B$3000,$B191,Offers!$C$7:$C$3000,$C191,Offers!$AI$7:$AI$3000,"yes")))</f>
        <v>6.12481</v>
      </c>
      <c r="L191" s="96"/>
      <c r="M191" s="96"/>
      <c r="N191" s="96"/>
      <c r="O191" s="97" t="n">
        <f aca="false">IF(Compare!$E$5="Local prices",IF(F191="","",IF(Compare!$C$5="Minimum",F191,IF(Compare!$C$5="Maximum",H191,G191))),IF(I191="","",IF(Compare!$C$5="Minimum",I191,IF(Compare!$C$5="Maximum",K191,J191))))</f>
        <v>2.7223655</v>
      </c>
    </row>
    <row r="192" customFormat="false" ht="39" hidden="false" customHeight="true" outlineLevel="0" collapsed="false">
      <c r="A192" s="3"/>
      <c r="B192" s="36" t="s">
        <v>61</v>
      </c>
      <c r="C192" s="98" t="s">
        <v>18</v>
      </c>
      <c r="D192" s="98" t="s">
        <v>244</v>
      </c>
      <c r="E192" s="98" t="s">
        <v>491</v>
      </c>
      <c r="F192" s="99" t="str">
        <f aca="false">IF(COUNTIFS(Offers!$B$7:$B$3000,$B192,Offers!$C$7:$C$3000,$C192,Offers!$AH$7:$AH$3000,"yes")=0,"",SUMIFS(Offers!$H$7:$H$3000,Offers!$B$7:$B$3000,$B192,Offers!$C$7:$C$3000,$C192,Offers!$AF$7:$AF$3000,1))</f>
        <v/>
      </c>
      <c r="G192" s="93" t="str">
        <f aca="false">IF(COUNTIFS(Offers!$B$7:$B$3000,$B192,Offers!$C$7:$C$3000,$C192,Offers!$AH$7:$AH$3000,"yes")=0,"",(SUMIFS(Offers!$H$7:$H$3000,Offers!$B$7:$B$3000,$B192,Offers!$C$7:$C$3000,$C192,Offers!$AF$7:$AF$3000,ROUNDUP(COUNTIFS(Offers!$B$7:$B$3000,$B192,Offers!$C$7:$C$3000,$C192,Offers!$AH$7:$AH$3000,"yes")/2,0))+SUMIFS(Offers!$H$7:$H$3000,Offers!$B$7:$B$3000,$B192,Offers!$C$7:$C$3000,$C192,Offers!$AF$7:$AF$3000,INT(COUNTIFS(Offers!$B$7:$B$3000,$B192,Offers!$C$7:$C$3000,$C192,Offers!$AH$7:$AH$3000,"yes")/2)+1))/2)</f>
        <v/>
      </c>
      <c r="H192" s="99" t="str">
        <f aca="false">IF(COUNTIFS(Offers!$B$7:$B$3000,$B192,Offers!$C$7:$C$3000,$C192,Offers!$AH$7:$AH$3000,"yes")=0,"",SUMIFS(Offers!$H$7:$H$3000,Offers!$B$7:$B$3000,$B192,Offers!$C$7:$C$3000,$C192,Offers!$AF$7:$AF$3000,COUNTIFS(Offers!$B$7:$B$3000,$B192,Offers!$C$7:$C$3000,$C192,Offers!$AH$7:$AH$3000,"yes")))</f>
        <v/>
      </c>
      <c r="I192" s="100" t="str">
        <f aca="false">IF(COUNTIFS(Offers!$B$7:$B$3000,$B192,Offers!$C$7:$C$3000,$C192,Offers!$AI$7:$AI$3000,"yes")=0,"",SUMIFS(Offers!$I$7:$I$3000,Offers!$B$7:$B$3000,$B192,Offers!$C$7:$C$3000,$C192,Offers!$AG$7:$AG$3000,1))</f>
        <v/>
      </c>
      <c r="J192" s="95" t="str">
        <f aca="false">IF(COUNTIFS(Offers!$B$7:$B$3000,$B192,Offers!$C$7:$C$3000,$C192,Offers!$AI$7:$AI$3000,"yes")=0,"",(SUMIFS(Offers!$I$7:$I$3000,Offers!$B$7:$B$3000,$B192,Offers!$C$7:$C$3000,$C192,Offers!$AG$7:$AG$3000,ROUNDUP(COUNTIFS(Offers!$B$7:$B$3000,$B192,Offers!$C$7:$C$3000,$C192,Offers!$AI$7:$AI$3000,"yes")/2,0))+SUMIFS(Offers!$I$7:$I$3000,Offers!$B$7:$B$3000,$B192,Offers!$C$7:$C$3000,$C192,Offers!$AG$7:$AG$3000,INT(COUNTIFS(Offers!$B$7:$B$3000,$B192,Offers!$C$7:$C$3000,$C192,Offers!$AI$7:$AI$3000,"yes")/2)+1))/2)</f>
        <v/>
      </c>
      <c r="K192" s="100" t="str">
        <f aca="false">IF(COUNTIFS(Offers!$B$7:$B$3000,$B192,Offers!$C$7:$C$3000,$C192,Offers!$AI$7:$AI$3000,"yes")=0,"",SUMIFS(Offers!$I$7:$I$3000,Offers!$B$7:$B$3000,$B192,Offers!$C$7:$C$3000,$C192,Offers!$AG$7:$AG$3000,COUNTIFS(Offers!$B$7:$B$3000,$B192,Offers!$C$7:$C$3000,$C192,Offers!$AI$7:$AI$3000,"yes")))</f>
        <v/>
      </c>
      <c r="L192" s="96"/>
      <c r="M192" s="96"/>
      <c r="N192" s="96"/>
      <c r="O192" s="110" t="str">
        <f aca="false">IF(Compare!$E$5="Local prices",IF(F192="","",IF(Compare!$C$5="Minimum",F192,IF(Compare!$C$5="Maximum",H192,G192))),IF(I192="","",IF(Compare!$C$5="Minimum",I192,IF(Compare!$C$5="Maximum",K192,J192))))</f>
        <v/>
      </c>
    </row>
    <row r="193" customFormat="false" ht="39" hidden="false" customHeight="true" outlineLevel="0" collapsed="false">
      <c r="A193" s="3"/>
      <c r="B193" s="102" t="s">
        <v>62</v>
      </c>
      <c r="C193" s="103" t="s">
        <v>13</v>
      </c>
      <c r="D193" s="103" t="s">
        <v>490</v>
      </c>
      <c r="E193" s="103" t="s">
        <v>491</v>
      </c>
      <c r="F193" s="104" t="str">
        <f aca="false">IF(COUNTIFS(Offers!$B$7:$B$3000,$B193,Offers!$C$7:$C$3000,$C193,Offers!$AH$7:$AH$3000,"yes")=0,"",SUMIFS(Offers!$H$7:$H$3000,Offers!$B$7:$B$3000,$B193,Offers!$C$7:$C$3000,$C193,Offers!$AF$7:$AF$3000,1))</f>
        <v/>
      </c>
      <c r="G193" s="105" t="str">
        <f aca="false">IF(COUNTIFS(Offers!$B$7:$B$3000,$B193,Offers!$C$7:$C$3000,$C193,Offers!$AH$7:$AH$3000,"yes")=0,"",(SUMIFS(Offers!$H$7:$H$3000,Offers!$B$7:$B$3000,$B193,Offers!$C$7:$C$3000,$C193,Offers!$AF$7:$AF$3000,ROUNDUP(COUNTIFS(Offers!$B$7:$B$3000,$B193,Offers!$C$7:$C$3000,$C193,Offers!$AH$7:$AH$3000,"yes")/2,0))+SUMIFS(Offers!$H$7:$H$3000,Offers!$B$7:$B$3000,$B193,Offers!$C$7:$C$3000,$C193,Offers!$AF$7:$AF$3000,INT(COUNTIFS(Offers!$B$7:$B$3000,$B193,Offers!$C$7:$C$3000,$C193,Offers!$AH$7:$AH$3000,"yes")/2)+1))/2)</f>
        <v/>
      </c>
      <c r="H193" s="104" t="str">
        <f aca="false">IF(COUNTIFS(Offers!$B$7:$B$3000,$B193,Offers!$C$7:$C$3000,$C193,Offers!$AH$7:$AH$3000,"yes")=0,"",SUMIFS(Offers!$H$7:$H$3000,Offers!$B$7:$B$3000,$B193,Offers!$C$7:$C$3000,$C193,Offers!$AF$7:$AF$3000,COUNTIFS(Offers!$B$7:$B$3000,$B193,Offers!$C$7:$C$3000,$C193,Offers!$AH$7:$AH$3000,"yes")))</f>
        <v/>
      </c>
      <c r="I193" s="106" t="str">
        <f aca="false">IF(COUNTIFS(Offers!$B$7:$B$3000,$B193,Offers!$C$7:$C$3000,$C193,Offers!$AI$7:$AI$3000,"yes")=0,"",SUMIFS(Offers!$I$7:$I$3000,Offers!$B$7:$B$3000,$B193,Offers!$C$7:$C$3000,$C193,Offers!$AG$7:$AG$3000,1))</f>
        <v/>
      </c>
      <c r="J193" s="107" t="str">
        <f aca="false">IF(COUNTIFS(Offers!$B$7:$B$3000,$B193,Offers!$C$7:$C$3000,$C193,Offers!$AI$7:$AI$3000,"yes")=0,"",(SUMIFS(Offers!$I$7:$I$3000,Offers!$B$7:$B$3000,$B193,Offers!$C$7:$C$3000,$C193,Offers!$AG$7:$AG$3000,ROUNDUP(COUNTIFS(Offers!$B$7:$B$3000,$B193,Offers!$C$7:$C$3000,$C193,Offers!$AI$7:$AI$3000,"yes")/2,0))+SUMIFS(Offers!$I$7:$I$3000,Offers!$B$7:$B$3000,$B193,Offers!$C$7:$C$3000,$C193,Offers!$AG$7:$AG$3000,INT(COUNTIFS(Offers!$B$7:$B$3000,$B193,Offers!$C$7:$C$3000,$C193,Offers!$AI$7:$AI$3000,"yes")/2)+1))/2)</f>
        <v/>
      </c>
      <c r="K193" s="106" t="str">
        <f aca="false">IF(COUNTIFS(Offers!$B$7:$B$3000,$B193,Offers!$C$7:$C$3000,$C193,Offers!$AI$7:$AI$3000,"yes")=0,"",SUMIFS(Offers!$I$7:$I$3000,Offers!$B$7:$B$3000,$B193,Offers!$C$7:$C$3000,$C193,Offers!$AG$7:$AG$3000,COUNTIFS(Offers!$B$7:$B$3000,$B193,Offers!$C$7:$C$3000,$C193,Offers!$AI$7:$AI$3000,"yes")))</f>
        <v/>
      </c>
      <c r="L193" s="108"/>
      <c r="M193" s="108"/>
      <c r="N193" s="108"/>
      <c r="O193" s="109" t="str">
        <f aca="false">IF(Compare!$E$5="Local prices",IF(F193="","",IF(Compare!$C$5="Minimum",F193,IF(Compare!$C$5="Maximum",H193,G193))),IF(I193="","",IF(Compare!$C$5="Minimum",I193,IF(Compare!$C$5="Maximum",K193,J193))))</f>
        <v/>
      </c>
    </row>
    <row r="194" customFormat="false" ht="39" hidden="false" customHeight="true" outlineLevel="0" collapsed="false">
      <c r="A194" s="3"/>
      <c r="B194" s="36" t="s">
        <v>62</v>
      </c>
      <c r="C194" s="98" t="s">
        <v>14</v>
      </c>
      <c r="D194" s="98" t="s">
        <v>374</v>
      </c>
      <c r="E194" s="98" t="s">
        <v>491</v>
      </c>
      <c r="F194" s="99" t="str">
        <f aca="false">IF(COUNTIFS(Offers!$B$7:$B$3000,$B194,Offers!$C$7:$C$3000,$C194,Offers!$AH$7:$AH$3000,"yes")=0,"",SUMIFS(Offers!$H$7:$H$3000,Offers!$B$7:$B$3000,$B194,Offers!$C$7:$C$3000,$C194,Offers!$AF$7:$AF$3000,1))</f>
        <v/>
      </c>
      <c r="G194" s="93" t="str">
        <f aca="false">IF(COUNTIFS(Offers!$B$7:$B$3000,$B194,Offers!$C$7:$C$3000,$C194,Offers!$AH$7:$AH$3000,"yes")=0,"",(SUMIFS(Offers!$H$7:$H$3000,Offers!$B$7:$B$3000,$B194,Offers!$C$7:$C$3000,$C194,Offers!$AF$7:$AF$3000,ROUNDUP(COUNTIFS(Offers!$B$7:$B$3000,$B194,Offers!$C$7:$C$3000,$C194,Offers!$AH$7:$AH$3000,"yes")/2,0))+SUMIFS(Offers!$H$7:$H$3000,Offers!$B$7:$B$3000,$B194,Offers!$C$7:$C$3000,$C194,Offers!$AF$7:$AF$3000,INT(COUNTIFS(Offers!$B$7:$B$3000,$B194,Offers!$C$7:$C$3000,$C194,Offers!$AH$7:$AH$3000,"yes")/2)+1))/2)</f>
        <v/>
      </c>
      <c r="H194" s="99" t="str">
        <f aca="false">IF(COUNTIFS(Offers!$B$7:$B$3000,$B194,Offers!$C$7:$C$3000,$C194,Offers!$AH$7:$AH$3000,"yes")=0,"",SUMIFS(Offers!$H$7:$H$3000,Offers!$B$7:$B$3000,$B194,Offers!$C$7:$C$3000,$C194,Offers!$AF$7:$AF$3000,COUNTIFS(Offers!$B$7:$B$3000,$B194,Offers!$C$7:$C$3000,$C194,Offers!$AH$7:$AH$3000,"yes")))</f>
        <v/>
      </c>
      <c r="I194" s="100" t="str">
        <f aca="false">IF(COUNTIFS(Offers!$B$7:$B$3000,$B194,Offers!$C$7:$C$3000,$C194,Offers!$AI$7:$AI$3000,"yes")=0,"",SUMIFS(Offers!$I$7:$I$3000,Offers!$B$7:$B$3000,$B194,Offers!$C$7:$C$3000,$C194,Offers!$AG$7:$AG$3000,1))</f>
        <v/>
      </c>
      <c r="J194" s="95" t="str">
        <f aca="false">IF(COUNTIFS(Offers!$B$7:$B$3000,$B194,Offers!$C$7:$C$3000,$C194,Offers!$AI$7:$AI$3000,"yes")=0,"",(SUMIFS(Offers!$I$7:$I$3000,Offers!$B$7:$B$3000,$B194,Offers!$C$7:$C$3000,$C194,Offers!$AG$7:$AG$3000,ROUNDUP(COUNTIFS(Offers!$B$7:$B$3000,$B194,Offers!$C$7:$C$3000,$C194,Offers!$AI$7:$AI$3000,"yes")/2,0))+SUMIFS(Offers!$I$7:$I$3000,Offers!$B$7:$B$3000,$B194,Offers!$C$7:$C$3000,$C194,Offers!$AG$7:$AG$3000,INT(COUNTIFS(Offers!$B$7:$B$3000,$B194,Offers!$C$7:$C$3000,$C194,Offers!$AI$7:$AI$3000,"yes")/2)+1))/2)</f>
        <v/>
      </c>
      <c r="K194" s="100" t="str">
        <f aca="false">IF(COUNTIFS(Offers!$B$7:$B$3000,$B194,Offers!$C$7:$C$3000,$C194,Offers!$AI$7:$AI$3000,"yes")=0,"",SUMIFS(Offers!$I$7:$I$3000,Offers!$B$7:$B$3000,$B194,Offers!$C$7:$C$3000,$C194,Offers!$AG$7:$AG$3000,COUNTIFS(Offers!$B$7:$B$3000,$B194,Offers!$C$7:$C$3000,$C194,Offers!$AI$7:$AI$3000,"yes")))</f>
        <v/>
      </c>
      <c r="L194" s="96"/>
      <c r="M194" s="96"/>
      <c r="N194" s="96"/>
      <c r="O194" s="110" t="str">
        <f aca="false">IF(Compare!$E$5="Local prices",IF(F194="","",IF(Compare!$C$5="Minimum",F194,IF(Compare!$C$5="Maximum",H194,G194))),IF(I194="","",IF(Compare!$C$5="Minimum",I194,IF(Compare!$C$5="Maximum",K194,J194))))</f>
        <v/>
      </c>
    </row>
    <row r="195" customFormat="false" ht="39" hidden="false" customHeight="true" outlineLevel="0" collapsed="false">
      <c r="A195" s="3"/>
      <c r="B195" s="31" t="s">
        <v>62</v>
      </c>
      <c r="C195" s="91" t="s">
        <v>15</v>
      </c>
      <c r="D195" s="91" t="s">
        <v>244</v>
      </c>
      <c r="E195" s="91" t="s">
        <v>491</v>
      </c>
      <c r="F195" s="92" t="n">
        <f aca="false">IF(COUNTIFS(Offers!$B$7:$B$3000,$B195,Offers!$C$7:$C$3000,$C195,Offers!$AH$7:$AH$3000,"yes")=0,"",SUMIFS(Offers!$H$7:$H$3000,Offers!$B$7:$B$3000,$B195,Offers!$C$7:$C$3000,$C195,Offers!$AF$7:$AF$3000,1))</f>
        <v>1.4</v>
      </c>
      <c r="G195" s="93" t="n">
        <f aca="false">IF(COUNTIFS(Offers!$B$7:$B$3000,$B195,Offers!$C$7:$C$3000,$C195,Offers!$AH$7:$AH$3000,"yes")=0,"",(SUMIFS(Offers!$H$7:$H$3000,Offers!$B$7:$B$3000,$B195,Offers!$C$7:$C$3000,$C195,Offers!$AF$7:$AF$3000,ROUNDUP(COUNTIFS(Offers!$B$7:$B$3000,$B195,Offers!$C$7:$C$3000,$C195,Offers!$AH$7:$AH$3000,"yes")/2,0))+SUMIFS(Offers!$H$7:$H$3000,Offers!$B$7:$B$3000,$B195,Offers!$C$7:$C$3000,$C195,Offers!$AF$7:$AF$3000,INT(COUNTIFS(Offers!$B$7:$B$3000,$B195,Offers!$C$7:$C$3000,$C195,Offers!$AH$7:$AH$3000,"yes")/2)+1))/2)</f>
        <v>1.73</v>
      </c>
      <c r="H195" s="92" t="n">
        <f aca="false">IF(COUNTIFS(Offers!$B$7:$B$3000,$B195,Offers!$C$7:$C$3000,$C195,Offers!$AH$7:$AH$3000,"yes")=0,"",SUMIFS(Offers!$H$7:$H$3000,Offers!$B$7:$B$3000,$B195,Offers!$C$7:$C$3000,$C195,Offers!$AF$7:$AF$3000,COUNTIFS(Offers!$B$7:$B$3000,$B195,Offers!$C$7:$C$3000,$C195,Offers!$AH$7:$AH$3000,"yes")))</f>
        <v>5.41</v>
      </c>
      <c r="I195" s="94" t="n">
        <f aca="false">IF(COUNTIFS(Offers!$B$7:$B$3000,$B195,Offers!$C$7:$C$3000,$C195,Offers!$AI$7:$AI$3000,"yes")=0,"",SUMIFS(Offers!$I$7:$I$3000,Offers!$B$7:$B$3000,$B195,Offers!$C$7:$C$3000,$C195,Offers!$AG$7:$AG$3000,1))</f>
        <v>1.4</v>
      </c>
      <c r="J195" s="95" t="n">
        <f aca="false">IF(COUNTIFS(Offers!$B$7:$B$3000,$B195,Offers!$C$7:$C$3000,$C195,Offers!$AI$7:$AI$3000,"yes")=0,"",(SUMIFS(Offers!$I$7:$I$3000,Offers!$B$7:$B$3000,$B195,Offers!$C$7:$C$3000,$C195,Offers!$AG$7:$AG$3000,ROUNDUP(COUNTIFS(Offers!$B$7:$B$3000,$B195,Offers!$C$7:$C$3000,$C195,Offers!$AI$7:$AI$3000,"yes")/2,0))+SUMIFS(Offers!$I$7:$I$3000,Offers!$B$7:$B$3000,$B195,Offers!$C$7:$C$3000,$C195,Offers!$AG$7:$AG$3000,INT(COUNTIFS(Offers!$B$7:$B$3000,$B195,Offers!$C$7:$C$3000,$C195,Offers!$AI$7:$AI$3000,"yes")/2)+1))/2)</f>
        <v>1.73</v>
      </c>
      <c r="K195" s="94" t="n">
        <f aca="false">IF(COUNTIFS(Offers!$B$7:$B$3000,$B195,Offers!$C$7:$C$3000,$C195,Offers!$AI$7:$AI$3000,"yes")=0,"",SUMIFS(Offers!$I$7:$I$3000,Offers!$B$7:$B$3000,$B195,Offers!$C$7:$C$3000,$C195,Offers!$AG$7:$AG$3000,COUNTIFS(Offers!$B$7:$B$3000,$B195,Offers!$C$7:$C$3000,$C195,Offers!$AI$7:$AI$3000,"yes")))</f>
        <v>5.41</v>
      </c>
      <c r="L195" s="96"/>
      <c r="M195" s="96"/>
      <c r="N195" s="96"/>
      <c r="O195" s="97" t="n">
        <f aca="false">IF(Compare!$E$5="Local prices",IF(F195="","",IF(Compare!$C$5="Minimum",F195,IF(Compare!$C$5="Maximum",H195,G195))),IF(I195="","",IF(Compare!$C$5="Minimum",I195,IF(Compare!$C$5="Maximum",K195,J195))))</f>
        <v>1.73</v>
      </c>
    </row>
    <row r="196" customFormat="false" ht="39" hidden="false" customHeight="true" outlineLevel="0" collapsed="false">
      <c r="A196" s="3"/>
      <c r="B196" s="36" t="s">
        <v>62</v>
      </c>
      <c r="C196" s="98" t="s">
        <v>16</v>
      </c>
      <c r="D196" s="98" t="s">
        <v>244</v>
      </c>
      <c r="E196" s="98" t="s">
        <v>491</v>
      </c>
      <c r="F196" s="99" t="str">
        <f aca="false">IF(COUNTIFS(Offers!$B$7:$B$3000,$B196,Offers!$C$7:$C$3000,$C196,Offers!$AH$7:$AH$3000,"yes")=0,"",SUMIFS(Offers!$H$7:$H$3000,Offers!$B$7:$B$3000,$B196,Offers!$C$7:$C$3000,$C196,Offers!$AF$7:$AF$3000,1))</f>
        <v/>
      </c>
      <c r="G196" s="93" t="str">
        <f aca="false">IF(COUNTIFS(Offers!$B$7:$B$3000,$B196,Offers!$C$7:$C$3000,$C196,Offers!$AH$7:$AH$3000,"yes")=0,"",(SUMIFS(Offers!$H$7:$H$3000,Offers!$B$7:$B$3000,$B196,Offers!$C$7:$C$3000,$C196,Offers!$AF$7:$AF$3000,ROUNDUP(COUNTIFS(Offers!$B$7:$B$3000,$B196,Offers!$C$7:$C$3000,$C196,Offers!$AH$7:$AH$3000,"yes")/2,0))+SUMIFS(Offers!$H$7:$H$3000,Offers!$B$7:$B$3000,$B196,Offers!$C$7:$C$3000,$C196,Offers!$AF$7:$AF$3000,INT(COUNTIFS(Offers!$B$7:$B$3000,$B196,Offers!$C$7:$C$3000,$C196,Offers!$AH$7:$AH$3000,"yes")/2)+1))/2)</f>
        <v/>
      </c>
      <c r="H196" s="99" t="str">
        <f aca="false">IF(COUNTIFS(Offers!$B$7:$B$3000,$B196,Offers!$C$7:$C$3000,$C196,Offers!$AH$7:$AH$3000,"yes")=0,"",SUMIFS(Offers!$H$7:$H$3000,Offers!$B$7:$B$3000,$B196,Offers!$C$7:$C$3000,$C196,Offers!$AF$7:$AF$3000,COUNTIFS(Offers!$B$7:$B$3000,$B196,Offers!$C$7:$C$3000,$C196,Offers!$AH$7:$AH$3000,"yes")))</f>
        <v/>
      </c>
      <c r="I196" s="100" t="str">
        <f aca="false">IF(COUNTIFS(Offers!$B$7:$B$3000,$B196,Offers!$C$7:$C$3000,$C196,Offers!$AI$7:$AI$3000,"yes")=0,"",SUMIFS(Offers!$I$7:$I$3000,Offers!$B$7:$B$3000,$B196,Offers!$C$7:$C$3000,$C196,Offers!$AG$7:$AG$3000,1))</f>
        <v/>
      </c>
      <c r="J196" s="95" t="str">
        <f aca="false">IF(COUNTIFS(Offers!$B$7:$B$3000,$B196,Offers!$C$7:$C$3000,$C196,Offers!$AI$7:$AI$3000,"yes")=0,"",(SUMIFS(Offers!$I$7:$I$3000,Offers!$B$7:$B$3000,$B196,Offers!$C$7:$C$3000,$C196,Offers!$AG$7:$AG$3000,ROUNDUP(COUNTIFS(Offers!$B$7:$B$3000,$B196,Offers!$C$7:$C$3000,$C196,Offers!$AI$7:$AI$3000,"yes")/2,0))+SUMIFS(Offers!$I$7:$I$3000,Offers!$B$7:$B$3000,$B196,Offers!$C$7:$C$3000,$C196,Offers!$AG$7:$AG$3000,INT(COUNTIFS(Offers!$B$7:$B$3000,$B196,Offers!$C$7:$C$3000,$C196,Offers!$AI$7:$AI$3000,"yes")/2)+1))/2)</f>
        <v/>
      </c>
      <c r="K196" s="100" t="str">
        <f aca="false">IF(COUNTIFS(Offers!$B$7:$B$3000,$B196,Offers!$C$7:$C$3000,$C196,Offers!$AI$7:$AI$3000,"yes")=0,"",SUMIFS(Offers!$I$7:$I$3000,Offers!$B$7:$B$3000,$B196,Offers!$C$7:$C$3000,$C196,Offers!$AG$7:$AG$3000,COUNTIFS(Offers!$B$7:$B$3000,$B196,Offers!$C$7:$C$3000,$C196,Offers!$AI$7:$AI$3000,"yes")))</f>
        <v/>
      </c>
      <c r="L196" s="96"/>
      <c r="M196" s="96"/>
      <c r="N196" s="96"/>
      <c r="O196" s="110" t="str">
        <f aca="false">IF(Compare!$E$5="Local prices",IF(F196="","",IF(Compare!$C$5="Minimum",F196,IF(Compare!$C$5="Maximum",H196,G196))),IF(I196="","",IF(Compare!$C$5="Minimum",I196,IF(Compare!$C$5="Maximum",K196,J196))))</f>
        <v/>
      </c>
    </row>
    <row r="197" customFormat="false" ht="39" hidden="false" customHeight="true" outlineLevel="0" collapsed="false">
      <c r="A197" s="3"/>
      <c r="B197" s="31" t="s">
        <v>62</v>
      </c>
      <c r="C197" s="91" t="s">
        <v>17</v>
      </c>
      <c r="D197" s="91" t="s">
        <v>333</v>
      </c>
      <c r="E197" s="91" t="s">
        <v>491</v>
      </c>
      <c r="F197" s="92" t="n">
        <f aca="false">IF(COUNTIFS(Offers!$B$7:$B$3000,$B197,Offers!$C$7:$C$3000,$C197,Offers!$AH$7:$AH$3000,"yes")=0,"",SUMIFS(Offers!$H$7:$H$3000,Offers!$B$7:$B$3000,$B197,Offers!$C$7:$C$3000,$C197,Offers!$AF$7:$AF$3000,1))</f>
        <v>38</v>
      </c>
      <c r="G197" s="93" t="n">
        <f aca="false">IF(COUNTIFS(Offers!$B$7:$B$3000,$B197,Offers!$C$7:$C$3000,$C197,Offers!$AH$7:$AH$3000,"yes")=0,"",(SUMIFS(Offers!$H$7:$H$3000,Offers!$B$7:$B$3000,$B197,Offers!$C$7:$C$3000,$C197,Offers!$AF$7:$AF$3000,ROUNDUP(COUNTIFS(Offers!$B$7:$B$3000,$B197,Offers!$C$7:$C$3000,$C197,Offers!$AH$7:$AH$3000,"yes")/2,0))+SUMIFS(Offers!$H$7:$H$3000,Offers!$B$7:$B$3000,$B197,Offers!$C$7:$C$3000,$C197,Offers!$AF$7:$AF$3000,INT(COUNTIFS(Offers!$B$7:$B$3000,$B197,Offers!$C$7:$C$3000,$C197,Offers!$AH$7:$AH$3000,"yes")/2)+1))/2)</f>
        <v>59.495</v>
      </c>
      <c r="H197" s="92" t="n">
        <f aca="false">IF(COUNTIFS(Offers!$B$7:$B$3000,$B197,Offers!$C$7:$C$3000,$C197,Offers!$AH$7:$AH$3000,"yes")=0,"",SUMIFS(Offers!$H$7:$H$3000,Offers!$B$7:$B$3000,$B197,Offers!$C$7:$C$3000,$C197,Offers!$AF$7:$AF$3000,COUNTIFS(Offers!$B$7:$B$3000,$B197,Offers!$C$7:$C$3000,$C197,Offers!$AH$7:$AH$3000,"yes")))</f>
        <v>80.99</v>
      </c>
      <c r="I197" s="94" t="n">
        <f aca="false">IF(COUNTIFS(Offers!$B$7:$B$3000,$B197,Offers!$C$7:$C$3000,$C197,Offers!$AI$7:$AI$3000,"yes")=0,"",SUMIFS(Offers!$I$7:$I$3000,Offers!$B$7:$B$3000,$B197,Offers!$C$7:$C$3000,$C197,Offers!$AG$7:$AG$3000,1))</f>
        <v>1.555871</v>
      </c>
      <c r="J197" s="95" t="n">
        <f aca="false">IF(COUNTIFS(Offers!$B$7:$B$3000,$B197,Offers!$C$7:$C$3000,$C197,Offers!$AI$7:$AI$3000,"yes")=0,"",(SUMIFS(Offers!$I$7:$I$3000,Offers!$B$7:$B$3000,$B197,Offers!$C$7:$C$3000,$C197,Offers!$AG$7:$AG$3000,ROUNDUP(COUNTIFS(Offers!$B$7:$B$3000,$B197,Offers!$C$7:$C$3000,$C197,Offers!$AI$7:$AI$3000,"yes")/2,0))+SUMIFS(Offers!$I$7:$I$3000,Offers!$B$7:$B$3000,$B197,Offers!$C$7:$C$3000,$C197,Offers!$AG$7:$AG$3000,INT(COUNTIFS(Offers!$B$7:$B$3000,$B197,Offers!$C$7:$C$3000,$C197,Offers!$AI$7:$AI$3000,"yes")/2)+1))/2)</f>
        <v>2.435962</v>
      </c>
      <c r="K197" s="94" t="n">
        <f aca="false">IF(COUNTIFS(Offers!$B$7:$B$3000,$B197,Offers!$C$7:$C$3000,$C197,Offers!$AI$7:$AI$3000,"yes")=0,"",SUMIFS(Offers!$I$7:$I$3000,Offers!$B$7:$B$3000,$B197,Offers!$C$7:$C$3000,$C197,Offers!$AG$7:$AG$3000,COUNTIFS(Offers!$B$7:$B$3000,$B197,Offers!$C$7:$C$3000,$C197,Offers!$AI$7:$AI$3000,"yes")))</f>
        <v>3.316053</v>
      </c>
      <c r="L197" s="96"/>
      <c r="M197" s="96"/>
      <c r="N197" s="96"/>
      <c r="O197" s="97" t="n">
        <f aca="false">IF(Compare!$E$5="Local prices",IF(F197="","",IF(Compare!$C$5="Minimum",F197,IF(Compare!$C$5="Maximum",H197,G197))),IF(I197="","",IF(Compare!$C$5="Minimum",I197,IF(Compare!$C$5="Maximum",K197,J197))))</f>
        <v>2.435962</v>
      </c>
    </row>
    <row r="198" customFormat="false" ht="39" hidden="false" customHeight="true" outlineLevel="0" collapsed="false">
      <c r="A198" s="3"/>
      <c r="B198" s="36" t="s">
        <v>62</v>
      </c>
      <c r="C198" s="98" t="s">
        <v>18</v>
      </c>
      <c r="D198" s="98" t="s">
        <v>244</v>
      </c>
      <c r="E198" s="98" t="s">
        <v>491</v>
      </c>
      <c r="F198" s="99" t="str">
        <f aca="false">IF(COUNTIFS(Offers!$B$7:$B$3000,$B198,Offers!$C$7:$C$3000,$C198,Offers!$AH$7:$AH$3000,"yes")=0,"",SUMIFS(Offers!$H$7:$H$3000,Offers!$B$7:$B$3000,$B198,Offers!$C$7:$C$3000,$C198,Offers!$AF$7:$AF$3000,1))</f>
        <v/>
      </c>
      <c r="G198" s="93" t="str">
        <f aca="false">IF(COUNTIFS(Offers!$B$7:$B$3000,$B198,Offers!$C$7:$C$3000,$C198,Offers!$AH$7:$AH$3000,"yes")=0,"",(SUMIFS(Offers!$H$7:$H$3000,Offers!$B$7:$B$3000,$B198,Offers!$C$7:$C$3000,$C198,Offers!$AF$7:$AF$3000,ROUNDUP(COUNTIFS(Offers!$B$7:$B$3000,$B198,Offers!$C$7:$C$3000,$C198,Offers!$AH$7:$AH$3000,"yes")/2,0))+SUMIFS(Offers!$H$7:$H$3000,Offers!$B$7:$B$3000,$B198,Offers!$C$7:$C$3000,$C198,Offers!$AF$7:$AF$3000,INT(COUNTIFS(Offers!$B$7:$B$3000,$B198,Offers!$C$7:$C$3000,$C198,Offers!$AH$7:$AH$3000,"yes")/2)+1))/2)</f>
        <v/>
      </c>
      <c r="H198" s="99" t="str">
        <f aca="false">IF(COUNTIFS(Offers!$B$7:$B$3000,$B198,Offers!$C$7:$C$3000,$C198,Offers!$AH$7:$AH$3000,"yes")=0,"",SUMIFS(Offers!$H$7:$H$3000,Offers!$B$7:$B$3000,$B198,Offers!$C$7:$C$3000,$C198,Offers!$AF$7:$AF$3000,COUNTIFS(Offers!$B$7:$B$3000,$B198,Offers!$C$7:$C$3000,$C198,Offers!$AH$7:$AH$3000,"yes")))</f>
        <v/>
      </c>
      <c r="I198" s="100" t="str">
        <f aca="false">IF(COUNTIFS(Offers!$B$7:$B$3000,$B198,Offers!$C$7:$C$3000,$C198,Offers!$AI$7:$AI$3000,"yes")=0,"",SUMIFS(Offers!$I$7:$I$3000,Offers!$B$7:$B$3000,$B198,Offers!$C$7:$C$3000,$C198,Offers!$AG$7:$AG$3000,1))</f>
        <v/>
      </c>
      <c r="J198" s="95" t="str">
        <f aca="false">IF(COUNTIFS(Offers!$B$7:$B$3000,$B198,Offers!$C$7:$C$3000,$C198,Offers!$AI$7:$AI$3000,"yes")=0,"",(SUMIFS(Offers!$I$7:$I$3000,Offers!$B$7:$B$3000,$B198,Offers!$C$7:$C$3000,$C198,Offers!$AG$7:$AG$3000,ROUNDUP(COUNTIFS(Offers!$B$7:$B$3000,$B198,Offers!$C$7:$C$3000,$C198,Offers!$AI$7:$AI$3000,"yes")/2,0))+SUMIFS(Offers!$I$7:$I$3000,Offers!$B$7:$B$3000,$B198,Offers!$C$7:$C$3000,$C198,Offers!$AG$7:$AG$3000,INT(COUNTIFS(Offers!$B$7:$B$3000,$B198,Offers!$C$7:$C$3000,$C198,Offers!$AI$7:$AI$3000,"yes")/2)+1))/2)</f>
        <v/>
      </c>
      <c r="K198" s="100" t="str">
        <f aca="false">IF(COUNTIFS(Offers!$B$7:$B$3000,$B198,Offers!$C$7:$C$3000,$C198,Offers!$AI$7:$AI$3000,"yes")=0,"",SUMIFS(Offers!$I$7:$I$3000,Offers!$B$7:$B$3000,$B198,Offers!$C$7:$C$3000,$C198,Offers!$AG$7:$AG$3000,COUNTIFS(Offers!$B$7:$B$3000,$B198,Offers!$C$7:$C$3000,$C198,Offers!$AI$7:$AI$3000,"yes")))</f>
        <v/>
      </c>
      <c r="L198" s="96"/>
      <c r="M198" s="96"/>
      <c r="N198" s="96"/>
      <c r="O198" s="110" t="str">
        <f aca="false">IF(Compare!$E$5="Local prices",IF(F198="","",IF(Compare!$C$5="Minimum",F198,IF(Compare!$C$5="Maximum",H198,G198))),IF(I198="","",IF(Compare!$C$5="Minimum",I198,IF(Compare!$C$5="Maximum",K198,J198))))</f>
        <v/>
      </c>
    </row>
    <row r="199" customFormat="false" ht="39" hidden="false" customHeight="true" outlineLevel="0" collapsed="false">
      <c r="A199" s="3"/>
      <c r="B199" s="102" t="s">
        <v>63</v>
      </c>
      <c r="C199" s="103" t="s">
        <v>13</v>
      </c>
      <c r="D199" s="103" t="s">
        <v>490</v>
      </c>
      <c r="E199" s="103" t="s">
        <v>491</v>
      </c>
      <c r="F199" s="104" t="str">
        <f aca="false">IF(COUNTIFS(Offers!$B$7:$B$3000,$B199,Offers!$C$7:$C$3000,$C199,Offers!$AH$7:$AH$3000,"yes")=0,"",SUMIFS(Offers!$H$7:$H$3000,Offers!$B$7:$B$3000,$B199,Offers!$C$7:$C$3000,$C199,Offers!$AF$7:$AF$3000,1))</f>
        <v/>
      </c>
      <c r="G199" s="105" t="str">
        <f aca="false">IF(COUNTIFS(Offers!$B$7:$B$3000,$B199,Offers!$C$7:$C$3000,$C199,Offers!$AH$7:$AH$3000,"yes")=0,"",(SUMIFS(Offers!$H$7:$H$3000,Offers!$B$7:$B$3000,$B199,Offers!$C$7:$C$3000,$C199,Offers!$AF$7:$AF$3000,ROUNDUP(COUNTIFS(Offers!$B$7:$B$3000,$B199,Offers!$C$7:$C$3000,$C199,Offers!$AH$7:$AH$3000,"yes")/2,0))+SUMIFS(Offers!$H$7:$H$3000,Offers!$B$7:$B$3000,$B199,Offers!$C$7:$C$3000,$C199,Offers!$AF$7:$AF$3000,INT(COUNTIFS(Offers!$B$7:$B$3000,$B199,Offers!$C$7:$C$3000,$C199,Offers!$AH$7:$AH$3000,"yes")/2)+1))/2)</f>
        <v/>
      </c>
      <c r="H199" s="104" t="str">
        <f aca="false">IF(COUNTIFS(Offers!$B$7:$B$3000,$B199,Offers!$C$7:$C$3000,$C199,Offers!$AH$7:$AH$3000,"yes")=0,"",SUMIFS(Offers!$H$7:$H$3000,Offers!$B$7:$B$3000,$B199,Offers!$C$7:$C$3000,$C199,Offers!$AF$7:$AF$3000,COUNTIFS(Offers!$B$7:$B$3000,$B199,Offers!$C$7:$C$3000,$C199,Offers!$AH$7:$AH$3000,"yes")))</f>
        <v/>
      </c>
      <c r="I199" s="106" t="str">
        <f aca="false">IF(COUNTIFS(Offers!$B$7:$B$3000,$B199,Offers!$C$7:$C$3000,$C199,Offers!$AI$7:$AI$3000,"yes")=0,"",SUMIFS(Offers!$I$7:$I$3000,Offers!$B$7:$B$3000,$B199,Offers!$C$7:$C$3000,$C199,Offers!$AG$7:$AG$3000,1))</f>
        <v/>
      </c>
      <c r="J199" s="107" t="str">
        <f aca="false">IF(COUNTIFS(Offers!$B$7:$B$3000,$B199,Offers!$C$7:$C$3000,$C199,Offers!$AI$7:$AI$3000,"yes")=0,"",(SUMIFS(Offers!$I$7:$I$3000,Offers!$B$7:$B$3000,$B199,Offers!$C$7:$C$3000,$C199,Offers!$AG$7:$AG$3000,ROUNDUP(COUNTIFS(Offers!$B$7:$B$3000,$B199,Offers!$C$7:$C$3000,$C199,Offers!$AI$7:$AI$3000,"yes")/2,0))+SUMIFS(Offers!$I$7:$I$3000,Offers!$B$7:$B$3000,$B199,Offers!$C$7:$C$3000,$C199,Offers!$AG$7:$AG$3000,INT(COUNTIFS(Offers!$B$7:$B$3000,$B199,Offers!$C$7:$C$3000,$C199,Offers!$AI$7:$AI$3000,"yes")/2)+1))/2)</f>
        <v/>
      </c>
      <c r="K199" s="106" t="str">
        <f aca="false">IF(COUNTIFS(Offers!$B$7:$B$3000,$B199,Offers!$C$7:$C$3000,$C199,Offers!$AI$7:$AI$3000,"yes")=0,"",SUMIFS(Offers!$I$7:$I$3000,Offers!$B$7:$B$3000,$B199,Offers!$C$7:$C$3000,$C199,Offers!$AG$7:$AG$3000,COUNTIFS(Offers!$B$7:$B$3000,$B199,Offers!$C$7:$C$3000,$C199,Offers!$AI$7:$AI$3000,"yes")))</f>
        <v/>
      </c>
      <c r="L199" s="108"/>
      <c r="M199" s="108"/>
      <c r="N199" s="108"/>
      <c r="O199" s="109" t="str">
        <f aca="false">IF(Compare!$E$5="Local prices",IF(F199="","",IF(Compare!$C$5="Minimum",F199,IF(Compare!$C$5="Maximum",H199,G199))),IF(I199="","",IF(Compare!$C$5="Minimum",I199,IF(Compare!$C$5="Maximum",K199,J199))))</f>
        <v/>
      </c>
    </row>
    <row r="200" customFormat="false" ht="39" hidden="false" customHeight="true" outlineLevel="0" collapsed="false">
      <c r="A200" s="3"/>
      <c r="B200" s="36" t="s">
        <v>63</v>
      </c>
      <c r="C200" s="98" t="s">
        <v>14</v>
      </c>
      <c r="D200" s="98" t="s">
        <v>374</v>
      </c>
      <c r="E200" s="98" t="s">
        <v>491</v>
      </c>
      <c r="F200" s="99" t="str">
        <f aca="false">IF(COUNTIFS(Offers!$B$7:$B$3000,$B200,Offers!$C$7:$C$3000,$C200,Offers!$AH$7:$AH$3000,"yes")=0,"",SUMIFS(Offers!$H$7:$H$3000,Offers!$B$7:$B$3000,$B200,Offers!$C$7:$C$3000,$C200,Offers!$AF$7:$AF$3000,1))</f>
        <v/>
      </c>
      <c r="G200" s="93" t="str">
        <f aca="false">IF(COUNTIFS(Offers!$B$7:$B$3000,$B200,Offers!$C$7:$C$3000,$C200,Offers!$AH$7:$AH$3000,"yes")=0,"",(SUMIFS(Offers!$H$7:$H$3000,Offers!$B$7:$B$3000,$B200,Offers!$C$7:$C$3000,$C200,Offers!$AF$7:$AF$3000,ROUNDUP(COUNTIFS(Offers!$B$7:$B$3000,$B200,Offers!$C$7:$C$3000,$C200,Offers!$AH$7:$AH$3000,"yes")/2,0))+SUMIFS(Offers!$H$7:$H$3000,Offers!$B$7:$B$3000,$B200,Offers!$C$7:$C$3000,$C200,Offers!$AF$7:$AF$3000,INT(COUNTIFS(Offers!$B$7:$B$3000,$B200,Offers!$C$7:$C$3000,$C200,Offers!$AH$7:$AH$3000,"yes")/2)+1))/2)</f>
        <v/>
      </c>
      <c r="H200" s="99" t="str">
        <f aca="false">IF(COUNTIFS(Offers!$B$7:$B$3000,$B200,Offers!$C$7:$C$3000,$C200,Offers!$AH$7:$AH$3000,"yes")=0,"",SUMIFS(Offers!$H$7:$H$3000,Offers!$B$7:$B$3000,$B200,Offers!$C$7:$C$3000,$C200,Offers!$AF$7:$AF$3000,COUNTIFS(Offers!$B$7:$B$3000,$B200,Offers!$C$7:$C$3000,$C200,Offers!$AH$7:$AH$3000,"yes")))</f>
        <v/>
      </c>
      <c r="I200" s="100" t="str">
        <f aca="false">IF(COUNTIFS(Offers!$B$7:$B$3000,$B200,Offers!$C$7:$C$3000,$C200,Offers!$AI$7:$AI$3000,"yes")=0,"",SUMIFS(Offers!$I$7:$I$3000,Offers!$B$7:$B$3000,$B200,Offers!$C$7:$C$3000,$C200,Offers!$AG$7:$AG$3000,1))</f>
        <v/>
      </c>
      <c r="J200" s="95" t="str">
        <f aca="false">IF(COUNTIFS(Offers!$B$7:$B$3000,$B200,Offers!$C$7:$C$3000,$C200,Offers!$AI$7:$AI$3000,"yes")=0,"",(SUMIFS(Offers!$I$7:$I$3000,Offers!$B$7:$B$3000,$B200,Offers!$C$7:$C$3000,$C200,Offers!$AG$7:$AG$3000,ROUNDUP(COUNTIFS(Offers!$B$7:$B$3000,$B200,Offers!$C$7:$C$3000,$C200,Offers!$AI$7:$AI$3000,"yes")/2,0))+SUMIFS(Offers!$I$7:$I$3000,Offers!$B$7:$B$3000,$B200,Offers!$C$7:$C$3000,$C200,Offers!$AG$7:$AG$3000,INT(COUNTIFS(Offers!$B$7:$B$3000,$B200,Offers!$C$7:$C$3000,$C200,Offers!$AI$7:$AI$3000,"yes")/2)+1))/2)</f>
        <v/>
      </c>
      <c r="K200" s="100" t="str">
        <f aca="false">IF(COUNTIFS(Offers!$B$7:$B$3000,$B200,Offers!$C$7:$C$3000,$C200,Offers!$AI$7:$AI$3000,"yes")=0,"",SUMIFS(Offers!$I$7:$I$3000,Offers!$B$7:$B$3000,$B200,Offers!$C$7:$C$3000,$C200,Offers!$AG$7:$AG$3000,COUNTIFS(Offers!$B$7:$B$3000,$B200,Offers!$C$7:$C$3000,$C200,Offers!$AI$7:$AI$3000,"yes")))</f>
        <v/>
      </c>
      <c r="L200" s="96"/>
      <c r="M200" s="96"/>
      <c r="N200" s="96"/>
      <c r="O200" s="110" t="str">
        <f aca="false">IF(Compare!$E$5="Local prices",IF(F200="","",IF(Compare!$C$5="Minimum",F200,IF(Compare!$C$5="Maximum",H200,G200))),IF(I200="","",IF(Compare!$C$5="Minimum",I200,IF(Compare!$C$5="Maximum",K200,J200))))</f>
        <v/>
      </c>
    </row>
    <row r="201" customFormat="false" ht="39" hidden="false" customHeight="true" outlineLevel="0" collapsed="false">
      <c r="A201" s="3"/>
      <c r="B201" s="31" t="s">
        <v>63</v>
      </c>
      <c r="C201" s="91" t="s">
        <v>15</v>
      </c>
      <c r="D201" s="91" t="s">
        <v>244</v>
      </c>
      <c r="E201" s="91" t="s">
        <v>491</v>
      </c>
      <c r="F201" s="92" t="n">
        <f aca="false">IF(COUNTIFS(Offers!$B$7:$B$3000,$B201,Offers!$C$7:$C$3000,$C201,Offers!$AH$7:$AH$3000,"yes")=0,"",SUMIFS(Offers!$H$7:$H$3000,Offers!$B$7:$B$3000,$B201,Offers!$C$7:$C$3000,$C201,Offers!$AF$7:$AF$3000,1))</f>
        <v>7.41</v>
      </c>
      <c r="G201" s="93" t="n">
        <f aca="false">IF(COUNTIFS(Offers!$B$7:$B$3000,$B201,Offers!$C$7:$C$3000,$C201,Offers!$AH$7:$AH$3000,"yes")=0,"",(SUMIFS(Offers!$H$7:$H$3000,Offers!$B$7:$B$3000,$B201,Offers!$C$7:$C$3000,$C201,Offers!$AF$7:$AF$3000,ROUNDUP(COUNTIFS(Offers!$B$7:$B$3000,$B201,Offers!$C$7:$C$3000,$C201,Offers!$AH$7:$AH$3000,"yes")/2,0))+SUMIFS(Offers!$H$7:$H$3000,Offers!$B$7:$B$3000,$B201,Offers!$C$7:$C$3000,$C201,Offers!$AF$7:$AF$3000,INT(COUNTIFS(Offers!$B$7:$B$3000,$B201,Offers!$C$7:$C$3000,$C201,Offers!$AH$7:$AH$3000,"yes")/2)+1))/2)</f>
        <v>9.3</v>
      </c>
      <c r="H201" s="92" t="n">
        <f aca="false">IF(COUNTIFS(Offers!$B$7:$B$3000,$B201,Offers!$C$7:$C$3000,$C201,Offers!$AH$7:$AH$3000,"yes")=0,"",SUMIFS(Offers!$H$7:$H$3000,Offers!$B$7:$B$3000,$B201,Offers!$C$7:$C$3000,$C201,Offers!$AF$7:$AF$3000,COUNTIFS(Offers!$B$7:$B$3000,$B201,Offers!$C$7:$C$3000,$C201,Offers!$AH$7:$AH$3000,"yes")))</f>
        <v>11.19</v>
      </c>
      <c r="I201" s="94" t="n">
        <f aca="false">IF(COUNTIFS(Offers!$B$7:$B$3000,$B201,Offers!$C$7:$C$3000,$C201,Offers!$AI$7:$AI$3000,"yes")=0,"",SUMIFS(Offers!$I$7:$I$3000,Offers!$B$7:$B$3000,$B201,Offers!$C$7:$C$3000,$C201,Offers!$AG$7:$AG$3000,1))</f>
        <v>7.41</v>
      </c>
      <c r="J201" s="95" t="n">
        <f aca="false">IF(COUNTIFS(Offers!$B$7:$B$3000,$B201,Offers!$C$7:$C$3000,$C201,Offers!$AI$7:$AI$3000,"yes")=0,"",(SUMIFS(Offers!$I$7:$I$3000,Offers!$B$7:$B$3000,$B201,Offers!$C$7:$C$3000,$C201,Offers!$AG$7:$AG$3000,ROUNDUP(COUNTIFS(Offers!$B$7:$B$3000,$B201,Offers!$C$7:$C$3000,$C201,Offers!$AI$7:$AI$3000,"yes")/2,0))+SUMIFS(Offers!$I$7:$I$3000,Offers!$B$7:$B$3000,$B201,Offers!$C$7:$C$3000,$C201,Offers!$AG$7:$AG$3000,INT(COUNTIFS(Offers!$B$7:$B$3000,$B201,Offers!$C$7:$C$3000,$C201,Offers!$AI$7:$AI$3000,"yes")/2)+1))/2)</f>
        <v>9.3</v>
      </c>
      <c r="K201" s="94" t="n">
        <f aca="false">IF(COUNTIFS(Offers!$B$7:$B$3000,$B201,Offers!$C$7:$C$3000,$C201,Offers!$AI$7:$AI$3000,"yes")=0,"",SUMIFS(Offers!$I$7:$I$3000,Offers!$B$7:$B$3000,$B201,Offers!$C$7:$C$3000,$C201,Offers!$AG$7:$AG$3000,COUNTIFS(Offers!$B$7:$B$3000,$B201,Offers!$C$7:$C$3000,$C201,Offers!$AI$7:$AI$3000,"yes")))</f>
        <v>11.19</v>
      </c>
      <c r="L201" s="96"/>
      <c r="M201" s="96"/>
      <c r="N201" s="96"/>
      <c r="O201" s="97" t="n">
        <f aca="false">IF(Compare!$E$5="Local prices",IF(F201="","",IF(Compare!$C$5="Minimum",F201,IF(Compare!$C$5="Maximum",H201,G201))),IF(I201="","",IF(Compare!$C$5="Minimum",I201,IF(Compare!$C$5="Maximum",K201,J201))))</f>
        <v>9.3</v>
      </c>
    </row>
    <row r="202" customFormat="false" ht="39" hidden="false" customHeight="true" outlineLevel="0" collapsed="false">
      <c r="A202" s="3"/>
      <c r="B202" s="36" t="s">
        <v>63</v>
      </c>
      <c r="C202" s="98" t="s">
        <v>16</v>
      </c>
      <c r="D202" s="98" t="s">
        <v>244</v>
      </c>
      <c r="E202" s="98" t="s">
        <v>491</v>
      </c>
      <c r="F202" s="99" t="str">
        <f aca="false">IF(COUNTIFS(Offers!$B$7:$B$3000,$B202,Offers!$C$7:$C$3000,$C202,Offers!$AH$7:$AH$3000,"yes")=0,"",SUMIFS(Offers!$H$7:$H$3000,Offers!$B$7:$B$3000,$B202,Offers!$C$7:$C$3000,$C202,Offers!$AF$7:$AF$3000,1))</f>
        <v/>
      </c>
      <c r="G202" s="93" t="str">
        <f aca="false">IF(COUNTIFS(Offers!$B$7:$B$3000,$B202,Offers!$C$7:$C$3000,$C202,Offers!$AH$7:$AH$3000,"yes")=0,"",(SUMIFS(Offers!$H$7:$H$3000,Offers!$B$7:$B$3000,$B202,Offers!$C$7:$C$3000,$C202,Offers!$AF$7:$AF$3000,ROUNDUP(COUNTIFS(Offers!$B$7:$B$3000,$B202,Offers!$C$7:$C$3000,$C202,Offers!$AH$7:$AH$3000,"yes")/2,0))+SUMIFS(Offers!$H$7:$H$3000,Offers!$B$7:$B$3000,$B202,Offers!$C$7:$C$3000,$C202,Offers!$AF$7:$AF$3000,INT(COUNTIFS(Offers!$B$7:$B$3000,$B202,Offers!$C$7:$C$3000,$C202,Offers!$AH$7:$AH$3000,"yes")/2)+1))/2)</f>
        <v/>
      </c>
      <c r="H202" s="99" t="str">
        <f aca="false">IF(COUNTIFS(Offers!$B$7:$B$3000,$B202,Offers!$C$7:$C$3000,$C202,Offers!$AH$7:$AH$3000,"yes")=0,"",SUMIFS(Offers!$H$7:$H$3000,Offers!$B$7:$B$3000,$B202,Offers!$C$7:$C$3000,$C202,Offers!$AF$7:$AF$3000,COUNTIFS(Offers!$B$7:$B$3000,$B202,Offers!$C$7:$C$3000,$C202,Offers!$AH$7:$AH$3000,"yes")))</f>
        <v/>
      </c>
      <c r="I202" s="100" t="str">
        <f aca="false">IF(COUNTIFS(Offers!$B$7:$B$3000,$B202,Offers!$C$7:$C$3000,$C202,Offers!$AI$7:$AI$3000,"yes")=0,"",SUMIFS(Offers!$I$7:$I$3000,Offers!$B$7:$B$3000,$B202,Offers!$C$7:$C$3000,$C202,Offers!$AG$7:$AG$3000,1))</f>
        <v/>
      </c>
      <c r="J202" s="95" t="str">
        <f aca="false">IF(COUNTIFS(Offers!$B$7:$B$3000,$B202,Offers!$C$7:$C$3000,$C202,Offers!$AI$7:$AI$3000,"yes")=0,"",(SUMIFS(Offers!$I$7:$I$3000,Offers!$B$7:$B$3000,$B202,Offers!$C$7:$C$3000,$C202,Offers!$AG$7:$AG$3000,ROUNDUP(COUNTIFS(Offers!$B$7:$B$3000,$B202,Offers!$C$7:$C$3000,$C202,Offers!$AI$7:$AI$3000,"yes")/2,0))+SUMIFS(Offers!$I$7:$I$3000,Offers!$B$7:$B$3000,$B202,Offers!$C$7:$C$3000,$C202,Offers!$AG$7:$AG$3000,INT(COUNTIFS(Offers!$B$7:$B$3000,$B202,Offers!$C$7:$C$3000,$C202,Offers!$AI$7:$AI$3000,"yes")/2)+1))/2)</f>
        <v/>
      </c>
      <c r="K202" s="100" t="str">
        <f aca="false">IF(COUNTIFS(Offers!$B$7:$B$3000,$B202,Offers!$C$7:$C$3000,$C202,Offers!$AI$7:$AI$3000,"yes")=0,"",SUMIFS(Offers!$I$7:$I$3000,Offers!$B$7:$B$3000,$B202,Offers!$C$7:$C$3000,$C202,Offers!$AG$7:$AG$3000,COUNTIFS(Offers!$B$7:$B$3000,$B202,Offers!$C$7:$C$3000,$C202,Offers!$AI$7:$AI$3000,"yes")))</f>
        <v/>
      </c>
      <c r="L202" s="96"/>
      <c r="M202" s="96"/>
      <c r="N202" s="96"/>
      <c r="O202" s="110" t="str">
        <f aca="false">IF(Compare!$E$5="Local prices",IF(F202="","",IF(Compare!$C$5="Minimum",F202,IF(Compare!$C$5="Maximum",H202,G202))),IF(I202="","",IF(Compare!$C$5="Minimum",I202,IF(Compare!$C$5="Maximum",K202,J202))))</f>
        <v/>
      </c>
    </row>
    <row r="203" customFormat="false" ht="39" hidden="false" customHeight="true" outlineLevel="0" collapsed="false">
      <c r="A203" s="3"/>
      <c r="B203" s="31" t="s">
        <v>63</v>
      </c>
      <c r="C203" s="91" t="s">
        <v>17</v>
      </c>
      <c r="D203" s="91" t="s">
        <v>333</v>
      </c>
      <c r="E203" s="91" t="s">
        <v>491</v>
      </c>
      <c r="F203" s="92" t="str">
        <f aca="false">IF(COUNTIFS(Offers!$B$7:$B$3000,$B203,Offers!$C$7:$C$3000,$C203,Offers!$AH$7:$AH$3000,"yes")=0,"",SUMIFS(Offers!$H$7:$H$3000,Offers!$B$7:$B$3000,$B203,Offers!$C$7:$C$3000,$C203,Offers!$AF$7:$AF$3000,1))</f>
        <v/>
      </c>
      <c r="G203" s="93" t="str">
        <f aca="false">IF(COUNTIFS(Offers!$B$7:$B$3000,$B203,Offers!$C$7:$C$3000,$C203,Offers!$AH$7:$AH$3000,"yes")=0,"",(SUMIFS(Offers!$H$7:$H$3000,Offers!$B$7:$B$3000,$B203,Offers!$C$7:$C$3000,$C203,Offers!$AF$7:$AF$3000,ROUNDUP(COUNTIFS(Offers!$B$7:$B$3000,$B203,Offers!$C$7:$C$3000,$C203,Offers!$AH$7:$AH$3000,"yes")/2,0))+SUMIFS(Offers!$H$7:$H$3000,Offers!$B$7:$B$3000,$B203,Offers!$C$7:$C$3000,$C203,Offers!$AF$7:$AF$3000,INT(COUNTIFS(Offers!$B$7:$B$3000,$B203,Offers!$C$7:$C$3000,$C203,Offers!$AH$7:$AH$3000,"yes")/2)+1))/2)</f>
        <v/>
      </c>
      <c r="H203" s="92" t="str">
        <f aca="false">IF(COUNTIFS(Offers!$B$7:$B$3000,$B203,Offers!$C$7:$C$3000,$C203,Offers!$AH$7:$AH$3000,"yes")=0,"",SUMIFS(Offers!$H$7:$H$3000,Offers!$B$7:$B$3000,$B203,Offers!$C$7:$C$3000,$C203,Offers!$AF$7:$AF$3000,COUNTIFS(Offers!$B$7:$B$3000,$B203,Offers!$C$7:$C$3000,$C203,Offers!$AH$7:$AH$3000,"yes")))</f>
        <v/>
      </c>
      <c r="I203" s="94" t="str">
        <f aca="false">IF(COUNTIFS(Offers!$B$7:$B$3000,$B203,Offers!$C$7:$C$3000,$C203,Offers!$AI$7:$AI$3000,"yes")=0,"",SUMIFS(Offers!$I$7:$I$3000,Offers!$B$7:$B$3000,$B203,Offers!$C$7:$C$3000,$C203,Offers!$AG$7:$AG$3000,1))</f>
        <v/>
      </c>
      <c r="J203" s="95" t="str">
        <f aca="false">IF(COUNTIFS(Offers!$B$7:$B$3000,$B203,Offers!$C$7:$C$3000,$C203,Offers!$AI$7:$AI$3000,"yes")=0,"",(SUMIFS(Offers!$I$7:$I$3000,Offers!$B$7:$B$3000,$B203,Offers!$C$7:$C$3000,$C203,Offers!$AG$7:$AG$3000,ROUNDUP(COUNTIFS(Offers!$B$7:$B$3000,$B203,Offers!$C$7:$C$3000,$C203,Offers!$AI$7:$AI$3000,"yes")/2,0))+SUMIFS(Offers!$I$7:$I$3000,Offers!$B$7:$B$3000,$B203,Offers!$C$7:$C$3000,$C203,Offers!$AG$7:$AG$3000,INT(COUNTIFS(Offers!$B$7:$B$3000,$B203,Offers!$C$7:$C$3000,$C203,Offers!$AI$7:$AI$3000,"yes")/2)+1))/2)</f>
        <v/>
      </c>
      <c r="K203" s="94" t="str">
        <f aca="false">IF(COUNTIFS(Offers!$B$7:$B$3000,$B203,Offers!$C$7:$C$3000,$C203,Offers!$AI$7:$AI$3000,"yes")=0,"",SUMIFS(Offers!$I$7:$I$3000,Offers!$B$7:$B$3000,$B203,Offers!$C$7:$C$3000,$C203,Offers!$AG$7:$AG$3000,COUNTIFS(Offers!$B$7:$B$3000,$B203,Offers!$C$7:$C$3000,$C203,Offers!$AI$7:$AI$3000,"yes")))</f>
        <v/>
      </c>
      <c r="L203" s="96"/>
      <c r="M203" s="96"/>
      <c r="N203" s="96"/>
      <c r="O203" s="109" t="str">
        <f aca="false">IF(Compare!$E$5="Local prices",IF(F203="","",IF(Compare!$C$5="Minimum",F203,IF(Compare!$C$5="Maximum",H203,G203))),IF(I203="","",IF(Compare!$C$5="Minimum",I203,IF(Compare!$C$5="Maximum",K203,J203))))</f>
        <v/>
      </c>
    </row>
    <row r="204" customFormat="false" ht="39" hidden="false" customHeight="true" outlineLevel="0" collapsed="false">
      <c r="A204" s="3"/>
      <c r="B204" s="36" t="s">
        <v>63</v>
      </c>
      <c r="C204" s="98" t="s">
        <v>18</v>
      </c>
      <c r="D204" s="98" t="s">
        <v>244</v>
      </c>
      <c r="E204" s="98" t="s">
        <v>491</v>
      </c>
      <c r="F204" s="99" t="str">
        <f aca="false">IF(COUNTIFS(Offers!$B$7:$B$3000,$B204,Offers!$C$7:$C$3000,$C204,Offers!$AH$7:$AH$3000,"yes")=0,"",SUMIFS(Offers!$H$7:$H$3000,Offers!$B$7:$B$3000,$B204,Offers!$C$7:$C$3000,$C204,Offers!$AF$7:$AF$3000,1))</f>
        <v/>
      </c>
      <c r="G204" s="93" t="str">
        <f aca="false">IF(COUNTIFS(Offers!$B$7:$B$3000,$B204,Offers!$C$7:$C$3000,$C204,Offers!$AH$7:$AH$3000,"yes")=0,"",(SUMIFS(Offers!$H$7:$H$3000,Offers!$B$7:$B$3000,$B204,Offers!$C$7:$C$3000,$C204,Offers!$AF$7:$AF$3000,ROUNDUP(COUNTIFS(Offers!$B$7:$B$3000,$B204,Offers!$C$7:$C$3000,$C204,Offers!$AH$7:$AH$3000,"yes")/2,0))+SUMIFS(Offers!$H$7:$H$3000,Offers!$B$7:$B$3000,$B204,Offers!$C$7:$C$3000,$C204,Offers!$AF$7:$AF$3000,INT(COUNTIFS(Offers!$B$7:$B$3000,$B204,Offers!$C$7:$C$3000,$C204,Offers!$AH$7:$AH$3000,"yes")/2)+1))/2)</f>
        <v/>
      </c>
      <c r="H204" s="99" t="str">
        <f aca="false">IF(COUNTIFS(Offers!$B$7:$B$3000,$B204,Offers!$C$7:$C$3000,$C204,Offers!$AH$7:$AH$3000,"yes")=0,"",SUMIFS(Offers!$H$7:$H$3000,Offers!$B$7:$B$3000,$B204,Offers!$C$7:$C$3000,$C204,Offers!$AF$7:$AF$3000,COUNTIFS(Offers!$B$7:$B$3000,$B204,Offers!$C$7:$C$3000,$C204,Offers!$AH$7:$AH$3000,"yes")))</f>
        <v/>
      </c>
      <c r="I204" s="100" t="str">
        <f aca="false">IF(COUNTIFS(Offers!$B$7:$B$3000,$B204,Offers!$C$7:$C$3000,$C204,Offers!$AI$7:$AI$3000,"yes")=0,"",SUMIFS(Offers!$I$7:$I$3000,Offers!$B$7:$B$3000,$B204,Offers!$C$7:$C$3000,$C204,Offers!$AG$7:$AG$3000,1))</f>
        <v/>
      </c>
      <c r="J204" s="95" t="str">
        <f aca="false">IF(COUNTIFS(Offers!$B$7:$B$3000,$B204,Offers!$C$7:$C$3000,$C204,Offers!$AI$7:$AI$3000,"yes")=0,"",(SUMIFS(Offers!$I$7:$I$3000,Offers!$B$7:$B$3000,$B204,Offers!$C$7:$C$3000,$C204,Offers!$AG$7:$AG$3000,ROUNDUP(COUNTIFS(Offers!$B$7:$B$3000,$B204,Offers!$C$7:$C$3000,$C204,Offers!$AI$7:$AI$3000,"yes")/2,0))+SUMIFS(Offers!$I$7:$I$3000,Offers!$B$7:$B$3000,$B204,Offers!$C$7:$C$3000,$C204,Offers!$AG$7:$AG$3000,INT(COUNTIFS(Offers!$B$7:$B$3000,$B204,Offers!$C$7:$C$3000,$C204,Offers!$AI$7:$AI$3000,"yes")/2)+1))/2)</f>
        <v/>
      </c>
      <c r="K204" s="100" t="str">
        <f aca="false">IF(COUNTIFS(Offers!$B$7:$B$3000,$B204,Offers!$C$7:$C$3000,$C204,Offers!$AI$7:$AI$3000,"yes")=0,"",SUMIFS(Offers!$I$7:$I$3000,Offers!$B$7:$B$3000,$B204,Offers!$C$7:$C$3000,$C204,Offers!$AG$7:$AG$3000,COUNTIFS(Offers!$B$7:$B$3000,$B204,Offers!$C$7:$C$3000,$C204,Offers!$AI$7:$AI$3000,"yes")))</f>
        <v/>
      </c>
      <c r="L204" s="96"/>
      <c r="M204" s="96"/>
      <c r="N204" s="96"/>
      <c r="O204" s="110" t="str">
        <f aca="false">IF(Compare!$E$5="Local prices",IF(F204="","",IF(Compare!$C$5="Minimum",F204,IF(Compare!$C$5="Maximum",H204,G204))),IF(I204="","",IF(Compare!$C$5="Minimum",I204,IF(Compare!$C$5="Maximum",K204,J204))))</f>
        <v/>
      </c>
    </row>
    <row r="205" customFormat="false" ht="39" hidden="false" customHeight="true" outlineLevel="0" collapsed="false">
      <c r="A205" s="3"/>
      <c r="B205" s="102" t="s">
        <v>64</v>
      </c>
      <c r="C205" s="103" t="s">
        <v>13</v>
      </c>
      <c r="D205" s="103" t="s">
        <v>490</v>
      </c>
      <c r="E205" s="103" t="s">
        <v>491</v>
      </c>
      <c r="F205" s="104" t="str">
        <f aca="false">IF(COUNTIFS(Offers!$B$7:$B$3000,$B205,Offers!$C$7:$C$3000,$C205,Offers!$AH$7:$AH$3000,"yes")=0,"",SUMIFS(Offers!$H$7:$H$3000,Offers!$B$7:$B$3000,$B205,Offers!$C$7:$C$3000,$C205,Offers!$AF$7:$AF$3000,1))</f>
        <v/>
      </c>
      <c r="G205" s="105" t="str">
        <f aca="false">IF(COUNTIFS(Offers!$B$7:$B$3000,$B205,Offers!$C$7:$C$3000,$C205,Offers!$AH$7:$AH$3000,"yes")=0,"",(SUMIFS(Offers!$H$7:$H$3000,Offers!$B$7:$B$3000,$B205,Offers!$C$7:$C$3000,$C205,Offers!$AF$7:$AF$3000,ROUNDUP(COUNTIFS(Offers!$B$7:$B$3000,$B205,Offers!$C$7:$C$3000,$C205,Offers!$AH$7:$AH$3000,"yes")/2,0))+SUMIFS(Offers!$H$7:$H$3000,Offers!$B$7:$B$3000,$B205,Offers!$C$7:$C$3000,$C205,Offers!$AF$7:$AF$3000,INT(COUNTIFS(Offers!$B$7:$B$3000,$B205,Offers!$C$7:$C$3000,$C205,Offers!$AH$7:$AH$3000,"yes")/2)+1))/2)</f>
        <v/>
      </c>
      <c r="H205" s="104" t="str">
        <f aca="false">IF(COUNTIFS(Offers!$B$7:$B$3000,$B205,Offers!$C$7:$C$3000,$C205,Offers!$AH$7:$AH$3000,"yes")=0,"",SUMIFS(Offers!$H$7:$H$3000,Offers!$B$7:$B$3000,$B205,Offers!$C$7:$C$3000,$C205,Offers!$AF$7:$AF$3000,COUNTIFS(Offers!$B$7:$B$3000,$B205,Offers!$C$7:$C$3000,$C205,Offers!$AH$7:$AH$3000,"yes")))</f>
        <v/>
      </c>
      <c r="I205" s="106" t="str">
        <f aca="false">IF(COUNTIFS(Offers!$B$7:$B$3000,$B205,Offers!$C$7:$C$3000,$C205,Offers!$AI$7:$AI$3000,"yes")=0,"",SUMIFS(Offers!$I$7:$I$3000,Offers!$B$7:$B$3000,$B205,Offers!$C$7:$C$3000,$C205,Offers!$AG$7:$AG$3000,1))</f>
        <v/>
      </c>
      <c r="J205" s="107" t="str">
        <f aca="false">IF(COUNTIFS(Offers!$B$7:$B$3000,$B205,Offers!$C$7:$C$3000,$C205,Offers!$AI$7:$AI$3000,"yes")=0,"",(SUMIFS(Offers!$I$7:$I$3000,Offers!$B$7:$B$3000,$B205,Offers!$C$7:$C$3000,$C205,Offers!$AG$7:$AG$3000,ROUNDUP(COUNTIFS(Offers!$B$7:$B$3000,$B205,Offers!$C$7:$C$3000,$C205,Offers!$AI$7:$AI$3000,"yes")/2,0))+SUMIFS(Offers!$I$7:$I$3000,Offers!$B$7:$B$3000,$B205,Offers!$C$7:$C$3000,$C205,Offers!$AG$7:$AG$3000,INT(COUNTIFS(Offers!$B$7:$B$3000,$B205,Offers!$C$7:$C$3000,$C205,Offers!$AI$7:$AI$3000,"yes")/2)+1))/2)</f>
        <v/>
      </c>
      <c r="K205" s="106" t="str">
        <f aca="false">IF(COUNTIFS(Offers!$B$7:$B$3000,$B205,Offers!$C$7:$C$3000,$C205,Offers!$AI$7:$AI$3000,"yes")=0,"",SUMIFS(Offers!$I$7:$I$3000,Offers!$B$7:$B$3000,$B205,Offers!$C$7:$C$3000,$C205,Offers!$AG$7:$AG$3000,COUNTIFS(Offers!$B$7:$B$3000,$B205,Offers!$C$7:$C$3000,$C205,Offers!$AI$7:$AI$3000,"yes")))</f>
        <v/>
      </c>
      <c r="L205" s="108"/>
      <c r="M205" s="108"/>
      <c r="N205" s="108"/>
      <c r="O205" s="109" t="str">
        <f aca="false">IF(Compare!$E$5="Local prices",IF(F205="","",IF(Compare!$C$5="Minimum",F205,IF(Compare!$C$5="Maximum",H205,G205))),IF(I205="","",IF(Compare!$C$5="Minimum",I205,IF(Compare!$C$5="Maximum",K205,J205))))</f>
        <v/>
      </c>
    </row>
    <row r="206" customFormat="false" ht="39" hidden="false" customHeight="true" outlineLevel="0" collapsed="false">
      <c r="A206" s="3"/>
      <c r="B206" s="36" t="s">
        <v>64</v>
      </c>
      <c r="C206" s="98" t="s">
        <v>14</v>
      </c>
      <c r="D206" s="98" t="s">
        <v>374</v>
      </c>
      <c r="E206" s="98" t="s">
        <v>491</v>
      </c>
      <c r="F206" s="99" t="str">
        <f aca="false">IF(COUNTIFS(Offers!$B$7:$B$3000,$B206,Offers!$C$7:$C$3000,$C206,Offers!$AH$7:$AH$3000,"yes")=0,"",SUMIFS(Offers!$H$7:$H$3000,Offers!$B$7:$B$3000,$B206,Offers!$C$7:$C$3000,$C206,Offers!$AF$7:$AF$3000,1))</f>
        <v/>
      </c>
      <c r="G206" s="93" t="str">
        <f aca="false">IF(COUNTIFS(Offers!$B$7:$B$3000,$B206,Offers!$C$7:$C$3000,$C206,Offers!$AH$7:$AH$3000,"yes")=0,"",(SUMIFS(Offers!$H$7:$H$3000,Offers!$B$7:$B$3000,$B206,Offers!$C$7:$C$3000,$C206,Offers!$AF$7:$AF$3000,ROUNDUP(COUNTIFS(Offers!$B$7:$B$3000,$B206,Offers!$C$7:$C$3000,$C206,Offers!$AH$7:$AH$3000,"yes")/2,0))+SUMIFS(Offers!$H$7:$H$3000,Offers!$B$7:$B$3000,$B206,Offers!$C$7:$C$3000,$C206,Offers!$AF$7:$AF$3000,INT(COUNTIFS(Offers!$B$7:$B$3000,$B206,Offers!$C$7:$C$3000,$C206,Offers!$AH$7:$AH$3000,"yes")/2)+1))/2)</f>
        <v/>
      </c>
      <c r="H206" s="99" t="str">
        <f aca="false">IF(COUNTIFS(Offers!$B$7:$B$3000,$B206,Offers!$C$7:$C$3000,$C206,Offers!$AH$7:$AH$3000,"yes")=0,"",SUMIFS(Offers!$H$7:$H$3000,Offers!$B$7:$B$3000,$B206,Offers!$C$7:$C$3000,$C206,Offers!$AF$7:$AF$3000,COUNTIFS(Offers!$B$7:$B$3000,$B206,Offers!$C$7:$C$3000,$C206,Offers!$AH$7:$AH$3000,"yes")))</f>
        <v/>
      </c>
      <c r="I206" s="100" t="str">
        <f aca="false">IF(COUNTIFS(Offers!$B$7:$B$3000,$B206,Offers!$C$7:$C$3000,$C206,Offers!$AI$7:$AI$3000,"yes")=0,"",SUMIFS(Offers!$I$7:$I$3000,Offers!$B$7:$B$3000,$B206,Offers!$C$7:$C$3000,$C206,Offers!$AG$7:$AG$3000,1))</f>
        <v/>
      </c>
      <c r="J206" s="95" t="str">
        <f aca="false">IF(COUNTIFS(Offers!$B$7:$B$3000,$B206,Offers!$C$7:$C$3000,$C206,Offers!$AI$7:$AI$3000,"yes")=0,"",(SUMIFS(Offers!$I$7:$I$3000,Offers!$B$7:$B$3000,$B206,Offers!$C$7:$C$3000,$C206,Offers!$AG$7:$AG$3000,ROUNDUP(COUNTIFS(Offers!$B$7:$B$3000,$B206,Offers!$C$7:$C$3000,$C206,Offers!$AI$7:$AI$3000,"yes")/2,0))+SUMIFS(Offers!$I$7:$I$3000,Offers!$B$7:$B$3000,$B206,Offers!$C$7:$C$3000,$C206,Offers!$AG$7:$AG$3000,INT(COUNTIFS(Offers!$B$7:$B$3000,$B206,Offers!$C$7:$C$3000,$C206,Offers!$AI$7:$AI$3000,"yes")/2)+1))/2)</f>
        <v/>
      </c>
      <c r="K206" s="100" t="str">
        <f aca="false">IF(COUNTIFS(Offers!$B$7:$B$3000,$B206,Offers!$C$7:$C$3000,$C206,Offers!$AI$7:$AI$3000,"yes")=0,"",SUMIFS(Offers!$I$7:$I$3000,Offers!$B$7:$B$3000,$B206,Offers!$C$7:$C$3000,$C206,Offers!$AG$7:$AG$3000,COUNTIFS(Offers!$B$7:$B$3000,$B206,Offers!$C$7:$C$3000,$C206,Offers!$AI$7:$AI$3000,"yes")))</f>
        <v/>
      </c>
      <c r="L206" s="96"/>
      <c r="M206" s="96"/>
      <c r="N206" s="96"/>
      <c r="O206" s="110" t="str">
        <f aca="false">IF(Compare!$E$5="Local prices",IF(F206="","",IF(Compare!$C$5="Minimum",F206,IF(Compare!$C$5="Maximum",H206,G206))),IF(I206="","",IF(Compare!$C$5="Minimum",I206,IF(Compare!$C$5="Maximum",K206,J206))))</f>
        <v/>
      </c>
    </row>
    <row r="207" customFormat="false" ht="39" hidden="false" customHeight="true" outlineLevel="0" collapsed="false">
      <c r="A207" s="3"/>
      <c r="B207" s="31" t="s">
        <v>64</v>
      </c>
      <c r="C207" s="91" t="s">
        <v>15</v>
      </c>
      <c r="D207" s="91" t="s">
        <v>244</v>
      </c>
      <c r="E207" s="91" t="s">
        <v>491</v>
      </c>
      <c r="F207" s="92" t="n">
        <f aca="false">IF(COUNTIFS(Offers!$B$7:$B$3000,$B207,Offers!$C$7:$C$3000,$C207,Offers!$AH$7:$AH$3000,"yes")=0,"",SUMIFS(Offers!$H$7:$H$3000,Offers!$B$7:$B$3000,$B207,Offers!$C$7:$C$3000,$C207,Offers!$AF$7:$AF$3000,1))</f>
        <v>9.8</v>
      </c>
      <c r="G207" s="93" t="n">
        <f aca="false">IF(COUNTIFS(Offers!$B$7:$B$3000,$B207,Offers!$C$7:$C$3000,$C207,Offers!$AH$7:$AH$3000,"yes")=0,"",(SUMIFS(Offers!$H$7:$H$3000,Offers!$B$7:$B$3000,$B207,Offers!$C$7:$C$3000,$C207,Offers!$AF$7:$AF$3000,ROUNDUP(COUNTIFS(Offers!$B$7:$B$3000,$B207,Offers!$C$7:$C$3000,$C207,Offers!$AH$7:$AH$3000,"yes")/2,0))+SUMIFS(Offers!$H$7:$H$3000,Offers!$B$7:$B$3000,$B207,Offers!$C$7:$C$3000,$C207,Offers!$AF$7:$AF$3000,INT(COUNTIFS(Offers!$B$7:$B$3000,$B207,Offers!$C$7:$C$3000,$C207,Offers!$AH$7:$AH$3000,"yes")/2)+1))/2)</f>
        <v>11.97</v>
      </c>
      <c r="H207" s="92" t="n">
        <f aca="false">IF(COUNTIFS(Offers!$B$7:$B$3000,$B207,Offers!$C$7:$C$3000,$C207,Offers!$AH$7:$AH$3000,"yes")=0,"",SUMIFS(Offers!$H$7:$H$3000,Offers!$B$7:$B$3000,$B207,Offers!$C$7:$C$3000,$C207,Offers!$AF$7:$AF$3000,COUNTIFS(Offers!$B$7:$B$3000,$B207,Offers!$C$7:$C$3000,$C207,Offers!$AH$7:$AH$3000,"yes")))</f>
        <v>20.9</v>
      </c>
      <c r="I207" s="94" t="n">
        <f aca="false">IF(COUNTIFS(Offers!$B$7:$B$3000,$B207,Offers!$C$7:$C$3000,$C207,Offers!$AI$7:$AI$3000,"yes")=0,"",SUMIFS(Offers!$I$7:$I$3000,Offers!$B$7:$B$3000,$B207,Offers!$C$7:$C$3000,$C207,Offers!$AG$7:$AG$3000,1))</f>
        <v>9.8</v>
      </c>
      <c r="J207" s="95" t="n">
        <f aca="false">IF(COUNTIFS(Offers!$B$7:$B$3000,$B207,Offers!$C$7:$C$3000,$C207,Offers!$AI$7:$AI$3000,"yes")=0,"",(SUMIFS(Offers!$I$7:$I$3000,Offers!$B$7:$B$3000,$B207,Offers!$C$7:$C$3000,$C207,Offers!$AG$7:$AG$3000,ROUNDUP(COUNTIFS(Offers!$B$7:$B$3000,$B207,Offers!$C$7:$C$3000,$C207,Offers!$AI$7:$AI$3000,"yes")/2,0))+SUMIFS(Offers!$I$7:$I$3000,Offers!$B$7:$B$3000,$B207,Offers!$C$7:$C$3000,$C207,Offers!$AG$7:$AG$3000,INT(COUNTIFS(Offers!$B$7:$B$3000,$B207,Offers!$C$7:$C$3000,$C207,Offers!$AI$7:$AI$3000,"yes")/2)+1))/2)</f>
        <v>11.97</v>
      </c>
      <c r="K207" s="94" t="n">
        <f aca="false">IF(COUNTIFS(Offers!$B$7:$B$3000,$B207,Offers!$C$7:$C$3000,$C207,Offers!$AI$7:$AI$3000,"yes")=0,"",SUMIFS(Offers!$I$7:$I$3000,Offers!$B$7:$B$3000,$B207,Offers!$C$7:$C$3000,$C207,Offers!$AG$7:$AG$3000,COUNTIFS(Offers!$B$7:$B$3000,$B207,Offers!$C$7:$C$3000,$C207,Offers!$AI$7:$AI$3000,"yes")))</f>
        <v>20.9</v>
      </c>
      <c r="L207" s="96"/>
      <c r="M207" s="96"/>
      <c r="N207" s="96"/>
      <c r="O207" s="97" t="n">
        <f aca="false">IF(Compare!$E$5="Local prices",IF(F207="","",IF(Compare!$C$5="Minimum",F207,IF(Compare!$C$5="Maximum",H207,G207))),IF(I207="","",IF(Compare!$C$5="Minimum",I207,IF(Compare!$C$5="Maximum",K207,J207))))</f>
        <v>11.97</v>
      </c>
    </row>
    <row r="208" customFormat="false" ht="39" hidden="false" customHeight="true" outlineLevel="0" collapsed="false">
      <c r="A208" s="3"/>
      <c r="B208" s="36" t="s">
        <v>64</v>
      </c>
      <c r="C208" s="98" t="s">
        <v>16</v>
      </c>
      <c r="D208" s="98" t="s">
        <v>244</v>
      </c>
      <c r="E208" s="98" t="s">
        <v>491</v>
      </c>
      <c r="F208" s="99" t="n">
        <f aca="false">IF(COUNTIFS(Offers!$B$7:$B$3000,$B208,Offers!$C$7:$C$3000,$C208,Offers!$AH$7:$AH$3000,"yes")=0,"",SUMIFS(Offers!$H$7:$H$3000,Offers!$B$7:$B$3000,$B208,Offers!$C$7:$C$3000,$C208,Offers!$AF$7:$AF$3000,1))</f>
        <v>11.09</v>
      </c>
      <c r="G208" s="93" t="n">
        <f aca="false">IF(COUNTIFS(Offers!$B$7:$B$3000,$B208,Offers!$C$7:$C$3000,$C208,Offers!$AH$7:$AH$3000,"yes")=0,"",(SUMIFS(Offers!$H$7:$H$3000,Offers!$B$7:$B$3000,$B208,Offers!$C$7:$C$3000,$C208,Offers!$AF$7:$AF$3000,ROUNDUP(COUNTIFS(Offers!$B$7:$B$3000,$B208,Offers!$C$7:$C$3000,$C208,Offers!$AH$7:$AH$3000,"yes")/2,0))+SUMIFS(Offers!$H$7:$H$3000,Offers!$B$7:$B$3000,$B208,Offers!$C$7:$C$3000,$C208,Offers!$AF$7:$AF$3000,INT(COUNTIFS(Offers!$B$7:$B$3000,$B208,Offers!$C$7:$C$3000,$C208,Offers!$AH$7:$AH$3000,"yes")/2)+1))/2)</f>
        <v>11.09</v>
      </c>
      <c r="H208" s="99" t="n">
        <f aca="false">IF(COUNTIFS(Offers!$B$7:$B$3000,$B208,Offers!$C$7:$C$3000,$C208,Offers!$AH$7:$AH$3000,"yes")=0,"",SUMIFS(Offers!$H$7:$H$3000,Offers!$B$7:$B$3000,$B208,Offers!$C$7:$C$3000,$C208,Offers!$AF$7:$AF$3000,COUNTIFS(Offers!$B$7:$B$3000,$B208,Offers!$C$7:$C$3000,$C208,Offers!$AH$7:$AH$3000,"yes")))</f>
        <v>11.09</v>
      </c>
      <c r="I208" s="100" t="n">
        <f aca="false">IF(COUNTIFS(Offers!$B$7:$B$3000,$B208,Offers!$C$7:$C$3000,$C208,Offers!$AI$7:$AI$3000,"yes")=0,"",SUMIFS(Offers!$I$7:$I$3000,Offers!$B$7:$B$3000,$B208,Offers!$C$7:$C$3000,$C208,Offers!$AG$7:$AG$3000,1))</f>
        <v>11.09</v>
      </c>
      <c r="J208" s="95" t="n">
        <f aca="false">IF(COUNTIFS(Offers!$B$7:$B$3000,$B208,Offers!$C$7:$C$3000,$C208,Offers!$AI$7:$AI$3000,"yes")=0,"",(SUMIFS(Offers!$I$7:$I$3000,Offers!$B$7:$B$3000,$B208,Offers!$C$7:$C$3000,$C208,Offers!$AG$7:$AG$3000,ROUNDUP(COUNTIFS(Offers!$B$7:$B$3000,$B208,Offers!$C$7:$C$3000,$C208,Offers!$AI$7:$AI$3000,"yes")/2,0))+SUMIFS(Offers!$I$7:$I$3000,Offers!$B$7:$B$3000,$B208,Offers!$C$7:$C$3000,$C208,Offers!$AG$7:$AG$3000,INT(COUNTIFS(Offers!$B$7:$B$3000,$B208,Offers!$C$7:$C$3000,$C208,Offers!$AI$7:$AI$3000,"yes")/2)+1))/2)</f>
        <v>11.09</v>
      </c>
      <c r="K208" s="100" t="n">
        <f aca="false">IF(COUNTIFS(Offers!$B$7:$B$3000,$B208,Offers!$C$7:$C$3000,$C208,Offers!$AI$7:$AI$3000,"yes")=0,"",SUMIFS(Offers!$I$7:$I$3000,Offers!$B$7:$B$3000,$B208,Offers!$C$7:$C$3000,$C208,Offers!$AG$7:$AG$3000,COUNTIFS(Offers!$B$7:$B$3000,$B208,Offers!$C$7:$C$3000,$C208,Offers!$AI$7:$AI$3000,"yes")))</f>
        <v>11.09</v>
      </c>
      <c r="L208" s="96"/>
      <c r="M208" s="96"/>
      <c r="N208" s="96"/>
      <c r="O208" s="101" t="n">
        <f aca="false">IF(Compare!$E$5="Local prices",IF(F208="","",IF(Compare!$C$5="Minimum",F208,IF(Compare!$C$5="Maximum",H208,G208))),IF(I208="","",IF(Compare!$C$5="Minimum",I208,IF(Compare!$C$5="Maximum",K208,J208))))</f>
        <v>11.09</v>
      </c>
    </row>
    <row r="209" customFormat="false" ht="39" hidden="false" customHeight="true" outlineLevel="0" collapsed="false">
      <c r="A209" s="3"/>
      <c r="B209" s="31" t="s">
        <v>64</v>
      </c>
      <c r="C209" s="91" t="s">
        <v>17</v>
      </c>
      <c r="D209" s="91" t="s">
        <v>333</v>
      </c>
      <c r="E209" s="91" t="s">
        <v>491</v>
      </c>
      <c r="F209" s="92" t="n">
        <f aca="false">IF(COUNTIFS(Offers!$B$7:$B$3000,$B209,Offers!$C$7:$C$3000,$C209,Offers!$AH$7:$AH$3000,"yes")=0,"",SUMIFS(Offers!$H$7:$H$3000,Offers!$B$7:$B$3000,$B209,Offers!$C$7:$C$3000,$C209,Offers!$AF$7:$AF$3000,1))</f>
        <v>277.69</v>
      </c>
      <c r="G209" s="93" t="n">
        <f aca="false">IF(COUNTIFS(Offers!$B$7:$B$3000,$B209,Offers!$C$7:$C$3000,$C209,Offers!$AH$7:$AH$3000,"yes")=0,"",(SUMIFS(Offers!$H$7:$H$3000,Offers!$B$7:$B$3000,$B209,Offers!$C$7:$C$3000,$C209,Offers!$AF$7:$AF$3000,ROUNDUP(COUNTIFS(Offers!$B$7:$B$3000,$B209,Offers!$C$7:$C$3000,$C209,Offers!$AH$7:$AH$3000,"yes")/2,0))+SUMIFS(Offers!$H$7:$H$3000,Offers!$B$7:$B$3000,$B209,Offers!$C$7:$C$3000,$C209,Offers!$AF$7:$AF$3000,INT(COUNTIFS(Offers!$B$7:$B$3000,$B209,Offers!$C$7:$C$3000,$C209,Offers!$AH$7:$AH$3000,"yes")/2)+1))/2)</f>
        <v>277.69</v>
      </c>
      <c r="H209" s="92" t="n">
        <f aca="false">IF(COUNTIFS(Offers!$B$7:$B$3000,$B209,Offers!$C$7:$C$3000,$C209,Offers!$AH$7:$AH$3000,"yes")=0,"",SUMIFS(Offers!$H$7:$H$3000,Offers!$B$7:$B$3000,$B209,Offers!$C$7:$C$3000,$C209,Offers!$AF$7:$AF$3000,COUNTIFS(Offers!$B$7:$B$3000,$B209,Offers!$C$7:$C$3000,$C209,Offers!$AH$7:$AH$3000,"yes")))</f>
        <v>277.69</v>
      </c>
      <c r="I209" s="94" t="n">
        <f aca="false">IF(COUNTIFS(Offers!$B$7:$B$3000,$B209,Offers!$C$7:$C$3000,$C209,Offers!$AI$7:$AI$3000,"yes")=0,"",SUMIFS(Offers!$I$7:$I$3000,Offers!$B$7:$B$3000,$B209,Offers!$C$7:$C$3000,$C209,Offers!$AG$7:$AG$3000,1))</f>
        <v>11.369733</v>
      </c>
      <c r="J209" s="95" t="n">
        <f aca="false">IF(COUNTIFS(Offers!$B$7:$B$3000,$B209,Offers!$C$7:$C$3000,$C209,Offers!$AI$7:$AI$3000,"yes")=0,"",(SUMIFS(Offers!$I$7:$I$3000,Offers!$B$7:$B$3000,$B209,Offers!$C$7:$C$3000,$C209,Offers!$AG$7:$AG$3000,ROUNDUP(COUNTIFS(Offers!$B$7:$B$3000,$B209,Offers!$C$7:$C$3000,$C209,Offers!$AI$7:$AI$3000,"yes")/2,0))+SUMIFS(Offers!$I$7:$I$3000,Offers!$B$7:$B$3000,$B209,Offers!$C$7:$C$3000,$C209,Offers!$AG$7:$AG$3000,INT(COUNTIFS(Offers!$B$7:$B$3000,$B209,Offers!$C$7:$C$3000,$C209,Offers!$AI$7:$AI$3000,"yes")/2)+1))/2)</f>
        <v>11.369733</v>
      </c>
      <c r="K209" s="94" t="n">
        <f aca="false">IF(COUNTIFS(Offers!$B$7:$B$3000,$B209,Offers!$C$7:$C$3000,$C209,Offers!$AI$7:$AI$3000,"yes")=0,"",SUMIFS(Offers!$I$7:$I$3000,Offers!$B$7:$B$3000,$B209,Offers!$C$7:$C$3000,$C209,Offers!$AG$7:$AG$3000,COUNTIFS(Offers!$B$7:$B$3000,$B209,Offers!$C$7:$C$3000,$C209,Offers!$AI$7:$AI$3000,"yes")))</f>
        <v>11.369733</v>
      </c>
      <c r="L209" s="96"/>
      <c r="M209" s="96"/>
      <c r="N209" s="96"/>
      <c r="O209" s="97" t="n">
        <f aca="false">IF(Compare!$E$5="Local prices",IF(F209="","",IF(Compare!$C$5="Minimum",F209,IF(Compare!$C$5="Maximum",H209,G209))),IF(I209="","",IF(Compare!$C$5="Minimum",I209,IF(Compare!$C$5="Maximum",K209,J209))))</f>
        <v>11.369733</v>
      </c>
    </row>
    <row r="210" customFormat="false" ht="39" hidden="false" customHeight="true" outlineLevel="0" collapsed="false">
      <c r="A210" s="3"/>
      <c r="B210" s="36" t="s">
        <v>64</v>
      </c>
      <c r="C210" s="98" t="s">
        <v>18</v>
      </c>
      <c r="D210" s="98" t="s">
        <v>244</v>
      </c>
      <c r="E210" s="98" t="s">
        <v>491</v>
      </c>
      <c r="F210" s="99" t="str">
        <f aca="false">IF(COUNTIFS(Offers!$B$7:$B$3000,$B210,Offers!$C$7:$C$3000,$C210,Offers!$AH$7:$AH$3000,"yes")=0,"",SUMIFS(Offers!$H$7:$H$3000,Offers!$B$7:$B$3000,$B210,Offers!$C$7:$C$3000,$C210,Offers!$AF$7:$AF$3000,1))</f>
        <v/>
      </c>
      <c r="G210" s="93" t="str">
        <f aca="false">IF(COUNTIFS(Offers!$B$7:$B$3000,$B210,Offers!$C$7:$C$3000,$C210,Offers!$AH$7:$AH$3000,"yes")=0,"",(SUMIFS(Offers!$H$7:$H$3000,Offers!$B$7:$B$3000,$B210,Offers!$C$7:$C$3000,$C210,Offers!$AF$7:$AF$3000,ROUNDUP(COUNTIFS(Offers!$B$7:$B$3000,$B210,Offers!$C$7:$C$3000,$C210,Offers!$AH$7:$AH$3000,"yes")/2,0))+SUMIFS(Offers!$H$7:$H$3000,Offers!$B$7:$B$3000,$B210,Offers!$C$7:$C$3000,$C210,Offers!$AF$7:$AF$3000,INT(COUNTIFS(Offers!$B$7:$B$3000,$B210,Offers!$C$7:$C$3000,$C210,Offers!$AH$7:$AH$3000,"yes")/2)+1))/2)</f>
        <v/>
      </c>
      <c r="H210" s="99" t="str">
        <f aca="false">IF(COUNTIFS(Offers!$B$7:$B$3000,$B210,Offers!$C$7:$C$3000,$C210,Offers!$AH$7:$AH$3000,"yes")=0,"",SUMIFS(Offers!$H$7:$H$3000,Offers!$B$7:$B$3000,$B210,Offers!$C$7:$C$3000,$C210,Offers!$AF$7:$AF$3000,COUNTIFS(Offers!$B$7:$B$3000,$B210,Offers!$C$7:$C$3000,$C210,Offers!$AH$7:$AH$3000,"yes")))</f>
        <v/>
      </c>
      <c r="I210" s="100" t="str">
        <f aca="false">IF(COUNTIFS(Offers!$B$7:$B$3000,$B210,Offers!$C$7:$C$3000,$C210,Offers!$AI$7:$AI$3000,"yes")=0,"",SUMIFS(Offers!$I$7:$I$3000,Offers!$B$7:$B$3000,$B210,Offers!$C$7:$C$3000,$C210,Offers!$AG$7:$AG$3000,1))</f>
        <v/>
      </c>
      <c r="J210" s="95" t="str">
        <f aca="false">IF(COUNTIFS(Offers!$B$7:$B$3000,$B210,Offers!$C$7:$C$3000,$C210,Offers!$AI$7:$AI$3000,"yes")=0,"",(SUMIFS(Offers!$I$7:$I$3000,Offers!$B$7:$B$3000,$B210,Offers!$C$7:$C$3000,$C210,Offers!$AG$7:$AG$3000,ROUNDUP(COUNTIFS(Offers!$B$7:$B$3000,$B210,Offers!$C$7:$C$3000,$C210,Offers!$AI$7:$AI$3000,"yes")/2,0))+SUMIFS(Offers!$I$7:$I$3000,Offers!$B$7:$B$3000,$B210,Offers!$C$7:$C$3000,$C210,Offers!$AG$7:$AG$3000,INT(COUNTIFS(Offers!$B$7:$B$3000,$B210,Offers!$C$7:$C$3000,$C210,Offers!$AI$7:$AI$3000,"yes")/2)+1))/2)</f>
        <v/>
      </c>
      <c r="K210" s="100" t="str">
        <f aca="false">IF(COUNTIFS(Offers!$B$7:$B$3000,$B210,Offers!$C$7:$C$3000,$C210,Offers!$AI$7:$AI$3000,"yes")=0,"",SUMIFS(Offers!$I$7:$I$3000,Offers!$B$7:$B$3000,$B210,Offers!$C$7:$C$3000,$C210,Offers!$AG$7:$AG$3000,COUNTIFS(Offers!$B$7:$B$3000,$B210,Offers!$C$7:$C$3000,$C210,Offers!$AI$7:$AI$3000,"yes")))</f>
        <v/>
      </c>
      <c r="L210" s="96"/>
      <c r="M210" s="96"/>
      <c r="N210" s="96"/>
      <c r="O210" s="110" t="str">
        <f aca="false">IF(Compare!$E$5="Local prices",IF(F210="","",IF(Compare!$C$5="Minimum",F210,IF(Compare!$C$5="Maximum",H210,G210))),IF(I210="","",IF(Compare!$C$5="Minimum",I210,IF(Compare!$C$5="Maximum",K210,J210))))</f>
        <v/>
      </c>
    </row>
    <row r="211" customFormat="false" ht="13.5" hidden="false" customHeight="true" outlineLevel="0" collapsed="false">
      <c r="B211" s="102" t="s">
        <v>65</v>
      </c>
      <c r="C211" s="103" t="s">
        <v>13</v>
      </c>
      <c r="D211" s="103" t="s">
        <v>490</v>
      </c>
      <c r="E211" s="103" t="s">
        <v>491</v>
      </c>
      <c r="F211" s="104" t="str">
        <f aca="false">IF(COUNTIFS(Offers!$B$7:$B$3000,$B211,Offers!$C$7:$C$3000,$C211,Offers!$AH$7:$AH$3000,"yes")=0,"",SUMIFS(Offers!$H$7:$H$3000,Offers!$B$7:$B$3000,$B211,Offers!$C$7:$C$3000,$C211,Offers!$AF$7:$AF$3000,1))</f>
        <v/>
      </c>
      <c r="G211" s="105" t="str">
        <f aca="false">IF(COUNTIFS(Offers!$B$7:$B$3000,$B211,Offers!$C$7:$C$3000,$C211,Offers!$AH$7:$AH$3000,"yes")=0,"",(SUMIFS(Offers!$H$7:$H$3000,Offers!$B$7:$B$3000,$B211,Offers!$C$7:$C$3000,$C211,Offers!$AF$7:$AF$3000,ROUNDUP(COUNTIFS(Offers!$B$7:$B$3000,$B211,Offers!$C$7:$C$3000,$C211,Offers!$AH$7:$AH$3000,"yes")/2,0))+SUMIFS(Offers!$H$7:$H$3000,Offers!$B$7:$B$3000,$B211,Offers!$C$7:$C$3000,$C211,Offers!$AF$7:$AF$3000,INT(COUNTIFS(Offers!$B$7:$B$3000,$B211,Offers!$C$7:$C$3000,$C211,Offers!$AH$7:$AH$3000,"yes")/2)+1))/2)</f>
        <v/>
      </c>
      <c r="H211" s="104" t="str">
        <f aca="false">IF(COUNTIFS(Offers!$B$7:$B$3000,$B211,Offers!$C$7:$C$3000,$C211,Offers!$AH$7:$AH$3000,"yes")=0,"",SUMIFS(Offers!$H$7:$H$3000,Offers!$B$7:$B$3000,$B211,Offers!$C$7:$C$3000,$C211,Offers!$AF$7:$AF$3000,COUNTIFS(Offers!$B$7:$B$3000,$B211,Offers!$C$7:$C$3000,$C211,Offers!$AH$7:$AH$3000,"yes")))</f>
        <v/>
      </c>
      <c r="I211" s="106" t="str">
        <f aca="false">IF(COUNTIFS(Offers!$B$7:$B$3000,$B211,Offers!$C$7:$C$3000,$C211,Offers!$AI$7:$AI$3000,"yes")=0,"",SUMIFS(Offers!$I$7:$I$3000,Offers!$B$7:$B$3000,$B211,Offers!$C$7:$C$3000,$C211,Offers!$AG$7:$AG$3000,1))</f>
        <v/>
      </c>
      <c r="J211" s="107" t="str">
        <f aca="false">IF(COUNTIFS(Offers!$B$7:$B$3000,$B211,Offers!$C$7:$C$3000,$C211,Offers!$AI$7:$AI$3000,"yes")=0,"",(SUMIFS(Offers!$I$7:$I$3000,Offers!$B$7:$B$3000,$B211,Offers!$C$7:$C$3000,$C211,Offers!$AG$7:$AG$3000,ROUNDUP(COUNTIFS(Offers!$B$7:$B$3000,$B211,Offers!$C$7:$C$3000,$C211,Offers!$AI$7:$AI$3000,"yes")/2,0))+SUMIFS(Offers!$I$7:$I$3000,Offers!$B$7:$B$3000,$B211,Offers!$C$7:$C$3000,$C211,Offers!$AG$7:$AG$3000,INT(COUNTIFS(Offers!$B$7:$B$3000,$B211,Offers!$C$7:$C$3000,$C211,Offers!$AI$7:$AI$3000,"yes")/2)+1))/2)</f>
        <v/>
      </c>
      <c r="K211" s="106" t="str">
        <f aca="false">IF(COUNTIFS(Offers!$B$7:$B$3000,$B211,Offers!$C$7:$C$3000,$C211,Offers!$AI$7:$AI$3000,"yes")=0,"",SUMIFS(Offers!$I$7:$I$3000,Offers!$B$7:$B$3000,$B211,Offers!$C$7:$C$3000,$C211,Offers!$AG$7:$AG$3000,COUNTIFS(Offers!$B$7:$B$3000,$B211,Offers!$C$7:$C$3000,$C211,Offers!$AI$7:$AI$3000,"yes")))</f>
        <v/>
      </c>
      <c r="L211" s="108"/>
      <c r="M211" s="108"/>
      <c r="N211" s="108"/>
      <c r="O211" s="109" t="str">
        <f aca="false">IF(Compare!$E$5="Local prices",IF(F211="","",IF(Compare!$C$5="Minimum",F211,IF(Compare!$C$5="Maximum",H211,G211))),IF(I211="","",IF(Compare!$C$5="Minimum",I211,IF(Compare!$C$5="Maximum",K211,J211))))</f>
        <v/>
      </c>
    </row>
    <row r="212" customFormat="false" ht="13.5" hidden="false" customHeight="true" outlineLevel="0" collapsed="false">
      <c r="B212" s="36" t="s">
        <v>65</v>
      </c>
      <c r="C212" s="98" t="s">
        <v>14</v>
      </c>
      <c r="D212" s="98" t="s">
        <v>374</v>
      </c>
      <c r="E212" s="98" t="s">
        <v>491</v>
      </c>
      <c r="F212" s="99" t="str">
        <f aca="false">IF(COUNTIFS(Offers!$B$7:$B$3000,$B212,Offers!$C$7:$C$3000,$C212,Offers!$AH$7:$AH$3000,"yes")=0,"",SUMIFS(Offers!$H$7:$H$3000,Offers!$B$7:$B$3000,$B212,Offers!$C$7:$C$3000,$C212,Offers!$AF$7:$AF$3000,1))</f>
        <v/>
      </c>
      <c r="G212" s="93" t="str">
        <f aca="false">IF(COUNTIFS(Offers!$B$7:$B$3000,$B212,Offers!$C$7:$C$3000,$C212,Offers!$AH$7:$AH$3000,"yes")=0,"",(SUMIFS(Offers!$H$7:$H$3000,Offers!$B$7:$B$3000,$B212,Offers!$C$7:$C$3000,$C212,Offers!$AF$7:$AF$3000,ROUNDUP(COUNTIFS(Offers!$B$7:$B$3000,$B212,Offers!$C$7:$C$3000,$C212,Offers!$AH$7:$AH$3000,"yes")/2,0))+SUMIFS(Offers!$H$7:$H$3000,Offers!$B$7:$B$3000,$B212,Offers!$C$7:$C$3000,$C212,Offers!$AF$7:$AF$3000,INT(COUNTIFS(Offers!$B$7:$B$3000,$B212,Offers!$C$7:$C$3000,$C212,Offers!$AH$7:$AH$3000,"yes")/2)+1))/2)</f>
        <v/>
      </c>
      <c r="H212" s="99" t="str">
        <f aca="false">IF(COUNTIFS(Offers!$B$7:$B$3000,$B212,Offers!$C$7:$C$3000,$C212,Offers!$AH$7:$AH$3000,"yes")=0,"",SUMIFS(Offers!$H$7:$H$3000,Offers!$B$7:$B$3000,$B212,Offers!$C$7:$C$3000,$C212,Offers!$AF$7:$AF$3000,COUNTIFS(Offers!$B$7:$B$3000,$B212,Offers!$C$7:$C$3000,$C212,Offers!$AH$7:$AH$3000,"yes")))</f>
        <v/>
      </c>
      <c r="I212" s="100" t="str">
        <f aca="false">IF(COUNTIFS(Offers!$B$7:$B$3000,$B212,Offers!$C$7:$C$3000,$C212,Offers!$AI$7:$AI$3000,"yes")=0,"",SUMIFS(Offers!$I$7:$I$3000,Offers!$B$7:$B$3000,$B212,Offers!$C$7:$C$3000,$C212,Offers!$AG$7:$AG$3000,1))</f>
        <v/>
      </c>
      <c r="J212" s="95" t="str">
        <f aca="false">IF(COUNTIFS(Offers!$B$7:$B$3000,$B212,Offers!$C$7:$C$3000,$C212,Offers!$AI$7:$AI$3000,"yes")=0,"",(SUMIFS(Offers!$I$7:$I$3000,Offers!$B$7:$B$3000,$B212,Offers!$C$7:$C$3000,$C212,Offers!$AG$7:$AG$3000,ROUNDUP(COUNTIFS(Offers!$B$7:$B$3000,$B212,Offers!$C$7:$C$3000,$C212,Offers!$AI$7:$AI$3000,"yes")/2,0))+SUMIFS(Offers!$I$7:$I$3000,Offers!$B$7:$B$3000,$B212,Offers!$C$7:$C$3000,$C212,Offers!$AG$7:$AG$3000,INT(COUNTIFS(Offers!$B$7:$B$3000,$B212,Offers!$C$7:$C$3000,$C212,Offers!$AI$7:$AI$3000,"yes")/2)+1))/2)</f>
        <v/>
      </c>
      <c r="K212" s="100" t="str">
        <f aca="false">IF(COUNTIFS(Offers!$B$7:$B$3000,$B212,Offers!$C$7:$C$3000,$C212,Offers!$AI$7:$AI$3000,"yes")=0,"",SUMIFS(Offers!$I$7:$I$3000,Offers!$B$7:$B$3000,$B212,Offers!$C$7:$C$3000,$C212,Offers!$AG$7:$AG$3000,COUNTIFS(Offers!$B$7:$B$3000,$B212,Offers!$C$7:$C$3000,$C212,Offers!$AI$7:$AI$3000,"yes")))</f>
        <v/>
      </c>
      <c r="L212" s="96"/>
      <c r="M212" s="96"/>
      <c r="N212" s="96"/>
      <c r="O212" s="110" t="str">
        <f aca="false">IF(Compare!$E$5="Local prices",IF(F212="","",IF(Compare!$C$5="Minimum",F212,IF(Compare!$C$5="Maximum",H212,G212))),IF(I212="","",IF(Compare!$C$5="Minimum",I212,IF(Compare!$C$5="Maximum",K212,J212))))</f>
        <v/>
      </c>
    </row>
    <row r="213" customFormat="false" ht="13.5" hidden="false" customHeight="true" outlineLevel="0" collapsed="false">
      <c r="B213" s="31" t="s">
        <v>65</v>
      </c>
      <c r="C213" s="91" t="s">
        <v>15</v>
      </c>
      <c r="D213" s="91" t="s">
        <v>244</v>
      </c>
      <c r="E213" s="91" t="s">
        <v>491</v>
      </c>
      <c r="F213" s="92" t="n">
        <f aca="false">IF(COUNTIFS(Offers!$B$7:$B$3000,$B213,Offers!$C$7:$C$3000,$C213,Offers!$AH$7:$AH$3000,"yes")=0,"",SUMIFS(Offers!$H$7:$H$3000,Offers!$B$7:$B$3000,$B213,Offers!$C$7:$C$3000,$C213,Offers!$AF$7:$AF$3000,1))</f>
        <v>19.76</v>
      </c>
      <c r="G213" s="93" t="n">
        <f aca="false">IF(COUNTIFS(Offers!$B$7:$B$3000,$B213,Offers!$C$7:$C$3000,$C213,Offers!$AH$7:$AH$3000,"yes")=0,"",(SUMIFS(Offers!$H$7:$H$3000,Offers!$B$7:$B$3000,$B213,Offers!$C$7:$C$3000,$C213,Offers!$AF$7:$AF$3000,ROUNDUP(COUNTIFS(Offers!$B$7:$B$3000,$B213,Offers!$C$7:$C$3000,$C213,Offers!$AH$7:$AH$3000,"yes")/2,0))+SUMIFS(Offers!$H$7:$H$3000,Offers!$B$7:$B$3000,$B213,Offers!$C$7:$C$3000,$C213,Offers!$AF$7:$AF$3000,INT(COUNTIFS(Offers!$B$7:$B$3000,$B213,Offers!$C$7:$C$3000,$C213,Offers!$AH$7:$AH$3000,"yes")/2)+1))/2)</f>
        <v>26.89</v>
      </c>
      <c r="H213" s="92" t="n">
        <f aca="false">IF(COUNTIFS(Offers!$B$7:$B$3000,$B213,Offers!$C$7:$C$3000,$C213,Offers!$AH$7:$AH$3000,"yes")=0,"",SUMIFS(Offers!$H$7:$H$3000,Offers!$B$7:$B$3000,$B213,Offers!$C$7:$C$3000,$C213,Offers!$AF$7:$AF$3000,COUNTIFS(Offers!$B$7:$B$3000,$B213,Offers!$C$7:$C$3000,$C213,Offers!$AH$7:$AH$3000,"yes")))</f>
        <v>28.99</v>
      </c>
      <c r="I213" s="94" t="n">
        <f aca="false">IF(COUNTIFS(Offers!$B$7:$B$3000,$B213,Offers!$C$7:$C$3000,$C213,Offers!$AI$7:$AI$3000,"yes")=0,"",SUMIFS(Offers!$I$7:$I$3000,Offers!$B$7:$B$3000,$B213,Offers!$C$7:$C$3000,$C213,Offers!$AG$7:$AG$3000,1))</f>
        <v>19.76</v>
      </c>
      <c r="J213" s="95" t="n">
        <f aca="false">IF(COUNTIFS(Offers!$B$7:$B$3000,$B213,Offers!$C$7:$C$3000,$C213,Offers!$AI$7:$AI$3000,"yes")=0,"",(SUMIFS(Offers!$I$7:$I$3000,Offers!$B$7:$B$3000,$B213,Offers!$C$7:$C$3000,$C213,Offers!$AG$7:$AG$3000,ROUNDUP(COUNTIFS(Offers!$B$7:$B$3000,$B213,Offers!$C$7:$C$3000,$C213,Offers!$AI$7:$AI$3000,"yes")/2,0))+SUMIFS(Offers!$I$7:$I$3000,Offers!$B$7:$B$3000,$B213,Offers!$C$7:$C$3000,$C213,Offers!$AG$7:$AG$3000,INT(COUNTIFS(Offers!$B$7:$B$3000,$B213,Offers!$C$7:$C$3000,$C213,Offers!$AI$7:$AI$3000,"yes")/2)+1))/2)</f>
        <v>26.89</v>
      </c>
      <c r="K213" s="94" t="n">
        <f aca="false">IF(COUNTIFS(Offers!$B$7:$B$3000,$B213,Offers!$C$7:$C$3000,$C213,Offers!$AI$7:$AI$3000,"yes")=0,"",SUMIFS(Offers!$I$7:$I$3000,Offers!$B$7:$B$3000,$B213,Offers!$C$7:$C$3000,$C213,Offers!$AG$7:$AG$3000,COUNTIFS(Offers!$B$7:$B$3000,$B213,Offers!$C$7:$C$3000,$C213,Offers!$AI$7:$AI$3000,"yes")))</f>
        <v>28.99</v>
      </c>
      <c r="L213" s="96"/>
      <c r="M213" s="96"/>
      <c r="N213" s="96"/>
      <c r="O213" s="97" t="n">
        <f aca="false">IF(Compare!$E$5="Local prices",IF(F213="","",IF(Compare!$C$5="Minimum",F213,IF(Compare!$C$5="Maximum",H213,G213))),IF(I213="","",IF(Compare!$C$5="Minimum",I213,IF(Compare!$C$5="Maximum",K213,J213))))</f>
        <v>26.89</v>
      </c>
    </row>
    <row r="214" customFormat="false" ht="13.5" hidden="false" customHeight="true" outlineLevel="0" collapsed="false">
      <c r="B214" s="36" t="s">
        <v>65</v>
      </c>
      <c r="C214" s="98" t="s">
        <v>16</v>
      </c>
      <c r="D214" s="98" t="s">
        <v>244</v>
      </c>
      <c r="E214" s="98" t="s">
        <v>491</v>
      </c>
      <c r="F214" s="99" t="n">
        <f aca="false">IF(COUNTIFS(Offers!$B$7:$B$3000,$B214,Offers!$C$7:$C$3000,$C214,Offers!$AH$7:$AH$3000,"yes")=0,"",SUMIFS(Offers!$H$7:$H$3000,Offers!$B$7:$B$3000,$B214,Offers!$C$7:$C$3000,$C214,Offers!$AF$7:$AF$3000,1))</f>
        <v>24.99</v>
      </c>
      <c r="G214" s="93" t="n">
        <f aca="false">IF(COUNTIFS(Offers!$B$7:$B$3000,$B214,Offers!$C$7:$C$3000,$C214,Offers!$AH$7:$AH$3000,"yes")=0,"",(SUMIFS(Offers!$H$7:$H$3000,Offers!$B$7:$B$3000,$B214,Offers!$C$7:$C$3000,$C214,Offers!$AF$7:$AF$3000,ROUNDUP(COUNTIFS(Offers!$B$7:$B$3000,$B214,Offers!$C$7:$C$3000,$C214,Offers!$AH$7:$AH$3000,"yes")/2,0))+SUMIFS(Offers!$H$7:$H$3000,Offers!$B$7:$B$3000,$B214,Offers!$C$7:$C$3000,$C214,Offers!$AF$7:$AF$3000,INT(COUNTIFS(Offers!$B$7:$B$3000,$B214,Offers!$C$7:$C$3000,$C214,Offers!$AH$7:$AH$3000,"yes")/2)+1))/2)</f>
        <v>24.99</v>
      </c>
      <c r="H214" s="99" t="n">
        <f aca="false">IF(COUNTIFS(Offers!$B$7:$B$3000,$B214,Offers!$C$7:$C$3000,$C214,Offers!$AH$7:$AH$3000,"yes")=0,"",SUMIFS(Offers!$H$7:$H$3000,Offers!$B$7:$B$3000,$B214,Offers!$C$7:$C$3000,$C214,Offers!$AF$7:$AF$3000,COUNTIFS(Offers!$B$7:$B$3000,$B214,Offers!$C$7:$C$3000,$C214,Offers!$AH$7:$AH$3000,"yes")))</f>
        <v>24.99</v>
      </c>
      <c r="I214" s="100" t="n">
        <f aca="false">IF(COUNTIFS(Offers!$B$7:$B$3000,$B214,Offers!$C$7:$C$3000,$C214,Offers!$AI$7:$AI$3000,"yes")=0,"",SUMIFS(Offers!$I$7:$I$3000,Offers!$B$7:$B$3000,$B214,Offers!$C$7:$C$3000,$C214,Offers!$AG$7:$AG$3000,1))</f>
        <v>24.99</v>
      </c>
      <c r="J214" s="95" t="n">
        <f aca="false">IF(COUNTIFS(Offers!$B$7:$B$3000,$B214,Offers!$C$7:$C$3000,$C214,Offers!$AI$7:$AI$3000,"yes")=0,"",(SUMIFS(Offers!$I$7:$I$3000,Offers!$B$7:$B$3000,$B214,Offers!$C$7:$C$3000,$C214,Offers!$AG$7:$AG$3000,ROUNDUP(COUNTIFS(Offers!$B$7:$B$3000,$B214,Offers!$C$7:$C$3000,$C214,Offers!$AI$7:$AI$3000,"yes")/2,0))+SUMIFS(Offers!$I$7:$I$3000,Offers!$B$7:$B$3000,$B214,Offers!$C$7:$C$3000,$C214,Offers!$AG$7:$AG$3000,INT(COUNTIFS(Offers!$B$7:$B$3000,$B214,Offers!$C$7:$C$3000,$C214,Offers!$AI$7:$AI$3000,"yes")/2)+1))/2)</f>
        <v>24.99</v>
      </c>
      <c r="K214" s="100" t="n">
        <f aca="false">IF(COUNTIFS(Offers!$B$7:$B$3000,$B214,Offers!$C$7:$C$3000,$C214,Offers!$AI$7:$AI$3000,"yes")=0,"",SUMIFS(Offers!$I$7:$I$3000,Offers!$B$7:$B$3000,$B214,Offers!$C$7:$C$3000,$C214,Offers!$AG$7:$AG$3000,COUNTIFS(Offers!$B$7:$B$3000,$B214,Offers!$C$7:$C$3000,$C214,Offers!$AI$7:$AI$3000,"yes")))</f>
        <v>24.99</v>
      </c>
      <c r="L214" s="96"/>
      <c r="M214" s="96"/>
      <c r="N214" s="96"/>
      <c r="O214" s="101" t="n">
        <f aca="false">IF(Compare!$E$5="Local prices",IF(F214="","",IF(Compare!$C$5="Minimum",F214,IF(Compare!$C$5="Maximum",H214,G214))),IF(I214="","",IF(Compare!$C$5="Minimum",I214,IF(Compare!$C$5="Maximum",K214,J214))))</f>
        <v>24.99</v>
      </c>
    </row>
    <row r="215" customFormat="false" ht="13.5" hidden="false" customHeight="true" outlineLevel="0" collapsed="false">
      <c r="B215" s="31" t="s">
        <v>65</v>
      </c>
      <c r="C215" s="91" t="s">
        <v>17</v>
      </c>
      <c r="D215" s="91" t="s">
        <v>333</v>
      </c>
      <c r="E215" s="91" t="s">
        <v>491</v>
      </c>
      <c r="F215" s="92" t="n">
        <f aca="false">IF(COUNTIFS(Offers!$B$7:$B$3000,$B215,Offers!$C$7:$C$3000,$C215,Offers!$AH$7:$AH$3000,"yes")=0,"",SUMIFS(Offers!$H$7:$H$3000,Offers!$B$7:$B$3000,$B215,Offers!$C$7:$C$3000,$C215,Offers!$AF$7:$AF$3000,1))</f>
        <v>541</v>
      </c>
      <c r="G215" s="93" t="n">
        <f aca="false">IF(COUNTIFS(Offers!$B$7:$B$3000,$B215,Offers!$C$7:$C$3000,$C215,Offers!$AH$7:$AH$3000,"yes")=0,"",(SUMIFS(Offers!$H$7:$H$3000,Offers!$B$7:$B$3000,$B215,Offers!$C$7:$C$3000,$C215,Offers!$AF$7:$AF$3000,ROUNDUP(COUNTIFS(Offers!$B$7:$B$3000,$B215,Offers!$C$7:$C$3000,$C215,Offers!$AH$7:$AH$3000,"yes")/2,0))+SUMIFS(Offers!$H$7:$H$3000,Offers!$B$7:$B$3000,$B215,Offers!$C$7:$C$3000,$C215,Offers!$AF$7:$AF$3000,INT(COUNTIFS(Offers!$B$7:$B$3000,$B215,Offers!$C$7:$C$3000,$C215,Offers!$AH$7:$AH$3000,"yes")/2)+1))/2)</f>
        <v>653.145</v>
      </c>
      <c r="H215" s="92" t="n">
        <f aca="false">IF(COUNTIFS(Offers!$B$7:$B$3000,$B215,Offers!$C$7:$C$3000,$C215,Offers!$AH$7:$AH$3000,"yes")=0,"",SUMIFS(Offers!$H$7:$H$3000,Offers!$B$7:$B$3000,$B215,Offers!$C$7:$C$3000,$C215,Offers!$AF$7:$AF$3000,COUNTIFS(Offers!$B$7:$B$3000,$B215,Offers!$C$7:$C$3000,$C215,Offers!$AH$7:$AH$3000,"yes")))</f>
        <v>765.29</v>
      </c>
      <c r="I215" s="94" t="n">
        <f aca="false">IF(COUNTIFS(Offers!$B$7:$B$3000,$B215,Offers!$C$7:$C$3000,$C215,Offers!$AI$7:$AI$3000,"yes")=0,"",SUMIFS(Offers!$I$7:$I$3000,Offers!$B$7:$B$3000,$B215,Offers!$C$7:$C$3000,$C215,Offers!$AG$7:$AG$3000,1))</f>
        <v>22.150692</v>
      </c>
      <c r="J215" s="95" t="n">
        <f aca="false">IF(COUNTIFS(Offers!$B$7:$B$3000,$B215,Offers!$C$7:$C$3000,$C215,Offers!$AI$7:$AI$3000,"yes")=0,"",(SUMIFS(Offers!$I$7:$I$3000,Offers!$B$7:$B$3000,$B215,Offers!$C$7:$C$3000,$C215,Offers!$AG$7:$AG$3000,ROUNDUP(COUNTIFS(Offers!$B$7:$B$3000,$B215,Offers!$C$7:$C$3000,$C215,Offers!$AI$7:$AI$3000,"yes")/2,0))+SUMIFS(Offers!$I$7:$I$3000,Offers!$B$7:$B$3000,$B215,Offers!$C$7:$C$3000,$C215,Offers!$AG$7:$AG$3000,INT(COUNTIFS(Offers!$B$7:$B$3000,$B215,Offers!$C$7:$C$3000,$C215,Offers!$AI$7:$AI$3000,"yes")/2)+1))/2)</f>
        <v>26.7423545</v>
      </c>
      <c r="K215" s="94" t="n">
        <f aca="false">IF(COUNTIFS(Offers!$B$7:$B$3000,$B215,Offers!$C$7:$C$3000,$C215,Offers!$AI$7:$AI$3000,"yes")=0,"",SUMIFS(Offers!$I$7:$I$3000,Offers!$B$7:$B$3000,$B215,Offers!$C$7:$C$3000,$C215,Offers!$AG$7:$AG$3000,COUNTIFS(Offers!$B$7:$B$3000,$B215,Offers!$C$7:$C$3000,$C215,Offers!$AI$7:$AI$3000,"yes")))</f>
        <v>31.334017</v>
      </c>
      <c r="L215" s="96"/>
      <c r="M215" s="96"/>
      <c r="N215" s="96"/>
      <c r="O215" s="97" t="n">
        <f aca="false">IF(Compare!$E$5="Local prices",IF(F215="","",IF(Compare!$C$5="Minimum",F215,IF(Compare!$C$5="Maximum",H215,G215))),IF(I215="","",IF(Compare!$C$5="Minimum",I215,IF(Compare!$C$5="Maximum",K215,J215))))</f>
        <v>26.7423545</v>
      </c>
    </row>
    <row r="216" customFormat="false" ht="13.5" hidden="false" customHeight="true" outlineLevel="0" collapsed="false">
      <c r="B216" s="36" t="s">
        <v>65</v>
      </c>
      <c r="C216" s="98" t="s">
        <v>18</v>
      </c>
      <c r="D216" s="98" t="s">
        <v>244</v>
      </c>
      <c r="E216" s="98" t="s">
        <v>491</v>
      </c>
      <c r="F216" s="99" t="str">
        <f aca="false">IF(COUNTIFS(Offers!$B$7:$B$3000,$B216,Offers!$C$7:$C$3000,$C216,Offers!$AH$7:$AH$3000,"yes")=0,"",SUMIFS(Offers!$H$7:$H$3000,Offers!$B$7:$B$3000,$B216,Offers!$C$7:$C$3000,$C216,Offers!$AF$7:$AF$3000,1))</f>
        <v/>
      </c>
      <c r="G216" s="93" t="str">
        <f aca="false">IF(COUNTIFS(Offers!$B$7:$B$3000,$B216,Offers!$C$7:$C$3000,$C216,Offers!$AH$7:$AH$3000,"yes")=0,"",(SUMIFS(Offers!$H$7:$H$3000,Offers!$B$7:$B$3000,$B216,Offers!$C$7:$C$3000,$C216,Offers!$AF$7:$AF$3000,ROUNDUP(COUNTIFS(Offers!$B$7:$B$3000,$B216,Offers!$C$7:$C$3000,$C216,Offers!$AH$7:$AH$3000,"yes")/2,0))+SUMIFS(Offers!$H$7:$H$3000,Offers!$B$7:$B$3000,$B216,Offers!$C$7:$C$3000,$C216,Offers!$AF$7:$AF$3000,INT(COUNTIFS(Offers!$B$7:$B$3000,$B216,Offers!$C$7:$C$3000,$C216,Offers!$AH$7:$AH$3000,"yes")/2)+1))/2)</f>
        <v/>
      </c>
      <c r="H216" s="99" t="str">
        <f aca="false">IF(COUNTIFS(Offers!$B$7:$B$3000,$B216,Offers!$C$7:$C$3000,$C216,Offers!$AH$7:$AH$3000,"yes")=0,"",SUMIFS(Offers!$H$7:$H$3000,Offers!$B$7:$B$3000,$B216,Offers!$C$7:$C$3000,$C216,Offers!$AF$7:$AF$3000,COUNTIFS(Offers!$B$7:$B$3000,$B216,Offers!$C$7:$C$3000,$C216,Offers!$AH$7:$AH$3000,"yes")))</f>
        <v/>
      </c>
      <c r="I216" s="100" t="str">
        <f aca="false">IF(COUNTIFS(Offers!$B$7:$B$3000,$B216,Offers!$C$7:$C$3000,$C216,Offers!$AI$7:$AI$3000,"yes")=0,"",SUMIFS(Offers!$I$7:$I$3000,Offers!$B$7:$B$3000,$B216,Offers!$C$7:$C$3000,$C216,Offers!$AG$7:$AG$3000,1))</f>
        <v/>
      </c>
      <c r="J216" s="95" t="str">
        <f aca="false">IF(COUNTIFS(Offers!$B$7:$B$3000,$B216,Offers!$C$7:$C$3000,$C216,Offers!$AI$7:$AI$3000,"yes")=0,"",(SUMIFS(Offers!$I$7:$I$3000,Offers!$B$7:$B$3000,$B216,Offers!$C$7:$C$3000,$C216,Offers!$AG$7:$AG$3000,ROUNDUP(COUNTIFS(Offers!$B$7:$B$3000,$B216,Offers!$C$7:$C$3000,$C216,Offers!$AI$7:$AI$3000,"yes")/2,0))+SUMIFS(Offers!$I$7:$I$3000,Offers!$B$7:$B$3000,$B216,Offers!$C$7:$C$3000,$C216,Offers!$AG$7:$AG$3000,INT(COUNTIFS(Offers!$B$7:$B$3000,$B216,Offers!$C$7:$C$3000,$C216,Offers!$AI$7:$AI$3000,"yes")/2)+1))/2)</f>
        <v/>
      </c>
      <c r="K216" s="100" t="str">
        <f aca="false">IF(COUNTIFS(Offers!$B$7:$B$3000,$B216,Offers!$C$7:$C$3000,$C216,Offers!$AI$7:$AI$3000,"yes")=0,"",SUMIFS(Offers!$I$7:$I$3000,Offers!$B$7:$B$3000,$B216,Offers!$C$7:$C$3000,$C216,Offers!$AG$7:$AG$3000,COUNTIFS(Offers!$B$7:$B$3000,$B216,Offers!$C$7:$C$3000,$C216,Offers!$AI$7:$AI$3000,"yes")))</f>
        <v/>
      </c>
      <c r="L216" s="96"/>
      <c r="M216" s="96"/>
      <c r="N216" s="96"/>
      <c r="O216" s="110" t="str">
        <f aca="false">IF(Compare!$E$5="Local prices",IF(F216="","",IF(Compare!$C$5="Minimum",F216,IF(Compare!$C$5="Maximum",H216,G216))),IF(I216="","",IF(Compare!$C$5="Minimum",I216,IF(Compare!$C$5="Maximum",K216,J216))))</f>
        <v/>
      </c>
    </row>
    <row r="217" customFormat="false" ht="13.5" hidden="false" customHeight="false" outlineLevel="0" collapsed="false">
      <c r="B217" s="36" t="s">
        <v>66</v>
      </c>
      <c r="C217" s="98" t="s">
        <v>13</v>
      </c>
      <c r="D217" s="98" t="s">
        <v>490</v>
      </c>
      <c r="E217" s="98" t="s">
        <v>491</v>
      </c>
      <c r="F217" s="99" t="str">
        <f aca="false">IF(COUNTIFS(Offers!$B$7:$B$3000,$B217,Offers!$C$7:$C$3000,$C217,Offers!$AH$7:$AH$3000,"yes")=0,"",SUMIFS(Offers!$H$7:$H$3000,Offers!$B$7:$B$3000,$B217,Offers!$C$7:$C$3000,$C217,Offers!$AF$7:$AF$3000,1))</f>
        <v/>
      </c>
      <c r="G217" s="93" t="str">
        <f aca="false">IF(COUNTIFS(Offers!$B$7:$B$3000,$B217,Offers!$C$7:$C$3000,$C217,Offers!$AH$7:$AH$3000,"yes")=0,"",(SUMIFS(Offers!$H$7:$H$3000,Offers!$B$7:$B$3000,$B217,Offers!$C$7:$C$3000,$C217,Offers!$AF$7:$AF$3000,ROUNDUP(COUNTIFS(Offers!$B$7:$B$3000,$B217,Offers!$C$7:$C$3000,$C217,Offers!$AH$7:$AH$3000,"yes")/2,0))+SUMIFS(Offers!$H$7:$H$3000,Offers!$B$7:$B$3000,$B217,Offers!$C$7:$C$3000,$C217,Offers!$AF$7:$AF$3000,INT(COUNTIFS(Offers!$B$7:$B$3000,$B217,Offers!$C$7:$C$3000,$C217,Offers!$AH$7:$AH$3000,"yes")/2)+1))/2)</f>
        <v/>
      </c>
      <c r="H217" s="99" t="str">
        <f aca="false">IF(COUNTIFS(Offers!$B$7:$B$3000,$B217,Offers!$C$7:$C$3000,$C217,Offers!$AH$7:$AH$3000,"yes")=0,"",SUMIFS(Offers!$H$7:$H$3000,Offers!$B$7:$B$3000,$B217,Offers!$C$7:$C$3000,$C217,Offers!$AF$7:$AF$3000,COUNTIFS(Offers!$B$7:$B$3000,$B217,Offers!$C$7:$C$3000,$C217,Offers!$AH$7:$AH$3000,"yes")))</f>
        <v/>
      </c>
      <c r="I217" s="100" t="str">
        <f aca="false">IF(COUNTIFS(Offers!$B$7:$B$3000,$B217,Offers!$C$7:$C$3000,$C217,Offers!$AI$7:$AI$3000,"yes")=0,"",SUMIFS(Offers!$I$7:$I$3000,Offers!$B$7:$B$3000,$B217,Offers!$C$7:$C$3000,$C217,Offers!$AG$7:$AG$3000,1))</f>
        <v/>
      </c>
      <c r="J217" s="95" t="str">
        <f aca="false">IF(COUNTIFS(Offers!$B$7:$B$3000,$B217,Offers!$C$7:$C$3000,$C217,Offers!$AI$7:$AI$3000,"yes")=0,"",(SUMIFS(Offers!$I$7:$I$3000,Offers!$B$7:$B$3000,$B217,Offers!$C$7:$C$3000,$C217,Offers!$AG$7:$AG$3000,ROUNDUP(COUNTIFS(Offers!$B$7:$B$3000,$B217,Offers!$C$7:$C$3000,$C217,Offers!$AI$7:$AI$3000,"yes")/2,0))+SUMIFS(Offers!$I$7:$I$3000,Offers!$B$7:$B$3000,$B217,Offers!$C$7:$C$3000,$C217,Offers!$AG$7:$AG$3000,INT(COUNTIFS(Offers!$B$7:$B$3000,$B217,Offers!$C$7:$C$3000,$C217,Offers!$AI$7:$AI$3000,"yes")/2)+1))/2)</f>
        <v/>
      </c>
      <c r="K217" s="100" t="str">
        <f aca="false">IF(COUNTIFS(Offers!$B$7:$B$3000,$B217,Offers!$C$7:$C$3000,$C217,Offers!$AI$7:$AI$3000,"yes")=0,"",SUMIFS(Offers!$I$7:$I$3000,Offers!$B$7:$B$3000,$B217,Offers!$C$7:$C$3000,$C217,Offers!$AG$7:$AG$3000,COUNTIFS(Offers!$B$7:$B$3000,$B217,Offers!$C$7:$C$3000,$C217,Offers!$AI$7:$AI$3000,"yes")))</f>
        <v/>
      </c>
      <c r="L217" s="96"/>
      <c r="M217" s="96"/>
      <c r="N217" s="96"/>
      <c r="O217" s="110" t="str">
        <f aca="false">IF(Compare!$E$5="Local prices",IF(F217="","",IF(Compare!$C$5="Minimum",F217,IF(Compare!$C$5="Maximum",H217,G217))),IF(I217="","",IF(Compare!$C$5="Minimum",I217,IF(Compare!$C$5="Maximum",K217,J217))))</f>
        <v/>
      </c>
    </row>
    <row r="218" customFormat="false" ht="13.5" hidden="false" customHeight="false" outlineLevel="0" collapsed="false">
      <c r="B218" s="36" t="s">
        <v>66</v>
      </c>
      <c r="C218" s="98" t="s">
        <v>14</v>
      </c>
      <c r="D218" s="98" t="s">
        <v>374</v>
      </c>
      <c r="E218" s="98" t="s">
        <v>491</v>
      </c>
      <c r="F218" s="99" t="n">
        <f aca="false">IF(COUNTIFS(Offers!$B$7:$B$3000,$B218,Offers!$C$7:$C$3000,$C218,Offers!$AH$7:$AH$3000,"yes")=0,"",SUMIFS(Offers!$H$7:$H$3000,Offers!$B$7:$B$3000,$B218,Offers!$C$7:$C$3000,$C218,Offers!$AF$7:$AF$3000,1))</f>
        <v>11.68</v>
      </c>
      <c r="G218" s="93" t="n">
        <f aca="false">IF(COUNTIFS(Offers!$B$7:$B$3000,$B218,Offers!$C$7:$C$3000,$C218,Offers!$AH$7:$AH$3000,"yes")=0,"",(SUMIFS(Offers!$H$7:$H$3000,Offers!$B$7:$B$3000,$B218,Offers!$C$7:$C$3000,$C218,Offers!$AF$7:$AF$3000,ROUNDUP(COUNTIFS(Offers!$B$7:$B$3000,$B218,Offers!$C$7:$C$3000,$C218,Offers!$AH$7:$AH$3000,"yes")/2,0))+SUMIFS(Offers!$H$7:$H$3000,Offers!$B$7:$B$3000,$B218,Offers!$C$7:$C$3000,$C218,Offers!$AF$7:$AF$3000,INT(COUNTIFS(Offers!$B$7:$B$3000,$B218,Offers!$C$7:$C$3000,$C218,Offers!$AH$7:$AH$3000,"yes")/2)+1))/2)</f>
        <v>83.9</v>
      </c>
      <c r="H218" s="99" t="n">
        <f aca="false">IF(COUNTIFS(Offers!$B$7:$B$3000,$B218,Offers!$C$7:$C$3000,$C218,Offers!$AH$7:$AH$3000,"yes")=0,"",SUMIFS(Offers!$H$7:$H$3000,Offers!$B$7:$B$3000,$B218,Offers!$C$7:$C$3000,$C218,Offers!$AF$7:$AF$3000,COUNTIFS(Offers!$B$7:$B$3000,$B218,Offers!$C$7:$C$3000,$C218,Offers!$AH$7:$AH$3000,"yes")))</f>
        <v>141.45</v>
      </c>
      <c r="I218" s="100" t="n">
        <f aca="false">IF(COUNTIFS(Offers!$B$7:$B$3000,$B218,Offers!$C$7:$C$3000,$C218,Offers!$AI$7:$AI$3000,"yes")=0,"",SUMIFS(Offers!$I$7:$I$3000,Offers!$B$7:$B$3000,$B218,Offers!$C$7:$C$3000,$C218,Offers!$AG$7:$AG$3000,1))</f>
        <v>9.346978</v>
      </c>
      <c r="J218" s="95" t="n">
        <f aca="false">IF(COUNTIFS(Offers!$B$7:$B$3000,$B218,Offers!$C$7:$C$3000,$C218,Offers!$AI$7:$AI$3000,"yes")=0,"",(SUMIFS(Offers!$I$7:$I$3000,Offers!$B$7:$B$3000,$B218,Offers!$C$7:$C$3000,$C218,Offers!$AG$7:$AG$3000,ROUNDUP(COUNTIFS(Offers!$B$7:$B$3000,$B218,Offers!$C$7:$C$3000,$C218,Offers!$AI$7:$AI$3000,"yes")/2,0))+SUMIFS(Offers!$I$7:$I$3000,Offers!$B$7:$B$3000,$B218,Offers!$C$7:$C$3000,$C218,Offers!$AG$7:$AG$3000,INT(COUNTIFS(Offers!$B$7:$B$3000,$B218,Offers!$C$7:$C$3000,$C218,Offers!$AI$7:$AI$3000,"yes")/2)+1))/2)</f>
        <v>15.897252</v>
      </c>
      <c r="K218" s="100" t="n">
        <f aca="false">IF(COUNTIFS(Offers!$B$7:$B$3000,$B218,Offers!$C$7:$C$3000,$C218,Offers!$AI$7:$AI$3000,"yes")=0,"",SUMIFS(Offers!$I$7:$I$3000,Offers!$B$7:$B$3000,$B218,Offers!$C$7:$C$3000,$C218,Offers!$AG$7:$AG$3000,COUNTIFS(Offers!$B$7:$B$3000,$B218,Offers!$C$7:$C$3000,$C218,Offers!$AI$7:$AI$3000,"yes")))</f>
        <v>26.801744</v>
      </c>
      <c r="L218" s="96"/>
      <c r="M218" s="96"/>
      <c r="N218" s="96"/>
      <c r="O218" s="101" t="n">
        <f aca="false">IF(Compare!$E$5="Local prices",IF(F218="","",IF(Compare!$C$5="Minimum",F218,IF(Compare!$C$5="Maximum",H218,G218))),IF(I218="","",IF(Compare!$C$5="Minimum",I218,IF(Compare!$C$5="Maximum",K218,J218))))</f>
        <v>15.897252</v>
      </c>
    </row>
    <row r="219" customFormat="false" ht="13.5" hidden="false" customHeight="false" outlineLevel="0" collapsed="false">
      <c r="B219" s="36" t="s">
        <v>66</v>
      </c>
      <c r="C219" s="98" t="s">
        <v>15</v>
      </c>
      <c r="D219" s="98" t="s">
        <v>244</v>
      </c>
      <c r="E219" s="98" t="s">
        <v>491</v>
      </c>
      <c r="F219" s="99" t="n">
        <f aca="false">IF(COUNTIFS(Offers!$B$7:$B$3000,$B219,Offers!$C$7:$C$3000,$C219,Offers!$AH$7:$AH$3000,"yes")=0,"",SUMIFS(Offers!$H$7:$H$3000,Offers!$B$7:$B$3000,$B219,Offers!$C$7:$C$3000,$C219,Offers!$AF$7:$AF$3000,1))</f>
        <v>12.9</v>
      </c>
      <c r="G219" s="93" t="n">
        <f aca="false">IF(COUNTIFS(Offers!$B$7:$B$3000,$B219,Offers!$C$7:$C$3000,$C219,Offers!$AH$7:$AH$3000,"yes")=0,"",(SUMIFS(Offers!$H$7:$H$3000,Offers!$B$7:$B$3000,$B219,Offers!$C$7:$C$3000,$C219,Offers!$AF$7:$AF$3000,ROUNDUP(COUNTIFS(Offers!$B$7:$B$3000,$B219,Offers!$C$7:$C$3000,$C219,Offers!$AH$7:$AH$3000,"yes")/2,0))+SUMIFS(Offers!$H$7:$H$3000,Offers!$B$7:$B$3000,$B219,Offers!$C$7:$C$3000,$C219,Offers!$AF$7:$AF$3000,INT(COUNTIFS(Offers!$B$7:$B$3000,$B219,Offers!$C$7:$C$3000,$C219,Offers!$AH$7:$AH$3000,"yes")/2)+1))/2)</f>
        <v>19.79</v>
      </c>
      <c r="H219" s="99" t="n">
        <f aca="false">IF(COUNTIFS(Offers!$B$7:$B$3000,$B219,Offers!$C$7:$C$3000,$C219,Offers!$AH$7:$AH$3000,"yes")=0,"",SUMIFS(Offers!$H$7:$H$3000,Offers!$B$7:$B$3000,$B219,Offers!$C$7:$C$3000,$C219,Offers!$AF$7:$AF$3000,COUNTIFS(Offers!$B$7:$B$3000,$B219,Offers!$C$7:$C$3000,$C219,Offers!$AH$7:$AH$3000,"yes")))</f>
        <v>36.8</v>
      </c>
      <c r="I219" s="100" t="n">
        <f aca="false">IF(COUNTIFS(Offers!$B$7:$B$3000,$B219,Offers!$C$7:$C$3000,$C219,Offers!$AI$7:$AI$3000,"yes")=0,"",SUMIFS(Offers!$I$7:$I$3000,Offers!$B$7:$B$3000,$B219,Offers!$C$7:$C$3000,$C219,Offers!$AG$7:$AG$3000,1))</f>
        <v>12.9</v>
      </c>
      <c r="J219" s="95" t="n">
        <f aca="false">IF(COUNTIFS(Offers!$B$7:$B$3000,$B219,Offers!$C$7:$C$3000,$C219,Offers!$AI$7:$AI$3000,"yes")=0,"",(SUMIFS(Offers!$I$7:$I$3000,Offers!$B$7:$B$3000,$B219,Offers!$C$7:$C$3000,$C219,Offers!$AG$7:$AG$3000,ROUNDUP(COUNTIFS(Offers!$B$7:$B$3000,$B219,Offers!$C$7:$C$3000,$C219,Offers!$AI$7:$AI$3000,"yes")/2,0))+SUMIFS(Offers!$I$7:$I$3000,Offers!$B$7:$B$3000,$B219,Offers!$C$7:$C$3000,$C219,Offers!$AG$7:$AG$3000,INT(COUNTIFS(Offers!$B$7:$B$3000,$B219,Offers!$C$7:$C$3000,$C219,Offers!$AI$7:$AI$3000,"yes")/2)+1))/2)</f>
        <v>19.79</v>
      </c>
      <c r="K219" s="100" t="n">
        <f aca="false">IF(COUNTIFS(Offers!$B$7:$B$3000,$B219,Offers!$C$7:$C$3000,$C219,Offers!$AI$7:$AI$3000,"yes")=0,"",SUMIFS(Offers!$I$7:$I$3000,Offers!$B$7:$B$3000,$B219,Offers!$C$7:$C$3000,$C219,Offers!$AG$7:$AG$3000,COUNTIFS(Offers!$B$7:$B$3000,$B219,Offers!$C$7:$C$3000,$C219,Offers!$AI$7:$AI$3000,"yes")))</f>
        <v>36.8</v>
      </c>
      <c r="L219" s="96"/>
      <c r="M219" s="96"/>
      <c r="N219" s="96"/>
      <c r="O219" s="101" t="n">
        <f aca="false">IF(Compare!$E$5="Local prices",IF(F219="","",IF(Compare!$C$5="Minimum",F219,IF(Compare!$C$5="Maximum",H219,G219))),IF(I219="","",IF(Compare!$C$5="Minimum",I219,IF(Compare!$C$5="Maximum",K219,J219))))</f>
        <v>19.79</v>
      </c>
    </row>
    <row r="220" customFormat="false" ht="13.5" hidden="false" customHeight="false" outlineLevel="0" collapsed="false">
      <c r="B220" s="36" t="s">
        <v>66</v>
      </c>
      <c r="C220" s="98" t="s">
        <v>16</v>
      </c>
      <c r="D220" s="98" t="s">
        <v>244</v>
      </c>
      <c r="E220" s="98" t="s">
        <v>491</v>
      </c>
      <c r="F220" s="99" t="n">
        <f aca="false">IF(COUNTIFS(Offers!$B$7:$B$3000,$B220,Offers!$C$7:$C$3000,$C220,Offers!$AH$7:$AH$3000,"yes")=0,"",SUMIFS(Offers!$H$7:$H$3000,Offers!$B$7:$B$3000,$B220,Offers!$C$7:$C$3000,$C220,Offers!$AF$7:$AF$3000,1))</f>
        <v>10.83</v>
      </c>
      <c r="G220" s="93" t="n">
        <f aca="false">IF(COUNTIFS(Offers!$B$7:$B$3000,$B220,Offers!$C$7:$C$3000,$C220,Offers!$AH$7:$AH$3000,"yes")=0,"",(SUMIFS(Offers!$H$7:$H$3000,Offers!$B$7:$B$3000,$B220,Offers!$C$7:$C$3000,$C220,Offers!$AF$7:$AF$3000,ROUNDUP(COUNTIFS(Offers!$B$7:$B$3000,$B220,Offers!$C$7:$C$3000,$C220,Offers!$AH$7:$AH$3000,"yes")/2,0))+SUMIFS(Offers!$H$7:$H$3000,Offers!$B$7:$B$3000,$B220,Offers!$C$7:$C$3000,$C220,Offers!$AF$7:$AF$3000,INT(COUNTIFS(Offers!$B$7:$B$3000,$B220,Offers!$C$7:$C$3000,$C220,Offers!$AH$7:$AH$3000,"yes")/2)+1))/2)</f>
        <v>17.73</v>
      </c>
      <c r="H220" s="99" t="n">
        <f aca="false">IF(COUNTIFS(Offers!$B$7:$B$3000,$B220,Offers!$C$7:$C$3000,$C220,Offers!$AH$7:$AH$3000,"yes")=0,"",SUMIFS(Offers!$H$7:$H$3000,Offers!$B$7:$B$3000,$B220,Offers!$C$7:$C$3000,$C220,Offers!$AF$7:$AF$3000,COUNTIFS(Offers!$B$7:$B$3000,$B220,Offers!$C$7:$C$3000,$C220,Offers!$AH$7:$AH$3000,"yes")))</f>
        <v>36.8</v>
      </c>
      <c r="I220" s="100" t="n">
        <f aca="false">IF(COUNTIFS(Offers!$B$7:$B$3000,$B220,Offers!$C$7:$C$3000,$C220,Offers!$AI$7:$AI$3000,"yes")=0,"",SUMIFS(Offers!$I$7:$I$3000,Offers!$B$7:$B$3000,$B220,Offers!$C$7:$C$3000,$C220,Offers!$AG$7:$AG$3000,1))</f>
        <v>10.83</v>
      </c>
      <c r="J220" s="95" t="n">
        <f aca="false">IF(COUNTIFS(Offers!$B$7:$B$3000,$B220,Offers!$C$7:$C$3000,$C220,Offers!$AI$7:$AI$3000,"yes")=0,"",(SUMIFS(Offers!$I$7:$I$3000,Offers!$B$7:$B$3000,$B220,Offers!$C$7:$C$3000,$C220,Offers!$AG$7:$AG$3000,ROUNDUP(COUNTIFS(Offers!$B$7:$B$3000,$B220,Offers!$C$7:$C$3000,$C220,Offers!$AI$7:$AI$3000,"yes")/2,0))+SUMIFS(Offers!$I$7:$I$3000,Offers!$B$7:$B$3000,$B220,Offers!$C$7:$C$3000,$C220,Offers!$AG$7:$AG$3000,INT(COUNTIFS(Offers!$B$7:$B$3000,$B220,Offers!$C$7:$C$3000,$C220,Offers!$AI$7:$AI$3000,"yes")/2)+1))/2)</f>
        <v>17.73</v>
      </c>
      <c r="K220" s="100" t="n">
        <f aca="false">IF(COUNTIFS(Offers!$B$7:$B$3000,$B220,Offers!$C$7:$C$3000,$C220,Offers!$AI$7:$AI$3000,"yes")=0,"",SUMIFS(Offers!$I$7:$I$3000,Offers!$B$7:$B$3000,$B220,Offers!$C$7:$C$3000,$C220,Offers!$AG$7:$AG$3000,COUNTIFS(Offers!$B$7:$B$3000,$B220,Offers!$C$7:$C$3000,$C220,Offers!$AI$7:$AI$3000,"yes")))</f>
        <v>36.8</v>
      </c>
      <c r="L220" s="96"/>
      <c r="M220" s="96"/>
      <c r="N220" s="96"/>
      <c r="O220" s="101" t="n">
        <f aca="false">IF(Compare!$E$5="Local prices",IF(F220="","",IF(Compare!$C$5="Minimum",F220,IF(Compare!$C$5="Maximum",H220,G220))),IF(I220="","",IF(Compare!$C$5="Minimum",I220,IF(Compare!$C$5="Maximum",K220,J220))))</f>
        <v>17.73</v>
      </c>
    </row>
    <row r="221" customFormat="false" ht="13.5" hidden="false" customHeight="false" outlineLevel="0" collapsed="false">
      <c r="B221" s="36" t="s">
        <v>66</v>
      </c>
      <c r="C221" s="98" t="s">
        <v>17</v>
      </c>
      <c r="D221" s="98" t="s">
        <v>333</v>
      </c>
      <c r="E221" s="98" t="s">
        <v>491</v>
      </c>
      <c r="F221" s="99" t="n">
        <f aca="false">IF(COUNTIFS(Offers!$B$7:$B$3000,$B221,Offers!$C$7:$C$3000,$C221,Offers!$AH$7:$AH$3000,"yes")=0,"",SUMIFS(Offers!$H$7:$H$3000,Offers!$B$7:$B$3000,$B221,Offers!$C$7:$C$3000,$C221,Offers!$AF$7:$AF$3000,1))</f>
        <v>290.08</v>
      </c>
      <c r="G221" s="93" t="n">
        <f aca="false">IF(COUNTIFS(Offers!$B$7:$B$3000,$B221,Offers!$C$7:$C$3000,$C221,Offers!$AH$7:$AH$3000,"yes")=0,"",(SUMIFS(Offers!$H$7:$H$3000,Offers!$B$7:$B$3000,$B221,Offers!$C$7:$C$3000,$C221,Offers!$AF$7:$AF$3000,ROUNDUP(COUNTIFS(Offers!$B$7:$B$3000,$B221,Offers!$C$7:$C$3000,$C221,Offers!$AH$7:$AH$3000,"yes")/2,0))+SUMIFS(Offers!$H$7:$H$3000,Offers!$B$7:$B$3000,$B221,Offers!$C$7:$C$3000,$C221,Offers!$AF$7:$AF$3000,INT(COUNTIFS(Offers!$B$7:$B$3000,$B221,Offers!$C$7:$C$3000,$C221,Offers!$AH$7:$AH$3000,"yes")/2)+1))/2)</f>
        <v>376</v>
      </c>
      <c r="H221" s="99" t="n">
        <f aca="false">IF(COUNTIFS(Offers!$B$7:$B$3000,$B221,Offers!$C$7:$C$3000,$C221,Offers!$AH$7:$AH$3000,"yes")=0,"",SUMIFS(Offers!$H$7:$H$3000,Offers!$B$7:$B$3000,$B221,Offers!$C$7:$C$3000,$C221,Offers!$AF$7:$AF$3000,COUNTIFS(Offers!$B$7:$B$3000,$B221,Offers!$C$7:$C$3000,$C221,Offers!$AH$7:$AH$3000,"yes")))</f>
        <v>642</v>
      </c>
      <c r="I221" s="100" t="n">
        <f aca="false">IF(COUNTIFS(Offers!$B$7:$B$3000,$B221,Offers!$C$7:$C$3000,$C221,Offers!$AI$7:$AI$3000,"yes")=0,"",SUMIFS(Offers!$I$7:$I$3000,Offers!$B$7:$B$3000,$B221,Offers!$C$7:$C$3000,$C221,Offers!$AG$7:$AG$3000,1))</f>
        <v>11.877029</v>
      </c>
      <c r="J221" s="95" t="n">
        <f aca="false">IF(COUNTIFS(Offers!$B$7:$B$3000,$B221,Offers!$C$7:$C$3000,$C221,Offers!$AI$7:$AI$3000,"yes")=0,"",(SUMIFS(Offers!$I$7:$I$3000,Offers!$B$7:$B$3000,$B221,Offers!$C$7:$C$3000,$C221,Offers!$AG$7:$AG$3000,ROUNDUP(COUNTIFS(Offers!$B$7:$B$3000,$B221,Offers!$C$7:$C$3000,$C221,Offers!$AI$7:$AI$3000,"yes")/2,0))+SUMIFS(Offers!$I$7:$I$3000,Offers!$B$7:$B$3000,$B221,Offers!$C$7:$C$3000,$C221,Offers!$AG$7:$AG$3000,INT(COUNTIFS(Offers!$B$7:$B$3000,$B221,Offers!$C$7:$C$3000,$C221,Offers!$AI$7:$AI$3000,"yes")/2)+1))/2)</f>
        <v>15.394936</v>
      </c>
      <c r="K221" s="100" t="n">
        <f aca="false">IF(COUNTIFS(Offers!$B$7:$B$3000,$B221,Offers!$C$7:$C$3000,$C221,Offers!$AI$7:$AI$3000,"yes")=0,"",SUMIFS(Offers!$I$7:$I$3000,Offers!$B$7:$B$3000,$B221,Offers!$C$7:$C$3000,$C221,Offers!$AG$7:$AG$3000,COUNTIFS(Offers!$B$7:$B$3000,$B221,Offers!$C$7:$C$3000,$C221,Offers!$AI$7:$AI$3000,"yes")))</f>
        <v>26.286034</v>
      </c>
      <c r="L221" s="96"/>
      <c r="M221" s="96"/>
      <c r="N221" s="96"/>
      <c r="O221" s="101" t="n">
        <f aca="false">IF(Compare!$E$5="Local prices",IF(F221="","",IF(Compare!$C$5="Minimum",F221,IF(Compare!$C$5="Maximum",H221,G221))),IF(I221="","",IF(Compare!$C$5="Minimum",I221,IF(Compare!$C$5="Maximum",K221,J221))))</f>
        <v>15.394936</v>
      </c>
    </row>
    <row r="222" customFormat="false" ht="13.5" hidden="false" customHeight="false" outlineLevel="0" collapsed="false">
      <c r="B222" s="36" t="s">
        <v>66</v>
      </c>
      <c r="C222" s="98" t="s">
        <v>18</v>
      </c>
      <c r="D222" s="98" t="s">
        <v>244</v>
      </c>
      <c r="E222" s="98" t="s">
        <v>491</v>
      </c>
      <c r="F222" s="99" t="n">
        <f aca="false">IF(COUNTIFS(Offers!$B$7:$B$3000,$B222,Offers!$C$7:$C$3000,$C222,Offers!$AH$7:$AH$3000,"yes")=0,"",SUMIFS(Offers!$H$7:$H$3000,Offers!$B$7:$B$3000,$B222,Offers!$C$7:$C$3000,$C222,Offers!$AF$7:$AF$3000,1))</f>
        <v>12.01</v>
      </c>
      <c r="G222" s="93" t="n">
        <f aca="false">IF(COUNTIFS(Offers!$B$7:$B$3000,$B222,Offers!$C$7:$C$3000,$C222,Offers!$AH$7:$AH$3000,"yes")=0,"",(SUMIFS(Offers!$H$7:$H$3000,Offers!$B$7:$B$3000,$B222,Offers!$C$7:$C$3000,$C222,Offers!$AF$7:$AF$3000,ROUNDUP(COUNTIFS(Offers!$B$7:$B$3000,$B222,Offers!$C$7:$C$3000,$C222,Offers!$AH$7:$AH$3000,"yes")/2,0))+SUMIFS(Offers!$H$7:$H$3000,Offers!$B$7:$B$3000,$B222,Offers!$C$7:$C$3000,$C222,Offers!$AF$7:$AF$3000,INT(COUNTIFS(Offers!$B$7:$B$3000,$B222,Offers!$C$7:$C$3000,$C222,Offers!$AH$7:$AH$3000,"yes")/2)+1))/2)</f>
        <v>16.42</v>
      </c>
      <c r="H222" s="99" t="n">
        <f aca="false">IF(COUNTIFS(Offers!$B$7:$B$3000,$B222,Offers!$C$7:$C$3000,$C222,Offers!$AH$7:$AH$3000,"yes")=0,"",SUMIFS(Offers!$H$7:$H$3000,Offers!$B$7:$B$3000,$B222,Offers!$C$7:$C$3000,$C222,Offers!$AF$7:$AF$3000,COUNTIFS(Offers!$B$7:$B$3000,$B222,Offers!$C$7:$C$3000,$C222,Offers!$AH$7:$AH$3000,"yes")))</f>
        <v>32.12</v>
      </c>
      <c r="I222" s="100" t="n">
        <f aca="false">IF(COUNTIFS(Offers!$B$7:$B$3000,$B222,Offers!$C$7:$C$3000,$C222,Offers!$AI$7:$AI$3000,"yes")=0,"",SUMIFS(Offers!$I$7:$I$3000,Offers!$B$7:$B$3000,$B222,Offers!$C$7:$C$3000,$C222,Offers!$AG$7:$AG$3000,1))</f>
        <v>12.01</v>
      </c>
      <c r="J222" s="95" t="n">
        <f aca="false">IF(COUNTIFS(Offers!$B$7:$B$3000,$B222,Offers!$C$7:$C$3000,$C222,Offers!$AI$7:$AI$3000,"yes")=0,"",(SUMIFS(Offers!$I$7:$I$3000,Offers!$B$7:$B$3000,$B222,Offers!$C$7:$C$3000,$C222,Offers!$AG$7:$AG$3000,ROUNDUP(COUNTIFS(Offers!$B$7:$B$3000,$B222,Offers!$C$7:$C$3000,$C222,Offers!$AI$7:$AI$3000,"yes")/2,0))+SUMIFS(Offers!$I$7:$I$3000,Offers!$B$7:$B$3000,$B222,Offers!$C$7:$C$3000,$C222,Offers!$AG$7:$AG$3000,INT(COUNTIFS(Offers!$B$7:$B$3000,$B222,Offers!$C$7:$C$3000,$C222,Offers!$AI$7:$AI$3000,"yes")/2)+1))/2)</f>
        <v>16.42</v>
      </c>
      <c r="K222" s="100" t="n">
        <f aca="false">IF(COUNTIFS(Offers!$B$7:$B$3000,$B222,Offers!$C$7:$C$3000,$C222,Offers!$AI$7:$AI$3000,"yes")=0,"",SUMIFS(Offers!$I$7:$I$3000,Offers!$B$7:$B$3000,$B222,Offers!$C$7:$C$3000,$C222,Offers!$AG$7:$AG$3000,COUNTIFS(Offers!$B$7:$B$3000,$B222,Offers!$C$7:$C$3000,$C222,Offers!$AI$7:$AI$3000,"yes")))</f>
        <v>32.12</v>
      </c>
      <c r="L222" s="96"/>
      <c r="M222" s="96"/>
      <c r="N222" s="96"/>
      <c r="O222" s="101" t="n">
        <f aca="false">IF(Compare!$E$5="Local prices",IF(F222="","",IF(Compare!$C$5="Minimum",F222,IF(Compare!$C$5="Maximum",H222,G222))),IF(I222="","",IF(Compare!$C$5="Minimum",I222,IF(Compare!$C$5="Maximum",K222,J222))))</f>
        <v>16.42</v>
      </c>
    </row>
    <row r="223" customFormat="false" ht="13.5" hidden="false" customHeight="false" outlineLevel="0" collapsed="false">
      <c r="B223" s="36" t="s">
        <v>67</v>
      </c>
      <c r="C223" s="98" t="s">
        <v>13</v>
      </c>
      <c r="D223" s="98" t="s">
        <v>490</v>
      </c>
      <c r="E223" s="98" t="s">
        <v>491</v>
      </c>
      <c r="F223" s="99" t="str">
        <f aca="false">IF(COUNTIFS(Offers!$B$7:$B$3000,$B223,Offers!$C$7:$C$3000,$C223,Offers!$AH$7:$AH$3000,"yes")=0,"",SUMIFS(Offers!$H$7:$H$3000,Offers!$B$7:$B$3000,$B223,Offers!$C$7:$C$3000,$C223,Offers!$AF$7:$AF$3000,1))</f>
        <v/>
      </c>
      <c r="G223" s="93" t="str">
        <f aca="false">IF(COUNTIFS(Offers!$B$7:$B$3000,$B223,Offers!$C$7:$C$3000,$C223,Offers!$AH$7:$AH$3000,"yes")=0,"",(SUMIFS(Offers!$H$7:$H$3000,Offers!$B$7:$B$3000,$B223,Offers!$C$7:$C$3000,$C223,Offers!$AF$7:$AF$3000,ROUNDUP(COUNTIFS(Offers!$B$7:$B$3000,$B223,Offers!$C$7:$C$3000,$C223,Offers!$AH$7:$AH$3000,"yes")/2,0))+SUMIFS(Offers!$H$7:$H$3000,Offers!$B$7:$B$3000,$B223,Offers!$C$7:$C$3000,$C223,Offers!$AF$7:$AF$3000,INT(COUNTIFS(Offers!$B$7:$B$3000,$B223,Offers!$C$7:$C$3000,$C223,Offers!$AH$7:$AH$3000,"yes")/2)+1))/2)</f>
        <v/>
      </c>
      <c r="H223" s="99" t="str">
        <f aca="false">IF(COUNTIFS(Offers!$B$7:$B$3000,$B223,Offers!$C$7:$C$3000,$C223,Offers!$AH$7:$AH$3000,"yes")=0,"",SUMIFS(Offers!$H$7:$H$3000,Offers!$B$7:$B$3000,$B223,Offers!$C$7:$C$3000,$C223,Offers!$AF$7:$AF$3000,COUNTIFS(Offers!$B$7:$B$3000,$B223,Offers!$C$7:$C$3000,$C223,Offers!$AH$7:$AH$3000,"yes")))</f>
        <v/>
      </c>
      <c r="I223" s="100" t="str">
        <f aca="false">IF(COUNTIFS(Offers!$B$7:$B$3000,$B223,Offers!$C$7:$C$3000,$C223,Offers!$AI$7:$AI$3000,"yes")=0,"",SUMIFS(Offers!$I$7:$I$3000,Offers!$B$7:$B$3000,$B223,Offers!$C$7:$C$3000,$C223,Offers!$AG$7:$AG$3000,1))</f>
        <v/>
      </c>
      <c r="J223" s="95" t="str">
        <f aca="false">IF(COUNTIFS(Offers!$B$7:$B$3000,$B223,Offers!$C$7:$C$3000,$C223,Offers!$AI$7:$AI$3000,"yes")=0,"",(SUMIFS(Offers!$I$7:$I$3000,Offers!$B$7:$B$3000,$B223,Offers!$C$7:$C$3000,$C223,Offers!$AG$7:$AG$3000,ROUNDUP(COUNTIFS(Offers!$B$7:$B$3000,$B223,Offers!$C$7:$C$3000,$C223,Offers!$AI$7:$AI$3000,"yes")/2,0))+SUMIFS(Offers!$I$7:$I$3000,Offers!$B$7:$B$3000,$B223,Offers!$C$7:$C$3000,$C223,Offers!$AG$7:$AG$3000,INT(COUNTIFS(Offers!$B$7:$B$3000,$B223,Offers!$C$7:$C$3000,$C223,Offers!$AI$7:$AI$3000,"yes")/2)+1))/2)</f>
        <v/>
      </c>
      <c r="K223" s="100" t="str">
        <f aca="false">IF(COUNTIFS(Offers!$B$7:$B$3000,$B223,Offers!$C$7:$C$3000,$C223,Offers!$AI$7:$AI$3000,"yes")=0,"",SUMIFS(Offers!$I$7:$I$3000,Offers!$B$7:$B$3000,$B223,Offers!$C$7:$C$3000,$C223,Offers!$AG$7:$AG$3000,COUNTIFS(Offers!$B$7:$B$3000,$B223,Offers!$C$7:$C$3000,$C223,Offers!$AI$7:$AI$3000,"yes")))</f>
        <v/>
      </c>
      <c r="L223" s="96"/>
      <c r="M223" s="96"/>
      <c r="N223" s="96"/>
      <c r="O223" s="110" t="str">
        <f aca="false">IF(Compare!$E$5="Local prices",IF(F223="","",IF(Compare!$C$5="Minimum",F223,IF(Compare!$C$5="Maximum",H223,G223))),IF(I223="","",IF(Compare!$C$5="Minimum",I223,IF(Compare!$C$5="Maximum",K223,J223))))</f>
        <v/>
      </c>
    </row>
    <row r="224" customFormat="false" ht="13.5" hidden="false" customHeight="false" outlineLevel="0" collapsed="false">
      <c r="B224" s="36" t="s">
        <v>67</v>
      </c>
      <c r="C224" s="98" t="s">
        <v>14</v>
      </c>
      <c r="D224" s="98" t="s">
        <v>374</v>
      </c>
      <c r="E224" s="98" t="s">
        <v>491</v>
      </c>
      <c r="F224" s="99" t="n">
        <f aca="false">IF(COUNTIFS(Offers!$B$7:$B$3000,$B224,Offers!$C$7:$C$3000,$C224,Offers!$AH$7:$AH$3000,"yes")=0,"",SUMIFS(Offers!$H$7:$H$3000,Offers!$B$7:$B$3000,$B224,Offers!$C$7:$C$3000,$C224,Offers!$AF$7:$AF$3000,1))</f>
        <v>14.57</v>
      </c>
      <c r="G224" s="93" t="n">
        <f aca="false">IF(COUNTIFS(Offers!$B$7:$B$3000,$B224,Offers!$C$7:$C$3000,$C224,Offers!$AH$7:$AH$3000,"yes")=0,"",(SUMIFS(Offers!$H$7:$H$3000,Offers!$B$7:$B$3000,$B224,Offers!$C$7:$C$3000,$C224,Offers!$AF$7:$AF$3000,ROUNDUP(COUNTIFS(Offers!$B$7:$B$3000,$B224,Offers!$C$7:$C$3000,$C224,Offers!$AH$7:$AH$3000,"yes")/2,0))+SUMIFS(Offers!$H$7:$H$3000,Offers!$B$7:$B$3000,$B224,Offers!$C$7:$C$3000,$C224,Offers!$AF$7:$AF$3000,INT(COUNTIFS(Offers!$B$7:$B$3000,$B224,Offers!$C$7:$C$3000,$C224,Offers!$AH$7:$AH$3000,"yes")/2)+1))/2)</f>
        <v>105.82</v>
      </c>
      <c r="H224" s="99" t="n">
        <f aca="false">IF(COUNTIFS(Offers!$B$7:$B$3000,$B224,Offers!$C$7:$C$3000,$C224,Offers!$AH$7:$AH$3000,"yes")=0,"",SUMIFS(Offers!$H$7:$H$3000,Offers!$B$7:$B$3000,$B224,Offers!$C$7:$C$3000,$C224,Offers!$AF$7:$AF$3000,COUNTIFS(Offers!$B$7:$B$3000,$B224,Offers!$C$7:$C$3000,$C224,Offers!$AH$7:$AH$3000,"yes")))</f>
        <v>180.27</v>
      </c>
      <c r="I224" s="100" t="n">
        <f aca="false">IF(COUNTIFS(Offers!$B$7:$B$3000,$B224,Offers!$C$7:$C$3000,$C224,Offers!$AI$7:$AI$3000,"yes")=0,"",SUMIFS(Offers!$I$7:$I$3000,Offers!$B$7:$B$3000,$B224,Offers!$C$7:$C$3000,$C224,Offers!$AG$7:$AG$3000,1))</f>
        <v>12.833384</v>
      </c>
      <c r="J224" s="95" t="n">
        <f aca="false">IF(COUNTIFS(Offers!$B$7:$B$3000,$B224,Offers!$C$7:$C$3000,$C224,Offers!$AI$7:$AI$3000,"yes")=0,"",(SUMIFS(Offers!$I$7:$I$3000,Offers!$B$7:$B$3000,$B224,Offers!$C$7:$C$3000,$C224,Offers!$AG$7:$AG$3000,ROUNDUP(COUNTIFS(Offers!$B$7:$B$3000,$B224,Offers!$C$7:$C$3000,$C224,Offers!$AI$7:$AI$3000,"yes")/2,0))+SUMIFS(Offers!$I$7:$I$3000,Offers!$B$7:$B$3000,$B224,Offers!$C$7:$C$3000,$C224,Offers!$AG$7:$AG$3000,INT(COUNTIFS(Offers!$B$7:$B$3000,$B224,Offers!$C$7:$C$3000,$C224,Offers!$AI$7:$AI$3000,"yes")/2)+1))/2)</f>
        <v>20.050622</v>
      </c>
      <c r="K224" s="100" t="n">
        <f aca="false">IF(COUNTIFS(Offers!$B$7:$B$3000,$B224,Offers!$C$7:$C$3000,$C224,Offers!$AI$7:$AI$3000,"yes")=0,"",SUMIFS(Offers!$I$7:$I$3000,Offers!$B$7:$B$3000,$B224,Offers!$C$7:$C$3000,$C224,Offers!$AG$7:$AG$3000,COUNTIFS(Offers!$B$7:$B$3000,$B224,Offers!$C$7:$C$3000,$C224,Offers!$AI$7:$AI$3000,"yes")))</f>
        <v>34.157302</v>
      </c>
      <c r="L224" s="96"/>
      <c r="M224" s="96"/>
      <c r="N224" s="96"/>
      <c r="O224" s="101" t="n">
        <f aca="false">IF(Compare!$E$5="Local prices",IF(F224="","",IF(Compare!$C$5="Minimum",F224,IF(Compare!$C$5="Maximum",H224,G224))),IF(I224="","",IF(Compare!$C$5="Minimum",I224,IF(Compare!$C$5="Maximum",K224,J224))))</f>
        <v>20.050622</v>
      </c>
    </row>
    <row r="225" customFormat="false" ht="13.5" hidden="false" customHeight="false" outlineLevel="0" collapsed="false">
      <c r="B225" s="36" t="s">
        <v>67</v>
      </c>
      <c r="C225" s="98" t="s">
        <v>15</v>
      </c>
      <c r="D225" s="98" t="s">
        <v>244</v>
      </c>
      <c r="E225" s="98" t="s">
        <v>491</v>
      </c>
      <c r="F225" s="99" t="n">
        <f aca="false">IF(COUNTIFS(Offers!$B$7:$B$3000,$B225,Offers!$C$7:$C$3000,$C225,Offers!$AH$7:$AH$3000,"yes")=0,"",SUMIFS(Offers!$H$7:$H$3000,Offers!$B$7:$B$3000,$B225,Offers!$C$7:$C$3000,$C225,Offers!$AF$7:$AF$3000,1))</f>
        <v>13.17</v>
      </c>
      <c r="G225" s="93" t="n">
        <f aca="false">IF(COUNTIFS(Offers!$B$7:$B$3000,$B225,Offers!$C$7:$C$3000,$C225,Offers!$AH$7:$AH$3000,"yes")=0,"",(SUMIFS(Offers!$H$7:$H$3000,Offers!$B$7:$B$3000,$B225,Offers!$C$7:$C$3000,$C225,Offers!$AF$7:$AF$3000,ROUNDUP(COUNTIFS(Offers!$B$7:$B$3000,$B225,Offers!$C$7:$C$3000,$C225,Offers!$AH$7:$AH$3000,"yes")/2,0))+SUMIFS(Offers!$H$7:$H$3000,Offers!$B$7:$B$3000,$B225,Offers!$C$7:$C$3000,$C225,Offers!$AF$7:$AF$3000,INT(COUNTIFS(Offers!$B$7:$B$3000,$B225,Offers!$C$7:$C$3000,$C225,Offers!$AH$7:$AH$3000,"yes")/2)+1))/2)</f>
        <v>25.9</v>
      </c>
      <c r="H225" s="99" t="n">
        <f aca="false">IF(COUNTIFS(Offers!$B$7:$B$3000,$B225,Offers!$C$7:$C$3000,$C225,Offers!$AH$7:$AH$3000,"yes")=0,"",SUMIFS(Offers!$H$7:$H$3000,Offers!$B$7:$B$3000,$B225,Offers!$C$7:$C$3000,$C225,Offers!$AF$7:$AF$3000,COUNTIFS(Offers!$B$7:$B$3000,$B225,Offers!$C$7:$C$3000,$C225,Offers!$AH$7:$AH$3000,"yes")))</f>
        <v>42</v>
      </c>
      <c r="I225" s="100" t="n">
        <f aca="false">IF(COUNTIFS(Offers!$B$7:$B$3000,$B225,Offers!$C$7:$C$3000,$C225,Offers!$AI$7:$AI$3000,"yes")=0,"",SUMIFS(Offers!$I$7:$I$3000,Offers!$B$7:$B$3000,$B225,Offers!$C$7:$C$3000,$C225,Offers!$AG$7:$AG$3000,1))</f>
        <v>13.17</v>
      </c>
      <c r="J225" s="95" t="n">
        <f aca="false">IF(COUNTIFS(Offers!$B$7:$B$3000,$B225,Offers!$C$7:$C$3000,$C225,Offers!$AI$7:$AI$3000,"yes")=0,"",(SUMIFS(Offers!$I$7:$I$3000,Offers!$B$7:$B$3000,$B225,Offers!$C$7:$C$3000,$C225,Offers!$AG$7:$AG$3000,ROUNDUP(COUNTIFS(Offers!$B$7:$B$3000,$B225,Offers!$C$7:$C$3000,$C225,Offers!$AI$7:$AI$3000,"yes")/2,0))+SUMIFS(Offers!$I$7:$I$3000,Offers!$B$7:$B$3000,$B225,Offers!$C$7:$C$3000,$C225,Offers!$AG$7:$AG$3000,INT(COUNTIFS(Offers!$B$7:$B$3000,$B225,Offers!$C$7:$C$3000,$C225,Offers!$AI$7:$AI$3000,"yes")/2)+1))/2)</f>
        <v>25.9</v>
      </c>
      <c r="K225" s="100" t="n">
        <f aca="false">IF(COUNTIFS(Offers!$B$7:$B$3000,$B225,Offers!$C$7:$C$3000,$C225,Offers!$AI$7:$AI$3000,"yes")=0,"",SUMIFS(Offers!$I$7:$I$3000,Offers!$B$7:$B$3000,$B225,Offers!$C$7:$C$3000,$C225,Offers!$AG$7:$AG$3000,COUNTIFS(Offers!$B$7:$B$3000,$B225,Offers!$C$7:$C$3000,$C225,Offers!$AI$7:$AI$3000,"yes")))</f>
        <v>42</v>
      </c>
      <c r="L225" s="96"/>
      <c r="M225" s="96"/>
      <c r="N225" s="96"/>
      <c r="O225" s="101" t="n">
        <f aca="false">IF(Compare!$E$5="Local prices",IF(F225="","",IF(Compare!$C$5="Minimum",F225,IF(Compare!$C$5="Maximum",H225,G225))),IF(I225="","",IF(Compare!$C$5="Minimum",I225,IF(Compare!$C$5="Maximum",K225,J225))))</f>
        <v>25.9</v>
      </c>
    </row>
    <row r="226" customFormat="false" ht="13.5" hidden="false" customHeight="false" outlineLevel="0" collapsed="false">
      <c r="B226" s="36" t="s">
        <v>67</v>
      </c>
      <c r="C226" s="98" t="s">
        <v>16</v>
      </c>
      <c r="D226" s="98" t="s">
        <v>244</v>
      </c>
      <c r="E226" s="98" t="s">
        <v>491</v>
      </c>
      <c r="F226" s="99" t="n">
        <f aca="false">IF(COUNTIFS(Offers!$B$7:$B$3000,$B226,Offers!$C$7:$C$3000,$C226,Offers!$AH$7:$AH$3000,"yes")=0,"",SUMIFS(Offers!$H$7:$H$3000,Offers!$B$7:$B$3000,$B226,Offers!$C$7:$C$3000,$C226,Offers!$AF$7:$AF$3000,1))</f>
        <v>14.45</v>
      </c>
      <c r="G226" s="93" t="n">
        <f aca="false">IF(COUNTIFS(Offers!$B$7:$B$3000,$B226,Offers!$C$7:$C$3000,$C226,Offers!$AH$7:$AH$3000,"yes")=0,"",(SUMIFS(Offers!$H$7:$H$3000,Offers!$B$7:$B$3000,$B226,Offers!$C$7:$C$3000,$C226,Offers!$AF$7:$AF$3000,ROUNDUP(COUNTIFS(Offers!$B$7:$B$3000,$B226,Offers!$C$7:$C$3000,$C226,Offers!$AH$7:$AH$3000,"yes")/2,0))+SUMIFS(Offers!$H$7:$H$3000,Offers!$B$7:$B$3000,$B226,Offers!$C$7:$C$3000,$C226,Offers!$AF$7:$AF$3000,INT(COUNTIFS(Offers!$B$7:$B$3000,$B226,Offers!$C$7:$C$3000,$C226,Offers!$AH$7:$AH$3000,"yes")/2)+1))/2)</f>
        <v>22.43</v>
      </c>
      <c r="H226" s="99" t="n">
        <f aca="false">IF(COUNTIFS(Offers!$B$7:$B$3000,$B226,Offers!$C$7:$C$3000,$C226,Offers!$AH$7:$AH$3000,"yes")=0,"",SUMIFS(Offers!$H$7:$H$3000,Offers!$B$7:$B$3000,$B226,Offers!$C$7:$C$3000,$C226,Offers!$AF$7:$AF$3000,COUNTIFS(Offers!$B$7:$B$3000,$B226,Offers!$C$7:$C$3000,$C226,Offers!$AH$7:$AH$3000,"yes")))</f>
        <v>42</v>
      </c>
      <c r="I226" s="100" t="n">
        <f aca="false">IF(COUNTIFS(Offers!$B$7:$B$3000,$B226,Offers!$C$7:$C$3000,$C226,Offers!$AI$7:$AI$3000,"yes")=0,"",SUMIFS(Offers!$I$7:$I$3000,Offers!$B$7:$B$3000,$B226,Offers!$C$7:$C$3000,$C226,Offers!$AG$7:$AG$3000,1))</f>
        <v>14.45</v>
      </c>
      <c r="J226" s="95" t="n">
        <f aca="false">IF(COUNTIFS(Offers!$B$7:$B$3000,$B226,Offers!$C$7:$C$3000,$C226,Offers!$AI$7:$AI$3000,"yes")=0,"",(SUMIFS(Offers!$I$7:$I$3000,Offers!$B$7:$B$3000,$B226,Offers!$C$7:$C$3000,$C226,Offers!$AG$7:$AG$3000,ROUNDUP(COUNTIFS(Offers!$B$7:$B$3000,$B226,Offers!$C$7:$C$3000,$C226,Offers!$AI$7:$AI$3000,"yes")/2,0))+SUMIFS(Offers!$I$7:$I$3000,Offers!$B$7:$B$3000,$B226,Offers!$C$7:$C$3000,$C226,Offers!$AG$7:$AG$3000,INT(COUNTIFS(Offers!$B$7:$B$3000,$B226,Offers!$C$7:$C$3000,$C226,Offers!$AI$7:$AI$3000,"yes")/2)+1))/2)</f>
        <v>22.43</v>
      </c>
      <c r="K226" s="100" t="n">
        <f aca="false">IF(COUNTIFS(Offers!$B$7:$B$3000,$B226,Offers!$C$7:$C$3000,$C226,Offers!$AI$7:$AI$3000,"yes")=0,"",SUMIFS(Offers!$I$7:$I$3000,Offers!$B$7:$B$3000,$B226,Offers!$C$7:$C$3000,$C226,Offers!$AG$7:$AG$3000,COUNTIFS(Offers!$B$7:$B$3000,$B226,Offers!$C$7:$C$3000,$C226,Offers!$AI$7:$AI$3000,"yes")))</f>
        <v>42</v>
      </c>
      <c r="L226" s="96"/>
      <c r="M226" s="96"/>
      <c r="N226" s="96"/>
      <c r="O226" s="101" t="n">
        <f aca="false">IF(Compare!$E$5="Local prices",IF(F226="","",IF(Compare!$C$5="Minimum",F226,IF(Compare!$C$5="Maximum",H226,G226))),IF(I226="","",IF(Compare!$C$5="Minimum",I226,IF(Compare!$C$5="Maximum",K226,J226))))</f>
        <v>22.43</v>
      </c>
    </row>
    <row r="227" customFormat="false" ht="13.5" hidden="false" customHeight="false" outlineLevel="0" collapsed="false">
      <c r="B227" s="36" t="s">
        <v>67</v>
      </c>
      <c r="C227" s="98" t="s">
        <v>17</v>
      </c>
      <c r="D227" s="98" t="s">
        <v>333</v>
      </c>
      <c r="E227" s="98" t="s">
        <v>491</v>
      </c>
      <c r="F227" s="99" t="n">
        <f aca="false">IF(COUNTIFS(Offers!$B$7:$B$3000,$B227,Offers!$C$7:$C$3000,$C227,Offers!$AH$7:$AH$3000,"yes")=0,"",SUMIFS(Offers!$H$7:$H$3000,Offers!$B$7:$B$3000,$B227,Offers!$C$7:$C$3000,$C227,Offers!$AF$7:$AF$3000,1))</f>
        <v>339.67</v>
      </c>
      <c r="G227" s="93" t="n">
        <f aca="false">IF(COUNTIFS(Offers!$B$7:$B$3000,$B227,Offers!$C$7:$C$3000,$C227,Offers!$AH$7:$AH$3000,"yes")=0,"",(SUMIFS(Offers!$H$7:$H$3000,Offers!$B$7:$B$3000,$B227,Offers!$C$7:$C$3000,$C227,Offers!$AF$7:$AF$3000,ROUNDUP(COUNTIFS(Offers!$B$7:$B$3000,$B227,Offers!$C$7:$C$3000,$C227,Offers!$AH$7:$AH$3000,"yes")/2,0))+SUMIFS(Offers!$H$7:$H$3000,Offers!$B$7:$B$3000,$B227,Offers!$C$7:$C$3000,$C227,Offers!$AF$7:$AF$3000,INT(COUNTIFS(Offers!$B$7:$B$3000,$B227,Offers!$C$7:$C$3000,$C227,Offers!$AH$7:$AH$3000,"yes")/2)+1))/2)</f>
        <v>452</v>
      </c>
      <c r="H227" s="99" t="n">
        <f aca="false">IF(COUNTIFS(Offers!$B$7:$B$3000,$B227,Offers!$C$7:$C$3000,$C227,Offers!$AH$7:$AH$3000,"yes")=0,"",SUMIFS(Offers!$H$7:$H$3000,Offers!$B$7:$B$3000,$B227,Offers!$C$7:$C$3000,$C227,Offers!$AF$7:$AF$3000,COUNTIFS(Offers!$B$7:$B$3000,$B227,Offers!$C$7:$C$3000,$C227,Offers!$AH$7:$AH$3000,"yes")))</f>
        <v>818</v>
      </c>
      <c r="I227" s="100" t="n">
        <f aca="false">IF(COUNTIFS(Offers!$B$7:$B$3000,$B227,Offers!$C$7:$C$3000,$C227,Offers!$AI$7:$AI$3000,"yes")=0,"",SUMIFS(Offers!$I$7:$I$3000,Offers!$B$7:$B$3000,$B227,Offers!$C$7:$C$3000,$C227,Offers!$AG$7:$AG$3000,1))</f>
        <v>13.907441</v>
      </c>
      <c r="J227" s="95" t="n">
        <f aca="false">IF(COUNTIFS(Offers!$B$7:$B$3000,$B227,Offers!$C$7:$C$3000,$C227,Offers!$AI$7:$AI$3000,"yes")=0,"",(SUMIFS(Offers!$I$7:$I$3000,Offers!$B$7:$B$3000,$B227,Offers!$C$7:$C$3000,$C227,Offers!$AG$7:$AG$3000,ROUNDUP(COUNTIFS(Offers!$B$7:$B$3000,$B227,Offers!$C$7:$C$3000,$C227,Offers!$AI$7:$AI$3000,"yes")/2,0))+SUMIFS(Offers!$I$7:$I$3000,Offers!$B$7:$B$3000,$B227,Offers!$C$7:$C$3000,$C227,Offers!$AG$7:$AG$3000,INT(COUNTIFS(Offers!$B$7:$B$3000,$B227,Offers!$C$7:$C$3000,$C227,Offers!$AI$7:$AI$3000,"yes")/2)+1))/2)</f>
        <v>18.506678</v>
      </c>
      <c r="K227" s="100" t="n">
        <f aca="false">IF(COUNTIFS(Offers!$B$7:$B$3000,$B227,Offers!$C$7:$C$3000,$C227,Offers!$AI$7:$AI$3000,"yes")=0,"",SUMIFS(Offers!$I$7:$I$3000,Offers!$B$7:$B$3000,$B227,Offers!$C$7:$C$3000,$C227,Offers!$AG$7:$AG$3000,COUNTIFS(Offers!$B$7:$B$3000,$B227,Offers!$C$7:$C$3000,$C227,Offers!$AI$7:$AI$3000,"yes")))</f>
        <v>33.492174</v>
      </c>
      <c r="L227" s="96"/>
      <c r="M227" s="96"/>
      <c r="N227" s="96"/>
      <c r="O227" s="101" t="n">
        <f aca="false">IF(Compare!$E$5="Local prices",IF(F227="","",IF(Compare!$C$5="Minimum",F227,IF(Compare!$C$5="Maximum",H227,G227))),IF(I227="","",IF(Compare!$C$5="Minimum",I227,IF(Compare!$C$5="Maximum",K227,J227))))</f>
        <v>18.506678</v>
      </c>
    </row>
    <row r="228" customFormat="false" ht="13.5" hidden="false" customHeight="false" outlineLevel="0" collapsed="false">
      <c r="B228" s="36" t="s">
        <v>67</v>
      </c>
      <c r="C228" s="98" t="s">
        <v>18</v>
      </c>
      <c r="D228" s="98" t="s">
        <v>244</v>
      </c>
      <c r="E228" s="98" t="s">
        <v>491</v>
      </c>
      <c r="F228" s="99" t="n">
        <f aca="false">IF(COUNTIFS(Offers!$B$7:$B$3000,$B228,Offers!$C$7:$C$3000,$C228,Offers!$AH$7:$AH$3000,"yes")=0,"",SUMIFS(Offers!$H$7:$H$3000,Offers!$B$7:$B$3000,$B228,Offers!$C$7:$C$3000,$C228,Offers!$AF$7:$AF$3000,1))</f>
        <v>14.17</v>
      </c>
      <c r="G228" s="93" t="n">
        <f aca="false">IF(COUNTIFS(Offers!$B$7:$B$3000,$B228,Offers!$C$7:$C$3000,$C228,Offers!$AH$7:$AH$3000,"yes")=0,"",(SUMIFS(Offers!$H$7:$H$3000,Offers!$B$7:$B$3000,$B228,Offers!$C$7:$C$3000,$C228,Offers!$AF$7:$AF$3000,ROUNDUP(COUNTIFS(Offers!$B$7:$B$3000,$B228,Offers!$C$7:$C$3000,$C228,Offers!$AH$7:$AH$3000,"yes")/2,0))+SUMIFS(Offers!$H$7:$H$3000,Offers!$B$7:$B$3000,$B228,Offers!$C$7:$C$3000,$C228,Offers!$AF$7:$AF$3000,INT(COUNTIFS(Offers!$B$7:$B$3000,$B228,Offers!$C$7:$C$3000,$C228,Offers!$AH$7:$AH$3000,"yes")/2)+1))/2)</f>
        <v>17.96</v>
      </c>
      <c r="H228" s="99" t="n">
        <f aca="false">IF(COUNTIFS(Offers!$B$7:$B$3000,$B228,Offers!$C$7:$C$3000,$C228,Offers!$AH$7:$AH$3000,"yes")=0,"",SUMIFS(Offers!$H$7:$H$3000,Offers!$B$7:$B$3000,$B228,Offers!$C$7:$C$3000,$C228,Offers!$AF$7:$AF$3000,COUNTIFS(Offers!$B$7:$B$3000,$B228,Offers!$C$7:$C$3000,$C228,Offers!$AH$7:$AH$3000,"yes")))</f>
        <v>35.63</v>
      </c>
      <c r="I228" s="100" t="n">
        <f aca="false">IF(COUNTIFS(Offers!$B$7:$B$3000,$B228,Offers!$C$7:$C$3000,$C228,Offers!$AI$7:$AI$3000,"yes")=0,"",SUMIFS(Offers!$I$7:$I$3000,Offers!$B$7:$B$3000,$B228,Offers!$C$7:$C$3000,$C228,Offers!$AG$7:$AG$3000,1))</f>
        <v>14.17</v>
      </c>
      <c r="J228" s="95" t="n">
        <f aca="false">IF(COUNTIFS(Offers!$B$7:$B$3000,$B228,Offers!$C$7:$C$3000,$C228,Offers!$AI$7:$AI$3000,"yes")=0,"",(SUMIFS(Offers!$I$7:$I$3000,Offers!$B$7:$B$3000,$B228,Offers!$C$7:$C$3000,$C228,Offers!$AG$7:$AG$3000,ROUNDUP(COUNTIFS(Offers!$B$7:$B$3000,$B228,Offers!$C$7:$C$3000,$C228,Offers!$AI$7:$AI$3000,"yes")/2,0))+SUMIFS(Offers!$I$7:$I$3000,Offers!$B$7:$B$3000,$B228,Offers!$C$7:$C$3000,$C228,Offers!$AG$7:$AG$3000,INT(COUNTIFS(Offers!$B$7:$B$3000,$B228,Offers!$C$7:$C$3000,$C228,Offers!$AI$7:$AI$3000,"yes")/2)+1))/2)</f>
        <v>17.96</v>
      </c>
      <c r="K228" s="100" t="n">
        <f aca="false">IF(COUNTIFS(Offers!$B$7:$B$3000,$B228,Offers!$C$7:$C$3000,$C228,Offers!$AI$7:$AI$3000,"yes")=0,"",SUMIFS(Offers!$I$7:$I$3000,Offers!$B$7:$B$3000,$B228,Offers!$C$7:$C$3000,$C228,Offers!$AG$7:$AG$3000,COUNTIFS(Offers!$B$7:$B$3000,$B228,Offers!$C$7:$C$3000,$C228,Offers!$AI$7:$AI$3000,"yes")))</f>
        <v>35.63</v>
      </c>
      <c r="L228" s="96"/>
      <c r="M228" s="96"/>
      <c r="N228" s="96"/>
      <c r="O228" s="101" t="n">
        <f aca="false">IF(Compare!$E$5="Local prices",IF(F228="","",IF(Compare!$C$5="Minimum",F228,IF(Compare!$C$5="Maximum",H228,G228))),IF(I228="","",IF(Compare!$C$5="Minimum",I228,IF(Compare!$C$5="Maximum",K228,J228))))</f>
        <v>17.96</v>
      </c>
    </row>
    <row r="229" customFormat="false" ht="13.5" hidden="false" customHeight="false" outlineLevel="0" collapsed="false">
      <c r="B229" s="36" t="s">
        <v>68</v>
      </c>
      <c r="C229" s="98" t="s">
        <v>13</v>
      </c>
      <c r="D229" s="98" t="s">
        <v>490</v>
      </c>
      <c r="E229" s="98" t="s">
        <v>491</v>
      </c>
      <c r="F229" s="99" t="str">
        <f aca="false">IF(COUNTIFS(Offers!$B$7:$B$3000,$B229,Offers!$C$7:$C$3000,$C229,Offers!$AH$7:$AH$3000,"yes")=0,"",SUMIFS(Offers!$H$7:$H$3000,Offers!$B$7:$B$3000,$B229,Offers!$C$7:$C$3000,$C229,Offers!$AF$7:$AF$3000,1))</f>
        <v/>
      </c>
      <c r="G229" s="93" t="str">
        <f aca="false">IF(COUNTIFS(Offers!$B$7:$B$3000,$B229,Offers!$C$7:$C$3000,$C229,Offers!$AH$7:$AH$3000,"yes")=0,"",(SUMIFS(Offers!$H$7:$H$3000,Offers!$B$7:$B$3000,$B229,Offers!$C$7:$C$3000,$C229,Offers!$AF$7:$AF$3000,ROUNDUP(COUNTIFS(Offers!$B$7:$B$3000,$B229,Offers!$C$7:$C$3000,$C229,Offers!$AH$7:$AH$3000,"yes")/2,0))+SUMIFS(Offers!$H$7:$H$3000,Offers!$B$7:$B$3000,$B229,Offers!$C$7:$C$3000,$C229,Offers!$AF$7:$AF$3000,INT(COUNTIFS(Offers!$B$7:$B$3000,$B229,Offers!$C$7:$C$3000,$C229,Offers!$AH$7:$AH$3000,"yes")/2)+1))/2)</f>
        <v/>
      </c>
      <c r="H229" s="99" t="str">
        <f aca="false">IF(COUNTIFS(Offers!$B$7:$B$3000,$B229,Offers!$C$7:$C$3000,$C229,Offers!$AH$7:$AH$3000,"yes")=0,"",SUMIFS(Offers!$H$7:$H$3000,Offers!$B$7:$B$3000,$B229,Offers!$C$7:$C$3000,$C229,Offers!$AF$7:$AF$3000,COUNTIFS(Offers!$B$7:$B$3000,$B229,Offers!$C$7:$C$3000,$C229,Offers!$AH$7:$AH$3000,"yes")))</f>
        <v/>
      </c>
      <c r="I229" s="100" t="str">
        <f aca="false">IF(COUNTIFS(Offers!$B$7:$B$3000,$B229,Offers!$C$7:$C$3000,$C229,Offers!$AI$7:$AI$3000,"yes")=0,"",SUMIFS(Offers!$I$7:$I$3000,Offers!$B$7:$B$3000,$B229,Offers!$C$7:$C$3000,$C229,Offers!$AG$7:$AG$3000,1))</f>
        <v/>
      </c>
      <c r="J229" s="95" t="str">
        <f aca="false">IF(COUNTIFS(Offers!$B$7:$B$3000,$B229,Offers!$C$7:$C$3000,$C229,Offers!$AI$7:$AI$3000,"yes")=0,"",(SUMIFS(Offers!$I$7:$I$3000,Offers!$B$7:$B$3000,$B229,Offers!$C$7:$C$3000,$C229,Offers!$AG$7:$AG$3000,ROUNDUP(COUNTIFS(Offers!$B$7:$B$3000,$B229,Offers!$C$7:$C$3000,$C229,Offers!$AI$7:$AI$3000,"yes")/2,0))+SUMIFS(Offers!$I$7:$I$3000,Offers!$B$7:$B$3000,$B229,Offers!$C$7:$C$3000,$C229,Offers!$AG$7:$AG$3000,INT(COUNTIFS(Offers!$B$7:$B$3000,$B229,Offers!$C$7:$C$3000,$C229,Offers!$AI$7:$AI$3000,"yes")/2)+1))/2)</f>
        <v/>
      </c>
      <c r="K229" s="100" t="str">
        <f aca="false">IF(COUNTIFS(Offers!$B$7:$B$3000,$B229,Offers!$C$7:$C$3000,$C229,Offers!$AI$7:$AI$3000,"yes")=0,"",SUMIFS(Offers!$I$7:$I$3000,Offers!$B$7:$B$3000,$B229,Offers!$C$7:$C$3000,$C229,Offers!$AG$7:$AG$3000,COUNTIFS(Offers!$B$7:$B$3000,$B229,Offers!$C$7:$C$3000,$C229,Offers!$AI$7:$AI$3000,"yes")))</f>
        <v/>
      </c>
      <c r="L229" s="96"/>
      <c r="M229" s="96"/>
      <c r="N229" s="96"/>
      <c r="O229" s="110" t="str">
        <f aca="false">IF(Compare!$E$5="Local prices",IF(F229="","",IF(Compare!$C$5="Minimum",F229,IF(Compare!$C$5="Maximum",H229,G229))),IF(I229="","",IF(Compare!$C$5="Minimum",I229,IF(Compare!$C$5="Maximum",K229,J229))))</f>
        <v/>
      </c>
    </row>
    <row r="230" customFormat="false" ht="13.5" hidden="false" customHeight="false" outlineLevel="0" collapsed="false">
      <c r="B230" s="36" t="s">
        <v>68</v>
      </c>
      <c r="C230" s="98" t="s">
        <v>14</v>
      </c>
      <c r="D230" s="98" t="s">
        <v>374</v>
      </c>
      <c r="E230" s="98" t="s">
        <v>491</v>
      </c>
      <c r="F230" s="99" t="n">
        <f aca="false">IF(COUNTIFS(Offers!$B$7:$B$3000,$B230,Offers!$C$7:$C$3000,$C230,Offers!$AH$7:$AH$3000,"yes")=0,"",SUMIFS(Offers!$H$7:$H$3000,Offers!$B$7:$B$3000,$B230,Offers!$C$7:$C$3000,$C230,Offers!$AF$7:$AF$3000,1))</f>
        <v>4.35</v>
      </c>
      <c r="G230" s="93" t="n">
        <f aca="false">IF(COUNTIFS(Offers!$B$7:$B$3000,$B230,Offers!$C$7:$C$3000,$C230,Offers!$AH$7:$AH$3000,"yes")=0,"",(SUMIFS(Offers!$H$7:$H$3000,Offers!$B$7:$B$3000,$B230,Offers!$C$7:$C$3000,$C230,Offers!$AF$7:$AF$3000,ROUNDUP(COUNTIFS(Offers!$B$7:$B$3000,$B230,Offers!$C$7:$C$3000,$C230,Offers!$AH$7:$AH$3000,"yes")/2,0))+SUMIFS(Offers!$H$7:$H$3000,Offers!$B$7:$B$3000,$B230,Offers!$C$7:$C$3000,$C230,Offers!$AF$7:$AF$3000,INT(COUNTIFS(Offers!$B$7:$B$3000,$B230,Offers!$C$7:$C$3000,$C230,Offers!$AH$7:$AH$3000,"yes")/2)+1))/2)</f>
        <v>32.45</v>
      </c>
      <c r="H230" s="99" t="n">
        <f aca="false">IF(COUNTIFS(Offers!$B$7:$B$3000,$B230,Offers!$C$7:$C$3000,$C230,Offers!$AH$7:$AH$3000,"yes")=0,"",SUMIFS(Offers!$H$7:$H$3000,Offers!$B$7:$B$3000,$B230,Offers!$C$7:$C$3000,$C230,Offers!$AF$7:$AF$3000,COUNTIFS(Offers!$B$7:$B$3000,$B230,Offers!$C$7:$C$3000,$C230,Offers!$AH$7:$AH$3000,"yes")))</f>
        <v>51.97</v>
      </c>
      <c r="I230" s="100" t="n">
        <f aca="false">IF(COUNTIFS(Offers!$B$7:$B$3000,$B230,Offers!$C$7:$C$3000,$C230,Offers!$AI$7:$AI$3000,"yes")=0,"",SUMIFS(Offers!$I$7:$I$3000,Offers!$B$7:$B$3000,$B230,Offers!$C$7:$C$3000,$C230,Offers!$AG$7:$AG$3000,1))</f>
        <v>3.359455</v>
      </c>
      <c r="J230" s="95" t="n">
        <f aca="false">IF(COUNTIFS(Offers!$B$7:$B$3000,$B230,Offers!$C$7:$C$3000,$C230,Offers!$AI$7:$AI$3000,"yes")=0,"",(SUMIFS(Offers!$I$7:$I$3000,Offers!$B$7:$B$3000,$B230,Offers!$C$7:$C$3000,$C230,Offers!$AG$7:$AG$3000,ROUNDUP(COUNTIFS(Offers!$B$7:$B$3000,$B230,Offers!$C$7:$C$3000,$C230,Offers!$AI$7:$AI$3000,"yes")/2,0))+SUMIFS(Offers!$I$7:$I$3000,Offers!$B$7:$B$3000,$B230,Offers!$C$7:$C$3000,$C230,Offers!$AG$7:$AG$3000,INT(COUNTIFS(Offers!$B$7:$B$3000,$B230,Offers!$C$7:$C$3000,$C230,Offers!$AI$7:$AI$3000,"yes")/2)+1))/2)</f>
        <v>6.14858</v>
      </c>
      <c r="K230" s="100" t="n">
        <f aca="false">IF(COUNTIFS(Offers!$B$7:$B$3000,$B230,Offers!$C$7:$C$3000,$C230,Offers!$AI$7:$AI$3000,"yes")=0,"",SUMIFS(Offers!$I$7:$I$3000,Offers!$B$7:$B$3000,$B230,Offers!$C$7:$C$3000,$C230,Offers!$AG$7:$AG$3000,COUNTIFS(Offers!$B$7:$B$3000,$B230,Offers!$C$7:$C$3000,$C230,Offers!$AI$7:$AI$3000,"yes")))</f>
        <v>9.847201</v>
      </c>
      <c r="L230" s="96"/>
      <c r="M230" s="96"/>
      <c r="N230" s="96"/>
      <c r="O230" s="101" t="n">
        <f aca="false">IF(Compare!$E$5="Local prices",IF(F230="","",IF(Compare!$C$5="Minimum",F230,IF(Compare!$C$5="Maximum",H230,G230))),IF(I230="","",IF(Compare!$C$5="Minimum",I230,IF(Compare!$C$5="Maximum",K230,J230))))</f>
        <v>6.14858</v>
      </c>
    </row>
    <row r="231" customFormat="false" ht="13.5" hidden="false" customHeight="false" outlineLevel="0" collapsed="false">
      <c r="B231" s="36" t="s">
        <v>68</v>
      </c>
      <c r="C231" s="98" t="s">
        <v>15</v>
      </c>
      <c r="D231" s="98" t="s">
        <v>244</v>
      </c>
      <c r="E231" s="98" t="s">
        <v>491</v>
      </c>
      <c r="F231" s="99" t="n">
        <f aca="false">IF(COUNTIFS(Offers!$B$7:$B$3000,$B231,Offers!$C$7:$C$3000,$C231,Offers!$AH$7:$AH$3000,"yes")=0,"",SUMIFS(Offers!$H$7:$H$3000,Offers!$B$7:$B$3000,$B231,Offers!$C$7:$C$3000,$C231,Offers!$AF$7:$AF$3000,1))</f>
        <v>2.4</v>
      </c>
      <c r="G231" s="93" t="n">
        <f aca="false">IF(COUNTIFS(Offers!$B$7:$B$3000,$B231,Offers!$C$7:$C$3000,$C231,Offers!$AH$7:$AH$3000,"yes")=0,"",(SUMIFS(Offers!$H$7:$H$3000,Offers!$B$7:$B$3000,$B231,Offers!$C$7:$C$3000,$C231,Offers!$AF$7:$AF$3000,ROUNDUP(COUNTIFS(Offers!$B$7:$B$3000,$B231,Offers!$C$7:$C$3000,$C231,Offers!$AH$7:$AH$3000,"yes")/2,0))+SUMIFS(Offers!$H$7:$H$3000,Offers!$B$7:$B$3000,$B231,Offers!$C$7:$C$3000,$C231,Offers!$AF$7:$AF$3000,INT(COUNTIFS(Offers!$B$7:$B$3000,$B231,Offers!$C$7:$C$3000,$C231,Offers!$AH$7:$AH$3000,"yes")/2)+1))/2)</f>
        <v>7.1</v>
      </c>
      <c r="H231" s="99" t="n">
        <f aca="false">IF(COUNTIFS(Offers!$B$7:$B$3000,$B231,Offers!$C$7:$C$3000,$C231,Offers!$AH$7:$AH$3000,"yes")=0,"",SUMIFS(Offers!$H$7:$H$3000,Offers!$B$7:$B$3000,$B231,Offers!$C$7:$C$3000,$C231,Offers!$AF$7:$AF$3000,COUNTIFS(Offers!$B$7:$B$3000,$B231,Offers!$C$7:$C$3000,$C231,Offers!$AH$7:$AH$3000,"yes")))</f>
        <v>16</v>
      </c>
      <c r="I231" s="100" t="n">
        <f aca="false">IF(COUNTIFS(Offers!$B$7:$B$3000,$B231,Offers!$C$7:$C$3000,$C231,Offers!$AI$7:$AI$3000,"yes")=0,"",SUMIFS(Offers!$I$7:$I$3000,Offers!$B$7:$B$3000,$B231,Offers!$C$7:$C$3000,$C231,Offers!$AG$7:$AG$3000,1))</f>
        <v>2.4</v>
      </c>
      <c r="J231" s="95" t="n">
        <f aca="false">IF(COUNTIFS(Offers!$B$7:$B$3000,$B231,Offers!$C$7:$C$3000,$C231,Offers!$AI$7:$AI$3000,"yes")=0,"",(SUMIFS(Offers!$I$7:$I$3000,Offers!$B$7:$B$3000,$B231,Offers!$C$7:$C$3000,$C231,Offers!$AG$7:$AG$3000,ROUNDUP(COUNTIFS(Offers!$B$7:$B$3000,$B231,Offers!$C$7:$C$3000,$C231,Offers!$AI$7:$AI$3000,"yes")/2,0))+SUMIFS(Offers!$I$7:$I$3000,Offers!$B$7:$B$3000,$B231,Offers!$C$7:$C$3000,$C231,Offers!$AG$7:$AG$3000,INT(COUNTIFS(Offers!$B$7:$B$3000,$B231,Offers!$C$7:$C$3000,$C231,Offers!$AI$7:$AI$3000,"yes")/2)+1))/2)</f>
        <v>7.1</v>
      </c>
      <c r="K231" s="100" t="n">
        <f aca="false">IF(COUNTIFS(Offers!$B$7:$B$3000,$B231,Offers!$C$7:$C$3000,$C231,Offers!$AI$7:$AI$3000,"yes")=0,"",SUMIFS(Offers!$I$7:$I$3000,Offers!$B$7:$B$3000,$B231,Offers!$C$7:$C$3000,$C231,Offers!$AG$7:$AG$3000,COUNTIFS(Offers!$B$7:$B$3000,$B231,Offers!$C$7:$C$3000,$C231,Offers!$AI$7:$AI$3000,"yes")))</f>
        <v>16</v>
      </c>
      <c r="L231" s="96"/>
      <c r="M231" s="96"/>
      <c r="N231" s="96"/>
      <c r="O231" s="101" t="n">
        <f aca="false">IF(Compare!$E$5="Local prices",IF(F231="","",IF(Compare!$C$5="Minimum",F231,IF(Compare!$C$5="Maximum",H231,G231))),IF(I231="","",IF(Compare!$C$5="Minimum",I231,IF(Compare!$C$5="Maximum",K231,J231))))</f>
        <v>7.1</v>
      </c>
    </row>
    <row r="232" customFormat="false" ht="13.5" hidden="false" customHeight="false" outlineLevel="0" collapsed="false">
      <c r="B232" s="36" t="s">
        <v>68</v>
      </c>
      <c r="C232" s="98" t="s">
        <v>16</v>
      </c>
      <c r="D232" s="98" t="s">
        <v>244</v>
      </c>
      <c r="E232" s="98" t="s">
        <v>491</v>
      </c>
      <c r="F232" s="99" t="n">
        <f aca="false">IF(COUNTIFS(Offers!$B$7:$B$3000,$B232,Offers!$C$7:$C$3000,$C232,Offers!$AH$7:$AH$3000,"yes")=0,"",SUMIFS(Offers!$H$7:$H$3000,Offers!$B$7:$B$3000,$B232,Offers!$C$7:$C$3000,$C232,Offers!$AF$7:$AF$3000,1))</f>
        <v>2.4</v>
      </c>
      <c r="G232" s="93" t="n">
        <f aca="false">IF(COUNTIFS(Offers!$B$7:$B$3000,$B232,Offers!$C$7:$C$3000,$C232,Offers!$AH$7:$AH$3000,"yes")=0,"",(SUMIFS(Offers!$H$7:$H$3000,Offers!$B$7:$B$3000,$B232,Offers!$C$7:$C$3000,$C232,Offers!$AF$7:$AF$3000,ROUNDUP(COUNTIFS(Offers!$B$7:$B$3000,$B232,Offers!$C$7:$C$3000,$C232,Offers!$AH$7:$AH$3000,"yes")/2,0))+SUMIFS(Offers!$H$7:$H$3000,Offers!$B$7:$B$3000,$B232,Offers!$C$7:$C$3000,$C232,Offers!$AF$7:$AF$3000,INT(COUNTIFS(Offers!$B$7:$B$3000,$B232,Offers!$C$7:$C$3000,$C232,Offers!$AH$7:$AH$3000,"yes")/2)+1))/2)</f>
        <v>6.16</v>
      </c>
      <c r="H232" s="99" t="n">
        <f aca="false">IF(COUNTIFS(Offers!$B$7:$B$3000,$B232,Offers!$C$7:$C$3000,$C232,Offers!$AH$7:$AH$3000,"yes")=0,"",SUMIFS(Offers!$H$7:$H$3000,Offers!$B$7:$B$3000,$B232,Offers!$C$7:$C$3000,$C232,Offers!$AF$7:$AF$3000,COUNTIFS(Offers!$B$7:$B$3000,$B232,Offers!$C$7:$C$3000,$C232,Offers!$AH$7:$AH$3000,"yes")))</f>
        <v>16</v>
      </c>
      <c r="I232" s="100" t="n">
        <f aca="false">IF(COUNTIFS(Offers!$B$7:$B$3000,$B232,Offers!$C$7:$C$3000,$C232,Offers!$AI$7:$AI$3000,"yes")=0,"",SUMIFS(Offers!$I$7:$I$3000,Offers!$B$7:$B$3000,$B232,Offers!$C$7:$C$3000,$C232,Offers!$AG$7:$AG$3000,1))</f>
        <v>2.4</v>
      </c>
      <c r="J232" s="95" t="n">
        <f aca="false">IF(COUNTIFS(Offers!$B$7:$B$3000,$B232,Offers!$C$7:$C$3000,$C232,Offers!$AI$7:$AI$3000,"yes")=0,"",(SUMIFS(Offers!$I$7:$I$3000,Offers!$B$7:$B$3000,$B232,Offers!$C$7:$C$3000,$C232,Offers!$AG$7:$AG$3000,ROUNDUP(COUNTIFS(Offers!$B$7:$B$3000,$B232,Offers!$C$7:$C$3000,$C232,Offers!$AI$7:$AI$3000,"yes")/2,0))+SUMIFS(Offers!$I$7:$I$3000,Offers!$B$7:$B$3000,$B232,Offers!$C$7:$C$3000,$C232,Offers!$AG$7:$AG$3000,INT(COUNTIFS(Offers!$B$7:$B$3000,$B232,Offers!$C$7:$C$3000,$C232,Offers!$AI$7:$AI$3000,"yes")/2)+1))/2)</f>
        <v>6.16</v>
      </c>
      <c r="K232" s="100" t="n">
        <f aca="false">IF(COUNTIFS(Offers!$B$7:$B$3000,$B232,Offers!$C$7:$C$3000,$C232,Offers!$AI$7:$AI$3000,"yes")=0,"",SUMIFS(Offers!$I$7:$I$3000,Offers!$B$7:$B$3000,$B232,Offers!$C$7:$C$3000,$C232,Offers!$AG$7:$AG$3000,COUNTIFS(Offers!$B$7:$B$3000,$B232,Offers!$C$7:$C$3000,$C232,Offers!$AI$7:$AI$3000,"yes")))</f>
        <v>16</v>
      </c>
      <c r="L232" s="96"/>
      <c r="M232" s="96"/>
      <c r="N232" s="96"/>
      <c r="O232" s="101" t="n">
        <f aca="false">IF(Compare!$E$5="Local prices",IF(F232="","",IF(Compare!$C$5="Minimum",F232,IF(Compare!$C$5="Maximum",H232,G232))),IF(I232="","",IF(Compare!$C$5="Minimum",I232,IF(Compare!$C$5="Maximum",K232,J232))))</f>
        <v>6.16</v>
      </c>
    </row>
    <row r="233" customFormat="false" ht="13.5" hidden="false" customHeight="false" outlineLevel="0" collapsed="false">
      <c r="B233" s="36" t="s">
        <v>68</v>
      </c>
      <c r="C233" s="98" t="s">
        <v>17</v>
      </c>
      <c r="D233" s="98" t="s">
        <v>333</v>
      </c>
      <c r="E233" s="98" t="s">
        <v>491</v>
      </c>
      <c r="F233" s="99" t="n">
        <f aca="false">IF(COUNTIFS(Offers!$B$7:$B$3000,$B233,Offers!$C$7:$C$3000,$C233,Offers!$AH$7:$AH$3000,"yes")=0,"",SUMIFS(Offers!$H$7:$H$3000,Offers!$B$7:$B$3000,$B233,Offers!$C$7:$C$3000,$C233,Offers!$AF$7:$AF$3000,1))</f>
        <v>104.13</v>
      </c>
      <c r="G233" s="93" t="n">
        <f aca="false">IF(COUNTIFS(Offers!$B$7:$B$3000,$B233,Offers!$C$7:$C$3000,$C233,Offers!$AH$7:$AH$3000,"yes")=0,"",(SUMIFS(Offers!$H$7:$H$3000,Offers!$B$7:$B$3000,$B233,Offers!$C$7:$C$3000,$C233,Offers!$AF$7:$AF$3000,ROUNDUP(COUNTIFS(Offers!$B$7:$B$3000,$B233,Offers!$C$7:$C$3000,$C233,Offers!$AH$7:$AH$3000,"yes")/2,0))+SUMIFS(Offers!$H$7:$H$3000,Offers!$B$7:$B$3000,$B233,Offers!$C$7:$C$3000,$C233,Offers!$AF$7:$AF$3000,INT(COUNTIFS(Offers!$B$7:$B$3000,$B233,Offers!$C$7:$C$3000,$C233,Offers!$AH$7:$AH$3000,"yes")/2)+1))/2)</f>
        <v>159</v>
      </c>
      <c r="H233" s="99" t="n">
        <f aca="false">IF(COUNTIFS(Offers!$B$7:$B$3000,$B233,Offers!$C$7:$C$3000,$C233,Offers!$AH$7:$AH$3000,"yes")=0,"",SUMIFS(Offers!$H$7:$H$3000,Offers!$B$7:$B$3000,$B233,Offers!$C$7:$C$3000,$C233,Offers!$AF$7:$AF$3000,COUNTIFS(Offers!$B$7:$B$3000,$B233,Offers!$C$7:$C$3000,$C233,Offers!$AH$7:$AH$3000,"yes")))</f>
        <v>236</v>
      </c>
      <c r="I233" s="100" t="n">
        <f aca="false">IF(COUNTIFS(Offers!$B$7:$B$3000,$B233,Offers!$C$7:$C$3000,$C233,Offers!$AI$7:$AI$3000,"yes")=0,"",SUMIFS(Offers!$I$7:$I$3000,Offers!$B$7:$B$3000,$B233,Offers!$C$7:$C$3000,$C233,Offers!$AG$7:$AG$3000,1))</f>
        <v>4.263496</v>
      </c>
      <c r="J233" s="95" t="n">
        <f aca="false">IF(COUNTIFS(Offers!$B$7:$B$3000,$B233,Offers!$C$7:$C$3000,$C233,Offers!$AI$7:$AI$3000,"yes")=0,"",(SUMIFS(Offers!$I$7:$I$3000,Offers!$B$7:$B$3000,$B233,Offers!$C$7:$C$3000,$C233,Offers!$AG$7:$AG$3000,ROUNDUP(COUNTIFS(Offers!$B$7:$B$3000,$B233,Offers!$C$7:$C$3000,$C233,Offers!$AI$7:$AI$3000,"yes")/2,0))+SUMIFS(Offers!$I$7:$I$3000,Offers!$B$7:$B$3000,$B233,Offers!$C$7:$C$3000,$C233,Offers!$AG$7:$AG$3000,INT(COUNTIFS(Offers!$B$7:$B$3000,$B233,Offers!$C$7:$C$3000,$C233,Offers!$AI$7:$AI$3000,"yes")/2)+1))/2)</f>
        <v>6.510093</v>
      </c>
      <c r="K233" s="100" t="n">
        <f aca="false">IF(COUNTIFS(Offers!$B$7:$B$3000,$B233,Offers!$C$7:$C$3000,$C233,Offers!$AI$7:$AI$3000,"yes")=0,"",SUMIFS(Offers!$I$7:$I$3000,Offers!$B$7:$B$3000,$B233,Offers!$C$7:$C$3000,$C233,Offers!$AG$7:$AG$3000,COUNTIFS(Offers!$B$7:$B$3000,$B233,Offers!$C$7:$C$3000,$C233,Offers!$AI$7:$AI$3000,"yes")))</f>
        <v>9.662779</v>
      </c>
      <c r="L233" s="96"/>
      <c r="M233" s="96"/>
      <c r="N233" s="96"/>
      <c r="O233" s="101" t="n">
        <f aca="false">IF(Compare!$E$5="Local prices",IF(F233="","",IF(Compare!$C$5="Minimum",F233,IF(Compare!$C$5="Maximum",H233,G233))),IF(I233="","",IF(Compare!$C$5="Minimum",I233,IF(Compare!$C$5="Maximum",K233,J233))))</f>
        <v>6.510093</v>
      </c>
    </row>
    <row r="234" customFormat="false" ht="13.5" hidden="false" customHeight="false" outlineLevel="0" collapsed="false">
      <c r="B234" s="36" t="s">
        <v>68</v>
      </c>
      <c r="C234" s="98" t="s">
        <v>18</v>
      </c>
      <c r="D234" s="98" t="s">
        <v>244</v>
      </c>
      <c r="E234" s="98" t="s">
        <v>491</v>
      </c>
      <c r="F234" s="99" t="n">
        <f aca="false">IF(COUNTIFS(Offers!$B$7:$B$3000,$B234,Offers!$C$7:$C$3000,$C234,Offers!$AH$7:$AH$3000,"yes")=0,"",SUMIFS(Offers!$H$7:$H$3000,Offers!$B$7:$B$3000,$B234,Offers!$C$7:$C$3000,$C234,Offers!$AF$7:$AF$3000,1))</f>
        <v>5.21</v>
      </c>
      <c r="G234" s="93" t="n">
        <f aca="false">IF(COUNTIFS(Offers!$B$7:$B$3000,$B234,Offers!$C$7:$C$3000,$C234,Offers!$AH$7:$AH$3000,"yes")=0,"",(SUMIFS(Offers!$H$7:$H$3000,Offers!$B$7:$B$3000,$B234,Offers!$C$7:$C$3000,$C234,Offers!$AF$7:$AF$3000,ROUNDUP(COUNTIFS(Offers!$B$7:$B$3000,$B234,Offers!$C$7:$C$3000,$C234,Offers!$AH$7:$AH$3000,"yes")/2,0))+SUMIFS(Offers!$H$7:$H$3000,Offers!$B$7:$B$3000,$B234,Offers!$C$7:$C$3000,$C234,Offers!$AF$7:$AF$3000,INT(COUNTIFS(Offers!$B$7:$B$3000,$B234,Offers!$C$7:$C$3000,$C234,Offers!$AH$7:$AH$3000,"yes")/2)+1))/2)</f>
        <v>6.15</v>
      </c>
      <c r="H234" s="99" t="n">
        <f aca="false">IF(COUNTIFS(Offers!$B$7:$B$3000,$B234,Offers!$C$7:$C$3000,$C234,Offers!$AH$7:$AH$3000,"yes")=0,"",SUMIFS(Offers!$H$7:$H$3000,Offers!$B$7:$B$3000,$B234,Offers!$C$7:$C$3000,$C234,Offers!$AF$7:$AF$3000,COUNTIFS(Offers!$B$7:$B$3000,$B234,Offers!$C$7:$C$3000,$C234,Offers!$AH$7:$AH$3000,"yes")))</f>
        <v>12.81</v>
      </c>
      <c r="I234" s="100" t="n">
        <f aca="false">IF(COUNTIFS(Offers!$B$7:$B$3000,$B234,Offers!$C$7:$C$3000,$C234,Offers!$AI$7:$AI$3000,"yes")=0,"",SUMIFS(Offers!$I$7:$I$3000,Offers!$B$7:$B$3000,$B234,Offers!$C$7:$C$3000,$C234,Offers!$AG$7:$AG$3000,1))</f>
        <v>5.21</v>
      </c>
      <c r="J234" s="95" t="n">
        <f aca="false">IF(COUNTIFS(Offers!$B$7:$B$3000,$B234,Offers!$C$7:$C$3000,$C234,Offers!$AI$7:$AI$3000,"yes")=0,"",(SUMIFS(Offers!$I$7:$I$3000,Offers!$B$7:$B$3000,$B234,Offers!$C$7:$C$3000,$C234,Offers!$AG$7:$AG$3000,ROUNDUP(COUNTIFS(Offers!$B$7:$B$3000,$B234,Offers!$C$7:$C$3000,$C234,Offers!$AI$7:$AI$3000,"yes")/2,0))+SUMIFS(Offers!$I$7:$I$3000,Offers!$B$7:$B$3000,$B234,Offers!$C$7:$C$3000,$C234,Offers!$AG$7:$AG$3000,INT(COUNTIFS(Offers!$B$7:$B$3000,$B234,Offers!$C$7:$C$3000,$C234,Offers!$AI$7:$AI$3000,"yes")/2)+1))/2)</f>
        <v>6.15</v>
      </c>
      <c r="K234" s="100" t="n">
        <f aca="false">IF(COUNTIFS(Offers!$B$7:$B$3000,$B234,Offers!$C$7:$C$3000,$C234,Offers!$AI$7:$AI$3000,"yes")=0,"",SUMIFS(Offers!$I$7:$I$3000,Offers!$B$7:$B$3000,$B234,Offers!$C$7:$C$3000,$C234,Offers!$AG$7:$AG$3000,COUNTIFS(Offers!$B$7:$B$3000,$B234,Offers!$C$7:$C$3000,$C234,Offers!$AI$7:$AI$3000,"yes")))</f>
        <v>12.81</v>
      </c>
      <c r="L234" s="96"/>
      <c r="M234" s="96"/>
      <c r="N234" s="96"/>
      <c r="O234" s="101" t="n">
        <f aca="false">IF(Compare!$E$5="Local prices",IF(F234="","",IF(Compare!$C$5="Minimum",F234,IF(Compare!$C$5="Maximum",H234,G234))),IF(I234="","",IF(Compare!$C$5="Minimum",I234,IF(Compare!$C$5="Maximum",K234,J234))))</f>
        <v>6.15</v>
      </c>
    </row>
    <row r="235" customFormat="false" ht="13.5" hidden="false" customHeight="false" outlineLevel="0" collapsed="false">
      <c r="B235" s="36" t="s">
        <v>69</v>
      </c>
      <c r="C235" s="98" t="s">
        <v>13</v>
      </c>
      <c r="D235" s="98" t="s">
        <v>490</v>
      </c>
      <c r="E235" s="98" t="s">
        <v>491</v>
      </c>
      <c r="F235" s="99" t="str">
        <f aca="false">IF(COUNTIFS(Offers!$B$7:$B$3000,$B235,Offers!$C$7:$C$3000,$C235,Offers!$AH$7:$AH$3000,"yes")=0,"",SUMIFS(Offers!$H$7:$H$3000,Offers!$B$7:$B$3000,$B235,Offers!$C$7:$C$3000,$C235,Offers!$AF$7:$AF$3000,1))</f>
        <v/>
      </c>
      <c r="G235" s="93" t="str">
        <f aca="false">IF(COUNTIFS(Offers!$B$7:$B$3000,$B235,Offers!$C$7:$C$3000,$C235,Offers!$AH$7:$AH$3000,"yes")=0,"",(SUMIFS(Offers!$H$7:$H$3000,Offers!$B$7:$B$3000,$B235,Offers!$C$7:$C$3000,$C235,Offers!$AF$7:$AF$3000,ROUNDUP(COUNTIFS(Offers!$B$7:$B$3000,$B235,Offers!$C$7:$C$3000,$C235,Offers!$AH$7:$AH$3000,"yes")/2,0))+SUMIFS(Offers!$H$7:$H$3000,Offers!$B$7:$B$3000,$B235,Offers!$C$7:$C$3000,$C235,Offers!$AF$7:$AF$3000,INT(COUNTIFS(Offers!$B$7:$B$3000,$B235,Offers!$C$7:$C$3000,$C235,Offers!$AH$7:$AH$3000,"yes")/2)+1))/2)</f>
        <v/>
      </c>
      <c r="H235" s="99" t="str">
        <f aca="false">IF(COUNTIFS(Offers!$B$7:$B$3000,$B235,Offers!$C$7:$C$3000,$C235,Offers!$AH$7:$AH$3000,"yes")=0,"",SUMIFS(Offers!$H$7:$H$3000,Offers!$B$7:$B$3000,$B235,Offers!$C$7:$C$3000,$C235,Offers!$AF$7:$AF$3000,COUNTIFS(Offers!$B$7:$B$3000,$B235,Offers!$C$7:$C$3000,$C235,Offers!$AH$7:$AH$3000,"yes")))</f>
        <v/>
      </c>
      <c r="I235" s="100" t="str">
        <f aca="false">IF(COUNTIFS(Offers!$B$7:$B$3000,$B235,Offers!$C$7:$C$3000,$C235,Offers!$AI$7:$AI$3000,"yes")=0,"",SUMIFS(Offers!$I$7:$I$3000,Offers!$B$7:$B$3000,$B235,Offers!$C$7:$C$3000,$C235,Offers!$AG$7:$AG$3000,1))</f>
        <v/>
      </c>
      <c r="J235" s="95" t="str">
        <f aca="false">IF(COUNTIFS(Offers!$B$7:$B$3000,$B235,Offers!$C$7:$C$3000,$C235,Offers!$AI$7:$AI$3000,"yes")=0,"",(SUMIFS(Offers!$I$7:$I$3000,Offers!$B$7:$B$3000,$B235,Offers!$C$7:$C$3000,$C235,Offers!$AG$7:$AG$3000,ROUNDUP(COUNTIFS(Offers!$B$7:$B$3000,$B235,Offers!$C$7:$C$3000,$C235,Offers!$AI$7:$AI$3000,"yes")/2,0))+SUMIFS(Offers!$I$7:$I$3000,Offers!$B$7:$B$3000,$B235,Offers!$C$7:$C$3000,$C235,Offers!$AG$7:$AG$3000,INT(COUNTIFS(Offers!$B$7:$B$3000,$B235,Offers!$C$7:$C$3000,$C235,Offers!$AI$7:$AI$3000,"yes")/2)+1))/2)</f>
        <v/>
      </c>
      <c r="K235" s="100" t="str">
        <f aca="false">IF(COUNTIFS(Offers!$B$7:$B$3000,$B235,Offers!$C$7:$C$3000,$C235,Offers!$AI$7:$AI$3000,"yes")=0,"",SUMIFS(Offers!$I$7:$I$3000,Offers!$B$7:$B$3000,$B235,Offers!$C$7:$C$3000,$C235,Offers!$AG$7:$AG$3000,COUNTIFS(Offers!$B$7:$B$3000,$B235,Offers!$C$7:$C$3000,$C235,Offers!$AI$7:$AI$3000,"yes")))</f>
        <v/>
      </c>
      <c r="L235" s="96"/>
      <c r="M235" s="96"/>
      <c r="N235" s="96"/>
      <c r="O235" s="110" t="str">
        <f aca="false">IF(Compare!$E$5="Local prices",IF(F235="","",IF(Compare!$C$5="Minimum",F235,IF(Compare!$C$5="Maximum",H235,G235))),IF(I235="","",IF(Compare!$C$5="Minimum",I235,IF(Compare!$C$5="Maximum",K235,J235))))</f>
        <v/>
      </c>
    </row>
    <row r="236" customFormat="false" ht="13.5" hidden="false" customHeight="false" outlineLevel="0" collapsed="false">
      <c r="B236" s="36" t="s">
        <v>69</v>
      </c>
      <c r="C236" s="98" t="s">
        <v>14</v>
      </c>
      <c r="D236" s="98" t="s">
        <v>374</v>
      </c>
      <c r="E236" s="98" t="s">
        <v>491</v>
      </c>
      <c r="F236" s="99" t="n">
        <f aca="false">IF(COUNTIFS(Offers!$B$7:$B$3000,$B236,Offers!$C$7:$C$3000,$C236,Offers!$AH$7:$AH$3000,"yes")=0,"",SUMIFS(Offers!$H$7:$H$3000,Offers!$B$7:$B$3000,$B236,Offers!$C$7:$C$3000,$C236,Offers!$AF$7:$AF$3000,1))</f>
        <v>4.5</v>
      </c>
      <c r="G236" s="93" t="n">
        <f aca="false">IF(COUNTIFS(Offers!$B$7:$B$3000,$B236,Offers!$C$7:$C$3000,$C236,Offers!$AH$7:$AH$3000,"yes")=0,"",(SUMIFS(Offers!$H$7:$H$3000,Offers!$B$7:$B$3000,$B236,Offers!$C$7:$C$3000,$C236,Offers!$AF$7:$AF$3000,ROUNDUP(COUNTIFS(Offers!$B$7:$B$3000,$B236,Offers!$C$7:$C$3000,$C236,Offers!$AH$7:$AH$3000,"yes")/2,0))+SUMIFS(Offers!$H$7:$H$3000,Offers!$B$7:$B$3000,$B236,Offers!$C$7:$C$3000,$C236,Offers!$AF$7:$AF$3000,INT(COUNTIFS(Offers!$B$7:$B$3000,$B236,Offers!$C$7:$C$3000,$C236,Offers!$AH$7:$AH$3000,"yes")/2)+1))/2)</f>
        <v>36.65</v>
      </c>
      <c r="H236" s="99" t="n">
        <f aca="false">IF(COUNTIFS(Offers!$B$7:$B$3000,$B236,Offers!$C$7:$C$3000,$C236,Offers!$AH$7:$AH$3000,"yes")=0,"",SUMIFS(Offers!$H$7:$H$3000,Offers!$B$7:$B$3000,$B236,Offers!$C$7:$C$3000,$C236,Offers!$AF$7:$AF$3000,COUNTIFS(Offers!$B$7:$B$3000,$B236,Offers!$C$7:$C$3000,$C236,Offers!$AH$7:$AH$3000,"yes")))</f>
        <v>66.09</v>
      </c>
      <c r="I236" s="100" t="n">
        <f aca="false">IF(COUNTIFS(Offers!$B$7:$B$3000,$B236,Offers!$C$7:$C$3000,$C236,Offers!$AI$7:$AI$3000,"yes")=0,"",SUMIFS(Offers!$I$7:$I$3000,Offers!$B$7:$B$3000,$B236,Offers!$C$7:$C$3000,$C236,Offers!$AG$7:$AG$3000,1))</f>
        <v>4.46601</v>
      </c>
      <c r="J236" s="95" t="n">
        <f aca="false">IF(COUNTIFS(Offers!$B$7:$B$3000,$B236,Offers!$C$7:$C$3000,$C236,Offers!$AI$7:$AI$3000,"yes")=0,"",(SUMIFS(Offers!$I$7:$I$3000,Offers!$B$7:$B$3000,$B236,Offers!$C$7:$C$3000,$C236,Offers!$AG$7:$AG$3000,ROUNDUP(COUNTIFS(Offers!$B$7:$B$3000,$B236,Offers!$C$7:$C$3000,$C236,Offers!$AI$7:$AI$3000,"yes")/2,0))+SUMIFS(Offers!$I$7:$I$3000,Offers!$B$7:$B$3000,$B236,Offers!$C$7:$C$3000,$C236,Offers!$AG$7:$AG$3000,INT(COUNTIFS(Offers!$B$7:$B$3000,$B236,Offers!$C$7:$C$3000,$C236,Offers!$AI$7:$AI$3000,"yes")/2)+1))/2)</f>
        <v>6.94439</v>
      </c>
      <c r="K236" s="100" t="n">
        <f aca="false">IF(COUNTIFS(Offers!$B$7:$B$3000,$B236,Offers!$C$7:$C$3000,$C236,Offers!$AI$7:$AI$3000,"yes")=0,"",SUMIFS(Offers!$I$7:$I$3000,Offers!$B$7:$B$3000,$B236,Offers!$C$7:$C$3000,$C236,Offers!$AG$7:$AG$3000,COUNTIFS(Offers!$B$7:$B$3000,$B236,Offers!$C$7:$C$3000,$C236,Offers!$AI$7:$AI$3000,"yes")))</f>
        <v>12.522639</v>
      </c>
      <c r="L236" s="96"/>
      <c r="M236" s="96"/>
      <c r="N236" s="96"/>
      <c r="O236" s="101" t="n">
        <f aca="false">IF(Compare!$E$5="Local prices",IF(F236="","",IF(Compare!$C$5="Minimum",F236,IF(Compare!$C$5="Maximum",H236,G236))),IF(I236="","",IF(Compare!$C$5="Minimum",I236,IF(Compare!$C$5="Maximum",K236,J236))))</f>
        <v>6.94439</v>
      </c>
    </row>
    <row r="237" customFormat="false" ht="13.5" hidden="false" customHeight="false" outlineLevel="0" collapsed="false">
      <c r="B237" s="36" t="s">
        <v>69</v>
      </c>
      <c r="C237" s="98" t="s">
        <v>15</v>
      </c>
      <c r="D237" s="98" t="s">
        <v>244</v>
      </c>
      <c r="E237" s="98" t="s">
        <v>491</v>
      </c>
      <c r="F237" s="99" t="n">
        <f aca="false">IF(COUNTIFS(Offers!$B$7:$B$3000,$B237,Offers!$C$7:$C$3000,$C237,Offers!$AH$7:$AH$3000,"yes")=0,"",SUMIFS(Offers!$H$7:$H$3000,Offers!$B$7:$B$3000,$B237,Offers!$C$7:$C$3000,$C237,Offers!$AF$7:$AF$3000,1))</f>
        <v>4.55</v>
      </c>
      <c r="G237" s="93" t="n">
        <f aca="false">IF(COUNTIFS(Offers!$B$7:$B$3000,$B237,Offers!$C$7:$C$3000,$C237,Offers!$AH$7:$AH$3000,"yes")=0,"",(SUMIFS(Offers!$H$7:$H$3000,Offers!$B$7:$B$3000,$B237,Offers!$C$7:$C$3000,$C237,Offers!$AF$7:$AF$3000,ROUNDUP(COUNTIFS(Offers!$B$7:$B$3000,$B237,Offers!$C$7:$C$3000,$C237,Offers!$AH$7:$AH$3000,"yes")/2,0))+SUMIFS(Offers!$H$7:$H$3000,Offers!$B$7:$B$3000,$B237,Offers!$C$7:$C$3000,$C237,Offers!$AF$7:$AF$3000,INT(COUNTIFS(Offers!$B$7:$B$3000,$B237,Offers!$C$7:$C$3000,$C237,Offers!$AH$7:$AH$3000,"yes")/2)+1))/2)</f>
        <v>7.49</v>
      </c>
      <c r="H237" s="99" t="n">
        <f aca="false">IF(COUNTIFS(Offers!$B$7:$B$3000,$B237,Offers!$C$7:$C$3000,$C237,Offers!$AH$7:$AH$3000,"yes")=0,"",SUMIFS(Offers!$H$7:$H$3000,Offers!$B$7:$B$3000,$B237,Offers!$C$7:$C$3000,$C237,Offers!$AF$7:$AF$3000,COUNTIFS(Offers!$B$7:$B$3000,$B237,Offers!$C$7:$C$3000,$C237,Offers!$AH$7:$AH$3000,"yes")))</f>
        <v>19</v>
      </c>
      <c r="I237" s="100" t="n">
        <f aca="false">IF(COUNTIFS(Offers!$B$7:$B$3000,$B237,Offers!$C$7:$C$3000,$C237,Offers!$AI$7:$AI$3000,"yes")=0,"",SUMIFS(Offers!$I$7:$I$3000,Offers!$B$7:$B$3000,$B237,Offers!$C$7:$C$3000,$C237,Offers!$AG$7:$AG$3000,1))</f>
        <v>4.55</v>
      </c>
      <c r="J237" s="95" t="n">
        <f aca="false">IF(COUNTIFS(Offers!$B$7:$B$3000,$B237,Offers!$C$7:$C$3000,$C237,Offers!$AI$7:$AI$3000,"yes")=0,"",(SUMIFS(Offers!$I$7:$I$3000,Offers!$B$7:$B$3000,$B237,Offers!$C$7:$C$3000,$C237,Offers!$AG$7:$AG$3000,ROUNDUP(COUNTIFS(Offers!$B$7:$B$3000,$B237,Offers!$C$7:$C$3000,$C237,Offers!$AI$7:$AI$3000,"yes")/2,0))+SUMIFS(Offers!$I$7:$I$3000,Offers!$B$7:$B$3000,$B237,Offers!$C$7:$C$3000,$C237,Offers!$AG$7:$AG$3000,INT(COUNTIFS(Offers!$B$7:$B$3000,$B237,Offers!$C$7:$C$3000,$C237,Offers!$AI$7:$AI$3000,"yes")/2)+1))/2)</f>
        <v>7.49</v>
      </c>
      <c r="K237" s="100" t="n">
        <f aca="false">IF(COUNTIFS(Offers!$B$7:$B$3000,$B237,Offers!$C$7:$C$3000,$C237,Offers!$AI$7:$AI$3000,"yes")=0,"",SUMIFS(Offers!$I$7:$I$3000,Offers!$B$7:$B$3000,$B237,Offers!$C$7:$C$3000,$C237,Offers!$AG$7:$AG$3000,COUNTIFS(Offers!$B$7:$B$3000,$B237,Offers!$C$7:$C$3000,$C237,Offers!$AI$7:$AI$3000,"yes")))</f>
        <v>19</v>
      </c>
      <c r="L237" s="96"/>
      <c r="M237" s="96"/>
      <c r="N237" s="96"/>
      <c r="O237" s="101" t="n">
        <f aca="false">IF(Compare!$E$5="Local prices",IF(F237="","",IF(Compare!$C$5="Minimum",F237,IF(Compare!$C$5="Maximum",H237,G237))),IF(I237="","",IF(Compare!$C$5="Minimum",I237,IF(Compare!$C$5="Maximum",K237,J237))))</f>
        <v>7.49</v>
      </c>
    </row>
    <row r="238" customFormat="false" ht="13.5" hidden="false" customHeight="false" outlineLevel="0" collapsed="false">
      <c r="B238" s="36" t="s">
        <v>69</v>
      </c>
      <c r="C238" s="98" t="s">
        <v>16</v>
      </c>
      <c r="D238" s="98" t="s">
        <v>244</v>
      </c>
      <c r="E238" s="98" t="s">
        <v>491</v>
      </c>
      <c r="F238" s="99" t="n">
        <f aca="false">IF(COUNTIFS(Offers!$B$7:$B$3000,$B238,Offers!$C$7:$C$3000,$C238,Offers!$AH$7:$AH$3000,"yes")=0,"",SUMIFS(Offers!$H$7:$H$3000,Offers!$B$7:$B$3000,$B238,Offers!$C$7:$C$3000,$C238,Offers!$AF$7:$AF$3000,1))</f>
        <v>4.55</v>
      </c>
      <c r="G238" s="93" t="n">
        <f aca="false">IF(COUNTIFS(Offers!$B$7:$B$3000,$B238,Offers!$C$7:$C$3000,$C238,Offers!$AH$7:$AH$3000,"yes")=0,"",(SUMIFS(Offers!$H$7:$H$3000,Offers!$B$7:$B$3000,$B238,Offers!$C$7:$C$3000,$C238,Offers!$AF$7:$AF$3000,ROUNDUP(COUNTIFS(Offers!$B$7:$B$3000,$B238,Offers!$C$7:$C$3000,$C238,Offers!$AH$7:$AH$3000,"yes")/2,0))+SUMIFS(Offers!$H$7:$H$3000,Offers!$B$7:$B$3000,$B238,Offers!$C$7:$C$3000,$C238,Offers!$AF$7:$AF$3000,INT(COUNTIFS(Offers!$B$7:$B$3000,$B238,Offers!$C$7:$C$3000,$C238,Offers!$AH$7:$AH$3000,"yes")/2)+1))/2)</f>
        <v>7.09</v>
      </c>
      <c r="H238" s="99" t="n">
        <f aca="false">IF(COUNTIFS(Offers!$B$7:$B$3000,$B238,Offers!$C$7:$C$3000,$C238,Offers!$AH$7:$AH$3000,"yes")=0,"",SUMIFS(Offers!$H$7:$H$3000,Offers!$B$7:$B$3000,$B238,Offers!$C$7:$C$3000,$C238,Offers!$AF$7:$AF$3000,COUNTIFS(Offers!$B$7:$B$3000,$B238,Offers!$C$7:$C$3000,$C238,Offers!$AH$7:$AH$3000,"yes")))</f>
        <v>14.25</v>
      </c>
      <c r="I238" s="100" t="n">
        <f aca="false">IF(COUNTIFS(Offers!$B$7:$B$3000,$B238,Offers!$C$7:$C$3000,$C238,Offers!$AI$7:$AI$3000,"yes")=0,"",SUMIFS(Offers!$I$7:$I$3000,Offers!$B$7:$B$3000,$B238,Offers!$C$7:$C$3000,$C238,Offers!$AG$7:$AG$3000,1))</f>
        <v>4.55</v>
      </c>
      <c r="J238" s="95" t="n">
        <f aca="false">IF(COUNTIFS(Offers!$B$7:$B$3000,$B238,Offers!$C$7:$C$3000,$C238,Offers!$AI$7:$AI$3000,"yes")=0,"",(SUMIFS(Offers!$I$7:$I$3000,Offers!$B$7:$B$3000,$B238,Offers!$C$7:$C$3000,$C238,Offers!$AG$7:$AG$3000,ROUNDUP(COUNTIFS(Offers!$B$7:$B$3000,$B238,Offers!$C$7:$C$3000,$C238,Offers!$AI$7:$AI$3000,"yes")/2,0))+SUMIFS(Offers!$I$7:$I$3000,Offers!$B$7:$B$3000,$B238,Offers!$C$7:$C$3000,$C238,Offers!$AG$7:$AG$3000,INT(COUNTIFS(Offers!$B$7:$B$3000,$B238,Offers!$C$7:$C$3000,$C238,Offers!$AI$7:$AI$3000,"yes")/2)+1))/2)</f>
        <v>7.09</v>
      </c>
      <c r="K238" s="100" t="n">
        <f aca="false">IF(COUNTIFS(Offers!$B$7:$B$3000,$B238,Offers!$C$7:$C$3000,$C238,Offers!$AI$7:$AI$3000,"yes")=0,"",SUMIFS(Offers!$I$7:$I$3000,Offers!$B$7:$B$3000,$B238,Offers!$C$7:$C$3000,$C238,Offers!$AG$7:$AG$3000,COUNTIFS(Offers!$B$7:$B$3000,$B238,Offers!$C$7:$C$3000,$C238,Offers!$AI$7:$AI$3000,"yes")))</f>
        <v>14.25</v>
      </c>
      <c r="L238" s="96"/>
      <c r="M238" s="96"/>
      <c r="N238" s="96"/>
      <c r="O238" s="101" t="n">
        <f aca="false">IF(Compare!$E$5="Local prices",IF(F238="","",IF(Compare!$C$5="Minimum",F238,IF(Compare!$C$5="Maximum",H238,G238))),IF(I238="","",IF(Compare!$C$5="Minimum",I238,IF(Compare!$C$5="Maximum",K238,J238))))</f>
        <v>7.09</v>
      </c>
    </row>
    <row r="239" customFormat="false" ht="13.5" hidden="false" customHeight="false" outlineLevel="0" collapsed="false">
      <c r="B239" s="36" t="s">
        <v>69</v>
      </c>
      <c r="C239" s="98" t="s">
        <v>17</v>
      </c>
      <c r="D239" s="98" t="s">
        <v>333</v>
      </c>
      <c r="E239" s="98" t="s">
        <v>491</v>
      </c>
      <c r="F239" s="99" t="n">
        <f aca="false">IF(COUNTIFS(Offers!$B$7:$B$3000,$B239,Offers!$C$7:$C$3000,$C239,Offers!$AH$7:$AH$3000,"yes")=0,"",SUMIFS(Offers!$H$7:$H$3000,Offers!$B$7:$B$3000,$B239,Offers!$C$7:$C$3000,$C239,Offers!$AF$7:$AF$3000,1))</f>
        <v>115.7</v>
      </c>
      <c r="G239" s="93" t="n">
        <f aca="false">IF(COUNTIFS(Offers!$B$7:$B$3000,$B239,Offers!$C$7:$C$3000,$C239,Offers!$AH$7:$AH$3000,"yes")=0,"",(SUMIFS(Offers!$H$7:$H$3000,Offers!$B$7:$B$3000,$B239,Offers!$C$7:$C$3000,$C239,Offers!$AF$7:$AF$3000,ROUNDUP(COUNTIFS(Offers!$B$7:$B$3000,$B239,Offers!$C$7:$C$3000,$C239,Offers!$AH$7:$AH$3000,"yes")/2,0))+SUMIFS(Offers!$H$7:$H$3000,Offers!$B$7:$B$3000,$B239,Offers!$C$7:$C$3000,$C239,Offers!$AF$7:$AF$3000,INT(COUNTIFS(Offers!$B$7:$B$3000,$B239,Offers!$C$7:$C$3000,$C239,Offers!$AH$7:$AH$3000,"yes")/2)+1))/2)</f>
        <v>165</v>
      </c>
      <c r="H239" s="99" t="n">
        <f aca="false">IF(COUNTIFS(Offers!$B$7:$B$3000,$B239,Offers!$C$7:$C$3000,$C239,Offers!$AH$7:$AH$3000,"yes")=0,"",SUMIFS(Offers!$H$7:$H$3000,Offers!$B$7:$B$3000,$B239,Offers!$C$7:$C$3000,$C239,Offers!$AF$7:$AF$3000,COUNTIFS(Offers!$B$7:$B$3000,$B239,Offers!$C$7:$C$3000,$C239,Offers!$AH$7:$AH$3000,"yes")))</f>
        <v>300</v>
      </c>
      <c r="I239" s="100" t="n">
        <f aca="false">IF(COUNTIFS(Offers!$B$7:$B$3000,$B239,Offers!$C$7:$C$3000,$C239,Offers!$AI$7:$AI$3000,"yes")=0,"",SUMIFS(Offers!$I$7:$I$3000,Offers!$B$7:$B$3000,$B239,Offers!$C$7:$C$3000,$C239,Offers!$AG$7:$AG$3000,1))</f>
        <v>4.737218</v>
      </c>
      <c r="J239" s="95" t="n">
        <f aca="false">IF(COUNTIFS(Offers!$B$7:$B$3000,$B239,Offers!$C$7:$C$3000,$C239,Offers!$AI$7:$AI$3000,"yes")=0,"",(SUMIFS(Offers!$I$7:$I$3000,Offers!$B$7:$B$3000,$B239,Offers!$C$7:$C$3000,$C239,Offers!$AG$7:$AG$3000,ROUNDUP(COUNTIFS(Offers!$B$7:$B$3000,$B239,Offers!$C$7:$C$3000,$C239,Offers!$AI$7:$AI$3000,"yes")/2,0))+SUMIFS(Offers!$I$7:$I$3000,Offers!$B$7:$B$3000,$B239,Offers!$C$7:$C$3000,$C239,Offers!$AG$7:$AG$3000,INT(COUNTIFS(Offers!$B$7:$B$3000,$B239,Offers!$C$7:$C$3000,$C239,Offers!$AI$7:$AI$3000,"yes")/2)+1))/2)</f>
        <v>6.755756</v>
      </c>
      <c r="K239" s="100" t="n">
        <f aca="false">IF(COUNTIFS(Offers!$B$7:$B$3000,$B239,Offers!$C$7:$C$3000,$C239,Offers!$AI$7:$AI$3000,"yes")=0,"",SUMIFS(Offers!$I$7:$I$3000,Offers!$B$7:$B$3000,$B239,Offers!$C$7:$C$3000,$C239,Offers!$AG$7:$AG$3000,COUNTIFS(Offers!$B$7:$B$3000,$B239,Offers!$C$7:$C$3000,$C239,Offers!$AI$7:$AI$3000,"yes")))</f>
        <v>12.283194</v>
      </c>
      <c r="L239" s="96"/>
      <c r="M239" s="96"/>
      <c r="N239" s="96"/>
      <c r="O239" s="101" t="n">
        <f aca="false">IF(Compare!$E$5="Local prices",IF(F239="","",IF(Compare!$C$5="Minimum",F239,IF(Compare!$C$5="Maximum",H239,G239))),IF(I239="","",IF(Compare!$C$5="Minimum",I239,IF(Compare!$C$5="Maximum",K239,J239))))</f>
        <v>6.755756</v>
      </c>
    </row>
    <row r="240" customFormat="false" ht="13.5" hidden="false" customHeight="false" outlineLevel="0" collapsed="false">
      <c r="B240" s="36" t="s">
        <v>69</v>
      </c>
      <c r="C240" s="98" t="s">
        <v>18</v>
      </c>
      <c r="D240" s="98" t="s">
        <v>244</v>
      </c>
      <c r="E240" s="98" t="s">
        <v>491</v>
      </c>
      <c r="F240" s="99" t="n">
        <f aca="false">IF(COUNTIFS(Offers!$B$7:$B$3000,$B240,Offers!$C$7:$C$3000,$C240,Offers!$AH$7:$AH$3000,"yes")=0,"",SUMIFS(Offers!$H$7:$H$3000,Offers!$B$7:$B$3000,$B240,Offers!$C$7:$C$3000,$C240,Offers!$AF$7:$AF$3000,1))</f>
        <v>5.74</v>
      </c>
      <c r="G240" s="93" t="n">
        <f aca="false">IF(COUNTIFS(Offers!$B$7:$B$3000,$B240,Offers!$C$7:$C$3000,$C240,Offers!$AH$7:$AH$3000,"yes")=0,"",(SUMIFS(Offers!$H$7:$H$3000,Offers!$B$7:$B$3000,$B240,Offers!$C$7:$C$3000,$C240,Offers!$AF$7:$AF$3000,ROUNDUP(COUNTIFS(Offers!$B$7:$B$3000,$B240,Offers!$C$7:$C$3000,$C240,Offers!$AH$7:$AH$3000,"yes")/2,0))+SUMIFS(Offers!$H$7:$H$3000,Offers!$B$7:$B$3000,$B240,Offers!$C$7:$C$3000,$C240,Offers!$AF$7:$AF$3000,INT(COUNTIFS(Offers!$B$7:$B$3000,$B240,Offers!$C$7:$C$3000,$C240,Offers!$AH$7:$AH$3000,"yes")/2)+1))/2)</f>
        <v>6.75</v>
      </c>
      <c r="H240" s="99" t="n">
        <f aca="false">IF(COUNTIFS(Offers!$B$7:$B$3000,$B240,Offers!$C$7:$C$3000,$C240,Offers!$AH$7:$AH$3000,"yes")=0,"",SUMIFS(Offers!$H$7:$H$3000,Offers!$B$7:$B$3000,$B240,Offers!$C$7:$C$3000,$C240,Offers!$AF$7:$AF$3000,COUNTIFS(Offers!$B$7:$B$3000,$B240,Offers!$C$7:$C$3000,$C240,Offers!$AH$7:$AH$3000,"yes")))</f>
        <v>15.12</v>
      </c>
      <c r="I240" s="100" t="n">
        <f aca="false">IF(COUNTIFS(Offers!$B$7:$B$3000,$B240,Offers!$C$7:$C$3000,$C240,Offers!$AI$7:$AI$3000,"yes")=0,"",SUMIFS(Offers!$I$7:$I$3000,Offers!$B$7:$B$3000,$B240,Offers!$C$7:$C$3000,$C240,Offers!$AG$7:$AG$3000,1))</f>
        <v>5.74</v>
      </c>
      <c r="J240" s="95" t="n">
        <f aca="false">IF(COUNTIFS(Offers!$B$7:$B$3000,$B240,Offers!$C$7:$C$3000,$C240,Offers!$AI$7:$AI$3000,"yes")=0,"",(SUMIFS(Offers!$I$7:$I$3000,Offers!$B$7:$B$3000,$B240,Offers!$C$7:$C$3000,$C240,Offers!$AG$7:$AG$3000,ROUNDUP(COUNTIFS(Offers!$B$7:$B$3000,$B240,Offers!$C$7:$C$3000,$C240,Offers!$AI$7:$AI$3000,"yes")/2,0))+SUMIFS(Offers!$I$7:$I$3000,Offers!$B$7:$B$3000,$B240,Offers!$C$7:$C$3000,$C240,Offers!$AG$7:$AG$3000,INT(COUNTIFS(Offers!$B$7:$B$3000,$B240,Offers!$C$7:$C$3000,$C240,Offers!$AI$7:$AI$3000,"yes")/2)+1))/2)</f>
        <v>6.75</v>
      </c>
      <c r="K240" s="100" t="n">
        <f aca="false">IF(COUNTIFS(Offers!$B$7:$B$3000,$B240,Offers!$C$7:$C$3000,$C240,Offers!$AI$7:$AI$3000,"yes")=0,"",SUMIFS(Offers!$I$7:$I$3000,Offers!$B$7:$B$3000,$B240,Offers!$C$7:$C$3000,$C240,Offers!$AG$7:$AG$3000,COUNTIFS(Offers!$B$7:$B$3000,$B240,Offers!$C$7:$C$3000,$C240,Offers!$AI$7:$AI$3000,"yes")))</f>
        <v>15.12</v>
      </c>
      <c r="L240" s="96"/>
      <c r="M240" s="96"/>
      <c r="N240" s="96"/>
      <c r="O240" s="101" t="n">
        <f aca="false">IF(Compare!$E$5="Local prices",IF(F240="","",IF(Compare!$C$5="Minimum",F240,IF(Compare!$C$5="Maximum",H240,G240))),IF(I240="","",IF(Compare!$C$5="Minimum",I240,IF(Compare!$C$5="Maximum",K240,J240))))</f>
        <v>6.75</v>
      </c>
    </row>
    <row r="241" customFormat="false" ht="13.5" hidden="false" customHeight="false" outlineLevel="0" collapsed="false">
      <c r="B241" s="36" t="s">
        <v>70</v>
      </c>
      <c r="C241" s="98" t="s">
        <v>13</v>
      </c>
      <c r="D241" s="98" t="s">
        <v>490</v>
      </c>
      <c r="E241" s="98" t="s">
        <v>491</v>
      </c>
      <c r="F241" s="99" t="str">
        <f aca="false">IF(COUNTIFS(Offers!$B$7:$B$3000,$B241,Offers!$C$7:$C$3000,$C241,Offers!$AH$7:$AH$3000,"yes")=0,"",SUMIFS(Offers!$H$7:$H$3000,Offers!$B$7:$B$3000,$B241,Offers!$C$7:$C$3000,$C241,Offers!$AF$7:$AF$3000,1))</f>
        <v/>
      </c>
      <c r="G241" s="93" t="str">
        <f aca="false">IF(COUNTIFS(Offers!$B$7:$B$3000,$B241,Offers!$C$7:$C$3000,$C241,Offers!$AH$7:$AH$3000,"yes")=0,"",(SUMIFS(Offers!$H$7:$H$3000,Offers!$B$7:$B$3000,$B241,Offers!$C$7:$C$3000,$C241,Offers!$AF$7:$AF$3000,ROUNDUP(COUNTIFS(Offers!$B$7:$B$3000,$B241,Offers!$C$7:$C$3000,$C241,Offers!$AH$7:$AH$3000,"yes")/2,0))+SUMIFS(Offers!$H$7:$H$3000,Offers!$B$7:$B$3000,$B241,Offers!$C$7:$C$3000,$C241,Offers!$AF$7:$AF$3000,INT(COUNTIFS(Offers!$B$7:$B$3000,$B241,Offers!$C$7:$C$3000,$C241,Offers!$AH$7:$AH$3000,"yes")/2)+1))/2)</f>
        <v/>
      </c>
      <c r="H241" s="99" t="str">
        <f aca="false">IF(COUNTIFS(Offers!$B$7:$B$3000,$B241,Offers!$C$7:$C$3000,$C241,Offers!$AH$7:$AH$3000,"yes")=0,"",SUMIFS(Offers!$H$7:$H$3000,Offers!$B$7:$B$3000,$B241,Offers!$C$7:$C$3000,$C241,Offers!$AF$7:$AF$3000,COUNTIFS(Offers!$B$7:$B$3000,$B241,Offers!$C$7:$C$3000,$C241,Offers!$AH$7:$AH$3000,"yes")))</f>
        <v/>
      </c>
      <c r="I241" s="100" t="str">
        <f aca="false">IF(COUNTIFS(Offers!$B$7:$B$3000,$B241,Offers!$C$7:$C$3000,$C241,Offers!$AI$7:$AI$3000,"yes")=0,"",SUMIFS(Offers!$I$7:$I$3000,Offers!$B$7:$B$3000,$B241,Offers!$C$7:$C$3000,$C241,Offers!$AG$7:$AG$3000,1))</f>
        <v/>
      </c>
      <c r="J241" s="95" t="str">
        <f aca="false">IF(COUNTIFS(Offers!$B$7:$B$3000,$B241,Offers!$C$7:$C$3000,$C241,Offers!$AI$7:$AI$3000,"yes")=0,"",(SUMIFS(Offers!$I$7:$I$3000,Offers!$B$7:$B$3000,$B241,Offers!$C$7:$C$3000,$C241,Offers!$AG$7:$AG$3000,ROUNDUP(COUNTIFS(Offers!$B$7:$B$3000,$B241,Offers!$C$7:$C$3000,$C241,Offers!$AI$7:$AI$3000,"yes")/2,0))+SUMIFS(Offers!$I$7:$I$3000,Offers!$B$7:$B$3000,$B241,Offers!$C$7:$C$3000,$C241,Offers!$AG$7:$AG$3000,INT(COUNTIFS(Offers!$B$7:$B$3000,$B241,Offers!$C$7:$C$3000,$C241,Offers!$AI$7:$AI$3000,"yes")/2)+1))/2)</f>
        <v/>
      </c>
      <c r="K241" s="100" t="str">
        <f aca="false">IF(COUNTIFS(Offers!$B$7:$B$3000,$B241,Offers!$C$7:$C$3000,$C241,Offers!$AI$7:$AI$3000,"yes")=0,"",SUMIFS(Offers!$I$7:$I$3000,Offers!$B$7:$B$3000,$B241,Offers!$C$7:$C$3000,$C241,Offers!$AG$7:$AG$3000,COUNTIFS(Offers!$B$7:$B$3000,$B241,Offers!$C$7:$C$3000,$C241,Offers!$AI$7:$AI$3000,"yes")))</f>
        <v/>
      </c>
      <c r="L241" s="96"/>
      <c r="M241" s="96"/>
      <c r="N241" s="96"/>
      <c r="O241" s="110" t="str">
        <f aca="false">IF(Compare!$E$5="Local prices",IF(F241="","",IF(Compare!$C$5="Minimum",F241,IF(Compare!$C$5="Maximum",H241,G241))),IF(I241="","",IF(Compare!$C$5="Minimum",I241,IF(Compare!$C$5="Maximum",K241,J241))))</f>
        <v/>
      </c>
    </row>
    <row r="242" customFormat="false" ht="13.5" hidden="false" customHeight="false" outlineLevel="0" collapsed="false">
      <c r="B242" s="36" t="s">
        <v>70</v>
      </c>
      <c r="C242" s="98" t="s">
        <v>14</v>
      </c>
      <c r="D242" s="98" t="s">
        <v>374</v>
      </c>
      <c r="E242" s="98" t="s">
        <v>491</v>
      </c>
      <c r="F242" s="99" t="n">
        <f aca="false">IF(COUNTIFS(Offers!$B$7:$B$3000,$B242,Offers!$C$7:$C$3000,$C242,Offers!$AH$7:$AH$3000,"yes")=0,"",SUMIFS(Offers!$H$7:$H$3000,Offers!$B$7:$B$3000,$B242,Offers!$C$7:$C$3000,$C242,Offers!$AF$7:$AF$3000,1))</f>
        <v>5.9</v>
      </c>
      <c r="G242" s="93" t="n">
        <f aca="false">IF(COUNTIFS(Offers!$B$7:$B$3000,$B242,Offers!$C$7:$C$3000,$C242,Offers!$AH$7:$AH$3000,"yes")=0,"",(SUMIFS(Offers!$H$7:$H$3000,Offers!$B$7:$B$3000,$B242,Offers!$C$7:$C$3000,$C242,Offers!$AF$7:$AF$3000,ROUNDUP(COUNTIFS(Offers!$B$7:$B$3000,$B242,Offers!$C$7:$C$3000,$C242,Offers!$AH$7:$AH$3000,"yes")/2,0))+SUMIFS(Offers!$H$7:$H$3000,Offers!$B$7:$B$3000,$B242,Offers!$C$7:$C$3000,$C242,Offers!$AF$7:$AF$3000,INT(COUNTIFS(Offers!$B$7:$B$3000,$B242,Offers!$C$7:$C$3000,$C242,Offers!$AH$7:$AH$3000,"yes")/2)+1))/2)</f>
        <v>56.6</v>
      </c>
      <c r="H242" s="99" t="n">
        <f aca="false">IF(COUNTIFS(Offers!$B$7:$B$3000,$B242,Offers!$C$7:$C$3000,$C242,Offers!$AH$7:$AH$3000,"yes")=0,"",SUMIFS(Offers!$H$7:$H$3000,Offers!$B$7:$B$3000,$B242,Offers!$C$7:$C$3000,$C242,Offers!$AF$7:$AF$3000,COUNTIFS(Offers!$B$7:$B$3000,$B242,Offers!$C$7:$C$3000,$C242,Offers!$AH$7:$AH$3000,"yes")))</f>
        <v>102.53</v>
      </c>
      <c r="I242" s="100" t="n">
        <f aca="false">IF(COUNTIFS(Offers!$B$7:$B$3000,$B242,Offers!$C$7:$C$3000,$C242,Offers!$AI$7:$AI$3000,"yes")=0,"",SUMIFS(Offers!$I$7:$I$3000,Offers!$B$7:$B$3000,$B242,Offers!$C$7:$C$3000,$C242,Offers!$AG$7:$AG$3000,1))</f>
        <v>5.9</v>
      </c>
      <c r="J242" s="95" t="n">
        <f aca="false">IF(COUNTIFS(Offers!$B$7:$B$3000,$B242,Offers!$C$7:$C$3000,$C242,Offers!$AI$7:$AI$3000,"yes")=0,"",(SUMIFS(Offers!$I$7:$I$3000,Offers!$B$7:$B$3000,$B242,Offers!$C$7:$C$3000,$C242,Offers!$AG$7:$AG$3000,ROUNDUP(COUNTIFS(Offers!$B$7:$B$3000,$B242,Offers!$C$7:$C$3000,$C242,Offers!$AI$7:$AI$3000,"yes")/2,0))+SUMIFS(Offers!$I$7:$I$3000,Offers!$B$7:$B$3000,$B242,Offers!$C$7:$C$3000,$C242,Offers!$AG$7:$AG$3000,INT(COUNTIFS(Offers!$B$7:$B$3000,$B242,Offers!$C$7:$C$3000,$C242,Offers!$AI$7:$AI$3000,"yes")/2)+1))/2)</f>
        <v>10.724487</v>
      </c>
      <c r="K242" s="100" t="n">
        <f aca="false">IF(COUNTIFS(Offers!$B$7:$B$3000,$B242,Offers!$C$7:$C$3000,$C242,Offers!$AI$7:$AI$3000,"yes")=0,"",SUMIFS(Offers!$I$7:$I$3000,Offers!$B$7:$B$3000,$B242,Offers!$C$7:$C$3000,$C242,Offers!$AG$7:$AG$3000,COUNTIFS(Offers!$B$7:$B$3000,$B242,Offers!$C$7:$C$3000,$C242,Offers!$AI$7:$AI$3000,"yes")))</f>
        <v>19.427238</v>
      </c>
      <c r="L242" s="96"/>
      <c r="M242" s="96"/>
      <c r="N242" s="96"/>
      <c r="O242" s="101" t="n">
        <f aca="false">IF(Compare!$E$5="Local prices",IF(F242="","",IF(Compare!$C$5="Minimum",F242,IF(Compare!$C$5="Maximum",H242,G242))),IF(I242="","",IF(Compare!$C$5="Minimum",I242,IF(Compare!$C$5="Maximum",K242,J242))))</f>
        <v>10.724487</v>
      </c>
    </row>
    <row r="243" customFormat="false" ht="13.5" hidden="false" customHeight="false" outlineLevel="0" collapsed="false">
      <c r="B243" s="36" t="s">
        <v>70</v>
      </c>
      <c r="C243" s="98" t="s">
        <v>15</v>
      </c>
      <c r="D243" s="98" t="s">
        <v>244</v>
      </c>
      <c r="E243" s="98" t="s">
        <v>491</v>
      </c>
      <c r="F243" s="99" t="n">
        <f aca="false">IF(COUNTIFS(Offers!$B$7:$B$3000,$B243,Offers!$C$7:$C$3000,$C243,Offers!$AH$7:$AH$3000,"yes")=0,"",SUMIFS(Offers!$H$7:$H$3000,Offers!$B$7:$B$3000,$B243,Offers!$C$7:$C$3000,$C243,Offers!$AF$7:$AF$3000,1))</f>
        <v>9.83</v>
      </c>
      <c r="G243" s="93" t="n">
        <f aca="false">IF(COUNTIFS(Offers!$B$7:$B$3000,$B243,Offers!$C$7:$C$3000,$C243,Offers!$AH$7:$AH$3000,"yes")=0,"",(SUMIFS(Offers!$H$7:$H$3000,Offers!$B$7:$B$3000,$B243,Offers!$C$7:$C$3000,$C243,Offers!$AF$7:$AF$3000,ROUNDUP(COUNTIFS(Offers!$B$7:$B$3000,$B243,Offers!$C$7:$C$3000,$C243,Offers!$AH$7:$AH$3000,"yes")/2,0))+SUMIFS(Offers!$H$7:$H$3000,Offers!$B$7:$B$3000,$B243,Offers!$C$7:$C$3000,$C243,Offers!$AF$7:$AF$3000,INT(COUNTIFS(Offers!$B$7:$B$3000,$B243,Offers!$C$7:$C$3000,$C243,Offers!$AH$7:$AH$3000,"yes")/2)+1))/2)</f>
        <v>11.69</v>
      </c>
      <c r="H243" s="99" t="n">
        <f aca="false">IF(COUNTIFS(Offers!$B$7:$B$3000,$B243,Offers!$C$7:$C$3000,$C243,Offers!$AH$7:$AH$3000,"yes")=0,"",SUMIFS(Offers!$H$7:$H$3000,Offers!$B$7:$B$3000,$B243,Offers!$C$7:$C$3000,$C243,Offers!$AF$7:$AF$3000,COUNTIFS(Offers!$B$7:$B$3000,$B243,Offers!$C$7:$C$3000,$C243,Offers!$AH$7:$AH$3000,"yes")))</f>
        <v>25</v>
      </c>
      <c r="I243" s="100" t="n">
        <f aca="false">IF(COUNTIFS(Offers!$B$7:$B$3000,$B243,Offers!$C$7:$C$3000,$C243,Offers!$AI$7:$AI$3000,"yes")=0,"",SUMIFS(Offers!$I$7:$I$3000,Offers!$B$7:$B$3000,$B243,Offers!$C$7:$C$3000,$C243,Offers!$AG$7:$AG$3000,1))</f>
        <v>9.83</v>
      </c>
      <c r="J243" s="95" t="n">
        <f aca="false">IF(COUNTIFS(Offers!$B$7:$B$3000,$B243,Offers!$C$7:$C$3000,$C243,Offers!$AI$7:$AI$3000,"yes")=0,"",(SUMIFS(Offers!$I$7:$I$3000,Offers!$B$7:$B$3000,$B243,Offers!$C$7:$C$3000,$C243,Offers!$AG$7:$AG$3000,ROUNDUP(COUNTIFS(Offers!$B$7:$B$3000,$B243,Offers!$C$7:$C$3000,$C243,Offers!$AI$7:$AI$3000,"yes")/2,0))+SUMIFS(Offers!$I$7:$I$3000,Offers!$B$7:$B$3000,$B243,Offers!$C$7:$C$3000,$C243,Offers!$AG$7:$AG$3000,INT(COUNTIFS(Offers!$B$7:$B$3000,$B243,Offers!$C$7:$C$3000,$C243,Offers!$AI$7:$AI$3000,"yes")/2)+1))/2)</f>
        <v>11.69</v>
      </c>
      <c r="K243" s="100" t="n">
        <f aca="false">IF(COUNTIFS(Offers!$B$7:$B$3000,$B243,Offers!$C$7:$C$3000,$C243,Offers!$AI$7:$AI$3000,"yes")=0,"",SUMIFS(Offers!$I$7:$I$3000,Offers!$B$7:$B$3000,$B243,Offers!$C$7:$C$3000,$C243,Offers!$AG$7:$AG$3000,COUNTIFS(Offers!$B$7:$B$3000,$B243,Offers!$C$7:$C$3000,$C243,Offers!$AI$7:$AI$3000,"yes")))</f>
        <v>25</v>
      </c>
      <c r="L243" s="96"/>
      <c r="M243" s="96"/>
      <c r="N243" s="96"/>
      <c r="O243" s="101" t="n">
        <f aca="false">IF(Compare!$E$5="Local prices",IF(F243="","",IF(Compare!$C$5="Minimum",F243,IF(Compare!$C$5="Maximum",H243,G243))),IF(I243="","",IF(Compare!$C$5="Minimum",I243,IF(Compare!$C$5="Maximum",K243,J243))))</f>
        <v>11.69</v>
      </c>
    </row>
    <row r="244" customFormat="false" ht="13.5" hidden="false" customHeight="false" outlineLevel="0" collapsed="false">
      <c r="B244" s="36" t="s">
        <v>70</v>
      </c>
      <c r="C244" s="98" t="s">
        <v>16</v>
      </c>
      <c r="D244" s="98" t="s">
        <v>244</v>
      </c>
      <c r="E244" s="98" t="s">
        <v>491</v>
      </c>
      <c r="F244" s="99" t="n">
        <f aca="false">IF(COUNTIFS(Offers!$B$7:$B$3000,$B244,Offers!$C$7:$C$3000,$C244,Offers!$AH$7:$AH$3000,"yes")=0,"",SUMIFS(Offers!$H$7:$H$3000,Offers!$B$7:$B$3000,$B244,Offers!$C$7:$C$3000,$C244,Offers!$AF$7:$AF$3000,1))</f>
        <v>6.84</v>
      </c>
      <c r="G244" s="93" t="n">
        <f aca="false">IF(COUNTIFS(Offers!$B$7:$B$3000,$B244,Offers!$C$7:$C$3000,$C244,Offers!$AH$7:$AH$3000,"yes")=0,"",(SUMIFS(Offers!$H$7:$H$3000,Offers!$B$7:$B$3000,$B244,Offers!$C$7:$C$3000,$C244,Offers!$AF$7:$AF$3000,ROUNDUP(COUNTIFS(Offers!$B$7:$B$3000,$B244,Offers!$C$7:$C$3000,$C244,Offers!$AH$7:$AH$3000,"yes")/2,0))+SUMIFS(Offers!$H$7:$H$3000,Offers!$B$7:$B$3000,$B244,Offers!$C$7:$C$3000,$C244,Offers!$AF$7:$AF$3000,INT(COUNTIFS(Offers!$B$7:$B$3000,$B244,Offers!$C$7:$C$3000,$C244,Offers!$AH$7:$AH$3000,"yes")/2)+1))/2)</f>
        <v>11.19</v>
      </c>
      <c r="H244" s="99" t="n">
        <f aca="false">IF(COUNTIFS(Offers!$B$7:$B$3000,$B244,Offers!$C$7:$C$3000,$C244,Offers!$AH$7:$AH$3000,"yes")=0,"",SUMIFS(Offers!$H$7:$H$3000,Offers!$B$7:$B$3000,$B244,Offers!$C$7:$C$3000,$C244,Offers!$AF$7:$AF$3000,COUNTIFS(Offers!$B$7:$B$3000,$B244,Offers!$C$7:$C$3000,$C244,Offers!$AH$7:$AH$3000,"yes")))</f>
        <v>22.43</v>
      </c>
      <c r="I244" s="100" t="n">
        <f aca="false">IF(COUNTIFS(Offers!$B$7:$B$3000,$B244,Offers!$C$7:$C$3000,$C244,Offers!$AI$7:$AI$3000,"yes")=0,"",SUMIFS(Offers!$I$7:$I$3000,Offers!$B$7:$B$3000,$B244,Offers!$C$7:$C$3000,$C244,Offers!$AG$7:$AG$3000,1))</f>
        <v>6.84</v>
      </c>
      <c r="J244" s="95" t="n">
        <f aca="false">IF(COUNTIFS(Offers!$B$7:$B$3000,$B244,Offers!$C$7:$C$3000,$C244,Offers!$AI$7:$AI$3000,"yes")=0,"",(SUMIFS(Offers!$I$7:$I$3000,Offers!$B$7:$B$3000,$B244,Offers!$C$7:$C$3000,$C244,Offers!$AG$7:$AG$3000,ROUNDUP(COUNTIFS(Offers!$B$7:$B$3000,$B244,Offers!$C$7:$C$3000,$C244,Offers!$AI$7:$AI$3000,"yes")/2,0))+SUMIFS(Offers!$I$7:$I$3000,Offers!$B$7:$B$3000,$B244,Offers!$C$7:$C$3000,$C244,Offers!$AG$7:$AG$3000,INT(COUNTIFS(Offers!$B$7:$B$3000,$B244,Offers!$C$7:$C$3000,$C244,Offers!$AI$7:$AI$3000,"yes")/2)+1))/2)</f>
        <v>11.19</v>
      </c>
      <c r="K244" s="100" t="n">
        <f aca="false">IF(COUNTIFS(Offers!$B$7:$B$3000,$B244,Offers!$C$7:$C$3000,$C244,Offers!$AI$7:$AI$3000,"yes")=0,"",SUMIFS(Offers!$I$7:$I$3000,Offers!$B$7:$B$3000,$B244,Offers!$C$7:$C$3000,$C244,Offers!$AG$7:$AG$3000,COUNTIFS(Offers!$B$7:$B$3000,$B244,Offers!$C$7:$C$3000,$C244,Offers!$AI$7:$AI$3000,"yes")))</f>
        <v>22.43</v>
      </c>
      <c r="L244" s="96"/>
      <c r="M244" s="96"/>
      <c r="N244" s="96"/>
      <c r="O244" s="101" t="n">
        <f aca="false">IF(Compare!$E$5="Local prices",IF(F244="","",IF(Compare!$C$5="Minimum",F244,IF(Compare!$C$5="Maximum",H244,G244))),IF(I244="","",IF(Compare!$C$5="Minimum",I244,IF(Compare!$C$5="Maximum",K244,J244))))</f>
        <v>11.19</v>
      </c>
    </row>
    <row r="245" customFormat="false" ht="13.5" hidden="false" customHeight="false" outlineLevel="0" collapsed="false">
      <c r="B245" s="36" t="s">
        <v>70</v>
      </c>
      <c r="C245" s="98" t="s">
        <v>17</v>
      </c>
      <c r="D245" s="98" t="s">
        <v>333</v>
      </c>
      <c r="E245" s="98" t="s">
        <v>491</v>
      </c>
      <c r="F245" s="99" t="n">
        <f aca="false">IF(COUNTIFS(Offers!$B$7:$B$3000,$B245,Offers!$C$7:$C$3000,$C245,Offers!$AH$7:$AH$3000,"yes")=0,"",SUMIFS(Offers!$H$7:$H$3000,Offers!$B$7:$B$3000,$B245,Offers!$C$7:$C$3000,$C245,Offers!$AF$7:$AF$3000,1))</f>
        <v>193.39</v>
      </c>
      <c r="G245" s="93" t="n">
        <f aca="false">IF(COUNTIFS(Offers!$B$7:$B$3000,$B245,Offers!$C$7:$C$3000,$C245,Offers!$AH$7:$AH$3000,"yes")=0,"",(SUMIFS(Offers!$H$7:$H$3000,Offers!$B$7:$B$3000,$B245,Offers!$C$7:$C$3000,$C245,Offers!$AF$7:$AF$3000,ROUNDUP(COUNTIFS(Offers!$B$7:$B$3000,$B245,Offers!$C$7:$C$3000,$C245,Offers!$AH$7:$AH$3000,"yes")/2,0))+SUMIFS(Offers!$H$7:$H$3000,Offers!$B$7:$B$3000,$B245,Offers!$C$7:$C$3000,$C245,Offers!$AF$7:$AF$3000,INT(COUNTIFS(Offers!$B$7:$B$3000,$B245,Offers!$C$7:$C$3000,$C245,Offers!$AH$7:$AH$3000,"yes")/2)+1))/2)</f>
        <v>250</v>
      </c>
      <c r="H245" s="99" t="n">
        <f aca="false">IF(COUNTIFS(Offers!$B$7:$B$3000,$B245,Offers!$C$7:$C$3000,$C245,Offers!$AH$7:$AH$3000,"yes")=0,"",SUMIFS(Offers!$H$7:$H$3000,Offers!$B$7:$B$3000,$B245,Offers!$C$7:$C$3000,$C245,Offers!$AF$7:$AF$3000,COUNTIFS(Offers!$B$7:$B$3000,$B245,Offers!$C$7:$C$3000,$C245,Offers!$AH$7:$AH$3000,"yes")))</f>
        <v>465</v>
      </c>
      <c r="I245" s="100" t="n">
        <f aca="false">IF(COUNTIFS(Offers!$B$7:$B$3000,$B245,Offers!$C$7:$C$3000,$C245,Offers!$AI$7:$AI$3000,"yes")=0,"",SUMIFS(Offers!$I$7:$I$3000,Offers!$B$7:$B$3000,$B245,Offers!$C$7:$C$3000,$C245,Offers!$AG$7:$AG$3000,1))</f>
        <v>7.918156</v>
      </c>
      <c r="J245" s="95" t="n">
        <f aca="false">IF(COUNTIFS(Offers!$B$7:$B$3000,$B245,Offers!$C$7:$C$3000,$C245,Offers!$AI$7:$AI$3000,"yes")=0,"",(SUMIFS(Offers!$I$7:$I$3000,Offers!$B$7:$B$3000,$B245,Offers!$C$7:$C$3000,$C245,Offers!$AG$7:$AG$3000,ROUNDUP(COUNTIFS(Offers!$B$7:$B$3000,$B245,Offers!$C$7:$C$3000,$C245,Offers!$AI$7:$AI$3000,"yes")/2,0))+SUMIFS(Offers!$I$7:$I$3000,Offers!$B$7:$B$3000,$B245,Offers!$C$7:$C$3000,$C245,Offers!$AG$7:$AG$3000,INT(COUNTIFS(Offers!$B$7:$B$3000,$B245,Offers!$C$7:$C$3000,$C245,Offers!$AI$7:$AI$3000,"yes")/2)+1))/2)</f>
        <v>10.235995</v>
      </c>
      <c r="K245" s="100" t="n">
        <f aca="false">IF(COUNTIFS(Offers!$B$7:$B$3000,$B245,Offers!$C$7:$C$3000,$C245,Offers!$AI$7:$AI$3000,"yes")=0,"",SUMIFS(Offers!$I$7:$I$3000,Offers!$B$7:$B$3000,$B245,Offers!$C$7:$C$3000,$C245,Offers!$AG$7:$AG$3000,COUNTIFS(Offers!$B$7:$B$3000,$B245,Offers!$C$7:$C$3000,$C245,Offers!$AI$7:$AI$3000,"yes")))</f>
        <v>19.03895</v>
      </c>
      <c r="L245" s="96"/>
      <c r="M245" s="96"/>
      <c r="N245" s="96"/>
      <c r="O245" s="101" t="n">
        <f aca="false">IF(Compare!$E$5="Local prices",IF(F245="","",IF(Compare!$C$5="Minimum",F245,IF(Compare!$C$5="Maximum",H245,G245))),IF(I245="","",IF(Compare!$C$5="Minimum",I245,IF(Compare!$C$5="Maximum",K245,J245))))</f>
        <v>10.235995</v>
      </c>
    </row>
    <row r="246" customFormat="false" ht="13.5" hidden="false" customHeight="false" outlineLevel="0" collapsed="false">
      <c r="B246" s="36" t="s">
        <v>70</v>
      </c>
      <c r="C246" s="98" t="s">
        <v>18</v>
      </c>
      <c r="D246" s="98" t="s">
        <v>244</v>
      </c>
      <c r="E246" s="98" t="s">
        <v>491</v>
      </c>
      <c r="F246" s="99" t="n">
        <f aca="false">IF(COUNTIFS(Offers!$B$7:$B$3000,$B246,Offers!$C$7:$C$3000,$C246,Offers!$AH$7:$AH$3000,"yes")=0,"",SUMIFS(Offers!$H$7:$H$3000,Offers!$B$7:$B$3000,$B246,Offers!$C$7:$C$3000,$C246,Offers!$AF$7:$AF$3000,1))</f>
        <v>7.51</v>
      </c>
      <c r="G246" s="93" t="n">
        <f aca="false">IF(COUNTIFS(Offers!$B$7:$B$3000,$B246,Offers!$C$7:$C$3000,$C246,Offers!$AH$7:$AH$3000,"yes")=0,"",(SUMIFS(Offers!$H$7:$H$3000,Offers!$B$7:$B$3000,$B246,Offers!$C$7:$C$3000,$C246,Offers!$AF$7:$AF$3000,ROUNDUP(COUNTIFS(Offers!$B$7:$B$3000,$B246,Offers!$C$7:$C$3000,$C246,Offers!$AH$7:$AH$3000,"yes")/2,0))+SUMIFS(Offers!$H$7:$H$3000,Offers!$B$7:$B$3000,$B246,Offers!$C$7:$C$3000,$C246,Offers!$AF$7:$AF$3000,INT(COUNTIFS(Offers!$B$7:$B$3000,$B246,Offers!$C$7:$C$3000,$C246,Offers!$AH$7:$AH$3000,"yes")/2)+1))/2)</f>
        <v>10.68</v>
      </c>
      <c r="H246" s="99" t="n">
        <f aca="false">IF(COUNTIFS(Offers!$B$7:$B$3000,$B246,Offers!$C$7:$C$3000,$C246,Offers!$AH$7:$AH$3000,"yes")=0,"",SUMIFS(Offers!$H$7:$H$3000,Offers!$B$7:$B$3000,$B246,Offers!$C$7:$C$3000,$C246,Offers!$AF$7:$AF$3000,COUNTIFS(Offers!$B$7:$B$3000,$B246,Offers!$C$7:$C$3000,$C246,Offers!$AH$7:$AH$3000,"yes")))</f>
        <v>21.37</v>
      </c>
      <c r="I246" s="100" t="n">
        <f aca="false">IF(COUNTIFS(Offers!$B$7:$B$3000,$B246,Offers!$C$7:$C$3000,$C246,Offers!$AI$7:$AI$3000,"yes")=0,"",SUMIFS(Offers!$I$7:$I$3000,Offers!$B$7:$B$3000,$B246,Offers!$C$7:$C$3000,$C246,Offers!$AG$7:$AG$3000,1))</f>
        <v>7.51</v>
      </c>
      <c r="J246" s="95" t="n">
        <f aca="false">IF(COUNTIFS(Offers!$B$7:$B$3000,$B246,Offers!$C$7:$C$3000,$C246,Offers!$AI$7:$AI$3000,"yes")=0,"",(SUMIFS(Offers!$I$7:$I$3000,Offers!$B$7:$B$3000,$B246,Offers!$C$7:$C$3000,$C246,Offers!$AG$7:$AG$3000,ROUNDUP(COUNTIFS(Offers!$B$7:$B$3000,$B246,Offers!$C$7:$C$3000,$C246,Offers!$AI$7:$AI$3000,"yes")/2,0))+SUMIFS(Offers!$I$7:$I$3000,Offers!$B$7:$B$3000,$B246,Offers!$C$7:$C$3000,$C246,Offers!$AG$7:$AG$3000,INT(COUNTIFS(Offers!$B$7:$B$3000,$B246,Offers!$C$7:$C$3000,$C246,Offers!$AI$7:$AI$3000,"yes")/2)+1))/2)</f>
        <v>10.68</v>
      </c>
      <c r="K246" s="100" t="n">
        <f aca="false">IF(COUNTIFS(Offers!$B$7:$B$3000,$B246,Offers!$C$7:$C$3000,$C246,Offers!$AI$7:$AI$3000,"yes")=0,"",SUMIFS(Offers!$I$7:$I$3000,Offers!$B$7:$B$3000,$B246,Offers!$C$7:$C$3000,$C246,Offers!$AG$7:$AG$3000,COUNTIFS(Offers!$B$7:$B$3000,$B246,Offers!$C$7:$C$3000,$C246,Offers!$AI$7:$AI$3000,"yes")))</f>
        <v>21.37</v>
      </c>
      <c r="L246" s="96"/>
      <c r="M246" s="96"/>
      <c r="N246" s="96"/>
      <c r="O246" s="101" t="n">
        <f aca="false">IF(Compare!$E$5="Local prices",IF(F246="","",IF(Compare!$C$5="Minimum",F246,IF(Compare!$C$5="Maximum",H246,G246))),IF(I246="","",IF(Compare!$C$5="Minimum",I246,IF(Compare!$C$5="Maximum",K246,J246))))</f>
        <v>10.68</v>
      </c>
    </row>
    <row r="247" customFormat="false" ht="13.5" hidden="false" customHeight="false" outlineLevel="0" collapsed="false">
      <c r="B247" s="36" t="s">
        <v>71</v>
      </c>
      <c r="C247" s="98" t="s">
        <v>13</v>
      </c>
      <c r="D247" s="98" t="s">
        <v>490</v>
      </c>
      <c r="E247" s="98" t="s">
        <v>491</v>
      </c>
      <c r="F247" s="99" t="str">
        <f aca="false">IF(COUNTIFS(Offers!$B$7:$B$3000,$B247,Offers!$C$7:$C$3000,$C247,Offers!$AH$7:$AH$3000,"yes")=0,"",SUMIFS(Offers!$H$7:$H$3000,Offers!$B$7:$B$3000,$B247,Offers!$C$7:$C$3000,$C247,Offers!$AF$7:$AF$3000,1))</f>
        <v/>
      </c>
      <c r="G247" s="93" t="str">
        <f aca="false">IF(COUNTIFS(Offers!$B$7:$B$3000,$B247,Offers!$C$7:$C$3000,$C247,Offers!$AH$7:$AH$3000,"yes")=0,"",(SUMIFS(Offers!$H$7:$H$3000,Offers!$B$7:$B$3000,$B247,Offers!$C$7:$C$3000,$C247,Offers!$AF$7:$AF$3000,ROUNDUP(COUNTIFS(Offers!$B$7:$B$3000,$B247,Offers!$C$7:$C$3000,$C247,Offers!$AH$7:$AH$3000,"yes")/2,0))+SUMIFS(Offers!$H$7:$H$3000,Offers!$B$7:$B$3000,$B247,Offers!$C$7:$C$3000,$C247,Offers!$AF$7:$AF$3000,INT(COUNTIFS(Offers!$B$7:$B$3000,$B247,Offers!$C$7:$C$3000,$C247,Offers!$AH$7:$AH$3000,"yes")/2)+1))/2)</f>
        <v/>
      </c>
      <c r="H247" s="99" t="str">
        <f aca="false">IF(COUNTIFS(Offers!$B$7:$B$3000,$B247,Offers!$C$7:$C$3000,$C247,Offers!$AH$7:$AH$3000,"yes")=0,"",SUMIFS(Offers!$H$7:$H$3000,Offers!$B$7:$B$3000,$B247,Offers!$C$7:$C$3000,$C247,Offers!$AF$7:$AF$3000,COUNTIFS(Offers!$B$7:$B$3000,$B247,Offers!$C$7:$C$3000,$C247,Offers!$AH$7:$AH$3000,"yes")))</f>
        <v/>
      </c>
      <c r="I247" s="100" t="str">
        <f aca="false">IF(COUNTIFS(Offers!$B$7:$B$3000,$B247,Offers!$C$7:$C$3000,$C247,Offers!$AI$7:$AI$3000,"yes")=0,"",SUMIFS(Offers!$I$7:$I$3000,Offers!$B$7:$B$3000,$B247,Offers!$C$7:$C$3000,$C247,Offers!$AG$7:$AG$3000,1))</f>
        <v/>
      </c>
      <c r="J247" s="95" t="str">
        <f aca="false">IF(COUNTIFS(Offers!$B$7:$B$3000,$B247,Offers!$C$7:$C$3000,$C247,Offers!$AI$7:$AI$3000,"yes")=0,"",(SUMIFS(Offers!$I$7:$I$3000,Offers!$B$7:$B$3000,$B247,Offers!$C$7:$C$3000,$C247,Offers!$AG$7:$AG$3000,ROUNDUP(COUNTIFS(Offers!$B$7:$B$3000,$B247,Offers!$C$7:$C$3000,$C247,Offers!$AI$7:$AI$3000,"yes")/2,0))+SUMIFS(Offers!$I$7:$I$3000,Offers!$B$7:$B$3000,$B247,Offers!$C$7:$C$3000,$C247,Offers!$AG$7:$AG$3000,INT(COUNTIFS(Offers!$B$7:$B$3000,$B247,Offers!$C$7:$C$3000,$C247,Offers!$AI$7:$AI$3000,"yes")/2)+1))/2)</f>
        <v/>
      </c>
      <c r="K247" s="100" t="str">
        <f aca="false">IF(COUNTIFS(Offers!$B$7:$B$3000,$B247,Offers!$C$7:$C$3000,$C247,Offers!$AI$7:$AI$3000,"yes")=0,"",SUMIFS(Offers!$I$7:$I$3000,Offers!$B$7:$B$3000,$B247,Offers!$C$7:$C$3000,$C247,Offers!$AG$7:$AG$3000,COUNTIFS(Offers!$B$7:$B$3000,$B247,Offers!$C$7:$C$3000,$C247,Offers!$AI$7:$AI$3000,"yes")))</f>
        <v/>
      </c>
      <c r="L247" s="96"/>
      <c r="M247" s="96"/>
      <c r="N247" s="96"/>
      <c r="O247" s="110" t="str">
        <f aca="false">IF(Compare!$E$5="Local prices",IF(F247="","",IF(Compare!$C$5="Minimum",F247,IF(Compare!$C$5="Maximum",H247,G247))),IF(I247="","",IF(Compare!$C$5="Minimum",I247,IF(Compare!$C$5="Maximum",K247,J247))))</f>
        <v/>
      </c>
    </row>
    <row r="248" customFormat="false" ht="13.5" hidden="false" customHeight="false" outlineLevel="0" collapsed="false">
      <c r="B248" s="36" t="s">
        <v>71</v>
      </c>
      <c r="C248" s="98" t="s">
        <v>14</v>
      </c>
      <c r="D248" s="98" t="s">
        <v>374</v>
      </c>
      <c r="E248" s="98" t="s">
        <v>491</v>
      </c>
      <c r="F248" s="99" t="n">
        <f aca="false">IF(COUNTIFS(Offers!$B$7:$B$3000,$B248,Offers!$C$7:$C$3000,$C248,Offers!$AH$7:$AH$3000,"yes")=0,"",SUMIFS(Offers!$H$7:$H$3000,Offers!$B$7:$B$3000,$B248,Offers!$C$7:$C$3000,$C248,Offers!$AF$7:$AF$3000,1))</f>
        <v>2.4</v>
      </c>
      <c r="G248" s="93" t="n">
        <f aca="false">IF(COUNTIFS(Offers!$B$7:$B$3000,$B248,Offers!$C$7:$C$3000,$C248,Offers!$AH$7:$AH$3000,"yes")=0,"",(SUMIFS(Offers!$H$7:$H$3000,Offers!$B$7:$B$3000,$B248,Offers!$C$7:$C$3000,$C248,Offers!$AF$7:$AF$3000,ROUNDUP(COUNTIFS(Offers!$B$7:$B$3000,$B248,Offers!$C$7:$C$3000,$C248,Offers!$AH$7:$AH$3000,"yes")/2,0))+SUMIFS(Offers!$H$7:$H$3000,Offers!$B$7:$B$3000,$B248,Offers!$C$7:$C$3000,$C248,Offers!$AF$7:$AF$3000,INT(COUNTIFS(Offers!$B$7:$B$3000,$B248,Offers!$C$7:$C$3000,$C248,Offers!$AH$7:$AH$3000,"yes")/2)+1))/2)</f>
        <v>25.1</v>
      </c>
      <c r="H248" s="99" t="n">
        <f aca="false">IF(COUNTIFS(Offers!$B$7:$B$3000,$B248,Offers!$C$7:$C$3000,$C248,Offers!$AH$7:$AH$3000,"yes")=0,"",SUMIFS(Offers!$H$7:$H$3000,Offers!$B$7:$B$3000,$B248,Offers!$C$7:$C$3000,$C248,Offers!$AF$7:$AF$3000,COUNTIFS(Offers!$B$7:$B$3000,$B248,Offers!$C$7:$C$3000,$C248,Offers!$AH$7:$AH$3000,"yes")))</f>
        <v>39.87</v>
      </c>
      <c r="I248" s="100" t="n">
        <f aca="false">IF(COUNTIFS(Offers!$B$7:$B$3000,$B248,Offers!$C$7:$C$3000,$C248,Offers!$AI$7:$AI$3000,"yes")=0,"",SUMIFS(Offers!$I$7:$I$3000,Offers!$B$7:$B$3000,$B248,Offers!$C$7:$C$3000,$C248,Offers!$AG$7:$AG$3000,1))</f>
        <v>2.4</v>
      </c>
      <c r="J248" s="95" t="n">
        <f aca="false">IF(COUNTIFS(Offers!$B$7:$B$3000,$B248,Offers!$C$7:$C$3000,$C248,Offers!$AI$7:$AI$3000,"yes")=0,"",(SUMIFS(Offers!$I$7:$I$3000,Offers!$B$7:$B$3000,$B248,Offers!$C$7:$C$3000,$C248,Offers!$AG$7:$AG$3000,ROUNDUP(COUNTIFS(Offers!$B$7:$B$3000,$B248,Offers!$C$7:$C$3000,$C248,Offers!$AI$7:$AI$3000,"yes")/2,0))+SUMIFS(Offers!$I$7:$I$3000,Offers!$B$7:$B$3000,$B248,Offers!$C$7:$C$3000,$C248,Offers!$AG$7:$AG$3000,INT(COUNTIFS(Offers!$B$7:$B$3000,$B248,Offers!$C$7:$C$3000,$C248,Offers!$AI$7:$AI$3000,"yes")/2)+1))/2)</f>
        <v>4.755912</v>
      </c>
      <c r="K248" s="100" t="n">
        <f aca="false">IF(COUNTIFS(Offers!$B$7:$B$3000,$B248,Offers!$C$7:$C$3000,$C248,Offers!$AI$7:$AI$3000,"yes")=0,"",SUMIFS(Offers!$I$7:$I$3000,Offers!$B$7:$B$3000,$B248,Offers!$C$7:$C$3000,$C248,Offers!$AG$7:$AG$3000,COUNTIFS(Offers!$B$7:$B$3000,$B248,Offers!$C$7:$C$3000,$C248,Offers!$AI$7:$AI$3000,"yes")))</f>
        <v>7.554511</v>
      </c>
      <c r="L248" s="96"/>
      <c r="M248" s="96"/>
      <c r="N248" s="96"/>
      <c r="O248" s="101" t="n">
        <f aca="false">IF(Compare!$E$5="Local prices",IF(F248="","",IF(Compare!$C$5="Minimum",F248,IF(Compare!$C$5="Maximum",H248,G248))),IF(I248="","",IF(Compare!$C$5="Minimum",I248,IF(Compare!$C$5="Maximum",K248,J248))))</f>
        <v>4.755912</v>
      </c>
    </row>
    <row r="249" customFormat="false" ht="13.5" hidden="false" customHeight="false" outlineLevel="0" collapsed="false">
      <c r="B249" s="36" t="s">
        <v>71</v>
      </c>
      <c r="C249" s="98" t="s">
        <v>15</v>
      </c>
      <c r="D249" s="98" t="s">
        <v>244</v>
      </c>
      <c r="E249" s="98" t="s">
        <v>491</v>
      </c>
      <c r="F249" s="99" t="n">
        <f aca="false">IF(COUNTIFS(Offers!$B$7:$B$3000,$B249,Offers!$C$7:$C$3000,$C249,Offers!$AH$7:$AH$3000,"yes")=0,"",SUMIFS(Offers!$H$7:$H$3000,Offers!$B$7:$B$3000,$B249,Offers!$C$7:$C$3000,$C249,Offers!$AF$7:$AF$3000,1))</f>
        <v>2.91</v>
      </c>
      <c r="G249" s="93" t="n">
        <f aca="false">IF(COUNTIFS(Offers!$B$7:$B$3000,$B249,Offers!$C$7:$C$3000,$C249,Offers!$AH$7:$AH$3000,"yes")=0,"",(SUMIFS(Offers!$H$7:$H$3000,Offers!$B$7:$B$3000,$B249,Offers!$C$7:$C$3000,$C249,Offers!$AF$7:$AF$3000,ROUNDUP(COUNTIFS(Offers!$B$7:$B$3000,$B249,Offers!$C$7:$C$3000,$C249,Offers!$AH$7:$AH$3000,"yes")/2,0))+SUMIFS(Offers!$H$7:$H$3000,Offers!$B$7:$B$3000,$B249,Offers!$C$7:$C$3000,$C249,Offers!$AF$7:$AF$3000,INT(COUNTIFS(Offers!$B$7:$B$3000,$B249,Offers!$C$7:$C$3000,$C249,Offers!$AH$7:$AH$3000,"yes")/2)+1))/2)</f>
        <v>5.66</v>
      </c>
      <c r="H249" s="99" t="n">
        <f aca="false">IF(COUNTIFS(Offers!$B$7:$B$3000,$B249,Offers!$C$7:$C$3000,$C249,Offers!$AH$7:$AH$3000,"yes")=0,"",SUMIFS(Offers!$H$7:$H$3000,Offers!$B$7:$B$3000,$B249,Offers!$C$7:$C$3000,$C249,Offers!$AF$7:$AF$3000,COUNTIFS(Offers!$B$7:$B$3000,$B249,Offers!$C$7:$C$3000,$C249,Offers!$AH$7:$AH$3000,"yes")))</f>
        <v>13</v>
      </c>
      <c r="I249" s="100" t="n">
        <f aca="false">IF(COUNTIFS(Offers!$B$7:$B$3000,$B249,Offers!$C$7:$C$3000,$C249,Offers!$AI$7:$AI$3000,"yes")=0,"",SUMIFS(Offers!$I$7:$I$3000,Offers!$B$7:$B$3000,$B249,Offers!$C$7:$C$3000,$C249,Offers!$AG$7:$AG$3000,1))</f>
        <v>2.91</v>
      </c>
      <c r="J249" s="95" t="n">
        <f aca="false">IF(COUNTIFS(Offers!$B$7:$B$3000,$B249,Offers!$C$7:$C$3000,$C249,Offers!$AI$7:$AI$3000,"yes")=0,"",(SUMIFS(Offers!$I$7:$I$3000,Offers!$B$7:$B$3000,$B249,Offers!$C$7:$C$3000,$C249,Offers!$AG$7:$AG$3000,ROUNDUP(COUNTIFS(Offers!$B$7:$B$3000,$B249,Offers!$C$7:$C$3000,$C249,Offers!$AI$7:$AI$3000,"yes")/2,0))+SUMIFS(Offers!$I$7:$I$3000,Offers!$B$7:$B$3000,$B249,Offers!$C$7:$C$3000,$C249,Offers!$AG$7:$AG$3000,INT(COUNTIFS(Offers!$B$7:$B$3000,$B249,Offers!$C$7:$C$3000,$C249,Offers!$AI$7:$AI$3000,"yes")/2)+1))/2)</f>
        <v>5.66</v>
      </c>
      <c r="K249" s="100" t="n">
        <f aca="false">IF(COUNTIFS(Offers!$B$7:$B$3000,$B249,Offers!$C$7:$C$3000,$C249,Offers!$AI$7:$AI$3000,"yes")=0,"",SUMIFS(Offers!$I$7:$I$3000,Offers!$B$7:$B$3000,$B249,Offers!$C$7:$C$3000,$C249,Offers!$AG$7:$AG$3000,COUNTIFS(Offers!$B$7:$B$3000,$B249,Offers!$C$7:$C$3000,$C249,Offers!$AI$7:$AI$3000,"yes")))</f>
        <v>13</v>
      </c>
      <c r="L249" s="96"/>
      <c r="M249" s="96"/>
      <c r="N249" s="96"/>
      <c r="O249" s="101" t="n">
        <f aca="false">IF(Compare!$E$5="Local prices",IF(F249="","",IF(Compare!$C$5="Minimum",F249,IF(Compare!$C$5="Maximum",H249,G249))),IF(I249="","",IF(Compare!$C$5="Minimum",I249,IF(Compare!$C$5="Maximum",K249,J249))))</f>
        <v>5.66</v>
      </c>
    </row>
    <row r="250" customFormat="false" ht="13.5" hidden="false" customHeight="false" outlineLevel="0" collapsed="false">
      <c r="B250" s="36" t="s">
        <v>71</v>
      </c>
      <c r="C250" s="98" t="s">
        <v>16</v>
      </c>
      <c r="D250" s="98" t="s">
        <v>244</v>
      </c>
      <c r="E250" s="98" t="s">
        <v>491</v>
      </c>
      <c r="F250" s="99" t="n">
        <f aca="false">IF(COUNTIFS(Offers!$B$7:$B$3000,$B250,Offers!$C$7:$C$3000,$C250,Offers!$AH$7:$AH$3000,"yes")=0,"",SUMIFS(Offers!$H$7:$H$3000,Offers!$B$7:$B$3000,$B250,Offers!$C$7:$C$3000,$C250,Offers!$AF$7:$AF$3000,1))</f>
        <v>1.6</v>
      </c>
      <c r="G250" s="93" t="n">
        <f aca="false">IF(COUNTIFS(Offers!$B$7:$B$3000,$B250,Offers!$C$7:$C$3000,$C250,Offers!$AH$7:$AH$3000,"yes")=0,"",(SUMIFS(Offers!$H$7:$H$3000,Offers!$B$7:$B$3000,$B250,Offers!$C$7:$C$3000,$C250,Offers!$AF$7:$AF$3000,ROUNDUP(COUNTIFS(Offers!$B$7:$B$3000,$B250,Offers!$C$7:$C$3000,$C250,Offers!$AH$7:$AH$3000,"yes")/2,0))+SUMIFS(Offers!$H$7:$H$3000,Offers!$B$7:$B$3000,$B250,Offers!$C$7:$C$3000,$C250,Offers!$AF$7:$AF$3000,INT(COUNTIFS(Offers!$B$7:$B$3000,$B250,Offers!$C$7:$C$3000,$C250,Offers!$AH$7:$AH$3000,"yes")/2)+1))/2)</f>
        <v>4.92</v>
      </c>
      <c r="H250" s="99" t="n">
        <f aca="false">IF(COUNTIFS(Offers!$B$7:$B$3000,$B250,Offers!$C$7:$C$3000,$C250,Offers!$AH$7:$AH$3000,"yes")=0,"",SUMIFS(Offers!$H$7:$H$3000,Offers!$B$7:$B$3000,$B250,Offers!$C$7:$C$3000,$C250,Offers!$AF$7:$AF$3000,COUNTIFS(Offers!$B$7:$B$3000,$B250,Offers!$C$7:$C$3000,$C250,Offers!$AH$7:$AH$3000,"yes")))</f>
        <v>13</v>
      </c>
      <c r="I250" s="100" t="n">
        <f aca="false">IF(COUNTIFS(Offers!$B$7:$B$3000,$B250,Offers!$C$7:$C$3000,$C250,Offers!$AI$7:$AI$3000,"yes")=0,"",SUMIFS(Offers!$I$7:$I$3000,Offers!$B$7:$B$3000,$B250,Offers!$C$7:$C$3000,$C250,Offers!$AG$7:$AG$3000,1))</f>
        <v>1.6</v>
      </c>
      <c r="J250" s="95" t="n">
        <f aca="false">IF(COUNTIFS(Offers!$B$7:$B$3000,$B250,Offers!$C$7:$C$3000,$C250,Offers!$AI$7:$AI$3000,"yes")=0,"",(SUMIFS(Offers!$I$7:$I$3000,Offers!$B$7:$B$3000,$B250,Offers!$C$7:$C$3000,$C250,Offers!$AG$7:$AG$3000,ROUNDUP(COUNTIFS(Offers!$B$7:$B$3000,$B250,Offers!$C$7:$C$3000,$C250,Offers!$AI$7:$AI$3000,"yes")/2,0))+SUMIFS(Offers!$I$7:$I$3000,Offers!$B$7:$B$3000,$B250,Offers!$C$7:$C$3000,$C250,Offers!$AG$7:$AG$3000,INT(COUNTIFS(Offers!$B$7:$B$3000,$B250,Offers!$C$7:$C$3000,$C250,Offers!$AI$7:$AI$3000,"yes")/2)+1))/2)</f>
        <v>4.92</v>
      </c>
      <c r="K250" s="100" t="n">
        <f aca="false">IF(COUNTIFS(Offers!$B$7:$B$3000,$B250,Offers!$C$7:$C$3000,$C250,Offers!$AI$7:$AI$3000,"yes")=0,"",SUMIFS(Offers!$I$7:$I$3000,Offers!$B$7:$B$3000,$B250,Offers!$C$7:$C$3000,$C250,Offers!$AG$7:$AG$3000,COUNTIFS(Offers!$B$7:$B$3000,$B250,Offers!$C$7:$C$3000,$C250,Offers!$AI$7:$AI$3000,"yes")))</f>
        <v>13</v>
      </c>
      <c r="L250" s="96"/>
      <c r="M250" s="96"/>
      <c r="N250" s="96"/>
      <c r="O250" s="101" t="n">
        <f aca="false">IF(Compare!$E$5="Local prices",IF(F250="","",IF(Compare!$C$5="Minimum",F250,IF(Compare!$C$5="Maximum",H250,G250))),IF(I250="","",IF(Compare!$C$5="Minimum",I250,IF(Compare!$C$5="Maximum",K250,J250))))</f>
        <v>4.92</v>
      </c>
    </row>
    <row r="251" customFormat="false" ht="13.5" hidden="false" customHeight="false" outlineLevel="0" collapsed="false">
      <c r="B251" s="36" t="s">
        <v>71</v>
      </c>
      <c r="C251" s="98" t="s">
        <v>17</v>
      </c>
      <c r="D251" s="98" t="s">
        <v>333</v>
      </c>
      <c r="E251" s="98" t="s">
        <v>491</v>
      </c>
      <c r="F251" s="99" t="n">
        <f aca="false">IF(COUNTIFS(Offers!$B$7:$B$3000,$B251,Offers!$C$7:$C$3000,$C251,Offers!$AH$7:$AH$3000,"yes")=0,"",SUMIFS(Offers!$H$7:$H$3000,Offers!$B$7:$B$3000,$B251,Offers!$C$7:$C$3000,$C251,Offers!$AF$7:$AF$3000,1))</f>
        <v>80.17</v>
      </c>
      <c r="G251" s="93" t="n">
        <f aca="false">IF(COUNTIFS(Offers!$B$7:$B$3000,$B251,Offers!$C$7:$C$3000,$C251,Offers!$AH$7:$AH$3000,"yes")=0,"",(SUMIFS(Offers!$H$7:$H$3000,Offers!$B$7:$B$3000,$B251,Offers!$C$7:$C$3000,$C251,Offers!$AF$7:$AF$3000,ROUNDUP(COUNTIFS(Offers!$B$7:$B$3000,$B251,Offers!$C$7:$C$3000,$C251,Offers!$AH$7:$AH$3000,"yes")/2,0))+SUMIFS(Offers!$H$7:$H$3000,Offers!$B$7:$B$3000,$B251,Offers!$C$7:$C$3000,$C251,Offers!$AF$7:$AF$3000,INT(COUNTIFS(Offers!$B$7:$B$3000,$B251,Offers!$C$7:$C$3000,$C251,Offers!$AH$7:$AH$3000,"yes")/2)+1))/2)</f>
        <v>112</v>
      </c>
      <c r="H251" s="99" t="n">
        <f aca="false">IF(COUNTIFS(Offers!$B$7:$B$3000,$B251,Offers!$C$7:$C$3000,$C251,Offers!$AH$7:$AH$3000,"yes")=0,"",SUMIFS(Offers!$H$7:$H$3000,Offers!$B$7:$B$3000,$B251,Offers!$C$7:$C$3000,$C251,Offers!$AF$7:$AF$3000,COUNTIFS(Offers!$B$7:$B$3000,$B251,Offers!$C$7:$C$3000,$C251,Offers!$AH$7:$AH$3000,"yes")))</f>
        <v>181</v>
      </c>
      <c r="I251" s="100" t="n">
        <f aca="false">IF(COUNTIFS(Offers!$B$7:$B$3000,$B251,Offers!$C$7:$C$3000,$C251,Offers!$AI$7:$AI$3000,"yes")=0,"",SUMIFS(Offers!$I$7:$I$3000,Offers!$B$7:$B$3000,$B251,Offers!$C$7:$C$3000,$C251,Offers!$AG$7:$AG$3000,1))</f>
        <v>3.282479</v>
      </c>
      <c r="J251" s="95" t="n">
        <f aca="false">IF(COUNTIFS(Offers!$B$7:$B$3000,$B251,Offers!$C$7:$C$3000,$C251,Offers!$AI$7:$AI$3000,"yes")=0,"",(SUMIFS(Offers!$I$7:$I$3000,Offers!$B$7:$B$3000,$B251,Offers!$C$7:$C$3000,$C251,Offers!$AG$7:$AG$3000,ROUNDUP(COUNTIFS(Offers!$B$7:$B$3000,$B251,Offers!$C$7:$C$3000,$C251,Offers!$AI$7:$AI$3000,"yes")/2,0))+SUMIFS(Offers!$I$7:$I$3000,Offers!$B$7:$B$3000,$B251,Offers!$C$7:$C$3000,$C251,Offers!$AG$7:$AG$3000,INT(COUNTIFS(Offers!$B$7:$B$3000,$B251,Offers!$C$7:$C$3000,$C251,Offers!$AI$7:$AI$3000,"yes")/2)+1))/2)</f>
        <v>4.585726</v>
      </c>
      <c r="K251" s="100" t="n">
        <f aca="false">IF(COUNTIFS(Offers!$B$7:$B$3000,$B251,Offers!$C$7:$C$3000,$C251,Offers!$AI$7:$AI$3000,"yes")=0,"",SUMIFS(Offers!$I$7:$I$3000,Offers!$B$7:$B$3000,$B251,Offers!$C$7:$C$3000,$C251,Offers!$AG$7:$AG$3000,COUNTIFS(Offers!$B$7:$B$3000,$B251,Offers!$C$7:$C$3000,$C251,Offers!$AI$7:$AI$3000,"yes")))</f>
        <v>7.41086</v>
      </c>
      <c r="L251" s="96"/>
      <c r="M251" s="96"/>
      <c r="N251" s="96"/>
      <c r="O251" s="101" t="n">
        <f aca="false">IF(Compare!$E$5="Local prices",IF(F251="","",IF(Compare!$C$5="Minimum",F251,IF(Compare!$C$5="Maximum",H251,G251))),IF(I251="","",IF(Compare!$C$5="Minimum",I251,IF(Compare!$C$5="Maximum",K251,J251))))</f>
        <v>4.585726</v>
      </c>
    </row>
    <row r="252" customFormat="false" ht="13.5" hidden="false" customHeight="false" outlineLevel="0" collapsed="false">
      <c r="B252" s="36" t="s">
        <v>71</v>
      </c>
      <c r="C252" s="98" t="s">
        <v>18</v>
      </c>
      <c r="D252" s="98" t="s">
        <v>244</v>
      </c>
      <c r="E252" s="98" t="s">
        <v>491</v>
      </c>
      <c r="F252" s="99" t="n">
        <f aca="false">IF(COUNTIFS(Offers!$B$7:$B$3000,$B252,Offers!$C$7:$C$3000,$C252,Offers!$AH$7:$AH$3000,"yes")=0,"",SUMIFS(Offers!$H$7:$H$3000,Offers!$B$7:$B$3000,$B252,Offers!$C$7:$C$3000,$C252,Offers!$AF$7:$AF$3000,1))</f>
        <v>4.43</v>
      </c>
      <c r="G252" s="93" t="n">
        <f aca="false">IF(COUNTIFS(Offers!$B$7:$B$3000,$B252,Offers!$C$7:$C$3000,$C252,Offers!$AH$7:$AH$3000,"yes")=0,"",(SUMIFS(Offers!$H$7:$H$3000,Offers!$B$7:$B$3000,$B252,Offers!$C$7:$C$3000,$C252,Offers!$AF$7:$AF$3000,ROUNDUP(COUNTIFS(Offers!$B$7:$B$3000,$B252,Offers!$C$7:$C$3000,$C252,Offers!$AH$7:$AH$3000,"yes")/2,0))+SUMIFS(Offers!$H$7:$H$3000,Offers!$B$7:$B$3000,$B252,Offers!$C$7:$C$3000,$C252,Offers!$AF$7:$AF$3000,INT(COUNTIFS(Offers!$B$7:$B$3000,$B252,Offers!$C$7:$C$3000,$C252,Offers!$AH$7:$AH$3000,"yes")/2)+1))/2)</f>
        <v>4.71</v>
      </c>
      <c r="H252" s="99" t="n">
        <f aca="false">IF(COUNTIFS(Offers!$B$7:$B$3000,$B252,Offers!$C$7:$C$3000,$C252,Offers!$AH$7:$AH$3000,"yes")=0,"",SUMIFS(Offers!$H$7:$H$3000,Offers!$B$7:$B$3000,$B252,Offers!$C$7:$C$3000,$C252,Offers!$AF$7:$AF$3000,COUNTIFS(Offers!$B$7:$B$3000,$B252,Offers!$C$7:$C$3000,$C252,Offers!$AH$7:$AH$3000,"yes")))</f>
        <v>13.3</v>
      </c>
      <c r="I252" s="100" t="n">
        <f aca="false">IF(COUNTIFS(Offers!$B$7:$B$3000,$B252,Offers!$C$7:$C$3000,$C252,Offers!$AI$7:$AI$3000,"yes")=0,"",SUMIFS(Offers!$I$7:$I$3000,Offers!$B$7:$B$3000,$B252,Offers!$C$7:$C$3000,$C252,Offers!$AG$7:$AG$3000,1))</f>
        <v>4.43</v>
      </c>
      <c r="J252" s="95" t="n">
        <f aca="false">IF(COUNTIFS(Offers!$B$7:$B$3000,$B252,Offers!$C$7:$C$3000,$C252,Offers!$AI$7:$AI$3000,"yes")=0,"",(SUMIFS(Offers!$I$7:$I$3000,Offers!$B$7:$B$3000,$B252,Offers!$C$7:$C$3000,$C252,Offers!$AG$7:$AG$3000,ROUNDUP(COUNTIFS(Offers!$B$7:$B$3000,$B252,Offers!$C$7:$C$3000,$C252,Offers!$AI$7:$AI$3000,"yes")/2,0))+SUMIFS(Offers!$I$7:$I$3000,Offers!$B$7:$B$3000,$B252,Offers!$C$7:$C$3000,$C252,Offers!$AG$7:$AG$3000,INT(COUNTIFS(Offers!$B$7:$B$3000,$B252,Offers!$C$7:$C$3000,$C252,Offers!$AI$7:$AI$3000,"yes")/2)+1))/2)</f>
        <v>4.71</v>
      </c>
      <c r="K252" s="100" t="n">
        <f aca="false">IF(COUNTIFS(Offers!$B$7:$B$3000,$B252,Offers!$C$7:$C$3000,$C252,Offers!$AI$7:$AI$3000,"yes")=0,"",SUMIFS(Offers!$I$7:$I$3000,Offers!$B$7:$B$3000,$B252,Offers!$C$7:$C$3000,$C252,Offers!$AG$7:$AG$3000,COUNTIFS(Offers!$B$7:$B$3000,$B252,Offers!$C$7:$C$3000,$C252,Offers!$AI$7:$AI$3000,"yes")))</f>
        <v>13.3</v>
      </c>
      <c r="L252" s="96"/>
      <c r="M252" s="96"/>
      <c r="N252" s="96"/>
      <c r="O252" s="101" t="n">
        <f aca="false">IF(Compare!$E$5="Local prices",IF(F252="","",IF(Compare!$C$5="Minimum",F252,IF(Compare!$C$5="Maximum",H252,G252))),IF(I252="","",IF(Compare!$C$5="Minimum",I252,IF(Compare!$C$5="Maximum",K252,J252))))</f>
        <v>4.71</v>
      </c>
    </row>
    <row r="253" customFormat="false" ht="13.5" hidden="false" customHeight="false" outlineLevel="0" collapsed="false">
      <c r="B253" s="36" t="s">
        <v>72</v>
      </c>
      <c r="C253" s="98" t="s">
        <v>13</v>
      </c>
      <c r="D253" s="98" t="s">
        <v>490</v>
      </c>
      <c r="E253" s="98" t="s">
        <v>491</v>
      </c>
      <c r="F253" s="99" t="str">
        <f aca="false">IF(COUNTIFS(Offers!$B$7:$B$3000,$B253,Offers!$C$7:$C$3000,$C253,Offers!$AH$7:$AH$3000,"yes")=0,"",SUMIFS(Offers!$H$7:$H$3000,Offers!$B$7:$B$3000,$B253,Offers!$C$7:$C$3000,$C253,Offers!$AF$7:$AF$3000,1))</f>
        <v/>
      </c>
      <c r="G253" s="93" t="str">
        <f aca="false">IF(COUNTIFS(Offers!$B$7:$B$3000,$B253,Offers!$C$7:$C$3000,$C253,Offers!$AH$7:$AH$3000,"yes")=0,"",(SUMIFS(Offers!$H$7:$H$3000,Offers!$B$7:$B$3000,$B253,Offers!$C$7:$C$3000,$C253,Offers!$AF$7:$AF$3000,ROUNDUP(COUNTIFS(Offers!$B$7:$B$3000,$B253,Offers!$C$7:$C$3000,$C253,Offers!$AH$7:$AH$3000,"yes")/2,0))+SUMIFS(Offers!$H$7:$H$3000,Offers!$B$7:$B$3000,$B253,Offers!$C$7:$C$3000,$C253,Offers!$AF$7:$AF$3000,INT(COUNTIFS(Offers!$B$7:$B$3000,$B253,Offers!$C$7:$C$3000,$C253,Offers!$AH$7:$AH$3000,"yes")/2)+1))/2)</f>
        <v/>
      </c>
      <c r="H253" s="99" t="str">
        <f aca="false">IF(COUNTIFS(Offers!$B$7:$B$3000,$B253,Offers!$C$7:$C$3000,$C253,Offers!$AH$7:$AH$3000,"yes")=0,"",SUMIFS(Offers!$H$7:$H$3000,Offers!$B$7:$B$3000,$B253,Offers!$C$7:$C$3000,$C253,Offers!$AF$7:$AF$3000,COUNTIFS(Offers!$B$7:$B$3000,$B253,Offers!$C$7:$C$3000,$C253,Offers!$AH$7:$AH$3000,"yes")))</f>
        <v/>
      </c>
      <c r="I253" s="100" t="str">
        <f aca="false">IF(COUNTIFS(Offers!$B$7:$B$3000,$B253,Offers!$C$7:$C$3000,$C253,Offers!$AI$7:$AI$3000,"yes")=0,"",SUMIFS(Offers!$I$7:$I$3000,Offers!$B$7:$B$3000,$B253,Offers!$C$7:$C$3000,$C253,Offers!$AG$7:$AG$3000,1))</f>
        <v/>
      </c>
      <c r="J253" s="95" t="str">
        <f aca="false">IF(COUNTIFS(Offers!$B$7:$B$3000,$B253,Offers!$C$7:$C$3000,$C253,Offers!$AI$7:$AI$3000,"yes")=0,"",(SUMIFS(Offers!$I$7:$I$3000,Offers!$B$7:$B$3000,$B253,Offers!$C$7:$C$3000,$C253,Offers!$AG$7:$AG$3000,ROUNDUP(COUNTIFS(Offers!$B$7:$B$3000,$B253,Offers!$C$7:$C$3000,$C253,Offers!$AI$7:$AI$3000,"yes")/2,0))+SUMIFS(Offers!$I$7:$I$3000,Offers!$B$7:$B$3000,$B253,Offers!$C$7:$C$3000,$C253,Offers!$AG$7:$AG$3000,INT(COUNTIFS(Offers!$B$7:$B$3000,$B253,Offers!$C$7:$C$3000,$C253,Offers!$AI$7:$AI$3000,"yes")/2)+1))/2)</f>
        <v/>
      </c>
      <c r="K253" s="100" t="str">
        <f aca="false">IF(COUNTIFS(Offers!$B$7:$B$3000,$B253,Offers!$C$7:$C$3000,$C253,Offers!$AI$7:$AI$3000,"yes")=0,"",SUMIFS(Offers!$I$7:$I$3000,Offers!$B$7:$B$3000,$B253,Offers!$C$7:$C$3000,$C253,Offers!$AG$7:$AG$3000,COUNTIFS(Offers!$B$7:$B$3000,$B253,Offers!$C$7:$C$3000,$C253,Offers!$AI$7:$AI$3000,"yes")))</f>
        <v/>
      </c>
      <c r="L253" s="96"/>
      <c r="M253" s="96"/>
      <c r="N253" s="96"/>
      <c r="O253" s="110" t="str">
        <f aca="false">IF(Compare!$E$5="Local prices",IF(F253="","",IF(Compare!$C$5="Minimum",F253,IF(Compare!$C$5="Maximum",H253,G253))),IF(I253="","",IF(Compare!$C$5="Minimum",I253,IF(Compare!$C$5="Maximum",K253,J253))))</f>
        <v/>
      </c>
    </row>
    <row r="254" customFormat="false" ht="13.5" hidden="false" customHeight="false" outlineLevel="0" collapsed="false">
      <c r="B254" s="36" t="s">
        <v>72</v>
      </c>
      <c r="C254" s="98" t="s">
        <v>14</v>
      </c>
      <c r="D254" s="98" t="s">
        <v>374</v>
      </c>
      <c r="E254" s="98" t="s">
        <v>491</v>
      </c>
      <c r="F254" s="99" t="n">
        <f aca="false">IF(COUNTIFS(Offers!$B$7:$B$3000,$B254,Offers!$C$7:$C$3000,$C254,Offers!$AH$7:$AH$3000,"yes")=0,"",SUMIFS(Offers!$H$7:$H$3000,Offers!$B$7:$B$3000,$B254,Offers!$C$7:$C$3000,$C254,Offers!$AF$7:$AF$3000,1))</f>
        <v>4.57</v>
      </c>
      <c r="G254" s="93" t="n">
        <f aca="false">IF(COUNTIFS(Offers!$B$7:$B$3000,$B254,Offers!$C$7:$C$3000,$C254,Offers!$AH$7:$AH$3000,"yes")=0,"",(SUMIFS(Offers!$H$7:$H$3000,Offers!$B$7:$B$3000,$B254,Offers!$C$7:$C$3000,$C254,Offers!$AF$7:$AF$3000,ROUNDUP(COUNTIFS(Offers!$B$7:$B$3000,$B254,Offers!$C$7:$C$3000,$C254,Offers!$AH$7:$AH$3000,"yes")/2,0))+SUMIFS(Offers!$H$7:$H$3000,Offers!$B$7:$B$3000,$B254,Offers!$C$7:$C$3000,$C254,Offers!$AF$7:$AF$3000,INT(COUNTIFS(Offers!$B$7:$B$3000,$B254,Offers!$C$7:$C$3000,$C254,Offers!$AH$7:$AH$3000,"yes")/2)+1))/2)</f>
        <v>38.45</v>
      </c>
      <c r="H254" s="99" t="n">
        <f aca="false">IF(COUNTIFS(Offers!$B$7:$B$3000,$B254,Offers!$C$7:$C$3000,$C254,Offers!$AH$7:$AH$3000,"yes")=0,"",SUMIFS(Offers!$H$7:$H$3000,Offers!$B$7:$B$3000,$B254,Offers!$C$7:$C$3000,$C254,Offers!$AF$7:$AF$3000,COUNTIFS(Offers!$B$7:$B$3000,$B254,Offers!$C$7:$C$3000,$C254,Offers!$AH$7:$AH$3000,"yes")))</f>
        <v>64.16</v>
      </c>
      <c r="I254" s="100" t="n">
        <f aca="false">IF(COUNTIFS(Offers!$B$7:$B$3000,$B254,Offers!$C$7:$C$3000,$C254,Offers!$AI$7:$AI$3000,"yes")=0,"",SUMIFS(Offers!$I$7:$I$3000,Offers!$B$7:$B$3000,$B254,Offers!$C$7:$C$3000,$C254,Offers!$AG$7:$AG$3000,1))</f>
        <v>4.57</v>
      </c>
      <c r="J254" s="95" t="n">
        <f aca="false">IF(COUNTIFS(Offers!$B$7:$B$3000,$B254,Offers!$C$7:$C$3000,$C254,Offers!$AI$7:$AI$3000,"yes")=0,"",(SUMIFS(Offers!$I$7:$I$3000,Offers!$B$7:$B$3000,$B254,Offers!$C$7:$C$3000,$C254,Offers!$AG$7:$AG$3000,ROUNDUP(COUNTIFS(Offers!$B$7:$B$3000,$B254,Offers!$C$7:$C$3000,$C254,Offers!$AI$7:$AI$3000,"yes")/2,0))+SUMIFS(Offers!$I$7:$I$3000,Offers!$B$7:$B$3000,$B254,Offers!$C$7:$C$3000,$C254,Offers!$AG$7:$AG$3000,INT(COUNTIFS(Offers!$B$7:$B$3000,$B254,Offers!$C$7:$C$3000,$C254,Offers!$AI$7:$AI$3000,"yes")/2)+1))/2)</f>
        <v>7.285451</v>
      </c>
      <c r="K254" s="100" t="n">
        <f aca="false">IF(COUNTIFS(Offers!$B$7:$B$3000,$B254,Offers!$C$7:$C$3000,$C254,Offers!$AI$7:$AI$3000,"yes")=0,"",SUMIFS(Offers!$I$7:$I$3000,Offers!$B$7:$B$3000,$B254,Offers!$C$7:$C$3000,$C254,Offers!$AG$7:$AG$3000,COUNTIFS(Offers!$B$7:$B$3000,$B254,Offers!$C$7:$C$3000,$C254,Offers!$AI$7:$AI$3000,"yes")))</f>
        <v>12.156945</v>
      </c>
      <c r="L254" s="96"/>
      <c r="M254" s="96"/>
      <c r="N254" s="96"/>
      <c r="O254" s="101" t="n">
        <f aca="false">IF(Compare!$E$5="Local prices",IF(F254="","",IF(Compare!$C$5="Minimum",F254,IF(Compare!$C$5="Maximum",H254,G254))),IF(I254="","",IF(Compare!$C$5="Minimum",I254,IF(Compare!$C$5="Maximum",K254,J254))))</f>
        <v>7.285451</v>
      </c>
    </row>
    <row r="255" customFormat="false" ht="13.5" hidden="false" customHeight="false" outlineLevel="0" collapsed="false">
      <c r="B255" s="36" t="s">
        <v>72</v>
      </c>
      <c r="C255" s="98" t="s">
        <v>15</v>
      </c>
      <c r="D255" s="98" t="s">
        <v>244</v>
      </c>
      <c r="E255" s="98" t="s">
        <v>491</v>
      </c>
      <c r="F255" s="99" t="n">
        <f aca="false">IF(COUNTIFS(Offers!$B$7:$B$3000,$B255,Offers!$C$7:$C$3000,$C255,Offers!$AH$7:$AH$3000,"yes")=0,"",SUMIFS(Offers!$H$7:$H$3000,Offers!$B$7:$B$3000,$B255,Offers!$C$7:$C$3000,$C255,Offers!$AF$7:$AF$3000,1))</f>
        <v>5.49</v>
      </c>
      <c r="G255" s="93" t="n">
        <f aca="false">IF(COUNTIFS(Offers!$B$7:$B$3000,$B255,Offers!$C$7:$C$3000,$C255,Offers!$AH$7:$AH$3000,"yes")=0,"",(SUMIFS(Offers!$H$7:$H$3000,Offers!$B$7:$B$3000,$B255,Offers!$C$7:$C$3000,$C255,Offers!$AF$7:$AF$3000,ROUNDUP(COUNTIFS(Offers!$B$7:$B$3000,$B255,Offers!$C$7:$C$3000,$C255,Offers!$AH$7:$AH$3000,"yes")/2,0))+SUMIFS(Offers!$H$7:$H$3000,Offers!$B$7:$B$3000,$B255,Offers!$C$7:$C$3000,$C255,Offers!$AF$7:$AF$3000,INT(COUNTIFS(Offers!$B$7:$B$3000,$B255,Offers!$C$7:$C$3000,$C255,Offers!$AH$7:$AH$3000,"yes")/2)+1))/2)</f>
        <v>8.1</v>
      </c>
      <c r="H255" s="99" t="n">
        <f aca="false">IF(COUNTIFS(Offers!$B$7:$B$3000,$B255,Offers!$C$7:$C$3000,$C255,Offers!$AH$7:$AH$3000,"yes")=0,"",SUMIFS(Offers!$H$7:$H$3000,Offers!$B$7:$B$3000,$B255,Offers!$C$7:$C$3000,$C255,Offers!$AF$7:$AF$3000,COUNTIFS(Offers!$B$7:$B$3000,$B255,Offers!$C$7:$C$3000,$C255,Offers!$AH$7:$AH$3000,"yes")))</f>
        <v>14.63</v>
      </c>
      <c r="I255" s="100" t="n">
        <f aca="false">IF(COUNTIFS(Offers!$B$7:$B$3000,$B255,Offers!$C$7:$C$3000,$C255,Offers!$AI$7:$AI$3000,"yes")=0,"",SUMIFS(Offers!$I$7:$I$3000,Offers!$B$7:$B$3000,$B255,Offers!$C$7:$C$3000,$C255,Offers!$AG$7:$AG$3000,1))</f>
        <v>5.49</v>
      </c>
      <c r="J255" s="95" t="n">
        <f aca="false">IF(COUNTIFS(Offers!$B$7:$B$3000,$B255,Offers!$C$7:$C$3000,$C255,Offers!$AI$7:$AI$3000,"yes")=0,"",(SUMIFS(Offers!$I$7:$I$3000,Offers!$B$7:$B$3000,$B255,Offers!$C$7:$C$3000,$C255,Offers!$AG$7:$AG$3000,ROUNDUP(COUNTIFS(Offers!$B$7:$B$3000,$B255,Offers!$C$7:$C$3000,$C255,Offers!$AI$7:$AI$3000,"yes")/2,0))+SUMIFS(Offers!$I$7:$I$3000,Offers!$B$7:$B$3000,$B255,Offers!$C$7:$C$3000,$C255,Offers!$AG$7:$AG$3000,INT(COUNTIFS(Offers!$B$7:$B$3000,$B255,Offers!$C$7:$C$3000,$C255,Offers!$AI$7:$AI$3000,"yes")/2)+1))/2)</f>
        <v>8.1</v>
      </c>
      <c r="K255" s="100" t="n">
        <f aca="false">IF(COUNTIFS(Offers!$B$7:$B$3000,$B255,Offers!$C$7:$C$3000,$C255,Offers!$AI$7:$AI$3000,"yes")=0,"",SUMIFS(Offers!$I$7:$I$3000,Offers!$B$7:$B$3000,$B255,Offers!$C$7:$C$3000,$C255,Offers!$AG$7:$AG$3000,COUNTIFS(Offers!$B$7:$B$3000,$B255,Offers!$C$7:$C$3000,$C255,Offers!$AI$7:$AI$3000,"yes")))</f>
        <v>14.63</v>
      </c>
      <c r="L255" s="96"/>
      <c r="M255" s="96"/>
      <c r="N255" s="96"/>
      <c r="O255" s="101" t="n">
        <f aca="false">IF(Compare!$E$5="Local prices",IF(F255="","",IF(Compare!$C$5="Minimum",F255,IF(Compare!$C$5="Maximum",H255,G255))),IF(I255="","",IF(Compare!$C$5="Minimum",I255,IF(Compare!$C$5="Maximum",K255,J255))))</f>
        <v>8.1</v>
      </c>
    </row>
    <row r="256" customFormat="false" ht="13.5" hidden="false" customHeight="false" outlineLevel="0" collapsed="false">
      <c r="B256" s="36" t="s">
        <v>72</v>
      </c>
      <c r="C256" s="98" t="s">
        <v>16</v>
      </c>
      <c r="D256" s="98" t="s">
        <v>244</v>
      </c>
      <c r="E256" s="98" t="s">
        <v>491</v>
      </c>
      <c r="F256" s="99" t="n">
        <f aca="false">IF(COUNTIFS(Offers!$B$7:$B$3000,$B256,Offers!$C$7:$C$3000,$C256,Offers!$AH$7:$AH$3000,"yes")=0,"",SUMIFS(Offers!$H$7:$H$3000,Offers!$B$7:$B$3000,$B256,Offers!$C$7:$C$3000,$C256,Offers!$AF$7:$AF$3000,1))</f>
        <v>4.43</v>
      </c>
      <c r="G256" s="93" t="n">
        <f aca="false">IF(COUNTIFS(Offers!$B$7:$B$3000,$B256,Offers!$C$7:$C$3000,$C256,Offers!$AH$7:$AH$3000,"yes")=0,"",(SUMIFS(Offers!$H$7:$H$3000,Offers!$B$7:$B$3000,$B256,Offers!$C$7:$C$3000,$C256,Offers!$AF$7:$AF$3000,ROUNDUP(COUNTIFS(Offers!$B$7:$B$3000,$B256,Offers!$C$7:$C$3000,$C256,Offers!$AH$7:$AH$3000,"yes")/2,0))+SUMIFS(Offers!$H$7:$H$3000,Offers!$B$7:$B$3000,$B256,Offers!$C$7:$C$3000,$C256,Offers!$AF$7:$AF$3000,INT(COUNTIFS(Offers!$B$7:$B$3000,$B256,Offers!$C$7:$C$3000,$C256,Offers!$AH$7:$AH$3000,"yes")/2)+1))/2)</f>
        <v>6.87</v>
      </c>
      <c r="H256" s="99" t="n">
        <f aca="false">IF(COUNTIFS(Offers!$B$7:$B$3000,$B256,Offers!$C$7:$C$3000,$C256,Offers!$AH$7:$AH$3000,"yes")=0,"",SUMIFS(Offers!$H$7:$H$3000,Offers!$B$7:$B$3000,$B256,Offers!$C$7:$C$3000,$C256,Offers!$AF$7:$AF$3000,COUNTIFS(Offers!$B$7:$B$3000,$B256,Offers!$C$7:$C$3000,$C256,Offers!$AH$7:$AH$3000,"yes")))</f>
        <v>14.63</v>
      </c>
      <c r="I256" s="100" t="n">
        <f aca="false">IF(COUNTIFS(Offers!$B$7:$B$3000,$B256,Offers!$C$7:$C$3000,$C256,Offers!$AI$7:$AI$3000,"yes")=0,"",SUMIFS(Offers!$I$7:$I$3000,Offers!$B$7:$B$3000,$B256,Offers!$C$7:$C$3000,$C256,Offers!$AG$7:$AG$3000,1))</f>
        <v>4.43</v>
      </c>
      <c r="J256" s="95" t="n">
        <f aca="false">IF(COUNTIFS(Offers!$B$7:$B$3000,$B256,Offers!$C$7:$C$3000,$C256,Offers!$AI$7:$AI$3000,"yes")=0,"",(SUMIFS(Offers!$I$7:$I$3000,Offers!$B$7:$B$3000,$B256,Offers!$C$7:$C$3000,$C256,Offers!$AG$7:$AG$3000,ROUNDUP(COUNTIFS(Offers!$B$7:$B$3000,$B256,Offers!$C$7:$C$3000,$C256,Offers!$AI$7:$AI$3000,"yes")/2,0))+SUMIFS(Offers!$I$7:$I$3000,Offers!$B$7:$B$3000,$B256,Offers!$C$7:$C$3000,$C256,Offers!$AG$7:$AG$3000,INT(COUNTIFS(Offers!$B$7:$B$3000,$B256,Offers!$C$7:$C$3000,$C256,Offers!$AI$7:$AI$3000,"yes")/2)+1))/2)</f>
        <v>6.87</v>
      </c>
      <c r="K256" s="100" t="n">
        <f aca="false">IF(COUNTIFS(Offers!$B$7:$B$3000,$B256,Offers!$C$7:$C$3000,$C256,Offers!$AI$7:$AI$3000,"yes")=0,"",SUMIFS(Offers!$I$7:$I$3000,Offers!$B$7:$B$3000,$B256,Offers!$C$7:$C$3000,$C256,Offers!$AG$7:$AG$3000,COUNTIFS(Offers!$B$7:$B$3000,$B256,Offers!$C$7:$C$3000,$C256,Offers!$AI$7:$AI$3000,"yes")))</f>
        <v>14.63</v>
      </c>
      <c r="L256" s="96"/>
      <c r="M256" s="96"/>
      <c r="N256" s="96"/>
      <c r="O256" s="101" t="n">
        <f aca="false">IF(Compare!$E$5="Local prices",IF(F256="","",IF(Compare!$C$5="Minimum",F256,IF(Compare!$C$5="Maximum",H256,G256))),IF(I256="","",IF(Compare!$C$5="Minimum",I256,IF(Compare!$C$5="Maximum",K256,J256))))</f>
        <v>6.87</v>
      </c>
    </row>
    <row r="257" customFormat="false" ht="13.5" hidden="false" customHeight="false" outlineLevel="0" collapsed="false">
      <c r="B257" s="36" t="s">
        <v>72</v>
      </c>
      <c r="C257" s="98" t="s">
        <v>17</v>
      </c>
      <c r="D257" s="98" t="s">
        <v>333</v>
      </c>
      <c r="E257" s="98" t="s">
        <v>491</v>
      </c>
      <c r="F257" s="99" t="n">
        <f aca="false">IF(COUNTIFS(Offers!$B$7:$B$3000,$B257,Offers!$C$7:$C$3000,$C257,Offers!$AH$7:$AH$3000,"yes")=0,"",SUMIFS(Offers!$H$7:$H$3000,Offers!$B$7:$B$3000,$B257,Offers!$C$7:$C$3000,$C257,Offers!$AF$7:$AF$3000,1))</f>
        <v>136.36</v>
      </c>
      <c r="G257" s="93" t="n">
        <f aca="false">IF(COUNTIFS(Offers!$B$7:$B$3000,$B257,Offers!$C$7:$C$3000,$C257,Offers!$AH$7:$AH$3000,"yes")=0,"",(SUMIFS(Offers!$H$7:$H$3000,Offers!$B$7:$B$3000,$B257,Offers!$C$7:$C$3000,$C257,Offers!$AF$7:$AF$3000,ROUNDUP(COUNTIFS(Offers!$B$7:$B$3000,$B257,Offers!$C$7:$C$3000,$C257,Offers!$AH$7:$AH$3000,"yes")/2,0))+SUMIFS(Offers!$H$7:$H$3000,Offers!$B$7:$B$3000,$B257,Offers!$C$7:$C$3000,$C257,Offers!$AF$7:$AF$3000,INT(COUNTIFS(Offers!$B$7:$B$3000,$B257,Offers!$C$7:$C$3000,$C257,Offers!$AH$7:$AH$3000,"yes")/2)+1))/2)</f>
        <v>213</v>
      </c>
      <c r="H257" s="99" t="n">
        <f aca="false">IF(COUNTIFS(Offers!$B$7:$B$3000,$B257,Offers!$C$7:$C$3000,$C257,Offers!$AH$7:$AH$3000,"yes")=0,"",SUMIFS(Offers!$H$7:$H$3000,Offers!$B$7:$B$3000,$B257,Offers!$C$7:$C$3000,$C257,Offers!$AF$7:$AF$3000,COUNTIFS(Offers!$B$7:$B$3000,$B257,Offers!$C$7:$C$3000,$C257,Offers!$AH$7:$AH$3000,"yes")))</f>
        <v>294</v>
      </c>
      <c r="I257" s="100" t="n">
        <f aca="false">IF(COUNTIFS(Offers!$B$7:$B$3000,$B257,Offers!$C$7:$C$3000,$C257,Offers!$AI$7:$AI$3000,"yes")=0,"",SUMIFS(Offers!$I$7:$I$3000,Offers!$B$7:$B$3000,$B257,Offers!$C$7:$C$3000,$C257,Offers!$AG$7:$AG$3000,1))</f>
        <v>5.583121</v>
      </c>
      <c r="J257" s="95" t="n">
        <f aca="false">IF(COUNTIFS(Offers!$B$7:$B$3000,$B257,Offers!$C$7:$C$3000,$C257,Offers!$AI$7:$AI$3000,"yes")=0,"",(SUMIFS(Offers!$I$7:$I$3000,Offers!$B$7:$B$3000,$B257,Offers!$C$7:$C$3000,$C257,Offers!$AG$7:$AG$3000,ROUNDUP(COUNTIFS(Offers!$B$7:$B$3000,$B257,Offers!$C$7:$C$3000,$C257,Offers!$AI$7:$AI$3000,"yes")/2,0))+SUMIFS(Offers!$I$7:$I$3000,Offers!$B$7:$B$3000,$B257,Offers!$C$7:$C$3000,$C257,Offers!$AG$7:$AG$3000,INT(COUNTIFS(Offers!$B$7:$B$3000,$B257,Offers!$C$7:$C$3000,$C257,Offers!$AI$7:$AI$3000,"yes")/2)+1))/2)</f>
        <v>8.721067</v>
      </c>
      <c r="K257" s="100" t="n">
        <f aca="false">IF(COUNTIFS(Offers!$B$7:$B$3000,$B257,Offers!$C$7:$C$3000,$C257,Offers!$AI$7:$AI$3000,"yes")=0,"",SUMIFS(Offers!$I$7:$I$3000,Offers!$B$7:$B$3000,$B257,Offers!$C$7:$C$3000,$C257,Offers!$AG$7:$AG$3000,COUNTIFS(Offers!$B$7:$B$3000,$B257,Offers!$C$7:$C$3000,$C257,Offers!$AI$7:$AI$3000,"yes")))</f>
        <v>12.03753</v>
      </c>
      <c r="L257" s="96"/>
      <c r="M257" s="96"/>
      <c r="N257" s="96"/>
      <c r="O257" s="101" t="n">
        <f aca="false">IF(Compare!$E$5="Local prices",IF(F257="","",IF(Compare!$C$5="Minimum",F257,IF(Compare!$C$5="Maximum",H257,G257))),IF(I257="","",IF(Compare!$C$5="Minimum",I257,IF(Compare!$C$5="Maximum",K257,J257))))</f>
        <v>8.721067</v>
      </c>
    </row>
    <row r="258" customFormat="false" ht="13.5" hidden="false" customHeight="false" outlineLevel="0" collapsed="false">
      <c r="B258" s="36" t="s">
        <v>72</v>
      </c>
      <c r="C258" s="98" t="s">
        <v>18</v>
      </c>
      <c r="D258" s="98" t="s">
        <v>244</v>
      </c>
      <c r="E258" s="98" t="s">
        <v>491</v>
      </c>
      <c r="F258" s="99" t="n">
        <f aca="false">IF(COUNTIFS(Offers!$B$7:$B$3000,$B258,Offers!$C$7:$C$3000,$C258,Offers!$AH$7:$AH$3000,"yes")=0,"",SUMIFS(Offers!$H$7:$H$3000,Offers!$B$7:$B$3000,$B258,Offers!$C$7:$C$3000,$C258,Offers!$AF$7:$AF$3000,1))</f>
        <v>4.43</v>
      </c>
      <c r="G258" s="93" t="n">
        <f aca="false">IF(COUNTIFS(Offers!$B$7:$B$3000,$B258,Offers!$C$7:$C$3000,$C258,Offers!$AH$7:$AH$3000,"yes")=0,"",(SUMIFS(Offers!$H$7:$H$3000,Offers!$B$7:$B$3000,$B258,Offers!$C$7:$C$3000,$C258,Offers!$AF$7:$AF$3000,ROUNDUP(COUNTIFS(Offers!$B$7:$B$3000,$B258,Offers!$C$7:$C$3000,$C258,Offers!$AH$7:$AH$3000,"yes")/2,0))+SUMIFS(Offers!$H$7:$H$3000,Offers!$B$7:$B$3000,$B258,Offers!$C$7:$C$3000,$C258,Offers!$AF$7:$AF$3000,INT(COUNTIFS(Offers!$B$7:$B$3000,$B258,Offers!$C$7:$C$3000,$C258,Offers!$AH$7:$AH$3000,"yes")/2)+1))/2)</f>
        <v>6.75</v>
      </c>
      <c r="H258" s="99" t="n">
        <f aca="false">IF(COUNTIFS(Offers!$B$7:$B$3000,$B258,Offers!$C$7:$C$3000,$C258,Offers!$AH$7:$AH$3000,"yes")=0,"",SUMIFS(Offers!$H$7:$H$3000,Offers!$B$7:$B$3000,$B258,Offers!$C$7:$C$3000,$C258,Offers!$AF$7:$AF$3000,COUNTIFS(Offers!$B$7:$B$3000,$B258,Offers!$C$7:$C$3000,$C258,Offers!$AH$7:$AH$3000,"yes")))</f>
        <v>15.56</v>
      </c>
      <c r="I258" s="100" t="n">
        <f aca="false">IF(COUNTIFS(Offers!$B$7:$B$3000,$B258,Offers!$C$7:$C$3000,$C258,Offers!$AI$7:$AI$3000,"yes")=0,"",SUMIFS(Offers!$I$7:$I$3000,Offers!$B$7:$B$3000,$B258,Offers!$C$7:$C$3000,$C258,Offers!$AG$7:$AG$3000,1))</f>
        <v>4.43</v>
      </c>
      <c r="J258" s="95" t="n">
        <f aca="false">IF(COUNTIFS(Offers!$B$7:$B$3000,$B258,Offers!$C$7:$C$3000,$C258,Offers!$AI$7:$AI$3000,"yes")=0,"",(SUMIFS(Offers!$I$7:$I$3000,Offers!$B$7:$B$3000,$B258,Offers!$C$7:$C$3000,$C258,Offers!$AG$7:$AG$3000,ROUNDUP(COUNTIFS(Offers!$B$7:$B$3000,$B258,Offers!$C$7:$C$3000,$C258,Offers!$AI$7:$AI$3000,"yes")/2,0))+SUMIFS(Offers!$I$7:$I$3000,Offers!$B$7:$B$3000,$B258,Offers!$C$7:$C$3000,$C258,Offers!$AG$7:$AG$3000,INT(COUNTIFS(Offers!$B$7:$B$3000,$B258,Offers!$C$7:$C$3000,$C258,Offers!$AI$7:$AI$3000,"yes")/2)+1))/2)</f>
        <v>6.75</v>
      </c>
      <c r="K258" s="100" t="n">
        <f aca="false">IF(COUNTIFS(Offers!$B$7:$B$3000,$B258,Offers!$C$7:$C$3000,$C258,Offers!$AI$7:$AI$3000,"yes")=0,"",SUMIFS(Offers!$I$7:$I$3000,Offers!$B$7:$B$3000,$B258,Offers!$C$7:$C$3000,$C258,Offers!$AG$7:$AG$3000,COUNTIFS(Offers!$B$7:$B$3000,$B258,Offers!$C$7:$C$3000,$C258,Offers!$AI$7:$AI$3000,"yes")))</f>
        <v>15.56</v>
      </c>
      <c r="L258" s="96"/>
      <c r="M258" s="96"/>
      <c r="N258" s="96"/>
      <c r="O258" s="101" t="n">
        <f aca="false">IF(Compare!$E$5="Local prices",IF(F258="","",IF(Compare!$C$5="Minimum",F258,IF(Compare!$C$5="Maximum",H258,G258))),IF(I258="","",IF(Compare!$C$5="Minimum",I258,IF(Compare!$C$5="Maximum",K258,J258))))</f>
        <v>6.75</v>
      </c>
    </row>
    <row r="259" customFormat="false" ht="13.5" hidden="false" customHeight="false" outlineLevel="0" collapsed="false">
      <c r="B259" s="36" t="s">
        <v>73</v>
      </c>
      <c r="C259" s="98" t="s">
        <v>13</v>
      </c>
      <c r="D259" s="98" t="s">
        <v>490</v>
      </c>
      <c r="E259" s="98" t="s">
        <v>491</v>
      </c>
      <c r="F259" s="99" t="str">
        <f aca="false">IF(COUNTIFS(Offers!$B$7:$B$3000,$B259,Offers!$C$7:$C$3000,$C259,Offers!$AH$7:$AH$3000,"yes")=0,"",SUMIFS(Offers!$H$7:$H$3000,Offers!$B$7:$B$3000,$B259,Offers!$C$7:$C$3000,$C259,Offers!$AF$7:$AF$3000,1))</f>
        <v/>
      </c>
      <c r="G259" s="93" t="str">
        <f aca="false">IF(COUNTIFS(Offers!$B$7:$B$3000,$B259,Offers!$C$7:$C$3000,$C259,Offers!$AH$7:$AH$3000,"yes")=0,"",(SUMIFS(Offers!$H$7:$H$3000,Offers!$B$7:$B$3000,$B259,Offers!$C$7:$C$3000,$C259,Offers!$AF$7:$AF$3000,ROUNDUP(COUNTIFS(Offers!$B$7:$B$3000,$B259,Offers!$C$7:$C$3000,$C259,Offers!$AH$7:$AH$3000,"yes")/2,0))+SUMIFS(Offers!$H$7:$H$3000,Offers!$B$7:$B$3000,$B259,Offers!$C$7:$C$3000,$C259,Offers!$AF$7:$AF$3000,INT(COUNTIFS(Offers!$B$7:$B$3000,$B259,Offers!$C$7:$C$3000,$C259,Offers!$AH$7:$AH$3000,"yes")/2)+1))/2)</f>
        <v/>
      </c>
      <c r="H259" s="99" t="str">
        <f aca="false">IF(COUNTIFS(Offers!$B$7:$B$3000,$B259,Offers!$C$7:$C$3000,$C259,Offers!$AH$7:$AH$3000,"yes")=0,"",SUMIFS(Offers!$H$7:$H$3000,Offers!$B$7:$B$3000,$B259,Offers!$C$7:$C$3000,$C259,Offers!$AF$7:$AF$3000,COUNTIFS(Offers!$B$7:$B$3000,$B259,Offers!$C$7:$C$3000,$C259,Offers!$AH$7:$AH$3000,"yes")))</f>
        <v/>
      </c>
      <c r="I259" s="100" t="str">
        <f aca="false">IF(COUNTIFS(Offers!$B$7:$B$3000,$B259,Offers!$C$7:$C$3000,$C259,Offers!$AI$7:$AI$3000,"yes")=0,"",SUMIFS(Offers!$I$7:$I$3000,Offers!$B$7:$B$3000,$B259,Offers!$C$7:$C$3000,$C259,Offers!$AG$7:$AG$3000,1))</f>
        <v/>
      </c>
      <c r="J259" s="95" t="str">
        <f aca="false">IF(COUNTIFS(Offers!$B$7:$B$3000,$B259,Offers!$C$7:$C$3000,$C259,Offers!$AI$7:$AI$3000,"yes")=0,"",(SUMIFS(Offers!$I$7:$I$3000,Offers!$B$7:$B$3000,$B259,Offers!$C$7:$C$3000,$C259,Offers!$AG$7:$AG$3000,ROUNDUP(COUNTIFS(Offers!$B$7:$B$3000,$B259,Offers!$C$7:$C$3000,$C259,Offers!$AI$7:$AI$3000,"yes")/2,0))+SUMIFS(Offers!$I$7:$I$3000,Offers!$B$7:$B$3000,$B259,Offers!$C$7:$C$3000,$C259,Offers!$AG$7:$AG$3000,INT(COUNTIFS(Offers!$B$7:$B$3000,$B259,Offers!$C$7:$C$3000,$C259,Offers!$AI$7:$AI$3000,"yes")/2)+1))/2)</f>
        <v/>
      </c>
      <c r="K259" s="100" t="str">
        <f aca="false">IF(COUNTIFS(Offers!$B$7:$B$3000,$B259,Offers!$C$7:$C$3000,$C259,Offers!$AI$7:$AI$3000,"yes")=0,"",SUMIFS(Offers!$I$7:$I$3000,Offers!$B$7:$B$3000,$B259,Offers!$C$7:$C$3000,$C259,Offers!$AG$7:$AG$3000,COUNTIFS(Offers!$B$7:$B$3000,$B259,Offers!$C$7:$C$3000,$C259,Offers!$AI$7:$AI$3000,"yes")))</f>
        <v/>
      </c>
      <c r="L259" s="96"/>
      <c r="M259" s="96"/>
      <c r="N259" s="96"/>
      <c r="O259" s="110" t="str">
        <f aca="false">IF(Compare!$E$5="Local prices",IF(F259="","",IF(Compare!$C$5="Minimum",F259,IF(Compare!$C$5="Maximum",H259,G259))),IF(I259="","",IF(Compare!$C$5="Minimum",I259,IF(Compare!$C$5="Maximum",K259,J259))))</f>
        <v/>
      </c>
    </row>
    <row r="260" customFormat="false" ht="13.5" hidden="false" customHeight="false" outlineLevel="0" collapsed="false">
      <c r="B260" s="36" t="s">
        <v>73</v>
      </c>
      <c r="C260" s="98" t="s">
        <v>14</v>
      </c>
      <c r="D260" s="98" t="s">
        <v>374</v>
      </c>
      <c r="E260" s="98" t="s">
        <v>491</v>
      </c>
      <c r="F260" s="99" t="n">
        <f aca="false">IF(COUNTIFS(Offers!$B$7:$B$3000,$B260,Offers!$C$7:$C$3000,$C260,Offers!$AH$7:$AH$3000,"yes")=0,"",SUMIFS(Offers!$H$7:$H$3000,Offers!$B$7:$B$3000,$B260,Offers!$C$7:$C$3000,$C260,Offers!$AF$7:$AF$3000,1))</f>
        <v>3.8</v>
      </c>
      <c r="G260" s="93" t="n">
        <f aca="false">IF(COUNTIFS(Offers!$B$7:$B$3000,$B260,Offers!$C$7:$C$3000,$C260,Offers!$AH$7:$AH$3000,"yes")=0,"",(SUMIFS(Offers!$H$7:$H$3000,Offers!$B$7:$B$3000,$B260,Offers!$C$7:$C$3000,$C260,Offers!$AF$7:$AF$3000,ROUNDUP(COUNTIFS(Offers!$B$7:$B$3000,$B260,Offers!$C$7:$C$3000,$C260,Offers!$AH$7:$AH$3000,"yes")/2,0))+SUMIFS(Offers!$H$7:$H$3000,Offers!$B$7:$B$3000,$B260,Offers!$C$7:$C$3000,$C260,Offers!$AF$7:$AF$3000,INT(COUNTIFS(Offers!$B$7:$B$3000,$B260,Offers!$C$7:$C$3000,$C260,Offers!$AH$7:$AH$3000,"yes")/2)+1))/2)</f>
        <v>45.68</v>
      </c>
      <c r="H260" s="99" t="n">
        <f aca="false">IF(COUNTIFS(Offers!$B$7:$B$3000,$B260,Offers!$C$7:$C$3000,$C260,Offers!$AH$7:$AH$3000,"yes")=0,"",SUMIFS(Offers!$H$7:$H$3000,Offers!$B$7:$B$3000,$B260,Offers!$C$7:$C$3000,$C260,Offers!$AF$7:$AF$3000,COUNTIFS(Offers!$B$7:$B$3000,$B260,Offers!$C$7:$C$3000,$C260,Offers!$AH$7:$AH$3000,"yes")))</f>
        <v>98.92</v>
      </c>
      <c r="I260" s="100" t="n">
        <f aca="false">IF(COUNTIFS(Offers!$B$7:$B$3000,$B260,Offers!$C$7:$C$3000,$C260,Offers!$AI$7:$AI$3000,"yes")=0,"",SUMIFS(Offers!$I$7:$I$3000,Offers!$B$7:$B$3000,$B260,Offers!$C$7:$C$3000,$C260,Offers!$AG$7:$AG$3000,1))</f>
        <v>3.8</v>
      </c>
      <c r="J260" s="95" t="n">
        <f aca="false">IF(COUNTIFS(Offers!$B$7:$B$3000,$B260,Offers!$C$7:$C$3000,$C260,Offers!$AI$7:$AI$3000,"yes")=0,"",(SUMIFS(Offers!$I$7:$I$3000,Offers!$B$7:$B$3000,$B260,Offers!$C$7:$C$3000,$C260,Offers!$AG$7:$AG$3000,ROUNDUP(COUNTIFS(Offers!$B$7:$B$3000,$B260,Offers!$C$7:$C$3000,$C260,Offers!$AI$7:$AI$3000,"yes")/2,0))+SUMIFS(Offers!$I$7:$I$3000,Offers!$B$7:$B$3000,$B260,Offers!$C$7:$C$3000,$C260,Offers!$AG$7:$AG$3000,INT(COUNTIFS(Offers!$B$7:$B$3000,$B260,Offers!$C$7:$C$3000,$C260,Offers!$AI$7:$AI$3000,"yes")/2)+1))/2)</f>
        <v>8.655381</v>
      </c>
      <c r="K260" s="100" t="n">
        <f aca="false">IF(COUNTIFS(Offers!$B$7:$B$3000,$B260,Offers!$C$7:$C$3000,$C260,Offers!$AI$7:$AI$3000,"yes")=0,"",SUMIFS(Offers!$I$7:$I$3000,Offers!$B$7:$B$3000,$B260,Offers!$C$7:$C$3000,$C260,Offers!$AG$7:$AG$3000,COUNTIFS(Offers!$B$7:$B$3000,$B260,Offers!$C$7:$C$3000,$C260,Offers!$AI$7:$AI$3000,"yes")))</f>
        <v>18.74322</v>
      </c>
      <c r="L260" s="96"/>
      <c r="M260" s="96"/>
      <c r="N260" s="96"/>
      <c r="O260" s="101" t="n">
        <f aca="false">IF(Compare!$E$5="Local prices",IF(F260="","",IF(Compare!$C$5="Minimum",F260,IF(Compare!$C$5="Maximum",H260,G260))),IF(I260="","",IF(Compare!$C$5="Minimum",I260,IF(Compare!$C$5="Maximum",K260,J260))))</f>
        <v>8.655381</v>
      </c>
    </row>
    <row r="261" customFormat="false" ht="13.5" hidden="false" customHeight="false" outlineLevel="0" collapsed="false">
      <c r="B261" s="36" t="s">
        <v>73</v>
      </c>
      <c r="C261" s="98" t="s">
        <v>15</v>
      </c>
      <c r="D261" s="98" t="s">
        <v>244</v>
      </c>
      <c r="E261" s="98" t="s">
        <v>491</v>
      </c>
      <c r="F261" s="99" t="n">
        <f aca="false">IF(COUNTIFS(Offers!$B$7:$B$3000,$B261,Offers!$C$7:$C$3000,$C261,Offers!$AH$7:$AH$3000,"yes")=0,"",SUMIFS(Offers!$H$7:$H$3000,Offers!$B$7:$B$3000,$B261,Offers!$C$7:$C$3000,$C261,Offers!$AF$7:$AF$3000,1))</f>
        <v>8.39</v>
      </c>
      <c r="G261" s="93" t="n">
        <f aca="false">IF(COUNTIFS(Offers!$B$7:$B$3000,$B261,Offers!$C$7:$C$3000,$C261,Offers!$AH$7:$AH$3000,"yes")=0,"",(SUMIFS(Offers!$H$7:$H$3000,Offers!$B$7:$B$3000,$B261,Offers!$C$7:$C$3000,$C261,Offers!$AF$7:$AF$3000,ROUNDUP(COUNTIFS(Offers!$B$7:$B$3000,$B261,Offers!$C$7:$C$3000,$C261,Offers!$AH$7:$AH$3000,"yes")/2,0))+SUMIFS(Offers!$H$7:$H$3000,Offers!$B$7:$B$3000,$B261,Offers!$C$7:$C$3000,$C261,Offers!$AF$7:$AF$3000,INT(COUNTIFS(Offers!$B$7:$B$3000,$B261,Offers!$C$7:$C$3000,$C261,Offers!$AH$7:$AH$3000,"yes")/2)+1))/2)</f>
        <v>9.99</v>
      </c>
      <c r="H261" s="99" t="n">
        <f aca="false">IF(COUNTIFS(Offers!$B$7:$B$3000,$B261,Offers!$C$7:$C$3000,$C261,Offers!$AH$7:$AH$3000,"yes")=0,"",SUMIFS(Offers!$H$7:$H$3000,Offers!$B$7:$B$3000,$B261,Offers!$C$7:$C$3000,$C261,Offers!$AF$7:$AF$3000,COUNTIFS(Offers!$B$7:$B$3000,$B261,Offers!$C$7:$C$3000,$C261,Offers!$AH$7:$AH$3000,"yes")))</f>
        <v>23.2</v>
      </c>
      <c r="I261" s="100" t="n">
        <f aca="false">IF(COUNTIFS(Offers!$B$7:$B$3000,$B261,Offers!$C$7:$C$3000,$C261,Offers!$AI$7:$AI$3000,"yes")=0,"",SUMIFS(Offers!$I$7:$I$3000,Offers!$B$7:$B$3000,$B261,Offers!$C$7:$C$3000,$C261,Offers!$AG$7:$AG$3000,1))</f>
        <v>8.39</v>
      </c>
      <c r="J261" s="95" t="n">
        <f aca="false">IF(COUNTIFS(Offers!$B$7:$B$3000,$B261,Offers!$C$7:$C$3000,$C261,Offers!$AI$7:$AI$3000,"yes")=0,"",(SUMIFS(Offers!$I$7:$I$3000,Offers!$B$7:$B$3000,$B261,Offers!$C$7:$C$3000,$C261,Offers!$AG$7:$AG$3000,ROUNDUP(COUNTIFS(Offers!$B$7:$B$3000,$B261,Offers!$C$7:$C$3000,$C261,Offers!$AI$7:$AI$3000,"yes")/2,0))+SUMIFS(Offers!$I$7:$I$3000,Offers!$B$7:$B$3000,$B261,Offers!$C$7:$C$3000,$C261,Offers!$AG$7:$AG$3000,INT(COUNTIFS(Offers!$B$7:$B$3000,$B261,Offers!$C$7:$C$3000,$C261,Offers!$AI$7:$AI$3000,"yes")/2)+1))/2)</f>
        <v>9.99</v>
      </c>
      <c r="K261" s="100" t="n">
        <f aca="false">IF(COUNTIFS(Offers!$B$7:$B$3000,$B261,Offers!$C$7:$C$3000,$C261,Offers!$AI$7:$AI$3000,"yes")=0,"",SUMIFS(Offers!$I$7:$I$3000,Offers!$B$7:$B$3000,$B261,Offers!$C$7:$C$3000,$C261,Offers!$AG$7:$AG$3000,COUNTIFS(Offers!$B$7:$B$3000,$B261,Offers!$C$7:$C$3000,$C261,Offers!$AI$7:$AI$3000,"yes")))</f>
        <v>23.2</v>
      </c>
      <c r="L261" s="96"/>
      <c r="M261" s="96"/>
      <c r="N261" s="96"/>
      <c r="O261" s="101" t="n">
        <f aca="false">IF(Compare!$E$5="Local prices",IF(F261="","",IF(Compare!$C$5="Minimum",F261,IF(Compare!$C$5="Maximum",H261,G261))),IF(I261="","",IF(Compare!$C$5="Minimum",I261,IF(Compare!$C$5="Maximum",K261,J261))))</f>
        <v>9.99</v>
      </c>
    </row>
    <row r="262" customFormat="false" ht="13.5" hidden="false" customHeight="false" outlineLevel="0" collapsed="false">
      <c r="B262" s="36" t="s">
        <v>73</v>
      </c>
      <c r="C262" s="98" t="s">
        <v>16</v>
      </c>
      <c r="D262" s="98" t="s">
        <v>244</v>
      </c>
      <c r="E262" s="98" t="s">
        <v>491</v>
      </c>
      <c r="F262" s="99" t="n">
        <f aca="false">IF(COUNTIFS(Offers!$B$7:$B$3000,$B262,Offers!$C$7:$C$3000,$C262,Offers!$AH$7:$AH$3000,"yes")=0,"",SUMIFS(Offers!$H$7:$H$3000,Offers!$B$7:$B$3000,$B262,Offers!$C$7:$C$3000,$C262,Offers!$AF$7:$AF$3000,1))</f>
        <v>5.78</v>
      </c>
      <c r="G262" s="93" t="n">
        <f aca="false">IF(COUNTIFS(Offers!$B$7:$B$3000,$B262,Offers!$C$7:$C$3000,$C262,Offers!$AH$7:$AH$3000,"yes")=0,"",(SUMIFS(Offers!$H$7:$H$3000,Offers!$B$7:$B$3000,$B262,Offers!$C$7:$C$3000,$C262,Offers!$AF$7:$AF$3000,ROUNDUP(COUNTIFS(Offers!$B$7:$B$3000,$B262,Offers!$C$7:$C$3000,$C262,Offers!$AH$7:$AH$3000,"yes")/2,0))+SUMIFS(Offers!$H$7:$H$3000,Offers!$B$7:$B$3000,$B262,Offers!$C$7:$C$3000,$C262,Offers!$AF$7:$AF$3000,INT(COUNTIFS(Offers!$B$7:$B$3000,$B262,Offers!$C$7:$C$3000,$C262,Offers!$AH$7:$AH$3000,"yes")/2)+1))/2)</f>
        <v>8.83</v>
      </c>
      <c r="H262" s="99" t="n">
        <f aca="false">IF(COUNTIFS(Offers!$B$7:$B$3000,$B262,Offers!$C$7:$C$3000,$C262,Offers!$AH$7:$AH$3000,"yes")=0,"",SUMIFS(Offers!$H$7:$H$3000,Offers!$B$7:$B$3000,$B262,Offers!$C$7:$C$3000,$C262,Offers!$AF$7:$AF$3000,COUNTIFS(Offers!$B$7:$B$3000,$B262,Offers!$C$7:$C$3000,$C262,Offers!$AH$7:$AH$3000,"yes")))</f>
        <v>17.93</v>
      </c>
      <c r="I262" s="100" t="n">
        <f aca="false">IF(COUNTIFS(Offers!$B$7:$B$3000,$B262,Offers!$C$7:$C$3000,$C262,Offers!$AI$7:$AI$3000,"yes")=0,"",SUMIFS(Offers!$I$7:$I$3000,Offers!$B$7:$B$3000,$B262,Offers!$C$7:$C$3000,$C262,Offers!$AG$7:$AG$3000,1))</f>
        <v>5.78</v>
      </c>
      <c r="J262" s="95" t="n">
        <f aca="false">IF(COUNTIFS(Offers!$B$7:$B$3000,$B262,Offers!$C$7:$C$3000,$C262,Offers!$AI$7:$AI$3000,"yes")=0,"",(SUMIFS(Offers!$I$7:$I$3000,Offers!$B$7:$B$3000,$B262,Offers!$C$7:$C$3000,$C262,Offers!$AG$7:$AG$3000,ROUNDUP(COUNTIFS(Offers!$B$7:$B$3000,$B262,Offers!$C$7:$C$3000,$C262,Offers!$AI$7:$AI$3000,"yes")/2,0))+SUMIFS(Offers!$I$7:$I$3000,Offers!$B$7:$B$3000,$B262,Offers!$C$7:$C$3000,$C262,Offers!$AG$7:$AG$3000,INT(COUNTIFS(Offers!$B$7:$B$3000,$B262,Offers!$C$7:$C$3000,$C262,Offers!$AI$7:$AI$3000,"yes")/2)+1))/2)</f>
        <v>8.83</v>
      </c>
      <c r="K262" s="100" t="n">
        <f aca="false">IF(COUNTIFS(Offers!$B$7:$B$3000,$B262,Offers!$C$7:$C$3000,$C262,Offers!$AI$7:$AI$3000,"yes")=0,"",SUMIFS(Offers!$I$7:$I$3000,Offers!$B$7:$B$3000,$B262,Offers!$C$7:$C$3000,$C262,Offers!$AG$7:$AG$3000,COUNTIFS(Offers!$B$7:$B$3000,$B262,Offers!$C$7:$C$3000,$C262,Offers!$AI$7:$AI$3000,"yes")))</f>
        <v>17.93</v>
      </c>
      <c r="L262" s="96"/>
      <c r="M262" s="96"/>
      <c r="N262" s="96"/>
      <c r="O262" s="101" t="n">
        <f aca="false">IF(Compare!$E$5="Local prices",IF(F262="","",IF(Compare!$C$5="Minimum",F262,IF(Compare!$C$5="Maximum",H262,G262))),IF(I262="","",IF(Compare!$C$5="Minimum",I262,IF(Compare!$C$5="Maximum",K262,J262))))</f>
        <v>8.83</v>
      </c>
    </row>
    <row r="263" customFormat="false" ht="13.5" hidden="false" customHeight="false" outlineLevel="0" collapsed="false">
      <c r="B263" s="36" t="s">
        <v>73</v>
      </c>
      <c r="C263" s="98" t="s">
        <v>17</v>
      </c>
      <c r="D263" s="98" t="s">
        <v>333</v>
      </c>
      <c r="E263" s="98" t="s">
        <v>491</v>
      </c>
      <c r="F263" s="99" t="n">
        <f aca="false">IF(COUNTIFS(Offers!$B$7:$B$3000,$B263,Offers!$C$7:$C$3000,$C263,Offers!$AH$7:$AH$3000,"yes")=0,"",SUMIFS(Offers!$H$7:$H$3000,Offers!$B$7:$B$3000,$B263,Offers!$C$7:$C$3000,$C263,Offers!$AF$7:$AF$3000,1))</f>
        <v>183</v>
      </c>
      <c r="G263" s="93" t="n">
        <f aca="false">IF(COUNTIFS(Offers!$B$7:$B$3000,$B263,Offers!$C$7:$C$3000,$C263,Offers!$AH$7:$AH$3000,"yes")=0,"",(SUMIFS(Offers!$H$7:$H$3000,Offers!$B$7:$B$3000,$B263,Offers!$C$7:$C$3000,$C263,Offers!$AF$7:$AF$3000,ROUNDUP(COUNTIFS(Offers!$B$7:$B$3000,$B263,Offers!$C$7:$C$3000,$C263,Offers!$AH$7:$AH$3000,"yes")/2,0))+SUMIFS(Offers!$H$7:$H$3000,Offers!$B$7:$B$3000,$B263,Offers!$C$7:$C$3000,$C263,Offers!$AF$7:$AF$3000,INT(COUNTIFS(Offers!$B$7:$B$3000,$B263,Offers!$C$7:$C$3000,$C263,Offers!$AH$7:$AH$3000,"yes")/2)+1))/2)</f>
        <v>250</v>
      </c>
      <c r="H263" s="99" t="n">
        <f aca="false">IF(COUNTIFS(Offers!$B$7:$B$3000,$B263,Offers!$C$7:$C$3000,$C263,Offers!$AH$7:$AH$3000,"yes")=0,"",SUMIFS(Offers!$H$7:$H$3000,Offers!$B$7:$B$3000,$B263,Offers!$C$7:$C$3000,$C263,Offers!$AF$7:$AF$3000,COUNTIFS(Offers!$B$7:$B$3000,$B263,Offers!$C$7:$C$3000,$C263,Offers!$AH$7:$AH$3000,"yes")))</f>
        <v>270</v>
      </c>
      <c r="I263" s="100" t="n">
        <f aca="false">IF(COUNTIFS(Offers!$B$7:$B$3000,$B263,Offers!$C$7:$C$3000,$C263,Offers!$AI$7:$AI$3000,"yes")=0,"",SUMIFS(Offers!$I$7:$I$3000,Offers!$B$7:$B$3000,$B263,Offers!$C$7:$C$3000,$C263,Offers!$AG$7:$AG$3000,1))</f>
        <v>7.492748</v>
      </c>
      <c r="J263" s="95" t="n">
        <f aca="false">IF(COUNTIFS(Offers!$B$7:$B$3000,$B263,Offers!$C$7:$C$3000,$C263,Offers!$AI$7:$AI$3000,"yes")=0,"",(SUMIFS(Offers!$I$7:$I$3000,Offers!$B$7:$B$3000,$B263,Offers!$C$7:$C$3000,$C263,Offers!$AG$7:$AG$3000,ROUNDUP(COUNTIFS(Offers!$B$7:$B$3000,$B263,Offers!$C$7:$C$3000,$C263,Offers!$AI$7:$AI$3000,"yes")/2,0))+SUMIFS(Offers!$I$7:$I$3000,Offers!$B$7:$B$3000,$B263,Offers!$C$7:$C$3000,$C263,Offers!$AG$7:$AG$3000,INT(COUNTIFS(Offers!$B$7:$B$3000,$B263,Offers!$C$7:$C$3000,$C263,Offers!$AI$7:$AI$3000,"yes")/2)+1))/2)</f>
        <v>10.235995</v>
      </c>
      <c r="K263" s="100" t="n">
        <f aca="false">IF(COUNTIFS(Offers!$B$7:$B$3000,$B263,Offers!$C$7:$C$3000,$C263,Offers!$AI$7:$AI$3000,"yes")=0,"",SUMIFS(Offers!$I$7:$I$3000,Offers!$B$7:$B$3000,$B263,Offers!$C$7:$C$3000,$C263,Offers!$AG$7:$AG$3000,COUNTIFS(Offers!$B$7:$B$3000,$B263,Offers!$C$7:$C$3000,$C263,Offers!$AI$7:$AI$3000,"yes")))</f>
        <v>11.054874</v>
      </c>
      <c r="L263" s="96"/>
      <c r="M263" s="96"/>
      <c r="N263" s="96"/>
      <c r="O263" s="101" t="n">
        <f aca="false">IF(Compare!$E$5="Local prices",IF(F263="","",IF(Compare!$C$5="Minimum",F263,IF(Compare!$C$5="Maximum",H263,G263))),IF(I263="","",IF(Compare!$C$5="Minimum",I263,IF(Compare!$C$5="Maximum",K263,J263))))</f>
        <v>10.235995</v>
      </c>
    </row>
    <row r="264" customFormat="false" ht="13.5" hidden="false" customHeight="false" outlineLevel="0" collapsed="false">
      <c r="B264" s="36" t="s">
        <v>73</v>
      </c>
      <c r="C264" s="98" t="s">
        <v>18</v>
      </c>
      <c r="D264" s="98" t="s">
        <v>244</v>
      </c>
      <c r="E264" s="98" t="s">
        <v>491</v>
      </c>
      <c r="F264" s="99" t="n">
        <f aca="false">IF(COUNTIFS(Offers!$B$7:$B$3000,$B264,Offers!$C$7:$C$3000,$C264,Offers!$AH$7:$AH$3000,"yes")=0,"",SUMIFS(Offers!$H$7:$H$3000,Offers!$B$7:$B$3000,$B264,Offers!$C$7:$C$3000,$C264,Offers!$AF$7:$AF$3000,1))</f>
        <v>7.16</v>
      </c>
      <c r="G264" s="93" t="n">
        <f aca="false">IF(COUNTIFS(Offers!$B$7:$B$3000,$B264,Offers!$C$7:$C$3000,$C264,Offers!$AH$7:$AH$3000,"yes")=0,"",(SUMIFS(Offers!$H$7:$H$3000,Offers!$B$7:$B$3000,$B264,Offers!$C$7:$C$3000,$C264,Offers!$AF$7:$AF$3000,ROUNDUP(COUNTIFS(Offers!$B$7:$B$3000,$B264,Offers!$C$7:$C$3000,$C264,Offers!$AH$7:$AH$3000,"yes")/2,0))+SUMIFS(Offers!$H$7:$H$3000,Offers!$B$7:$B$3000,$B264,Offers!$C$7:$C$3000,$C264,Offers!$AF$7:$AF$3000,INT(COUNTIFS(Offers!$B$7:$B$3000,$B264,Offers!$C$7:$C$3000,$C264,Offers!$AH$7:$AH$3000,"yes")/2)+1))/2)</f>
        <v>10</v>
      </c>
      <c r="H264" s="99" t="n">
        <f aca="false">IF(COUNTIFS(Offers!$B$7:$B$3000,$B264,Offers!$C$7:$C$3000,$C264,Offers!$AH$7:$AH$3000,"yes")=0,"",SUMIFS(Offers!$H$7:$H$3000,Offers!$B$7:$B$3000,$B264,Offers!$C$7:$C$3000,$C264,Offers!$AF$7:$AF$3000,COUNTIFS(Offers!$B$7:$B$3000,$B264,Offers!$C$7:$C$3000,$C264,Offers!$AH$7:$AH$3000,"yes")))</f>
        <v>17.81</v>
      </c>
      <c r="I264" s="100" t="n">
        <f aca="false">IF(COUNTIFS(Offers!$B$7:$B$3000,$B264,Offers!$C$7:$C$3000,$C264,Offers!$AI$7:$AI$3000,"yes")=0,"",SUMIFS(Offers!$I$7:$I$3000,Offers!$B$7:$B$3000,$B264,Offers!$C$7:$C$3000,$C264,Offers!$AG$7:$AG$3000,1))</f>
        <v>7.16</v>
      </c>
      <c r="J264" s="95" t="n">
        <f aca="false">IF(COUNTIFS(Offers!$B$7:$B$3000,$B264,Offers!$C$7:$C$3000,$C264,Offers!$AI$7:$AI$3000,"yes")=0,"",(SUMIFS(Offers!$I$7:$I$3000,Offers!$B$7:$B$3000,$B264,Offers!$C$7:$C$3000,$C264,Offers!$AG$7:$AG$3000,ROUNDUP(COUNTIFS(Offers!$B$7:$B$3000,$B264,Offers!$C$7:$C$3000,$C264,Offers!$AI$7:$AI$3000,"yes")/2,0))+SUMIFS(Offers!$I$7:$I$3000,Offers!$B$7:$B$3000,$B264,Offers!$C$7:$C$3000,$C264,Offers!$AG$7:$AG$3000,INT(COUNTIFS(Offers!$B$7:$B$3000,$B264,Offers!$C$7:$C$3000,$C264,Offers!$AI$7:$AI$3000,"yes")/2)+1))/2)</f>
        <v>10</v>
      </c>
      <c r="K264" s="100" t="n">
        <f aca="false">IF(COUNTIFS(Offers!$B$7:$B$3000,$B264,Offers!$C$7:$C$3000,$C264,Offers!$AI$7:$AI$3000,"yes")=0,"",SUMIFS(Offers!$I$7:$I$3000,Offers!$B$7:$B$3000,$B264,Offers!$C$7:$C$3000,$C264,Offers!$AG$7:$AG$3000,COUNTIFS(Offers!$B$7:$B$3000,$B264,Offers!$C$7:$C$3000,$C264,Offers!$AI$7:$AI$3000,"yes")))</f>
        <v>17.81</v>
      </c>
      <c r="L264" s="96"/>
      <c r="M264" s="96"/>
      <c r="N264" s="96"/>
      <c r="O264" s="101" t="n">
        <f aca="false">IF(Compare!$E$5="Local prices",IF(F264="","",IF(Compare!$C$5="Minimum",F264,IF(Compare!$C$5="Maximum",H264,G264))),IF(I264="","",IF(Compare!$C$5="Minimum",I264,IF(Compare!$C$5="Maximum",K264,J264))))</f>
        <v>10</v>
      </c>
    </row>
    <row r="265" customFormat="false" ht="13.5" hidden="false" customHeight="false" outlineLevel="0" collapsed="false">
      <c r="B265" s="36" t="s">
        <v>74</v>
      </c>
      <c r="C265" s="98" t="s">
        <v>13</v>
      </c>
      <c r="D265" s="98" t="s">
        <v>490</v>
      </c>
      <c r="E265" s="98" t="s">
        <v>491</v>
      </c>
      <c r="F265" s="99" t="str">
        <f aca="false">IF(COUNTIFS(Offers!$B$7:$B$3000,$B265,Offers!$C$7:$C$3000,$C265,Offers!$AH$7:$AH$3000,"yes")=0,"",SUMIFS(Offers!$H$7:$H$3000,Offers!$B$7:$B$3000,$B265,Offers!$C$7:$C$3000,$C265,Offers!$AF$7:$AF$3000,1))</f>
        <v/>
      </c>
      <c r="G265" s="93" t="str">
        <f aca="false">IF(COUNTIFS(Offers!$B$7:$B$3000,$B265,Offers!$C$7:$C$3000,$C265,Offers!$AH$7:$AH$3000,"yes")=0,"",(SUMIFS(Offers!$H$7:$H$3000,Offers!$B$7:$B$3000,$B265,Offers!$C$7:$C$3000,$C265,Offers!$AF$7:$AF$3000,ROUNDUP(COUNTIFS(Offers!$B$7:$B$3000,$B265,Offers!$C$7:$C$3000,$C265,Offers!$AH$7:$AH$3000,"yes")/2,0))+SUMIFS(Offers!$H$7:$H$3000,Offers!$B$7:$B$3000,$B265,Offers!$C$7:$C$3000,$C265,Offers!$AF$7:$AF$3000,INT(COUNTIFS(Offers!$B$7:$B$3000,$B265,Offers!$C$7:$C$3000,$C265,Offers!$AH$7:$AH$3000,"yes")/2)+1))/2)</f>
        <v/>
      </c>
      <c r="H265" s="99" t="str">
        <f aca="false">IF(COUNTIFS(Offers!$B$7:$B$3000,$B265,Offers!$C$7:$C$3000,$C265,Offers!$AH$7:$AH$3000,"yes")=0,"",SUMIFS(Offers!$H$7:$H$3000,Offers!$B$7:$B$3000,$B265,Offers!$C$7:$C$3000,$C265,Offers!$AF$7:$AF$3000,COUNTIFS(Offers!$B$7:$B$3000,$B265,Offers!$C$7:$C$3000,$C265,Offers!$AH$7:$AH$3000,"yes")))</f>
        <v/>
      </c>
      <c r="I265" s="100" t="str">
        <f aca="false">IF(COUNTIFS(Offers!$B$7:$B$3000,$B265,Offers!$C$7:$C$3000,$C265,Offers!$AI$7:$AI$3000,"yes")=0,"",SUMIFS(Offers!$I$7:$I$3000,Offers!$B$7:$B$3000,$B265,Offers!$C$7:$C$3000,$C265,Offers!$AG$7:$AG$3000,1))</f>
        <v/>
      </c>
      <c r="J265" s="95" t="str">
        <f aca="false">IF(COUNTIFS(Offers!$B$7:$B$3000,$B265,Offers!$C$7:$C$3000,$C265,Offers!$AI$7:$AI$3000,"yes")=0,"",(SUMIFS(Offers!$I$7:$I$3000,Offers!$B$7:$B$3000,$B265,Offers!$C$7:$C$3000,$C265,Offers!$AG$7:$AG$3000,ROUNDUP(COUNTIFS(Offers!$B$7:$B$3000,$B265,Offers!$C$7:$C$3000,$C265,Offers!$AI$7:$AI$3000,"yes")/2,0))+SUMIFS(Offers!$I$7:$I$3000,Offers!$B$7:$B$3000,$B265,Offers!$C$7:$C$3000,$C265,Offers!$AG$7:$AG$3000,INT(COUNTIFS(Offers!$B$7:$B$3000,$B265,Offers!$C$7:$C$3000,$C265,Offers!$AI$7:$AI$3000,"yes")/2)+1))/2)</f>
        <v/>
      </c>
      <c r="K265" s="100" t="str">
        <f aca="false">IF(COUNTIFS(Offers!$B$7:$B$3000,$B265,Offers!$C$7:$C$3000,$C265,Offers!$AI$7:$AI$3000,"yes")=0,"",SUMIFS(Offers!$I$7:$I$3000,Offers!$B$7:$B$3000,$B265,Offers!$C$7:$C$3000,$C265,Offers!$AG$7:$AG$3000,COUNTIFS(Offers!$B$7:$B$3000,$B265,Offers!$C$7:$C$3000,$C265,Offers!$AI$7:$AI$3000,"yes")))</f>
        <v/>
      </c>
      <c r="L265" s="96"/>
      <c r="M265" s="96"/>
      <c r="N265" s="96"/>
      <c r="O265" s="110" t="str">
        <f aca="false">IF(Compare!$E$5="Local prices",IF(F265="","",IF(Compare!$C$5="Minimum",F265,IF(Compare!$C$5="Maximum",H265,G265))),IF(I265="","",IF(Compare!$C$5="Minimum",I265,IF(Compare!$C$5="Maximum",K265,J265))))</f>
        <v/>
      </c>
    </row>
    <row r="266" customFormat="false" ht="13.5" hidden="false" customHeight="false" outlineLevel="0" collapsed="false">
      <c r="B266" s="36" t="s">
        <v>74</v>
      </c>
      <c r="C266" s="98" t="s">
        <v>14</v>
      </c>
      <c r="D266" s="98" t="s">
        <v>374</v>
      </c>
      <c r="E266" s="98" t="s">
        <v>491</v>
      </c>
      <c r="F266" s="99" t="n">
        <f aca="false">IF(COUNTIFS(Offers!$B$7:$B$3000,$B266,Offers!$C$7:$C$3000,$C266,Offers!$AH$7:$AH$3000,"yes")=0,"",SUMIFS(Offers!$H$7:$H$3000,Offers!$B$7:$B$3000,$B266,Offers!$C$7:$C$3000,$C266,Offers!$AF$7:$AF$3000,1))</f>
        <v>1.9</v>
      </c>
      <c r="G266" s="93" t="n">
        <f aca="false">IF(COUNTIFS(Offers!$B$7:$B$3000,$B266,Offers!$C$7:$C$3000,$C266,Offers!$AH$7:$AH$3000,"yes")=0,"",(SUMIFS(Offers!$H$7:$H$3000,Offers!$B$7:$B$3000,$B266,Offers!$C$7:$C$3000,$C266,Offers!$AF$7:$AF$3000,ROUNDUP(COUNTIFS(Offers!$B$7:$B$3000,$B266,Offers!$C$7:$C$3000,$C266,Offers!$AH$7:$AH$3000,"yes")/2,0))+SUMIFS(Offers!$H$7:$H$3000,Offers!$B$7:$B$3000,$B266,Offers!$C$7:$C$3000,$C266,Offers!$AF$7:$AF$3000,INT(COUNTIFS(Offers!$B$7:$B$3000,$B266,Offers!$C$7:$C$3000,$C266,Offers!$AH$7:$AH$3000,"yes")/2)+1))/2)</f>
        <v>20.41</v>
      </c>
      <c r="H266" s="99" t="n">
        <f aca="false">IF(COUNTIFS(Offers!$B$7:$B$3000,$B266,Offers!$C$7:$C$3000,$C266,Offers!$AH$7:$AH$3000,"yes")=0,"",SUMIFS(Offers!$H$7:$H$3000,Offers!$B$7:$B$3000,$B266,Offers!$C$7:$C$3000,$C266,Offers!$AF$7:$AF$3000,COUNTIFS(Offers!$B$7:$B$3000,$B266,Offers!$C$7:$C$3000,$C266,Offers!$AH$7:$AH$3000,"yes")))</f>
        <v>40.36</v>
      </c>
      <c r="I266" s="100" t="n">
        <f aca="false">IF(COUNTIFS(Offers!$B$7:$B$3000,$B266,Offers!$C$7:$C$3000,$C266,Offers!$AI$7:$AI$3000,"yes")=0,"",SUMIFS(Offers!$I$7:$I$3000,Offers!$B$7:$B$3000,$B266,Offers!$C$7:$C$3000,$C266,Offers!$AG$7:$AG$3000,1))</f>
        <v>1.9</v>
      </c>
      <c r="J266" s="95" t="n">
        <f aca="false">IF(COUNTIFS(Offers!$B$7:$B$3000,$B266,Offers!$C$7:$C$3000,$C266,Offers!$AI$7:$AI$3000,"yes")=0,"",(SUMIFS(Offers!$I$7:$I$3000,Offers!$B$7:$B$3000,$B266,Offers!$C$7:$C$3000,$C266,Offers!$AG$7:$AG$3000,ROUNDUP(COUNTIFS(Offers!$B$7:$B$3000,$B266,Offers!$C$7:$C$3000,$C266,Offers!$AI$7:$AI$3000,"yes")/2,0))+SUMIFS(Offers!$I$7:$I$3000,Offers!$B$7:$B$3000,$B266,Offers!$C$7:$C$3000,$C266,Offers!$AG$7:$AG$3000,INT(COUNTIFS(Offers!$B$7:$B$3000,$B266,Offers!$C$7:$C$3000,$C266,Offers!$AI$7:$AI$3000,"yes")/2)+1))/2)</f>
        <v>3.867258</v>
      </c>
      <c r="K266" s="100" t="n">
        <f aca="false">IF(COUNTIFS(Offers!$B$7:$B$3000,$B266,Offers!$C$7:$C$3000,$C266,Offers!$AI$7:$AI$3000,"yes")=0,"",SUMIFS(Offers!$I$7:$I$3000,Offers!$B$7:$B$3000,$B266,Offers!$C$7:$C$3000,$C266,Offers!$AG$7:$AG$3000,COUNTIFS(Offers!$B$7:$B$3000,$B266,Offers!$C$7:$C$3000,$C266,Offers!$AI$7:$AI$3000,"yes")))</f>
        <v>7.647355</v>
      </c>
      <c r="L266" s="96"/>
      <c r="M266" s="96"/>
      <c r="N266" s="96"/>
      <c r="O266" s="101" t="n">
        <f aca="false">IF(Compare!$E$5="Local prices",IF(F266="","",IF(Compare!$C$5="Minimum",F266,IF(Compare!$C$5="Maximum",H266,G266))),IF(I266="","",IF(Compare!$C$5="Minimum",I266,IF(Compare!$C$5="Maximum",K266,J266))))</f>
        <v>3.867258</v>
      </c>
    </row>
    <row r="267" customFormat="false" ht="13.5" hidden="false" customHeight="false" outlineLevel="0" collapsed="false">
      <c r="B267" s="36" t="s">
        <v>74</v>
      </c>
      <c r="C267" s="98" t="s">
        <v>15</v>
      </c>
      <c r="D267" s="98" t="s">
        <v>244</v>
      </c>
      <c r="E267" s="98" t="s">
        <v>491</v>
      </c>
      <c r="F267" s="99" t="n">
        <f aca="false">IF(COUNTIFS(Offers!$B$7:$B$3000,$B267,Offers!$C$7:$C$3000,$C267,Offers!$AH$7:$AH$3000,"yes")=0,"",SUMIFS(Offers!$H$7:$H$3000,Offers!$B$7:$B$3000,$B267,Offers!$C$7:$C$3000,$C267,Offers!$AF$7:$AF$3000,1))</f>
        <v>1.6</v>
      </c>
      <c r="G267" s="93" t="n">
        <f aca="false">IF(COUNTIFS(Offers!$B$7:$B$3000,$B267,Offers!$C$7:$C$3000,$C267,Offers!$AH$7:$AH$3000,"yes")=0,"",(SUMIFS(Offers!$H$7:$H$3000,Offers!$B$7:$B$3000,$B267,Offers!$C$7:$C$3000,$C267,Offers!$AF$7:$AF$3000,ROUNDUP(COUNTIFS(Offers!$B$7:$B$3000,$B267,Offers!$C$7:$C$3000,$C267,Offers!$AH$7:$AH$3000,"yes")/2,0))+SUMIFS(Offers!$H$7:$H$3000,Offers!$B$7:$B$3000,$B267,Offers!$C$7:$C$3000,$C267,Offers!$AF$7:$AF$3000,INT(COUNTIFS(Offers!$B$7:$B$3000,$B267,Offers!$C$7:$C$3000,$C267,Offers!$AH$7:$AH$3000,"yes")/2)+1))/2)</f>
        <v>5.66</v>
      </c>
      <c r="H267" s="99" t="n">
        <f aca="false">IF(COUNTIFS(Offers!$B$7:$B$3000,$B267,Offers!$C$7:$C$3000,$C267,Offers!$AH$7:$AH$3000,"yes")=0,"",SUMIFS(Offers!$H$7:$H$3000,Offers!$B$7:$B$3000,$B267,Offers!$C$7:$C$3000,$C267,Offers!$AF$7:$AF$3000,COUNTIFS(Offers!$B$7:$B$3000,$B267,Offers!$C$7:$C$3000,$C267,Offers!$AH$7:$AH$3000,"yes")))</f>
        <v>15.6</v>
      </c>
      <c r="I267" s="100" t="n">
        <f aca="false">IF(COUNTIFS(Offers!$B$7:$B$3000,$B267,Offers!$C$7:$C$3000,$C267,Offers!$AI$7:$AI$3000,"yes")=0,"",SUMIFS(Offers!$I$7:$I$3000,Offers!$B$7:$B$3000,$B267,Offers!$C$7:$C$3000,$C267,Offers!$AG$7:$AG$3000,1))</f>
        <v>1.6</v>
      </c>
      <c r="J267" s="95" t="n">
        <f aca="false">IF(COUNTIFS(Offers!$B$7:$B$3000,$B267,Offers!$C$7:$C$3000,$C267,Offers!$AI$7:$AI$3000,"yes")=0,"",(SUMIFS(Offers!$I$7:$I$3000,Offers!$B$7:$B$3000,$B267,Offers!$C$7:$C$3000,$C267,Offers!$AG$7:$AG$3000,ROUNDUP(COUNTIFS(Offers!$B$7:$B$3000,$B267,Offers!$C$7:$C$3000,$C267,Offers!$AI$7:$AI$3000,"yes")/2,0))+SUMIFS(Offers!$I$7:$I$3000,Offers!$B$7:$B$3000,$B267,Offers!$C$7:$C$3000,$C267,Offers!$AG$7:$AG$3000,INT(COUNTIFS(Offers!$B$7:$B$3000,$B267,Offers!$C$7:$C$3000,$C267,Offers!$AI$7:$AI$3000,"yes")/2)+1))/2)</f>
        <v>5.66</v>
      </c>
      <c r="K267" s="100" t="n">
        <f aca="false">IF(COUNTIFS(Offers!$B$7:$B$3000,$B267,Offers!$C$7:$C$3000,$C267,Offers!$AI$7:$AI$3000,"yes")=0,"",SUMIFS(Offers!$I$7:$I$3000,Offers!$B$7:$B$3000,$B267,Offers!$C$7:$C$3000,$C267,Offers!$AG$7:$AG$3000,COUNTIFS(Offers!$B$7:$B$3000,$B267,Offers!$C$7:$C$3000,$C267,Offers!$AI$7:$AI$3000,"yes")))</f>
        <v>15.6</v>
      </c>
      <c r="L267" s="96"/>
      <c r="M267" s="96"/>
      <c r="N267" s="96"/>
      <c r="O267" s="101" t="n">
        <f aca="false">IF(Compare!$E$5="Local prices",IF(F267="","",IF(Compare!$C$5="Minimum",F267,IF(Compare!$C$5="Maximum",H267,G267))),IF(I267="","",IF(Compare!$C$5="Minimum",I267,IF(Compare!$C$5="Maximum",K267,J267))))</f>
        <v>5.66</v>
      </c>
    </row>
    <row r="268" customFormat="false" ht="13.5" hidden="false" customHeight="false" outlineLevel="0" collapsed="false">
      <c r="B268" s="36" t="s">
        <v>74</v>
      </c>
      <c r="C268" s="98" t="s">
        <v>16</v>
      </c>
      <c r="D268" s="98" t="s">
        <v>244</v>
      </c>
      <c r="E268" s="98" t="s">
        <v>491</v>
      </c>
      <c r="F268" s="99" t="n">
        <f aca="false">IF(COUNTIFS(Offers!$B$7:$B$3000,$B268,Offers!$C$7:$C$3000,$C268,Offers!$AH$7:$AH$3000,"yes")=0,"",SUMIFS(Offers!$H$7:$H$3000,Offers!$B$7:$B$3000,$B268,Offers!$C$7:$C$3000,$C268,Offers!$AF$7:$AF$3000,1))</f>
        <v>1.6</v>
      </c>
      <c r="G268" s="93" t="n">
        <f aca="false">IF(COUNTIFS(Offers!$B$7:$B$3000,$B268,Offers!$C$7:$C$3000,$C268,Offers!$AH$7:$AH$3000,"yes")=0,"",(SUMIFS(Offers!$H$7:$H$3000,Offers!$B$7:$B$3000,$B268,Offers!$C$7:$C$3000,$C268,Offers!$AF$7:$AF$3000,ROUNDUP(COUNTIFS(Offers!$B$7:$B$3000,$B268,Offers!$C$7:$C$3000,$C268,Offers!$AH$7:$AH$3000,"yes")/2,0))+SUMIFS(Offers!$H$7:$H$3000,Offers!$B$7:$B$3000,$B268,Offers!$C$7:$C$3000,$C268,Offers!$AF$7:$AF$3000,INT(COUNTIFS(Offers!$B$7:$B$3000,$B268,Offers!$C$7:$C$3000,$C268,Offers!$AH$7:$AH$3000,"yes")/2)+1))/2)</f>
        <v>4.4</v>
      </c>
      <c r="H268" s="99" t="n">
        <f aca="false">IF(COUNTIFS(Offers!$B$7:$B$3000,$B268,Offers!$C$7:$C$3000,$C268,Offers!$AH$7:$AH$3000,"yes")=0,"",SUMIFS(Offers!$H$7:$H$3000,Offers!$B$7:$B$3000,$B268,Offers!$C$7:$C$3000,$C268,Offers!$AF$7:$AF$3000,COUNTIFS(Offers!$B$7:$B$3000,$B268,Offers!$C$7:$C$3000,$C268,Offers!$AH$7:$AH$3000,"yes")))</f>
        <v>15.6</v>
      </c>
      <c r="I268" s="100" t="n">
        <f aca="false">IF(COUNTIFS(Offers!$B$7:$B$3000,$B268,Offers!$C$7:$C$3000,$C268,Offers!$AI$7:$AI$3000,"yes")=0,"",SUMIFS(Offers!$I$7:$I$3000,Offers!$B$7:$B$3000,$B268,Offers!$C$7:$C$3000,$C268,Offers!$AG$7:$AG$3000,1))</f>
        <v>1.6</v>
      </c>
      <c r="J268" s="95" t="n">
        <f aca="false">IF(COUNTIFS(Offers!$B$7:$B$3000,$B268,Offers!$C$7:$C$3000,$C268,Offers!$AI$7:$AI$3000,"yes")=0,"",(SUMIFS(Offers!$I$7:$I$3000,Offers!$B$7:$B$3000,$B268,Offers!$C$7:$C$3000,$C268,Offers!$AG$7:$AG$3000,ROUNDUP(COUNTIFS(Offers!$B$7:$B$3000,$B268,Offers!$C$7:$C$3000,$C268,Offers!$AI$7:$AI$3000,"yes")/2,0))+SUMIFS(Offers!$I$7:$I$3000,Offers!$B$7:$B$3000,$B268,Offers!$C$7:$C$3000,$C268,Offers!$AG$7:$AG$3000,INT(COUNTIFS(Offers!$B$7:$B$3000,$B268,Offers!$C$7:$C$3000,$C268,Offers!$AI$7:$AI$3000,"yes")/2)+1))/2)</f>
        <v>4.4</v>
      </c>
      <c r="K268" s="100" t="n">
        <f aca="false">IF(COUNTIFS(Offers!$B$7:$B$3000,$B268,Offers!$C$7:$C$3000,$C268,Offers!$AI$7:$AI$3000,"yes")=0,"",SUMIFS(Offers!$I$7:$I$3000,Offers!$B$7:$B$3000,$B268,Offers!$C$7:$C$3000,$C268,Offers!$AG$7:$AG$3000,COUNTIFS(Offers!$B$7:$B$3000,$B268,Offers!$C$7:$C$3000,$C268,Offers!$AI$7:$AI$3000,"yes")))</f>
        <v>15.6</v>
      </c>
      <c r="L268" s="96"/>
      <c r="M268" s="96"/>
      <c r="N268" s="96"/>
      <c r="O268" s="101" t="n">
        <f aca="false">IF(Compare!$E$5="Local prices",IF(F268="","",IF(Compare!$C$5="Minimum",F268,IF(Compare!$C$5="Maximum",H268,G268))),IF(I268="","",IF(Compare!$C$5="Minimum",I268,IF(Compare!$C$5="Maximum",K268,J268))))</f>
        <v>4.4</v>
      </c>
    </row>
    <row r="269" customFormat="false" ht="13.5" hidden="false" customHeight="false" outlineLevel="0" collapsed="false">
      <c r="B269" s="36" t="s">
        <v>74</v>
      </c>
      <c r="C269" s="98" t="s">
        <v>17</v>
      </c>
      <c r="D269" s="98" t="s">
        <v>333</v>
      </c>
      <c r="E269" s="98" t="s">
        <v>491</v>
      </c>
      <c r="F269" s="99" t="n">
        <f aca="false">IF(COUNTIFS(Offers!$B$7:$B$3000,$B269,Offers!$C$7:$C$3000,$C269,Offers!$AH$7:$AH$3000,"yes")=0,"",SUMIFS(Offers!$H$7:$H$3000,Offers!$B$7:$B$3000,$B269,Offers!$C$7:$C$3000,$C269,Offers!$AF$7:$AF$3000,1))</f>
        <v>70.25</v>
      </c>
      <c r="G269" s="93" t="n">
        <f aca="false">IF(COUNTIFS(Offers!$B$7:$B$3000,$B269,Offers!$C$7:$C$3000,$C269,Offers!$AH$7:$AH$3000,"yes")=0,"",(SUMIFS(Offers!$H$7:$H$3000,Offers!$B$7:$B$3000,$B269,Offers!$C$7:$C$3000,$C269,Offers!$AF$7:$AF$3000,ROUNDUP(COUNTIFS(Offers!$B$7:$B$3000,$B269,Offers!$C$7:$C$3000,$C269,Offers!$AH$7:$AH$3000,"yes")/2,0))+SUMIFS(Offers!$H$7:$H$3000,Offers!$B$7:$B$3000,$B269,Offers!$C$7:$C$3000,$C269,Offers!$AF$7:$AF$3000,INT(COUNTIFS(Offers!$B$7:$B$3000,$B269,Offers!$C$7:$C$3000,$C269,Offers!$AH$7:$AH$3000,"yes")/2)+1))/2)</f>
        <v>102</v>
      </c>
      <c r="H269" s="99" t="n">
        <f aca="false">IF(COUNTIFS(Offers!$B$7:$B$3000,$B269,Offers!$C$7:$C$3000,$C269,Offers!$AH$7:$AH$3000,"yes")=0,"",SUMIFS(Offers!$H$7:$H$3000,Offers!$B$7:$B$3000,$B269,Offers!$C$7:$C$3000,$C269,Offers!$AF$7:$AF$3000,COUNTIFS(Offers!$B$7:$B$3000,$B269,Offers!$C$7:$C$3000,$C269,Offers!$AH$7:$AH$3000,"yes")))</f>
        <v>183</v>
      </c>
      <c r="I269" s="100" t="n">
        <f aca="false">IF(COUNTIFS(Offers!$B$7:$B$3000,$B269,Offers!$C$7:$C$3000,$C269,Offers!$AI$7:$AI$3000,"yes")=0,"",SUMIFS(Offers!$I$7:$I$3000,Offers!$B$7:$B$3000,$B269,Offers!$C$7:$C$3000,$C269,Offers!$AG$7:$AG$3000,1))</f>
        <v>2.876314</v>
      </c>
      <c r="J269" s="95" t="n">
        <f aca="false">IF(COUNTIFS(Offers!$B$7:$B$3000,$B269,Offers!$C$7:$C$3000,$C269,Offers!$AI$7:$AI$3000,"yes")=0,"",(SUMIFS(Offers!$I$7:$I$3000,Offers!$B$7:$B$3000,$B269,Offers!$C$7:$C$3000,$C269,Offers!$AG$7:$AG$3000,ROUNDUP(COUNTIFS(Offers!$B$7:$B$3000,$B269,Offers!$C$7:$C$3000,$C269,Offers!$AI$7:$AI$3000,"yes")/2,0))+SUMIFS(Offers!$I$7:$I$3000,Offers!$B$7:$B$3000,$B269,Offers!$C$7:$C$3000,$C269,Offers!$AG$7:$AG$3000,INT(COUNTIFS(Offers!$B$7:$B$3000,$B269,Offers!$C$7:$C$3000,$C269,Offers!$AI$7:$AI$3000,"yes")/2)+1))/2)</f>
        <v>4.176286</v>
      </c>
      <c r="K269" s="100" t="n">
        <f aca="false">IF(COUNTIFS(Offers!$B$7:$B$3000,$B269,Offers!$C$7:$C$3000,$C269,Offers!$AI$7:$AI$3000,"yes")=0,"",SUMIFS(Offers!$I$7:$I$3000,Offers!$B$7:$B$3000,$B269,Offers!$C$7:$C$3000,$C269,Offers!$AG$7:$AG$3000,COUNTIFS(Offers!$B$7:$B$3000,$B269,Offers!$C$7:$C$3000,$C269,Offers!$AI$7:$AI$3000,"yes")))</f>
        <v>7.492748</v>
      </c>
      <c r="L269" s="96"/>
      <c r="M269" s="96"/>
      <c r="N269" s="96"/>
      <c r="O269" s="101" t="n">
        <f aca="false">IF(Compare!$E$5="Local prices",IF(F269="","",IF(Compare!$C$5="Minimum",F269,IF(Compare!$C$5="Maximum",H269,G269))),IF(I269="","",IF(Compare!$C$5="Minimum",I269,IF(Compare!$C$5="Maximum",K269,J269))))</f>
        <v>4.176286</v>
      </c>
    </row>
    <row r="270" customFormat="false" ht="13.5" hidden="false" customHeight="false" outlineLevel="0" collapsed="false">
      <c r="B270" s="36" t="s">
        <v>74</v>
      </c>
      <c r="C270" s="98" t="s">
        <v>18</v>
      </c>
      <c r="D270" s="98" t="s">
        <v>244</v>
      </c>
      <c r="E270" s="98" t="s">
        <v>491</v>
      </c>
      <c r="F270" s="99" t="n">
        <f aca="false">IF(COUNTIFS(Offers!$B$7:$B$3000,$B270,Offers!$C$7:$C$3000,$C270,Offers!$AH$7:$AH$3000,"yes")=0,"",SUMIFS(Offers!$H$7:$H$3000,Offers!$B$7:$B$3000,$B270,Offers!$C$7:$C$3000,$C270,Offers!$AF$7:$AF$3000,1))</f>
        <v>2.51</v>
      </c>
      <c r="G270" s="93" t="n">
        <f aca="false">IF(COUNTIFS(Offers!$B$7:$B$3000,$B270,Offers!$C$7:$C$3000,$C270,Offers!$AH$7:$AH$3000,"yes")=0,"",(SUMIFS(Offers!$H$7:$H$3000,Offers!$B$7:$B$3000,$B270,Offers!$C$7:$C$3000,$C270,Offers!$AF$7:$AF$3000,ROUNDUP(COUNTIFS(Offers!$B$7:$B$3000,$B270,Offers!$C$7:$C$3000,$C270,Offers!$AH$7:$AH$3000,"yes")/2,0))+SUMIFS(Offers!$H$7:$H$3000,Offers!$B$7:$B$3000,$B270,Offers!$C$7:$C$3000,$C270,Offers!$AF$7:$AF$3000,INT(COUNTIFS(Offers!$B$7:$B$3000,$B270,Offers!$C$7:$C$3000,$C270,Offers!$AH$7:$AH$3000,"yes")/2)+1))/2)</f>
        <v>3.68</v>
      </c>
      <c r="H270" s="99" t="n">
        <f aca="false">IF(COUNTIFS(Offers!$B$7:$B$3000,$B270,Offers!$C$7:$C$3000,$C270,Offers!$AH$7:$AH$3000,"yes")=0,"",SUMIFS(Offers!$H$7:$H$3000,Offers!$B$7:$B$3000,$B270,Offers!$C$7:$C$3000,$C270,Offers!$AF$7:$AF$3000,COUNTIFS(Offers!$B$7:$B$3000,$B270,Offers!$C$7:$C$3000,$C270,Offers!$AH$7:$AH$3000,"yes")))</f>
        <v>10.76</v>
      </c>
      <c r="I270" s="100" t="n">
        <f aca="false">IF(COUNTIFS(Offers!$B$7:$B$3000,$B270,Offers!$C$7:$C$3000,$C270,Offers!$AI$7:$AI$3000,"yes")=0,"",SUMIFS(Offers!$I$7:$I$3000,Offers!$B$7:$B$3000,$B270,Offers!$C$7:$C$3000,$C270,Offers!$AG$7:$AG$3000,1))</f>
        <v>2.51</v>
      </c>
      <c r="J270" s="95" t="n">
        <f aca="false">IF(COUNTIFS(Offers!$B$7:$B$3000,$B270,Offers!$C$7:$C$3000,$C270,Offers!$AI$7:$AI$3000,"yes")=0,"",(SUMIFS(Offers!$I$7:$I$3000,Offers!$B$7:$B$3000,$B270,Offers!$C$7:$C$3000,$C270,Offers!$AG$7:$AG$3000,ROUNDUP(COUNTIFS(Offers!$B$7:$B$3000,$B270,Offers!$C$7:$C$3000,$C270,Offers!$AI$7:$AI$3000,"yes")/2,0))+SUMIFS(Offers!$I$7:$I$3000,Offers!$B$7:$B$3000,$B270,Offers!$C$7:$C$3000,$C270,Offers!$AG$7:$AG$3000,INT(COUNTIFS(Offers!$B$7:$B$3000,$B270,Offers!$C$7:$C$3000,$C270,Offers!$AI$7:$AI$3000,"yes")/2)+1))/2)</f>
        <v>3.68</v>
      </c>
      <c r="K270" s="100" t="n">
        <f aca="false">IF(COUNTIFS(Offers!$B$7:$B$3000,$B270,Offers!$C$7:$C$3000,$C270,Offers!$AI$7:$AI$3000,"yes")=0,"",SUMIFS(Offers!$I$7:$I$3000,Offers!$B$7:$B$3000,$B270,Offers!$C$7:$C$3000,$C270,Offers!$AG$7:$AG$3000,COUNTIFS(Offers!$B$7:$B$3000,$B270,Offers!$C$7:$C$3000,$C270,Offers!$AI$7:$AI$3000,"yes")))</f>
        <v>10.76</v>
      </c>
      <c r="L270" s="96"/>
      <c r="M270" s="96"/>
      <c r="N270" s="96"/>
      <c r="O270" s="101" t="n">
        <f aca="false">IF(Compare!$E$5="Local prices",IF(F270="","",IF(Compare!$C$5="Minimum",F270,IF(Compare!$C$5="Maximum",H270,G270))),IF(I270="","",IF(Compare!$C$5="Minimum",I270,IF(Compare!$C$5="Maximum",K270,J270))))</f>
        <v>3.68</v>
      </c>
    </row>
    <row r="271" customFormat="false" ht="13.5" hidden="false" customHeight="false" outlineLevel="0" collapsed="false">
      <c r="B271" s="36" t="s">
        <v>75</v>
      </c>
      <c r="C271" s="98" t="s">
        <v>13</v>
      </c>
      <c r="D271" s="98" t="s">
        <v>490</v>
      </c>
      <c r="E271" s="98" t="s">
        <v>491</v>
      </c>
      <c r="F271" s="99" t="str">
        <f aca="false">IF(COUNTIFS(Offers!$B$7:$B$3000,$B271,Offers!$C$7:$C$3000,$C271,Offers!$AH$7:$AH$3000,"yes")=0,"",SUMIFS(Offers!$H$7:$H$3000,Offers!$B$7:$B$3000,$B271,Offers!$C$7:$C$3000,$C271,Offers!$AF$7:$AF$3000,1))</f>
        <v/>
      </c>
      <c r="G271" s="93" t="str">
        <f aca="false">IF(COUNTIFS(Offers!$B$7:$B$3000,$B271,Offers!$C$7:$C$3000,$C271,Offers!$AH$7:$AH$3000,"yes")=0,"",(SUMIFS(Offers!$H$7:$H$3000,Offers!$B$7:$B$3000,$B271,Offers!$C$7:$C$3000,$C271,Offers!$AF$7:$AF$3000,ROUNDUP(COUNTIFS(Offers!$B$7:$B$3000,$B271,Offers!$C$7:$C$3000,$C271,Offers!$AH$7:$AH$3000,"yes")/2,0))+SUMIFS(Offers!$H$7:$H$3000,Offers!$B$7:$B$3000,$B271,Offers!$C$7:$C$3000,$C271,Offers!$AF$7:$AF$3000,INT(COUNTIFS(Offers!$B$7:$B$3000,$B271,Offers!$C$7:$C$3000,$C271,Offers!$AH$7:$AH$3000,"yes")/2)+1))/2)</f>
        <v/>
      </c>
      <c r="H271" s="99" t="str">
        <f aca="false">IF(COUNTIFS(Offers!$B$7:$B$3000,$B271,Offers!$C$7:$C$3000,$C271,Offers!$AH$7:$AH$3000,"yes")=0,"",SUMIFS(Offers!$H$7:$H$3000,Offers!$B$7:$B$3000,$B271,Offers!$C$7:$C$3000,$C271,Offers!$AF$7:$AF$3000,COUNTIFS(Offers!$B$7:$B$3000,$B271,Offers!$C$7:$C$3000,$C271,Offers!$AH$7:$AH$3000,"yes")))</f>
        <v/>
      </c>
      <c r="I271" s="100" t="str">
        <f aca="false">IF(COUNTIFS(Offers!$B$7:$B$3000,$B271,Offers!$C$7:$C$3000,$C271,Offers!$AI$7:$AI$3000,"yes")=0,"",SUMIFS(Offers!$I$7:$I$3000,Offers!$B$7:$B$3000,$B271,Offers!$C$7:$C$3000,$C271,Offers!$AG$7:$AG$3000,1))</f>
        <v/>
      </c>
      <c r="J271" s="95" t="str">
        <f aca="false">IF(COUNTIFS(Offers!$B$7:$B$3000,$B271,Offers!$C$7:$C$3000,$C271,Offers!$AI$7:$AI$3000,"yes")=0,"",(SUMIFS(Offers!$I$7:$I$3000,Offers!$B$7:$B$3000,$B271,Offers!$C$7:$C$3000,$C271,Offers!$AG$7:$AG$3000,ROUNDUP(COUNTIFS(Offers!$B$7:$B$3000,$B271,Offers!$C$7:$C$3000,$C271,Offers!$AI$7:$AI$3000,"yes")/2,0))+SUMIFS(Offers!$I$7:$I$3000,Offers!$B$7:$B$3000,$B271,Offers!$C$7:$C$3000,$C271,Offers!$AG$7:$AG$3000,INT(COUNTIFS(Offers!$B$7:$B$3000,$B271,Offers!$C$7:$C$3000,$C271,Offers!$AI$7:$AI$3000,"yes")/2)+1))/2)</f>
        <v/>
      </c>
      <c r="K271" s="100" t="str">
        <f aca="false">IF(COUNTIFS(Offers!$B$7:$B$3000,$B271,Offers!$C$7:$C$3000,$C271,Offers!$AI$7:$AI$3000,"yes")=0,"",SUMIFS(Offers!$I$7:$I$3000,Offers!$B$7:$B$3000,$B271,Offers!$C$7:$C$3000,$C271,Offers!$AG$7:$AG$3000,COUNTIFS(Offers!$B$7:$B$3000,$B271,Offers!$C$7:$C$3000,$C271,Offers!$AI$7:$AI$3000,"yes")))</f>
        <v/>
      </c>
      <c r="L271" s="96"/>
      <c r="M271" s="96"/>
      <c r="N271" s="96"/>
      <c r="O271" s="110" t="str">
        <f aca="false">IF(Compare!$E$5="Local prices",IF(F271="","",IF(Compare!$C$5="Minimum",F271,IF(Compare!$C$5="Maximum",H271,G271))),IF(I271="","",IF(Compare!$C$5="Minimum",I271,IF(Compare!$C$5="Maximum",K271,J271))))</f>
        <v/>
      </c>
    </row>
    <row r="272" customFormat="false" ht="13.5" hidden="false" customHeight="false" outlineLevel="0" collapsed="false">
      <c r="B272" s="36" t="s">
        <v>75</v>
      </c>
      <c r="C272" s="98" t="s">
        <v>14</v>
      </c>
      <c r="D272" s="98" t="s">
        <v>374</v>
      </c>
      <c r="E272" s="98" t="s">
        <v>491</v>
      </c>
      <c r="F272" s="99" t="n">
        <f aca="false">IF(COUNTIFS(Offers!$B$7:$B$3000,$B272,Offers!$C$7:$C$3000,$C272,Offers!$AH$7:$AH$3000,"yes")=0,"",SUMIFS(Offers!$H$7:$H$3000,Offers!$B$7:$B$3000,$B272,Offers!$C$7:$C$3000,$C272,Offers!$AF$7:$AF$3000,1))</f>
        <v>3.16</v>
      </c>
      <c r="G272" s="93" t="n">
        <f aca="false">IF(COUNTIFS(Offers!$B$7:$B$3000,$B272,Offers!$C$7:$C$3000,$C272,Offers!$AH$7:$AH$3000,"yes")=0,"",(SUMIFS(Offers!$H$7:$H$3000,Offers!$B$7:$B$3000,$B272,Offers!$C$7:$C$3000,$C272,Offers!$AF$7:$AF$3000,ROUNDUP(COUNTIFS(Offers!$B$7:$B$3000,$B272,Offers!$C$7:$C$3000,$C272,Offers!$AH$7:$AH$3000,"yes")/2,0))+SUMIFS(Offers!$H$7:$H$3000,Offers!$B$7:$B$3000,$B272,Offers!$C$7:$C$3000,$C272,Offers!$AF$7:$AF$3000,INT(COUNTIFS(Offers!$B$7:$B$3000,$B272,Offers!$C$7:$C$3000,$C272,Offers!$AH$7:$AH$3000,"yes")/2)+1))/2)</f>
        <v>22.79</v>
      </c>
      <c r="H272" s="99" t="n">
        <f aca="false">IF(COUNTIFS(Offers!$B$7:$B$3000,$B272,Offers!$C$7:$C$3000,$C272,Offers!$AH$7:$AH$3000,"yes")=0,"",SUMIFS(Offers!$H$7:$H$3000,Offers!$B$7:$B$3000,$B272,Offers!$C$7:$C$3000,$C272,Offers!$AF$7:$AF$3000,COUNTIFS(Offers!$B$7:$B$3000,$B272,Offers!$C$7:$C$3000,$C272,Offers!$AH$7:$AH$3000,"yes")))</f>
        <v>47.13</v>
      </c>
      <c r="I272" s="100" t="n">
        <f aca="false">IF(COUNTIFS(Offers!$B$7:$B$3000,$B272,Offers!$C$7:$C$3000,$C272,Offers!$AI$7:$AI$3000,"yes")=0,"",SUMIFS(Offers!$I$7:$I$3000,Offers!$B$7:$B$3000,$B272,Offers!$C$7:$C$3000,$C272,Offers!$AG$7:$AG$3000,1))</f>
        <v>2.730386</v>
      </c>
      <c r="J272" s="95" t="n">
        <f aca="false">IF(COUNTIFS(Offers!$B$7:$B$3000,$B272,Offers!$C$7:$C$3000,$C272,Offers!$AI$7:$AI$3000,"yes")=0,"",(SUMIFS(Offers!$I$7:$I$3000,Offers!$B$7:$B$3000,$B272,Offers!$C$7:$C$3000,$C272,Offers!$AG$7:$AG$3000,ROUNDUP(COUNTIFS(Offers!$B$7:$B$3000,$B272,Offers!$C$7:$C$3000,$C272,Offers!$AI$7:$AI$3000,"yes")/2,0))+SUMIFS(Offers!$I$7:$I$3000,Offers!$B$7:$B$3000,$B272,Offers!$C$7:$C$3000,$C272,Offers!$AG$7:$AG$3000,INT(COUNTIFS(Offers!$B$7:$B$3000,$B272,Offers!$C$7:$C$3000,$C272,Offers!$AI$7:$AI$3000,"yes")/2)+1))/2)</f>
        <v>4.318217</v>
      </c>
      <c r="K272" s="100" t="n">
        <f aca="false">IF(COUNTIFS(Offers!$B$7:$B$3000,$B272,Offers!$C$7:$C$3000,$C272,Offers!$AI$7:$AI$3000,"yes")=0,"",SUMIFS(Offers!$I$7:$I$3000,Offers!$B$7:$B$3000,$B272,Offers!$C$7:$C$3000,$C272,Offers!$AG$7:$AG$3000,COUNTIFS(Offers!$B$7:$B$3000,$B272,Offers!$C$7:$C$3000,$C272,Offers!$AI$7:$AI$3000,"yes")))</f>
        <v>8.930125</v>
      </c>
      <c r="L272" s="96"/>
      <c r="M272" s="96"/>
      <c r="N272" s="96"/>
      <c r="O272" s="101" t="n">
        <f aca="false">IF(Compare!$E$5="Local prices",IF(F272="","",IF(Compare!$C$5="Minimum",F272,IF(Compare!$C$5="Maximum",H272,G272))),IF(I272="","",IF(Compare!$C$5="Minimum",I272,IF(Compare!$C$5="Maximum",K272,J272))))</f>
        <v>4.318217</v>
      </c>
    </row>
    <row r="273" customFormat="false" ht="13.5" hidden="false" customHeight="false" outlineLevel="0" collapsed="false">
      <c r="B273" s="36" t="s">
        <v>75</v>
      </c>
      <c r="C273" s="98" t="s">
        <v>15</v>
      </c>
      <c r="D273" s="98" t="s">
        <v>244</v>
      </c>
      <c r="E273" s="98" t="s">
        <v>491</v>
      </c>
      <c r="F273" s="99" t="n">
        <f aca="false">IF(COUNTIFS(Offers!$B$7:$B$3000,$B273,Offers!$C$7:$C$3000,$C273,Offers!$AH$7:$AH$3000,"yes")=0,"",SUMIFS(Offers!$H$7:$H$3000,Offers!$B$7:$B$3000,$B273,Offers!$C$7:$C$3000,$C273,Offers!$AF$7:$AF$3000,1))</f>
        <v>2.9</v>
      </c>
      <c r="G273" s="93" t="n">
        <f aca="false">IF(COUNTIFS(Offers!$B$7:$B$3000,$B273,Offers!$C$7:$C$3000,$C273,Offers!$AH$7:$AH$3000,"yes")=0,"",(SUMIFS(Offers!$H$7:$H$3000,Offers!$B$7:$B$3000,$B273,Offers!$C$7:$C$3000,$C273,Offers!$AF$7:$AF$3000,ROUNDUP(COUNTIFS(Offers!$B$7:$B$3000,$B273,Offers!$C$7:$C$3000,$C273,Offers!$AH$7:$AH$3000,"yes")/2,0))+SUMIFS(Offers!$H$7:$H$3000,Offers!$B$7:$B$3000,$B273,Offers!$C$7:$C$3000,$C273,Offers!$AF$7:$AF$3000,INT(COUNTIFS(Offers!$B$7:$B$3000,$B273,Offers!$C$7:$C$3000,$C273,Offers!$AH$7:$AH$3000,"yes")/2)+1))/2)</f>
        <v>4.79</v>
      </c>
      <c r="H273" s="99" t="n">
        <f aca="false">IF(COUNTIFS(Offers!$B$7:$B$3000,$B273,Offers!$C$7:$C$3000,$C273,Offers!$AH$7:$AH$3000,"yes")=0,"",SUMIFS(Offers!$H$7:$H$3000,Offers!$B$7:$B$3000,$B273,Offers!$C$7:$C$3000,$C273,Offers!$AF$7:$AF$3000,COUNTIFS(Offers!$B$7:$B$3000,$B273,Offers!$C$7:$C$3000,$C273,Offers!$AH$7:$AH$3000,"yes")))</f>
        <v>12</v>
      </c>
      <c r="I273" s="100" t="n">
        <f aca="false">IF(COUNTIFS(Offers!$B$7:$B$3000,$B273,Offers!$C$7:$C$3000,$C273,Offers!$AI$7:$AI$3000,"yes")=0,"",SUMIFS(Offers!$I$7:$I$3000,Offers!$B$7:$B$3000,$B273,Offers!$C$7:$C$3000,$C273,Offers!$AG$7:$AG$3000,1))</f>
        <v>2.9</v>
      </c>
      <c r="J273" s="95" t="n">
        <f aca="false">IF(COUNTIFS(Offers!$B$7:$B$3000,$B273,Offers!$C$7:$C$3000,$C273,Offers!$AI$7:$AI$3000,"yes")=0,"",(SUMIFS(Offers!$I$7:$I$3000,Offers!$B$7:$B$3000,$B273,Offers!$C$7:$C$3000,$C273,Offers!$AG$7:$AG$3000,ROUNDUP(COUNTIFS(Offers!$B$7:$B$3000,$B273,Offers!$C$7:$C$3000,$C273,Offers!$AI$7:$AI$3000,"yes")/2,0))+SUMIFS(Offers!$I$7:$I$3000,Offers!$B$7:$B$3000,$B273,Offers!$C$7:$C$3000,$C273,Offers!$AG$7:$AG$3000,INT(COUNTIFS(Offers!$B$7:$B$3000,$B273,Offers!$C$7:$C$3000,$C273,Offers!$AI$7:$AI$3000,"yes")/2)+1))/2)</f>
        <v>4.79</v>
      </c>
      <c r="K273" s="100" t="n">
        <f aca="false">IF(COUNTIFS(Offers!$B$7:$B$3000,$B273,Offers!$C$7:$C$3000,$C273,Offers!$AI$7:$AI$3000,"yes")=0,"",SUMIFS(Offers!$I$7:$I$3000,Offers!$B$7:$B$3000,$B273,Offers!$C$7:$C$3000,$C273,Offers!$AG$7:$AG$3000,COUNTIFS(Offers!$B$7:$B$3000,$B273,Offers!$C$7:$C$3000,$C273,Offers!$AI$7:$AI$3000,"yes")))</f>
        <v>12</v>
      </c>
      <c r="L273" s="96"/>
      <c r="M273" s="96"/>
      <c r="N273" s="96"/>
      <c r="O273" s="101" t="n">
        <f aca="false">IF(Compare!$E$5="Local prices",IF(F273="","",IF(Compare!$C$5="Minimum",F273,IF(Compare!$C$5="Maximum",H273,G273))),IF(I273="","",IF(Compare!$C$5="Minimum",I273,IF(Compare!$C$5="Maximum",K273,J273))))</f>
        <v>4.79</v>
      </c>
    </row>
    <row r="274" customFormat="false" ht="13.5" hidden="false" customHeight="false" outlineLevel="0" collapsed="false">
      <c r="B274" s="36" t="s">
        <v>75</v>
      </c>
      <c r="C274" s="98" t="s">
        <v>16</v>
      </c>
      <c r="D274" s="98" t="s">
        <v>244</v>
      </c>
      <c r="E274" s="98" t="s">
        <v>491</v>
      </c>
      <c r="F274" s="99" t="n">
        <f aca="false">IF(COUNTIFS(Offers!$B$7:$B$3000,$B274,Offers!$C$7:$C$3000,$C274,Offers!$AH$7:$AH$3000,"yes")=0,"",SUMIFS(Offers!$H$7:$H$3000,Offers!$B$7:$B$3000,$B274,Offers!$C$7:$C$3000,$C274,Offers!$AF$7:$AF$3000,1))</f>
        <v>2.58</v>
      </c>
      <c r="G274" s="93" t="n">
        <f aca="false">IF(COUNTIFS(Offers!$B$7:$B$3000,$B274,Offers!$C$7:$C$3000,$C274,Offers!$AH$7:$AH$3000,"yes")=0,"",(SUMIFS(Offers!$H$7:$H$3000,Offers!$B$7:$B$3000,$B274,Offers!$C$7:$C$3000,$C274,Offers!$AF$7:$AF$3000,ROUNDUP(COUNTIFS(Offers!$B$7:$B$3000,$B274,Offers!$C$7:$C$3000,$C274,Offers!$AH$7:$AH$3000,"yes")/2,0))+SUMIFS(Offers!$H$7:$H$3000,Offers!$B$7:$B$3000,$B274,Offers!$C$7:$C$3000,$C274,Offers!$AF$7:$AF$3000,INT(COUNTIFS(Offers!$B$7:$B$3000,$B274,Offers!$C$7:$C$3000,$C274,Offers!$AH$7:$AH$3000,"yes")/2)+1))/2)</f>
        <v>4.59</v>
      </c>
      <c r="H274" s="99" t="n">
        <f aca="false">IF(COUNTIFS(Offers!$B$7:$B$3000,$B274,Offers!$C$7:$C$3000,$C274,Offers!$AH$7:$AH$3000,"yes")=0,"",SUMIFS(Offers!$H$7:$H$3000,Offers!$B$7:$B$3000,$B274,Offers!$C$7:$C$3000,$C274,Offers!$AF$7:$AF$3000,COUNTIFS(Offers!$B$7:$B$3000,$B274,Offers!$C$7:$C$3000,$C274,Offers!$AH$7:$AH$3000,"yes")))</f>
        <v>12</v>
      </c>
      <c r="I274" s="100" t="n">
        <f aca="false">IF(COUNTIFS(Offers!$B$7:$B$3000,$B274,Offers!$C$7:$C$3000,$C274,Offers!$AI$7:$AI$3000,"yes")=0,"",SUMIFS(Offers!$I$7:$I$3000,Offers!$B$7:$B$3000,$B274,Offers!$C$7:$C$3000,$C274,Offers!$AG$7:$AG$3000,1))</f>
        <v>2.58</v>
      </c>
      <c r="J274" s="95" t="n">
        <f aca="false">IF(COUNTIFS(Offers!$B$7:$B$3000,$B274,Offers!$C$7:$C$3000,$C274,Offers!$AI$7:$AI$3000,"yes")=0,"",(SUMIFS(Offers!$I$7:$I$3000,Offers!$B$7:$B$3000,$B274,Offers!$C$7:$C$3000,$C274,Offers!$AG$7:$AG$3000,ROUNDUP(COUNTIFS(Offers!$B$7:$B$3000,$B274,Offers!$C$7:$C$3000,$C274,Offers!$AI$7:$AI$3000,"yes")/2,0))+SUMIFS(Offers!$I$7:$I$3000,Offers!$B$7:$B$3000,$B274,Offers!$C$7:$C$3000,$C274,Offers!$AG$7:$AG$3000,INT(COUNTIFS(Offers!$B$7:$B$3000,$B274,Offers!$C$7:$C$3000,$C274,Offers!$AI$7:$AI$3000,"yes")/2)+1))/2)</f>
        <v>4.59</v>
      </c>
      <c r="K274" s="100" t="n">
        <f aca="false">IF(COUNTIFS(Offers!$B$7:$B$3000,$B274,Offers!$C$7:$C$3000,$C274,Offers!$AI$7:$AI$3000,"yes")=0,"",SUMIFS(Offers!$I$7:$I$3000,Offers!$B$7:$B$3000,$B274,Offers!$C$7:$C$3000,$C274,Offers!$AG$7:$AG$3000,COUNTIFS(Offers!$B$7:$B$3000,$B274,Offers!$C$7:$C$3000,$C274,Offers!$AI$7:$AI$3000,"yes")))</f>
        <v>12</v>
      </c>
      <c r="L274" s="96"/>
      <c r="M274" s="96"/>
      <c r="N274" s="96"/>
      <c r="O274" s="101" t="n">
        <f aca="false">IF(Compare!$E$5="Local prices",IF(F274="","",IF(Compare!$C$5="Minimum",F274,IF(Compare!$C$5="Maximum",H274,G274))),IF(I274="","",IF(Compare!$C$5="Minimum",I274,IF(Compare!$C$5="Maximum",K274,J274))))</f>
        <v>4.59</v>
      </c>
    </row>
    <row r="275" customFormat="false" ht="13.5" hidden="false" customHeight="false" outlineLevel="0" collapsed="false">
      <c r="B275" s="36" t="s">
        <v>75</v>
      </c>
      <c r="C275" s="98" t="s">
        <v>17</v>
      </c>
      <c r="D275" s="98" t="s">
        <v>333</v>
      </c>
      <c r="E275" s="98" t="s">
        <v>491</v>
      </c>
      <c r="F275" s="99" t="n">
        <f aca="false">IF(COUNTIFS(Offers!$B$7:$B$3000,$B275,Offers!$C$7:$C$3000,$C275,Offers!$AH$7:$AH$3000,"yes")=0,"",SUMIFS(Offers!$H$7:$H$3000,Offers!$B$7:$B$3000,$B275,Offers!$C$7:$C$3000,$C275,Offers!$AF$7:$AF$3000,1))</f>
        <v>76.03</v>
      </c>
      <c r="G275" s="93" t="n">
        <f aca="false">IF(COUNTIFS(Offers!$B$7:$B$3000,$B275,Offers!$C$7:$C$3000,$C275,Offers!$AH$7:$AH$3000,"yes")=0,"",(SUMIFS(Offers!$H$7:$H$3000,Offers!$B$7:$B$3000,$B275,Offers!$C$7:$C$3000,$C275,Offers!$AF$7:$AF$3000,ROUNDUP(COUNTIFS(Offers!$B$7:$B$3000,$B275,Offers!$C$7:$C$3000,$C275,Offers!$AH$7:$AH$3000,"yes")/2,0))+SUMIFS(Offers!$H$7:$H$3000,Offers!$B$7:$B$3000,$B275,Offers!$C$7:$C$3000,$C275,Offers!$AF$7:$AF$3000,INT(COUNTIFS(Offers!$B$7:$B$3000,$B275,Offers!$C$7:$C$3000,$C275,Offers!$AH$7:$AH$3000,"yes")/2)+1))/2)</f>
        <v>107</v>
      </c>
      <c r="H275" s="99" t="n">
        <f aca="false">IF(COUNTIFS(Offers!$B$7:$B$3000,$B275,Offers!$C$7:$C$3000,$C275,Offers!$AH$7:$AH$3000,"yes")=0,"",SUMIFS(Offers!$H$7:$H$3000,Offers!$B$7:$B$3000,$B275,Offers!$C$7:$C$3000,$C275,Offers!$AF$7:$AF$3000,COUNTIFS(Offers!$B$7:$B$3000,$B275,Offers!$C$7:$C$3000,$C275,Offers!$AH$7:$AH$3000,"yes")))</f>
        <v>214</v>
      </c>
      <c r="I275" s="100" t="n">
        <f aca="false">IF(COUNTIFS(Offers!$B$7:$B$3000,$B275,Offers!$C$7:$C$3000,$C275,Offers!$AI$7:$AI$3000,"yes")=0,"",SUMIFS(Offers!$I$7:$I$3000,Offers!$B$7:$B$3000,$B275,Offers!$C$7:$C$3000,$C275,Offers!$AG$7:$AG$3000,1))</f>
        <v>3.112971</v>
      </c>
      <c r="J275" s="95" t="n">
        <f aca="false">IF(COUNTIFS(Offers!$B$7:$B$3000,$B275,Offers!$C$7:$C$3000,$C275,Offers!$AI$7:$AI$3000,"yes")=0,"",(SUMIFS(Offers!$I$7:$I$3000,Offers!$B$7:$B$3000,$B275,Offers!$C$7:$C$3000,$C275,Offers!$AG$7:$AG$3000,ROUNDUP(COUNTIFS(Offers!$B$7:$B$3000,$B275,Offers!$C$7:$C$3000,$C275,Offers!$AI$7:$AI$3000,"yes")/2,0))+SUMIFS(Offers!$I$7:$I$3000,Offers!$B$7:$B$3000,$B275,Offers!$C$7:$C$3000,$C275,Offers!$AG$7:$AG$3000,INT(COUNTIFS(Offers!$B$7:$B$3000,$B275,Offers!$C$7:$C$3000,$C275,Offers!$AI$7:$AI$3000,"yes")/2)+1))/2)</f>
        <v>4.381006</v>
      </c>
      <c r="K275" s="100" t="n">
        <f aca="false">IF(COUNTIFS(Offers!$B$7:$B$3000,$B275,Offers!$C$7:$C$3000,$C275,Offers!$AI$7:$AI$3000,"yes")=0,"",SUMIFS(Offers!$I$7:$I$3000,Offers!$B$7:$B$3000,$B275,Offers!$C$7:$C$3000,$C275,Offers!$AG$7:$AG$3000,COUNTIFS(Offers!$B$7:$B$3000,$B275,Offers!$C$7:$C$3000,$C275,Offers!$AI$7:$AI$3000,"yes")))</f>
        <v>8.762011</v>
      </c>
      <c r="L275" s="96"/>
      <c r="M275" s="96"/>
      <c r="N275" s="96"/>
      <c r="O275" s="101" t="n">
        <f aca="false">IF(Compare!$E$5="Local prices",IF(F275="","",IF(Compare!$C$5="Minimum",F275,IF(Compare!$C$5="Maximum",H275,G275))),IF(I275="","",IF(Compare!$C$5="Minimum",I275,IF(Compare!$C$5="Maximum",K275,J275))))</f>
        <v>4.381006</v>
      </c>
    </row>
    <row r="276" customFormat="false" ht="13.5" hidden="false" customHeight="false" outlineLevel="0" collapsed="false">
      <c r="B276" s="36" t="s">
        <v>75</v>
      </c>
      <c r="C276" s="98" t="s">
        <v>18</v>
      </c>
      <c r="D276" s="98" t="s">
        <v>244</v>
      </c>
      <c r="E276" s="98" t="s">
        <v>491</v>
      </c>
      <c r="F276" s="99" t="n">
        <f aca="false">IF(COUNTIFS(Offers!$B$7:$B$3000,$B276,Offers!$C$7:$C$3000,$C276,Offers!$AH$7:$AH$3000,"yes")=0,"",SUMIFS(Offers!$H$7:$H$3000,Offers!$B$7:$B$3000,$B276,Offers!$C$7:$C$3000,$C276,Offers!$AF$7:$AF$3000,1))</f>
        <v>3.24</v>
      </c>
      <c r="G276" s="93" t="n">
        <f aca="false">IF(COUNTIFS(Offers!$B$7:$B$3000,$B276,Offers!$C$7:$C$3000,$C276,Offers!$AH$7:$AH$3000,"yes")=0,"",(SUMIFS(Offers!$H$7:$H$3000,Offers!$B$7:$B$3000,$B276,Offers!$C$7:$C$3000,$C276,Offers!$AF$7:$AF$3000,ROUNDUP(COUNTIFS(Offers!$B$7:$B$3000,$B276,Offers!$C$7:$C$3000,$C276,Offers!$AH$7:$AH$3000,"yes")/2,0))+SUMIFS(Offers!$H$7:$H$3000,Offers!$B$7:$B$3000,$B276,Offers!$C$7:$C$3000,$C276,Offers!$AF$7:$AF$3000,INT(COUNTIFS(Offers!$B$7:$B$3000,$B276,Offers!$C$7:$C$3000,$C276,Offers!$AH$7:$AH$3000,"yes")/2)+1))/2)</f>
        <v>4.35</v>
      </c>
      <c r="H276" s="99" t="n">
        <f aca="false">IF(COUNTIFS(Offers!$B$7:$B$3000,$B276,Offers!$C$7:$C$3000,$C276,Offers!$AH$7:$AH$3000,"yes")=0,"",SUMIFS(Offers!$H$7:$H$3000,Offers!$B$7:$B$3000,$B276,Offers!$C$7:$C$3000,$C276,Offers!$AF$7:$AF$3000,COUNTIFS(Offers!$B$7:$B$3000,$B276,Offers!$C$7:$C$3000,$C276,Offers!$AH$7:$AH$3000,"yes")))</f>
        <v>11.73</v>
      </c>
      <c r="I276" s="100" t="n">
        <f aca="false">IF(COUNTIFS(Offers!$B$7:$B$3000,$B276,Offers!$C$7:$C$3000,$C276,Offers!$AI$7:$AI$3000,"yes")=0,"",SUMIFS(Offers!$I$7:$I$3000,Offers!$B$7:$B$3000,$B276,Offers!$C$7:$C$3000,$C276,Offers!$AG$7:$AG$3000,1))</f>
        <v>3.24</v>
      </c>
      <c r="J276" s="95" t="n">
        <f aca="false">IF(COUNTIFS(Offers!$B$7:$B$3000,$B276,Offers!$C$7:$C$3000,$C276,Offers!$AI$7:$AI$3000,"yes")=0,"",(SUMIFS(Offers!$I$7:$I$3000,Offers!$B$7:$B$3000,$B276,Offers!$C$7:$C$3000,$C276,Offers!$AG$7:$AG$3000,ROUNDUP(COUNTIFS(Offers!$B$7:$B$3000,$B276,Offers!$C$7:$C$3000,$C276,Offers!$AI$7:$AI$3000,"yes")/2,0))+SUMIFS(Offers!$I$7:$I$3000,Offers!$B$7:$B$3000,$B276,Offers!$C$7:$C$3000,$C276,Offers!$AG$7:$AG$3000,INT(COUNTIFS(Offers!$B$7:$B$3000,$B276,Offers!$C$7:$C$3000,$C276,Offers!$AI$7:$AI$3000,"yes")/2)+1))/2)</f>
        <v>4.35</v>
      </c>
      <c r="K276" s="100" t="n">
        <f aca="false">IF(COUNTIFS(Offers!$B$7:$B$3000,$B276,Offers!$C$7:$C$3000,$C276,Offers!$AI$7:$AI$3000,"yes")=0,"",SUMIFS(Offers!$I$7:$I$3000,Offers!$B$7:$B$3000,$B276,Offers!$C$7:$C$3000,$C276,Offers!$AG$7:$AG$3000,COUNTIFS(Offers!$B$7:$B$3000,$B276,Offers!$C$7:$C$3000,$C276,Offers!$AI$7:$AI$3000,"yes")))</f>
        <v>11.73</v>
      </c>
      <c r="L276" s="96"/>
      <c r="M276" s="96"/>
      <c r="N276" s="96"/>
      <c r="O276" s="101" t="n">
        <f aca="false">IF(Compare!$E$5="Local prices",IF(F276="","",IF(Compare!$C$5="Minimum",F276,IF(Compare!$C$5="Maximum",H276,G276))),IF(I276="","",IF(Compare!$C$5="Minimum",I276,IF(Compare!$C$5="Maximum",K276,J276))))</f>
        <v>4.35</v>
      </c>
    </row>
    <row r="277" customFormat="false" ht="13.5" hidden="false" customHeight="false" outlineLevel="0" collapsed="false">
      <c r="B277" s="36" t="s">
        <v>76</v>
      </c>
      <c r="C277" s="98" t="s">
        <v>13</v>
      </c>
      <c r="D277" s="98" t="s">
        <v>490</v>
      </c>
      <c r="E277" s="98" t="s">
        <v>491</v>
      </c>
      <c r="F277" s="99" t="str">
        <f aca="false">IF(COUNTIFS(Offers!$B$7:$B$3000,$B277,Offers!$C$7:$C$3000,$C277,Offers!$AH$7:$AH$3000,"yes")=0,"",SUMIFS(Offers!$H$7:$H$3000,Offers!$B$7:$B$3000,$B277,Offers!$C$7:$C$3000,$C277,Offers!$AF$7:$AF$3000,1))</f>
        <v/>
      </c>
      <c r="G277" s="93" t="str">
        <f aca="false">IF(COUNTIFS(Offers!$B$7:$B$3000,$B277,Offers!$C$7:$C$3000,$C277,Offers!$AH$7:$AH$3000,"yes")=0,"",(SUMIFS(Offers!$H$7:$H$3000,Offers!$B$7:$B$3000,$B277,Offers!$C$7:$C$3000,$C277,Offers!$AF$7:$AF$3000,ROUNDUP(COUNTIFS(Offers!$B$7:$B$3000,$B277,Offers!$C$7:$C$3000,$C277,Offers!$AH$7:$AH$3000,"yes")/2,0))+SUMIFS(Offers!$H$7:$H$3000,Offers!$B$7:$B$3000,$B277,Offers!$C$7:$C$3000,$C277,Offers!$AF$7:$AF$3000,INT(COUNTIFS(Offers!$B$7:$B$3000,$B277,Offers!$C$7:$C$3000,$C277,Offers!$AH$7:$AH$3000,"yes")/2)+1))/2)</f>
        <v/>
      </c>
      <c r="H277" s="99" t="str">
        <f aca="false">IF(COUNTIFS(Offers!$B$7:$B$3000,$B277,Offers!$C$7:$C$3000,$C277,Offers!$AH$7:$AH$3000,"yes")=0,"",SUMIFS(Offers!$H$7:$H$3000,Offers!$B$7:$B$3000,$B277,Offers!$C$7:$C$3000,$C277,Offers!$AF$7:$AF$3000,COUNTIFS(Offers!$B$7:$B$3000,$B277,Offers!$C$7:$C$3000,$C277,Offers!$AH$7:$AH$3000,"yes")))</f>
        <v/>
      </c>
      <c r="I277" s="100" t="str">
        <f aca="false">IF(COUNTIFS(Offers!$B$7:$B$3000,$B277,Offers!$C$7:$C$3000,$C277,Offers!$AI$7:$AI$3000,"yes")=0,"",SUMIFS(Offers!$I$7:$I$3000,Offers!$B$7:$B$3000,$B277,Offers!$C$7:$C$3000,$C277,Offers!$AG$7:$AG$3000,1))</f>
        <v/>
      </c>
      <c r="J277" s="95" t="str">
        <f aca="false">IF(COUNTIFS(Offers!$B$7:$B$3000,$B277,Offers!$C$7:$C$3000,$C277,Offers!$AI$7:$AI$3000,"yes")=0,"",(SUMIFS(Offers!$I$7:$I$3000,Offers!$B$7:$B$3000,$B277,Offers!$C$7:$C$3000,$C277,Offers!$AG$7:$AG$3000,ROUNDUP(COUNTIFS(Offers!$B$7:$B$3000,$B277,Offers!$C$7:$C$3000,$C277,Offers!$AI$7:$AI$3000,"yes")/2,0))+SUMIFS(Offers!$I$7:$I$3000,Offers!$B$7:$B$3000,$B277,Offers!$C$7:$C$3000,$C277,Offers!$AG$7:$AG$3000,INT(COUNTIFS(Offers!$B$7:$B$3000,$B277,Offers!$C$7:$C$3000,$C277,Offers!$AI$7:$AI$3000,"yes")/2)+1))/2)</f>
        <v/>
      </c>
      <c r="K277" s="100" t="str">
        <f aca="false">IF(COUNTIFS(Offers!$B$7:$B$3000,$B277,Offers!$C$7:$C$3000,$C277,Offers!$AI$7:$AI$3000,"yes")=0,"",SUMIFS(Offers!$I$7:$I$3000,Offers!$B$7:$B$3000,$B277,Offers!$C$7:$C$3000,$C277,Offers!$AG$7:$AG$3000,COUNTIFS(Offers!$B$7:$B$3000,$B277,Offers!$C$7:$C$3000,$C277,Offers!$AI$7:$AI$3000,"yes")))</f>
        <v/>
      </c>
      <c r="L277" s="96"/>
      <c r="M277" s="96"/>
      <c r="N277" s="96"/>
      <c r="O277" s="110" t="str">
        <f aca="false">IF(Compare!$E$5="Local prices",IF(F277="","",IF(Compare!$C$5="Minimum",F277,IF(Compare!$C$5="Maximum",H277,G277))),IF(I277="","",IF(Compare!$C$5="Minimum",I277,IF(Compare!$C$5="Maximum",K277,J277))))</f>
        <v/>
      </c>
    </row>
    <row r="278" customFormat="false" ht="13.5" hidden="false" customHeight="false" outlineLevel="0" collapsed="false">
      <c r="B278" s="36" t="s">
        <v>76</v>
      </c>
      <c r="C278" s="98" t="s">
        <v>14</v>
      </c>
      <c r="D278" s="98" t="s">
        <v>374</v>
      </c>
      <c r="E278" s="98" t="s">
        <v>491</v>
      </c>
      <c r="F278" s="99" t="n">
        <f aca="false">IF(COUNTIFS(Offers!$B$7:$B$3000,$B278,Offers!$C$7:$C$3000,$C278,Offers!$AH$7:$AH$3000,"yes")=0,"",SUMIFS(Offers!$H$7:$H$3000,Offers!$B$7:$B$3000,$B278,Offers!$C$7:$C$3000,$C278,Offers!$AF$7:$AF$3000,1))</f>
        <v>3.65</v>
      </c>
      <c r="G278" s="93" t="n">
        <f aca="false">IF(COUNTIFS(Offers!$B$7:$B$3000,$B278,Offers!$C$7:$C$3000,$C278,Offers!$AH$7:$AH$3000,"yes")=0,"",(SUMIFS(Offers!$H$7:$H$3000,Offers!$B$7:$B$3000,$B278,Offers!$C$7:$C$3000,$C278,Offers!$AF$7:$AF$3000,ROUNDUP(COUNTIFS(Offers!$B$7:$B$3000,$B278,Offers!$C$7:$C$3000,$C278,Offers!$AH$7:$AH$3000,"yes")/2,0))+SUMIFS(Offers!$H$7:$H$3000,Offers!$B$7:$B$3000,$B278,Offers!$C$7:$C$3000,$C278,Offers!$AF$7:$AF$3000,INT(COUNTIFS(Offers!$B$7:$B$3000,$B278,Offers!$C$7:$C$3000,$C278,Offers!$AH$7:$AH$3000,"yes")/2)+1))/2)</f>
        <v>29.42</v>
      </c>
      <c r="H278" s="99" t="n">
        <f aca="false">IF(COUNTIFS(Offers!$B$7:$B$3000,$B278,Offers!$C$7:$C$3000,$C278,Offers!$AH$7:$AH$3000,"yes")=0,"",SUMIFS(Offers!$H$7:$H$3000,Offers!$B$7:$B$3000,$B278,Offers!$C$7:$C$3000,$C278,Offers!$AF$7:$AF$3000,COUNTIFS(Offers!$B$7:$B$3000,$B278,Offers!$C$7:$C$3000,$C278,Offers!$AH$7:$AH$3000,"yes")))</f>
        <v>53.45</v>
      </c>
      <c r="I278" s="100" t="n">
        <f aca="false">IF(COUNTIFS(Offers!$B$7:$B$3000,$B278,Offers!$C$7:$C$3000,$C278,Offers!$AI$7:$AI$3000,"yes")=0,"",SUMIFS(Offers!$I$7:$I$3000,Offers!$B$7:$B$3000,$B278,Offers!$C$7:$C$3000,$C278,Offers!$AG$7:$AG$3000,1))</f>
        <v>3.65</v>
      </c>
      <c r="J278" s="95" t="n">
        <f aca="false">IF(COUNTIFS(Offers!$B$7:$B$3000,$B278,Offers!$C$7:$C$3000,$C278,Offers!$AI$7:$AI$3000,"yes")=0,"",(SUMIFS(Offers!$I$7:$I$3000,Offers!$B$7:$B$3000,$B278,Offers!$C$7:$C$3000,$C278,Offers!$AG$7:$AG$3000,ROUNDUP(COUNTIFS(Offers!$B$7:$B$3000,$B278,Offers!$C$7:$C$3000,$C278,Offers!$AI$7:$AI$3000,"yes")/2,0))+SUMIFS(Offers!$I$7:$I$3000,Offers!$B$7:$B$3000,$B278,Offers!$C$7:$C$3000,$C278,Offers!$AG$7:$AG$3000,INT(COUNTIFS(Offers!$B$7:$B$3000,$B278,Offers!$C$7:$C$3000,$C278,Offers!$AI$7:$AI$3000,"yes")/2)+1))/2)</f>
        <v>5.57446</v>
      </c>
      <c r="K278" s="100" t="n">
        <f aca="false">IF(COUNTIFS(Offers!$B$7:$B$3000,$B278,Offers!$C$7:$C$3000,$C278,Offers!$AI$7:$AI$3000,"yes")=0,"",SUMIFS(Offers!$I$7:$I$3000,Offers!$B$7:$B$3000,$B278,Offers!$C$7:$C$3000,$C278,Offers!$AG$7:$AG$3000,COUNTIFS(Offers!$B$7:$B$3000,$B278,Offers!$C$7:$C$3000,$C278,Offers!$AI$7:$AI$3000,"yes")))</f>
        <v>10.12763</v>
      </c>
      <c r="L278" s="96"/>
      <c r="M278" s="96"/>
      <c r="N278" s="96"/>
      <c r="O278" s="101" t="n">
        <f aca="false">IF(Compare!$E$5="Local prices",IF(F278="","",IF(Compare!$C$5="Minimum",F278,IF(Compare!$C$5="Maximum",H278,G278))),IF(I278="","",IF(Compare!$C$5="Minimum",I278,IF(Compare!$C$5="Maximum",K278,J278))))</f>
        <v>5.57446</v>
      </c>
    </row>
    <row r="279" customFormat="false" ht="13.5" hidden="false" customHeight="false" outlineLevel="0" collapsed="false">
      <c r="B279" s="36" t="s">
        <v>76</v>
      </c>
      <c r="C279" s="98" t="s">
        <v>15</v>
      </c>
      <c r="D279" s="98" t="s">
        <v>244</v>
      </c>
      <c r="E279" s="98" t="s">
        <v>491</v>
      </c>
      <c r="F279" s="99" t="n">
        <f aca="false">IF(COUNTIFS(Offers!$B$7:$B$3000,$B279,Offers!$C$7:$C$3000,$C279,Offers!$AH$7:$AH$3000,"yes")=0,"",SUMIFS(Offers!$H$7:$H$3000,Offers!$B$7:$B$3000,$B279,Offers!$C$7:$C$3000,$C279,Offers!$AF$7:$AF$3000,1))</f>
        <v>4.06</v>
      </c>
      <c r="G279" s="93" t="n">
        <f aca="false">IF(COUNTIFS(Offers!$B$7:$B$3000,$B279,Offers!$C$7:$C$3000,$C279,Offers!$AH$7:$AH$3000,"yes")=0,"",(SUMIFS(Offers!$H$7:$H$3000,Offers!$B$7:$B$3000,$B279,Offers!$C$7:$C$3000,$C279,Offers!$AF$7:$AF$3000,ROUNDUP(COUNTIFS(Offers!$B$7:$B$3000,$B279,Offers!$C$7:$C$3000,$C279,Offers!$AH$7:$AH$3000,"yes")/2,0))+SUMIFS(Offers!$H$7:$H$3000,Offers!$B$7:$B$3000,$B279,Offers!$C$7:$C$3000,$C279,Offers!$AF$7:$AF$3000,INT(COUNTIFS(Offers!$B$7:$B$3000,$B279,Offers!$C$7:$C$3000,$C279,Offers!$AH$7:$AH$3000,"yes")/2)+1))/2)</f>
        <v>6.28</v>
      </c>
      <c r="H279" s="99" t="n">
        <f aca="false">IF(COUNTIFS(Offers!$B$7:$B$3000,$B279,Offers!$C$7:$C$3000,$C279,Offers!$AH$7:$AH$3000,"yes")=0,"",SUMIFS(Offers!$H$7:$H$3000,Offers!$B$7:$B$3000,$B279,Offers!$C$7:$C$3000,$C279,Offers!$AF$7:$AF$3000,COUNTIFS(Offers!$B$7:$B$3000,$B279,Offers!$C$7:$C$3000,$C279,Offers!$AH$7:$AH$3000,"yes")))</f>
        <v>17</v>
      </c>
      <c r="I279" s="100" t="n">
        <f aca="false">IF(COUNTIFS(Offers!$B$7:$B$3000,$B279,Offers!$C$7:$C$3000,$C279,Offers!$AI$7:$AI$3000,"yes")=0,"",SUMIFS(Offers!$I$7:$I$3000,Offers!$B$7:$B$3000,$B279,Offers!$C$7:$C$3000,$C279,Offers!$AG$7:$AG$3000,1))</f>
        <v>4.06</v>
      </c>
      <c r="J279" s="95" t="n">
        <f aca="false">IF(COUNTIFS(Offers!$B$7:$B$3000,$B279,Offers!$C$7:$C$3000,$C279,Offers!$AI$7:$AI$3000,"yes")=0,"",(SUMIFS(Offers!$I$7:$I$3000,Offers!$B$7:$B$3000,$B279,Offers!$C$7:$C$3000,$C279,Offers!$AG$7:$AG$3000,ROUNDUP(COUNTIFS(Offers!$B$7:$B$3000,$B279,Offers!$C$7:$C$3000,$C279,Offers!$AI$7:$AI$3000,"yes")/2,0))+SUMIFS(Offers!$I$7:$I$3000,Offers!$B$7:$B$3000,$B279,Offers!$C$7:$C$3000,$C279,Offers!$AG$7:$AG$3000,INT(COUNTIFS(Offers!$B$7:$B$3000,$B279,Offers!$C$7:$C$3000,$C279,Offers!$AI$7:$AI$3000,"yes")/2)+1))/2)</f>
        <v>6.28</v>
      </c>
      <c r="K279" s="100" t="n">
        <f aca="false">IF(COUNTIFS(Offers!$B$7:$B$3000,$B279,Offers!$C$7:$C$3000,$C279,Offers!$AI$7:$AI$3000,"yes")=0,"",SUMIFS(Offers!$I$7:$I$3000,Offers!$B$7:$B$3000,$B279,Offers!$C$7:$C$3000,$C279,Offers!$AG$7:$AG$3000,COUNTIFS(Offers!$B$7:$B$3000,$B279,Offers!$C$7:$C$3000,$C279,Offers!$AI$7:$AI$3000,"yes")))</f>
        <v>17</v>
      </c>
      <c r="L279" s="96"/>
      <c r="M279" s="96"/>
      <c r="N279" s="96"/>
      <c r="O279" s="101" t="n">
        <f aca="false">IF(Compare!$E$5="Local prices",IF(F279="","",IF(Compare!$C$5="Minimum",F279,IF(Compare!$C$5="Maximum",H279,G279))),IF(I279="","",IF(Compare!$C$5="Minimum",I279,IF(Compare!$C$5="Maximum",K279,J279))))</f>
        <v>6.28</v>
      </c>
    </row>
    <row r="280" customFormat="false" ht="13.5" hidden="false" customHeight="false" outlineLevel="0" collapsed="false">
      <c r="B280" s="36" t="s">
        <v>76</v>
      </c>
      <c r="C280" s="98" t="s">
        <v>16</v>
      </c>
      <c r="D280" s="98" t="s">
        <v>244</v>
      </c>
      <c r="E280" s="98" t="s">
        <v>491</v>
      </c>
      <c r="F280" s="99" t="n">
        <f aca="false">IF(COUNTIFS(Offers!$B$7:$B$3000,$B280,Offers!$C$7:$C$3000,$C280,Offers!$AH$7:$AH$3000,"yes")=0,"",SUMIFS(Offers!$H$7:$H$3000,Offers!$B$7:$B$3000,$B280,Offers!$C$7:$C$3000,$C280,Offers!$AF$7:$AF$3000,1))</f>
        <v>3.12</v>
      </c>
      <c r="G280" s="93" t="n">
        <f aca="false">IF(COUNTIFS(Offers!$B$7:$B$3000,$B280,Offers!$C$7:$C$3000,$C280,Offers!$AH$7:$AH$3000,"yes")=0,"",(SUMIFS(Offers!$H$7:$H$3000,Offers!$B$7:$B$3000,$B280,Offers!$C$7:$C$3000,$C280,Offers!$AF$7:$AF$3000,ROUNDUP(COUNTIFS(Offers!$B$7:$B$3000,$B280,Offers!$C$7:$C$3000,$C280,Offers!$AH$7:$AH$3000,"yes")/2,0))+SUMIFS(Offers!$H$7:$H$3000,Offers!$B$7:$B$3000,$B280,Offers!$C$7:$C$3000,$C280,Offers!$AF$7:$AF$3000,INT(COUNTIFS(Offers!$B$7:$B$3000,$B280,Offers!$C$7:$C$3000,$C280,Offers!$AH$7:$AH$3000,"yes")/2)+1))/2)</f>
        <v>5.49</v>
      </c>
      <c r="H280" s="99" t="n">
        <f aca="false">IF(COUNTIFS(Offers!$B$7:$B$3000,$B280,Offers!$C$7:$C$3000,$C280,Offers!$AH$7:$AH$3000,"yes")=0,"",SUMIFS(Offers!$H$7:$H$3000,Offers!$B$7:$B$3000,$B280,Offers!$C$7:$C$3000,$C280,Offers!$AF$7:$AF$3000,COUNTIFS(Offers!$B$7:$B$3000,$B280,Offers!$C$7:$C$3000,$C280,Offers!$AH$7:$AH$3000,"yes")))</f>
        <v>17</v>
      </c>
      <c r="I280" s="100" t="n">
        <f aca="false">IF(COUNTIFS(Offers!$B$7:$B$3000,$B280,Offers!$C$7:$C$3000,$C280,Offers!$AI$7:$AI$3000,"yes")=0,"",SUMIFS(Offers!$I$7:$I$3000,Offers!$B$7:$B$3000,$B280,Offers!$C$7:$C$3000,$C280,Offers!$AG$7:$AG$3000,1))</f>
        <v>3.12</v>
      </c>
      <c r="J280" s="95" t="n">
        <f aca="false">IF(COUNTIFS(Offers!$B$7:$B$3000,$B280,Offers!$C$7:$C$3000,$C280,Offers!$AI$7:$AI$3000,"yes")=0,"",(SUMIFS(Offers!$I$7:$I$3000,Offers!$B$7:$B$3000,$B280,Offers!$C$7:$C$3000,$C280,Offers!$AG$7:$AG$3000,ROUNDUP(COUNTIFS(Offers!$B$7:$B$3000,$B280,Offers!$C$7:$C$3000,$C280,Offers!$AI$7:$AI$3000,"yes")/2,0))+SUMIFS(Offers!$I$7:$I$3000,Offers!$B$7:$B$3000,$B280,Offers!$C$7:$C$3000,$C280,Offers!$AG$7:$AG$3000,INT(COUNTIFS(Offers!$B$7:$B$3000,$B280,Offers!$C$7:$C$3000,$C280,Offers!$AI$7:$AI$3000,"yes")/2)+1))/2)</f>
        <v>5.49</v>
      </c>
      <c r="K280" s="100" t="n">
        <f aca="false">IF(COUNTIFS(Offers!$B$7:$B$3000,$B280,Offers!$C$7:$C$3000,$C280,Offers!$AI$7:$AI$3000,"yes")=0,"",SUMIFS(Offers!$I$7:$I$3000,Offers!$B$7:$B$3000,$B280,Offers!$C$7:$C$3000,$C280,Offers!$AG$7:$AG$3000,COUNTIFS(Offers!$B$7:$B$3000,$B280,Offers!$C$7:$C$3000,$C280,Offers!$AI$7:$AI$3000,"yes")))</f>
        <v>17</v>
      </c>
      <c r="L280" s="96"/>
      <c r="M280" s="96"/>
      <c r="N280" s="96"/>
      <c r="O280" s="101" t="n">
        <f aca="false">IF(Compare!$E$5="Local prices",IF(F280="","",IF(Compare!$C$5="Minimum",F280,IF(Compare!$C$5="Maximum",H280,G280))),IF(I280="","",IF(Compare!$C$5="Minimum",I280,IF(Compare!$C$5="Maximum",K280,J280))))</f>
        <v>5.49</v>
      </c>
    </row>
    <row r="281" customFormat="false" ht="13.5" hidden="false" customHeight="false" outlineLevel="0" collapsed="false">
      <c r="B281" s="36" t="s">
        <v>76</v>
      </c>
      <c r="C281" s="98" t="s">
        <v>17</v>
      </c>
      <c r="D281" s="98" t="s">
        <v>333</v>
      </c>
      <c r="E281" s="98" t="s">
        <v>491</v>
      </c>
      <c r="F281" s="99" t="n">
        <f aca="false">IF(COUNTIFS(Offers!$B$7:$B$3000,$B281,Offers!$C$7:$C$3000,$C281,Offers!$AH$7:$AH$3000,"yes")=0,"",SUMIFS(Offers!$H$7:$H$3000,Offers!$B$7:$B$3000,$B281,Offers!$C$7:$C$3000,$C281,Offers!$AF$7:$AF$3000,1))</f>
        <v>95.87</v>
      </c>
      <c r="G281" s="93" t="n">
        <f aca="false">IF(COUNTIFS(Offers!$B$7:$B$3000,$B281,Offers!$C$7:$C$3000,$C281,Offers!$AH$7:$AH$3000,"yes")=0,"",(SUMIFS(Offers!$H$7:$H$3000,Offers!$B$7:$B$3000,$B281,Offers!$C$7:$C$3000,$C281,Offers!$AF$7:$AF$3000,ROUNDUP(COUNTIFS(Offers!$B$7:$B$3000,$B281,Offers!$C$7:$C$3000,$C281,Offers!$AH$7:$AH$3000,"yes")/2,0))+SUMIFS(Offers!$H$7:$H$3000,Offers!$B$7:$B$3000,$B281,Offers!$C$7:$C$3000,$C281,Offers!$AF$7:$AF$3000,INT(COUNTIFS(Offers!$B$7:$B$3000,$B281,Offers!$C$7:$C$3000,$C281,Offers!$AH$7:$AH$3000,"yes")/2)+1))/2)</f>
        <v>147</v>
      </c>
      <c r="H281" s="99" t="n">
        <f aca="false">IF(COUNTIFS(Offers!$B$7:$B$3000,$B281,Offers!$C$7:$C$3000,$C281,Offers!$AH$7:$AH$3000,"yes")=0,"",SUMIFS(Offers!$H$7:$H$3000,Offers!$B$7:$B$3000,$B281,Offers!$C$7:$C$3000,$C281,Offers!$AF$7:$AF$3000,COUNTIFS(Offers!$B$7:$B$3000,$B281,Offers!$C$7:$C$3000,$C281,Offers!$AH$7:$AH$3000,"yes")))</f>
        <v>243</v>
      </c>
      <c r="I281" s="100" t="n">
        <f aca="false">IF(COUNTIFS(Offers!$B$7:$B$3000,$B281,Offers!$C$7:$C$3000,$C281,Offers!$AI$7:$AI$3000,"yes")=0,"",SUMIFS(Offers!$I$7:$I$3000,Offers!$B$7:$B$3000,$B281,Offers!$C$7:$C$3000,$C281,Offers!$AG$7:$AG$3000,1))</f>
        <v>3.925299</v>
      </c>
      <c r="J281" s="95" t="n">
        <f aca="false">IF(COUNTIFS(Offers!$B$7:$B$3000,$B281,Offers!$C$7:$C$3000,$C281,Offers!$AI$7:$AI$3000,"yes")=0,"",(SUMIFS(Offers!$I$7:$I$3000,Offers!$B$7:$B$3000,$B281,Offers!$C$7:$C$3000,$C281,Offers!$AG$7:$AG$3000,ROUNDUP(COUNTIFS(Offers!$B$7:$B$3000,$B281,Offers!$C$7:$C$3000,$C281,Offers!$AI$7:$AI$3000,"yes")/2,0))+SUMIFS(Offers!$I$7:$I$3000,Offers!$B$7:$B$3000,$B281,Offers!$C$7:$C$3000,$C281,Offers!$AG$7:$AG$3000,INT(COUNTIFS(Offers!$B$7:$B$3000,$B281,Offers!$C$7:$C$3000,$C281,Offers!$AI$7:$AI$3000,"yes")/2)+1))/2)</f>
        <v>6.018765</v>
      </c>
      <c r="K281" s="100" t="n">
        <f aca="false">IF(COUNTIFS(Offers!$B$7:$B$3000,$B281,Offers!$C$7:$C$3000,$C281,Offers!$AI$7:$AI$3000,"yes")=0,"",SUMIFS(Offers!$I$7:$I$3000,Offers!$B$7:$B$3000,$B281,Offers!$C$7:$C$3000,$C281,Offers!$AG$7:$AG$3000,COUNTIFS(Offers!$B$7:$B$3000,$B281,Offers!$C$7:$C$3000,$C281,Offers!$AI$7:$AI$3000,"yes")))</f>
        <v>9.949387</v>
      </c>
      <c r="L281" s="96"/>
      <c r="M281" s="96"/>
      <c r="N281" s="96"/>
      <c r="O281" s="101" t="n">
        <f aca="false">IF(Compare!$E$5="Local prices",IF(F281="","",IF(Compare!$C$5="Minimum",F281,IF(Compare!$C$5="Maximum",H281,G281))),IF(I281="","",IF(Compare!$C$5="Minimum",I281,IF(Compare!$C$5="Maximum",K281,J281))))</f>
        <v>6.018765</v>
      </c>
    </row>
    <row r="282" customFormat="false" ht="13.5" hidden="false" customHeight="false" outlineLevel="0" collapsed="false">
      <c r="B282" s="36" t="s">
        <v>76</v>
      </c>
      <c r="C282" s="98" t="s">
        <v>18</v>
      </c>
      <c r="D282" s="98" t="s">
        <v>244</v>
      </c>
      <c r="E282" s="98" t="s">
        <v>491</v>
      </c>
      <c r="F282" s="99" t="n">
        <f aca="false">IF(COUNTIFS(Offers!$B$7:$B$3000,$B282,Offers!$C$7:$C$3000,$C282,Offers!$AH$7:$AH$3000,"yes")=0,"",SUMIFS(Offers!$H$7:$H$3000,Offers!$B$7:$B$3000,$B282,Offers!$C$7:$C$3000,$C282,Offers!$AF$7:$AF$3000,1))</f>
        <v>3.75</v>
      </c>
      <c r="G282" s="93" t="n">
        <f aca="false">IF(COUNTIFS(Offers!$B$7:$B$3000,$B282,Offers!$C$7:$C$3000,$C282,Offers!$AH$7:$AH$3000,"yes")=0,"",(SUMIFS(Offers!$H$7:$H$3000,Offers!$B$7:$B$3000,$B282,Offers!$C$7:$C$3000,$C282,Offers!$AF$7:$AF$3000,ROUNDUP(COUNTIFS(Offers!$B$7:$B$3000,$B282,Offers!$C$7:$C$3000,$C282,Offers!$AH$7:$AH$3000,"yes")/2,0))+SUMIFS(Offers!$H$7:$H$3000,Offers!$B$7:$B$3000,$B282,Offers!$C$7:$C$3000,$C282,Offers!$AF$7:$AF$3000,INT(COUNTIFS(Offers!$B$7:$B$3000,$B282,Offers!$C$7:$C$3000,$C282,Offers!$AH$7:$AH$3000,"yes")/2)+1))/2)</f>
        <v>5.55</v>
      </c>
      <c r="H282" s="99" t="n">
        <f aca="false">IF(COUNTIFS(Offers!$B$7:$B$3000,$B282,Offers!$C$7:$C$3000,$C282,Offers!$AH$7:$AH$3000,"yes")=0,"",SUMIFS(Offers!$H$7:$H$3000,Offers!$B$7:$B$3000,$B282,Offers!$C$7:$C$3000,$C282,Offers!$AF$7:$AF$3000,COUNTIFS(Offers!$B$7:$B$3000,$B282,Offers!$C$7:$C$3000,$C282,Offers!$AH$7:$AH$3000,"yes")))</f>
        <v>14.44</v>
      </c>
      <c r="I282" s="100" t="n">
        <f aca="false">IF(COUNTIFS(Offers!$B$7:$B$3000,$B282,Offers!$C$7:$C$3000,$C282,Offers!$AI$7:$AI$3000,"yes")=0,"",SUMIFS(Offers!$I$7:$I$3000,Offers!$B$7:$B$3000,$B282,Offers!$C$7:$C$3000,$C282,Offers!$AG$7:$AG$3000,1))</f>
        <v>3.75</v>
      </c>
      <c r="J282" s="95" t="n">
        <f aca="false">IF(COUNTIFS(Offers!$B$7:$B$3000,$B282,Offers!$C$7:$C$3000,$C282,Offers!$AI$7:$AI$3000,"yes")=0,"",(SUMIFS(Offers!$I$7:$I$3000,Offers!$B$7:$B$3000,$B282,Offers!$C$7:$C$3000,$C282,Offers!$AG$7:$AG$3000,ROUNDUP(COUNTIFS(Offers!$B$7:$B$3000,$B282,Offers!$C$7:$C$3000,$C282,Offers!$AI$7:$AI$3000,"yes")/2,0))+SUMIFS(Offers!$I$7:$I$3000,Offers!$B$7:$B$3000,$B282,Offers!$C$7:$C$3000,$C282,Offers!$AG$7:$AG$3000,INT(COUNTIFS(Offers!$B$7:$B$3000,$B282,Offers!$C$7:$C$3000,$C282,Offers!$AI$7:$AI$3000,"yes")/2)+1))/2)</f>
        <v>5.55</v>
      </c>
      <c r="K282" s="100" t="n">
        <f aca="false">IF(COUNTIFS(Offers!$B$7:$B$3000,$B282,Offers!$C$7:$C$3000,$C282,Offers!$AI$7:$AI$3000,"yes")=0,"",SUMIFS(Offers!$I$7:$I$3000,Offers!$B$7:$B$3000,$B282,Offers!$C$7:$C$3000,$C282,Offers!$AG$7:$AG$3000,COUNTIFS(Offers!$B$7:$B$3000,$B282,Offers!$C$7:$C$3000,$C282,Offers!$AI$7:$AI$3000,"yes")))</f>
        <v>14.44</v>
      </c>
      <c r="L282" s="96"/>
      <c r="M282" s="96"/>
      <c r="N282" s="96"/>
      <c r="O282" s="101" t="n">
        <f aca="false">IF(Compare!$E$5="Local prices",IF(F282="","",IF(Compare!$C$5="Minimum",F282,IF(Compare!$C$5="Maximum",H282,G282))),IF(I282="","",IF(Compare!$C$5="Minimum",I282,IF(Compare!$C$5="Maximum",K282,J282))))</f>
        <v>5.55</v>
      </c>
    </row>
    <row r="283" customFormat="false" ht="13.5" hidden="false" customHeight="false" outlineLevel="0" collapsed="false">
      <c r="B283" s="36" t="s">
        <v>77</v>
      </c>
      <c r="C283" s="98" t="s">
        <v>13</v>
      </c>
      <c r="D283" s="98" t="s">
        <v>490</v>
      </c>
      <c r="E283" s="98" t="s">
        <v>491</v>
      </c>
      <c r="F283" s="99" t="str">
        <f aca="false">IF(COUNTIFS(Offers!$B$7:$B$3000,$B283,Offers!$C$7:$C$3000,$C283,Offers!$AH$7:$AH$3000,"yes")=0,"",SUMIFS(Offers!$H$7:$H$3000,Offers!$B$7:$B$3000,$B283,Offers!$C$7:$C$3000,$C283,Offers!$AF$7:$AF$3000,1))</f>
        <v/>
      </c>
      <c r="G283" s="93" t="str">
        <f aca="false">IF(COUNTIFS(Offers!$B$7:$B$3000,$B283,Offers!$C$7:$C$3000,$C283,Offers!$AH$7:$AH$3000,"yes")=0,"",(SUMIFS(Offers!$H$7:$H$3000,Offers!$B$7:$B$3000,$B283,Offers!$C$7:$C$3000,$C283,Offers!$AF$7:$AF$3000,ROUNDUP(COUNTIFS(Offers!$B$7:$B$3000,$B283,Offers!$C$7:$C$3000,$C283,Offers!$AH$7:$AH$3000,"yes")/2,0))+SUMIFS(Offers!$H$7:$H$3000,Offers!$B$7:$B$3000,$B283,Offers!$C$7:$C$3000,$C283,Offers!$AF$7:$AF$3000,INT(COUNTIFS(Offers!$B$7:$B$3000,$B283,Offers!$C$7:$C$3000,$C283,Offers!$AH$7:$AH$3000,"yes")/2)+1))/2)</f>
        <v/>
      </c>
      <c r="H283" s="99" t="str">
        <f aca="false">IF(COUNTIFS(Offers!$B$7:$B$3000,$B283,Offers!$C$7:$C$3000,$C283,Offers!$AH$7:$AH$3000,"yes")=0,"",SUMIFS(Offers!$H$7:$H$3000,Offers!$B$7:$B$3000,$B283,Offers!$C$7:$C$3000,$C283,Offers!$AF$7:$AF$3000,COUNTIFS(Offers!$B$7:$B$3000,$B283,Offers!$C$7:$C$3000,$C283,Offers!$AH$7:$AH$3000,"yes")))</f>
        <v/>
      </c>
      <c r="I283" s="100" t="str">
        <f aca="false">IF(COUNTIFS(Offers!$B$7:$B$3000,$B283,Offers!$C$7:$C$3000,$C283,Offers!$AI$7:$AI$3000,"yes")=0,"",SUMIFS(Offers!$I$7:$I$3000,Offers!$B$7:$B$3000,$B283,Offers!$C$7:$C$3000,$C283,Offers!$AG$7:$AG$3000,1))</f>
        <v/>
      </c>
      <c r="J283" s="95" t="str">
        <f aca="false">IF(COUNTIFS(Offers!$B$7:$B$3000,$B283,Offers!$C$7:$C$3000,$C283,Offers!$AI$7:$AI$3000,"yes")=0,"",(SUMIFS(Offers!$I$7:$I$3000,Offers!$B$7:$B$3000,$B283,Offers!$C$7:$C$3000,$C283,Offers!$AG$7:$AG$3000,ROUNDUP(COUNTIFS(Offers!$B$7:$B$3000,$B283,Offers!$C$7:$C$3000,$C283,Offers!$AI$7:$AI$3000,"yes")/2,0))+SUMIFS(Offers!$I$7:$I$3000,Offers!$B$7:$B$3000,$B283,Offers!$C$7:$C$3000,$C283,Offers!$AG$7:$AG$3000,INT(COUNTIFS(Offers!$B$7:$B$3000,$B283,Offers!$C$7:$C$3000,$C283,Offers!$AI$7:$AI$3000,"yes")/2)+1))/2)</f>
        <v/>
      </c>
      <c r="K283" s="100" t="str">
        <f aca="false">IF(COUNTIFS(Offers!$B$7:$B$3000,$B283,Offers!$C$7:$C$3000,$C283,Offers!$AI$7:$AI$3000,"yes")=0,"",SUMIFS(Offers!$I$7:$I$3000,Offers!$B$7:$B$3000,$B283,Offers!$C$7:$C$3000,$C283,Offers!$AG$7:$AG$3000,COUNTIFS(Offers!$B$7:$B$3000,$B283,Offers!$C$7:$C$3000,$C283,Offers!$AI$7:$AI$3000,"yes")))</f>
        <v/>
      </c>
      <c r="L283" s="96"/>
      <c r="M283" s="96"/>
      <c r="N283" s="96"/>
      <c r="O283" s="110" t="str">
        <f aca="false">IF(Compare!$E$5="Local prices",IF(F283="","",IF(Compare!$C$5="Minimum",F283,IF(Compare!$C$5="Maximum",H283,G283))),IF(I283="","",IF(Compare!$C$5="Minimum",I283,IF(Compare!$C$5="Maximum",K283,J283))))</f>
        <v/>
      </c>
    </row>
    <row r="284" customFormat="false" ht="13.5" hidden="false" customHeight="false" outlineLevel="0" collapsed="false">
      <c r="B284" s="36" t="s">
        <v>77</v>
      </c>
      <c r="C284" s="98" t="s">
        <v>14</v>
      </c>
      <c r="D284" s="98" t="s">
        <v>374</v>
      </c>
      <c r="E284" s="98" t="s">
        <v>491</v>
      </c>
      <c r="F284" s="99" t="n">
        <f aca="false">IF(COUNTIFS(Offers!$B$7:$B$3000,$B284,Offers!$C$7:$C$3000,$C284,Offers!$AH$7:$AH$3000,"yes")=0,"",SUMIFS(Offers!$H$7:$H$3000,Offers!$B$7:$B$3000,$B284,Offers!$C$7:$C$3000,$C284,Offers!$AF$7:$AF$3000,1))</f>
        <v>4</v>
      </c>
      <c r="G284" s="93" t="n">
        <f aca="false">IF(COUNTIFS(Offers!$B$7:$B$3000,$B284,Offers!$C$7:$C$3000,$C284,Offers!$AH$7:$AH$3000,"yes")=0,"",(SUMIFS(Offers!$H$7:$H$3000,Offers!$B$7:$B$3000,$B284,Offers!$C$7:$C$3000,$C284,Offers!$AF$7:$AF$3000,ROUNDUP(COUNTIFS(Offers!$B$7:$B$3000,$B284,Offers!$C$7:$C$3000,$C284,Offers!$AH$7:$AH$3000,"yes")/2,0))+SUMIFS(Offers!$H$7:$H$3000,Offers!$B$7:$B$3000,$B284,Offers!$C$7:$C$3000,$C284,Offers!$AF$7:$AF$3000,INT(COUNTIFS(Offers!$B$7:$B$3000,$B284,Offers!$C$7:$C$3000,$C284,Offers!$AH$7:$AH$3000,"yes")/2)+1))/2)</f>
        <v>34.17</v>
      </c>
      <c r="H284" s="99" t="n">
        <f aca="false">IF(COUNTIFS(Offers!$B$7:$B$3000,$B284,Offers!$C$7:$C$3000,$C284,Offers!$AH$7:$AH$3000,"yes")=0,"",SUMIFS(Offers!$H$7:$H$3000,Offers!$B$7:$B$3000,$B284,Offers!$C$7:$C$3000,$C284,Offers!$AF$7:$AF$3000,COUNTIFS(Offers!$B$7:$B$3000,$B284,Offers!$C$7:$C$3000,$C284,Offers!$AH$7:$AH$3000,"yes")))</f>
        <v>44.46</v>
      </c>
      <c r="I284" s="100" t="n">
        <f aca="false">IF(COUNTIFS(Offers!$B$7:$B$3000,$B284,Offers!$C$7:$C$3000,$C284,Offers!$AI$7:$AI$3000,"yes")=0,"",SUMIFS(Offers!$I$7:$I$3000,Offers!$B$7:$B$3000,$B284,Offers!$C$7:$C$3000,$C284,Offers!$AG$7:$AG$3000,1))</f>
        <v>4</v>
      </c>
      <c r="J284" s="95" t="n">
        <f aca="false">IF(COUNTIFS(Offers!$B$7:$B$3000,$B284,Offers!$C$7:$C$3000,$C284,Offers!$AI$7:$AI$3000,"yes")=0,"",(SUMIFS(Offers!$I$7:$I$3000,Offers!$B$7:$B$3000,$B284,Offers!$C$7:$C$3000,$C284,Offers!$AG$7:$AG$3000,ROUNDUP(COUNTIFS(Offers!$B$7:$B$3000,$B284,Offers!$C$7:$C$3000,$C284,Offers!$AI$7:$AI$3000,"yes")/2,0))+SUMIFS(Offers!$I$7:$I$3000,Offers!$B$7:$B$3000,$B284,Offers!$C$7:$C$3000,$C284,Offers!$AG$7:$AG$3000,INT(COUNTIFS(Offers!$B$7:$B$3000,$B284,Offers!$C$7:$C$3000,$C284,Offers!$AI$7:$AI$3000,"yes")/2)+1))/2)</f>
        <v>6.474483</v>
      </c>
      <c r="K284" s="100" t="n">
        <f aca="false">IF(COUNTIFS(Offers!$B$7:$B$3000,$B284,Offers!$C$7:$C$3000,$C284,Offers!$AI$7:$AI$3000,"yes")=0,"",SUMIFS(Offers!$I$7:$I$3000,Offers!$B$7:$B$3000,$B284,Offers!$C$7:$C$3000,$C284,Offers!$AG$7:$AG$3000,COUNTIFS(Offers!$B$7:$B$3000,$B284,Offers!$C$7:$C$3000,$C284,Offers!$AI$7:$AI$3000,"yes")))</f>
        <v>8.424217</v>
      </c>
      <c r="L284" s="96"/>
      <c r="M284" s="96"/>
      <c r="N284" s="96"/>
      <c r="O284" s="101" t="n">
        <f aca="false">IF(Compare!$E$5="Local prices",IF(F284="","",IF(Compare!$C$5="Minimum",F284,IF(Compare!$C$5="Maximum",H284,G284))),IF(I284="","",IF(Compare!$C$5="Minimum",I284,IF(Compare!$C$5="Maximum",K284,J284))))</f>
        <v>6.474483</v>
      </c>
    </row>
    <row r="285" customFormat="false" ht="13.5" hidden="false" customHeight="false" outlineLevel="0" collapsed="false">
      <c r="B285" s="36" t="s">
        <v>77</v>
      </c>
      <c r="C285" s="98" t="s">
        <v>15</v>
      </c>
      <c r="D285" s="98" t="s">
        <v>244</v>
      </c>
      <c r="E285" s="98" t="s">
        <v>491</v>
      </c>
      <c r="F285" s="99" t="n">
        <f aca="false">IF(COUNTIFS(Offers!$B$7:$B$3000,$B285,Offers!$C$7:$C$3000,$C285,Offers!$AH$7:$AH$3000,"yes")=0,"",SUMIFS(Offers!$H$7:$H$3000,Offers!$B$7:$B$3000,$B285,Offers!$C$7:$C$3000,$C285,Offers!$AF$7:$AF$3000,1))</f>
        <v>7.8</v>
      </c>
      <c r="G285" s="93" t="n">
        <f aca="false">IF(COUNTIFS(Offers!$B$7:$B$3000,$B285,Offers!$C$7:$C$3000,$C285,Offers!$AH$7:$AH$3000,"yes")=0,"",(SUMIFS(Offers!$H$7:$H$3000,Offers!$B$7:$B$3000,$B285,Offers!$C$7:$C$3000,$C285,Offers!$AF$7:$AF$3000,ROUNDUP(COUNTIFS(Offers!$B$7:$B$3000,$B285,Offers!$C$7:$C$3000,$C285,Offers!$AH$7:$AH$3000,"yes")/2,0))+SUMIFS(Offers!$H$7:$H$3000,Offers!$B$7:$B$3000,$B285,Offers!$C$7:$C$3000,$C285,Offers!$AF$7:$AF$3000,INT(COUNTIFS(Offers!$B$7:$B$3000,$B285,Offers!$C$7:$C$3000,$C285,Offers!$AH$7:$AH$3000,"yes")/2)+1))/2)</f>
        <v>12</v>
      </c>
      <c r="H285" s="99" t="n">
        <f aca="false">IF(COUNTIFS(Offers!$B$7:$B$3000,$B285,Offers!$C$7:$C$3000,$C285,Offers!$AH$7:$AH$3000,"yes")=0,"",SUMIFS(Offers!$H$7:$H$3000,Offers!$B$7:$B$3000,$B285,Offers!$C$7:$C$3000,$C285,Offers!$AF$7:$AF$3000,COUNTIFS(Offers!$B$7:$B$3000,$B285,Offers!$C$7:$C$3000,$C285,Offers!$AH$7:$AH$3000,"yes")))</f>
        <v>21</v>
      </c>
      <c r="I285" s="100" t="n">
        <f aca="false">IF(COUNTIFS(Offers!$B$7:$B$3000,$B285,Offers!$C$7:$C$3000,$C285,Offers!$AI$7:$AI$3000,"yes")=0,"",SUMIFS(Offers!$I$7:$I$3000,Offers!$B$7:$B$3000,$B285,Offers!$C$7:$C$3000,$C285,Offers!$AG$7:$AG$3000,1))</f>
        <v>7.8</v>
      </c>
      <c r="J285" s="95" t="n">
        <f aca="false">IF(COUNTIFS(Offers!$B$7:$B$3000,$B285,Offers!$C$7:$C$3000,$C285,Offers!$AI$7:$AI$3000,"yes")=0,"",(SUMIFS(Offers!$I$7:$I$3000,Offers!$B$7:$B$3000,$B285,Offers!$C$7:$C$3000,$C285,Offers!$AG$7:$AG$3000,ROUNDUP(COUNTIFS(Offers!$B$7:$B$3000,$B285,Offers!$C$7:$C$3000,$C285,Offers!$AI$7:$AI$3000,"yes")/2,0))+SUMIFS(Offers!$I$7:$I$3000,Offers!$B$7:$B$3000,$B285,Offers!$C$7:$C$3000,$C285,Offers!$AG$7:$AG$3000,INT(COUNTIFS(Offers!$B$7:$B$3000,$B285,Offers!$C$7:$C$3000,$C285,Offers!$AI$7:$AI$3000,"yes")/2)+1))/2)</f>
        <v>12</v>
      </c>
      <c r="K285" s="100" t="n">
        <f aca="false">IF(COUNTIFS(Offers!$B$7:$B$3000,$B285,Offers!$C$7:$C$3000,$C285,Offers!$AI$7:$AI$3000,"yes")=0,"",SUMIFS(Offers!$I$7:$I$3000,Offers!$B$7:$B$3000,$B285,Offers!$C$7:$C$3000,$C285,Offers!$AG$7:$AG$3000,COUNTIFS(Offers!$B$7:$B$3000,$B285,Offers!$C$7:$C$3000,$C285,Offers!$AI$7:$AI$3000,"yes")))</f>
        <v>21</v>
      </c>
      <c r="L285" s="96"/>
      <c r="M285" s="96"/>
      <c r="N285" s="96"/>
      <c r="O285" s="101" t="n">
        <f aca="false">IF(Compare!$E$5="Local prices",IF(F285="","",IF(Compare!$C$5="Minimum",F285,IF(Compare!$C$5="Maximum",H285,G285))),IF(I285="","",IF(Compare!$C$5="Minimum",I285,IF(Compare!$C$5="Maximum",K285,J285))))</f>
        <v>12</v>
      </c>
    </row>
    <row r="286" customFormat="false" ht="13.5" hidden="false" customHeight="false" outlineLevel="0" collapsed="false">
      <c r="B286" s="36" t="s">
        <v>77</v>
      </c>
      <c r="C286" s="98" t="s">
        <v>16</v>
      </c>
      <c r="D286" s="98" t="s">
        <v>244</v>
      </c>
      <c r="E286" s="98" t="s">
        <v>491</v>
      </c>
      <c r="F286" s="99" t="n">
        <f aca="false">IF(COUNTIFS(Offers!$B$7:$B$3000,$B286,Offers!$C$7:$C$3000,$C286,Offers!$AH$7:$AH$3000,"yes")=0,"",SUMIFS(Offers!$H$7:$H$3000,Offers!$B$7:$B$3000,$B286,Offers!$C$7:$C$3000,$C286,Offers!$AF$7:$AF$3000,1))</f>
        <v>8.59</v>
      </c>
      <c r="G286" s="93" t="n">
        <f aca="false">IF(COUNTIFS(Offers!$B$7:$B$3000,$B286,Offers!$C$7:$C$3000,$C286,Offers!$AH$7:$AH$3000,"yes")=0,"",(SUMIFS(Offers!$H$7:$H$3000,Offers!$B$7:$B$3000,$B286,Offers!$C$7:$C$3000,$C286,Offers!$AF$7:$AF$3000,ROUNDUP(COUNTIFS(Offers!$B$7:$B$3000,$B286,Offers!$C$7:$C$3000,$C286,Offers!$AH$7:$AH$3000,"yes")/2,0))+SUMIFS(Offers!$H$7:$H$3000,Offers!$B$7:$B$3000,$B286,Offers!$C$7:$C$3000,$C286,Offers!$AF$7:$AF$3000,INT(COUNTIFS(Offers!$B$7:$B$3000,$B286,Offers!$C$7:$C$3000,$C286,Offers!$AH$7:$AH$3000,"yes")/2)+1))/2)</f>
        <v>9.12</v>
      </c>
      <c r="H286" s="99" t="n">
        <f aca="false">IF(COUNTIFS(Offers!$B$7:$B$3000,$B286,Offers!$C$7:$C$3000,$C286,Offers!$AH$7:$AH$3000,"yes")=0,"",SUMIFS(Offers!$H$7:$H$3000,Offers!$B$7:$B$3000,$B286,Offers!$C$7:$C$3000,$C286,Offers!$AF$7:$AF$3000,COUNTIFS(Offers!$B$7:$B$3000,$B286,Offers!$C$7:$C$3000,$C286,Offers!$AH$7:$AH$3000,"yes")))</f>
        <v>21</v>
      </c>
      <c r="I286" s="100" t="n">
        <f aca="false">IF(COUNTIFS(Offers!$B$7:$B$3000,$B286,Offers!$C$7:$C$3000,$C286,Offers!$AI$7:$AI$3000,"yes")=0,"",SUMIFS(Offers!$I$7:$I$3000,Offers!$B$7:$B$3000,$B286,Offers!$C$7:$C$3000,$C286,Offers!$AG$7:$AG$3000,1))</f>
        <v>8.59</v>
      </c>
      <c r="J286" s="95" t="n">
        <f aca="false">IF(COUNTIFS(Offers!$B$7:$B$3000,$B286,Offers!$C$7:$C$3000,$C286,Offers!$AI$7:$AI$3000,"yes")=0,"",(SUMIFS(Offers!$I$7:$I$3000,Offers!$B$7:$B$3000,$B286,Offers!$C$7:$C$3000,$C286,Offers!$AG$7:$AG$3000,ROUNDUP(COUNTIFS(Offers!$B$7:$B$3000,$B286,Offers!$C$7:$C$3000,$C286,Offers!$AI$7:$AI$3000,"yes")/2,0))+SUMIFS(Offers!$I$7:$I$3000,Offers!$B$7:$B$3000,$B286,Offers!$C$7:$C$3000,$C286,Offers!$AG$7:$AG$3000,INT(COUNTIFS(Offers!$B$7:$B$3000,$B286,Offers!$C$7:$C$3000,$C286,Offers!$AI$7:$AI$3000,"yes")/2)+1))/2)</f>
        <v>9.12</v>
      </c>
      <c r="K286" s="100" t="n">
        <f aca="false">IF(COUNTIFS(Offers!$B$7:$B$3000,$B286,Offers!$C$7:$C$3000,$C286,Offers!$AI$7:$AI$3000,"yes")=0,"",SUMIFS(Offers!$I$7:$I$3000,Offers!$B$7:$B$3000,$B286,Offers!$C$7:$C$3000,$C286,Offers!$AG$7:$AG$3000,COUNTIFS(Offers!$B$7:$B$3000,$B286,Offers!$C$7:$C$3000,$C286,Offers!$AI$7:$AI$3000,"yes")))</f>
        <v>21</v>
      </c>
      <c r="L286" s="96"/>
      <c r="M286" s="96"/>
      <c r="N286" s="96"/>
      <c r="O286" s="101" t="n">
        <f aca="false">IF(Compare!$E$5="Local prices",IF(F286="","",IF(Compare!$C$5="Minimum",F286,IF(Compare!$C$5="Maximum",H286,G286))),IF(I286="","",IF(Compare!$C$5="Minimum",I286,IF(Compare!$C$5="Maximum",K286,J286))))</f>
        <v>9.12</v>
      </c>
    </row>
    <row r="287" customFormat="false" ht="13.5" hidden="false" customHeight="false" outlineLevel="0" collapsed="false">
      <c r="B287" s="36" t="s">
        <v>77</v>
      </c>
      <c r="C287" s="98" t="s">
        <v>17</v>
      </c>
      <c r="D287" s="98" t="s">
        <v>333</v>
      </c>
      <c r="E287" s="98" t="s">
        <v>491</v>
      </c>
      <c r="F287" s="99" t="n">
        <f aca="false">IF(COUNTIFS(Offers!$B$7:$B$3000,$B287,Offers!$C$7:$C$3000,$C287,Offers!$AH$7:$AH$3000,"yes")=0,"",SUMIFS(Offers!$H$7:$H$3000,Offers!$B$7:$B$3000,$B287,Offers!$C$7:$C$3000,$C287,Offers!$AF$7:$AF$3000,1))</f>
        <v>115.7</v>
      </c>
      <c r="G287" s="93" t="n">
        <f aca="false">IF(COUNTIFS(Offers!$B$7:$B$3000,$B287,Offers!$C$7:$C$3000,$C287,Offers!$AH$7:$AH$3000,"yes")=0,"",(SUMIFS(Offers!$H$7:$H$3000,Offers!$B$7:$B$3000,$B287,Offers!$C$7:$C$3000,$C287,Offers!$AF$7:$AF$3000,ROUNDUP(COUNTIFS(Offers!$B$7:$B$3000,$B287,Offers!$C$7:$C$3000,$C287,Offers!$AH$7:$AH$3000,"yes")/2,0))+SUMIFS(Offers!$H$7:$H$3000,Offers!$B$7:$B$3000,$B287,Offers!$C$7:$C$3000,$C287,Offers!$AF$7:$AF$3000,INT(COUNTIFS(Offers!$B$7:$B$3000,$B287,Offers!$C$7:$C$3000,$C287,Offers!$AH$7:$AH$3000,"yes")/2)+1))/2)</f>
        <v>160</v>
      </c>
      <c r="H287" s="99" t="n">
        <f aca="false">IF(COUNTIFS(Offers!$B$7:$B$3000,$B287,Offers!$C$7:$C$3000,$C287,Offers!$AH$7:$AH$3000,"yes")=0,"",SUMIFS(Offers!$H$7:$H$3000,Offers!$B$7:$B$3000,$B287,Offers!$C$7:$C$3000,$C287,Offers!$AF$7:$AF$3000,COUNTIFS(Offers!$B$7:$B$3000,$B287,Offers!$C$7:$C$3000,$C287,Offers!$AH$7:$AH$3000,"yes")))</f>
        <v>361</v>
      </c>
      <c r="I287" s="100" t="n">
        <f aca="false">IF(COUNTIFS(Offers!$B$7:$B$3000,$B287,Offers!$C$7:$C$3000,$C287,Offers!$AI$7:$AI$3000,"yes")=0,"",SUMIFS(Offers!$I$7:$I$3000,Offers!$B$7:$B$3000,$B287,Offers!$C$7:$C$3000,$C287,Offers!$AG$7:$AG$3000,1))</f>
        <v>4.737218</v>
      </c>
      <c r="J287" s="95" t="n">
        <f aca="false">IF(COUNTIFS(Offers!$B$7:$B$3000,$B287,Offers!$C$7:$C$3000,$C287,Offers!$AI$7:$AI$3000,"yes")=0,"",(SUMIFS(Offers!$I$7:$I$3000,Offers!$B$7:$B$3000,$B287,Offers!$C$7:$C$3000,$C287,Offers!$AG$7:$AG$3000,ROUNDUP(COUNTIFS(Offers!$B$7:$B$3000,$B287,Offers!$C$7:$C$3000,$C287,Offers!$AI$7:$AI$3000,"yes")/2,0))+SUMIFS(Offers!$I$7:$I$3000,Offers!$B$7:$B$3000,$B287,Offers!$C$7:$C$3000,$C287,Offers!$AG$7:$AG$3000,INT(COUNTIFS(Offers!$B$7:$B$3000,$B287,Offers!$C$7:$C$3000,$C287,Offers!$AI$7:$AI$3000,"yes")/2)+1))/2)</f>
        <v>6.551037</v>
      </c>
      <c r="K287" s="100" t="n">
        <f aca="false">IF(COUNTIFS(Offers!$B$7:$B$3000,$B287,Offers!$C$7:$C$3000,$C287,Offers!$AI$7:$AI$3000,"yes")=0,"",SUMIFS(Offers!$I$7:$I$3000,Offers!$B$7:$B$3000,$B287,Offers!$C$7:$C$3000,$C287,Offers!$AG$7:$AG$3000,COUNTIFS(Offers!$B$7:$B$3000,$B287,Offers!$C$7:$C$3000,$C287,Offers!$AI$7:$AI$3000,"yes")))</f>
        <v>14.780776</v>
      </c>
      <c r="L287" s="96"/>
      <c r="M287" s="96"/>
      <c r="N287" s="96"/>
      <c r="O287" s="101" t="n">
        <f aca="false">IF(Compare!$E$5="Local prices",IF(F287="","",IF(Compare!$C$5="Minimum",F287,IF(Compare!$C$5="Maximum",H287,G287))),IF(I287="","",IF(Compare!$C$5="Minimum",I287,IF(Compare!$C$5="Maximum",K287,J287))))</f>
        <v>6.551037</v>
      </c>
    </row>
    <row r="288" customFormat="false" ht="13.5" hidden="false" customHeight="false" outlineLevel="0" collapsed="false">
      <c r="B288" s="36" t="s">
        <v>77</v>
      </c>
      <c r="C288" s="98" t="s">
        <v>18</v>
      </c>
      <c r="D288" s="98" t="s">
        <v>244</v>
      </c>
      <c r="E288" s="98" t="s">
        <v>491</v>
      </c>
      <c r="F288" s="99" t="n">
        <f aca="false">IF(COUNTIFS(Offers!$B$7:$B$3000,$B288,Offers!$C$7:$C$3000,$C288,Offers!$AH$7:$AH$3000,"yes")=0,"",SUMIFS(Offers!$H$7:$H$3000,Offers!$B$7:$B$3000,$B288,Offers!$C$7:$C$3000,$C288,Offers!$AF$7:$AF$3000,1))</f>
        <v>5.01</v>
      </c>
      <c r="G288" s="93" t="n">
        <f aca="false">IF(COUNTIFS(Offers!$B$7:$B$3000,$B288,Offers!$C$7:$C$3000,$C288,Offers!$AH$7:$AH$3000,"yes")=0,"",(SUMIFS(Offers!$H$7:$H$3000,Offers!$B$7:$B$3000,$B288,Offers!$C$7:$C$3000,$C288,Offers!$AF$7:$AF$3000,ROUNDUP(COUNTIFS(Offers!$B$7:$B$3000,$B288,Offers!$C$7:$C$3000,$C288,Offers!$AH$7:$AH$3000,"yes")/2,0))+SUMIFS(Offers!$H$7:$H$3000,Offers!$B$7:$B$3000,$B288,Offers!$C$7:$C$3000,$C288,Offers!$AF$7:$AF$3000,INT(COUNTIFS(Offers!$B$7:$B$3000,$B288,Offers!$C$7:$C$3000,$C288,Offers!$AH$7:$AH$3000,"yes")/2)+1))/2)</f>
        <v>7.74</v>
      </c>
      <c r="H288" s="99" t="n">
        <f aca="false">IF(COUNTIFS(Offers!$B$7:$B$3000,$B288,Offers!$C$7:$C$3000,$C288,Offers!$AH$7:$AH$3000,"yes")=0,"",SUMIFS(Offers!$H$7:$H$3000,Offers!$B$7:$B$3000,$B288,Offers!$C$7:$C$3000,$C288,Offers!$AF$7:$AF$3000,COUNTIFS(Offers!$B$7:$B$3000,$B288,Offers!$C$7:$C$3000,$C288,Offers!$AH$7:$AH$3000,"yes")))</f>
        <v>14.04</v>
      </c>
      <c r="I288" s="100" t="n">
        <f aca="false">IF(COUNTIFS(Offers!$B$7:$B$3000,$B288,Offers!$C$7:$C$3000,$C288,Offers!$AI$7:$AI$3000,"yes")=0,"",SUMIFS(Offers!$I$7:$I$3000,Offers!$B$7:$B$3000,$B288,Offers!$C$7:$C$3000,$C288,Offers!$AG$7:$AG$3000,1))</f>
        <v>5.01</v>
      </c>
      <c r="J288" s="95" t="n">
        <f aca="false">IF(COUNTIFS(Offers!$B$7:$B$3000,$B288,Offers!$C$7:$C$3000,$C288,Offers!$AI$7:$AI$3000,"yes")=0,"",(SUMIFS(Offers!$I$7:$I$3000,Offers!$B$7:$B$3000,$B288,Offers!$C$7:$C$3000,$C288,Offers!$AG$7:$AG$3000,ROUNDUP(COUNTIFS(Offers!$B$7:$B$3000,$B288,Offers!$C$7:$C$3000,$C288,Offers!$AI$7:$AI$3000,"yes")/2,0))+SUMIFS(Offers!$I$7:$I$3000,Offers!$B$7:$B$3000,$B288,Offers!$C$7:$C$3000,$C288,Offers!$AG$7:$AG$3000,INT(COUNTIFS(Offers!$B$7:$B$3000,$B288,Offers!$C$7:$C$3000,$C288,Offers!$AI$7:$AI$3000,"yes")/2)+1))/2)</f>
        <v>7.74</v>
      </c>
      <c r="K288" s="100" t="n">
        <f aca="false">IF(COUNTIFS(Offers!$B$7:$B$3000,$B288,Offers!$C$7:$C$3000,$C288,Offers!$AI$7:$AI$3000,"yes")=0,"",SUMIFS(Offers!$I$7:$I$3000,Offers!$B$7:$B$3000,$B288,Offers!$C$7:$C$3000,$C288,Offers!$AG$7:$AG$3000,COUNTIFS(Offers!$B$7:$B$3000,$B288,Offers!$C$7:$C$3000,$C288,Offers!$AI$7:$AI$3000,"yes")))</f>
        <v>14.04</v>
      </c>
      <c r="L288" s="96"/>
      <c r="M288" s="96"/>
      <c r="N288" s="96"/>
      <c r="O288" s="101" t="n">
        <f aca="false">IF(Compare!$E$5="Local prices",IF(F288="","",IF(Compare!$C$5="Minimum",F288,IF(Compare!$C$5="Maximum",H288,G288))),IF(I288="","",IF(Compare!$C$5="Minimum",I288,IF(Compare!$C$5="Maximum",K288,J288))))</f>
        <v>7.74</v>
      </c>
    </row>
    <row r="289" customFormat="false" ht="13.5" hidden="false" customHeight="false" outlineLevel="0" collapsed="false">
      <c r="B289" s="36" t="s">
        <v>78</v>
      </c>
      <c r="C289" s="98" t="s">
        <v>13</v>
      </c>
      <c r="D289" s="98" t="s">
        <v>490</v>
      </c>
      <c r="E289" s="98" t="s">
        <v>491</v>
      </c>
      <c r="F289" s="99" t="str">
        <f aca="false">IF(COUNTIFS(Offers!$B$7:$B$3000,$B289,Offers!$C$7:$C$3000,$C289,Offers!$AH$7:$AH$3000,"yes")=0,"",SUMIFS(Offers!$H$7:$H$3000,Offers!$B$7:$B$3000,$B289,Offers!$C$7:$C$3000,$C289,Offers!$AF$7:$AF$3000,1))</f>
        <v/>
      </c>
      <c r="G289" s="93" t="str">
        <f aca="false">IF(COUNTIFS(Offers!$B$7:$B$3000,$B289,Offers!$C$7:$C$3000,$C289,Offers!$AH$7:$AH$3000,"yes")=0,"",(SUMIFS(Offers!$H$7:$H$3000,Offers!$B$7:$B$3000,$B289,Offers!$C$7:$C$3000,$C289,Offers!$AF$7:$AF$3000,ROUNDUP(COUNTIFS(Offers!$B$7:$B$3000,$B289,Offers!$C$7:$C$3000,$C289,Offers!$AH$7:$AH$3000,"yes")/2,0))+SUMIFS(Offers!$H$7:$H$3000,Offers!$B$7:$B$3000,$B289,Offers!$C$7:$C$3000,$C289,Offers!$AF$7:$AF$3000,INT(COUNTIFS(Offers!$B$7:$B$3000,$B289,Offers!$C$7:$C$3000,$C289,Offers!$AH$7:$AH$3000,"yes")/2)+1))/2)</f>
        <v/>
      </c>
      <c r="H289" s="99" t="str">
        <f aca="false">IF(COUNTIFS(Offers!$B$7:$B$3000,$B289,Offers!$C$7:$C$3000,$C289,Offers!$AH$7:$AH$3000,"yes")=0,"",SUMIFS(Offers!$H$7:$H$3000,Offers!$B$7:$B$3000,$B289,Offers!$C$7:$C$3000,$C289,Offers!$AF$7:$AF$3000,COUNTIFS(Offers!$B$7:$B$3000,$B289,Offers!$C$7:$C$3000,$C289,Offers!$AH$7:$AH$3000,"yes")))</f>
        <v/>
      </c>
      <c r="I289" s="100" t="str">
        <f aca="false">IF(COUNTIFS(Offers!$B$7:$B$3000,$B289,Offers!$C$7:$C$3000,$C289,Offers!$AI$7:$AI$3000,"yes")=0,"",SUMIFS(Offers!$I$7:$I$3000,Offers!$B$7:$B$3000,$B289,Offers!$C$7:$C$3000,$C289,Offers!$AG$7:$AG$3000,1))</f>
        <v/>
      </c>
      <c r="J289" s="95" t="str">
        <f aca="false">IF(COUNTIFS(Offers!$B$7:$B$3000,$B289,Offers!$C$7:$C$3000,$C289,Offers!$AI$7:$AI$3000,"yes")=0,"",(SUMIFS(Offers!$I$7:$I$3000,Offers!$B$7:$B$3000,$B289,Offers!$C$7:$C$3000,$C289,Offers!$AG$7:$AG$3000,ROUNDUP(COUNTIFS(Offers!$B$7:$B$3000,$B289,Offers!$C$7:$C$3000,$C289,Offers!$AI$7:$AI$3000,"yes")/2,0))+SUMIFS(Offers!$I$7:$I$3000,Offers!$B$7:$B$3000,$B289,Offers!$C$7:$C$3000,$C289,Offers!$AG$7:$AG$3000,INT(COUNTIFS(Offers!$B$7:$B$3000,$B289,Offers!$C$7:$C$3000,$C289,Offers!$AI$7:$AI$3000,"yes")/2)+1))/2)</f>
        <v/>
      </c>
      <c r="K289" s="100" t="str">
        <f aca="false">IF(COUNTIFS(Offers!$B$7:$B$3000,$B289,Offers!$C$7:$C$3000,$C289,Offers!$AI$7:$AI$3000,"yes")=0,"",SUMIFS(Offers!$I$7:$I$3000,Offers!$B$7:$B$3000,$B289,Offers!$C$7:$C$3000,$C289,Offers!$AG$7:$AG$3000,COUNTIFS(Offers!$B$7:$B$3000,$B289,Offers!$C$7:$C$3000,$C289,Offers!$AI$7:$AI$3000,"yes")))</f>
        <v/>
      </c>
      <c r="L289" s="96"/>
      <c r="M289" s="96"/>
      <c r="N289" s="96"/>
      <c r="O289" s="110" t="str">
        <f aca="false">IF(Compare!$E$5="Local prices",IF(F289="","",IF(Compare!$C$5="Minimum",F289,IF(Compare!$C$5="Maximum",H289,G289))),IF(I289="","",IF(Compare!$C$5="Minimum",I289,IF(Compare!$C$5="Maximum",K289,J289))))</f>
        <v/>
      </c>
    </row>
    <row r="290" customFormat="false" ht="13.5" hidden="false" customHeight="false" outlineLevel="0" collapsed="false">
      <c r="B290" s="36" t="s">
        <v>78</v>
      </c>
      <c r="C290" s="98" t="s">
        <v>14</v>
      </c>
      <c r="D290" s="98" t="s">
        <v>374</v>
      </c>
      <c r="E290" s="98" t="s">
        <v>491</v>
      </c>
      <c r="F290" s="99" t="n">
        <f aca="false">IF(COUNTIFS(Offers!$B$7:$B$3000,$B290,Offers!$C$7:$C$3000,$C290,Offers!$AH$7:$AH$3000,"yes")=0,"",SUMIFS(Offers!$H$7:$H$3000,Offers!$B$7:$B$3000,$B290,Offers!$C$7:$C$3000,$C290,Offers!$AF$7:$AF$3000,1))</f>
        <v>1.73</v>
      </c>
      <c r="G290" s="93" t="n">
        <f aca="false">IF(COUNTIFS(Offers!$B$7:$B$3000,$B290,Offers!$C$7:$C$3000,$C290,Offers!$AH$7:$AH$3000,"yes")=0,"",(SUMIFS(Offers!$H$7:$H$3000,Offers!$B$7:$B$3000,$B290,Offers!$C$7:$C$3000,$C290,Offers!$AF$7:$AF$3000,ROUNDUP(COUNTIFS(Offers!$B$7:$B$3000,$B290,Offers!$C$7:$C$3000,$C290,Offers!$AH$7:$AH$3000,"yes")/2,0))+SUMIFS(Offers!$H$7:$H$3000,Offers!$B$7:$B$3000,$B290,Offers!$C$7:$C$3000,$C290,Offers!$AF$7:$AF$3000,INT(COUNTIFS(Offers!$B$7:$B$3000,$B290,Offers!$C$7:$C$3000,$C290,Offers!$AH$7:$AH$3000,"yes")/2)+1))/2)</f>
        <v>12.53</v>
      </c>
      <c r="H290" s="99" t="n">
        <f aca="false">IF(COUNTIFS(Offers!$B$7:$B$3000,$B290,Offers!$C$7:$C$3000,$C290,Offers!$AH$7:$AH$3000,"yes")=0,"",SUMIFS(Offers!$H$7:$H$3000,Offers!$B$7:$B$3000,$B290,Offers!$C$7:$C$3000,$C290,Offers!$AF$7:$AF$3000,COUNTIFS(Offers!$B$7:$B$3000,$B290,Offers!$C$7:$C$3000,$C290,Offers!$AH$7:$AH$3000,"yes")))</f>
        <v>23.3</v>
      </c>
      <c r="I290" s="100" t="n">
        <f aca="false">IF(COUNTIFS(Offers!$B$7:$B$3000,$B290,Offers!$C$7:$C$3000,$C290,Offers!$AI$7:$AI$3000,"yes")=0,"",SUMIFS(Offers!$I$7:$I$3000,Offers!$B$7:$B$3000,$B290,Offers!$C$7:$C$3000,$C290,Offers!$AG$7:$AG$3000,1))</f>
        <v>1.599199</v>
      </c>
      <c r="J290" s="95" t="n">
        <f aca="false">IF(COUNTIFS(Offers!$B$7:$B$3000,$B290,Offers!$C$7:$C$3000,$C290,Offers!$AI$7:$AI$3000,"yes")=0,"",(SUMIFS(Offers!$I$7:$I$3000,Offers!$B$7:$B$3000,$B290,Offers!$C$7:$C$3000,$C290,Offers!$AG$7:$AG$3000,ROUNDUP(COUNTIFS(Offers!$B$7:$B$3000,$B290,Offers!$C$7:$C$3000,$C290,Offers!$AI$7:$AI$3000,"yes")/2,0))+SUMIFS(Offers!$I$7:$I$3000,Offers!$B$7:$B$3000,$B290,Offers!$C$7:$C$3000,$C290,Offers!$AG$7:$AG$3000,INT(COUNTIFS(Offers!$B$7:$B$3000,$B290,Offers!$C$7:$C$3000,$C290,Offers!$AI$7:$AI$3000,"yes")/2)+1))/2)</f>
        <v>2.374167</v>
      </c>
      <c r="K290" s="100" t="n">
        <f aca="false">IF(COUNTIFS(Offers!$B$7:$B$3000,$B290,Offers!$C$7:$C$3000,$C290,Offers!$AI$7:$AI$3000,"yes")=0,"",SUMIFS(Offers!$I$7:$I$3000,Offers!$B$7:$B$3000,$B290,Offers!$C$7:$C$3000,$C290,Offers!$AG$7:$AG$3000,COUNTIFS(Offers!$B$7:$B$3000,$B290,Offers!$C$7:$C$3000,$C290,Offers!$AI$7:$AI$3000,"yes")))</f>
        <v>4.414851</v>
      </c>
      <c r="L290" s="96"/>
      <c r="M290" s="96"/>
      <c r="N290" s="96"/>
      <c r="O290" s="101" t="n">
        <f aca="false">IF(Compare!$E$5="Local prices",IF(F290="","",IF(Compare!$C$5="Minimum",F290,IF(Compare!$C$5="Maximum",H290,G290))),IF(I290="","",IF(Compare!$C$5="Minimum",I290,IF(Compare!$C$5="Maximum",K290,J290))))</f>
        <v>2.374167</v>
      </c>
    </row>
    <row r="291" customFormat="false" ht="13.5" hidden="false" customHeight="false" outlineLevel="0" collapsed="false">
      <c r="B291" s="36" t="s">
        <v>78</v>
      </c>
      <c r="C291" s="98" t="s">
        <v>15</v>
      </c>
      <c r="D291" s="98" t="s">
        <v>244</v>
      </c>
      <c r="E291" s="98" t="s">
        <v>491</v>
      </c>
      <c r="F291" s="99" t="n">
        <f aca="false">IF(COUNTIFS(Offers!$B$7:$B$3000,$B291,Offers!$C$7:$C$3000,$C291,Offers!$AH$7:$AH$3000,"yes")=0,"",SUMIFS(Offers!$H$7:$H$3000,Offers!$B$7:$B$3000,$B291,Offers!$C$7:$C$3000,$C291,Offers!$AF$7:$AF$3000,1))</f>
        <v>2.67</v>
      </c>
      <c r="G291" s="93" t="n">
        <f aca="false">IF(COUNTIFS(Offers!$B$7:$B$3000,$B291,Offers!$C$7:$C$3000,$C291,Offers!$AH$7:$AH$3000,"yes")=0,"",(SUMIFS(Offers!$H$7:$H$3000,Offers!$B$7:$B$3000,$B291,Offers!$C$7:$C$3000,$C291,Offers!$AF$7:$AF$3000,ROUNDUP(COUNTIFS(Offers!$B$7:$B$3000,$B291,Offers!$C$7:$C$3000,$C291,Offers!$AH$7:$AH$3000,"yes")/2,0))+SUMIFS(Offers!$H$7:$H$3000,Offers!$B$7:$B$3000,$B291,Offers!$C$7:$C$3000,$C291,Offers!$AF$7:$AF$3000,INT(COUNTIFS(Offers!$B$7:$B$3000,$B291,Offers!$C$7:$C$3000,$C291,Offers!$AH$7:$AH$3000,"yes")/2)+1))/2)</f>
        <v>3.69</v>
      </c>
      <c r="H291" s="99" t="n">
        <f aca="false">IF(COUNTIFS(Offers!$B$7:$B$3000,$B291,Offers!$C$7:$C$3000,$C291,Offers!$AH$7:$AH$3000,"yes")=0,"",SUMIFS(Offers!$H$7:$H$3000,Offers!$B$7:$B$3000,$B291,Offers!$C$7:$C$3000,$C291,Offers!$AF$7:$AF$3000,COUNTIFS(Offers!$B$7:$B$3000,$B291,Offers!$C$7:$C$3000,$C291,Offers!$AH$7:$AH$3000,"yes")))</f>
        <v>12.6</v>
      </c>
      <c r="I291" s="100" t="n">
        <f aca="false">IF(COUNTIFS(Offers!$B$7:$B$3000,$B291,Offers!$C$7:$C$3000,$C291,Offers!$AI$7:$AI$3000,"yes")=0,"",SUMIFS(Offers!$I$7:$I$3000,Offers!$B$7:$B$3000,$B291,Offers!$C$7:$C$3000,$C291,Offers!$AG$7:$AG$3000,1))</f>
        <v>2.67</v>
      </c>
      <c r="J291" s="95" t="n">
        <f aca="false">IF(COUNTIFS(Offers!$B$7:$B$3000,$B291,Offers!$C$7:$C$3000,$C291,Offers!$AI$7:$AI$3000,"yes")=0,"",(SUMIFS(Offers!$I$7:$I$3000,Offers!$B$7:$B$3000,$B291,Offers!$C$7:$C$3000,$C291,Offers!$AG$7:$AG$3000,ROUNDUP(COUNTIFS(Offers!$B$7:$B$3000,$B291,Offers!$C$7:$C$3000,$C291,Offers!$AI$7:$AI$3000,"yes")/2,0))+SUMIFS(Offers!$I$7:$I$3000,Offers!$B$7:$B$3000,$B291,Offers!$C$7:$C$3000,$C291,Offers!$AG$7:$AG$3000,INT(COUNTIFS(Offers!$B$7:$B$3000,$B291,Offers!$C$7:$C$3000,$C291,Offers!$AI$7:$AI$3000,"yes")/2)+1))/2)</f>
        <v>3.69</v>
      </c>
      <c r="K291" s="100" t="n">
        <f aca="false">IF(COUNTIFS(Offers!$B$7:$B$3000,$B291,Offers!$C$7:$C$3000,$C291,Offers!$AI$7:$AI$3000,"yes")=0,"",SUMIFS(Offers!$I$7:$I$3000,Offers!$B$7:$B$3000,$B291,Offers!$C$7:$C$3000,$C291,Offers!$AG$7:$AG$3000,COUNTIFS(Offers!$B$7:$B$3000,$B291,Offers!$C$7:$C$3000,$C291,Offers!$AI$7:$AI$3000,"yes")))</f>
        <v>12.6</v>
      </c>
      <c r="L291" s="96"/>
      <c r="M291" s="96"/>
      <c r="N291" s="96"/>
      <c r="O291" s="101" t="n">
        <f aca="false">IF(Compare!$E$5="Local prices",IF(F291="","",IF(Compare!$C$5="Minimum",F291,IF(Compare!$C$5="Maximum",H291,G291))),IF(I291="","",IF(Compare!$C$5="Minimum",I291,IF(Compare!$C$5="Maximum",K291,J291))))</f>
        <v>3.69</v>
      </c>
    </row>
    <row r="292" customFormat="false" ht="13.5" hidden="false" customHeight="false" outlineLevel="0" collapsed="false">
      <c r="B292" s="36" t="s">
        <v>78</v>
      </c>
      <c r="C292" s="98" t="s">
        <v>16</v>
      </c>
      <c r="D292" s="98" t="s">
        <v>244</v>
      </c>
      <c r="E292" s="98" t="s">
        <v>491</v>
      </c>
      <c r="F292" s="99" t="n">
        <f aca="false">IF(COUNTIFS(Offers!$B$7:$B$3000,$B292,Offers!$C$7:$C$3000,$C292,Offers!$AH$7:$AH$3000,"yes")=0,"",SUMIFS(Offers!$H$7:$H$3000,Offers!$B$7:$B$3000,$B292,Offers!$C$7:$C$3000,$C292,Offers!$AF$7:$AF$3000,1))</f>
        <v>2.5</v>
      </c>
      <c r="G292" s="93" t="n">
        <f aca="false">IF(COUNTIFS(Offers!$B$7:$B$3000,$B292,Offers!$C$7:$C$3000,$C292,Offers!$AH$7:$AH$3000,"yes")=0,"",(SUMIFS(Offers!$H$7:$H$3000,Offers!$B$7:$B$3000,$B292,Offers!$C$7:$C$3000,$C292,Offers!$AF$7:$AF$3000,ROUNDUP(COUNTIFS(Offers!$B$7:$B$3000,$B292,Offers!$C$7:$C$3000,$C292,Offers!$AH$7:$AH$3000,"yes")/2,0))+SUMIFS(Offers!$H$7:$H$3000,Offers!$B$7:$B$3000,$B292,Offers!$C$7:$C$3000,$C292,Offers!$AF$7:$AF$3000,INT(COUNTIFS(Offers!$B$7:$B$3000,$B292,Offers!$C$7:$C$3000,$C292,Offers!$AH$7:$AH$3000,"yes")/2)+1))/2)</f>
        <v>3.52</v>
      </c>
      <c r="H292" s="99" t="n">
        <f aca="false">IF(COUNTIFS(Offers!$B$7:$B$3000,$B292,Offers!$C$7:$C$3000,$C292,Offers!$AH$7:$AH$3000,"yes")=0,"",SUMIFS(Offers!$H$7:$H$3000,Offers!$B$7:$B$3000,$B292,Offers!$C$7:$C$3000,$C292,Offers!$AF$7:$AF$3000,COUNTIFS(Offers!$B$7:$B$3000,$B292,Offers!$C$7:$C$3000,$C292,Offers!$AH$7:$AH$3000,"yes")))</f>
        <v>12.6</v>
      </c>
      <c r="I292" s="100" t="n">
        <f aca="false">IF(COUNTIFS(Offers!$B$7:$B$3000,$B292,Offers!$C$7:$C$3000,$C292,Offers!$AI$7:$AI$3000,"yes")=0,"",SUMIFS(Offers!$I$7:$I$3000,Offers!$B$7:$B$3000,$B292,Offers!$C$7:$C$3000,$C292,Offers!$AG$7:$AG$3000,1))</f>
        <v>2.5</v>
      </c>
      <c r="J292" s="95" t="n">
        <f aca="false">IF(COUNTIFS(Offers!$B$7:$B$3000,$B292,Offers!$C$7:$C$3000,$C292,Offers!$AI$7:$AI$3000,"yes")=0,"",(SUMIFS(Offers!$I$7:$I$3000,Offers!$B$7:$B$3000,$B292,Offers!$C$7:$C$3000,$C292,Offers!$AG$7:$AG$3000,ROUNDUP(COUNTIFS(Offers!$B$7:$B$3000,$B292,Offers!$C$7:$C$3000,$C292,Offers!$AI$7:$AI$3000,"yes")/2,0))+SUMIFS(Offers!$I$7:$I$3000,Offers!$B$7:$B$3000,$B292,Offers!$C$7:$C$3000,$C292,Offers!$AG$7:$AG$3000,INT(COUNTIFS(Offers!$B$7:$B$3000,$B292,Offers!$C$7:$C$3000,$C292,Offers!$AI$7:$AI$3000,"yes")/2)+1))/2)</f>
        <v>3.52</v>
      </c>
      <c r="K292" s="100" t="n">
        <f aca="false">IF(COUNTIFS(Offers!$B$7:$B$3000,$B292,Offers!$C$7:$C$3000,$C292,Offers!$AI$7:$AI$3000,"yes")=0,"",SUMIFS(Offers!$I$7:$I$3000,Offers!$B$7:$B$3000,$B292,Offers!$C$7:$C$3000,$C292,Offers!$AG$7:$AG$3000,COUNTIFS(Offers!$B$7:$B$3000,$B292,Offers!$C$7:$C$3000,$C292,Offers!$AI$7:$AI$3000,"yes")))</f>
        <v>12.6</v>
      </c>
      <c r="L292" s="96"/>
      <c r="M292" s="96"/>
      <c r="N292" s="96"/>
      <c r="O292" s="101" t="n">
        <f aca="false">IF(Compare!$E$5="Local prices",IF(F292="","",IF(Compare!$C$5="Minimum",F292,IF(Compare!$C$5="Maximum",H292,G292))),IF(I292="","",IF(Compare!$C$5="Minimum",I292,IF(Compare!$C$5="Maximum",K292,J292))))</f>
        <v>3.52</v>
      </c>
    </row>
    <row r="293" customFormat="false" ht="13.5" hidden="false" customHeight="false" outlineLevel="0" collapsed="false">
      <c r="B293" s="36" t="s">
        <v>78</v>
      </c>
      <c r="C293" s="98" t="s">
        <v>17</v>
      </c>
      <c r="D293" s="98" t="s">
        <v>333</v>
      </c>
      <c r="E293" s="98" t="s">
        <v>491</v>
      </c>
      <c r="F293" s="99" t="n">
        <f aca="false">IF(COUNTIFS(Offers!$B$7:$B$3000,$B293,Offers!$C$7:$C$3000,$C293,Offers!$AH$7:$AH$3000,"yes")=0,"",SUMIFS(Offers!$H$7:$H$3000,Offers!$B$7:$B$3000,$B293,Offers!$C$7:$C$3000,$C293,Offers!$AF$7:$AF$3000,1))</f>
        <v>48.76</v>
      </c>
      <c r="G293" s="93" t="n">
        <f aca="false">IF(COUNTIFS(Offers!$B$7:$B$3000,$B293,Offers!$C$7:$C$3000,$C293,Offers!$AH$7:$AH$3000,"yes")=0,"",(SUMIFS(Offers!$H$7:$H$3000,Offers!$B$7:$B$3000,$B293,Offers!$C$7:$C$3000,$C293,Offers!$AF$7:$AF$3000,ROUNDUP(COUNTIFS(Offers!$B$7:$B$3000,$B293,Offers!$C$7:$C$3000,$C293,Offers!$AH$7:$AH$3000,"yes")/2,0))+SUMIFS(Offers!$H$7:$H$3000,Offers!$B$7:$B$3000,$B293,Offers!$C$7:$C$3000,$C293,Offers!$AF$7:$AF$3000,INT(COUNTIFS(Offers!$B$7:$B$3000,$B293,Offers!$C$7:$C$3000,$C293,Offers!$AH$7:$AH$3000,"yes")/2)+1))/2)</f>
        <v>59</v>
      </c>
      <c r="H293" s="99" t="n">
        <f aca="false">IF(COUNTIFS(Offers!$B$7:$B$3000,$B293,Offers!$C$7:$C$3000,$C293,Offers!$AH$7:$AH$3000,"yes")=0,"",SUMIFS(Offers!$H$7:$H$3000,Offers!$B$7:$B$3000,$B293,Offers!$C$7:$C$3000,$C293,Offers!$AF$7:$AF$3000,COUNTIFS(Offers!$B$7:$B$3000,$B293,Offers!$C$7:$C$3000,$C293,Offers!$AH$7:$AH$3000,"yes")))</f>
        <v>115</v>
      </c>
      <c r="I293" s="100" t="n">
        <f aca="false">IF(COUNTIFS(Offers!$B$7:$B$3000,$B293,Offers!$C$7:$C$3000,$C293,Offers!$AI$7:$AI$3000,"yes")=0,"",SUMIFS(Offers!$I$7:$I$3000,Offers!$B$7:$B$3000,$B293,Offers!$C$7:$C$3000,$C293,Offers!$AG$7:$AG$3000,1))</f>
        <v>1.996428</v>
      </c>
      <c r="J293" s="95" t="n">
        <f aca="false">IF(COUNTIFS(Offers!$B$7:$B$3000,$B293,Offers!$C$7:$C$3000,$C293,Offers!$AI$7:$AI$3000,"yes")=0,"",(SUMIFS(Offers!$I$7:$I$3000,Offers!$B$7:$B$3000,$B293,Offers!$C$7:$C$3000,$C293,Offers!$AG$7:$AG$3000,ROUNDUP(COUNTIFS(Offers!$B$7:$B$3000,$B293,Offers!$C$7:$C$3000,$C293,Offers!$AI$7:$AI$3000,"yes")/2,0))+SUMIFS(Offers!$I$7:$I$3000,Offers!$B$7:$B$3000,$B293,Offers!$C$7:$C$3000,$C293,Offers!$AG$7:$AG$3000,INT(COUNTIFS(Offers!$B$7:$B$3000,$B293,Offers!$C$7:$C$3000,$C293,Offers!$AI$7:$AI$3000,"yes")/2)+1))/2)</f>
        <v>2.415695</v>
      </c>
      <c r="K293" s="100" t="n">
        <f aca="false">IF(COUNTIFS(Offers!$B$7:$B$3000,$B293,Offers!$C$7:$C$3000,$C293,Offers!$AI$7:$AI$3000,"yes")=0,"",SUMIFS(Offers!$I$7:$I$3000,Offers!$B$7:$B$3000,$B293,Offers!$C$7:$C$3000,$C293,Offers!$AG$7:$AG$3000,COUNTIFS(Offers!$B$7:$B$3000,$B293,Offers!$C$7:$C$3000,$C293,Offers!$AI$7:$AI$3000,"yes")))</f>
        <v>4.708558</v>
      </c>
      <c r="L293" s="96"/>
      <c r="M293" s="96"/>
      <c r="N293" s="96"/>
      <c r="O293" s="101" t="n">
        <f aca="false">IF(Compare!$E$5="Local prices",IF(F293="","",IF(Compare!$C$5="Minimum",F293,IF(Compare!$C$5="Maximum",H293,G293))),IF(I293="","",IF(Compare!$C$5="Minimum",I293,IF(Compare!$C$5="Maximum",K293,J293))))</f>
        <v>2.415695</v>
      </c>
    </row>
    <row r="294" customFormat="false" ht="13.5" hidden="false" customHeight="false" outlineLevel="0" collapsed="false">
      <c r="B294" s="36" t="s">
        <v>78</v>
      </c>
      <c r="C294" s="98" t="s">
        <v>18</v>
      </c>
      <c r="D294" s="98" t="s">
        <v>244</v>
      </c>
      <c r="E294" s="98" t="s">
        <v>491</v>
      </c>
      <c r="F294" s="99" t="n">
        <f aca="false">IF(COUNTIFS(Offers!$B$7:$B$3000,$B294,Offers!$C$7:$C$3000,$C294,Offers!$AH$7:$AH$3000,"yes")=0,"",SUMIFS(Offers!$H$7:$H$3000,Offers!$B$7:$B$3000,$B294,Offers!$C$7:$C$3000,$C294,Offers!$AF$7:$AF$3000,1))</f>
        <v>1.91</v>
      </c>
      <c r="G294" s="93" t="n">
        <f aca="false">IF(COUNTIFS(Offers!$B$7:$B$3000,$B294,Offers!$C$7:$C$3000,$C294,Offers!$AH$7:$AH$3000,"yes")=0,"",(SUMIFS(Offers!$H$7:$H$3000,Offers!$B$7:$B$3000,$B294,Offers!$C$7:$C$3000,$C294,Offers!$AF$7:$AF$3000,ROUNDUP(COUNTIFS(Offers!$B$7:$B$3000,$B294,Offers!$C$7:$C$3000,$C294,Offers!$AH$7:$AH$3000,"yes")/2,0))+SUMIFS(Offers!$H$7:$H$3000,Offers!$B$7:$B$3000,$B294,Offers!$C$7:$C$3000,$C294,Offers!$AF$7:$AF$3000,INT(COUNTIFS(Offers!$B$7:$B$3000,$B294,Offers!$C$7:$C$3000,$C294,Offers!$AH$7:$AH$3000,"yes")/2)+1))/2)</f>
        <v>2.8</v>
      </c>
      <c r="H294" s="99" t="n">
        <f aca="false">IF(COUNTIFS(Offers!$B$7:$B$3000,$B294,Offers!$C$7:$C$3000,$C294,Offers!$AH$7:$AH$3000,"yes")=0,"",SUMIFS(Offers!$H$7:$H$3000,Offers!$B$7:$B$3000,$B294,Offers!$C$7:$C$3000,$C294,Offers!$AF$7:$AF$3000,COUNTIFS(Offers!$B$7:$B$3000,$B294,Offers!$C$7:$C$3000,$C294,Offers!$AH$7:$AH$3000,"yes")))</f>
        <v>8.93</v>
      </c>
      <c r="I294" s="100" t="n">
        <f aca="false">IF(COUNTIFS(Offers!$B$7:$B$3000,$B294,Offers!$C$7:$C$3000,$C294,Offers!$AI$7:$AI$3000,"yes")=0,"",SUMIFS(Offers!$I$7:$I$3000,Offers!$B$7:$B$3000,$B294,Offers!$C$7:$C$3000,$C294,Offers!$AG$7:$AG$3000,1))</f>
        <v>1.91</v>
      </c>
      <c r="J294" s="95" t="n">
        <f aca="false">IF(COUNTIFS(Offers!$B$7:$B$3000,$B294,Offers!$C$7:$C$3000,$C294,Offers!$AI$7:$AI$3000,"yes")=0,"",(SUMIFS(Offers!$I$7:$I$3000,Offers!$B$7:$B$3000,$B294,Offers!$C$7:$C$3000,$C294,Offers!$AG$7:$AG$3000,ROUNDUP(COUNTIFS(Offers!$B$7:$B$3000,$B294,Offers!$C$7:$C$3000,$C294,Offers!$AI$7:$AI$3000,"yes")/2,0))+SUMIFS(Offers!$I$7:$I$3000,Offers!$B$7:$B$3000,$B294,Offers!$C$7:$C$3000,$C294,Offers!$AG$7:$AG$3000,INT(COUNTIFS(Offers!$B$7:$B$3000,$B294,Offers!$C$7:$C$3000,$C294,Offers!$AI$7:$AI$3000,"yes")/2)+1))/2)</f>
        <v>2.8</v>
      </c>
      <c r="K294" s="100" t="n">
        <f aca="false">IF(COUNTIFS(Offers!$B$7:$B$3000,$B294,Offers!$C$7:$C$3000,$C294,Offers!$AI$7:$AI$3000,"yes")=0,"",SUMIFS(Offers!$I$7:$I$3000,Offers!$B$7:$B$3000,$B294,Offers!$C$7:$C$3000,$C294,Offers!$AG$7:$AG$3000,COUNTIFS(Offers!$B$7:$B$3000,$B294,Offers!$C$7:$C$3000,$C294,Offers!$AI$7:$AI$3000,"yes")))</f>
        <v>8.93</v>
      </c>
      <c r="L294" s="96"/>
      <c r="M294" s="96"/>
      <c r="N294" s="96"/>
      <c r="O294" s="101" t="n">
        <f aca="false">IF(Compare!$E$5="Local prices",IF(F294="","",IF(Compare!$C$5="Minimum",F294,IF(Compare!$C$5="Maximum",H294,G294))),IF(I294="","",IF(Compare!$C$5="Minimum",I294,IF(Compare!$C$5="Maximum",K294,J294))))</f>
        <v>2.8</v>
      </c>
    </row>
    <row r="295" customFormat="false" ht="13.5" hidden="false" customHeight="false" outlineLevel="0" collapsed="false">
      <c r="B295" s="36" t="s">
        <v>79</v>
      </c>
      <c r="C295" s="98" t="s">
        <v>13</v>
      </c>
      <c r="D295" s="98" t="s">
        <v>490</v>
      </c>
      <c r="E295" s="98" t="s">
        <v>491</v>
      </c>
      <c r="F295" s="99" t="str">
        <f aca="false">IF(COUNTIFS(Offers!$B$7:$B$3000,$B295,Offers!$C$7:$C$3000,$C295,Offers!$AH$7:$AH$3000,"yes")=0,"",SUMIFS(Offers!$H$7:$H$3000,Offers!$B$7:$B$3000,$B295,Offers!$C$7:$C$3000,$C295,Offers!$AF$7:$AF$3000,1))</f>
        <v/>
      </c>
      <c r="G295" s="93" t="str">
        <f aca="false">IF(COUNTIFS(Offers!$B$7:$B$3000,$B295,Offers!$C$7:$C$3000,$C295,Offers!$AH$7:$AH$3000,"yes")=0,"",(SUMIFS(Offers!$H$7:$H$3000,Offers!$B$7:$B$3000,$B295,Offers!$C$7:$C$3000,$C295,Offers!$AF$7:$AF$3000,ROUNDUP(COUNTIFS(Offers!$B$7:$B$3000,$B295,Offers!$C$7:$C$3000,$C295,Offers!$AH$7:$AH$3000,"yes")/2,0))+SUMIFS(Offers!$H$7:$H$3000,Offers!$B$7:$B$3000,$B295,Offers!$C$7:$C$3000,$C295,Offers!$AF$7:$AF$3000,INT(COUNTIFS(Offers!$B$7:$B$3000,$B295,Offers!$C$7:$C$3000,$C295,Offers!$AH$7:$AH$3000,"yes")/2)+1))/2)</f>
        <v/>
      </c>
      <c r="H295" s="99" t="str">
        <f aca="false">IF(COUNTIFS(Offers!$B$7:$B$3000,$B295,Offers!$C$7:$C$3000,$C295,Offers!$AH$7:$AH$3000,"yes")=0,"",SUMIFS(Offers!$H$7:$H$3000,Offers!$B$7:$B$3000,$B295,Offers!$C$7:$C$3000,$C295,Offers!$AF$7:$AF$3000,COUNTIFS(Offers!$B$7:$B$3000,$B295,Offers!$C$7:$C$3000,$C295,Offers!$AH$7:$AH$3000,"yes")))</f>
        <v/>
      </c>
      <c r="I295" s="100" t="str">
        <f aca="false">IF(COUNTIFS(Offers!$B$7:$B$3000,$B295,Offers!$C$7:$C$3000,$C295,Offers!$AI$7:$AI$3000,"yes")=0,"",SUMIFS(Offers!$I$7:$I$3000,Offers!$B$7:$B$3000,$B295,Offers!$C$7:$C$3000,$C295,Offers!$AG$7:$AG$3000,1))</f>
        <v/>
      </c>
      <c r="J295" s="95" t="str">
        <f aca="false">IF(COUNTIFS(Offers!$B$7:$B$3000,$B295,Offers!$C$7:$C$3000,$C295,Offers!$AI$7:$AI$3000,"yes")=0,"",(SUMIFS(Offers!$I$7:$I$3000,Offers!$B$7:$B$3000,$B295,Offers!$C$7:$C$3000,$C295,Offers!$AG$7:$AG$3000,ROUNDUP(COUNTIFS(Offers!$B$7:$B$3000,$B295,Offers!$C$7:$C$3000,$C295,Offers!$AI$7:$AI$3000,"yes")/2,0))+SUMIFS(Offers!$I$7:$I$3000,Offers!$B$7:$B$3000,$B295,Offers!$C$7:$C$3000,$C295,Offers!$AG$7:$AG$3000,INT(COUNTIFS(Offers!$B$7:$B$3000,$B295,Offers!$C$7:$C$3000,$C295,Offers!$AI$7:$AI$3000,"yes")/2)+1))/2)</f>
        <v/>
      </c>
      <c r="K295" s="100" t="str">
        <f aca="false">IF(COUNTIFS(Offers!$B$7:$B$3000,$B295,Offers!$C$7:$C$3000,$C295,Offers!$AI$7:$AI$3000,"yes")=0,"",SUMIFS(Offers!$I$7:$I$3000,Offers!$B$7:$B$3000,$B295,Offers!$C$7:$C$3000,$C295,Offers!$AG$7:$AG$3000,COUNTIFS(Offers!$B$7:$B$3000,$B295,Offers!$C$7:$C$3000,$C295,Offers!$AI$7:$AI$3000,"yes")))</f>
        <v/>
      </c>
      <c r="L295" s="96"/>
      <c r="M295" s="96"/>
      <c r="N295" s="96"/>
      <c r="O295" s="110" t="str">
        <f aca="false">IF(Compare!$E$5="Local prices",IF(F295="","",IF(Compare!$C$5="Minimum",F295,IF(Compare!$C$5="Maximum",H295,G295))),IF(I295="","",IF(Compare!$C$5="Minimum",I295,IF(Compare!$C$5="Maximum",K295,J295))))</f>
        <v/>
      </c>
    </row>
    <row r="296" customFormat="false" ht="13.5" hidden="false" customHeight="false" outlineLevel="0" collapsed="false">
      <c r="B296" s="36" t="s">
        <v>79</v>
      </c>
      <c r="C296" s="98" t="s">
        <v>14</v>
      </c>
      <c r="D296" s="98" t="s">
        <v>374</v>
      </c>
      <c r="E296" s="98" t="s">
        <v>491</v>
      </c>
      <c r="F296" s="99" t="n">
        <f aca="false">IF(COUNTIFS(Offers!$B$7:$B$3000,$B296,Offers!$C$7:$C$3000,$C296,Offers!$AH$7:$AH$3000,"yes")=0,"",SUMIFS(Offers!$H$7:$H$3000,Offers!$B$7:$B$3000,$B296,Offers!$C$7:$C$3000,$C296,Offers!$AF$7:$AF$3000,1))</f>
        <v>2</v>
      </c>
      <c r="G296" s="93" t="n">
        <f aca="false">IF(COUNTIFS(Offers!$B$7:$B$3000,$B296,Offers!$C$7:$C$3000,$C296,Offers!$AH$7:$AH$3000,"yes")=0,"",(SUMIFS(Offers!$H$7:$H$3000,Offers!$B$7:$B$3000,$B296,Offers!$C$7:$C$3000,$C296,Offers!$AF$7:$AF$3000,ROUNDUP(COUNTIFS(Offers!$B$7:$B$3000,$B296,Offers!$C$7:$C$3000,$C296,Offers!$AH$7:$AH$3000,"yes")/2,0))+SUMIFS(Offers!$H$7:$H$3000,Offers!$B$7:$B$3000,$B296,Offers!$C$7:$C$3000,$C296,Offers!$AF$7:$AF$3000,INT(COUNTIFS(Offers!$B$7:$B$3000,$B296,Offers!$C$7:$C$3000,$C296,Offers!$AH$7:$AH$3000,"yes")/2)+1))/2)</f>
        <v>21.06</v>
      </c>
      <c r="H296" s="99" t="n">
        <f aca="false">IF(COUNTIFS(Offers!$B$7:$B$3000,$B296,Offers!$C$7:$C$3000,$C296,Offers!$AH$7:$AH$3000,"yes")=0,"",SUMIFS(Offers!$H$7:$H$3000,Offers!$B$7:$B$3000,$B296,Offers!$C$7:$C$3000,$C296,Offers!$AF$7:$AF$3000,COUNTIFS(Offers!$B$7:$B$3000,$B296,Offers!$C$7:$C$3000,$C296,Offers!$AH$7:$AH$3000,"yes")))</f>
        <v>35.93</v>
      </c>
      <c r="I296" s="100" t="n">
        <f aca="false">IF(COUNTIFS(Offers!$B$7:$B$3000,$B296,Offers!$C$7:$C$3000,$C296,Offers!$AI$7:$AI$3000,"yes")=0,"",SUMIFS(Offers!$I$7:$I$3000,Offers!$B$7:$B$3000,$B296,Offers!$C$7:$C$3000,$C296,Offers!$AG$7:$AG$3000,1))</f>
        <v>2</v>
      </c>
      <c r="J296" s="95" t="n">
        <f aca="false">IF(COUNTIFS(Offers!$B$7:$B$3000,$B296,Offers!$C$7:$C$3000,$C296,Offers!$AI$7:$AI$3000,"yes")=0,"",(SUMIFS(Offers!$I$7:$I$3000,Offers!$B$7:$B$3000,$B296,Offers!$C$7:$C$3000,$C296,Offers!$AG$7:$AG$3000,ROUNDUP(COUNTIFS(Offers!$B$7:$B$3000,$B296,Offers!$C$7:$C$3000,$C296,Offers!$AI$7:$AI$3000,"yes")/2,0))+SUMIFS(Offers!$I$7:$I$3000,Offers!$B$7:$B$3000,$B296,Offers!$C$7:$C$3000,$C296,Offers!$AG$7:$AG$3000,INT(COUNTIFS(Offers!$B$7:$B$3000,$B296,Offers!$C$7:$C$3000,$C296,Offers!$AI$7:$AI$3000,"yes")/2)+1))/2)</f>
        <v>3.990419</v>
      </c>
      <c r="K296" s="100" t="n">
        <f aca="false">IF(COUNTIFS(Offers!$B$7:$B$3000,$B296,Offers!$C$7:$C$3000,$C296,Offers!$AI$7:$AI$3000,"yes")=0,"",SUMIFS(Offers!$I$7:$I$3000,Offers!$B$7:$B$3000,$B296,Offers!$C$7:$C$3000,$C296,Offers!$AG$7:$AG$3000,COUNTIFS(Offers!$B$7:$B$3000,$B296,Offers!$C$7:$C$3000,$C296,Offers!$AI$7:$AI$3000,"yes")))</f>
        <v>6.807965</v>
      </c>
      <c r="L296" s="96"/>
      <c r="M296" s="96"/>
      <c r="N296" s="96"/>
      <c r="O296" s="101" t="n">
        <f aca="false">IF(Compare!$E$5="Local prices",IF(F296="","",IF(Compare!$C$5="Minimum",F296,IF(Compare!$C$5="Maximum",H296,G296))),IF(I296="","",IF(Compare!$C$5="Minimum",I296,IF(Compare!$C$5="Maximum",K296,J296))))</f>
        <v>3.990419</v>
      </c>
    </row>
    <row r="297" customFormat="false" ht="13.5" hidden="false" customHeight="false" outlineLevel="0" collapsed="false">
      <c r="B297" s="36" t="s">
        <v>79</v>
      </c>
      <c r="C297" s="98" t="s">
        <v>15</v>
      </c>
      <c r="D297" s="98" t="s">
        <v>244</v>
      </c>
      <c r="E297" s="98" t="s">
        <v>491</v>
      </c>
      <c r="F297" s="99" t="n">
        <f aca="false">IF(COUNTIFS(Offers!$B$7:$B$3000,$B297,Offers!$C$7:$C$3000,$C297,Offers!$AH$7:$AH$3000,"yes")=0,"",SUMIFS(Offers!$H$7:$H$3000,Offers!$B$7:$B$3000,$B297,Offers!$C$7:$C$3000,$C297,Offers!$AF$7:$AF$3000,1))</f>
        <v>3.83</v>
      </c>
      <c r="G297" s="93" t="n">
        <f aca="false">IF(COUNTIFS(Offers!$B$7:$B$3000,$B297,Offers!$C$7:$C$3000,$C297,Offers!$AH$7:$AH$3000,"yes")=0,"",(SUMIFS(Offers!$H$7:$H$3000,Offers!$B$7:$B$3000,$B297,Offers!$C$7:$C$3000,$C297,Offers!$AF$7:$AF$3000,ROUNDUP(COUNTIFS(Offers!$B$7:$B$3000,$B297,Offers!$C$7:$C$3000,$C297,Offers!$AH$7:$AH$3000,"yes")/2,0))+SUMIFS(Offers!$H$7:$H$3000,Offers!$B$7:$B$3000,$B297,Offers!$C$7:$C$3000,$C297,Offers!$AF$7:$AF$3000,INT(COUNTIFS(Offers!$B$7:$B$3000,$B297,Offers!$C$7:$C$3000,$C297,Offers!$AH$7:$AH$3000,"yes")/2)+1))/2)</f>
        <v>5.08</v>
      </c>
      <c r="H297" s="99" t="n">
        <f aca="false">IF(COUNTIFS(Offers!$B$7:$B$3000,$B297,Offers!$C$7:$C$3000,$C297,Offers!$AH$7:$AH$3000,"yes")=0,"",SUMIFS(Offers!$H$7:$H$3000,Offers!$B$7:$B$3000,$B297,Offers!$C$7:$C$3000,$C297,Offers!$AF$7:$AF$3000,COUNTIFS(Offers!$B$7:$B$3000,$B297,Offers!$C$7:$C$3000,$C297,Offers!$AH$7:$AH$3000,"yes")))</f>
        <v>17.4</v>
      </c>
      <c r="I297" s="100" t="n">
        <f aca="false">IF(COUNTIFS(Offers!$B$7:$B$3000,$B297,Offers!$C$7:$C$3000,$C297,Offers!$AI$7:$AI$3000,"yes")=0,"",SUMIFS(Offers!$I$7:$I$3000,Offers!$B$7:$B$3000,$B297,Offers!$C$7:$C$3000,$C297,Offers!$AG$7:$AG$3000,1))</f>
        <v>3.83</v>
      </c>
      <c r="J297" s="95" t="n">
        <f aca="false">IF(COUNTIFS(Offers!$B$7:$B$3000,$B297,Offers!$C$7:$C$3000,$C297,Offers!$AI$7:$AI$3000,"yes")=0,"",(SUMIFS(Offers!$I$7:$I$3000,Offers!$B$7:$B$3000,$B297,Offers!$C$7:$C$3000,$C297,Offers!$AG$7:$AG$3000,ROUNDUP(COUNTIFS(Offers!$B$7:$B$3000,$B297,Offers!$C$7:$C$3000,$C297,Offers!$AI$7:$AI$3000,"yes")/2,0))+SUMIFS(Offers!$I$7:$I$3000,Offers!$B$7:$B$3000,$B297,Offers!$C$7:$C$3000,$C297,Offers!$AG$7:$AG$3000,INT(COUNTIFS(Offers!$B$7:$B$3000,$B297,Offers!$C$7:$C$3000,$C297,Offers!$AI$7:$AI$3000,"yes")/2)+1))/2)</f>
        <v>5.08</v>
      </c>
      <c r="K297" s="100" t="n">
        <f aca="false">IF(COUNTIFS(Offers!$B$7:$B$3000,$B297,Offers!$C$7:$C$3000,$C297,Offers!$AI$7:$AI$3000,"yes")=0,"",SUMIFS(Offers!$I$7:$I$3000,Offers!$B$7:$B$3000,$B297,Offers!$C$7:$C$3000,$C297,Offers!$AG$7:$AG$3000,COUNTIFS(Offers!$B$7:$B$3000,$B297,Offers!$C$7:$C$3000,$C297,Offers!$AI$7:$AI$3000,"yes")))</f>
        <v>17.4</v>
      </c>
      <c r="L297" s="96"/>
      <c r="M297" s="96"/>
      <c r="N297" s="96"/>
      <c r="O297" s="101" t="n">
        <f aca="false">IF(Compare!$E$5="Local prices",IF(F297="","",IF(Compare!$C$5="Minimum",F297,IF(Compare!$C$5="Maximum",H297,G297))),IF(I297="","",IF(Compare!$C$5="Minimum",I297,IF(Compare!$C$5="Maximum",K297,J297))))</f>
        <v>5.08</v>
      </c>
    </row>
    <row r="298" customFormat="false" ht="13.5" hidden="false" customHeight="false" outlineLevel="0" collapsed="false">
      <c r="B298" s="36" t="s">
        <v>79</v>
      </c>
      <c r="C298" s="98" t="s">
        <v>16</v>
      </c>
      <c r="D298" s="98" t="s">
        <v>244</v>
      </c>
      <c r="E298" s="98" t="s">
        <v>491</v>
      </c>
      <c r="F298" s="99" t="n">
        <f aca="false">IF(COUNTIFS(Offers!$B$7:$B$3000,$B298,Offers!$C$7:$C$3000,$C298,Offers!$AH$7:$AH$3000,"yes")=0,"",SUMIFS(Offers!$H$7:$H$3000,Offers!$B$7:$B$3000,$B298,Offers!$C$7:$C$3000,$C298,Offers!$AF$7:$AF$3000,1))</f>
        <v>2.3</v>
      </c>
      <c r="G298" s="93" t="n">
        <f aca="false">IF(COUNTIFS(Offers!$B$7:$B$3000,$B298,Offers!$C$7:$C$3000,$C298,Offers!$AH$7:$AH$3000,"yes")=0,"",(SUMIFS(Offers!$H$7:$H$3000,Offers!$B$7:$B$3000,$B298,Offers!$C$7:$C$3000,$C298,Offers!$AF$7:$AF$3000,ROUNDUP(COUNTIFS(Offers!$B$7:$B$3000,$B298,Offers!$C$7:$C$3000,$C298,Offers!$AH$7:$AH$3000,"yes")/2,0))+SUMIFS(Offers!$H$7:$H$3000,Offers!$B$7:$B$3000,$B298,Offers!$C$7:$C$3000,$C298,Offers!$AF$7:$AF$3000,INT(COUNTIFS(Offers!$B$7:$B$3000,$B298,Offers!$C$7:$C$3000,$C298,Offers!$AH$7:$AH$3000,"yes")/2)+1))/2)</f>
        <v>4.34</v>
      </c>
      <c r="H298" s="99" t="n">
        <f aca="false">IF(COUNTIFS(Offers!$B$7:$B$3000,$B298,Offers!$C$7:$C$3000,$C298,Offers!$AH$7:$AH$3000,"yes")=0,"",SUMIFS(Offers!$H$7:$H$3000,Offers!$B$7:$B$3000,$B298,Offers!$C$7:$C$3000,$C298,Offers!$AF$7:$AF$3000,COUNTIFS(Offers!$B$7:$B$3000,$B298,Offers!$C$7:$C$3000,$C298,Offers!$AH$7:$AH$3000,"yes")))</f>
        <v>17.4</v>
      </c>
      <c r="I298" s="100" t="n">
        <f aca="false">IF(COUNTIFS(Offers!$B$7:$B$3000,$B298,Offers!$C$7:$C$3000,$C298,Offers!$AI$7:$AI$3000,"yes")=0,"",SUMIFS(Offers!$I$7:$I$3000,Offers!$B$7:$B$3000,$B298,Offers!$C$7:$C$3000,$C298,Offers!$AG$7:$AG$3000,1))</f>
        <v>2.3</v>
      </c>
      <c r="J298" s="95" t="n">
        <f aca="false">IF(COUNTIFS(Offers!$B$7:$B$3000,$B298,Offers!$C$7:$C$3000,$C298,Offers!$AI$7:$AI$3000,"yes")=0,"",(SUMIFS(Offers!$I$7:$I$3000,Offers!$B$7:$B$3000,$B298,Offers!$C$7:$C$3000,$C298,Offers!$AG$7:$AG$3000,ROUNDUP(COUNTIFS(Offers!$B$7:$B$3000,$B298,Offers!$C$7:$C$3000,$C298,Offers!$AI$7:$AI$3000,"yes")/2,0))+SUMIFS(Offers!$I$7:$I$3000,Offers!$B$7:$B$3000,$B298,Offers!$C$7:$C$3000,$C298,Offers!$AG$7:$AG$3000,INT(COUNTIFS(Offers!$B$7:$B$3000,$B298,Offers!$C$7:$C$3000,$C298,Offers!$AI$7:$AI$3000,"yes")/2)+1))/2)</f>
        <v>4.34</v>
      </c>
      <c r="K298" s="100" t="n">
        <f aca="false">IF(COUNTIFS(Offers!$B$7:$B$3000,$B298,Offers!$C$7:$C$3000,$C298,Offers!$AI$7:$AI$3000,"yes")=0,"",SUMIFS(Offers!$I$7:$I$3000,Offers!$B$7:$B$3000,$B298,Offers!$C$7:$C$3000,$C298,Offers!$AG$7:$AG$3000,COUNTIFS(Offers!$B$7:$B$3000,$B298,Offers!$C$7:$C$3000,$C298,Offers!$AI$7:$AI$3000,"yes")))</f>
        <v>17.4</v>
      </c>
      <c r="L298" s="96"/>
      <c r="M298" s="96"/>
      <c r="N298" s="96"/>
      <c r="O298" s="101" t="n">
        <f aca="false">IF(Compare!$E$5="Local prices",IF(F298="","",IF(Compare!$C$5="Minimum",F298,IF(Compare!$C$5="Maximum",H298,G298))),IF(I298="","",IF(Compare!$C$5="Minimum",I298,IF(Compare!$C$5="Maximum",K298,J298))))</f>
        <v>4.34</v>
      </c>
    </row>
    <row r="299" customFormat="false" ht="13.5" hidden="false" customHeight="false" outlineLevel="0" collapsed="false">
      <c r="B299" s="36" t="s">
        <v>79</v>
      </c>
      <c r="C299" s="98" t="s">
        <v>17</v>
      </c>
      <c r="D299" s="98" t="s">
        <v>333</v>
      </c>
      <c r="E299" s="98" t="s">
        <v>491</v>
      </c>
      <c r="F299" s="99" t="n">
        <f aca="false">IF(COUNTIFS(Offers!$B$7:$B$3000,$B299,Offers!$C$7:$C$3000,$C299,Offers!$AH$7:$AH$3000,"yes")=0,"",SUMIFS(Offers!$H$7:$H$3000,Offers!$B$7:$B$3000,$B299,Offers!$C$7:$C$3000,$C299,Offers!$AF$7:$AF$3000,1))</f>
        <v>80.17</v>
      </c>
      <c r="G299" s="93" t="n">
        <f aca="false">IF(COUNTIFS(Offers!$B$7:$B$3000,$B299,Offers!$C$7:$C$3000,$C299,Offers!$AH$7:$AH$3000,"yes")=0,"",(SUMIFS(Offers!$H$7:$H$3000,Offers!$B$7:$B$3000,$B299,Offers!$C$7:$C$3000,$C299,Offers!$AF$7:$AF$3000,ROUNDUP(COUNTIFS(Offers!$B$7:$B$3000,$B299,Offers!$C$7:$C$3000,$C299,Offers!$AH$7:$AH$3000,"yes")/2,0))+SUMIFS(Offers!$H$7:$H$3000,Offers!$B$7:$B$3000,$B299,Offers!$C$7:$C$3000,$C299,Offers!$AF$7:$AF$3000,INT(COUNTIFS(Offers!$B$7:$B$3000,$B299,Offers!$C$7:$C$3000,$C299,Offers!$AH$7:$AH$3000,"yes")/2)+1))/2)</f>
        <v>112</v>
      </c>
      <c r="H299" s="99" t="n">
        <f aca="false">IF(COUNTIFS(Offers!$B$7:$B$3000,$B299,Offers!$C$7:$C$3000,$C299,Offers!$AH$7:$AH$3000,"yes")=0,"",SUMIFS(Offers!$H$7:$H$3000,Offers!$B$7:$B$3000,$B299,Offers!$C$7:$C$3000,$C299,Offers!$AF$7:$AF$3000,COUNTIFS(Offers!$B$7:$B$3000,$B299,Offers!$C$7:$C$3000,$C299,Offers!$AH$7:$AH$3000,"yes")))</f>
        <v>164</v>
      </c>
      <c r="I299" s="100" t="n">
        <f aca="false">IF(COUNTIFS(Offers!$B$7:$B$3000,$B299,Offers!$C$7:$C$3000,$C299,Offers!$AI$7:$AI$3000,"yes")=0,"",SUMIFS(Offers!$I$7:$I$3000,Offers!$B$7:$B$3000,$B299,Offers!$C$7:$C$3000,$C299,Offers!$AG$7:$AG$3000,1))</f>
        <v>3.282479</v>
      </c>
      <c r="J299" s="95" t="n">
        <f aca="false">IF(COUNTIFS(Offers!$B$7:$B$3000,$B299,Offers!$C$7:$C$3000,$C299,Offers!$AI$7:$AI$3000,"yes")=0,"",(SUMIFS(Offers!$I$7:$I$3000,Offers!$B$7:$B$3000,$B299,Offers!$C$7:$C$3000,$C299,Offers!$AG$7:$AG$3000,ROUNDUP(COUNTIFS(Offers!$B$7:$B$3000,$B299,Offers!$C$7:$C$3000,$C299,Offers!$AI$7:$AI$3000,"yes")/2,0))+SUMIFS(Offers!$I$7:$I$3000,Offers!$B$7:$B$3000,$B299,Offers!$C$7:$C$3000,$C299,Offers!$AG$7:$AG$3000,INT(COUNTIFS(Offers!$B$7:$B$3000,$B299,Offers!$C$7:$C$3000,$C299,Offers!$AI$7:$AI$3000,"yes")/2)+1))/2)</f>
        <v>4.585726</v>
      </c>
      <c r="K299" s="100" t="n">
        <f aca="false">IF(COUNTIFS(Offers!$B$7:$B$3000,$B299,Offers!$C$7:$C$3000,$C299,Offers!$AI$7:$AI$3000,"yes")=0,"",SUMIFS(Offers!$I$7:$I$3000,Offers!$B$7:$B$3000,$B299,Offers!$C$7:$C$3000,$C299,Offers!$AG$7:$AG$3000,COUNTIFS(Offers!$B$7:$B$3000,$B299,Offers!$C$7:$C$3000,$C299,Offers!$AI$7:$AI$3000,"yes")))</f>
        <v>6.714812</v>
      </c>
      <c r="L299" s="96"/>
      <c r="M299" s="96"/>
      <c r="N299" s="96"/>
      <c r="O299" s="101" t="n">
        <f aca="false">IF(Compare!$E$5="Local prices",IF(F299="","",IF(Compare!$C$5="Minimum",F299,IF(Compare!$C$5="Maximum",H299,G299))),IF(I299="","",IF(Compare!$C$5="Minimum",I299,IF(Compare!$C$5="Maximum",K299,J299))))</f>
        <v>4.585726</v>
      </c>
    </row>
    <row r="300" customFormat="false" ht="13.5" hidden="false" customHeight="false" outlineLevel="0" collapsed="false">
      <c r="B300" s="36" t="s">
        <v>79</v>
      </c>
      <c r="C300" s="98" t="s">
        <v>18</v>
      </c>
      <c r="D300" s="98" t="s">
        <v>244</v>
      </c>
      <c r="E300" s="98" t="s">
        <v>491</v>
      </c>
      <c r="F300" s="99" t="n">
        <f aca="false">IF(COUNTIFS(Offers!$B$7:$B$3000,$B300,Offers!$C$7:$C$3000,$C300,Offers!$AH$7:$AH$3000,"yes")=0,"",SUMIFS(Offers!$H$7:$H$3000,Offers!$B$7:$B$3000,$B300,Offers!$C$7:$C$3000,$C300,Offers!$AF$7:$AF$3000,1))</f>
        <v>2.76</v>
      </c>
      <c r="G300" s="93" t="n">
        <f aca="false">IF(COUNTIFS(Offers!$B$7:$B$3000,$B300,Offers!$C$7:$C$3000,$C300,Offers!$AH$7:$AH$3000,"yes")=0,"",(SUMIFS(Offers!$H$7:$H$3000,Offers!$B$7:$B$3000,$B300,Offers!$C$7:$C$3000,$C300,Offers!$AF$7:$AF$3000,ROUNDUP(COUNTIFS(Offers!$B$7:$B$3000,$B300,Offers!$C$7:$C$3000,$C300,Offers!$AH$7:$AH$3000,"yes")/2,0))+SUMIFS(Offers!$H$7:$H$3000,Offers!$B$7:$B$3000,$B300,Offers!$C$7:$C$3000,$C300,Offers!$AF$7:$AF$3000,INT(COUNTIFS(Offers!$B$7:$B$3000,$B300,Offers!$C$7:$C$3000,$C300,Offers!$AH$7:$AH$3000,"yes")/2)+1))/2)</f>
        <v>3.97</v>
      </c>
      <c r="H300" s="99" t="n">
        <f aca="false">IF(COUNTIFS(Offers!$B$7:$B$3000,$B300,Offers!$C$7:$C$3000,$C300,Offers!$AH$7:$AH$3000,"yes")=0,"",SUMIFS(Offers!$H$7:$H$3000,Offers!$B$7:$B$3000,$B300,Offers!$C$7:$C$3000,$C300,Offers!$AF$7:$AF$3000,COUNTIFS(Offers!$B$7:$B$3000,$B300,Offers!$C$7:$C$3000,$C300,Offers!$AH$7:$AH$3000,"yes")))</f>
        <v>9.09</v>
      </c>
      <c r="I300" s="100" t="n">
        <f aca="false">IF(COUNTIFS(Offers!$B$7:$B$3000,$B300,Offers!$C$7:$C$3000,$C300,Offers!$AI$7:$AI$3000,"yes")=0,"",SUMIFS(Offers!$I$7:$I$3000,Offers!$B$7:$B$3000,$B300,Offers!$C$7:$C$3000,$C300,Offers!$AG$7:$AG$3000,1))</f>
        <v>2.76</v>
      </c>
      <c r="J300" s="95" t="n">
        <f aca="false">IF(COUNTIFS(Offers!$B$7:$B$3000,$B300,Offers!$C$7:$C$3000,$C300,Offers!$AI$7:$AI$3000,"yes")=0,"",(SUMIFS(Offers!$I$7:$I$3000,Offers!$B$7:$B$3000,$B300,Offers!$C$7:$C$3000,$C300,Offers!$AG$7:$AG$3000,ROUNDUP(COUNTIFS(Offers!$B$7:$B$3000,$B300,Offers!$C$7:$C$3000,$C300,Offers!$AI$7:$AI$3000,"yes")/2,0))+SUMIFS(Offers!$I$7:$I$3000,Offers!$B$7:$B$3000,$B300,Offers!$C$7:$C$3000,$C300,Offers!$AG$7:$AG$3000,INT(COUNTIFS(Offers!$B$7:$B$3000,$B300,Offers!$C$7:$C$3000,$C300,Offers!$AI$7:$AI$3000,"yes")/2)+1))/2)</f>
        <v>3.97</v>
      </c>
      <c r="K300" s="100" t="n">
        <f aca="false">IF(COUNTIFS(Offers!$B$7:$B$3000,$B300,Offers!$C$7:$C$3000,$C300,Offers!$AI$7:$AI$3000,"yes")=0,"",SUMIFS(Offers!$I$7:$I$3000,Offers!$B$7:$B$3000,$B300,Offers!$C$7:$C$3000,$C300,Offers!$AG$7:$AG$3000,COUNTIFS(Offers!$B$7:$B$3000,$B300,Offers!$C$7:$C$3000,$C300,Offers!$AI$7:$AI$3000,"yes")))</f>
        <v>9.09</v>
      </c>
      <c r="L300" s="96"/>
      <c r="M300" s="96"/>
      <c r="N300" s="96"/>
      <c r="O300" s="101" t="n">
        <f aca="false">IF(Compare!$E$5="Local prices",IF(F300="","",IF(Compare!$C$5="Minimum",F300,IF(Compare!$C$5="Maximum",H300,G300))),IF(I300="","",IF(Compare!$C$5="Minimum",I300,IF(Compare!$C$5="Maximum",K300,J300))))</f>
        <v>3.97</v>
      </c>
    </row>
    <row r="301" customFormat="false" ht="13.5" hidden="false" customHeight="false" outlineLevel="0" collapsed="false">
      <c r="B301" s="36" t="s">
        <v>80</v>
      </c>
      <c r="C301" s="98" t="s">
        <v>13</v>
      </c>
      <c r="D301" s="98" t="s">
        <v>490</v>
      </c>
      <c r="E301" s="98" t="s">
        <v>491</v>
      </c>
      <c r="F301" s="99" t="str">
        <f aca="false">IF(COUNTIFS(Offers!$B$7:$B$3000,$B301,Offers!$C$7:$C$3000,$C301,Offers!$AH$7:$AH$3000,"yes")=0,"",SUMIFS(Offers!$H$7:$H$3000,Offers!$B$7:$B$3000,$B301,Offers!$C$7:$C$3000,$C301,Offers!$AF$7:$AF$3000,1))</f>
        <v/>
      </c>
      <c r="G301" s="93" t="str">
        <f aca="false">IF(COUNTIFS(Offers!$B$7:$B$3000,$B301,Offers!$C$7:$C$3000,$C301,Offers!$AH$7:$AH$3000,"yes")=0,"",(SUMIFS(Offers!$H$7:$H$3000,Offers!$B$7:$B$3000,$B301,Offers!$C$7:$C$3000,$C301,Offers!$AF$7:$AF$3000,ROUNDUP(COUNTIFS(Offers!$B$7:$B$3000,$B301,Offers!$C$7:$C$3000,$C301,Offers!$AH$7:$AH$3000,"yes")/2,0))+SUMIFS(Offers!$H$7:$H$3000,Offers!$B$7:$B$3000,$B301,Offers!$C$7:$C$3000,$C301,Offers!$AF$7:$AF$3000,INT(COUNTIFS(Offers!$B$7:$B$3000,$B301,Offers!$C$7:$C$3000,$C301,Offers!$AH$7:$AH$3000,"yes")/2)+1))/2)</f>
        <v/>
      </c>
      <c r="H301" s="99" t="str">
        <f aca="false">IF(COUNTIFS(Offers!$B$7:$B$3000,$B301,Offers!$C$7:$C$3000,$C301,Offers!$AH$7:$AH$3000,"yes")=0,"",SUMIFS(Offers!$H$7:$H$3000,Offers!$B$7:$B$3000,$B301,Offers!$C$7:$C$3000,$C301,Offers!$AF$7:$AF$3000,COUNTIFS(Offers!$B$7:$B$3000,$B301,Offers!$C$7:$C$3000,$C301,Offers!$AH$7:$AH$3000,"yes")))</f>
        <v/>
      </c>
      <c r="I301" s="100" t="str">
        <f aca="false">IF(COUNTIFS(Offers!$B$7:$B$3000,$B301,Offers!$C$7:$C$3000,$C301,Offers!$AI$7:$AI$3000,"yes")=0,"",SUMIFS(Offers!$I$7:$I$3000,Offers!$B$7:$B$3000,$B301,Offers!$C$7:$C$3000,$C301,Offers!$AG$7:$AG$3000,1))</f>
        <v/>
      </c>
      <c r="J301" s="95" t="str">
        <f aca="false">IF(COUNTIFS(Offers!$B$7:$B$3000,$B301,Offers!$C$7:$C$3000,$C301,Offers!$AI$7:$AI$3000,"yes")=0,"",(SUMIFS(Offers!$I$7:$I$3000,Offers!$B$7:$B$3000,$B301,Offers!$C$7:$C$3000,$C301,Offers!$AG$7:$AG$3000,ROUNDUP(COUNTIFS(Offers!$B$7:$B$3000,$B301,Offers!$C$7:$C$3000,$C301,Offers!$AI$7:$AI$3000,"yes")/2,0))+SUMIFS(Offers!$I$7:$I$3000,Offers!$B$7:$B$3000,$B301,Offers!$C$7:$C$3000,$C301,Offers!$AG$7:$AG$3000,INT(COUNTIFS(Offers!$B$7:$B$3000,$B301,Offers!$C$7:$C$3000,$C301,Offers!$AI$7:$AI$3000,"yes")/2)+1))/2)</f>
        <v/>
      </c>
      <c r="K301" s="100" t="str">
        <f aca="false">IF(COUNTIFS(Offers!$B$7:$B$3000,$B301,Offers!$C$7:$C$3000,$C301,Offers!$AI$7:$AI$3000,"yes")=0,"",SUMIFS(Offers!$I$7:$I$3000,Offers!$B$7:$B$3000,$B301,Offers!$C$7:$C$3000,$C301,Offers!$AG$7:$AG$3000,COUNTIFS(Offers!$B$7:$B$3000,$B301,Offers!$C$7:$C$3000,$C301,Offers!$AI$7:$AI$3000,"yes")))</f>
        <v/>
      </c>
      <c r="L301" s="96"/>
      <c r="M301" s="96"/>
      <c r="N301" s="96"/>
      <c r="O301" s="110" t="str">
        <f aca="false">IF(Compare!$E$5="Local prices",IF(F301="","",IF(Compare!$C$5="Minimum",F301,IF(Compare!$C$5="Maximum",H301,G301))),IF(I301="","",IF(Compare!$C$5="Minimum",I301,IF(Compare!$C$5="Maximum",K301,J301))))</f>
        <v/>
      </c>
    </row>
    <row r="302" customFormat="false" ht="13.5" hidden="false" customHeight="false" outlineLevel="0" collapsed="false">
      <c r="B302" s="36" t="s">
        <v>80</v>
      </c>
      <c r="C302" s="98" t="s">
        <v>14</v>
      </c>
      <c r="D302" s="98" t="s">
        <v>374</v>
      </c>
      <c r="E302" s="98" t="s">
        <v>491</v>
      </c>
      <c r="F302" s="99" t="n">
        <f aca="false">IF(COUNTIFS(Offers!$B$7:$B$3000,$B302,Offers!$C$7:$C$3000,$C302,Offers!$AH$7:$AH$3000,"yes")=0,"",SUMIFS(Offers!$H$7:$H$3000,Offers!$B$7:$B$3000,$B302,Offers!$C$7:$C$3000,$C302,Offers!$AF$7:$AF$3000,1))</f>
        <v>2.79</v>
      </c>
      <c r="G302" s="93" t="n">
        <f aca="false">IF(COUNTIFS(Offers!$B$7:$B$3000,$B302,Offers!$C$7:$C$3000,$C302,Offers!$AH$7:$AH$3000,"yes")=0,"",(SUMIFS(Offers!$H$7:$H$3000,Offers!$B$7:$B$3000,$B302,Offers!$C$7:$C$3000,$C302,Offers!$AF$7:$AF$3000,ROUNDUP(COUNTIFS(Offers!$B$7:$B$3000,$B302,Offers!$C$7:$C$3000,$C302,Offers!$AH$7:$AH$3000,"yes")/2,0))+SUMIFS(Offers!$H$7:$H$3000,Offers!$B$7:$B$3000,$B302,Offers!$C$7:$C$3000,$C302,Offers!$AF$7:$AF$3000,INT(COUNTIFS(Offers!$B$7:$B$3000,$B302,Offers!$C$7:$C$3000,$C302,Offers!$AH$7:$AH$3000,"yes")/2)+1))/2)</f>
        <v>29.3</v>
      </c>
      <c r="H302" s="99" t="n">
        <f aca="false">IF(COUNTIFS(Offers!$B$7:$B$3000,$B302,Offers!$C$7:$C$3000,$C302,Offers!$AH$7:$AH$3000,"yes")=0,"",SUMIFS(Offers!$H$7:$H$3000,Offers!$B$7:$B$3000,$B302,Offers!$C$7:$C$3000,$C302,Offers!$AF$7:$AF$3000,COUNTIFS(Offers!$B$7:$B$3000,$B302,Offers!$C$7:$C$3000,$C302,Offers!$AH$7:$AH$3000,"yes")))</f>
        <v>33.5</v>
      </c>
      <c r="I302" s="100" t="n">
        <f aca="false">IF(COUNTIFS(Offers!$B$7:$B$3000,$B302,Offers!$C$7:$C$3000,$C302,Offers!$AI$7:$AI$3000,"yes")=0,"",SUMIFS(Offers!$I$7:$I$3000,Offers!$B$7:$B$3000,$B302,Offers!$C$7:$C$3000,$C302,Offers!$AG$7:$AG$3000,1))</f>
        <v>2.79</v>
      </c>
      <c r="J302" s="95" t="n">
        <f aca="false">IF(COUNTIFS(Offers!$B$7:$B$3000,$B302,Offers!$C$7:$C$3000,$C302,Offers!$AI$7:$AI$3000,"yes")=0,"",(SUMIFS(Offers!$I$7:$I$3000,Offers!$B$7:$B$3000,$B302,Offers!$C$7:$C$3000,$C302,Offers!$AG$7:$AG$3000,ROUNDUP(COUNTIFS(Offers!$B$7:$B$3000,$B302,Offers!$C$7:$C$3000,$C302,Offers!$AI$7:$AI$3000,"yes")/2,0))+SUMIFS(Offers!$I$7:$I$3000,Offers!$B$7:$B$3000,$B302,Offers!$C$7:$C$3000,$C302,Offers!$AG$7:$AG$3000,INT(COUNTIFS(Offers!$B$7:$B$3000,$B302,Offers!$C$7:$C$3000,$C302,Offers!$AI$7:$AI$3000,"yes")/2)+1))/2)</f>
        <v>5.551722</v>
      </c>
      <c r="K302" s="100" t="n">
        <f aca="false">IF(COUNTIFS(Offers!$B$7:$B$3000,$B302,Offers!$C$7:$C$3000,$C302,Offers!$AI$7:$AI$3000,"yes")=0,"",SUMIFS(Offers!$I$7:$I$3000,Offers!$B$7:$B$3000,$B302,Offers!$C$7:$C$3000,$C302,Offers!$AG$7:$AG$3000,COUNTIFS(Offers!$B$7:$B$3000,$B302,Offers!$C$7:$C$3000,$C302,Offers!$AI$7:$AI$3000,"yes")))</f>
        <v>6.347532</v>
      </c>
      <c r="L302" s="96"/>
      <c r="M302" s="96"/>
      <c r="N302" s="96"/>
      <c r="O302" s="101" t="n">
        <f aca="false">IF(Compare!$E$5="Local prices",IF(F302="","",IF(Compare!$C$5="Minimum",F302,IF(Compare!$C$5="Maximum",H302,G302))),IF(I302="","",IF(Compare!$C$5="Minimum",I302,IF(Compare!$C$5="Maximum",K302,J302))))</f>
        <v>5.551722</v>
      </c>
    </row>
    <row r="303" customFormat="false" ht="13.5" hidden="false" customHeight="false" outlineLevel="0" collapsed="false">
      <c r="B303" s="36" t="s">
        <v>80</v>
      </c>
      <c r="C303" s="98" t="s">
        <v>15</v>
      </c>
      <c r="D303" s="98" t="s">
        <v>244</v>
      </c>
      <c r="E303" s="98" t="s">
        <v>491</v>
      </c>
      <c r="F303" s="99" t="n">
        <f aca="false">IF(COUNTIFS(Offers!$B$7:$B$3000,$B303,Offers!$C$7:$C$3000,$C303,Offers!$AH$7:$AH$3000,"yes")=0,"",SUMIFS(Offers!$H$7:$H$3000,Offers!$B$7:$B$3000,$B303,Offers!$C$7:$C$3000,$C303,Offers!$AF$7:$AF$3000,1))</f>
        <v>5.8</v>
      </c>
      <c r="G303" s="93" t="n">
        <f aca="false">IF(COUNTIFS(Offers!$B$7:$B$3000,$B303,Offers!$C$7:$C$3000,$C303,Offers!$AH$7:$AH$3000,"yes")=0,"",(SUMIFS(Offers!$H$7:$H$3000,Offers!$B$7:$B$3000,$B303,Offers!$C$7:$C$3000,$C303,Offers!$AF$7:$AF$3000,ROUNDUP(COUNTIFS(Offers!$B$7:$B$3000,$B303,Offers!$C$7:$C$3000,$C303,Offers!$AH$7:$AH$3000,"yes")/2,0))+SUMIFS(Offers!$H$7:$H$3000,Offers!$B$7:$B$3000,$B303,Offers!$C$7:$C$3000,$C303,Offers!$AF$7:$AF$3000,INT(COUNTIFS(Offers!$B$7:$B$3000,$B303,Offers!$C$7:$C$3000,$C303,Offers!$AH$7:$AH$3000,"yes")/2)+1))/2)</f>
        <v>8.74</v>
      </c>
      <c r="H303" s="99" t="n">
        <f aca="false">IF(COUNTIFS(Offers!$B$7:$B$3000,$B303,Offers!$C$7:$C$3000,$C303,Offers!$AH$7:$AH$3000,"yes")=0,"",SUMIFS(Offers!$H$7:$H$3000,Offers!$B$7:$B$3000,$B303,Offers!$C$7:$C$3000,$C303,Offers!$AF$7:$AF$3000,COUNTIFS(Offers!$B$7:$B$3000,$B303,Offers!$C$7:$C$3000,$C303,Offers!$AH$7:$AH$3000,"yes")))</f>
        <v>19.58</v>
      </c>
      <c r="I303" s="100" t="n">
        <f aca="false">IF(COUNTIFS(Offers!$B$7:$B$3000,$B303,Offers!$C$7:$C$3000,$C303,Offers!$AI$7:$AI$3000,"yes")=0,"",SUMIFS(Offers!$I$7:$I$3000,Offers!$B$7:$B$3000,$B303,Offers!$C$7:$C$3000,$C303,Offers!$AG$7:$AG$3000,1))</f>
        <v>5.8</v>
      </c>
      <c r="J303" s="95" t="n">
        <f aca="false">IF(COUNTIFS(Offers!$B$7:$B$3000,$B303,Offers!$C$7:$C$3000,$C303,Offers!$AI$7:$AI$3000,"yes")=0,"",(SUMIFS(Offers!$I$7:$I$3000,Offers!$B$7:$B$3000,$B303,Offers!$C$7:$C$3000,$C303,Offers!$AG$7:$AG$3000,ROUNDUP(COUNTIFS(Offers!$B$7:$B$3000,$B303,Offers!$C$7:$C$3000,$C303,Offers!$AI$7:$AI$3000,"yes")/2,0))+SUMIFS(Offers!$I$7:$I$3000,Offers!$B$7:$B$3000,$B303,Offers!$C$7:$C$3000,$C303,Offers!$AG$7:$AG$3000,INT(COUNTIFS(Offers!$B$7:$B$3000,$B303,Offers!$C$7:$C$3000,$C303,Offers!$AI$7:$AI$3000,"yes")/2)+1))/2)</f>
        <v>8.74</v>
      </c>
      <c r="K303" s="100" t="n">
        <f aca="false">IF(COUNTIFS(Offers!$B$7:$B$3000,$B303,Offers!$C$7:$C$3000,$C303,Offers!$AI$7:$AI$3000,"yes")=0,"",SUMIFS(Offers!$I$7:$I$3000,Offers!$B$7:$B$3000,$B303,Offers!$C$7:$C$3000,$C303,Offers!$AG$7:$AG$3000,COUNTIFS(Offers!$B$7:$B$3000,$B303,Offers!$C$7:$C$3000,$C303,Offers!$AI$7:$AI$3000,"yes")))</f>
        <v>19.58</v>
      </c>
      <c r="L303" s="96"/>
      <c r="M303" s="96"/>
      <c r="N303" s="96"/>
      <c r="O303" s="101" t="n">
        <f aca="false">IF(Compare!$E$5="Local prices",IF(F303="","",IF(Compare!$C$5="Minimum",F303,IF(Compare!$C$5="Maximum",H303,G303))),IF(I303="","",IF(Compare!$C$5="Minimum",I303,IF(Compare!$C$5="Maximum",K303,J303))))</f>
        <v>8.74</v>
      </c>
    </row>
    <row r="304" customFormat="false" ht="13.5" hidden="false" customHeight="false" outlineLevel="0" collapsed="false">
      <c r="B304" s="36" t="s">
        <v>80</v>
      </c>
      <c r="C304" s="98" t="s">
        <v>16</v>
      </c>
      <c r="D304" s="98" t="s">
        <v>244</v>
      </c>
      <c r="E304" s="98" t="s">
        <v>491</v>
      </c>
      <c r="F304" s="99" t="n">
        <f aca="false">IF(COUNTIFS(Offers!$B$7:$B$3000,$B304,Offers!$C$7:$C$3000,$C304,Offers!$AH$7:$AH$3000,"yes")=0,"",SUMIFS(Offers!$H$7:$H$3000,Offers!$B$7:$B$3000,$B304,Offers!$C$7:$C$3000,$C304,Offers!$AF$7:$AF$3000,1))</f>
        <v>5.89</v>
      </c>
      <c r="G304" s="93" t="n">
        <f aca="false">IF(COUNTIFS(Offers!$B$7:$B$3000,$B304,Offers!$C$7:$C$3000,$C304,Offers!$AH$7:$AH$3000,"yes")=0,"",(SUMIFS(Offers!$H$7:$H$3000,Offers!$B$7:$B$3000,$B304,Offers!$C$7:$C$3000,$C304,Offers!$AF$7:$AF$3000,ROUNDUP(COUNTIFS(Offers!$B$7:$B$3000,$B304,Offers!$C$7:$C$3000,$C304,Offers!$AH$7:$AH$3000,"yes")/2,0))+SUMIFS(Offers!$H$7:$H$3000,Offers!$B$7:$B$3000,$B304,Offers!$C$7:$C$3000,$C304,Offers!$AF$7:$AF$3000,INT(COUNTIFS(Offers!$B$7:$B$3000,$B304,Offers!$C$7:$C$3000,$C304,Offers!$AH$7:$AH$3000,"yes")/2)+1))/2)</f>
        <v>7.08</v>
      </c>
      <c r="H304" s="99" t="n">
        <f aca="false">IF(COUNTIFS(Offers!$B$7:$B$3000,$B304,Offers!$C$7:$C$3000,$C304,Offers!$AH$7:$AH$3000,"yes")=0,"",SUMIFS(Offers!$H$7:$H$3000,Offers!$B$7:$B$3000,$B304,Offers!$C$7:$C$3000,$C304,Offers!$AF$7:$AF$3000,COUNTIFS(Offers!$B$7:$B$3000,$B304,Offers!$C$7:$C$3000,$C304,Offers!$AH$7:$AH$3000,"yes")))</f>
        <v>19.58</v>
      </c>
      <c r="I304" s="100" t="n">
        <f aca="false">IF(COUNTIFS(Offers!$B$7:$B$3000,$B304,Offers!$C$7:$C$3000,$C304,Offers!$AI$7:$AI$3000,"yes")=0,"",SUMIFS(Offers!$I$7:$I$3000,Offers!$B$7:$B$3000,$B304,Offers!$C$7:$C$3000,$C304,Offers!$AG$7:$AG$3000,1))</f>
        <v>5.89</v>
      </c>
      <c r="J304" s="95" t="n">
        <f aca="false">IF(COUNTIFS(Offers!$B$7:$B$3000,$B304,Offers!$C$7:$C$3000,$C304,Offers!$AI$7:$AI$3000,"yes")=0,"",(SUMIFS(Offers!$I$7:$I$3000,Offers!$B$7:$B$3000,$B304,Offers!$C$7:$C$3000,$C304,Offers!$AG$7:$AG$3000,ROUNDUP(COUNTIFS(Offers!$B$7:$B$3000,$B304,Offers!$C$7:$C$3000,$C304,Offers!$AI$7:$AI$3000,"yes")/2,0))+SUMIFS(Offers!$I$7:$I$3000,Offers!$B$7:$B$3000,$B304,Offers!$C$7:$C$3000,$C304,Offers!$AG$7:$AG$3000,INT(COUNTIFS(Offers!$B$7:$B$3000,$B304,Offers!$C$7:$C$3000,$C304,Offers!$AI$7:$AI$3000,"yes")/2)+1))/2)</f>
        <v>7.08</v>
      </c>
      <c r="K304" s="100" t="n">
        <f aca="false">IF(COUNTIFS(Offers!$B$7:$B$3000,$B304,Offers!$C$7:$C$3000,$C304,Offers!$AI$7:$AI$3000,"yes")=0,"",SUMIFS(Offers!$I$7:$I$3000,Offers!$B$7:$B$3000,$B304,Offers!$C$7:$C$3000,$C304,Offers!$AG$7:$AG$3000,COUNTIFS(Offers!$B$7:$B$3000,$B304,Offers!$C$7:$C$3000,$C304,Offers!$AI$7:$AI$3000,"yes")))</f>
        <v>19.58</v>
      </c>
      <c r="L304" s="96"/>
      <c r="M304" s="96"/>
      <c r="N304" s="96"/>
      <c r="O304" s="101" t="n">
        <f aca="false">IF(Compare!$E$5="Local prices",IF(F304="","",IF(Compare!$C$5="Minimum",F304,IF(Compare!$C$5="Maximum",H304,G304))),IF(I304="","",IF(Compare!$C$5="Minimum",I304,IF(Compare!$C$5="Maximum",K304,J304))))</f>
        <v>7.08</v>
      </c>
    </row>
    <row r="305" customFormat="false" ht="13.5" hidden="false" customHeight="false" outlineLevel="0" collapsed="false">
      <c r="B305" s="36" t="s">
        <v>80</v>
      </c>
      <c r="C305" s="98" t="s">
        <v>17</v>
      </c>
      <c r="D305" s="98" t="s">
        <v>333</v>
      </c>
      <c r="E305" s="98" t="s">
        <v>491</v>
      </c>
      <c r="F305" s="99" t="n">
        <f aca="false">IF(COUNTIFS(Offers!$B$7:$B$3000,$B305,Offers!$C$7:$C$3000,$C305,Offers!$AH$7:$AH$3000,"yes")=0,"",SUMIFS(Offers!$H$7:$H$3000,Offers!$B$7:$B$3000,$B305,Offers!$C$7:$C$3000,$C305,Offers!$AF$7:$AF$3000,1))</f>
        <v>67.44</v>
      </c>
      <c r="G305" s="93" t="n">
        <f aca="false">IF(COUNTIFS(Offers!$B$7:$B$3000,$B305,Offers!$C$7:$C$3000,$C305,Offers!$AH$7:$AH$3000,"yes")=0,"",(SUMIFS(Offers!$H$7:$H$3000,Offers!$B$7:$B$3000,$B305,Offers!$C$7:$C$3000,$C305,Offers!$AF$7:$AF$3000,ROUNDUP(COUNTIFS(Offers!$B$7:$B$3000,$B305,Offers!$C$7:$C$3000,$C305,Offers!$AH$7:$AH$3000,"yes")/2,0))+SUMIFS(Offers!$H$7:$H$3000,Offers!$B$7:$B$3000,$B305,Offers!$C$7:$C$3000,$C305,Offers!$AF$7:$AF$3000,INT(COUNTIFS(Offers!$B$7:$B$3000,$B305,Offers!$C$7:$C$3000,$C305,Offers!$AH$7:$AH$3000,"yes")/2)+1))/2)</f>
        <v>91.74</v>
      </c>
      <c r="H305" s="99" t="n">
        <f aca="false">IF(COUNTIFS(Offers!$B$7:$B$3000,$B305,Offers!$C$7:$C$3000,$C305,Offers!$AH$7:$AH$3000,"yes")=0,"",SUMIFS(Offers!$H$7:$H$3000,Offers!$B$7:$B$3000,$B305,Offers!$C$7:$C$3000,$C305,Offers!$AF$7:$AF$3000,COUNTIFS(Offers!$B$7:$B$3000,$B305,Offers!$C$7:$C$3000,$C305,Offers!$AH$7:$AH$3000,"yes")))</f>
        <v>264</v>
      </c>
      <c r="I305" s="100" t="n">
        <f aca="false">IF(COUNTIFS(Offers!$B$7:$B$3000,$B305,Offers!$C$7:$C$3000,$C305,Offers!$AI$7:$AI$3000,"yes")=0,"",SUMIFS(Offers!$I$7:$I$3000,Offers!$B$7:$B$3000,$B305,Offers!$C$7:$C$3000,$C305,Offers!$AG$7:$AG$3000,1))</f>
        <v>2.761262</v>
      </c>
      <c r="J305" s="95" t="n">
        <f aca="false">IF(COUNTIFS(Offers!$B$7:$B$3000,$B305,Offers!$C$7:$C$3000,$C305,Offers!$AI$7:$AI$3000,"yes")=0,"",(SUMIFS(Offers!$I$7:$I$3000,Offers!$B$7:$B$3000,$B305,Offers!$C$7:$C$3000,$C305,Offers!$AG$7:$AG$3000,ROUNDUP(COUNTIFS(Offers!$B$7:$B$3000,$B305,Offers!$C$7:$C$3000,$C305,Offers!$AI$7:$AI$3000,"yes")/2,0))+SUMIFS(Offers!$I$7:$I$3000,Offers!$B$7:$B$3000,$B305,Offers!$C$7:$C$3000,$C305,Offers!$AG$7:$AG$3000,INT(COUNTIFS(Offers!$B$7:$B$3000,$B305,Offers!$C$7:$C$3000,$C305,Offers!$AI$7:$AI$3000,"yes")/2)+1))/2)</f>
        <v>3.756201</v>
      </c>
      <c r="K305" s="100" t="n">
        <f aca="false">IF(COUNTIFS(Offers!$B$7:$B$3000,$B305,Offers!$C$7:$C$3000,$C305,Offers!$AI$7:$AI$3000,"yes")=0,"",SUMIFS(Offers!$I$7:$I$3000,Offers!$B$7:$B$3000,$B305,Offers!$C$7:$C$3000,$C305,Offers!$AG$7:$AG$3000,COUNTIFS(Offers!$B$7:$B$3000,$B305,Offers!$C$7:$C$3000,$C305,Offers!$AI$7:$AI$3000,"yes")))</f>
        <v>10.80921</v>
      </c>
      <c r="L305" s="96"/>
      <c r="M305" s="96"/>
      <c r="N305" s="96"/>
      <c r="O305" s="101" t="n">
        <f aca="false">IF(Compare!$E$5="Local prices",IF(F305="","",IF(Compare!$C$5="Minimum",F305,IF(Compare!$C$5="Maximum",H305,G305))),IF(I305="","",IF(Compare!$C$5="Minimum",I305,IF(Compare!$C$5="Maximum",K305,J305))))</f>
        <v>3.756201</v>
      </c>
    </row>
    <row r="306" customFormat="false" ht="13.5" hidden="false" customHeight="false" outlineLevel="0" collapsed="false">
      <c r="B306" s="36" t="s">
        <v>80</v>
      </c>
      <c r="C306" s="98" t="s">
        <v>18</v>
      </c>
      <c r="D306" s="98" t="s">
        <v>244</v>
      </c>
      <c r="E306" s="98" t="s">
        <v>491</v>
      </c>
      <c r="F306" s="99" t="n">
        <f aca="false">IF(COUNTIFS(Offers!$B$7:$B$3000,$B306,Offers!$C$7:$C$3000,$C306,Offers!$AH$7:$AH$3000,"yes")=0,"",SUMIFS(Offers!$H$7:$H$3000,Offers!$B$7:$B$3000,$B306,Offers!$C$7:$C$3000,$C306,Offers!$AF$7:$AF$3000,1))</f>
        <v>3.18</v>
      </c>
      <c r="G306" s="93" t="n">
        <f aca="false">IF(COUNTIFS(Offers!$B$7:$B$3000,$B306,Offers!$C$7:$C$3000,$C306,Offers!$AH$7:$AH$3000,"yes")=0,"",(SUMIFS(Offers!$H$7:$H$3000,Offers!$B$7:$B$3000,$B306,Offers!$C$7:$C$3000,$C306,Offers!$AF$7:$AF$3000,ROUNDUP(COUNTIFS(Offers!$B$7:$B$3000,$B306,Offers!$C$7:$C$3000,$C306,Offers!$AH$7:$AH$3000,"yes")/2,0))+SUMIFS(Offers!$H$7:$H$3000,Offers!$B$7:$B$3000,$B306,Offers!$C$7:$C$3000,$C306,Offers!$AF$7:$AF$3000,INT(COUNTIFS(Offers!$B$7:$B$3000,$B306,Offers!$C$7:$C$3000,$C306,Offers!$AH$7:$AH$3000,"yes")/2)+1))/2)</f>
        <v>6.05</v>
      </c>
      <c r="H306" s="99" t="n">
        <f aca="false">IF(COUNTIFS(Offers!$B$7:$B$3000,$B306,Offers!$C$7:$C$3000,$C306,Offers!$AH$7:$AH$3000,"yes")=0,"",SUMIFS(Offers!$H$7:$H$3000,Offers!$B$7:$B$3000,$B306,Offers!$C$7:$C$3000,$C306,Offers!$AF$7:$AF$3000,COUNTIFS(Offers!$B$7:$B$3000,$B306,Offers!$C$7:$C$3000,$C306,Offers!$AH$7:$AH$3000,"yes")))</f>
        <v>10.28</v>
      </c>
      <c r="I306" s="100" t="n">
        <f aca="false">IF(COUNTIFS(Offers!$B$7:$B$3000,$B306,Offers!$C$7:$C$3000,$C306,Offers!$AI$7:$AI$3000,"yes")=0,"",SUMIFS(Offers!$I$7:$I$3000,Offers!$B$7:$B$3000,$B306,Offers!$C$7:$C$3000,$C306,Offers!$AG$7:$AG$3000,1))</f>
        <v>3.18</v>
      </c>
      <c r="J306" s="95" t="n">
        <f aca="false">IF(COUNTIFS(Offers!$B$7:$B$3000,$B306,Offers!$C$7:$C$3000,$C306,Offers!$AI$7:$AI$3000,"yes")=0,"",(SUMIFS(Offers!$I$7:$I$3000,Offers!$B$7:$B$3000,$B306,Offers!$C$7:$C$3000,$C306,Offers!$AG$7:$AG$3000,ROUNDUP(COUNTIFS(Offers!$B$7:$B$3000,$B306,Offers!$C$7:$C$3000,$C306,Offers!$AI$7:$AI$3000,"yes")/2,0))+SUMIFS(Offers!$I$7:$I$3000,Offers!$B$7:$B$3000,$B306,Offers!$C$7:$C$3000,$C306,Offers!$AG$7:$AG$3000,INT(COUNTIFS(Offers!$B$7:$B$3000,$B306,Offers!$C$7:$C$3000,$C306,Offers!$AI$7:$AI$3000,"yes")/2)+1))/2)</f>
        <v>6.05</v>
      </c>
      <c r="K306" s="100" t="n">
        <f aca="false">IF(COUNTIFS(Offers!$B$7:$B$3000,$B306,Offers!$C$7:$C$3000,$C306,Offers!$AI$7:$AI$3000,"yes")=0,"",SUMIFS(Offers!$I$7:$I$3000,Offers!$B$7:$B$3000,$B306,Offers!$C$7:$C$3000,$C306,Offers!$AG$7:$AG$3000,COUNTIFS(Offers!$B$7:$B$3000,$B306,Offers!$C$7:$C$3000,$C306,Offers!$AI$7:$AI$3000,"yes")))</f>
        <v>10.28</v>
      </c>
      <c r="L306" s="96"/>
      <c r="M306" s="96"/>
      <c r="N306" s="96"/>
      <c r="O306" s="101" t="n">
        <f aca="false">IF(Compare!$E$5="Local prices",IF(F306="","",IF(Compare!$C$5="Minimum",F306,IF(Compare!$C$5="Maximum",H306,G306))),IF(I306="","",IF(Compare!$C$5="Minimum",I306,IF(Compare!$C$5="Maximum",K306,J306))))</f>
        <v>6.05</v>
      </c>
    </row>
    <row r="307" customFormat="false" ht="13.5" hidden="false" customHeight="false" outlineLevel="0" collapsed="false">
      <c r="B307" s="36" t="s">
        <v>81</v>
      </c>
      <c r="C307" s="98" t="s">
        <v>13</v>
      </c>
      <c r="D307" s="98" t="s">
        <v>490</v>
      </c>
      <c r="E307" s="98" t="s">
        <v>491</v>
      </c>
      <c r="F307" s="99" t="str">
        <f aca="false">IF(COUNTIFS(Offers!$B$7:$B$3000,$B307,Offers!$C$7:$C$3000,$C307,Offers!$AH$7:$AH$3000,"yes")=0,"",SUMIFS(Offers!$H$7:$H$3000,Offers!$B$7:$B$3000,$B307,Offers!$C$7:$C$3000,$C307,Offers!$AF$7:$AF$3000,1))</f>
        <v/>
      </c>
      <c r="G307" s="93" t="str">
        <f aca="false">IF(COUNTIFS(Offers!$B$7:$B$3000,$B307,Offers!$C$7:$C$3000,$C307,Offers!$AH$7:$AH$3000,"yes")=0,"",(SUMIFS(Offers!$H$7:$H$3000,Offers!$B$7:$B$3000,$B307,Offers!$C$7:$C$3000,$C307,Offers!$AF$7:$AF$3000,ROUNDUP(COUNTIFS(Offers!$B$7:$B$3000,$B307,Offers!$C$7:$C$3000,$C307,Offers!$AH$7:$AH$3000,"yes")/2,0))+SUMIFS(Offers!$H$7:$H$3000,Offers!$B$7:$B$3000,$B307,Offers!$C$7:$C$3000,$C307,Offers!$AF$7:$AF$3000,INT(COUNTIFS(Offers!$B$7:$B$3000,$B307,Offers!$C$7:$C$3000,$C307,Offers!$AH$7:$AH$3000,"yes")/2)+1))/2)</f>
        <v/>
      </c>
      <c r="H307" s="99" t="str">
        <f aca="false">IF(COUNTIFS(Offers!$B$7:$B$3000,$B307,Offers!$C$7:$C$3000,$C307,Offers!$AH$7:$AH$3000,"yes")=0,"",SUMIFS(Offers!$H$7:$H$3000,Offers!$B$7:$B$3000,$B307,Offers!$C$7:$C$3000,$C307,Offers!$AF$7:$AF$3000,COUNTIFS(Offers!$B$7:$B$3000,$B307,Offers!$C$7:$C$3000,$C307,Offers!$AH$7:$AH$3000,"yes")))</f>
        <v/>
      </c>
      <c r="I307" s="100" t="str">
        <f aca="false">IF(COUNTIFS(Offers!$B$7:$B$3000,$B307,Offers!$C$7:$C$3000,$C307,Offers!$AI$7:$AI$3000,"yes")=0,"",SUMIFS(Offers!$I$7:$I$3000,Offers!$B$7:$B$3000,$B307,Offers!$C$7:$C$3000,$C307,Offers!$AG$7:$AG$3000,1))</f>
        <v/>
      </c>
      <c r="J307" s="95" t="str">
        <f aca="false">IF(COUNTIFS(Offers!$B$7:$B$3000,$B307,Offers!$C$7:$C$3000,$C307,Offers!$AI$7:$AI$3000,"yes")=0,"",(SUMIFS(Offers!$I$7:$I$3000,Offers!$B$7:$B$3000,$B307,Offers!$C$7:$C$3000,$C307,Offers!$AG$7:$AG$3000,ROUNDUP(COUNTIFS(Offers!$B$7:$B$3000,$B307,Offers!$C$7:$C$3000,$C307,Offers!$AI$7:$AI$3000,"yes")/2,0))+SUMIFS(Offers!$I$7:$I$3000,Offers!$B$7:$B$3000,$B307,Offers!$C$7:$C$3000,$C307,Offers!$AG$7:$AG$3000,INT(COUNTIFS(Offers!$B$7:$B$3000,$B307,Offers!$C$7:$C$3000,$C307,Offers!$AI$7:$AI$3000,"yes")/2)+1))/2)</f>
        <v/>
      </c>
      <c r="K307" s="100" t="str">
        <f aca="false">IF(COUNTIFS(Offers!$B$7:$B$3000,$B307,Offers!$C$7:$C$3000,$C307,Offers!$AI$7:$AI$3000,"yes")=0,"",SUMIFS(Offers!$I$7:$I$3000,Offers!$B$7:$B$3000,$B307,Offers!$C$7:$C$3000,$C307,Offers!$AG$7:$AG$3000,COUNTIFS(Offers!$B$7:$B$3000,$B307,Offers!$C$7:$C$3000,$C307,Offers!$AI$7:$AI$3000,"yes")))</f>
        <v/>
      </c>
      <c r="L307" s="96"/>
      <c r="M307" s="96"/>
      <c r="N307" s="96"/>
      <c r="O307" s="110" t="str">
        <f aca="false">IF(Compare!$E$5="Local prices",IF(F307="","",IF(Compare!$C$5="Minimum",F307,IF(Compare!$C$5="Maximum",H307,G307))),IF(I307="","",IF(Compare!$C$5="Minimum",I307,IF(Compare!$C$5="Maximum",K307,J307))))</f>
        <v/>
      </c>
    </row>
    <row r="308" customFormat="false" ht="13.5" hidden="false" customHeight="false" outlineLevel="0" collapsed="false">
      <c r="B308" s="36" t="s">
        <v>81</v>
      </c>
      <c r="C308" s="98" t="s">
        <v>14</v>
      </c>
      <c r="D308" s="98" t="s">
        <v>374</v>
      </c>
      <c r="E308" s="98" t="s">
        <v>491</v>
      </c>
      <c r="F308" s="99" t="n">
        <f aca="false">IF(COUNTIFS(Offers!$B$7:$B$3000,$B308,Offers!$C$7:$C$3000,$C308,Offers!$AH$7:$AH$3000,"yes")=0,"",SUMIFS(Offers!$H$7:$H$3000,Offers!$B$7:$B$3000,$B308,Offers!$C$7:$C$3000,$C308,Offers!$AF$7:$AF$3000,1))</f>
        <v>1</v>
      </c>
      <c r="G308" s="93" t="n">
        <f aca="false">IF(COUNTIFS(Offers!$B$7:$B$3000,$B308,Offers!$C$7:$C$3000,$C308,Offers!$AH$7:$AH$3000,"yes")=0,"",(SUMIFS(Offers!$H$7:$H$3000,Offers!$B$7:$B$3000,$B308,Offers!$C$7:$C$3000,$C308,Offers!$AF$7:$AF$3000,ROUNDUP(COUNTIFS(Offers!$B$7:$B$3000,$B308,Offers!$C$7:$C$3000,$C308,Offers!$AH$7:$AH$3000,"yes")/2,0))+SUMIFS(Offers!$H$7:$H$3000,Offers!$B$7:$B$3000,$B308,Offers!$C$7:$C$3000,$C308,Offers!$AF$7:$AF$3000,INT(COUNTIFS(Offers!$B$7:$B$3000,$B308,Offers!$C$7:$C$3000,$C308,Offers!$AH$7:$AH$3000,"yes")/2)+1))/2)</f>
        <v>10.02</v>
      </c>
      <c r="H308" s="99" t="n">
        <f aca="false">IF(COUNTIFS(Offers!$B$7:$B$3000,$B308,Offers!$C$7:$C$3000,$C308,Offers!$AH$7:$AH$3000,"yes")=0,"",SUMIFS(Offers!$H$7:$H$3000,Offers!$B$7:$B$3000,$B308,Offers!$C$7:$C$3000,$C308,Offers!$AF$7:$AF$3000,COUNTIFS(Offers!$B$7:$B$3000,$B308,Offers!$C$7:$C$3000,$C308,Offers!$AH$7:$AH$3000,"yes")))</f>
        <v>16.52</v>
      </c>
      <c r="I308" s="100" t="n">
        <f aca="false">IF(COUNTIFS(Offers!$B$7:$B$3000,$B308,Offers!$C$7:$C$3000,$C308,Offers!$AI$7:$AI$3000,"yes")=0,"",SUMIFS(Offers!$I$7:$I$3000,Offers!$B$7:$B$3000,$B308,Offers!$C$7:$C$3000,$C308,Offers!$AG$7:$AG$3000,1))</f>
        <v>0.985289</v>
      </c>
      <c r="J308" s="95" t="n">
        <f aca="false">IF(COUNTIFS(Offers!$B$7:$B$3000,$B308,Offers!$C$7:$C$3000,$C308,Offers!$AI$7:$AI$3000,"yes")=0,"",(SUMIFS(Offers!$I$7:$I$3000,Offers!$B$7:$B$3000,$B308,Offers!$C$7:$C$3000,$C308,Offers!$AG$7:$AG$3000,ROUNDUP(COUNTIFS(Offers!$B$7:$B$3000,$B308,Offers!$C$7:$C$3000,$C308,Offers!$AI$7:$AI$3000,"yes")/2,0))+SUMIFS(Offers!$I$7:$I$3000,Offers!$B$7:$B$3000,$B308,Offers!$C$7:$C$3000,$C308,Offers!$AG$7:$AG$3000,INT(COUNTIFS(Offers!$B$7:$B$3000,$B308,Offers!$C$7:$C$3000,$C308,Offers!$AI$7:$AI$3000,"yes")/2)+1))/2)</f>
        <v>1.898575</v>
      </c>
      <c r="K308" s="100" t="n">
        <f aca="false">IF(COUNTIFS(Offers!$B$7:$B$3000,$B308,Offers!$C$7:$C$3000,$C308,Offers!$AI$7:$AI$3000,"yes")=0,"",SUMIFS(Offers!$I$7:$I$3000,Offers!$B$7:$B$3000,$B308,Offers!$C$7:$C$3000,$C308,Offers!$AG$7:$AG$3000,COUNTIFS(Offers!$B$7:$B$3000,$B308,Offers!$C$7:$C$3000,$C308,Offers!$AI$7:$AI$3000,"yes")))</f>
        <v>3.130186</v>
      </c>
      <c r="L308" s="96"/>
      <c r="M308" s="96"/>
      <c r="N308" s="96"/>
      <c r="O308" s="101" t="n">
        <f aca="false">IF(Compare!$E$5="Local prices",IF(F308="","",IF(Compare!$C$5="Minimum",F308,IF(Compare!$C$5="Maximum",H308,G308))),IF(I308="","",IF(Compare!$C$5="Minimum",I308,IF(Compare!$C$5="Maximum",K308,J308))))</f>
        <v>1.898575</v>
      </c>
    </row>
    <row r="309" customFormat="false" ht="13.5" hidden="false" customHeight="false" outlineLevel="0" collapsed="false">
      <c r="B309" s="36" t="s">
        <v>81</v>
      </c>
      <c r="C309" s="98" t="s">
        <v>15</v>
      </c>
      <c r="D309" s="98" t="s">
        <v>244</v>
      </c>
      <c r="E309" s="98" t="s">
        <v>491</v>
      </c>
      <c r="F309" s="99" t="n">
        <f aca="false">IF(COUNTIFS(Offers!$B$7:$B$3000,$B309,Offers!$C$7:$C$3000,$C309,Offers!$AH$7:$AH$3000,"yes")=0,"",SUMIFS(Offers!$H$7:$H$3000,Offers!$B$7:$B$3000,$B309,Offers!$C$7:$C$3000,$C309,Offers!$AF$7:$AF$3000,1))</f>
        <v>1.87</v>
      </c>
      <c r="G309" s="93" t="n">
        <f aca="false">IF(COUNTIFS(Offers!$B$7:$B$3000,$B309,Offers!$C$7:$C$3000,$C309,Offers!$AH$7:$AH$3000,"yes")=0,"",(SUMIFS(Offers!$H$7:$H$3000,Offers!$B$7:$B$3000,$B309,Offers!$C$7:$C$3000,$C309,Offers!$AF$7:$AF$3000,ROUNDUP(COUNTIFS(Offers!$B$7:$B$3000,$B309,Offers!$C$7:$C$3000,$C309,Offers!$AH$7:$AH$3000,"yes")/2,0))+SUMIFS(Offers!$H$7:$H$3000,Offers!$B$7:$B$3000,$B309,Offers!$C$7:$C$3000,$C309,Offers!$AF$7:$AF$3000,INT(COUNTIFS(Offers!$B$7:$B$3000,$B309,Offers!$C$7:$C$3000,$C309,Offers!$AH$7:$AH$3000,"yes")/2)+1))/2)</f>
        <v>3.65</v>
      </c>
      <c r="H309" s="99" t="n">
        <f aca="false">IF(COUNTIFS(Offers!$B$7:$B$3000,$B309,Offers!$C$7:$C$3000,$C309,Offers!$AH$7:$AH$3000,"yes")=0,"",SUMIFS(Offers!$H$7:$H$3000,Offers!$B$7:$B$3000,$B309,Offers!$C$7:$C$3000,$C309,Offers!$AF$7:$AF$3000,COUNTIFS(Offers!$B$7:$B$3000,$B309,Offers!$C$7:$C$3000,$C309,Offers!$AH$7:$AH$3000,"yes")))</f>
        <v>9</v>
      </c>
      <c r="I309" s="100" t="n">
        <f aca="false">IF(COUNTIFS(Offers!$B$7:$B$3000,$B309,Offers!$C$7:$C$3000,$C309,Offers!$AI$7:$AI$3000,"yes")=0,"",SUMIFS(Offers!$I$7:$I$3000,Offers!$B$7:$B$3000,$B309,Offers!$C$7:$C$3000,$C309,Offers!$AG$7:$AG$3000,1))</f>
        <v>1.87</v>
      </c>
      <c r="J309" s="95" t="n">
        <f aca="false">IF(COUNTIFS(Offers!$B$7:$B$3000,$B309,Offers!$C$7:$C$3000,$C309,Offers!$AI$7:$AI$3000,"yes")=0,"",(SUMIFS(Offers!$I$7:$I$3000,Offers!$B$7:$B$3000,$B309,Offers!$C$7:$C$3000,$C309,Offers!$AG$7:$AG$3000,ROUNDUP(COUNTIFS(Offers!$B$7:$B$3000,$B309,Offers!$C$7:$C$3000,$C309,Offers!$AI$7:$AI$3000,"yes")/2,0))+SUMIFS(Offers!$I$7:$I$3000,Offers!$B$7:$B$3000,$B309,Offers!$C$7:$C$3000,$C309,Offers!$AG$7:$AG$3000,INT(COUNTIFS(Offers!$B$7:$B$3000,$B309,Offers!$C$7:$C$3000,$C309,Offers!$AI$7:$AI$3000,"yes")/2)+1))/2)</f>
        <v>3.65</v>
      </c>
      <c r="K309" s="100" t="n">
        <f aca="false">IF(COUNTIFS(Offers!$B$7:$B$3000,$B309,Offers!$C$7:$C$3000,$C309,Offers!$AI$7:$AI$3000,"yes")=0,"",SUMIFS(Offers!$I$7:$I$3000,Offers!$B$7:$B$3000,$B309,Offers!$C$7:$C$3000,$C309,Offers!$AG$7:$AG$3000,COUNTIFS(Offers!$B$7:$B$3000,$B309,Offers!$C$7:$C$3000,$C309,Offers!$AI$7:$AI$3000,"yes")))</f>
        <v>9</v>
      </c>
      <c r="L309" s="96"/>
      <c r="M309" s="96"/>
      <c r="N309" s="96"/>
      <c r="O309" s="101" t="n">
        <f aca="false">IF(Compare!$E$5="Local prices",IF(F309="","",IF(Compare!$C$5="Minimum",F309,IF(Compare!$C$5="Maximum",H309,G309))),IF(I309="","",IF(Compare!$C$5="Minimum",I309,IF(Compare!$C$5="Maximum",K309,J309))))</f>
        <v>3.65</v>
      </c>
    </row>
    <row r="310" customFormat="false" ht="13.5" hidden="false" customHeight="false" outlineLevel="0" collapsed="false">
      <c r="B310" s="36" t="s">
        <v>81</v>
      </c>
      <c r="C310" s="98" t="s">
        <v>16</v>
      </c>
      <c r="D310" s="98" t="s">
        <v>244</v>
      </c>
      <c r="E310" s="98" t="s">
        <v>491</v>
      </c>
      <c r="F310" s="99" t="n">
        <f aca="false">IF(COUNTIFS(Offers!$B$7:$B$3000,$B310,Offers!$C$7:$C$3000,$C310,Offers!$AH$7:$AH$3000,"yes")=0,"",SUMIFS(Offers!$H$7:$H$3000,Offers!$B$7:$B$3000,$B310,Offers!$C$7:$C$3000,$C310,Offers!$AF$7:$AF$3000,1))</f>
        <v>1.75</v>
      </c>
      <c r="G310" s="93" t="n">
        <f aca="false">IF(COUNTIFS(Offers!$B$7:$B$3000,$B310,Offers!$C$7:$C$3000,$C310,Offers!$AH$7:$AH$3000,"yes")=0,"",(SUMIFS(Offers!$H$7:$H$3000,Offers!$B$7:$B$3000,$B310,Offers!$C$7:$C$3000,$C310,Offers!$AF$7:$AF$3000,ROUNDUP(COUNTIFS(Offers!$B$7:$B$3000,$B310,Offers!$C$7:$C$3000,$C310,Offers!$AH$7:$AH$3000,"yes")/2,0))+SUMIFS(Offers!$H$7:$H$3000,Offers!$B$7:$B$3000,$B310,Offers!$C$7:$C$3000,$C310,Offers!$AF$7:$AF$3000,INT(COUNTIFS(Offers!$B$7:$B$3000,$B310,Offers!$C$7:$C$3000,$C310,Offers!$AH$7:$AH$3000,"yes")/2)+1))/2)</f>
        <v>2.28</v>
      </c>
      <c r="H310" s="99" t="n">
        <f aca="false">IF(COUNTIFS(Offers!$B$7:$B$3000,$B310,Offers!$C$7:$C$3000,$C310,Offers!$AH$7:$AH$3000,"yes")=0,"",SUMIFS(Offers!$H$7:$H$3000,Offers!$B$7:$B$3000,$B310,Offers!$C$7:$C$3000,$C310,Offers!$AF$7:$AF$3000,COUNTIFS(Offers!$B$7:$B$3000,$B310,Offers!$C$7:$C$3000,$C310,Offers!$AH$7:$AH$3000,"yes")))</f>
        <v>9</v>
      </c>
      <c r="I310" s="100" t="n">
        <f aca="false">IF(COUNTIFS(Offers!$B$7:$B$3000,$B310,Offers!$C$7:$C$3000,$C310,Offers!$AI$7:$AI$3000,"yes")=0,"",SUMIFS(Offers!$I$7:$I$3000,Offers!$B$7:$B$3000,$B310,Offers!$C$7:$C$3000,$C310,Offers!$AG$7:$AG$3000,1))</f>
        <v>1.75</v>
      </c>
      <c r="J310" s="95" t="n">
        <f aca="false">IF(COUNTIFS(Offers!$B$7:$B$3000,$B310,Offers!$C$7:$C$3000,$C310,Offers!$AI$7:$AI$3000,"yes")=0,"",(SUMIFS(Offers!$I$7:$I$3000,Offers!$B$7:$B$3000,$B310,Offers!$C$7:$C$3000,$C310,Offers!$AG$7:$AG$3000,ROUNDUP(COUNTIFS(Offers!$B$7:$B$3000,$B310,Offers!$C$7:$C$3000,$C310,Offers!$AI$7:$AI$3000,"yes")/2,0))+SUMIFS(Offers!$I$7:$I$3000,Offers!$B$7:$B$3000,$B310,Offers!$C$7:$C$3000,$C310,Offers!$AG$7:$AG$3000,INT(COUNTIFS(Offers!$B$7:$B$3000,$B310,Offers!$C$7:$C$3000,$C310,Offers!$AI$7:$AI$3000,"yes")/2)+1))/2)</f>
        <v>2.28</v>
      </c>
      <c r="K310" s="100" t="n">
        <f aca="false">IF(COUNTIFS(Offers!$B$7:$B$3000,$B310,Offers!$C$7:$C$3000,$C310,Offers!$AI$7:$AI$3000,"yes")=0,"",SUMIFS(Offers!$I$7:$I$3000,Offers!$B$7:$B$3000,$B310,Offers!$C$7:$C$3000,$C310,Offers!$AG$7:$AG$3000,COUNTIFS(Offers!$B$7:$B$3000,$B310,Offers!$C$7:$C$3000,$C310,Offers!$AI$7:$AI$3000,"yes")))</f>
        <v>9</v>
      </c>
      <c r="L310" s="96"/>
      <c r="M310" s="96"/>
      <c r="N310" s="96"/>
      <c r="O310" s="101" t="n">
        <f aca="false">IF(Compare!$E$5="Local prices",IF(F310="","",IF(Compare!$C$5="Minimum",F310,IF(Compare!$C$5="Maximum",H310,G310))),IF(I310="","",IF(Compare!$C$5="Minimum",I310,IF(Compare!$C$5="Maximum",K310,J310))))</f>
        <v>2.28</v>
      </c>
    </row>
    <row r="311" customFormat="false" ht="13.5" hidden="false" customHeight="false" outlineLevel="0" collapsed="false">
      <c r="B311" s="36" t="s">
        <v>81</v>
      </c>
      <c r="C311" s="98" t="s">
        <v>17</v>
      </c>
      <c r="D311" s="98" t="s">
        <v>333</v>
      </c>
      <c r="E311" s="98" t="s">
        <v>491</v>
      </c>
      <c r="F311" s="99" t="n">
        <f aca="false">IF(COUNTIFS(Offers!$B$7:$B$3000,$B311,Offers!$C$7:$C$3000,$C311,Offers!$AH$7:$AH$3000,"yes")=0,"",SUMIFS(Offers!$H$7:$H$3000,Offers!$B$7:$B$3000,$B311,Offers!$C$7:$C$3000,$C311,Offers!$AF$7:$AF$3000,1))</f>
        <v>32.23</v>
      </c>
      <c r="G311" s="93" t="n">
        <f aca="false">IF(COUNTIFS(Offers!$B$7:$B$3000,$B311,Offers!$C$7:$C$3000,$C311,Offers!$AH$7:$AH$3000,"yes")=0,"",(SUMIFS(Offers!$H$7:$H$3000,Offers!$B$7:$B$3000,$B311,Offers!$C$7:$C$3000,$C311,Offers!$AF$7:$AF$3000,ROUNDUP(COUNTIFS(Offers!$B$7:$B$3000,$B311,Offers!$C$7:$C$3000,$C311,Offers!$AH$7:$AH$3000,"yes")/2,0))+SUMIFS(Offers!$H$7:$H$3000,Offers!$B$7:$B$3000,$B311,Offers!$C$7:$C$3000,$C311,Offers!$AF$7:$AF$3000,INT(COUNTIFS(Offers!$B$7:$B$3000,$B311,Offers!$C$7:$C$3000,$C311,Offers!$AH$7:$AH$3000,"yes")/2)+1))/2)</f>
        <v>53</v>
      </c>
      <c r="H311" s="99" t="n">
        <f aca="false">IF(COUNTIFS(Offers!$B$7:$B$3000,$B311,Offers!$C$7:$C$3000,$C311,Offers!$AH$7:$AH$3000,"yes")=0,"",SUMIFS(Offers!$H$7:$H$3000,Offers!$B$7:$B$3000,$B311,Offers!$C$7:$C$3000,$C311,Offers!$AF$7:$AF$3000,COUNTIFS(Offers!$B$7:$B$3000,$B311,Offers!$C$7:$C$3000,$C311,Offers!$AH$7:$AH$3000,"yes")))</f>
        <v>103</v>
      </c>
      <c r="I311" s="100" t="n">
        <f aca="false">IF(COUNTIFS(Offers!$B$7:$B$3000,$B311,Offers!$C$7:$C$3000,$C311,Offers!$AI$7:$AI$3000,"yes")=0,"",SUMIFS(Offers!$I$7:$I$3000,Offers!$B$7:$B$3000,$B311,Offers!$C$7:$C$3000,$C311,Offers!$AG$7:$AG$3000,1))</f>
        <v>1.319624</v>
      </c>
      <c r="J311" s="95" t="n">
        <f aca="false">IF(COUNTIFS(Offers!$B$7:$B$3000,$B311,Offers!$C$7:$C$3000,$C311,Offers!$AI$7:$AI$3000,"yes")=0,"",(SUMIFS(Offers!$I$7:$I$3000,Offers!$B$7:$B$3000,$B311,Offers!$C$7:$C$3000,$C311,Offers!$AG$7:$AG$3000,ROUNDUP(COUNTIFS(Offers!$B$7:$B$3000,$B311,Offers!$C$7:$C$3000,$C311,Offers!$AI$7:$AI$3000,"yes")/2,0))+SUMIFS(Offers!$I$7:$I$3000,Offers!$B$7:$B$3000,$B311,Offers!$C$7:$C$3000,$C311,Offers!$AG$7:$AG$3000,INT(COUNTIFS(Offers!$B$7:$B$3000,$B311,Offers!$C$7:$C$3000,$C311,Offers!$AI$7:$AI$3000,"yes")/2)+1))/2)</f>
        <v>2.170031</v>
      </c>
      <c r="K311" s="100" t="n">
        <f aca="false">IF(COUNTIFS(Offers!$B$7:$B$3000,$B311,Offers!$C$7:$C$3000,$C311,Offers!$AI$7:$AI$3000,"yes")=0,"",SUMIFS(Offers!$I$7:$I$3000,Offers!$B$7:$B$3000,$B311,Offers!$C$7:$C$3000,$C311,Offers!$AG$7:$AG$3000,COUNTIFS(Offers!$B$7:$B$3000,$B311,Offers!$C$7:$C$3000,$C311,Offers!$AI$7:$AI$3000,"yes")))</f>
        <v>4.21723</v>
      </c>
      <c r="L311" s="96"/>
      <c r="M311" s="96"/>
      <c r="N311" s="96"/>
      <c r="O311" s="101" t="n">
        <f aca="false">IF(Compare!$E$5="Local prices",IF(F311="","",IF(Compare!$C$5="Minimum",F311,IF(Compare!$C$5="Maximum",H311,G311))),IF(I311="","",IF(Compare!$C$5="Minimum",I311,IF(Compare!$C$5="Maximum",K311,J311))))</f>
        <v>2.170031</v>
      </c>
    </row>
    <row r="312" customFormat="false" ht="13.5" hidden="false" customHeight="false" outlineLevel="0" collapsed="false">
      <c r="B312" s="36" t="s">
        <v>81</v>
      </c>
      <c r="C312" s="98" t="s">
        <v>18</v>
      </c>
      <c r="D312" s="98" t="s">
        <v>244</v>
      </c>
      <c r="E312" s="98" t="s">
        <v>491</v>
      </c>
      <c r="F312" s="99" t="n">
        <f aca="false">IF(COUNTIFS(Offers!$B$7:$B$3000,$B312,Offers!$C$7:$C$3000,$C312,Offers!$AH$7:$AH$3000,"yes")=0,"",SUMIFS(Offers!$H$7:$H$3000,Offers!$B$7:$B$3000,$B312,Offers!$C$7:$C$3000,$C312,Offers!$AF$7:$AF$3000,1))</f>
        <v>1.35</v>
      </c>
      <c r="G312" s="93" t="n">
        <f aca="false">IF(COUNTIFS(Offers!$B$7:$B$3000,$B312,Offers!$C$7:$C$3000,$C312,Offers!$AH$7:$AH$3000,"yes")=0,"",(SUMIFS(Offers!$H$7:$H$3000,Offers!$B$7:$B$3000,$B312,Offers!$C$7:$C$3000,$C312,Offers!$AF$7:$AF$3000,ROUNDUP(COUNTIFS(Offers!$B$7:$B$3000,$B312,Offers!$C$7:$C$3000,$C312,Offers!$AH$7:$AH$3000,"yes")/2,0))+SUMIFS(Offers!$H$7:$H$3000,Offers!$B$7:$B$3000,$B312,Offers!$C$7:$C$3000,$C312,Offers!$AF$7:$AF$3000,INT(COUNTIFS(Offers!$B$7:$B$3000,$B312,Offers!$C$7:$C$3000,$C312,Offers!$AH$7:$AH$3000,"yes")/2)+1))/2)</f>
        <v>2.28</v>
      </c>
      <c r="H312" s="99" t="n">
        <f aca="false">IF(COUNTIFS(Offers!$B$7:$B$3000,$B312,Offers!$C$7:$C$3000,$C312,Offers!$AH$7:$AH$3000,"yes")=0,"",SUMIFS(Offers!$H$7:$H$3000,Offers!$B$7:$B$3000,$B312,Offers!$C$7:$C$3000,$C312,Offers!$AF$7:$AF$3000,COUNTIFS(Offers!$B$7:$B$3000,$B312,Offers!$C$7:$C$3000,$C312,Offers!$AH$7:$AH$3000,"yes")))</f>
        <v>2.98</v>
      </c>
      <c r="I312" s="100" t="n">
        <f aca="false">IF(COUNTIFS(Offers!$B$7:$B$3000,$B312,Offers!$C$7:$C$3000,$C312,Offers!$AI$7:$AI$3000,"yes")=0,"",SUMIFS(Offers!$I$7:$I$3000,Offers!$B$7:$B$3000,$B312,Offers!$C$7:$C$3000,$C312,Offers!$AG$7:$AG$3000,1))</f>
        <v>1.35</v>
      </c>
      <c r="J312" s="95" t="n">
        <f aca="false">IF(COUNTIFS(Offers!$B$7:$B$3000,$B312,Offers!$C$7:$C$3000,$C312,Offers!$AI$7:$AI$3000,"yes")=0,"",(SUMIFS(Offers!$I$7:$I$3000,Offers!$B$7:$B$3000,$B312,Offers!$C$7:$C$3000,$C312,Offers!$AG$7:$AG$3000,ROUNDUP(COUNTIFS(Offers!$B$7:$B$3000,$B312,Offers!$C$7:$C$3000,$C312,Offers!$AI$7:$AI$3000,"yes")/2,0))+SUMIFS(Offers!$I$7:$I$3000,Offers!$B$7:$B$3000,$B312,Offers!$C$7:$C$3000,$C312,Offers!$AG$7:$AG$3000,INT(COUNTIFS(Offers!$B$7:$B$3000,$B312,Offers!$C$7:$C$3000,$C312,Offers!$AI$7:$AI$3000,"yes")/2)+1))/2)</f>
        <v>2.28</v>
      </c>
      <c r="K312" s="100" t="n">
        <f aca="false">IF(COUNTIFS(Offers!$B$7:$B$3000,$B312,Offers!$C$7:$C$3000,$C312,Offers!$AI$7:$AI$3000,"yes")=0,"",SUMIFS(Offers!$I$7:$I$3000,Offers!$B$7:$B$3000,$B312,Offers!$C$7:$C$3000,$C312,Offers!$AG$7:$AG$3000,COUNTIFS(Offers!$B$7:$B$3000,$B312,Offers!$C$7:$C$3000,$C312,Offers!$AI$7:$AI$3000,"yes")))</f>
        <v>2.98</v>
      </c>
      <c r="L312" s="96"/>
      <c r="M312" s="96"/>
      <c r="N312" s="96"/>
      <c r="O312" s="101" t="n">
        <f aca="false">IF(Compare!$E$5="Local prices",IF(F312="","",IF(Compare!$C$5="Minimum",F312,IF(Compare!$C$5="Maximum",H312,G312))),IF(I312="","",IF(Compare!$C$5="Minimum",I312,IF(Compare!$C$5="Maximum",K312,J312))))</f>
        <v>2.28</v>
      </c>
    </row>
    <row r="313" customFormat="false" ht="13.5" hidden="false" customHeight="false" outlineLevel="0" collapsed="false">
      <c r="B313" s="36" t="s">
        <v>82</v>
      </c>
      <c r="C313" s="98" t="s">
        <v>13</v>
      </c>
      <c r="D313" s="98" t="s">
        <v>490</v>
      </c>
      <c r="E313" s="98" t="s">
        <v>491</v>
      </c>
      <c r="F313" s="99" t="str">
        <f aca="false">IF(COUNTIFS(Offers!$B$7:$B$3000,$B313,Offers!$C$7:$C$3000,$C313,Offers!$AH$7:$AH$3000,"yes")=0,"",SUMIFS(Offers!$H$7:$H$3000,Offers!$B$7:$B$3000,$B313,Offers!$C$7:$C$3000,$C313,Offers!$AF$7:$AF$3000,1))</f>
        <v/>
      </c>
      <c r="G313" s="93" t="str">
        <f aca="false">IF(COUNTIFS(Offers!$B$7:$B$3000,$B313,Offers!$C$7:$C$3000,$C313,Offers!$AH$7:$AH$3000,"yes")=0,"",(SUMIFS(Offers!$H$7:$H$3000,Offers!$B$7:$B$3000,$B313,Offers!$C$7:$C$3000,$C313,Offers!$AF$7:$AF$3000,ROUNDUP(COUNTIFS(Offers!$B$7:$B$3000,$B313,Offers!$C$7:$C$3000,$C313,Offers!$AH$7:$AH$3000,"yes")/2,0))+SUMIFS(Offers!$H$7:$H$3000,Offers!$B$7:$B$3000,$B313,Offers!$C$7:$C$3000,$C313,Offers!$AF$7:$AF$3000,INT(COUNTIFS(Offers!$B$7:$B$3000,$B313,Offers!$C$7:$C$3000,$C313,Offers!$AH$7:$AH$3000,"yes")/2)+1))/2)</f>
        <v/>
      </c>
      <c r="H313" s="99" t="str">
        <f aca="false">IF(COUNTIFS(Offers!$B$7:$B$3000,$B313,Offers!$C$7:$C$3000,$C313,Offers!$AH$7:$AH$3000,"yes")=0,"",SUMIFS(Offers!$H$7:$H$3000,Offers!$B$7:$B$3000,$B313,Offers!$C$7:$C$3000,$C313,Offers!$AF$7:$AF$3000,COUNTIFS(Offers!$B$7:$B$3000,$B313,Offers!$C$7:$C$3000,$C313,Offers!$AH$7:$AH$3000,"yes")))</f>
        <v/>
      </c>
      <c r="I313" s="100" t="str">
        <f aca="false">IF(COUNTIFS(Offers!$B$7:$B$3000,$B313,Offers!$C$7:$C$3000,$C313,Offers!$AI$7:$AI$3000,"yes")=0,"",SUMIFS(Offers!$I$7:$I$3000,Offers!$B$7:$B$3000,$B313,Offers!$C$7:$C$3000,$C313,Offers!$AG$7:$AG$3000,1))</f>
        <v/>
      </c>
      <c r="J313" s="95" t="str">
        <f aca="false">IF(COUNTIFS(Offers!$B$7:$B$3000,$B313,Offers!$C$7:$C$3000,$C313,Offers!$AI$7:$AI$3000,"yes")=0,"",(SUMIFS(Offers!$I$7:$I$3000,Offers!$B$7:$B$3000,$B313,Offers!$C$7:$C$3000,$C313,Offers!$AG$7:$AG$3000,ROUNDUP(COUNTIFS(Offers!$B$7:$B$3000,$B313,Offers!$C$7:$C$3000,$C313,Offers!$AI$7:$AI$3000,"yes")/2,0))+SUMIFS(Offers!$I$7:$I$3000,Offers!$B$7:$B$3000,$B313,Offers!$C$7:$C$3000,$C313,Offers!$AG$7:$AG$3000,INT(COUNTIFS(Offers!$B$7:$B$3000,$B313,Offers!$C$7:$C$3000,$C313,Offers!$AI$7:$AI$3000,"yes")/2)+1))/2)</f>
        <v/>
      </c>
      <c r="K313" s="100" t="str">
        <f aca="false">IF(COUNTIFS(Offers!$B$7:$B$3000,$B313,Offers!$C$7:$C$3000,$C313,Offers!$AI$7:$AI$3000,"yes")=0,"",SUMIFS(Offers!$I$7:$I$3000,Offers!$B$7:$B$3000,$B313,Offers!$C$7:$C$3000,$C313,Offers!$AG$7:$AG$3000,COUNTIFS(Offers!$B$7:$B$3000,$B313,Offers!$C$7:$C$3000,$C313,Offers!$AI$7:$AI$3000,"yes")))</f>
        <v/>
      </c>
      <c r="L313" s="96"/>
      <c r="M313" s="96"/>
      <c r="N313" s="96"/>
      <c r="O313" s="110" t="str">
        <f aca="false">IF(Compare!$E$5="Local prices",IF(F313="","",IF(Compare!$C$5="Minimum",F313,IF(Compare!$C$5="Maximum",H313,G313))),IF(I313="","",IF(Compare!$C$5="Minimum",I313,IF(Compare!$C$5="Maximum",K313,J313))))</f>
        <v/>
      </c>
    </row>
    <row r="314" customFormat="false" ht="13.5" hidden="false" customHeight="false" outlineLevel="0" collapsed="false">
      <c r="B314" s="36" t="s">
        <v>82</v>
      </c>
      <c r="C314" s="98" t="s">
        <v>14</v>
      </c>
      <c r="D314" s="98" t="s">
        <v>374</v>
      </c>
      <c r="E314" s="98" t="s">
        <v>491</v>
      </c>
      <c r="F314" s="99" t="n">
        <f aca="false">IF(COUNTIFS(Offers!$B$7:$B$3000,$B314,Offers!$C$7:$C$3000,$C314,Offers!$AH$7:$AH$3000,"yes")=0,"",SUMIFS(Offers!$H$7:$H$3000,Offers!$B$7:$B$3000,$B314,Offers!$C$7:$C$3000,$C314,Offers!$AF$7:$AF$3000,1))</f>
        <v>1.58</v>
      </c>
      <c r="G314" s="93" t="n">
        <f aca="false">IF(COUNTIFS(Offers!$B$7:$B$3000,$B314,Offers!$C$7:$C$3000,$C314,Offers!$AH$7:$AH$3000,"yes")=0,"",(SUMIFS(Offers!$H$7:$H$3000,Offers!$B$7:$B$3000,$B314,Offers!$C$7:$C$3000,$C314,Offers!$AF$7:$AF$3000,ROUNDUP(COUNTIFS(Offers!$B$7:$B$3000,$B314,Offers!$C$7:$C$3000,$C314,Offers!$AH$7:$AH$3000,"yes")/2,0))+SUMIFS(Offers!$H$7:$H$3000,Offers!$B$7:$B$3000,$B314,Offers!$C$7:$C$3000,$C314,Offers!$AF$7:$AF$3000,INT(COUNTIFS(Offers!$B$7:$B$3000,$B314,Offers!$C$7:$C$3000,$C314,Offers!$AH$7:$AH$3000,"yes")/2)+1))/2)</f>
        <v>10.8</v>
      </c>
      <c r="H314" s="99" t="n">
        <f aca="false">IF(COUNTIFS(Offers!$B$7:$B$3000,$B314,Offers!$C$7:$C$3000,$C314,Offers!$AH$7:$AH$3000,"yes")=0,"",SUMIFS(Offers!$H$7:$H$3000,Offers!$B$7:$B$3000,$B314,Offers!$C$7:$C$3000,$C314,Offers!$AF$7:$AF$3000,COUNTIFS(Offers!$B$7:$B$3000,$B314,Offers!$C$7:$C$3000,$C314,Offers!$AH$7:$AH$3000,"yes")))</f>
        <v>19.41</v>
      </c>
      <c r="I314" s="100" t="n">
        <f aca="false">IF(COUNTIFS(Offers!$B$7:$B$3000,$B314,Offers!$C$7:$C$3000,$C314,Offers!$AI$7:$AI$3000,"yes")=0,"",SUMIFS(Offers!$I$7:$I$3000,Offers!$B$7:$B$3000,$B314,Offers!$C$7:$C$3000,$C314,Offers!$AG$7:$AG$3000,1))</f>
        <v>1.28277</v>
      </c>
      <c r="J314" s="95" t="n">
        <f aca="false">IF(COUNTIFS(Offers!$B$7:$B$3000,$B314,Offers!$C$7:$C$3000,$C314,Offers!$AI$7:$AI$3000,"yes")=0,"",(SUMIFS(Offers!$I$7:$I$3000,Offers!$B$7:$B$3000,$B314,Offers!$C$7:$C$3000,$C314,Offers!$AG$7:$AG$3000,ROUNDUP(COUNTIFS(Offers!$B$7:$B$3000,$B314,Offers!$C$7:$C$3000,$C314,Offers!$AI$7:$AI$3000,"yes")/2,0))+SUMIFS(Offers!$I$7:$I$3000,Offers!$B$7:$B$3000,$B314,Offers!$C$7:$C$3000,$C314,Offers!$AG$7:$AG$3000,INT(COUNTIFS(Offers!$B$7:$B$3000,$B314,Offers!$C$7:$C$3000,$C314,Offers!$AI$7:$AI$3000,"yes")/2)+1))/2)</f>
        <v>2.046369</v>
      </c>
      <c r="K314" s="100" t="n">
        <f aca="false">IF(COUNTIFS(Offers!$B$7:$B$3000,$B314,Offers!$C$7:$C$3000,$C314,Offers!$AI$7:$AI$3000,"yes")=0,"",SUMIFS(Offers!$I$7:$I$3000,Offers!$B$7:$B$3000,$B314,Offers!$C$7:$C$3000,$C314,Offers!$AG$7:$AG$3000,COUNTIFS(Offers!$B$7:$B$3000,$B314,Offers!$C$7:$C$3000,$C314,Offers!$AI$7:$AI$3000,"yes")))</f>
        <v>3.677779</v>
      </c>
      <c r="L314" s="96"/>
      <c r="M314" s="96"/>
      <c r="N314" s="96"/>
      <c r="O314" s="101" t="n">
        <f aca="false">IF(Compare!$E$5="Local prices",IF(F314="","",IF(Compare!$C$5="Minimum",F314,IF(Compare!$C$5="Maximum",H314,G314))),IF(I314="","",IF(Compare!$C$5="Minimum",I314,IF(Compare!$C$5="Maximum",K314,J314))))</f>
        <v>2.046369</v>
      </c>
    </row>
    <row r="315" customFormat="false" ht="13.5" hidden="false" customHeight="false" outlineLevel="0" collapsed="false">
      <c r="B315" s="36" t="s">
        <v>82</v>
      </c>
      <c r="C315" s="98" t="s">
        <v>15</v>
      </c>
      <c r="D315" s="98" t="s">
        <v>244</v>
      </c>
      <c r="E315" s="98" t="s">
        <v>491</v>
      </c>
      <c r="F315" s="99" t="n">
        <f aca="false">IF(COUNTIFS(Offers!$B$7:$B$3000,$B315,Offers!$C$7:$C$3000,$C315,Offers!$AH$7:$AH$3000,"yes")=0,"",SUMIFS(Offers!$H$7:$H$3000,Offers!$B$7:$B$3000,$B315,Offers!$C$7:$C$3000,$C315,Offers!$AF$7:$AF$3000,1))</f>
        <v>2.07</v>
      </c>
      <c r="G315" s="93" t="n">
        <f aca="false">IF(COUNTIFS(Offers!$B$7:$B$3000,$B315,Offers!$C$7:$C$3000,$C315,Offers!$AH$7:$AH$3000,"yes")=0,"",(SUMIFS(Offers!$H$7:$H$3000,Offers!$B$7:$B$3000,$B315,Offers!$C$7:$C$3000,$C315,Offers!$AF$7:$AF$3000,ROUNDUP(COUNTIFS(Offers!$B$7:$B$3000,$B315,Offers!$C$7:$C$3000,$C315,Offers!$AH$7:$AH$3000,"yes")/2,0))+SUMIFS(Offers!$H$7:$H$3000,Offers!$B$7:$B$3000,$B315,Offers!$C$7:$C$3000,$C315,Offers!$AF$7:$AF$3000,INT(COUNTIFS(Offers!$B$7:$B$3000,$B315,Offers!$C$7:$C$3000,$C315,Offers!$AH$7:$AH$3000,"yes")/2)+1))/2)</f>
        <v>4</v>
      </c>
      <c r="H315" s="99" t="n">
        <f aca="false">IF(COUNTIFS(Offers!$B$7:$B$3000,$B315,Offers!$C$7:$C$3000,$C315,Offers!$AH$7:$AH$3000,"yes")=0,"",SUMIFS(Offers!$H$7:$H$3000,Offers!$B$7:$B$3000,$B315,Offers!$C$7:$C$3000,$C315,Offers!$AF$7:$AF$3000,COUNTIFS(Offers!$B$7:$B$3000,$B315,Offers!$C$7:$C$3000,$C315,Offers!$AH$7:$AH$3000,"yes")))</f>
        <v>13.2</v>
      </c>
      <c r="I315" s="100" t="n">
        <f aca="false">IF(COUNTIFS(Offers!$B$7:$B$3000,$B315,Offers!$C$7:$C$3000,$C315,Offers!$AI$7:$AI$3000,"yes")=0,"",SUMIFS(Offers!$I$7:$I$3000,Offers!$B$7:$B$3000,$B315,Offers!$C$7:$C$3000,$C315,Offers!$AG$7:$AG$3000,1))</f>
        <v>2.07</v>
      </c>
      <c r="J315" s="95" t="n">
        <f aca="false">IF(COUNTIFS(Offers!$B$7:$B$3000,$B315,Offers!$C$7:$C$3000,$C315,Offers!$AI$7:$AI$3000,"yes")=0,"",(SUMIFS(Offers!$I$7:$I$3000,Offers!$B$7:$B$3000,$B315,Offers!$C$7:$C$3000,$C315,Offers!$AG$7:$AG$3000,ROUNDUP(COUNTIFS(Offers!$B$7:$B$3000,$B315,Offers!$C$7:$C$3000,$C315,Offers!$AI$7:$AI$3000,"yes")/2,0))+SUMIFS(Offers!$I$7:$I$3000,Offers!$B$7:$B$3000,$B315,Offers!$C$7:$C$3000,$C315,Offers!$AG$7:$AG$3000,INT(COUNTIFS(Offers!$B$7:$B$3000,$B315,Offers!$C$7:$C$3000,$C315,Offers!$AI$7:$AI$3000,"yes")/2)+1))/2)</f>
        <v>4</v>
      </c>
      <c r="K315" s="100" t="n">
        <f aca="false">IF(COUNTIFS(Offers!$B$7:$B$3000,$B315,Offers!$C$7:$C$3000,$C315,Offers!$AI$7:$AI$3000,"yes")=0,"",SUMIFS(Offers!$I$7:$I$3000,Offers!$B$7:$B$3000,$B315,Offers!$C$7:$C$3000,$C315,Offers!$AG$7:$AG$3000,COUNTIFS(Offers!$B$7:$B$3000,$B315,Offers!$C$7:$C$3000,$C315,Offers!$AI$7:$AI$3000,"yes")))</f>
        <v>13.2</v>
      </c>
      <c r="L315" s="96"/>
      <c r="M315" s="96"/>
      <c r="N315" s="96"/>
      <c r="O315" s="101" t="n">
        <f aca="false">IF(Compare!$E$5="Local prices",IF(F315="","",IF(Compare!$C$5="Minimum",F315,IF(Compare!$C$5="Maximum",H315,G315))),IF(I315="","",IF(Compare!$C$5="Minimum",I315,IF(Compare!$C$5="Maximum",K315,J315))))</f>
        <v>4</v>
      </c>
    </row>
    <row r="316" customFormat="false" ht="13.5" hidden="false" customHeight="false" outlineLevel="0" collapsed="false">
      <c r="B316" s="36" t="s">
        <v>82</v>
      </c>
      <c r="C316" s="98" t="s">
        <v>16</v>
      </c>
      <c r="D316" s="98" t="s">
        <v>244</v>
      </c>
      <c r="E316" s="98" t="s">
        <v>491</v>
      </c>
      <c r="F316" s="99" t="n">
        <f aca="false">IF(COUNTIFS(Offers!$B$7:$B$3000,$B316,Offers!$C$7:$C$3000,$C316,Offers!$AH$7:$AH$3000,"yes")=0,"",SUMIFS(Offers!$H$7:$H$3000,Offers!$B$7:$B$3000,$B316,Offers!$C$7:$C$3000,$C316,Offers!$AF$7:$AF$3000,1))</f>
        <v>2.07</v>
      </c>
      <c r="G316" s="93" t="n">
        <f aca="false">IF(COUNTIFS(Offers!$B$7:$B$3000,$B316,Offers!$C$7:$C$3000,$C316,Offers!$AH$7:$AH$3000,"yes")=0,"",(SUMIFS(Offers!$H$7:$H$3000,Offers!$B$7:$B$3000,$B316,Offers!$C$7:$C$3000,$C316,Offers!$AF$7:$AF$3000,ROUNDUP(COUNTIFS(Offers!$B$7:$B$3000,$B316,Offers!$C$7:$C$3000,$C316,Offers!$AH$7:$AH$3000,"yes")/2,0))+SUMIFS(Offers!$H$7:$H$3000,Offers!$B$7:$B$3000,$B316,Offers!$C$7:$C$3000,$C316,Offers!$AF$7:$AF$3000,INT(COUNTIFS(Offers!$B$7:$B$3000,$B316,Offers!$C$7:$C$3000,$C316,Offers!$AH$7:$AH$3000,"yes")/2)+1))/2)</f>
        <v>2.88</v>
      </c>
      <c r="H316" s="99" t="n">
        <f aca="false">IF(COUNTIFS(Offers!$B$7:$B$3000,$B316,Offers!$C$7:$C$3000,$C316,Offers!$AH$7:$AH$3000,"yes")=0,"",SUMIFS(Offers!$H$7:$H$3000,Offers!$B$7:$B$3000,$B316,Offers!$C$7:$C$3000,$C316,Offers!$AF$7:$AF$3000,COUNTIFS(Offers!$B$7:$B$3000,$B316,Offers!$C$7:$C$3000,$C316,Offers!$AH$7:$AH$3000,"yes")))</f>
        <v>10.5</v>
      </c>
      <c r="I316" s="100" t="n">
        <f aca="false">IF(COUNTIFS(Offers!$B$7:$B$3000,$B316,Offers!$C$7:$C$3000,$C316,Offers!$AI$7:$AI$3000,"yes")=0,"",SUMIFS(Offers!$I$7:$I$3000,Offers!$B$7:$B$3000,$B316,Offers!$C$7:$C$3000,$C316,Offers!$AG$7:$AG$3000,1))</f>
        <v>2.07</v>
      </c>
      <c r="J316" s="95" t="n">
        <f aca="false">IF(COUNTIFS(Offers!$B$7:$B$3000,$B316,Offers!$C$7:$C$3000,$C316,Offers!$AI$7:$AI$3000,"yes")=0,"",(SUMIFS(Offers!$I$7:$I$3000,Offers!$B$7:$B$3000,$B316,Offers!$C$7:$C$3000,$C316,Offers!$AG$7:$AG$3000,ROUNDUP(COUNTIFS(Offers!$B$7:$B$3000,$B316,Offers!$C$7:$C$3000,$C316,Offers!$AI$7:$AI$3000,"yes")/2,0))+SUMIFS(Offers!$I$7:$I$3000,Offers!$B$7:$B$3000,$B316,Offers!$C$7:$C$3000,$C316,Offers!$AG$7:$AG$3000,INT(COUNTIFS(Offers!$B$7:$B$3000,$B316,Offers!$C$7:$C$3000,$C316,Offers!$AI$7:$AI$3000,"yes")/2)+1))/2)</f>
        <v>2.88</v>
      </c>
      <c r="K316" s="100" t="n">
        <f aca="false">IF(COUNTIFS(Offers!$B$7:$B$3000,$B316,Offers!$C$7:$C$3000,$C316,Offers!$AI$7:$AI$3000,"yes")=0,"",SUMIFS(Offers!$I$7:$I$3000,Offers!$B$7:$B$3000,$B316,Offers!$C$7:$C$3000,$C316,Offers!$AG$7:$AG$3000,COUNTIFS(Offers!$B$7:$B$3000,$B316,Offers!$C$7:$C$3000,$C316,Offers!$AI$7:$AI$3000,"yes")))</f>
        <v>10.5</v>
      </c>
      <c r="L316" s="96"/>
      <c r="M316" s="96"/>
      <c r="N316" s="96"/>
      <c r="O316" s="101" t="n">
        <f aca="false">IF(Compare!$E$5="Local prices",IF(F316="","",IF(Compare!$C$5="Minimum",F316,IF(Compare!$C$5="Maximum",H316,G316))),IF(I316="","",IF(Compare!$C$5="Minimum",I316,IF(Compare!$C$5="Maximum",K316,J316))))</f>
        <v>2.88</v>
      </c>
    </row>
    <row r="317" customFormat="false" ht="13.5" hidden="false" customHeight="false" outlineLevel="0" collapsed="false">
      <c r="B317" s="36" t="s">
        <v>82</v>
      </c>
      <c r="C317" s="98" t="s">
        <v>17</v>
      </c>
      <c r="D317" s="98" t="s">
        <v>333</v>
      </c>
      <c r="E317" s="98" t="s">
        <v>491</v>
      </c>
      <c r="F317" s="99" t="n">
        <f aca="false">IF(COUNTIFS(Offers!$B$7:$B$3000,$B317,Offers!$C$7:$C$3000,$C317,Offers!$AH$7:$AH$3000,"yes")=0,"",SUMIFS(Offers!$H$7:$H$3000,Offers!$B$7:$B$3000,$B317,Offers!$C$7:$C$3000,$C317,Offers!$AF$7:$AF$3000,1))</f>
        <v>39.67</v>
      </c>
      <c r="G317" s="93" t="n">
        <f aca="false">IF(COUNTIFS(Offers!$B$7:$B$3000,$B317,Offers!$C$7:$C$3000,$C317,Offers!$AH$7:$AH$3000,"yes")=0,"",(SUMIFS(Offers!$H$7:$H$3000,Offers!$B$7:$B$3000,$B317,Offers!$C$7:$C$3000,$C317,Offers!$AF$7:$AF$3000,ROUNDUP(COUNTIFS(Offers!$B$7:$B$3000,$B317,Offers!$C$7:$C$3000,$C317,Offers!$AH$7:$AH$3000,"yes")/2,0))+SUMIFS(Offers!$H$7:$H$3000,Offers!$B$7:$B$3000,$B317,Offers!$C$7:$C$3000,$C317,Offers!$AF$7:$AF$3000,INT(COUNTIFS(Offers!$B$7:$B$3000,$B317,Offers!$C$7:$C$3000,$C317,Offers!$AH$7:$AH$3000,"yes")/2)+1))/2)</f>
        <v>102</v>
      </c>
      <c r="H317" s="99" t="n">
        <f aca="false">IF(COUNTIFS(Offers!$B$7:$B$3000,$B317,Offers!$C$7:$C$3000,$C317,Offers!$AH$7:$AH$3000,"yes")=0,"",SUMIFS(Offers!$H$7:$H$3000,Offers!$B$7:$B$3000,$B317,Offers!$C$7:$C$3000,$C317,Offers!$AF$7:$AF$3000,COUNTIFS(Offers!$B$7:$B$3000,$B317,Offers!$C$7:$C$3000,$C317,Offers!$AH$7:$AH$3000,"yes")))</f>
        <v>125</v>
      </c>
      <c r="I317" s="100" t="n">
        <f aca="false">IF(COUNTIFS(Offers!$B$7:$B$3000,$B317,Offers!$C$7:$C$3000,$C317,Offers!$AI$7:$AI$3000,"yes")=0,"",SUMIFS(Offers!$I$7:$I$3000,Offers!$B$7:$B$3000,$B317,Offers!$C$7:$C$3000,$C317,Offers!$AG$7:$AG$3000,1))</f>
        <v>1.624248</v>
      </c>
      <c r="J317" s="95" t="n">
        <f aca="false">IF(COUNTIFS(Offers!$B$7:$B$3000,$B317,Offers!$C$7:$C$3000,$C317,Offers!$AI$7:$AI$3000,"yes")=0,"",(SUMIFS(Offers!$I$7:$I$3000,Offers!$B$7:$B$3000,$B317,Offers!$C$7:$C$3000,$C317,Offers!$AG$7:$AG$3000,ROUNDUP(COUNTIFS(Offers!$B$7:$B$3000,$B317,Offers!$C$7:$C$3000,$C317,Offers!$AI$7:$AI$3000,"yes")/2,0))+SUMIFS(Offers!$I$7:$I$3000,Offers!$B$7:$B$3000,$B317,Offers!$C$7:$C$3000,$C317,Offers!$AG$7:$AG$3000,INT(COUNTIFS(Offers!$B$7:$B$3000,$B317,Offers!$C$7:$C$3000,$C317,Offers!$AI$7:$AI$3000,"yes")/2)+1))/2)</f>
        <v>4.176286</v>
      </c>
      <c r="K317" s="100" t="n">
        <f aca="false">IF(COUNTIFS(Offers!$B$7:$B$3000,$B317,Offers!$C$7:$C$3000,$C317,Offers!$AI$7:$AI$3000,"yes")=0,"",SUMIFS(Offers!$I$7:$I$3000,Offers!$B$7:$B$3000,$B317,Offers!$C$7:$C$3000,$C317,Offers!$AG$7:$AG$3000,COUNTIFS(Offers!$B$7:$B$3000,$B317,Offers!$C$7:$C$3000,$C317,Offers!$AI$7:$AI$3000,"yes")))</f>
        <v>5.117997</v>
      </c>
      <c r="L317" s="96"/>
      <c r="M317" s="96"/>
      <c r="N317" s="96"/>
      <c r="O317" s="101" t="n">
        <f aca="false">IF(Compare!$E$5="Local prices",IF(F317="","",IF(Compare!$C$5="Minimum",F317,IF(Compare!$C$5="Maximum",H317,G317))),IF(I317="","",IF(Compare!$C$5="Minimum",I317,IF(Compare!$C$5="Maximum",K317,J317))))</f>
        <v>4.176286</v>
      </c>
    </row>
    <row r="318" customFormat="false" ht="13.5" hidden="false" customHeight="false" outlineLevel="0" collapsed="false">
      <c r="B318" s="36" t="s">
        <v>82</v>
      </c>
      <c r="C318" s="98" t="s">
        <v>18</v>
      </c>
      <c r="D318" s="98" t="s">
        <v>244</v>
      </c>
      <c r="E318" s="98" t="s">
        <v>491</v>
      </c>
      <c r="F318" s="99" t="n">
        <f aca="false">IF(COUNTIFS(Offers!$B$7:$B$3000,$B318,Offers!$C$7:$C$3000,$C318,Offers!$AH$7:$AH$3000,"yes")=0,"",SUMIFS(Offers!$H$7:$H$3000,Offers!$B$7:$B$3000,$B318,Offers!$C$7:$C$3000,$C318,Offers!$AF$7:$AF$3000,1))</f>
        <v>1.72</v>
      </c>
      <c r="G318" s="93" t="n">
        <f aca="false">IF(COUNTIFS(Offers!$B$7:$B$3000,$B318,Offers!$C$7:$C$3000,$C318,Offers!$AH$7:$AH$3000,"yes")=0,"",(SUMIFS(Offers!$H$7:$H$3000,Offers!$B$7:$B$3000,$B318,Offers!$C$7:$C$3000,$C318,Offers!$AF$7:$AF$3000,ROUNDUP(COUNTIFS(Offers!$B$7:$B$3000,$B318,Offers!$C$7:$C$3000,$C318,Offers!$AH$7:$AH$3000,"yes")/2,0))+SUMIFS(Offers!$H$7:$H$3000,Offers!$B$7:$B$3000,$B318,Offers!$C$7:$C$3000,$C318,Offers!$AF$7:$AF$3000,INT(COUNTIFS(Offers!$B$7:$B$3000,$B318,Offers!$C$7:$C$3000,$C318,Offers!$AH$7:$AH$3000,"yes")/2)+1))/2)</f>
        <v>2.48</v>
      </c>
      <c r="H318" s="99" t="n">
        <f aca="false">IF(COUNTIFS(Offers!$B$7:$B$3000,$B318,Offers!$C$7:$C$3000,$C318,Offers!$AH$7:$AH$3000,"yes")=0,"",SUMIFS(Offers!$H$7:$H$3000,Offers!$B$7:$B$3000,$B318,Offers!$C$7:$C$3000,$C318,Offers!$AF$7:$AF$3000,COUNTIFS(Offers!$B$7:$B$3000,$B318,Offers!$C$7:$C$3000,$C318,Offers!$AH$7:$AH$3000,"yes")))</f>
        <v>6.94</v>
      </c>
      <c r="I318" s="100" t="n">
        <f aca="false">IF(COUNTIFS(Offers!$B$7:$B$3000,$B318,Offers!$C$7:$C$3000,$C318,Offers!$AI$7:$AI$3000,"yes")=0,"",SUMIFS(Offers!$I$7:$I$3000,Offers!$B$7:$B$3000,$B318,Offers!$C$7:$C$3000,$C318,Offers!$AG$7:$AG$3000,1))</f>
        <v>1.72</v>
      </c>
      <c r="J318" s="95" t="n">
        <f aca="false">IF(COUNTIFS(Offers!$B$7:$B$3000,$B318,Offers!$C$7:$C$3000,$C318,Offers!$AI$7:$AI$3000,"yes")=0,"",(SUMIFS(Offers!$I$7:$I$3000,Offers!$B$7:$B$3000,$B318,Offers!$C$7:$C$3000,$C318,Offers!$AG$7:$AG$3000,ROUNDUP(COUNTIFS(Offers!$B$7:$B$3000,$B318,Offers!$C$7:$C$3000,$C318,Offers!$AI$7:$AI$3000,"yes")/2,0))+SUMIFS(Offers!$I$7:$I$3000,Offers!$B$7:$B$3000,$B318,Offers!$C$7:$C$3000,$C318,Offers!$AG$7:$AG$3000,INT(COUNTIFS(Offers!$B$7:$B$3000,$B318,Offers!$C$7:$C$3000,$C318,Offers!$AI$7:$AI$3000,"yes")/2)+1))/2)</f>
        <v>2.48</v>
      </c>
      <c r="K318" s="100" t="n">
        <f aca="false">IF(COUNTIFS(Offers!$B$7:$B$3000,$B318,Offers!$C$7:$C$3000,$C318,Offers!$AI$7:$AI$3000,"yes")=0,"",SUMIFS(Offers!$I$7:$I$3000,Offers!$B$7:$B$3000,$B318,Offers!$C$7:$C$3000,$C318,Offers!$AG$7:$AG$3000,COUNTIFS(Offers!$B$7:$B$3000,$B318,Offers!$C$7:$C$3000,$C318,Offers!$AI$7:$AI$3000,"yes")))</f>
        <v>6.94</v>
      </c>
      <c r="L318" s="96"/>
      <c r="M318" s="96"/>
      <c r="N318" s="96"/>
      <c r="O318" s="101" t="n">
        <f aca="false">IF(Compare!$E$5="Local prices",IF(F318="","",IF(Compare!$C$5="Minimum",F318,IF(Compare!$C$5="Maximum",H318,G318))),IF(I318="","",IF(Compare!$C$5="Minimum",I318,IF(Compare!$C$5="Maximum",K318,J318))))</f>
        <v>2.48</v>
      </c>
    </row>
    <row r="319" customFormat="false" ht="13.5" hidden="false" customHeight="false" outlineLevel="0" collapsed="false">
      <c r="B319" s="36" t="s">
        <v>83</v>
      </c>
      <c r="C319" s="98" t="s">
        <v>13</v>
      </c>
      <c r="D319" s="98" t="s">
        <v>490</v>
      </c>
      <c r="E319" s="98" t="s">
        <v>491</v>
      </c>
      <c r="F319" s="99" t="str">
        <f aca="false">IF(COUNTIFS(Offers!$B$7:$B$3000,$B319,Offers!$C$7:$C$3000,$C319,Offers!$AH$7:$AH$3000,"yes")=0,"",SUMIFS(Offers!$H$7:$H$3000,Offers!$B$7:$B$3000,$B319,Offers!$C$7:$C$3000,$C319,Offers!$AF$7:$AF$3000,1))</f>
        <v/>
      </c>
      <c r="G319" s="93" t="str">
        <f aca="false">IF(COUNTIFS(Offers!$B$7:$B$3000,$B319,Offers!$C$7:$C$3000,$C319,Offers!$AH$7:$AH$3000,"yes")=0,"",(SUMIFS(Offers!$H$7:$H$3000,Offers!$B$7:$B$3000,$B319,Offers!$C$7:$C$3000,$C319,Offers!$AF$7:$AF$3000,ROUNDUP(COUNTIFS(Offers!$B$7:$B$3000,$B319,Offers!$C$7:$C$3000,$C319,Offers!$AH$7:$AH$3000,"yes")/2,0))+SUMIFS(Offers!$H$7:$H$3000,Offers!$B$7:$B$3000,$B319,Offers!$C$7:$C$3000,$C319,Offers!$AF$7:$AF$3000,INT(COUNTIFS(Offers!$B$7:$B$3000,$B319,Offers!$C$7:$C$3000,$C319,Offers!$AH$7:$AH$3000,"yes")/2)+1))/2)</f>
        <v/>
      </c>
      <c r="H319" s="99" t="str">
        <f aca="false">IF(COUNTIFS(Offers!$B$7:$B$3000,$B319,Offers!$C$7:$C$3000,$C319,Offers!$AH$7:$AH$3000,"yes")=0,"",SUMIFS(Offers!$H$7:$H$3000,Offers!$B$7:$B$3000,$B319,Offers!$C$7:$C$3000,$C319,Offers!$AF$7:$AF$3000,COUNTIFS(Offers!$B$7:$B$3000,$B319,Offers!$C$7:$C$3000,$C319,Offers!$AH$7:$AH$3000,"yes")))</f>
        <v/>
      </c>
      <c r="I319" s="100" t="str">
        <f aca="false">IF(COUNTIFS(Offers!$B$7:$B$3000,$B319,Offers!$C$7:$C$3000,$C319,Offers!$AI$7:$AI$3000,"yes")=0,"",SUMIFS(Offers!$I$7:$I$3000,Offers!$B$7:$B$3000,$B319,Offers!$C$7:$C$3000,$C319,Offers!$AG$7:$AG$3000,1))</f>
        <v/>
      </c>
      <c r="J319" s="95" t="str">
        <f aca="false">IF(COUNTIFS(Offers!$B$7:$B$3000,$B319,Offers!$C$7:$C$3000,$C319,Offers!$AI$7:$AI$3000,"yes")=0,"",(SUMIFS(Offers!$I$7:$I$3000,Offers!$B$7:$B$3000,$B319,Offers!$C$7:$C$3000,$C319,Offers!$AG$7:$AG$3000,ROUNDUP(COUNTIFS(Offers!$B$7:$B$3000,$B319,Offers!$C$7:$C$3000,$C319,Offers!$AI$7:$AI$3000,"yes")/2,0))+SUMIFS(Offers!$I$7:$I$3000,Offers!$B$7:$B$3000,$B319,Offers!$C$7:$C$3000,$C319,Offers!$AG$7:$AG$3000,INT(COUNTIFS(Offers!$B$7:$B$3000,$B319,Offers!$C$7:$C$3000,$C319,Offers!$AI$7:$AI$3000,"yes")/2)+1))/2)</f>
        <v/>
      </c>
      <c r="K319" s="100" t="str">
        <f aca="false">IF(COUNTIFS(Offers!$B$7:$B$3000,$B319,Offers!$C$7:$C$3000,$C319,Offers!$AI$7:$AI$3000,"yes")=0,"",SUMIFS(Offers!$I$7:$I$3000,Offers!$B$7:$B$3000,$B319,Offers!$C$7:$C$3000,$C319,Offers!$AG$7:$AG$3000,COUNTIFS(Offers!$B$7:$B$3000,$B319,Offers!$C$7:$C$3000,$C319,Offers!$AI$7:$AI$3000,"yes")))</f>
        <v/>
      </c>
      <c r="L319" s="96"/>
      <c r="M319" s="96"/>
      <c r="N319" s="96"/>
      <c r="O319" s="110" t="str">
        <f aca="false">IF(Compare!$E$5="Local prices",IF(F319="","",IF(Compare!$C$5="Minimum",F319,IF(Compare!$C$5="Maximum",H319,G319))),IF(I319="","",IF(Compare!$C$5="Minimum",I319,IF(Compare!$C$5="Maximum",K319,J319))))</f>
        <v/>
      </c>
    </row>
    <row r="320" customFormat="false" ht="13.5" hidden="false" customHeight="false" outlineLevel="0" collapsed="false">
      <c r="B320" s="36" t="s">
        <v>83</v>
      </c>
      <c r="C320" s="98" t="s">
        <v>14</v>
      </c>
      <c r="D320" s="98" t="s">
        <v>374</v>
      </c>
      <c r="E320" s="98" t="s">
        <v>491</v>
      </c>
      <c r="F320" s="99" t="n">
        <f aca="false">IF(COUNTIFS(Offers!$B$7:$B$3000,$B320,Offers!$C$7:$C$3000,$C320,Offers!$AH$7:$AH$3000,"yes")=0,"",SUMIFS(Offers!$H$7:$H$3000,Offers!$B$7:$B$3000,$B320,Offers!$C$7:$C$3000,$C320,Offers!$AF$7:$AF$3000,1))</f>
        <v>2.69</v>
      </c>
      <c r="G320" s="93" t="n">
        <f aca="false">IF(COUNTIFS(Offers!$B$7:$B$3000,$B320,Offers!$C$7:$C$3000,$C320,Offers!$AH$7:$AH$3000,"yes")=0,"",(SUMIFS(Offers!$H$7:$H$3000,Offers!$B$7:$B$3000,$B320,Offers!$C$7:$C$3000,$C320,Offers!$AF$7:$AF$3000,ROUNDUP(COUNTIFS(Offers!$B$7:$B$3000,$B320,Offers!$C$7:$C$3000,$C320,Offers!$AH$7:$AH$3000,"yes")/2,0))+SUMIFS(Offers!$H$7:$H$3000,Offers!$B$7:$B$3000,$B320,Offers!$C$7:$C$3000,$C320,Offers!$AF$7:$AF$3000,INT(COUNTIFS(Offers!$B$7:$B$3000,$B320,Offers!$C$7:$C$3000,$C320,Offers!$AH$7:$AH$3000,"yes")/2)+1))/2)</f>
        <v>13.74</v>
      </c>
      <c r="H320" s="99" t="n">
        <f aca="false">IF(COUNTIFS(Offers!$B$7:$B$3000,$B320,Offers!$C$7:$C$3000,$C320,Offers!$AH$7:$AH$3000,"yes")=0,"",SUMIFS(Offers!$H$7:$H$3000,Offers!$B$7:$B$3000,$B320,Offers!$C$7:$C$3000,$C320,Offers!$AF$7:$AF$3000,COUNTIFS(Offers!$B$7:$B$3000,$B320,Offers!$C$7:$C$3000,$C320,Offers!$AH$7:$AH$3000,"yes")))</f>
        <v>24.79</v>
      </c>
      <c r="I320" s="100" t="n">
        <f aca="false">IF(COUNTIFS(Offers!$B$7:$B$3000,$B320,Offers!$C$7:$C$3000,$C320,Offers!$AI$7:$AI$3000,"yes")=0,"",SUMIFS(Offers!$I$7:$I$3000,Offers!$B$7:$B$3000,$B320,Offers!$C$7:$C$3000,$C320,Offers!$AG$7:$AG$3000,1))</f>
        <v>2.69</v>
      </c>
      <c r="J320" s="95" t="n">
        <f aca="false">IF(COUNTIFS(Offers!$B$7:$B$3000,$B320,Offers!$C$7:$C$3000,$C320,Offers!$AI$7:$AI$3000,"yes")=0,"",(SUMIFS(Offers!$I$7:$I$3000,Offers!$B$7:$B$3000,$B320,Offers!$C$7:$C$3000,$C320,Offers!$AG$7:$AG$3000,ROUNDUP(COUNTIFS(Offers!$B$7:$B$3000,$B320,Offers!$C$7:$C$3000,$C320,Offers!$AI$7:$AI$3000,"yes")/2,0))+SUMIFS(Offers!$I$7:$I$3000,Offers!$B$7:$B$3000,$B320,Offers!$C$7:$C$3000,$C320,Offers!$AG$7:$AG$3000,INT(COUNTIFS(Offers!$B$7:$B$3000,$B320,Offers!$C$7:$C$3000,$C320,Offers!$AI$7:$AI$3000,"yes")/2)+1))/2)</f>
        <v>3.693587</v>
      </c>
      <c r="K320" s="100" t="n">
        <f aca="false">IF(COUNTIFS(Offers!$B$7:$B$3000,$B320,Offers!$C$7:$C$3000,$C320,Offers!$AI$7:$AI$3000,"yes")=0,"",SUMIFS(Offers!$I$7:$I$3000,Offers!$B$7:$B$3000,$B320,Offers!$C$7:$C$3000,$C320,Offers!$AG$7:$AG$3000,COUNTIFS(Offers!$B$7:$B$3000,$B320,Offers!$C$7:$C$3000,$C320,Offers!$AI$7:$AI$3000,"yes")))</f>
        <v>4.697174</v>
      </c>
      <c r="L320" s="96"/>
      <c r="M320" s="96"/>
      <c r="N320" s="96"/>
      <c r="O320" s="101" t="n">
        <f aca="false">IF(Compare!$E$5="Local prices",IF(F320="","",IF(Compare!$C$5="Minimum",F320,IF(Compare!$C$5="Maximum",H320,G320))),IF(I320="","",IF(Compare!$C$5="Minimum",I320,IF(Compare!$C$5="Maximum",K320,J320))))</f>
        <v>3.693587</v>
      </c>
    </row>
    <row r="321" customFormat="false" ht="13.5" hidden="false" customHeight="false" outlineLevel="0" collapsed="false">
      <c r="B321" s="36" t="s">
        <v>83</v>
      </c>
      <c r="C321" s="98" t="s">
        <v>15</v>
      </c>
      <c r="D321" s="98" t="s">
        <v>244</v>
      </c>
      <c r="E321" s="98" t="s">
        <v>491</v>
      </c>
      <c r="F321" s="99" t="str">
        <f aca="false">IF(COUNTIFS(Offers!$B$7:$B$3000,$B321,Offers!$C$7:$C$3000,$C321,Offers!$AH$7:$AH$3000,"yes")=0,"",SUMIFS(Offers!$H$7:$H$3000,Offers!$B$7:$B$3000,$B321,Offers!$C$7:$C$3000,$C321,Offers!$AF$7:$AF$3000,1))</f>
        <v/>
      </c>
      <c r="G321" s="93" t="str">
        <f aca="false">IF(COUNTIFS(Offers!$B$7:$B$3000,$B321,Offers!$C$7:$C$3000,$C321,Offers!$AH$7:$AH$3000,"yes")=0,"",(SUMIFS(Offers!$H$7:$H$3000,Offers!$B$7:$B$3000,$B321,Offers!$C$7:$C$3000,$C321,Offers!$AF$7:$AF$3000,ROUNDUP(COUNTIFS(Offers!$B$7:$B$3000,$B321,Offers!$C$7:$C$3000,$C321,Offers!$AH$7:$AH$3000,"yes")/2,0))+SUMIFS(Offers!$H$7:$H$3000,Offers!$B$7:$B$3000,$B321,Offers!$C$7:$C$3000,$C321,Offers!$AF$7:$AF$3000,INT(COUNTIFS(Offers!$B$7:$B$3000,$B321,Offers!$C$7:$C$3000,$C321,Offers!$AH$7:$AH$3000,"yes")/2)+1))/2)</f>
        <v/>
      </c>
      <c r="H321" s="99" t="str">
        <f aca="false">IF(COUNTIFS(Offers!$B$7:$B$3000,$B321,Offers!$C$7:$C$3000,$C321,Offers!$AH$7:$AH$3000,"yes")=0,"",SUMIFS(Offers!$H$7:$H$3000,Offers!$B$7:$B$3000,$B321,Offers!$C$7:$C$3000,$C321,Offers!$AF$7:$AF$3000,COUNTIFS(Offers!$B$7:$B$3000,$B321,Offers!$C$7:$C$3000,$C321,Offers!$AH$7:$AH$3000,"yes")))</f>
        <v/>
      </c>
      <c r="I321" s="100" t="str">
        <f aca="false">IF(COUNTIFS(Offers!$B$7:$B$3000,$B321,Offers!$C$7:$C$3000,$C321,Offers!$AI$7:$AI$3000,"yes")=0,"",SUMIFS(Offers!$I$7:$I$3000,Offers!$B$7:$B$3000,$B321,Offers!$C$7:$C$3000,$C321,Offers!$AG$7:$AG$3000,1))</f>
        <v/>
      </c>
      <c r="J321" s="95" t="str">
        <f aca="false">IF(COUNTIFS(Offers!$B$7:$B$3000,$B321,Offers!$C$7:$C$3000,$C321,Offers!$AI$7:$AI$3000,"yes")=0,"",(SUMIFS(Offers!$I$7:$I$3000,Offers!$B$7:$B$3000,$B321,Offers!$C$7:$C$3000,$C321,Offers!$AG$7:$AG$3000,ROUNDUP(COUNTIFS(Offers!$B$7:$B$3000,$B321,Offers!$C$7:$C$3000,$C321,Offers!$AI$7:$AI$3000,"yes")/2,0))+SUMIFS(Offers!$I$7:$I$3000,Offers!$B$7:$B$3000,$B321,Offers!$C$7:$C$3000,$C321,Offers!$AG$7:$AG$3000,INT(COUNTIFS(Offers!$B$7:$B$3000,$B321,Offers!$C$7:$C$3000,$C321,Offers!$AI$7:$AI$3000,"yes")/2)+1))/2)</f>
        <v/>
      </c>
      <c r="K321" s="100" t="str">
        <f aca="false">IF(COUNTIFS(Offers!$B$7:$B$3000,$B321,Offers!$C$7:$C$3000,$C321,Offers!$AI$7:$AI$3000,"yes")=0,"",SUMIFS(Offers!$I$7:$I$3000,Offers!$B$7:$B$3000,$B321,Offers!$C$7:$C$3000,$C321,Offers!$AG$7:$AG$3000,COUNTIFS(Offers!$B$7:$B$3000,$B321,Offers!$C$7:$C$3000,$C321,Offers!$AI$7:$AI$3000,"yes")))</f>
        <v/>
      </c>
      <c r="L321" s="96"/>
      <c r="M321" s="96"/>
      <c r="N321" s="96"/>
      <c r="O321" s="110" t="str">
        <f aca="false">IF(Compare!$E$5="Local prices",IF(F321="","",IF(Compare!$C$5="Minimum",F321,IF(Compare!$C$5="Maximum",H321,G321))),IF(I321="","",IF(Compare!$C$5="Minimum",I321,IF(Compare!$C$5="Maximum",K321,J321))))</f>
        <v/>
      </c>
    </row>
    <row r="322" customFormat="false" ht="13.5" hidden="false" customHeight="false" outlineLevel="0" collapsed="false">
      <c r="B322" s="36" t="s">
        <v>83</v>
      </c>
      <c r="C322" s="98" t="s">
        <v>16</v>
      </c>
      <c r="D322" s="98" t="s">
        <v>244</v>
      </c>
      <c r="E322" s="98" t="s">
        <v>491</v>
      </c>
      <c r="F322" s="99" t="str">
        <f aca="false">IF(COUNTIFS(Offers!$B$7:$B$3000,$B322,Offers!$C$7:$C$3000,$C322,Offers!$AH$7:$AH$3000,"yes")=0,"",SUMIFS(Offers!$H$7:$H$3000,Offers!$B$7:$B$3000,$B322,Offers!$C$7:$C$3000,$C322,Offers!$AF$7:$AF$3000,1))</f>
        <v/>
      </c>
      <c r="G322" s="93" t="str">
        <f aca="false">IF(COUNTIFS(Offers!$B$7:$B$3000,$B322,Offers!$C$7:$C$3000,$C322,Offers!$AH$7:$AH$3000,"yes")=0,"",(SUMIFS(Offers!$H$7:$H$3000,Offers!$B$7:$B$3000,$B322,Offers!$C$7:$C$3000,$C322,Offers!$AF$7:$AF$3000,ROUNDUP(COUNTIFS(Offers!$B$7:$B$3000,$B322,Offers!$C$7:$C$3000,$C322,Offers!$AH$7:$AH$3000,"yes")/2,0))+SUMIFS(Offers!$H$7:$H$3000,Offers!$B$7:$B$3000,$B322,Offers!$C$7:$C$3000,$C322,Offers!$AF$7:$AF$3000,INT(COUNTIFS(Offers!$B$7:$B$3000,$B322,Offers!$C$7:$C$3000,$C322,Offers!$AH$7:$AH$3000,"yes")/2)+1))/2)</f>
        <v/>
      </c>
      <c r="H322" s="99" t="str">
        <f aca="false">IF(COUNTIFS(Offers!$B$7:$B$3000,$B322,Offers!$C$7:$C$3000,$C322,Offers!$AH$7:$AH$3000,"yes")=0,"",SUMIFS(Offers!$H$7:$H$3000,Offers!$B$7:$B$3000,$B322,Offers!$C$7:$C$3000,$C322,Offers!$AF$7:$AF$3000,COUNTIFS(Offers!$B$7:$B$3000,$B322,Offers!$C$7:$C$3000,$C322,Offers!$AH$7:$AH$3000,"yes")))</f>
        <v/>
      </c>
      <c r="I322" s="100" t="str">
        <f aca="false">IF(COUNTIFS(Offers!$B$7:$B$3000,$B322,Offers!$C$7:$C$3000,$C322,Offers!$AI$7:$AI$3000,"yes")=0,"",SUMIFS(Offers!$I$7:$I$3000,Offers!$B$7:$B$3000,$B322,Offers!$C$7:$C$3000,$C322,Offers!$AG$7:$AG$3000,1))</f>
        <v/>
      </c>
      <c r="J322" s="95" t="str">
        <f aca="false">IF(COUNTIFS(Offers!$B$7:$B$3000,$B322,Offers!$C$7:$C$3000,$C322,Offers!$AI$7:$AI$3000,"yes")=0,"",(SUMIFS(Offers!$I$7:$I$3000,Offers!$B$7:$B$3000,$B322,Offers!$C$7:$C$3000,$C322,Offers!$AG$7:$AG$3000,ROUNDUP(COUNTIFS(Offers!$B$7:$B$3000,$B322,Offers!$C$7:$C$3000,$C322,Offers!$AI$7:$AI$3000,"yes")/2,0))+SUMIFS(Offers!$I$7:$I$3000,Offers!$B$7:$B$3000,$B322,Offers!$C$7:$C$3000,$C322,Offers!$AG$7:$AG$3000,INT(COUNTIFS(Offers!$B$7:$B$3000,$B322,Offers!$C$7:$C$3000,$C322,Offers!$AI$7:$AI$3000,"yes")/2)+1))/2)</f>
        <v/>
      </c>
      <c r="K322" s="100" t="str">
        <f aca="false">IF(COUNTIFS(Offers!$B$7:$B$3000,$B322,Offers!$C$7:$C$3000,$C322,Offers!$AI$7:$AI$3000,"yes")=0,"",SUMIFS(Offers!$I$7:$I$3000,Offers!$B$7:$B$3000,$B322,Offers!$C$7:$C$3000,$C322,Offers!$AG$7:$AG$3000,COUNTIFS(Offers!$B$7:$B$3000,$B322,Offers!$C$7:$C$3000,$C322,Offers!$AI$7:$AI$3000,"yes")))</f>
        <v/>
      </c>
      <c r="L322" s="96"/>
      <c r="M322" s="96"/>
      <c r="N322" s="96"/>
      <c r="O322" s="110" t="str">
        <f aca="false">IF(Compare!$E$5="Local prices",IF(F322="","",IF(Compare!$C$5="Minimum",F322,IF(Compare!$C$5="Maximum",H322,G322))),IF(I322="","",IF(Compare!$C$5="Minimum",I322,IF(Compare!$C$5="Maximum",K322,J322))))</f>
        <v/>
      </c>
    </row>
    <row r="323" customFormat="false" ht="13.5" hidden="false" customHeight="false" outlineLevel="0" collapsed="false">
      <c r="B323" s="36" t="s">
        <v>83</v>
      </c>
      <c r="C323" s="98" t="s">
        <v>17</v>
      </c>
      <c r="D323" s="98" t="s">
        <v>333</v>
      </c>
      <c r="E323" s="98" t="s">
        <v>491</v>
      </c>
      <c r="F323" s="99" t="n">
        <f aca="false">IF(COUNTIFS(Offers!$B$7:$B$3000,$B323,Offers!$C$7:$C$3000,$C323,Offers!$AH$7:$AH$3000,"yes")=0,"",SUMIFS(Offers!$H$7:$H$3000,Offers!$B$7:$B$3000,$B323,Offers!$C$7:$C$3000,$C323,Offers!$AF$7:$AF$3000,1))</f>
        <v>120</v>
      </c>
      <c r="G323" s="93" t="n">
        <f aca="false">IF(COUNTIFS(Offers!$B$7:$B$3000,$B323,Offers!$C$7:$C$3000,$C323,Offers!$AH$7:$AH$3000,"yes")=0,"",(SUMIFS(Offers!$H$7:$H$3000,Offers!$B$7:$B$3000,$B323,Offers!$C$7:$C$3000,$C323,Offers!$AF$7:$AF$3000,ROUNDUP(COUNTIFS(Offers!$B$7:$B$3000,$B323,Offers!$C$7:$C$3000,$C323,Offers!$AH$7:$AH$3000,"yes")/2,0))+SUMIFS(Offers!$H$7:$H$3000,Offers!$B$7:$B$3000,$B323,Offers!$C$7:$C$3000,$C323,Offers!$AF$7:$AF$3000,INT(COUNTIFS(Offers!$B$7:$B$3000,$B323,Offers!$C$7:$C$3000,$C323,Offers!$AH$7:$AH$3000,"yes")/2)+1))/2)</f>
        <v>172.5</v>
      </c>
      <c r="H323" s="99" t="n">
        <f aca="false">IF(COUNTIFS(Offers!$B$7:$B$3000,$B323,Offers!$C$7:$C$3000,$C323,Offers!$AH$7:$AH$3000,"yes")=0,"",SUMIFS(Offers!$H$7:$H$3000,Offers!$B$7:$B$3000,$B323,Offers!$C$7:$C$3000,$C323,Offers!$AF$7:$AF$3000,COUNTIFS(Offers!$B$7:$B$3000,$B323,Offers!$C$7:$C$3000,$C323,Offers!$AH$7:$AH$3000,"yes")))</f>
        <v>225</v>
      </c>
      <c r="I323" s="100" t="n">
        <f aca="false">IF(COUNTIFS(Offers!$B$7:$B$3000,$B323,Offers!$C$7:$C$3000,$C323,Offers!$AI$7:$AI$3000,"yes")=0,"",SUMIFS(Offers!$I$7:$I$3000,Offers!$B$7:$B$3000,$B323,Offers!$C$7:$C$3000,$C323,Offers!$AG$7:$AG$3000,1))</f>
        <v>4.913277</v>
      </c>
      <c r="J323" s="95" t="n">
        <f aca="false">IF(COUNTIFS(Offers!$B$7:$B$3000,$B323,Offers!$C$7:$C$3000,$C323,Offers!$AI$7:$AI$3000,"yes")=0,"",(SUMIFS(Offers!$I$7:$I$3000,Offers!$B$7:$B$3000,$B323,Offers!$C$7:$C$3000,$C323,Offers!$AG$7:$AG$3000,ROUNDUP(COUNTIFS(Offers!$B$7:$B$3000,$B323,Offers!$C$7:$C$3000,$C323,Offers!$AI$7:$AI$3000,"yes")/2,0))+SUMIFS(Offers!$I$7:$I$3000,Offers!$B$7:$B$3000,$B323,Offers!$C$7:$C$3000,$C323,Offers!$AG$7:$AG$3000,INT(COUNTIFS(Offers!$B$7:$B$3000,$B323,Offers!$C$7:$C$3000,$C323,Offers!$AI$7:$AI$3000,"yes")/2)+1))/2)</f>
        <v>7.062836</v>
      </c>
      <c r="K323" s="100" t="n">
        <f aca="false">IF(COUNTIFS(Offers!$B$7:$B$3000,$B323,Offers!$C$7:$C$3000,$C323,Offers!$AI$7:$AI$3000,"yes")=0,"",SUMIFS(Offers!$I$7:$I$3000,Offers!$B$7:$B$3000,$B323,Offers!$C$7:$C$3000,$C323,Offers!$AG$7:$AG$3000,COUNTIFS(Offers!$B$7:$B$3000,$B323,Offers!$C$7:$C$3000,$C323,Offers!$AI$7:$AI$3000,"yes")))</f>
        <v>9.212395</v>
      </c>
      <c r="L323" s="96"/>
      <c r="M323" s="96"/>
      <c r="N323" s="96"/>
      <c r="O323" s="101" t="n">
        <f aca="false">IF(Compare!$E$5="Local prices",IF(F323="","",IF(Compare!$C$5="Minimum",F323,IF(Compare!$C$5="Maximum",H323,G323))),IF(I323="","",IF(Compare!$C$5="Minimum",I323,IF(Compare!$C$5="Maximum",K323,J323))))</f>
        <v>7.062836</v>
      </c>
    </row>
    <row r="324" customFormat="false" ht="13.5" hidden="false" customHeight="false" outlineLevel="0" collapsed="false">
      <c r="B324" s="36" t="s">
        <v>83</v>
      </c>
      <c r="C324" s="98" t="s">
        <v>18</v>
      </c>
      <c r="D324" s="98" t="s">
        <v>244</v>
      </c>
      <c r="E324" s="98" t="s">
        <v>491</v>
      </c>
      <c r="F324" s="99" t="n">
        <f aca="false">IF(COUNTIFS(Offers!$B$7:$B$3000,$B324,Offers!$C$7:$C$3000,$C324,Offers!$AH$7:$AH$3000,"yes")=0,"",SUMIFS(Offers!$H$7:$H$3000,Offers!$B$7:$B$3000,$B324,Offers!$C$7:$C$3000,$C324,Offers!$AF$7:$AF$3000,1))</f>
        <v>4.46</v>
      </c>
      <c r="G324" s="93" t="n">
        <f aca="false">IF(COUNTIFS(Offers!$B$7:$B$3000,$B324,Offers!$C$7:$C$3000,$C324,Offers!$AH$7:$AH$3000,"yes")=0,"",(SUMIFS(Offers!$H$7:$H$3000,Offers!$B$7:$B$3000,$B324,Offers!$C$7:$C$3000,$C324,Offers!$AF$7:$AF$3000,ROUNDUP(COUNTIFS(Offers!$B$7:$B$3000,$B324,Offers!$C$7:$C$3000,$C324,Offers!$AH$7:$AH$3000,"yes")/2,0))+SUMIFS(Offers!$H$7:$H$3000,Offers!$B$7:$B$3000,$B324,Offers!$C$7:$C$3000,$C324,Offers!$AF$7:$AF$3000,INT(COUNTIFS(Offers!$B$7:$B$3000,$B324,Offers!$C$7:$C$3000,$C324,Offers!$AH$7:$AH$3000,"yes")/2)+1))/2)</f>
        <v>6.53</v>
      </c>
      <c r="H324" s="99" t="n">
        <f aca="false">IF(COUNTIFS(Offers!$B$7:$B$3000,$B324,Offers!$C$7:$C$3000,$C324,Offers!$AH$7:$AH$3000,"yes")=0,"",SUMIFS(Offers!$H$7:$H$3000,Offers!$B$7:$B$3000,$B324,Offers!$C$7:$C$3000,$C324,Offers!$AF$7:$AF$3000,COUNTIFS(Offers!$B$7:$B$3000,$B324,Offers!$C$7:$C$3000,$C324,Offers!$AH$7:$AH$3000,"yes")))</f>
        <v>8.6</v>
      </c>
      <c r="I324" s="100" t="n">
        <f aca="false">IF(COUNTIFS(Offers!$B$7:$B$3000,$B324,Offers!$C$7:$C$3000,$C324,Offers!$AI$7:$AI$3000,"yes")=0,"",SUMIFS(Offers!$I$7:$I$3000,Offers!$B$7:$B$3000,$B324,Offers!$C$7:$C$3000,$C324,Offers!$AG$7:$AG$3000,1))</f>
        <v>4.46</v>
      </c>
      <c r="J324" s="95" t="n">
        <f aca="false">IF(COUNTIFS(Offers!$B$7:$B$3000,$B324,Offers!$C$7:$C$3000,$C324,Offers!$AI$7:$AI$3000,"yes")=0,"",(SUMIFS(Offers!$I$7:$I$3000,Offers!$B$7:$B$3000,$B324,Offers!$C$7:$C$3000,$C324,Offers!$AG$7:$AG$3000,ROUNDUP(COUNTIFS(Offers!$B$7:$B$3000,$B324,Offers!$C$7:$C$3000,$C324,Offers!$AI$7:$AI$3000,"yes")/2,0))+SUMIFS(Offers!$I$7:$I$3000,Offers!$B$7:$B$3000,$B324,Offers!$C$7:$C$3000,$C324,Offers!$AG$7:$AG$3000,INT(COUNTIFS(Offers!$B$7:$B$3000,$B324,Offers!$C$7:$C$3000,$C324,Offers!$AI$7:$AI$3000,"yes")/2)+1))/2)</f>
        <v>6.53</v>
      </c>
      <c r="K324" s="100" t="n">
        <f aca="false">IF(COUNTIFS(Offers!$B$7:$B$3000,$B324,Offers!$C$7:$C$3000,$C324,Offers!$AI$7:$AI$3000,"yes")=0,"",SUMIFS(Offers!$I$7:$I$3000,Offers!$B$7:$B$3000,$B324,Offers!$C$7:$C$3000,$C324,Offers!$AG$7:$AG$3000,COUNTIFS(Offers!$B$7:$B$3000,$B324,Offers!$C$7:$C$3000,$C324,Offers!$AI$7:$AI$3000,"yes")))</f>
        <v>8.6</v>
      </c>
      <c r="L324" s="96"/>
      <c r="M324" s="96"/>
      <c r="N324" s="96"/>
      <c r="O324" s="101" t="n">
        <f aca="false">IF(Compare!$E$5="Local prices",IF(F324="","",IF(Compare!$C$5="Minimum",F324,IF(Compare!$C$5="Maximum",H324,G324))),IF(I324="","",IF(Compare!$C$5="Minimum",I324,IF(Compare!$C$5="Maximum",K324,J324))))</f>
        <v>6.53</v>
      </c>
    </row>
    <row r="325" customFormat="false" ht="13.5" hidden="false" customHeight="false" outlineLevel="0" collapsed="false">
      <c r="B325" s="36" t="s">
        <v>84</v>
      </c>
      <c r="C325" s="98" t="s">
        <v>13</v>
      </c>
      <c r="D325" s="98" t="s">
        <v>490</v>
      </c>
      <c r="E325" s="98" t="s">
        <v>491</v>
      </c>
      <c r="F325" s="99" t="str">
        <f aca="false">IF(COUNTIFS(Offers!$B$7:$B$3000,$B325,Offers!$C$7:$C$3000,$C325,Offers!$AH$7:$AH$3000,"yes")=0,"",SUMIFS(Offers!$H$7:$H$3000,Offers!$B$7:$B$3000,$B325,Offers!$C$7:$C$3000,$C325,Offers!$AF$7:$AF$3000,1))</f>
        <v/>
      </c>
      <c r="G325" s="93" t="str">
        <f aca="false">IF(COUNTIFS(Offers!$B$7:$B$3000,$B325,Offers!$C$7:$C$3000,$C325,Offers!$AH$7:$AH$3000,"yes")=0,"",(SUMIFS(Offers!$H$7:$H$3000,Offers!$B$7:$B$3000,$B325,Offers!$C$7:$C$3000,$C325,Offers!$AF$7:$AF$3000,ROUNDUP(COUNTIFS(Offers!$B$7:$B$3000,$B325,Offers!$C$7:$C$3000,$C325,Offers!$AH$7:$AH$3000,"yes")/2,0))+SUMIFS(Offers!$H$7:$H$3000,Offers!$B$7:$B$3000,$B325,Offers!$C$7:$C$3000,$C325,Offers!$AF$7:$AF$3000,INT(COUNTIFS(Offers!$B$7:$B$3000,$B325,Offers!$C$7:$C$3000,$C325,Offers!$AH$7:$AH$3000,"yes")/2)+1))/2)</f>
        <v/>
      </c>
      <c r="H325" s="99" t="str">
        <f aca="false">IF(COUNTIFS(Offers!$B$7:$B$3000,$B325,Offers!$C$7:$C$3000,$C325,Offers!$AH$7:$AH$3000,"yes")=0,"",SUMIFS(Offers!$H$7:$H$3000,Offers!$B$7:$B$3000,$B325,Offers!$C$7:$C$3000,$C325,Offers!$AF$7:$AF$3000,COUNTIFS(Offers!$B$7:$B$3000,$B325,Offers!$C$7:$C$3000,$C325,Offers!$AH$7:$AH$3000,"yes")))</f>
        <v/>
      </c>
      <c r="I325" s="100" t="str">
        <f aca="false">IF(COUNTIFS(Offers!$B$7:$B$3000,$B325,Offers!$C$7:$C$3000,$C325,Offers!$AI$7:$AI$3000,"yes")=0,"",SUMIFS(Offers!$I$7:$I$3000,Offers!$B$7:$B$3000,$B325,Offers!$C$7:$C$3000,$C325,Offers!$AG$7:$AG$3000,1))</f>
        <v/>
      </c>
      <c r="J325" s="95" t="str">
        <f aca="false">IF(COUNTIFS(Offers!$B$7:$B$3000,$B325,Offers!$C$7:$C$3000,$C325,Offers!$AI$7:$AI$3000,"yes")=0,"",(SUMIFS(Offers!$I$7:$I$3000,Offers!$B$7:$B$3000,$B325,Offers!$C$7:$C$3000,$C325,Offers!$AG$7:$AG$3000,ROUNDUP(COUNTIFS(Offers!$B$7:$B$3000,$B325,Offers!$C$7:$C$3000,$C325,Offers!$AI$7:$AI$3000,"yes")/2,0))+SUMIFS(Offers!$I$7:$I$3000,Offers!$B$7:$B$3000,$B325,Offers!$C$7:$C$3000,$C325,Offers!$AG$7:$AG$3000,INT(COUNTIFS(Offers!$B$7:$B$3000,$B325,Offers!$C$7:$C$3000,$C325,Offers!$AI$7:$AI$3000,"yes")/2)+1))/2)</f>
        <v/>
      </c>
      <c r="K325" s="100" t="str">
        <f aca="false">IF(COUNTIFS(Offers!$B$7:$B$3000,$B325,Offers!$C$7:$C$3000,$C325,Offers!$AI$7:$AI$3000,"yes")=0,"",SUMIFS(Offers!$I$7:$I$3000,Offers!$B$7:$B$3000,$B325,Offers!$C$7:$C$3000,$C325,Offers!$AG$7:$AG$3000,COUNTIFS(Offers!$B$7:$B$3000,$B325,Offers!$C$7:$C$3000,$C325,Offers!$AI$7:$AI$3000,"yes")))</f>
        <v/>
      </c>
      <c r="L325" s="96"/>
      <c r="M325" s="96"/>
      <c r="N325" s="96"/>
      <c r="O325" s="110" t="str">
        <f aca="false">IF(Compare!$E$5="Local prices",IF(F325="","",IF(Compare!$C$5="Minimum",F325,IF(Compare!$C$5="Maximum",H325,G325))),IF(I325="","",IF(Compare!$C$5="Minimum",I325,IF(Compare!$C$5="Maximum",K325,J325))))</f>
        <v/>
      </c>
    </row>
    <row r="326" customFormat="false" ht="13.5" hidden="false" customHeight="false" outlineLevel="0" collapsed="false">
      <c r="B326" s="36" t="s">
        <v>84</v>
      </c>
      <c r="C326" s="98" t="s">
        <v>14</v>
      </c>
      <c r="D326" s="98" t="s">
        <v>374</v>
      </c>
      <c r="E326" s="98" t="s">
        <v>491</v>
      </c>
      <c r="F326" s="99" t="n">
        <f aca="false">IF(COUNTIFS(Offers!$B$7:$B$3000,$B326,Offers!$C$7:$C$3000,$C326,Offers!$AH$7:$AH$3000,"yes")=0,"",SUMIFS(Offers!$H$7:$H$3000,Offers!$B$7:$B$3000,$B326,Offers!$C$7:$C$3000,$C326,Offers!$AF$7:$AF$3000,1))</f>
        <v>5</v>
      </c>
      <c r="G326" s="93" t="n">
        <f aca="false">IF(COUNTIFS(Offers!$B$7:$B$3000,$B326,Offers!$C$7:$C$3000,$C326,Offers!$AH$7:$AH$3000,"yes")=0,"",(SUMIFS(Offers!$H$7:$H$3000,Offers!$B$7:$B$3000,$B326,Offers!$C$7:$C$3000,$C326,Offers!$AF$7:$AF$3000,ROUNDUP(COUNTIFS(Offers!$B$7:$B$3000,$B326,Offers!$C$7:$C$3000,$C326,Offers!$AH$7:$AH$3000,"yes")/2,0))+SUMIFS(Offers!$H$7:$H$3000,Offers!$B$7:$B$3000,$B326,Offers!$C$7:$C$3000,$C326,Offers!$AF$7:$AF$3000,INT(COUNTIFS(Offers!$B$7:$B$3000,$B326,Offers!$C$7:$C$3000,$C326,Offers!$AH$7:$AH$3000,"yes")/2)+1))/2)</f>
        <v>48.66</v>
      </c>
      <c r="H326" s="99" t="n">
        <f aca="false">IF(COUNTIFS(Offers!$B$7:$B$3000,$B326,Offers!$C$7:$C$3000,$C326,Offers!$AH$7:$AH$3000,"yes")=0,"",SUMIFS(Offers!$H$7:$H$3000,Offers!$B$7:$B$3000,$B326,Offers!$C$7:$C$3000,$C326,Offers!$AF$7:$AF$3000,COUNTIFS(Offers!$B$7:$B$3000,$B326,Offers!$C$7:$C$3000,$C326,Offers!$AH$7:$AH$3000,"yes")))</f>
        <v>72.91</v>
      </c>
      <c r="I326" s="100" t="n">
        <f aca="false">IF(COUNTIFS(Offers!$B$7:$B$3000,$B326,Offers!$C$7:$C$3000,$C326,Offers!$AI$7:$AI$3000,"yes")=0,"",SUMIFS(Offers!$I$7:$I$3000,Offers!$B$7:$B$3000,$B326,Offers!$C$7:$C$3000,$C326,Offers!$AG$7:$AG$3000,1))</f>
        <v>5</v>
      </c>
      <c r="J326" s="95" t="n">
        <f aca="false">IF(COUNTIFS(Offers!$B$7:$B$3000,$B326,Offers!$C$7:$C$3000,$C326,Offers!$AI$7:$AI$3000,"yes")=0,"",(SUMIFS(Offers!$I$7:$I$3000,Offers!$B$7:$B$3000,$B326,Offers!$C$7:$C$3000,$C326,Offers!$AG$7:$AG$3000,ROUNDUP(COUNTIFS(Offers!$B$7:$B$3000,$B326,Offers!$C$7:$C$3000,$C326,Offers!$AI$7:$AI$3000,"yes")/2,0))+SUMIFS(Offers!$I$7:$I$3000,Offers!$B$7:$B$3000,$B326,Offers!$C$7:$C$3000,$C326,Offers!$AG$7:$AG$3000,INT(COUNTIFS(Offers!$B$7:$B$3000,$B326,Offers!$C$7:$C$3000,$C326,Offers!$AI$7:$AI$3000,"yes")/2)+1))/2)</f>
        <v>9.220027</v>
      </c>
      <c r="K326" s="100" t="n">
        <f aca="false">IF(COUNTIFS(Offers!$B$7:$B$3000,$B326,Offers!$C$7:$C$3000,$C326,Offers!$AI$7:$AI$3000,"yes")=0,"",SUMIFS(Offers!$I$7:$I$3000,Offers!$B$7:$B$3000,$B326,Offers!$C$7:$C$3000,$C326,Offers!$AG$7:$AG$3000,COUNTIFS(Offers!$B$7:$B$3000,$B326,Offers!$C$7:$C$3000,$C326,Offers!$AI$7:$AI$3000,"yes")))</f>
        <v>13.814883</v>
      </c>
      <c r="L326" s="96"/>
      <c r="M326" s="96"/>
      <c r="N326" s="96"/>
      <c r="O326" s="101" t="n">
        <f aca="false">IF(Compare!$E$5="Local prices",IF(F326="","",IF(Compare!$C$5="Minimum",F326,IF(Compare!$C$5="Maximum",H326,G326))),IF(I326="","",IF(Compare!$C$5="Minimum",I326,IF(Compare!$C$5="Maximum",K326,J326))))</f>
        <v>9.220027</v>
      </c>
    </row>
    <row r="327" customFormat="false" ht="13.5" hidden="false" customHeight="false" outlineLevel="0" collapsed="false">
      <c r="B327" s="36" t="s">
        <v>84</v>
      </c>
      <c r="C327" s="98" t="s">
        <v>15</v>
      </c>
      <c r="D327" s="98" t="s">
        <v>244</v>
      </c>
      <c r="E327" s="98" t="s">
        <v>491</v>
      </c>
      <c r="F327" s="99" t="n">
        <f aca="false">IF(COUNTIFS(Offers!$B$7:$B$3000,$B327,Offers!$C$7:$C$3000,$C327,Offers!$AH$7:$AH$3000,"yes")=0,"",SUMIFS(Offers!$H$7:$H$3000,Offers!$B$7:$B$3000,$B327,Offers!$C$7:$C$3000,$C327,Offers!$AF$7:$AF$3000,1))</f>
        <v>8.4</v>
      </c>
      <c r="G327" s="93" t="n">
        <f aca="false">IF(COUNTIFS(Offers!$B$7:$B$3000,$B327,Offers!$C$7:$C$3000,$C327,Offers!$AH$7:$AH$3000,"yes")=0,"",(SUMIFS(Offers!$H$7:$H$3000,Offers!$B$7:$B$3000,$B327,Offers!$C$7:$C$3000,$C327,Offers!$AF$7:$AF$3000,ROUNDUP(COUNTIFS(Offers!$B$7:$B$3000,$B327,Offers!$C$7:$C$3000,$C327,Offers!$AH$7:$AH$3000,"yes")/2,0))+SUMIFS(Offers!$H$7:$H$3000,Offers!$B$7:$B$3000,$B327,Offers!$C$7:$C$3000,$C327,Offers!$AF$7:$AF$3000,INT(COUNTIFS(Offers!$B$7:$B$3000,$B327,Offers!$C$7:$C$3000,$C327,Offers!$AH$7:$AH$3000,"yes")/2)+1))/2)</f>
        <v>14.48</v>
      </c>
      <c r="H327" s="99" t="n">
        <f aca="false">IF(COUNTIFS(Offers!$B$7:$B$3000,$B327,Offers!$C$7:$C$3000,$C327,Offers!$AH$7:$AH$3000,"yes")=0,"",SUMIFS(Offers!$H$7:$H$3000,Offers!$B$7:$B$3000,$B327,Offers!$C$7:$C$3000,$C327,Offers!$AF$7:$AF$3000,COUNTIFS(Offers!$B$7:$B$3000,$B327,Offers!$C$7:$C$3000,$C327,Offers!$AH$7:$AH$3000,"yes")))</f>
        <v>21.09</v>
      </c>
      <c r="I327" s="100" t="n">
        <f aca="false">IF(COUNTIFS(Offers!$B$7:$B$3000,$B327,Offers!$C$7:$C$3000,$C327,Offers!$AI$7:$AI$3000,"yes")=0,"",SUMIFS(Offers!$I$7:$I$3000,Offers!$B$7:$B$3000,$B327,Offers!$C$7:$C$3000,$C327,Offers!$AG$7:$AG$3000,1))</f>
        <v>8.4</v>
      </c>
      <c r="J327" s="95" t="n">
        <f aca="false">IF(COUNTIFS(Offers!$B$7:$B$3000,$B327,Offers!$C$7:$C$3000,$C327,Offers!$AI$7:$AI$3000,"yes")=0,"",(SUMIFS(Offers!$I$7:$I$3000,Offers!$B$7:$B$3000,$B327,Offers!$C$7:$C$3000,$C327,Offers!$AG$7:$AG$3000,ROUNDUP(COUNTIFS(Offers!$B$7:$B$3000,$B327,Offers!$C$7:$C$3000,$C327,Offers!$AI$7:$AI$3000,"yes")/2,0))+SUMIFS(Offers!$I$7:$I$3000,Offers!$B$7:$B$3000,$B327,Offers!$C$7:$C$3000,$C327,Offers!$AG$7:$AG$3000,INT(COUNTIFS(Offers!$B$7:$B$3000,$B327,Offers!$C$7:$C$3000,$C327,Offers!$AI$7:$AI$3000,"yes")/2)+1))/2)</f>
        <v>14.48</v>
      </c>
      <c r="K327" s="100" t="n">
        <f aca="false">IF(COUNTIFS(Offers!$B$7:$B$3000,$B327,Offers!$C$7:$C$3000,$C327,Offers!$AI$7:$AI$3000,"yes")=0,"",SUMIFS(Offers!$I$7:$I$3000,Offers!$B$7:$B$3000,$B327,Offers!$C$7:$C$3000,$C327,Offers!$AG$7:$AG$3000,COUNTIFS(Offers!$B$7:$B$3000,$B327,Offers!$C$7:$C$3000,$C327,Offers!$AI$7:$AI$3000,"yes")))</f>
        <v>21.09</v>
      </c>
      <c r="L327" s="96"/>
      <c r="M327" s="96"/>
      <c r="N327" s="96"/>
      <c r="O327" s="101" t="n">
        <f aca="false">IF(Compare!$E$5="Local prices",IF(F327="","",IF(Compare!$C$5="Minimum",F327,IF(Compare!$C$5="Maximum",H327,G327))),IF(I327="","",IF(Compare!$C$5="Minimum",I327,IF(Compare!$C$5="Maximum",K327,J327))))</f>
        <v>14.48</v>
      </c>
    </row>
    <row r="328" customFormat="false" ht="13.5" hidden="false" customHeight="false" outlineLevel="0" collapsed="false">
      <c r="B328" s="36" t="s">
        <v>84</v>
      </c>
      <c r="C328" s="98" t="s">
        <v>16</v>
      </c>
      <c r="D328" s="98" t="s">
        <v>244</v>
      </c>
      <c r="E328" s="98" t="s">
        <v>491</v>
      </c>
      <c r="F328" s="99" t="n">
        <f aca="false">IF(COUNTIFS(Offers!$B$7:$B$3000,$B328,Offers!$C$7:$C$3000,$C328,Offers!$AH$7:$AH$3000,"yes")=0,"",SUMIFS(Offers!$H$7:$H$3000,Offers!$B$7:$B$3000,$B328,Offers!$C$7:$C$3000,$C328,Offers!$AF$7:$AF$3000,1))</f>
        <v>5.99</v>
      </c>
      <c r="G328" s="93" t="n">
        <f aca="false">IF(COUNTIFS(Offers!$B$7:$B$3000,$B328,Offers!$C$7:$C$3000,$C328,Offers!$AH$7:$AH$3000,"yes")=0,"",(SUMIFS(Offers!$H$7:$H$3000,Offers!$B$7:$B$3000,$B328,Offers!$C$7:$C$3000,$C328,Offers!$AF$7:$AF$3000,ROUNDUP(COUNTIFS(Offers!$B$7:$B$3000,$B328,Offers!$C$7:$C$3000,$C328,Offers!$AH$7:$AH$3000,"yes")/2,0))+SUMIFS(Offers!$H$7:$H$3000,Offers!$B$7:$B$3000,$B328,Offers!$C$7:$C$3000,$C328,Offers!$AF$7:$AF$3000,INT(COUNTIFS(Offers!$B$7:$B$3000,$B328,Offers!$C$7:$C$3000,$C328,Offers!$AH$7:$AH$3000,"yes")/2)+1))/2)</f>
        <v>11.09</v>
      </c>
      <c r="H328" s="99" t="n">
        <f aca="false">IF(COUNTIFS(Offers!$B$7:$B$3000,$B328,Offers!$C$7:$C$3000,$C328,Offers!$AH$7:$AH$3000,"yes")=0,"",SUMIFS(Offers!$H$7:$H$3000,Offers!$B$7:$B$3000,$B328,Offers!$C$7:$C$3000,$C328,Offers!$AF$7:$AF$3000,COUNTIFS(Offers!$B$7:$B$3000,$B328,Offers!$C$7:$C$3000,$C328,Offers!$AH$7:$AH$3000,"yes")))</f>
        <v>33</v>
      </c>
      <c r="I328" s="100" t="n">
        <f aca="false">IF(COUNTIFS(Offers!$B$7:$B$3000,$B328,Offers!$C$7:$C$3000,$C328,Offers!$AI$7:$AI$3000,"yes")=0,"",SUMIFS(Offers!$I$7:$I$3000,Offers!$B$7:$B$3000,$B328,Offers!$C$7:$C$3000,$C328,Offers!$AG$7:$AG$3000,1))</f>
        <v>5.99</v>
      </c>
      <c r="J328" s="95" t="n">
        <f aca="false">IF(COUNTIFS(Offers!$B$7:$B$3000,$B328,Offers!$C$7:$C$3000,$C328,Offers!$AI$7:$AI$3000,"yes")=0,"",(SUMIFS(Offers!$I$7:$I$3000,Offers!$B$7:$B$3000,$B328,Offers!$C$7:$C$3000,$C328,Offers!$AG$7:$AG$3000,ROUNDUP(COUNTIFS(Offers!$B$7:$B$3000,$B328,Offers!$C$7:$C$3000,$C328,Offers!$AI$7:$AI$3000,"yes")/2,0))+SUMIFS(Offers!$I$7:$I$3000,Offers!$B$7:$B$3000,$B328,Offers!$C$7:$C$3000,$C328,Offers!$AG$7:$AG$3000,INT(COUNTIFS(Offers!$B$7:$B$3000,$B328,Offers!$C$7:$C$3000,$C328,Offers!$AI$7:$AI$3000,"yes")/2)+1))/2)</f>
        <v>11.09</v>
      </c>
      <c r="K328" s="100" t="n">
        <f aca="false">IF(COUNTIFS(Offers!$B$7:$B$3000,$B328,Offers!$C$7:$C$3000,$C328,Offers!$AI$7:$AI$3000,"yes")=0,"",SUMIFS(Offers!$I$7:$I$3000,Offers!$B$7:$B$3000,$B328,Offers!$C$7:$C$3000,$C328,Offers!$AG$7:$AG$3000,COUNTIFS(Offers!$B$7:$B$3000,$B328,Offers!$C$7:$C$3000,$C328,Offers!$AI$7:$AI$3000,"yes")))</f>
        <v>33</v>
      </c>
      <c r="L328" s="96"/>
      <c r="M328" s="96"/>
      <c r="N328" s="96"/>
      <c r="O328" s="101" t="n">
        <f aca="false">IF(Compare!$E$5="Local prices",IF(F328="","",IF(Compare!$C$5="Minimum",F328,IF(Compare!$C$5="Maximum",H328,G328))),IF(I328="","",IF(Compare!$C$5="Minimum",I328,IF(Compare!$C$5="Maximum",K328,J328))))</f>
        <v>11.09</v>
      </c>
    </row>
    <row r="329" customFormat="false" ht="13.5" hidden="false" customHeight="false" outlineLevel="0" collapsed="false">
      <c r="B329" s="36" t="s">
        <v>84</v>
      </c>
      <c r="C329" s="98" t="s">
        <v>17</v>
      </c>
      <c r="D329" s="98" t="s">
        <v>333</v>
      </c>
      <c r="E329" s="98" t="s">
        <v>491</v>
      </c>
      <c r="F329" s="99" t="n">
        <f aca="false">IF(COUNTIFS(Offers!$B$7:$B$3000,$B329,Offers!$C$7:$C$3000,$C329,Offers!$AH$7:$AH$3000,"yes")=0,"",SUMIFS(Offers!$H$7:$H$3000,Offers!$B$7:$B$3000,$B329,Offers!$C$7:$C$3000,$C329,Offers!$AF$7:$AF$3000,1))</f>
        <v>206.61</v>
      </c>
      <c r="G329" s="93" t="n">
        <f aca="false">IF(COUNTIFS(Offers!$B$7:$B$3000,$B329,Offers!$C$7:$C$3000,$C329,Offers!$AH$7:$AH$3000,"yes")=0,"",(SUMIFS(Offers!$H$7:$H$3000,Offers!$B$7:$B$3000,$B329,Offers!$C$7:$C$3000,$C329,Offers!$AF$7:$AF$3000,ROUNDUP(COUNTIFS(Offers!$B$7:$B$3000,$B329,Offers!$C$7:$C$3000,$C329,Offers!$AH$7:$AH$3000,"yes")/2,0))+SUMIFS(Offers!$H$7:$H$3000,Offers!$B$7:$B$3000,$B329,Offers!$C$7:$C$3000,$C329,Offers!$AF$7:$AF$3000,INT(COUNTIFS(Offers!$B$7:$B$3000,$B329,Offers!$C$7:$C$3000,$C329,Offers!$AH$7:$AH$3000,"yes")/2)+1))/2)</f>
        <v>308.26</v>
      </c>
      <c r="H329" s="99" t="n">
        <f aca="false">IF(COUNTIFS(Offers!$B$7:$B$3000,$B329,Offers!$C$7:$C$3000,$C329,Offers!$AH$7:$AH$3000,"yes")=0,"",SUMIFS(Offers!$H$7:$H$3000,Offers!$B$7:$B$3000,$B329,Offers!$C$7:$C$3000,$C329,Offers!$AF$7:$AF$3000,COUNTIFS(Offers!$B$7:$B$3000,$B329,Offers!$C$7:$C$3000,$C329,Offers!$AH$7:$AH$3000,"yes")))</f>
        <v>382</v>
      </c>
      <c r="I329" s="100" t="n">
        <f aca="false">IF(COUNTIFS(Offers!$B$7:$B$3000,$B329,Offers!$C$7:$C$3000,$C329,Offers!$AI$7:$AI$3000,"yes")=0,"",SUMIFS(Offers!$I$7:$I$3000,Offers!$B$7:$B$3000,$B329,Offers!$C$7:$C$3000,$C329,Offers!$AG$7:$AG$3000,1))</f>
        <v>8.459435</v>
      </c>
      <c r="J329" s="95" t="n">
        <f aca="false">IF(COUNTIFS(Offers!$B$7:$B$3000,$B329,Offers!$C$7:$C$3000,$C329,Offers!$AI$7:$AI$3000,"yes")=0,"",(SUMIFS(Offers!$I$7:$I$3000,Offers!$B$7:$B$3000,$B329,Offers!$C$7:$C$3000,$C329,Offers!$AG$7:$AG$3000,ROUNDUP(COUNTIFS(Offers!$B$7:$B$3000,$B329,Offers!$C$7:$C$3000,$C329,Offers!$AI$7:$AI$3000,"yes")/2,0))+SUMIFS(Offers!$I$7:$I$3000,Offers!$B$7:$B$3000,$B329,Offers!$C$7:$C$3000,$C329,Offers!$AG$7:$AG$3000,INT(COUNTIFS(Offers!$B$7:$B$3000,$B329,Offers!$C$7:$C$3000,$C329,Offers!$AI$7:$AI$3000,"yes")/2)+1))/2)</f>
        <v>12.621391</v>
      </c>
      <c r="K329" s="100" t="n">
        <f aca="false">IF(COUNTIFS(Offers!$B$7:$B$3000,$B329,Offers!$C$7:$C$3000,$C329,Offers!$AI$7:$AI$3000,"yes")=0,"",SUMIFS(Offers!$I$7:$I$3000,Offers!$B$7:$B$3000,$B329,Offers!$C$7:$C$3000,$C329,Offers!$AG$7:$AG$3000,COUNTIFS(Offers!$B$7:$B$3000,$B329,Offers!$C$7:$C$3000,$C329,Offers!$AI$7:$AI$3000,"yes")))</f>
        <v>15.6406</v>
      </c>
      <c r="L329" s="96"/>
      <c r="M329" s="96"/>
      <c r="N329" s="96"/>
      <c r="O329" s="101" t="n">
        <f aca="false">IF(Compare!$E$5="Local prices",IF(F329="","",IF(Compare!$C$5="Minimum",F329,IF(Compare!$C$5="Maximum",H329,G329))),IF(I329="","",IF(Compare!$C$5="Minimum",I329,IF(Compare!$C$5="Maximum",K329,J329))))</f>
        <v>12.621391</v>
      </c>
    </row>
    <row r="330" customFormat="false" ht="13.5" hidden="false" customHeight="false" outlineLevel="0" collapsed="false">
      <c r="B330" s="36" t="s">
        <v>84</v>
      </c>
      <c r="C330" s="98" t="s">
        <v>18</v>
      </c>
      <c r="D330" s="98" t="s">
        <v>244</v>
      </c>
      <c r="E330" s="98" t="s">
        <v>491</v>
      </c>
      <c r="F330" s="99" t="n">
        <f aca="false">IF(COUNTIFS(Offers!$B$7:$B$3000,$B330,Offers!$C$7:$C$3000,$C330,Offers!$AH$7:$AH$3000,"yes")=0,"",SUMIFS(Offers!$H$7:$H$3000,Offers!$B$7:$B$3000,$B330,Offers!$C$7:$C$3000,$C330,Offers!$AF$7:$AF$3000,1))</f>
        <v>7.51</v>
      </c>
      <c r="G330" s="93" t="n">
        <f aca="false">IF(COUNTIFS(Offers!$B$7:$B$3000,$B330,Offers!$C$7:$C$3000,$C330,Offers!$AH$7:$AH$3000,"yes")=0,"",(SUMIFS(Offers!$H$7:$H$3000,Offers!$B$7:$B$3000,$B330,Offers!$C$7:$C$3000,$C330,Offers!$AF$7:$AF$3000,ROUNDUP(COUNTIFS(Offers!$B$7:$B$3000,$B330,Offers!$C$7:$C$3000,$C330,Offers!$AH$7:$AH$3000,"yes")/2,0))+SUMIFS(Offers!$H$7:$H$3000,Offers!$B$7:$B$3000,$B330,Offers!$C$7:$C$3000,$C330,Offers!$AF$7:$AF$3000,INT(COUNTIFS(Offers!$B$7:$B$3000,$B330,Offers!$C$7:$C$3000,$C330,Offers!$AH$7:$AH$3000,"yes")/2)+1))/2)</f>
        <v>12</v>
      </c>
      <c r="H330" s="99" t="n">
        <f aca="false">IF(COUNTIFS(Offers!$B$7:$B$3000,$B330,Offers!$C$7:$C$3000,$C330,Offers!$AH$7:$AH$3000,"yes")=0,"",SUMIFS(Offers!$H$7:$H$3000,Offers!$B$7:$B$3000,$B330,Offers!$C$7:$C$3000,$C330,Offers!$AF$7:$AF$3000,COUNTIFS(Offers!$B$7:$B$3000,$B330,Offers!$C$7:$C$3000,$C330,Offers!$AH$7:$AH$3000,"yes")))</f>
        <v>18.62</v>
      </c>
      <c r="I330" s="100" t="n">
        <f aca="false">IF(COUNTIFS(Offers!$B$7:$B$3000,$B330,Offers!$C$7:$C$3000,$C330,Offers!$AI$7:$AI$3000,"yes")=0,"",SUMIFS(Offers!$I$7:$I$3000,Offers!$B$7:$B$3000,$B330,Offers!$C$7:$C$3000,$C330,Offers!$AG$7:$AG$3000,1))</f>
        <v>7.51</v>
      </c>
      <c r="J330" s="95" t="n">
        <f aca="false">IF(COUNTIFS(Offers!$B$7:$B$3000,$B330,Offers!$C$7:$C$3000,$C330,Offers!$AI$7:$AI$3000,"yes")=0,"",(SUMIFS(Offers!$I$7:$I$3000,Offers!$B$7:$B$3000,$B330,Offers!$C$7:$C$3000,$C330,Offers!$AG$7:$AG$3000,ROUNDUP(COUNTIFS(Offers!$B$7:$B$3000,$B330,Offers!$C$7:$C$3000,$C330,Offers!$AI$7:$AI$3000,"yes")/2,0))+SUMIFS(Offers!$I$7:$I$3000,Offers!$B$7:$B$3000,$B330,Offers!$C$7:$C$3000,$C330,Offers!$AG$7:$AG$3000,INT(COUNTIFS(Offers!$B$7:$B$3000,$B330,Offers!$C$7:$C$3000,$C330,Offers!$AI$7:$AI$3000,"yes")/2)+1))/2)</f>
        <v>12</v>
      </c>
      <c r="K330" s="100" t="n">
        <f aca="false">IF(COUNTIFS(Offers!$B$7:$B$3000,$B330,Offers!$C$7:$C$3000,$C330,Offers!$AI$7:$AI$3000,"yes")=0,"",SUMIFS(Offers!$I$7:$I$3000,Offers!$B$7:$B$3000,$B330,Offers!$C$7:$C$3000,$C330,Offers!$AG$7:$AG$3000,COUNTIFS(Offers!$B$7:$B$3000,$B330,Offers!$C$7:$C$3000,$C330,Offers!$AI$7:$AI$3000,"yes")))</f>
        <v>18.62</v>
      </c>
      <c r="L330" s="96"/>
      <c r="M330" s="96"/>
      <c r="N330" s="96"/>
      <c r="O330" s="101" t="n">
        <f aca="false">IF(Compare!$E$5="Local prices",IF(F330="","",IF(Compare!$C$5="Minimum",F330,IF(Compare!$C$5="Maximum",H330,G330))),IF(I330="","",IF(Compare!$C$5="Minimum",I330,IF(Compare!$C$5="Maximum",K330,J330))))</f>
        <v>12</v>
      </c>
    </row>
    <row r="331" customFormat="false" ht="13.5" hidden="false" customHeight="false" outlineLevel="0" collapsed="false">
      <c r="B331" s="36" t="s">
        <v>85</v>
      </c>
      <c r="C331" s="98" t="s">
        <v>13</v>
      </c>
      <c r="D331" s="98" t="s">
        <v>490</v>
      </c>
      <c r="E331" s="98" t="s">
        <v>491</v>
      </c>
      <c r="F331" s="99" t="str">
        <f aca="false">IF(COUNTIFS(Offers!$B$7:$B$3000,$B331,Offers!$C$7:$C$3000,$C331,Offers!$AH$7:$AH$3000,"yes")=0,"",SUMIFS(Offers!$H$7:$H$3000,Offers!$B$7:$B$3000,$B331,Offers!$C$7:$C$3000,$C331,Offers!$AF$7:$AF$3000,1))</f>
        <v/>
      </c>
      <c r="G331" s="93" t="str">
        <f aca="false">IF(COUNTIFS(Offers!$B$7:$B$3000,$B331,Offers!$C$7:$C$3000,$C331,Offers!$AH$7:$AH$3000,"yes")=0,"",(SUMIFS(Offers!$H$7:$H$3000,Offers!$B$7:$B$3000,$B331,Offers!$C$7:$C$3000,$C331,Offers!$AF$7:$AF$3000,ROUNDUP(COUNTIFS(Offers!$B$7:$B$3000,$B331,Offers!$C$7:$C$3000,$C331,Offers!$AH$7:$AH$3000,"yes")/2,0))+SUMIFS(Offers!$H$7:$H$3000,Offers!$B$7:$B$3000,$B331,Offers!$C$7:$C$3000,$C331,Offers!$AF$7:$AF$3000,INT(COUNTIFS(Offers!$B$7:$B$3000,$B331,Offers!$C$7:$C$3000,$C331,Offers!$AH$7:$AH$3000,"yes")/2)+1))/2)</f>
        <v/>
      </c>
      <c r="H331" s="99" t="str">
        <f aca="false">IF(COUNTIFS(Offers!$B$7:$B$3000,$B331,Offers!$C$7:$C$3000,$C331,Offers!$AH$7:$AH$3000,"yes")=0,"",SUMIFS(Offers!$H$7:$H$3000,Offers!$B$7:$B$3000,$B331,Offers!$C$7:$C$3000,$C331,Offers!$AF$7:$AF$3000,COUNTIFS(Offers!$B$7:$B$3000,$B331,Offers!$C$7:$C$3000,$C331,Offers!$AH$7:$AH$3000,"yes")))</f>
        <v/>
      </c>
      <c r="I331" s="100" t="str">
        <f aca="false">IF(COUNTIFS(Offers!$B$7:$B$3000,$B331,Offers!$C$7:$C$3000,$C331,Offers!$AI$7:$AI$3000,"yes")=0,"",SUMIFS(Offers!$I$7:$I$3000,Offers!$B$7:$B$3000,$B331,Offers!$C$7:$C$3000,$C331,Offers!$AG$7:$AG$3000,1))</f>
        <v/>
      </c>
      <c r="J331" s="95" t="str">
        <f aca="false">IF(COUNTIFS(Offers!$B$7:$B$3000,$B331,Offers!$C$7:$C$3000,$C331,Offers!$AI$7:$AI$3000,"yes")=0,"",(SUMIFS(Offers!$I$7:$I$3000,Offers!$B$7:$B$3000,$B331,Offers!$C$7:$C$3000,$C331,Offers!$AG$7:$AG$3000,ROUNDUP(COUNTIFS(Offers!$B$7:$B$3000,$B331,Offers!$C$7:$C$3000,$C331,Offers!$AI$7:$AI$3000,"yes")/2,0))+SUMIFS(Offers!$I$7:$I$3000,Offers!$B$7:$B$3000,$B331,Offers!$C$7:$C$3000,$C331,Offers!$AG$7:$AG$3000,INT(COUNTIFS(Offers!$B$7:$B$3000,$B331,Offers!$C$7:$C$3000,$C331,Offers!$AI$7:$AI$3000,"yes")/2)+1))/2)</f>
        <v/>
      </c>
      <c r="K331" s="100" t="str">
        <f aca="false">IF(COUNTIFS(Offers!$B$7:$B$3000,$B331,Offers!$C$7:$C$3000,$C331,Offers!$AI$7:$AI$3000,"yes")=0,"",SUMIFS(Offers!$I$7:$I$3000,Offers!$B$7:$B$3000,$B331,Offers!$C$7:$C$3000,$C331,Offers!$AG$7:$AG$3000,COUNTIFS(Offers!$B$7:$B$3000,$B331,Offers!$C$7:$C$3000,$C331,Offers!$AI$7:$AI$3000,"yes")))</f>
        <v/>
      </c>
      <c r="L331" s="96"/>
      <c r="M331" s="96"/>
      <c r="N331" s="96"/>
      <c r="O331" s="110" t="str">
        <f aca="false">IF(Compare!$E$5="Local prices",IF(F331="","",IF(Compare!$C$5="Minimum",F331,IF(Compare!$C$5="Maximum",H331,G331))),IF(I331="","",IF(Compare!$C$5="Minimum",I331,IF(Compare!$C$5="Maximum",K331,J331))))</f>
        <v/>
      </c>
    </row>
    <row r="332" customFormat="false" ht="13.5" hidden="false" customHeight="false" outlineLevel="0" collapsed="false">
      <c r="B332" s="36" t="s">
        <v>85</v>
      </c>
      <c r="C332" s="98" t="s">
        <v>14</v>
      </c>
      <c r="D332" s="98" t="s">
        <v>374</v>
      </c>
      <c r="E332" s="98" t="s">
        <v>491</v>
      </c>
      <c r="F332" s="99" t="n">
        <f aca="false">IF(COUNTIFS(Offers!$B$7:$B$3000,$B332,Offers!$C$7:$C$3000,$C332,Offers!$AH$7:$AH$3000,"yes")=0,"",SUMIFS(Offers!$H$7:$H$3000,Offers!$B$7:$B$3000,$B332,Offers!$C$7:$C$3000,$C332,Offers!$AF$7:$AF$3000,1))</f>
        <v>12.8</v>
      </c>
      <c r="G332" s="93" t="n">
        <f aca="false">IF(COUNTIFS(Offers!$B$7:$B$3000,$B332,Offers!$C$7:$C$3000,$C332,Offers!$AH$7:$AH$3000,"yes")=0,"",(SUMIFS(Offers!$H$7:$H$3000,Offers!$B$7:$B$3000,$B332,Offers!$C$7:$C$3000,$C332,Offers!$AF$7:$AF$3000,ROUNDUP(COUNTIFS(Offers!$B$7:$B$3000,$B332,Offers!$C$7:$C$3000,$C332,Offers!$AH$7:$AH$3000,"yes")/2,0))+SUMIFS(Offers!$H$7:$H$3000,Offers!$B$7:$B$3000,$B332,Offers!$C$7:$C$3000,$C332,Offers!$AF$7:$AF$3000,INT(COUNTIFS(Offers!$B$7:$B$3000,$B332,Offers!$C$7:$C$3000,$C332,Offers!$AH$7:$AH$3000,"yes")/2)+1))/2)</f>
        <v>55.46</v>
      </c>
      <c r="H332" s="99" t="n">
        <f aca="false">IF(COUNTIFS(Offers!$B$7:$B$3000,$B332,Offers!$C$7:$C$3000,$C332,Offers!$AH$7:$AH$3000,"yes")=0,"",SUMIFS(Offers!$H$7:$H$3000,Offers!$B$7:$B$3000,$B332,Offers!$C$7:$C$3000,$C332,Offers!$AF$7:$AF$3000,COUNTIFS(Offers!$B$7:$B$3000,$B332,Offers!$C$7:$C$3000,$C332,Offers!$AH$7:$AH$3000,"yes")))</f>
        <v>82.75</v>
      </c>
      <c r="I332" s="100" t="n">
        <f aca="false">IF(COUNTIFS(Offers!$B$7:$B$3000,$B332,Offers!$C$7:$C$3000,$C332,Offers!$AI$7:$AI$3000,"yes")=0,"",SUMIFS(Offers!$I$7:$I$3000,Offers!$B$7:$B$3000,$B332,Offers!$C$7:$C$3000,$C332,Offers!$AG$7:$AG$3000,1))</f>
        <v>10.140893</v>
      </c>
      <c r="J332" s="95" t="n">
        <f aca="false">IF(COUNTIFS(Offers!$B$7:$B$3000,$B332,Offers!$C$7:$C$3000,$C332,Offers!$AI$7:$AI$3000,"yes")=0,"",(SUMIFS(Offers!$I$7:$I$3000,Offers!$B$7:$B$3000,$B332,Offers!$C$7:$C$3000,$C332,Offers!$AG$7:$AG$3000,ROUNDUP(COUNTIFS(Offers!$B$7:$B$3000,$B332,Offers!$C$7:$C$3000,$C332,Offers!$AI$7:$AI$3000,"yes")/2,0))+SUMIFS(Offers!$I$7:$I$3000,Offers!$B$7:$B$3000,$B332,Offers!$C$7:$C$3000,$C332,Offers!$AG$7:$AG$3000,INT(COUNTIFS(Offers!$B$7:$B$3000,$B332,Offers!$C$7:$C$3000,$C332,Offers!$AI$7:$AI$3000,"yes")/2)+1))/2)</f>
        <v>12.204315</v>
      </c>
      <c r="K332" s="100" t="n">
        <f aca="false">IF(COUNTIFS(Offers!$B$7:$B$3000,$B332,Offers!$C$7:$C$3000,$C332,Offers!$AI$7:$AI$3000,"yes")=0,"",SUMIFS(Offers!$I$7:$I$3000,Offers!$B$7:$B$3000,$B332,Offers!$C$7:$C$3000,$C332,Offers!$AG$7:$AG$3000,COUNTIFS(Offers!$B$7:$B$3000,$B332,Offers!$C$7:$C$3000,$C332,Offers!$AI$7:$AI$3000,"yes")))</f>
        <v>15.679352</v>
      </c>
      <c r="L332" s="96"/>
      <c r="M332" s="96"/>
      <c r="N332" s="96"/>
      <c r="O332" s="101" t="n">
        <f aca="false">IF(Compare!$E$5="Local prices",IF(F332="","",IF(Compare!$C$5="Minimum",F332,IF(Compare!$C$5="Maximum",H332,G332))),IF(I332="","",IF(Compare!$C$5="Minimum",I332,IF(Compare!$C$5="Maximum",K332,J332))))</f>
        <v>12.204315</v>
      </c>
    </row>
    <row r="333" customFormat="false" ht="13.5" hidden="false" customHeight="false" outlineLevel="0" collapsed="false">
      <c r="B333" s="36" t="s">
        <v>85</v>
      </c>
      <c r="C333" s="98" t="s">
        <v>15</v>
      </c>
      <c r="D333" s="98" t="s">
        <v>244</v>
      </c>
      <c r="E333" s="98" t="s">
        <v>491</v>
      </c>
      <c r="F333" s="99" t="n">
        <f aca="false">IF(COUNTIFS(Offers!$B$7:$B$3000,$B333,Offers!$C$7:$C$3000,$C333,Offers!$AH$7:$AH$3000,"yes")=0,"",SUMIFS(Offers!$H$7:$H$3000,Offers!$B$7:$B$3000,$B333,Offers!$C$7:$C$3000,$C333,Offers!$AF$7:$AF$3000,1))</f>
        <v>8.7</v>
      </c>
      <c r="G333" s="93" t="n">
        <f aca="false">IF(COUNTIFS(Offers!$B$7:$B$3000,$B333,Offers!$C$7:$C$3000,$C333,Offers!$AH$7:$AH$3000,"yes")=0,"",(SUMIFS(Offers!$H$7:$H$3000,Offers!$B$7:$B$3000,$B333,Offers!$C$7:$C$3000,$C333,Offers!$AF$7:$AF$3000,ROUNDUP(COUNTIFS(Offers!$B$7:$B$3000,$B333,Offers!$C$7:$C$3000,$C333,Offers!$AH$7:$AH$3000,"yes")/2,0))+SUMIFS(Offers!$H$7:$H$3000,Offers!$B$7:$B$3000,$B333,Offers!$C$7:$C$3000,$C333,Offers!$AF$7:$AF$3000,INT(COUNTIFS(Offers!$B$7:$B$3000,$B333,Offers!$C$7:$C$3000,$C333,Offers!$AH$7:$AH$3000,"yes")/2)+1))/2)</f>
        <v>14.66</v>
      </c>
      <c r="H333" s="99" t="n">
        <f aca="false">IF(COUNTIFS(Offers!$B$7:$B$3000,$B333,Offers!$C$7:$C$3000,$C333,Offers!$AH$7:$AH$3000,"yes")=0,"",SUMIFS(Offers!$H$7:$H$3000,Offers!$B$7:$B$3000,$B333,Offers!$C$7:$C$3000,$C333,Offers!$AF$7:$AF$3000,COUNTIFS(Offers!$B$7:$B$3000,$B333,Offers!$C$7:$C$3000,$C333,Offers!$AH$7:$AH$3000,"yes")))</f>
        <v>21.38</v>
      </c>
      <c r="I333" s="100" t="n">
        <f aca="false">IF(COUNTIFS(Offers!$B$7:$B$3000,$B333,Offers!$C$7:$C$3000,$C333,Offers!$AI$7:$AI$3000,"yes")=0,"",SUMIFS(Offers!$I$7:$I$3000,Offers!$B$7:$B$3000,$B333,Offers!$C$7:$C$3000,$C333,Offers!$AG$7:$AG$3000,1))</f>
        <v>8.7</v>
      </c>
      <c r="J333" s="95" t="n">
        <f aca="false">IF(COUNTIFS(Offers!$B$7:$B$3000,$B333,Offers!$C$7:$C$3000,$C333,Offers!$AI$7:$AI$3000,"yes")=0,"",(SUMIFS(Offers!$I$7:$I$3000,Offers!$B$7:$B$3000,$B333,Offers!$C$7:$C$3000,$C333,Offers!$AG$7:$AG$3000,ROUNDUP(COUNTIFS(Offers!$B$7:$B$3000,$B333,Offers!$C$7:$C$3000,$C333,Offers!$AI$7:$AI$3000,"yes")/2,0))+SUMIFS(Offers!$I$7:$I$3000,Offers!$B$7:$B$3000,$B333,Offers!$C$7:$C$3000,$C333,Offers!$AG$7:$AG$3000,INT(COUNTIFS(Offers!$B$7:$B$3000,$B333,Offers!$C$7:$C$3000,$C333,Offers!$AI$7:$AI$3000,"yes")/2)+1))/2)</f>
        <v>14.66</v>
      </c>
      <c r="K333" s="100" t="n">
        <f aca="false">IF(COUNTIFS(Offers!$B$7:$B$3000,$B333,Offers!$C$7:$C$3000,$C333,Offers!$AI$7:$AI$3000,"yes")=0,"",SUMIFS(Offers!$I$7:$I$3000,Offers!$B$7:$B$3000,$B333,Offers!$C$7:$C$3000,$C333,Offers!$AG$7:$AG$3000,COUNTIFS(Offers!$B$7:$B$3000,$B333,Offers!$C$7:$C$3000,$C333,Offers!$AI$7:$AI$3000,"yes")))</f>
        <v>21.38</v>
      </c>
      <c r="L333" s="96"/>
      <c r="M333" s="96"/>
      <c r="N333" s="96"/>
      <c r="O333" s="101" t="n">
        <f aca="false">IF(Compare!$E$5="Local prices",IF(F333="","",IF(Compare!$C$5="Minimum",F333,IF(Compare!$C$5="Maximum",H333,G333))),IF(I333="","",IF(Compare!$C$5="Minimum",I333,IF(Compare!$C$5="Maximum",K333,J333))))</f>
        <v>14.66</v>
      </c>
    </row>
    <row r="334" customFormat="false" ht="13.5" hidden="false" customHeight="false" outlineLevel="0" collapsed="false">
      <c r="B334" s="36" t="s">
        <v>85</v>
      </c>
      <c r="C334" s="98" t="s">
        <v>16</v>
      </c>
      <c r="D334" s="98" t="s">
        <v>244</v>
      </c>
      <c r="E334" s="98" t="s">
        <v>491</v>
      </c>
      <c r="F334" s="99" t="n">
        <f aca="false">IF(COUNTIFS(Offers!$B$7:$B$3000,$B334,Offers!$C$7:$C$3000,$C334,Offers!$AH$7:$AH$3000,"yes")=0,"",SUMIFS(Offers!$H$7:$H$3000,Offers!$B$7:$B$3000,$B334,Offers!$C$7:$C$3000,$C334,Offers!$AF$7:$AF$3000,1))</f>
        <v>8.9</v>
      </c>
      <c r="G334" s="93" t="n">
        <f aca="false">IF(COUNTIFS(Offers!$B$7:$B$3000,$B334,Offers!$C$7:$C$3000,$C334,Offers!$AH$7:$AH$3000,"yes")=0,"",(SUMIFS(Offers!$H$7:$H$3000,Offers!$B$7:$B$3000,$B334,Offers!$C$7:$C$3000,$C334,Offers!$AF$7:$AF$3000,ROUNDUP(COUNTIFS(Offers!$B$7:$B$3000,$B334,Offers!$C$7:$C$3000,$C334,Offers!$AH$7:$AH$3000,"yes")/2,0))+SUMIFS(Offers!$H$7:$H$3000,Offers!$B$7:$B$3000,$B334,Offers!$C$7:$C$3000,$C334,Offers!$AF$7:$AF$3000,INT(COUNTIFS(Offers!$B$7:$B$3000,$B334,Offers!$C$7:$C$3000,$C334,Offers!$AH$7:$AH$3000,"yes")/2)+1))/2)</f>
        <v>10.6</v>
      </c>
      <c r="H334" s="99" t="n">
        <f aca="false">IF(COUNTIFS(Offers!$B$7:$B$3000,$B334,Offers!$C$7:$C$3000,$C334,Offers!$AH$7:$AH$3000,"yes")=0,"",SUMIFS(Offers!$H$7:$H$3000,Offers!$B$7:$B$3000,$B334,Offers!$C$7:$C$3000,$C334,Offers!$AF$7:$AF$3000,COUNTIFS(Offers!$B$7:$B$3000,$B334,Offers!$C$7:$C$3000,$C334,Offers!$AH$7:$AH$3000,"yes")))</f>
        <v>33.6</v>
      </c>
      <c r="I334" s="100" t="n">
        <f aca="false">IF(COUNTIFS(Offers!$B$7:$B$3000,$B334,Offers!$C$7:$C$3000,$C334,Offers!$AI$7:$AI$3000,"yes")=0,"",SUMIFS(Offers!$I$7:$I$3000,Offers!$B$7:$B$3000,$B334,Offers!$C$7:$C$3000,$C334,Offers!$AG$7:$AG$3000,1))</f>
        <v>8.9</v>
      </c>
      <c r="J334" s="95" t="n">
        <f aca="false">IF(COUNTIFS(Offers!$B$7:$B$3000,$B334,Offers!$C$7:$C$3000,$C334,Offers!$AI$7:$AI$3000,"yes")=0,"",(SUMIFS(Offers!$I$7:$I$3000,Offers!$B$7:$B$3000,$B334,Offers!$C$7:$C$3000,$C334,Offers!$AG$7:$AG$3000,ROUNDUP(COUNTIFS(Offers!$B$7:$B$3000,$B334,Offers!$C$7:$C$3000,$C334,Offers!$AI$7:$AI$3000,"yes")/2,0))+SUMIFS(Offers!$I$7:$I$3000,Offers!$B$7:$B$3000,$B334,Offers!$C$7:$C$3000,$C334,Offers!$AG$7:$AG$3000,INT(COUNTIFS(Offers!$B$7:$B$3000,$B334,Offers!$C$7:$C$3000,$C334,Offers!$AI$7:$AI$3000,"yes")/2)+1))/2)</f>
        <v>10.6</v>
      </c>
      <c r="K334" s="100" t="n">
        <f aca="false">IF(COUNTIFS(Offers!$B$7:$B$3000,$B334,Offers!$C$7:$C$3000,$C334,Offers!$AI$7:$AI$3000,"yes")=0,"",SUMIFS(Offers!$I$7:$I$3000,Offers!$B$7:$B$3000,$B334,Offers!$C$7:$C$3000,$C334,Offers!$AG$7:$AG$3000,COUNTIFS(Offers!$B$7:$B$3000,$B334,Offers!$C$7:$C$3000,$C334,Offers!$AI$7:$AI$3000,"yes")))</f>
        <v>33.6</v>
      </c>
      <c r="L334" s="96"/>
      <c r="M334" s="96"/>
      <c r="N334" s="96"/>
      <c r="O334" s="101" t="n">
        <f aca="false">IF(Compare!$E$5="Local prices",IF(F334="","",IF(Compare!$C$5="Minimum",F334,IF(Compare!$C$5="Maximum",H334,G334))),IF(I334="","",IF(Compare!$C$5="Minimum",I334,IF(Compare!$C$5="Maximum",K334,J334))))</f>
        <v>10.6</v>
      </c>
    </row>
    <row r="335" customFormat="false" ht="13.5" hidden="false" customHeight="false" outlineLevel="0" collapsed="false">
      <c r="B335" s="36" t="s">
        <v>85</v>
      </c>
      <c r="C335" s="98" t="s">
        <v>17</v>
      </c>
      <c r="D335" s="98" t="s">
        <v>333</v>
      </c>
      <c r="E335" s="98" t="s">
        <v>491</v>
      </c>
      <c r="F335" s="99" t="n">
        <f aca="false">IF(COUNTIFS(Offers!$B$7:$B$3000,$B335,Offers!$C$7:$C$3000,$C335,Offers!$AH$7:$AH$3000,"yes")=0,"",SUMIFS(Offers!$H$7:$H$3000,Offers!$B$7:$B$3000,$B335,Offers!$C$7:$C$3000,$C335,Offers!$AF$7:$AF$3000,1))</f>
        <v>193.39</v>
      </c>
      <c r="G335" s="93" t="n">
        <f aca="false">IF(COUNTIFS(Offers!$B$7:$B$3000,$B335,Offers!$C$7:$C$3000,$C335,Offers!$AH$7:$AH$3000,"yes")=0,"",(SUMIFS(Offers!$H$7:$H$3000,Offers!$B$7:$B$3000,$B335,Offers!$C$7:$C$3000,$C335,Offers!$AF$7:$AF$3000,ROUNDUP(COUNTIFS(Offers!$B$7:$B$3000,$B335,Offers!$C$7:$C$3000,$C335,Offers!$AH$7:$AH$3000,"yes")/2,0))+SUMIFS(Offers!$H$7:$H$3000,Offers!$B$7:$B$3000,$B335,Offers!$C$7:$C$3000,$C335,Offers!$AF$7:$AF$3000,INT(COUNTIFS(Offers!$B$7:$B$3000,$B335,Offers!$C$7:$C$3000,$C335,Offers!$AH$7:$AH$3000,"yes")/2)+1))/2)</f>
        <v>352.07</v>
      </c>
      <c r="H335" s="99" t="n">
        <f aca="false">IF(COUNTIFS(Offers!$B$7:$B$3000,$B335,Offers!$C$7:$C$3000,$C335,Offers!$AH$7:$AH$3000,"yes")=0,"",SUMIFS(Offers!$H$7:$H$3000,Offers!$B$7:$B$3000,$B335,Offers!$C$7:$C$3000,$C335,Offers!$AF$7:$AF$3000,COUNTIFS(Offers!$B$7:$B$3000,$B335,Offers!$C$7:$C$3000,$C335,Offers!$AH$7:$AH$3000,"yes")))</f>
        <v>410</v>
      </c>
      <c r="I335" s="100" t="n">
        <f aca="false">IF(COUNTIFS(Offers!$B$7:$B$3000,$B335,Offers!$C$7:$C$3000,$C335,Offers!$AI$7:$AI$3000,"yes")=0,"",SUMIFS(Offers!$I$7:$I$3000,Offers!$B$7:$B$3000,$B335,Offers!$C$7:$C$3000,$C335,Offers!$AG$7:$AG$3000,1))</f>
        <v>7.918156</v>
      </c>
      <c r="J335" s="95" t="n">
        <f aca="false">IF(COUNTIFS(Offers!$B$7:$B$3000,$B335,Offers!$C$7:$C$3000,$C335,Offers!$AI$7:$AI$3000,"yes")=0,"",(SUMIFS(Offers!$I$7:$I$3000,Offers!$B$7:$B$3000,$B335,Offers!$C$7:$C$3000,$C335,Offers!$AG$7:$AG$3000,ROUNDUP(COUNTIFS(Offers!$B$7:$B$3000,$B335,Offers!$C$7:$C$3000,$C335,Offers!$AI$7:$AI$3000,"yes")/2,0))+SUMIFS(Offers!$I$7:$I$3000,Offers!$B$7:$B$3000,$B335,Offers!$C$7:$C$3000,$C335,Offers!$AG$7:$AG$3000,INT(COUNTIFS(Offers!$B$7:$B$3000,$B335,Offers!$C$7:$C$3000,$C335,Offers!$AI$7:$AI$3000,"yes")/2)+1))/2)</f>
        <v>14.415147</v>
      </c>
      <c r="K335" s="100" t="n">
        <f aca="false">IF(COUNTIFS(Offers!$B$7:$B$3000,$B335,Offers!$C$7:$C$3000,$C335,Offers!$AI$7:$AI$3000,"yes")=0,"",SUMIFS(Offers!$I$7:$I$3000,Offers!$B$7:$B$3000,$B335,Offers!$C$7:$C$3000,$C335,Offers!$AG$7:$AG$3000,COUNTIFS(Offers!$B$7:$B$3000,$B335,Offers!$C$7:$C$3000,$C335,Offers!$AI$7:$AI$3000,"yes")))</f>
        <v>16.787031</v>
      </c>
      <c r="L335" s="96"/>
      <c r="M335" s="96"/>
      <c r="N335" s="96"/>
      <c r="O335" s="101" t="n">
        <f aca="false">IF(Compare!$E$5="Local prices",IF(F335="","",IF(Compare!$C$5="Minimum",F335,IF(Compare!$C$5="Maximum",H335,G335))),IF(I335="","",IF(Compare!$C$5="Minimum",I335,IF(Compare!$C$5="Maximum",K335,J335))))</f>
        <v>14.415147</v>
      </c>
    </row>
    <row r="336" customFormat="false" ht="13.5" hidden="false" customHeight="false" outlineLevel="0" collapsed="false">
      <c r="B336" s="36" t="s">
        <v>85</v>
      </c>
      <c r="C336" s="98" t="s">
        <v>18</v>
      </c>
      <c r="D336" s="98" t="s">
        <v>244</v>
      </c>
      <c r="E336" s="98" t="s">
        <v>491</v>
      </c>
      <c r="F336" s="99" t="n">
        <f aca="false">IF(COUNTIFS(Offers!$B$7:$B$3000,$B336,Offers!$C$7:$C$3000,$C336,Offers!$AH$7:$AH$3000,"yes")=0,"",SUMIFS(Offers!$H$7:$H$3000,Offers!$B$7:$B$3000,$B336,Offers!$C$7:$C$3000,$C336,Offers!$AF$7:$AF$3000,1))</f>
        <v>8.93</v>
      </c>
      <c r="G336" s="93" t="n">
        <f aca="false">IF(COUNTIFS(Offers!$B$7:$B$3000,$B336,Offers!$C$7:$C$3000,$C336,Offers!$AH$7:$AH$3000,"yes")=0,"",(SUMIFS(Offers!$H$7:$H$3000,Offers!$B$7:$B$3000,$B336,Offers!$C$7:$C$3000,$C336,Offers!$AF$7:$AF$3000,ROUNDUP(COUNTIFS(Offers!$B$7:$B$3000,$B336,Offers!$C$7:$C$3000,$C336,Offers!$AH$7:$AH$3000,"yes")/2,0))+SUMIFS(Offers!$H$7:$H$3000,Offers!$B$7:$B$3000,$B336,Offers!$C$7:$C$3000,$C336,Offers!$AF$7:$AF$3000,INT(COUNTIFS(Offers!$B$7:$B$3000,$B336,Offers!$C$7:$C$3000,$C336,Offers!$AH$7:$AH$3000,"yes")/2)+1))/2)</f>
        <v>13.5</v>
      </c>
      <c r="H336" s="99" t="n">
        <f aca="false">IF(COUNTIFS(Offers!$B$7:$B$3000,$B336,Offers!$C$7:$C$3000,$C336,Offers!$AH$7:$AH$3000,"yes")=0,"",SUMIFS(Offers!$H$7:$H$3000,Offers!$B$7:$B$3000,$B336,Offers!$C$7:$C$3000,$C336,Offers!$AF$7:$AF$3000,COUNTIFS(Offers!$B$7:$B$3000,$B336,Offers!$C$7:$C$3000,$C336,Offers!$AH$7:$AH$3000,"yes")))</f>
        <v>18.09</v>
      </c>
      <c r="I336" s="100" t="n">
        <f aca="false">IF(COUNTIFS(Offers!$B$7:$B$3000,$B336,Offers!$C$7:$C$3000,$C336,Offers!$AI$7:$AI$3000,"yes")=0,"",SUMIFS(Offers!$I$7:$I$3000,Offers!$B$7:$B$3000,$B336,Offers!$C$7:$C$3000,$C336,Offers!$AG$7:$AG$3000,1))</f>
        <v>8.93</v>
      </c>
      <c r="J336" s="95" t="n">
        <f aca="false">IF(COUNTIFS(Offers!$B$7:$B$3000,$B336,Offers!$C$7:$C$3000,$C336,Offers!$AI$7:$AI$3000,"yes")=0,"",(SUMIFS(Offers!$I$7:$I$3000,Offers!$B$7:$B$3000,$B336,Offers!$C$7:$C$3000,$C336,Offers!$AG$7:$AG$3000,ROUNDUP(COUNTIFS(Offers!$B$7:$B$3000,$B336,Offers!$C$7:$C$3000,$C336,Offers!$AI$7:$AI$3000,"yes")/2,0))+SUMIFS(Offers!$I$7:$I$3000,Offers!$B$7:$B$3000,$B336,Offers!$C$7:$C$3000,$C336,Offers!$AG$7:$AG$3000,INT(COUNTIFS(Offers!$B$7:$B$3000,$B336,Offers!$C$7:$C$3000,$C336,Offers!$AI$7:$AI$3000,"yes")/2)+1))/2)</f>
        <v>13.5</v>
      </c>
      <c r="K336" s="100" t="n">
        <f aca="false">IF(COUNTIFS(Offers!$B$7:$B$3000,$B336,Offers!$C$7:$C$3000,$C336,Offers!$AI$7:$AI$3000,"yes")=0,"",SUMIFS(Offers!$I$7:$I$3000,Offers!$B$7:$B$3000,$B336,Offers!$C$7:$C$3000,$C336,Offers!$AG$7:$AG$3000,COUNTIFS(Offers!$B$7:$B$3000,$B336,Offers!$C$7:$C$3000,$C336,Offers!$AI$7:$AI$3000,"yes")))</f>
        <v>18.09</v>
      </c>
      <c r="L336" s="96"/>
      <c r="M336" s="96"/>
      <c r="N336" s="96"/>
      <c r="O336" s="101" t="n">
        <f aca="false">IF(Compare!$E$5="Local prices",IF(F336="","",IF(Compare!$C$5="Minimum",F336,IF(Compare!$C$5="Maximum",H336,G336))),IF(I336="","",IF(Compare!$C$5="Minimum",I336,IF(Compare!$C$5="Maximum",K336,J336))))</f>
        <v>13.5</v>
      </c>
    </row>
    <row r="337" customFormat="false" ht="13.5" hidden="false" customHeight="false" outlineLevel="0" collapsed="false">
      <c r="B337" s="36" t="s">
        <v>86</v>
      </c>
      <c r="C337" s="98" t="s">
        <v>13</v>
      </c>
      <c r="D337" s="98" t="s">
        <v>490</v>
      </c>
      <c r="E337" s="98" t="s">
        <v>491</v>
      </c>
      <c r="F337" s="99" t="str">
        <f aca="false">IF(COUNTIFS(Offers!$B$7:$B$3000,$B337,Offers!$C$7:$C$3000,$C337,Offers!$AH$7:$AH$3000,"yes")=0,"",SUMIFS(Offers!$H$7:$H$3000,Offers!$B$7:$B$3000,$B337,Offers!$C$7:$C$3000,$C337,Offers!$AF$7:$AF$3000,1))</f>
        <v/>
      </c>
      <c r="G337" s="93" t="str">
        <f aca="false">IF(COUNTIFS(Offers!$B$7:$B$3000,$B337,Offers!$C$7:$C$3000,$C337,Offers!$AH$7:$AH$3000,"yes")=0,"",(SUMIFS(Offers!$H$7:$H$3000,Offers!$B$7:$B$3000,$B337,Offers!$C$7:$C$3000,$C337,Offers!$AF$7:$AF$3000,ROUNDUP(COUNTIFS(Offers!$B$7:$B$3000,$B337,Offers!$C$7:$C$3000,$C337,Offers!$AH$7:$AH$3000,"yes")/2,0))+SUMIFS(Offers!$H$7:$H$3000,Offers!$B$7:$B$3000,$B337,Offers!$C$7:$C$3000,$C337,Offers!$AF$7:$AF$3000,INT(COUNTIFS(Offers!$B$7:$B$3000,$B337,Offers!$C$7:$C$3000,$C337,Offers!$AH$7:$AH$3000,"yes")/2)+1))/2)</f>
        <v/>
      </c>
      <c r="H337" s="99" t="str">
        <f aca="false">IF(COUNTIFS(Offers!$B$7:$B$3000,$B337,Offers!$C$7:$C$3000,$C337,Offers!$AH$7:$AH$3000,"yes")=0,"",SUMIFS(Offers!$H$7:$H$3000,Offers!$B$7:$B$3000,$B337,Offers!$C$7:$C$3000,$C337,Offers!$AF$7:$AF$3000,COUNTIFS(Offers!$B$7:$B$3000,$B337,Offers!$C$7:$C$3000,$C337,Offers!$AH$7:$AH$3000,"yes")))</f>
        <v/>
      </c>
      <c r="I337" s="100" t="str">
        <f aca="false">IF(COUNTIFS(Offers!$B$7:$B$3000,$B337,Offers!$C$7:$C$3000,$C337,Offers!$AI$7:$AI$3000,"yes")=0,"",SUMIFS(Offers!$I$7:$I$3000,Offers!$B$7:$B$3000,$B337,Offers!$C$7:$C$3000,$C337,Offers!$AG$7:$AG$3000,1))</f>
        <v/>
      </c>
      <c r="J337" s="95" t="str">
        <f aca="false">IF(COUNTIFS(Offers!$B$7:$B$3000,$B337,Offers!$C$7:$C$3000,$C337,Offers!$AI$7:$AI$3000,"yes")=0,"",(SUMIFS(Offers!$I$7:$I$3000,Offers!$B$7:$B$3000,$B337,Offers!$C$7:$C$3000,$C337,Offers!$AG$7:$AG$3000,ROUNDUP(COUNTIFS(Offers!$B$7:$B$3000,$B337,Offers!$C$7:$C$3000,$C337,Offers!$AI$7:$AI$3000,"yes")/2,0))+SUMIFS(Offers!$I$7:$I$3000,Offers!$B$7:$B$3000,$B337,Offers!$C$7:$C$3000,$C337,Offers!$AG$7:$AG$3000,INT(COUNTIFS(Offers!$B$7:$B$3000,$B337,Offers!$C$7:$C$3000,$C337,Offers!$AI$7:$AI$3000,"yes")/2)+1))/2)</f>
        <v/>
      </c>
      <c r="K337" s="100" t="str">
        <f aca="false">IF(COUNTIFS(Offers!$B$7:$B$3000,$B337,Offers!$C$7:$C$3000,$C337,Offers!$AI$7:$AI$3000,"yes")=0,"",SUMIFS(Offers!$I$7:$I$3000,Offers!$B$7:$B$3000,$B337,Offers!$C$7:$C$3000,$C337,Offers!$AG$7:$AG$3000,COUNTIFS(Offers!$B$7:$B$3000,$B337,Offers!$C$7:$C$3000,$C337,Offers!$AI$7:$AI$3000,"yes")))</f>
        <v/>
      </c>
      <c r="L337" s="96"/>
      <c r="M337" s="96"/>
      <c r="N337" s="96"/>
      <c r="O337" s="110" t="str">
        <f aca="false">IF(Compare!$E$5="Local prices",IF(F337="","",IF(Compare!$C$5="Minimum",F337,IF(Compare!$C$5="Maximum",H337,G337))),IF(I337="","",IF(Compare!$C$5="Minimum",I337,IF(Compare!$C$5="Maximum",K337,J337))))</f>
        <v/>
      </c>
    </row>
    <row r="338" customFormat="false" ht="13.5" hidden="false" customHeight="false" outlineLevel="0" collapsed="false">
      <c r="B338" s="36" t="s">
        <v>86</v>
      </c>
      <c r="C338" s="98" t="s">
        <v>14</v>
      </c>
      <c r="D338" s="98" t="s">
        <v>374</v>
      </c>
      <c r="E338" s="98" t="s">
        <v>491</v>
      </c>
      <c r="F338" s="99" t="n">
        <f aca="false">IF(COUNTIFS(Offers!$B$7:$B$3000,$B338,Offers!$C$7:$C$3000,$C338,Offers!$AH$7:$AH$3000,"yes")=0,"",SUMIFS(Offers!$H$7:$H$3000,Offers!$B$7:$B$3000,$B338,Offers!$C$7:$C$3000,$C338,Offers!$AF$7:$AF$3000,1))</f>
        <v>16.38</v>
      </c>
      <c r="G338" s="93" t="n">
        <f aca="false">IF(COUNTIFS(Offers!$B$7:$B$3000,$B338,Offers!$C$7:$C$3000,$C338,Offers!$AH$7:$AH$3000,"yes")=0,"",(SUMIFS(Offers!$H$7:$H$3000,Offers!$B$7:$B$3000,$B338,Offers!$C$7:$C$3000,$C338,Offers!$AF$7:$AF$3000,ROUNDUP(COUNTIFS(Offers!$B$7:$B$3000,$B338,Offers!$C$7:$C$3000,$C338,Offers!$AH$7:$AH$3000,"yes")/2,0))+SUMIFS(Offers!$H$7:$H$3000,Offers!$B$7:$B$3000,$B338,Offers!$C$7:$C$3000,$C338,Offers!$AF$7:$AF$3000,INT(COUNTIFS(Offers!$B$7:$B$3000,$B338,Offers!$C$7:$C$3000,$C338,Offers!$AH$7:$AH$3000,"yes")/2)+1))/2)</f>
        <v>64.05</v>
      </c>
      <c r="H338" s="99" t="n">
        <f aca="false">IF(COUNTIFS(Offers!$B$7:$B$3000,$B338,Offers!$C$7:$C$3000,$C338,Offers!$AH$7:$AH$3000,"yes")=0,"",SUMIFS(Offers!$H$7:$H$3000,Offers!$B$7:$B$3000,$B338,Offers!$C$7:$C$3000,$C338,Offers!$AF$7:$AF$3000,COUNTIFS(Offers!$B$7:$B$3000,$B338,Offers!$C$7:$C$3000,$C338,Offers!$AH$7:$AH$3000,"yes")))</f>
        <v>125.96</v>
      </c>
      <c r="I338" s="100" t="n">
        <f aca="false">IF(COUNTIFS(Offers!$B$7:$B$3000,$B338,Offers!$C$7:$C$3000,$C338,Offers!$AI$7:$AI$3000,"yes")=0,"",SUMIFS(Offers!$I$7:$I$3000,Offers!$B$7:$B$3000,$B338,Offers!$C$7:$C$3000,$C338,Offers!$AG$7:$AG$3000,1))</f>
        <v>11.128077</v>
      </c>
      <c r="J338" s="95" t="n">
        <f aca="false">IF(COUNTIFS(Offers!$B$7:$B$3000,$B338,Offers!$C$7:$C$3000,$C338,Offers!$AI$7:$AI$3000,"yes")=0,"",(SUMIFS(Offers!$I$7:$I$3000,Offers!$B$7:$B$3000,$B338,Offers!$C$7:$C$3000,$C338,Offers!$AG$7:$AG$3000,ROUNDUP(COUNTIFS(Offers!$B$7:$B$3000,$B338,Offers!$C$7:$C$3000,$C338,Offers!$AI$7:$AI$3000,"yes")/2,0))+SUMIFS(Offers!$I$7:$I$3000,Offers!$B$7:$B$3000,$B338,Offers!$C$7:$C$3000,$C338,Offers!$AG$7:$AG$3000,INT(COUNTIFS(Offers!$B$7:$B$3000,$B338,Offers!$C$7:$C$3000,$C338,Offers!$AI$7:$AI$3000,"yes")/2)+1))/2)</f>
        <v>14.821014</v>
      </c>
      <c r="K338" s="100" t="n">
        <f aca="false">IF(COUNTIFS(Offers!$B$7:$B$3000,$B338,Offers!$C$7:$C$3000,$C338,Offers!$AI$7:$AI$3000,"yes")=0,"",SUMIFS(Offers!$I$7:$I$3000,Offers!$B$7:$B$3000,$B338,Offers!$C$7:$C$3000,$C338,Offers!$AG$7:$AG$3000,COUNTIFS(Offers!$B$7:$B$3000,$B338,Offers!$C$7:$C$3000,$C338,Offers!$AI$7:$AI$3000,"yes")))</f>
        <v>23.866721</v>
      </c>
      <c r="L338" s="96"/>
      <c r="M338" s="96"/>
      <c r="N338" s="96"/>
      <c r="O338" s="101" t="n">
        <f aca="false">IF(Compare!$E$5="Local prices",IF(F338="","",IF(Compare!$C$5="Minimum",F338,IF(Compare!$C$5="Maximum",H338,G338))),IF(I338="","",IF(Compare!$C$5="Minimum",I338,IF(Compare!$C$5="Maximum",K338,J338))))</f>
        <v>14.821014</v>
      </c>
    </row>
    <row r="339" customFormat="false" ht="13.5" hidden="false" customHeight="false" outlineLevel="0" collapsed="false">
      <c r="B339" s="36" t="s">
        <v>86</v>
      </c>
      <c r="C339" s="98" t="s">
        <v>15</v>
      </c>
      <c r="D339" s="98" t="s">
        <v>244</v>
      </c>
      <c r="E339" s="98" t="s">
        <v>491</v>
      </c>
      <c r="F339" s="99" t="n">
        <f aca="false">IF(COUNTIFS(Offers!$B$7:$B$3000,$B339,Offers!$C$7:$C$3000,$C339,Offers!$AH$7:$AH$3000,"yes")=0,"",SUMIFS(Offers!$H$7:$H$3000,Offers!$B$7:$B$3000,$B339,Offers!$C$7:$C$3000,$C339,Offers!$AF$7:$AF$3000,1))</f>
        <v>11</v>
      </c>
      <c r="G339" s="93" t="n">
        <f aca="false">IF(COUNTIFS(Offers!$B$7:$B$3000,$B339,Offers!$C$7:$C$3000,$C339,Offers!$AH$7:$AH$3000,"yes")=0,"",(SUMIFS(Offers!$H$7:$H$3000,Offers!$B$7:$B$3000,$B339,Offers!$C$7:$C$3000,$C339,Offers!$AF$7:$AF$3000,ROUNDUP(COUNTIFS(Offers!$B$7:$B$3000,$B339,Offers!$C$7:$C$3000,$C339,Offers!$AH$7:$AH$3000,"yes")/2,0))+SUMIFS(Offers!$H$7:$H$3000,Offers!$B$7:$B$3000,$B339,Offers!$C$7:$C$3000,$C339,Offers!$AF$7:$AF$3000,INT(COUNTIFS(Offers!$B$7:$B$3000,$B339,Offers!$C$7:$C$3000,$C339,Offers!$AH$7:$AH$3000,"yes")/2)+1))/2)</f>
        <v>17.5</v>
      </c>
      <c r="H339" s="99" t="n">
        <f aca="false">IF(COUNTIFS(Offers!$B$7:$B$3000,$B339,Offers!$C$7:$C$3000,$C339,Offers!$AH$7:$AH$3000,"yes")=0,"",SUMIFS(Offers!$H$7:$H$3000,Offers!$B$7:$B$3000,$B339,Offers!$C$7:$C$3000,$C339,Offers!$AF$7:$AF$3000,COUNTIFS(Offers!$B$7:$B$3000,$B339,Offers!$C$7:$C$3000,$C339,Offers!$AH$7:$AH$3000,"yes")))</f>
        <v>27.38</v>
      </c>
      <c r="I339" s="100" t="n">
        <f aca="false">IF(COUNTIFS(Offers!$B$7:$B$3000,$B339,Offers!$C$7:$C$3000,$C339,Offers!$AI$7:$AI$3000,"yes")=0,"",SUMIFS(Offers!$I$7:$I$3000,Offers!$B$7:$B$3000,$B339,Offers!$C$7:$C$3000,$C339,Offers!$AG$7:$AG$3000,1))</f>
        <v>11</v>
      </c>
      <c r="J339" s="95" t="n">
        <f aca="false">IF(COUNTIFS(Offers!$B$7:$B$3000,$B339,Offers!$C$7:$C$3000,$C339,Offers!$AI$7:$AI$3000,"yes")=0,"",(SUMIFS(Offers!$I$7:$I$3000,Offers!$B$7:$B$3000,$B339,Offers!$C$7:$C$3000,$C339,Offers!$AG$7:$AG$3000,ROUNDUP(COUNTIFS(Offers!$B$7:$B$3000,$B339,Offers!$C$7:$C$3000,$C339,Offers!$AI$7:$AI$3000,"yes")/2,0))+SUMIFS(Offers!$I$7:$I$3000,Offers!$B$7:$B$3000,$B339,Offers!$C$7:$C$3000,$C339,Offers!$AG$7:$AG$3000,INT(COUNTIFS(Offers!$B$7:$B$3000,$B339,Offers!$C$7:$C$3000,$C339,Offers!$AI$7:$AI$3000,"yes")/2)+1))/2)</f>
        <v>17.5</v>
      </c>
      <c r="K339" s="100" t="n">
        <f aca="false">IF(COUNTIFS(Offers!$B$7:$B$3000,$B339,Offers!$C$7:$C$3000,$C339,Offers!$AI$7:$AI$3000,"yes")=0,"",SUMIFS(Offers!$I$7:$I$3000,Offers!$B$7:$B$3000,$B339,Offers!$C$7:$C$3000,$C339,Offers!$AG$7:$AG$3000,COUNTIFS(Offers!$B$7:$B$3000,$B339,Offers!$C$7:$C$3000,$C339,Offers!$AI$7:$AI$3000,"yes")))</f>
        <v>27.38</v>
      </c>
      <c r="L339" s="96"/>
      <c r="M339" s="96"/>
      <c r="N339" s="96"/>
      <c r="O339" s="101" t="n">
        <f aca="false">IF(Compare!$E$5="Local prices",IF(F339="","",IF(Compare!$C$5="Minimum",F339,IF(Compare!$C$5="Maximum",H339,G339))),IF(I339="","",IF(Compare!$C$5="Minimum",I339,IF(Compare!$C$5="Maximum",K339,J339))))</f>
        <v>17.5</v>
      </c>
    </row>
    <row r="340" customFormat="false" ht="13.5" hidden="false" customHeight="false" outlineLevel="0" collapsed="false">
      <c r="B340" s="36" t="s">
        <v>86</v>
      </c>
      <c r="C340" s="98" t="s">
        <v>16</v>
      </c>
      <c r="D340" s="98" t="s">
        <v>244</v>
      </c>
      <c r="E340" s="98" t="s">
        <v>491</v>
      </c>
      <c r="F340" s="99" t="n">
        <f aca="false">IF(COUNTIFS(Offers!$B$7:$B$3000,$B340,Offers!$C$7:$C$3000,$C340,Offers!$AH$7:$AH$3000,"yes")=0,"",SUMIFS(Offers!$H$7:$H$3000,Offers!$B$7:$B$3000,$B340,Offers!$C$7:$C$3000,$C340,Offers!$AF$7:$AF$3000,1))</f>
        <v>11.58</v>
      </c>
      <c r="G340" s="93" t="n">
        <f aca="false">IF(COUNTIFS(Offers!$B$7:$B$3000,$B340,Offers!$C$7:$C$3000,$C340,Offers!$AH$7:$AH$3000,"yes")=0,"",(SUMIFS(Offers!$H$7:$H$3000,Offers!$B$7:$B$3000,$B340,Offers!$C$7:$C$3000,$C340,Offers!$AF$7:$AF$3000,ROUNDUP(COUNTIFS(Offers!$B$7:$B$3000,$B340,Offers!$C$7:$C$3000,$C340,Offers!$AH$7:$AH$3000,"yes")/2,0))+SUMIFS(Offers!$H$7:$H$3000,Offers!$B$7:$B$3000,$B340,Offers!$C$7:$C$3000,$C340,Offers!$AF$7:$AF$3000,INT(COUNTIFS(Offers!$B$7:$B$3000,$B340,Offers!$C$7:$C$3000,$C340,Offers!$AH$7:$AH$3000,"yes")/2)+1))/2)</f>
        <v>15.79</v>
      </c>
      <c r="H340" s="99" t="n">
        <f aca="false">IF(COUNTIFS(Offers!$B$7:$B$3000,$B340,Offers!$C$7:$C$3000,$C340,Offers!$AH$7:$AH$3000,"yes")=0,"",SUMIFS(Offers!$H$7:$H$3000,Offers!$B$7:$B$3000,$B340,Offers!$C$7:$C$3000,$C340,Offers!$AF$7:$AF$3000,COUNTIFS(Offers!$B$7:$B$3000,$B340,Offers!$C$7:$C$3000,$C340,Offers!$AH$7:$AH$3000,"yes")))</f>
        <v>36</v>
      </c>
      <c r="I340" s="100" t="n">
        <f aca="false">IF(COUNTIFS(Offers!$B$7:$B$3000,$B340,Offers!$C$7:$C$3000,$C340,Offers!$AI$7:$AI$3000,"yes")=0,"",SUMIFS(Offers!$I$7:$I$3000,Offers!$B$7:$B$3000,$B340,Offers!$C$7:$C$3000,$C340,Offers!$AG$7:$AG$3000,1))</f>
        <v>11.58</v>
      </c>
      <c r="J340" s="95" t="n">
        <f aca="false">IF(COUNTIFS(Offers!$B$7:$B$3000,$B340,Offers!$C$7:$C$3000,$C340,Offers!$AI$7:$AI$3000,"yes")=0,"",(SUMIFS(Offers!$I$7:$I$3000,Offers!$B$7:$B$3000,$B340,Offers!$C$7:$C$3000,$C340,Offers!$AG$7:$AG$3000,ROUNDUP(COUNTIFS(Offers!$B$7:$B$3000,$B340,Offers!$C$7:$C$3000,$C340,Offers!$AI$7:$AI$3000,"yes")/2,0))+SUMIFS(Offers!$I$7:$I$3000,Offers!$B$7:$B$3000,$B340,Offers!$C$7:$C$3000,$C340,Offers!$AG$7:$AG$3000,INT(COUNTIFS(Offers!$B$7:$B$3000,$B340,Offers!$C$7:$C$3000,$C340,Offers!$AI$7:$AI$3000,"yes")/2)+1))/2)</f>
        <v>15.79</v>
      </c>
      <c r="K340" s="100" t="n">
        <f aca="false">IF(COUNTIFS(Offers!$B$7:$B$3000,$B340,Offers!$C$7:$C$3000,$C340,Offers!$AI$7:$AI$3000,"yes")=0,"",SUMIFS(Offers!$I$7:$I$3000,Offers!$B$7:$B$3000,$B340,Offers!$C$7:$C$3000,$C340,Offers!$AG$7:$AG$3000,COUNTIFS(Offers!$B$7:$B$3000,$B340,Offers!$C$7:$C$3000,$C340,Offers!$AI$7:$AI$3000,"yes")))</f>
        <v>36</v>
      </c>
      <c r="L340" s="96"/>
      <c r="M340" s="96"/>
      <c r="N340" s="96"/>
      <c r="O340" s="101" t="n">
        <f aca="false">IF(Compare!$E$5="Local prices",IF(F340="","",IF(Compare!$C$5="Minimum",F340,IF(Compare!$C$5="Maximum",H340,G340))),IF(I340="","",IF(Compare!$C$5="Minimum",I340,IF(Compare!$C$5="Maximum",K340,J340))))</f>
        <v>15.79</v>
      </c>
    </row>
    <row r="341" customFormat="false" ht="13.5" hidden="false" customHeight="false" outlineLevel="0" collapsed="false">
      <c r="B341" s="36" t="s">
        <v>86</v>
      </c>
      <c r="C341" s="98" t="s">
        <v>17</v>
      </c>
      <c r="D341" s="98" t="s">
        <v>333</v>
      </c>
      <c r="E341" s="98" t="s">
        <v>491</v>
      </c>
      <c r="F341" s="99" t="n">
        <f aca="false">IF(COUNTIFS(Offers!$B$7:$B$3000,$B341,Offers!$C$7:$C$3000,$C341,Offers!$AH$7:$AH$3000,"yes")=0,"",SUMIFS(Offers!$H$7:$H$3000,Offers!$B$7:$B$3000,$B341,Offers!$C$7:$C$3000,$C341,Offers!$AF$7:$AF$3000,1))</f>
        <v>308.26</v>
      </c>
      <c r="G341" s="93" t="n">
        <f aca="false">IF(COUNTIFS(Offers!$B$7:$B$3000,$B341,Offers!$C$7:$C$3000,$C341,Offers!$AH$7:$AH$3000,"yes")=0,"",(SUMIFS(Offers!$H$7:$H$3000,Offers!$B$7:$B$3000,$B341,Offers!$C$7:$C$3000,$C341,Offers!$AF$7:$AF$3000,ROUNDUP(COUNTIFS(Offers!$B$7:$B$3000,$B341,Offers!$C$7:$C$3000,$C341,Offers!$AH$7:$AH$3000,"yes")/2,0))+SUMIFS(Offers!$H$7:$H$3000,Offers!$B$7:$B$3000,$B341,Offers!$C$7:$C$3000,$C341,Offers!$AF$7:$AF$3000,INT(COUNTIFS(Offers!$B$7:$B$3000,$B341,Offers!$C$7:$C$3000,$C341,Offers!$AH$7:$AH$3000,"yes")/2)+1))/2)</f>
        <v>439.67</v>
      </c>
      <c r="H341" s="99" t="n">
        <f aca="false">IF(COUNTIFS(Offers!$B$7:$B$3000,$B341,Offers!$C$7:$C$3000,$C341,Offers!$AH$7:$AH$3000,"yes")=0,"",SUMIFS(Offers!$H$7:$H$3000,Offers!$B$7:$B$3000,$B341,Offers!$C$7:$C$3000,$C341,Offers!$AF$7:$AF$3000,COUNTIFS(Offers!$B$7:$B$3000,$B341,Offers!$C$7:$C$3000,$C341,Offers!$AH$7:$AH$3000,"yes")))</f>
        <v>711</v>
      </c>
      <c r="I341" s="100" t="n">
        <f aca="false">IF(COUNTIFS(Offers!$B$7:$B$3000,$B341,Offers!$C$7:$C$3000,$C341,Offers!$AI$7:$AI$3000,"yes")=0,"",SUMIFS(Offers!$I$7:$I$3000,Offers!$B$7:$B$3000,$B341,Offers!$C$7:$C$3000,$C341,Offers!$AG$7:$AG$3000,1))</f>
        <v>12.621391</v>
      </c>
      <c r="J341" s="95" t="n">
        <f aca="false">IF(COUNTIFS(Offers!$B$7:$B$3000,$B341,Offers!$C$7:$C$3000,$C341,Offers!$AI$7:$AI$3000,"yes")=0,"",(SUMIFS(Offers!$I$7:$I$3000,Offers!$B$7:$B$3000,$B341,Offers!$C$7:$C$3000,$C341,Offers!$AG$7:$AG$3000,ROUNDUP(COUNTIFS(Offers!$B$7:$B$3000,$B341,Offers!$C$7:$C$3000,$C341,Offers!$AI$7:$AI$3000,"yes")/2,0))+SUMIFS(Offers!$I$7:$I$3000,Offers!$B$7:$B$3000,$B341,Offers!$C$7:$C$3000,$C341,Offers!$AG$7:$AG$3000,INT(COUNTIFS(Offers!$B$7:$B$3000,$B341,Offers!$C$7:$C$3000,$C341,Offers!$AI$7:$AI$3000,"yes")/2)+1))/2)</f>
        <v>18.001839</v>
      </c>
      <c r="K341" s="100" t="n">
        <f aca="false">IF(COUNTIFS(Offers!$B$7:$B$3000,$B341,Offers!$C$7:$C$3000,$C341,Offers!$AI$7:$AI$3000,"yes")=0,"",SUMIFS(Offers!$I$7:$I$3000,Offers!$B$7:$B$3000,$B341,Offers!$C$7:$C$3000,$C341,Offers!$AG$7:$AG$3000,COUNTIFS(Offers!$B$7:$B$3000,$B341,Offers!$C$7:$C$3000,$C341,Offers!$AI$7:$AI$3000,"yes")))</f>
        <v>29.111169</v>
      </c>
      <c r="L341" s="96"/>
      <c r="M341" s="96"/>
      <c r="N341" s="96"/>
      <c r="O341" s="101" t="n">
        <f aca="false">IF(Compare!$E$5="Local prices",IF(F341="","",IF(Compare!$C$5="Minimum",F341,IF(Compare!$C$5="Maximum",H341,G341))),IF(I341="","",IF(Compare!$C$5="Minimum",I341,IF(Compare!$C$5="Maximum",K341,J341))))</f>
        <v>18.001839</v>
      </c>
    </row>
    <row r="342" customFormat="false" ht="13.5" hidden="false" customHeight="false" outlineLevel="0" collapsed="false">
      <c r="B342" s="36" t="s">
        <v>86</v>
      </c>
      <c r="C342" s="98" t="s">
        <v>18</v>
      </c>
      <c r="D342" s="98" t="s">
        <v>244</v>
      </c>
      <c r="E342" s="98" t="s">
        <v>491</v>
      </c>
      <c r="F342" s="99" t="n">
        <f aca="false">IF(COUNTIFS(Offers!$B$7:$B$3000,$B342,Offers!$C$7:$C$3000,$C342,Offers!$AH$7:$AH$3000,"yes")=0,"",SUMIFS(Offers!$H$7:$H$3000,Offers!$B$7:$B$3000,$B342,Offers!$C$7:$C$3000,$C342,Offers!$AF$7:$AF$3000,1))</f>
        <v>10.61</v>
      </c>
      <c r="G342" s="93" t="n">
        <f aca="false">IF(COUNTIFS(Offers!$B$7:$B$3000,$B342,Offers!$C$7:$C$3000,$C342,Offers!$AH$7:$AH$3000,"yes")=0,"",(SUMIFS(Offers!$H$7:$H$3000,Offers!$B$7:$B$3000,$B342,Offers!$C$7:$C$3000,$C342,Offers!$AF$7:$AF$3000,ROUNDUP(COUNTIFS(Offers!$B$7:$B$3000,$B342,Offers!$C$7:$C$3000,$C342,Offers!$AH$7:$AH$3000,"yes")/2,0))+SUMIFS(Offers!$H$7:$H$3000,Offers!$B$7:$B$3000,$B342,Offers!$C$7:$C$3000,$C342,Offers!$AF$7:$AF$3000,INT(COUNTIFS(Offers!$B$7:$B$3000,$B342,Offers!$C$7:$C$3000,$C342,Offers!$AH$7:$AH$3000,"yes")/2)+1))/2)</f>
        <v>15.63</v>
      </c>
      <c r="H342" s="99" t="n">
        <f aca="false">IF(COUNTIFS(Offers!$B$7:$B$3000,$B342,Offers!$C$7:$C$3000,$C342,Offers!$AH$7:$AH$3000,"yes")=0,"",SUMIFS(Offers!$H$7:$H$3000,Offers!$B$7:$B$3000,$B342,Offers!$C$7:$C$3000,$C342,Offers!$AF$7:$AF$3000,COUNTIFS(Offers!$B$7:$B$3000,$B342,Offers!$C$7:$C$3000,$C342,Offers!$AH$7:$AH$3000,"yes")))</f>
        <v>22.68</v>
      </c>
      <c r="I342" s="100" t="n">
        <f aca="false">IF(COUNTIFS(Offers!$B$7:$B$3000,$B342,Offers!$C$7:$C$3000,$C342,Offers!$AI$7:$AI$3000,"yes")=0,"",SUMIFS(Offers!$I$7:$I$3000,Offers!$B$7:$B$3000,$B342,Offers!$C$7:$C$3000,$C342,Offers!$AG$7:$AG$3000,1))</f>
        <v>10.61</v>
      </c>
      <c r="J342" s="95" t="n">
        <f aca="false">IF(COUNTIFS(Offers!$B$7:$B$3000,$B342,Offers!$C$7:$C$3000,$C342,Offers!$AI$7:$AI$3000,"yes")=0,"",(SUMIFS(Offers!$I$7:$I$3000,Offers!$B$7:$B$3000,$B342,Offers!$C$7:$C$3000,$C342,Offers!$AG$7:$AG$3000,ROUNDUP(COUNTIFS(Offers!$B$7:$B$3000,$B342,Offers!$C$7:$C$3000,$C342,Offers!$AI$7:$AI$3000,"yes")/2,0))+SUMIFS(Offers!$I$7:$I$3000,Offers!$B$7:$B$3000,$B342,Offers!$C$7:$C$3000,$C342,Offers!$AG$7:$AG$3000,INT(COUNTIFS(Offers!$B$7:$B$3000,$B342,Offers!$C$7:$C$3000,$C342,Offers!$AI$7:$AI$3000,"yes")/2)+1))/2)</f>
        <v>15.63</v>
      </c>
      <c r="K342" s="100" t="n">
        <f aca="false">IF(COUNTIFS(Offers!$B$7:$B$3000,$B342,Offers!$C$7:$C$3000,$C342,Offers!$AI$7:$AI$3000,"yes")=0,"",SUMIFS(Offers!$I$7:$I$3000,Offers!$B$7:$B$3000,$B342,Offers!$C$7:$C$3000,$C342,Offers!$AG$7:$AG$3000,COUNTIFS(Offers!$B$7:$B$3000,$B342,Offers!$C$7:$C$3000,$C342,Offers!$AI$7:$AI$3000,"yes")))</f>
        <v>22.68</v>
      </c>
      <c r="L342" s="96"/>
      <c r="M342" s="96"/>
      <c r="N342" s="96"/>
      <c r="O342" s="101" t="n">
        <f aca="false">IF(Compare!$E$5="Local prices",IF(F342="","",IF(Compare!$C$5="Minimum",F342,IF(Compare!$C$5="Maximum",H342,G342))),IF(I342="","",IF(Compare!$C$5="Minimum",I342,IF(Compare!$C$5="Maximum",K342,J342))))</f>
        <v>15.63</v>
      </c>
    </row>
    <row r="343" customFormat="false" ht="13.5" hidden="false" customHeight="false" outlineLevel="0" collapsed="false">
      <c r="B343" s="36" t="s">
        <v>87</v>
      </c>
      <c r="C343" s="98" t="s">
        <v>13</v>
      </c>
      <c r="D343" s="98" t="s">
        <v>490</v>
      </c>
      <c r="E343" s="98" t="s">
        <v>491</v>
      </c>
      <c r="F343" s="99" t="str">
        <f aca="false">IF(COUNTIFS(Offers!$B$7:$B$3000,$B343,Offers!$C$7:$C$3000,$C343,Offers!$AH$7:$AH$3000,"yes")=0,"",SUMIFS(Offers!$H$7:$H$3000,Offers!$B$7:$B$3000,$B343,Offers!$C$7:$C$3000,$C343,Offers!$AF$7:$AF$3000,1))</f>
        <v/>
      </c>
      <c r="G343" s="93" t="str">
        <f aca="false">IF(COUNTIFS(Offers!$B$7:$B$3000,$B343,Offers!$C$7:$C$3000,$C343,Offers!$AH$7:$AH$3000,"yes")=0,"",(SUMIFS(Offers!$H$7:$H$3000,Offers!$B$7:$B$3000,$B343,Offers!$C$7:$C$3000,$C343,Offers!$AF$7:$AF$3000,ROUNDUP(COUNTIFS(Offers!$B$7:$B$3000,$B343,Offers!$C$7:$C$3000,$C343,Offers!$AH$7:$AH$3000,"yes")/2,0))+SUMIFS(Offers!$H$7:$H$3000,Offers!$B$7:$B$3000,$B343,Offers!$C$7:$C$3000,$C343,Offers!$AF$7:$AF$3000,INT(COUNTIFS(Offers!$B$7:$B$3000,$B343,Offers!$C$7:$C$3000,$C343,Offers!$AH$7:$AH$3000,"yes")/2)+1))/2)</f>
        <v/>
      </c>
      <c r="H343" s="99" t="str">
        <f aca="false">IF(COUNTIFS(Offers!$B$7:$B$3000,$B343,Offers!$C$7:$C$3000,$C343,Offers!$AH$7:$AH$3000,"yes")=0,"",SUMIFS(Offers!$H$7:$H$3000,Offers!$B$7:$B$3000,$B343,Offers!$C$7:$C$3000,$C343,Offers!$AF$7:$AF$3000,COUNTIFS(Offers!$B$7:$B$3000,$B343,Offers!$C$7:$C$3000,$C343,Offers!$AH$7:$AH$3000,"yes")))</f>
        <v/>
      </c>
      <c r="I343" s="100" t="str">
        <f aca="false">IF(COUNTIFS(Offers!$B$7:$B$3000,$B343,Offers!$C$7:$C$3000,$C343,Offers!$AI$7:$AI$3000,"yes")=0,"",SUMIFS(Offers!$I$7:$I$3000,Offers!$B$7:$B$3000,$B343,Offers!$C$7:$C$3000,$C343,Offers!$AG$7:$AG$3000,1))</f>
        <v/>
      </c>
      <c r="J343" s="95" t="str">
        <f aca="false">IF(COUNTIFS(Offers!$B$7:$B$3000,$B343,Offers!$C$7:$C$3000,$C343,Offers!$AI$7:$AI$3000,"yes")=0,"",(SUMIFS(Offers!$I$7:$I$3000,Offers!$B$7:$B$3000,$B343,Offers!$C$7:$C$3000,$C343,Offers!$AG$7:$AG$3000,ROUNDUP(COUNTIFS(Offers!$B$7:$B$3000,$B343,Offers!$C$7:$C$3000,$C343,Offers!$AI$7:$AI$3000,"yes")/2,0))+SUMIFS(Offers!$I$7:$I$3000,Offers!$B$7:$B$3000,$B343,Offers!$C$7:$C$3000,$C343,Offers!$AG$7:$AG$3000,INT(COUNTIFS(Offers!$B$7:$B$3000,$B343,Offers!$C$7:$C$3000,$C343,Offers!$AI$7:$AI$3000,"yes")/2)+1))/2)</f>
        <v/>
      </c>
      <c r="K343" s="100" t="str">
        <f aca="false">IF(COUNTIFS(Offers!$B$7:$B$3000,$B343,Offers!$C$7:$C$3000,$C343,Offers!$AI$7:$AI$3000,"yes")=0,"",SUMIFS(Offers!$I$7:$I$3000,Offers!$B$7:$B$3000,$B343,Offers!$C$7:$C$3000,$C343,Offers!$AG$7:$AG$3000,COUNTIFS(Offers!$B$7:$B$3000,$B343,Offers!$C$7:$C$3000,$C343,Offers!$AI$7:$AI$3000,"yes")))</f>
        <v/>
      </c>
      <c r="L343" s="96"/>
      <c r="M343" s="96"/>
      <c r="N343" s="96"/>
      <c r="O343" s="110" t="str">
        <f aca="false">IF(Compare!$E$5="Local prices",IF(F343="","",IF(Compare!$C$5="Minimum",F343,IF(Compare!$C$5="Maximum",H343,G343))),IF(I343="","",IF(Compare!$C$5="Minimum",I343,IF(Compare!$C$5="Maximum",K343,J343))))</f>
        <v/>
      </c>
    </row>
    <row r="344" customFormat="false" ht="13.5" hidden="false" customHeight="false" outlineLevel="0" collapsed="false">
      <c r="B344" s="36" t="s">
        <v>87</v>
      </c>
      <c r="C344" s="98" t="s">
        <v>14</v>
      </c>
      <c r="D344" s="98" t="s">
        <v>374</v>
      </c>
      <c r="E344" s="98" t="s">
        <v>491</v>
      </c>
      <c r="F344" s="99" t="n">
        <f aca="false">IF(COUNTIFS(Offers!$B$7:$B$3000,$B344,Offers!$C$7:$C$3000,$C344,Offers!$AH$7:$AH$3000,"yes")=0,"",SUMIFS(Offers!$H$7:$H$3000,Offers!$B$7:$B$3000,$B344,Offers!$C$7:$C$3000,$C344,Offers!$AF$7:$AF$3000,1))</f>
        <v>2</v>
      </c>
      <c r="G344" s="93" t="n">
        <f aca="false">IF(COUNTIFS(Offers!$B$7:$B$3000,$B344,Offers!$C$7:$C$3000,$C344,Offers!$AH$7:$AH$3000,"yes")=0,"",(SUMIFS(Offers!$H$7:$H$3000,Offers!$B$7:$B$3000,$B344,Offers!$C$7:$C$3000,$C344,Offers!$AF$7:$AF$3000,ROUNDUP(COUNTIFS(Offers!$B$7:$B$3000,$B344,Offers!$C$7:$C$3000,$C344,Offers!$AH$7:$AH$3000,"yes")/2,0))+SUMIFS(Offers!$H$7:$H$3000,Offers!$B$7:$B$3000,$B344,Offers!$C$7:$C$3000,$C344,Offers!$AF$7:$AF$3000,INT(COUNTIFS(Offers!$B$7:$B$3000,$B344,Offers!$C$7:$C$3000,$C344,Offers!$AH$7:$AH$3000,"yes")/2)+1))/2)</f>
        <v>24.56</v>
      </c>
      <c r="H344" s="99" t="n">
        <f aca="false">IF(COUNTIFS(Offers!$B$7:$B$3000,$B344,Offers!$C$7:$C$3000,$C344,Offers!$AH$7:$AH$3000,"yes")=0,"",SUMIFS(Offers!$H$7:$H$3000,Offers!$B$7:$B$3000,$B344,Offers!$C$7:$C$3000,$C344,Offers!$AF$7:$AF$3000,COUNTIFS(Offers!$B$7:$B$3000,$B344,Offers!$C$7:$C$3000,$C344,Offers!$AH$7:$AH$3000,"yes")))</f>
        <v>33.82</v>
      </c>
      <c r="I344" s="100" t="n">
        <f aca="false">IF(COUNTIFS(Offers!$B$7:$B$3000,$B344,Offers!$C$7:$C$3000,$C344,Offers!$AI$7:$AI$3000,"yes")=0,"",SUMIFS(Offers!$I$7:$I$3000,Offers!$B$7:$B$3000,$B344,Offers!$C$7:$C$3000,$C344,Offers!$AG$7:$AG$3000,1))</f>
        <v>2</v>
      </c>
      <c r="J344" s="95" t="n">
        <f aca="false">IF(COUNTIFS(Offers!$B$7:$B$3000,$B344,Offers!$C$7:$C$3000,$C344,Offers!$AI$7:$AI$3000,"yes")=0,"",(SUMIFS(Offers!$I$7:$I$3000,Offers!$B$7:$B$3000,$B344,Offers!$C$7:$C$3000,$C344,Offers!$AG$7:$AG$3000,ROUNDUP(COUNTIFS(Offers!$B$7:$B$3000,$B344,Offers!$C$7:$C$3000,$C344,Offers!$AI$7:$AI$3000,"yes")/2,0))+SUMIFS(Offers!$I$7:$I$3000,Offers!$B$7:$B$3000,$B344,Offers!$C$7:$C$3000,$C344,Offers!$AG$7:$AG$3000,INT(COUNTIFS(Offers!$B$7:$B$3000,$B344,Offers!$C$7:$C$3000,$C344,Offers!$AI$7:$AI$3000,"yes")/2)+1))/2)</f>
        <v>4.653594</v>
      </c>
      <c r="K344" s="100" t="n">
        <f aca="false">IF(COUNTIFS(Offers!$B$7:$B$3000,$B344,Offers!$C$7:$C$3000,$C344,Offers!$AI$7:$AI$3000,"yes")=0,"",SUMIFS(Offers!$I$7:$I$3000,Offers!$B$7:$B$3000,$B344,Offers!$C$7:$C$3000,$C344,Offers!$AG$7:$AG$3000,COUNTIFS(Offers!$B$7:$B$3000,$B344,Offers!$C$7:$C$3000,$C344,Offers!$AI$7:$AI$3000,"yes")))</f>
        <v>6.408165</v>
      </c>
      <c r="L344" s="96"/>
      <c r="M344" s="96"/>
      <c r="N344" s="96"/>
      <c r="O344" s="101" t="n">
        <f aca="false">IF(Compare!$E$5="Local prices",IF(F344="","",IF(Compare!$C$5="Minimum",F344,IF(Compare!$C$5="Maximum",H344,G344))),IF(I344="","",IF(Compare!$C$5="Minimum",I344,IF(Compare!$C$5="Maximum",K344,J344))))</f>
        <v>4.653594</v>
      </c>
    </row>
    <row r="345" customFormat="false" ht="13.5" hidden="false" customHeight="false" outlineLevel="0" collapsed="false">
      <c r="B345" s="36" t="s">
        <v>87</v>
      </c>
      <c r="C345" s="98" t="s">
        <v>15</v>
      </c>
      <c r="D345" s="98" t="s">
        <v>244</v>
      </c>
      <c r="E345" s="98" t="s">
        <v>491</v>
      </c>
      <c r="F345" s="99" t="n">
        <f aca="false">IF(COUNTIFS(Offers!$B$7:$B$3000,$B345,Offers!$C$7:$C$3000,$C345,Offers!$AH$7:$AH$3000,"yes")=0,"",SUMIFS(Offers!$H$7:$H$3000,Offers!$B$7:$B$3000,$B345,Offers!$C$7:$C$3000,$C345,Offers!$AF$7:$AF$3000,1))</f>
        <v>3.7</v>
      </c>
      <c r="G345" s="93" t="n">
        <f aca="false">IF(COUNTIFS(Offers!$B$7:$B$3000,$B345,Offers!$C$7:$C$3000,$C345,Offers!$AH$7:$AH$3000,"yes")=0,"",(SUMIFS(Offers!$H$7:$H$3000,Offers!$B$7:$B$3000,$B345,Offers!$C$7:$C$3000,$C345,Offers!$AF$7:$AF$3000,ROUNDUP(COUNTIFS(Offers!$B$7:$B$3000,$B345,Offers!$C$7:$C$3000,$C345,Offers!$AH$7:$AH$3000,"yes")/2,0))+SUMIFS(Offers!$H$7:$H$3000,Offers!$B$7:$B$3000,$B345,Offers!$C$7:$C$3000,$C345,Offers!$AF$7:$AF$3000,INT(COUNTIFS(Offers!$B$7:$B$3000,$B345,Offers!$C$7:$C$3000,$C345,Offers!$AH$7:$AH$3000,"yes")/2)+1))/2)</f>
        <v>4.29</v>
      </c>
      <c r="H345" s="99" t="n">
        <f aca="false">IF(COUNTIFS(Offers!$B$7:$B$3000,$B345,Offers!$C$7:$C$3000,$C345,Offers!$AH$7:$AH$3000,"yes")=0,"",SUMIFS(Offers!$H$7:$H$3000,Offers!$B$7:$B$3000,$B345,Offers!$C$7:$C$3000,$C345,Offers!$AF$7:$AF$3000,COUNTIFS(Offers!$B$7:$B$3000,$B345,Offers!$C$7:$C$3000,$C345,Offers!$AH$7:$AH$3000,"yes")))</f>
        <v>7.99</v>
      </c>
      <c r="I345" s="100" t="n">
        <f aca="false">IF(COUNTIFS(Offers!$B$7:$B$3000,$B345,Offers!$C$7:$C$3000,$C345,Offers!$AI$7:$AI$3000,"yes")=0,"",SUMIFS(Offers!$I$7:$I$3000,Offers!$B$7:$B$3000,$B345,Offers!$C$7:$C$3000,$C345,Offers!$AG$7:$AG$3000,1))</f>
        <v>3.7</v>
      </c>
      <c r="J345" s="95" t="n">
        <f aca="false">IF(COUNTIFS(Offers!$B$7:$B$3000,$B345,Offers!$C$7:$C$3000,$C345,Offers!$AI$7:$AI$3000,"yes")=0,"",(SUMIFS(Offers!$I$7:$I$3000,Offers!$B$7:$B$3000,$B345,Offers!$C$7:$C$3000,$C345,Offers!$AG$7:$AG$3000,ROUNDUP(COUNTIFS(Offers!$B$7:$B$3000,$B345,Offers!$C$7:$C$3000,$C345,Offers!$AI$7:$AI$3000,"yes")/2,0))+SUMIFS(Offers!$I$7:$I$3000,Offers!$B$7:$B$3000,$B345,Offers!$C$7:$C$3000,$C345,Offers!$AG$7:$AG$3000,INT(COUNTIFS(Offers!$B$7:$B$3000,$B345,Offers!$C$7:$C$3000,$C345,Offers!$AI$7:$AI$3000,"yes")/2)+1))/2)</f>
        <v>4.29</v>
      </c>
      <c r="K345" s="100" t="n">
        <f aca="false">IF(COUNTIFS(Offers!$B$7:$B$3000,$B345,Offers!$C$7:$C$3000,$C345,Offers!$AI$7:$AI$3000,"yes")=0,"",SUMIFS(Offers!$I$7:$I$3000,Offers!$B$7:$B$3000,$B345,Offers!$C$7:$C$3000,$C345,Offers!$AG$7:$AG$3000,COUNTIFS(Offers!$B$7:$B$3000,$B345,Offers!$C$7:$C$3000,$C345,Offers!$AI$7:$AI$3000,"yes")))</f>
        <v>7.99</v>
      </c>
      <c r="L345" s="96"/>
      <c r="M345" s="96"/>
      <c r="N345" s="96"/>
      <c r="O345" s="101" t="n">
        <f aca="false">IF(Compare!$E$5="Local prices",IF(F345="","",IF(Compare!$C$5="Minimum",F345,IF(Compare!$C$5="Maximum",H345,G345))),IF(I345="","",IF(Compare!$C$5="Minimum",I345,IF(Compare!$C$5="Maximum",K345,J345))))</f>
        <v>4.29</v>
      </c>
    </row>
    <row r="346" customFormat="false" ht="13.5" hidden="false" customHeight="false" outlineLevel="0" collapsed="false">
      <c r="B346" s="36" t="s">
        <v>87</v>
      </c>
      <c r="C346" s="98" t="s">
        <v>16</v>
      </c>
      <c r="D346" s="98" t="s">
        <v>244</v>
      </c>
      <c r="E346" s="98" t="s">
        <v>491</v>
      </c>
      <c r="F346" s="99" t="n">
        <f aca="false">IF(COUNTIFS(Offers!$B$7:$B$3000,$B346,Offers!$C$7:$C$3000,$C346,Offers!$AH$7:$AH$3000,"yes")=0,"",SUMIFS(Offers!$H$7:$H$3000,Offers!$B$7:$B$3000,$B346,Offers!$C$7:$C$3000,$C346,Offers!$AF$7:$AF$3000,1))</f>
        <v>2.9</v>
      </c>
      <c r="G346" s="93" t="n">
        <f aca="false">IF(COUNTIFS(Offers!$B$7:$B$3000,$B346,Offers!$C$7:$C$3000,$C346,Offers!$AH$7:$AH$3000,"yes")=0,"",(SUMIFS(Offers!$H$7:$H$3000,Offers!$B$7:$B$3000,$B346,Offers!$C$7:$C$3000,$C346,Offers!$AF$7:$AF$3000,ROUNDUP(COUNTIFS(Offers!$B$7:$B$3000,$B346,Offers!$C$7:$C$3000,$C346,Offers!$AH$7:$AH$3000,"yes")/2,0))+SUMIFS(Offers!$H$7:$H$3000,Offers!$B$7:$B$3000,$B346,Offers!$C$7:$C$3000,$C346,Offers!$AF$7:$AF$3000,INT(COUNTIFS(Offers!$B$7:$B$3000,$B346,Offers!$C$7:$C$3000,$C346,Offers!$AH$7:$AH$3000,"yes")/2)+1))/2)</f>
        <v>4.33</v>
      </c>
      <c r="H346" s="99" t="n">
        <f aca="false">IF(COUNTIFS(Offers!$B$7:$B$3000,$B346,Offers!$C$7:$C$3000,$C346,Offers!$AH$7:$AH$3000,"yes")=0,"",SUMIFS(Offers!$H$7:$H$3000,Offers!$B$7:$B$3000,$B346,Offers!$C$7:$C$3000,$C346,Offers!$AF$7:$AF$3000,COUNTIFS(Offers!$B$7:$B$3000,$B346,Offers!$C$7:$C$3000,$C346,Offers!$AH$7:$AH$3000,"yes")))</f>
        <v>14</v>
      </c>
      <c r="I346" s="100" t="n">
        <f aca="false">IF(COUNTIFS(Offers!$B$7:$B$3000,$B346,Offers!$C$7:$C$3000,$C346,Offers!$AI$7:$AI$3000,"yes")=0,"",SUMIFS(Offers!$I$7:$I$3000,Offers!$B$7:$B$3000,$B346,Offers!$C$7:$C$3000,$C346,Offers!$AG$7:$AG$3000,1))</f>
        <v>2.9</v>
      </c>
      <c r="J346" s="95" t="n">
        <f aca="false">IF(COUNTIFS(Offers!$B$7:$B$3000,$B346,Offers!$C$7:$C$3000,$C346,Offers!$AI$7:$AI$3000,"yes")=0,"",(SUMIFS(Offers!$I$7:$I$3000,Offers!$B$7:$B$3000,$B346,Offers!$C$7:$C$3000,$C346,Offers!$AG$7:$AG$3000,ROUNDUP(COUNTIFS(Offers!$B$7:$B$3000,$B346,Offers!$C$7:$C$3000,$C346,Offers!$AI$7:$AI$3000,"yes")/2,0))+SUMIFS(Offers!$I$7:$I$3000,Offers!$B$7:$B$3000,$B346,Offers!$C$7:$C$3000,$C346,Offers!$AG$7:$AG$3000,INT(COUNTIFS(Offers!$B$7:$B$3000,$B346,Offers!$C$7:$C$3000,$C346,Offers!$AI$7:$AI$3000,"yes")/2)+1))/2)</f>
        <v>4.33</v>
      </c>
      <c r="K346" s="100" t="n">
        <f aca="false">IF(COUNTIFS(Offers!$B$7:$B$3000,$B346,Offers!$C$7:$C$3000,$C346,Offers!$AI$7:$AI$3000,"yes")=0,"",SUMIFS(Offers!$I$7:$I$3000,Offers!$B$7:$B$3000,$B346,Offers!$C$7:$C$3000,$C346,Offers!$AG$7:$AG$3000,COUNTIFS(Offers!$B$7:$B$3000,$B346,Offers!$C$7:$C$3000,$C346,Offers!$AI$7:$AI$3000,"yes")))</f>
        <v>14</v>
      </c>
      <c r="L346" s="96"/>
      <c r="M346" s="96"/>
      <c r="N346" s="96"/>
      <c r="O346" s="101" t="n">
        <f aca="false">IF(Compare!$E$5="Local prices",IF(F346="","",IF(Compare!$C$5="Minimum",F346,IF(Compare!$C$5="Maximum",H346,G346))),IF(I346="","",IF(Compare!$C$5="Minimum",I346,IF(Compare!$C$5="Maximum",K346,J346))))</f>
        <v>4.33</v>
      </c>
    </row>
    <row r="347" customFormat="false" ht="13.5" hidden="false" customHeight="false" outlineLevel="0" collapsed="false">
      <c r="B347" s="36" t="s">
        <v>87</v>
      </c>
      <c r="C347" s="98" t="s">
        <v>17</v>
      </c>
      <c r="D347" s="98" t="s">
        <v>333</v>
      </c>
      <c r="E347" s="98" t="s">
        <v>491</v>
      </c>
      <c r="F347" s="99" t="n">
        <f aca="false">IF(COUNTIFS(Offers!$B$7:$B$3000,$B347,Offers!$C$7:$C$3000,$C347,Offers!$AH$7:$AH$3000,"yes")=0,"",SUMIFS(Offers!$H$7:$H$3000,Offers!$B$7:$B$3000,$B347,Offers!$C$7:$C$3000,$C347,Offers!$AF$7:$AF$3000,1))</f>
        <v>79.34</v>
      </c>
      <c r="G347" s="93" t="n">
        <f aca="false">IF(COUNTIFS(Offers!$B$7:$B$3000,$B347,Offers!$C$7:$C$3000,$C347,Offers!$AH$7:$AH$3000,"yes")=0,"",(SUMIFS(Offers!$H$7:$H$3000,Offers!$B$7:$B$3000,$B347,Offers!$C$7:$C$3000,$C347,Offers!$AF$7:$AF$3000,ROUNDUP(COUNTIFS(Offers!$B$7:$B$3000,$B347,Offers!$C$7:$C$3000,$C347,Offers!$AH$7:$AH$3000,"yes")/2,0))+SUMIFS(Offers!$H$7:$H$3000,Offers!$B$7:$B$3000,$B347,Offers!$C$7:$C$3000,$C347,Offers!$AF$7:$AF$3000,INT(COUNTIFS(Offers!$B$7:$B$3000,$B347,Offers!$C$7:$C$3000,$C347,Offers!$AH$7:$AH$3000,"yes")/2)+1))/2)</f>
        <v>118.18</v>
      </c>
      <c r="H347" s="99" t="n">
        <f aca="false">IF(COUNTIFS(Offers!$B$7:$B$3000,$B347,Offers!$C$7:$C$3000,$C347,Offers!$AH$7:$AH$3000,"yes")=0,"",SUMIFS(Offers!$H$7:$H$3000,Offers!$B$7:$B$3000,$B347,Offers!$C$7:$C$3000,$C347,Offers!$AF$7:$AF$3000,COUNTIFS(Offers!$B$7:$B$3000,$B347,Offers!$C$7:$C$3000,$C347,Offers!$AH$7:$AH$3000,"yes")))</f>
        <v>280.17</v>
      </c>
      <c r="I347" s="100" t="n">
        <f aca="false">IF(COUNTIFS(Offers!$B$7:$B$3000,$B347,Offers!$C$7:$C$3000,$C347,Offers!$AI$7:$AI$3000,"yes")=0,"",SUMIFS(Offers!$I$7:$I$3000,Offers!$B$7:$B$3000,$B347,Offers!$C$7:$C$3000,$C347,Offers!$AG$7:$AG$3000,1))</f>
        <v>3.248495</v>
      </c>
      <c r="J347" s="95" t="n">
        <f aca="false">IF(COUNTIFS(Offers!$B$7:$B$3000,$B347,Offers!$C$7:$C$3000,$C347,Offers!$AI$7:$AI$3000,"yes")=0,"",(SUMIFS(Offers!$I$7:$I$3000,Offers!$B$7:$B$3000,$B347,Offers!$C$7:$C$3000,$C347,Offers!$AG$7:$AG$3000,ROUNDUP(COUNTIFS(Offers!$B$7:$B$3000,$B347,Offers!$C$7:$C$3000,$C347,Offers!$AI$7:$AI$3000,"yes")/2,0))+SUMIFS(Offers!$I$7:$I$3000,Offers!$B$7:$B$3000,$B347,Offers!$C$7:$C$3000,$C347,Offers!$AG$7:$AG$3000,INT(COUNTIFS(Offers!$B$7:$B$3000,$B347,Offers!$C$7:$C$3000,$C347,Offers!$AI$7:$AI$3000,"yes")/2)+1))/2)</f>
        <v>4.838759</v>
      </c>
      <c r="K347" s="100" t="n">
        <f aca="false">IF(COUNTIFS(Offers!$B$7:$B$3000,$B347,Offers!$C$7:$C$3000,$C347,Offers!$AI$7:$AI$3000,"yes")=0,"",SUMIFS(Offers!$I$7:$I$3000,Offers!$B$7:$B$3000,$B347,Offers!$C$7:$C$3000,$C347,Offers!$AG$7:$AG$3000,COUNTIFS(Offers!$B$7:$B$3000,$B347,Offers!$C$7:$C$3000,$C347,Offers!$AI$7:$AI$3000,"yes")))</f>
        <v>11.471274</v>
      </c>
      <c r="L347" s="96"/>
      <c r="M347" s="96"/>
      <c r="N347" s="96"/>
      <c r="O347" s="101" t="n">
        <f aca="false">IF(Compare!$E$5="Local prices",IF(F347="","",IF(Compare!$C$5="Minimum",F347,IF(Compare!$C$5="Maximum",H347,G347))),IF(I347="","",IF(Compare!$C$5="Minimum",I347,IF(Compare!$C$5="Maximum",K347,J347))))</f>
        <v>4.838759</v>
      </c>
    </row>
    <row r="348" customFormat="false" ht="13.5" hidden="false" customHeight="false" outlineLevel="0" collapsed="false">
      <c r="B348" s="36" t="s">
        <v>87</v>
      </c>
      <c r="C348" s="98" t="s">
        <v>18</v>
      </c>
      <c r="D348" s="98" t="s">
        <v>244</v>
      </c>
      <c r="E348" s="98" t="s">
        <v>491</v>
      </c>
      <c r="F348" s="99" t="n">
        <f aca="false">IF(COUNTIFS(Offers!$B$7:$B$3000,$B348,Offers!$C$7:$C$3000,$C348,Offers!$AH$7:$AH$3000,"yes")=0,"",SUMIFS(Offers!$H$7:$H$3000,Offers!$B$7:$B$3000,$B348,Offers!$C$7:$C$3000,$C348,Offers!$AF$7:$AF$3000,1))</f>
        <v>2.45</v>
      </c>
      <c r="G348" s="93" t="n">
        <f aca="false">IF(COUNTIFS(Offers!$B$7:$B$3000,$B348,Offers!$C$7:$C$3000,$C348,Offers!$AH$7:$AH$3000,"yes")=0,"",(SUMIFS(Offers!$H$7:$H$3000,Offers!$B$7:$B$3000,$B348,Offers!$C$7:$C$3000,$C348,Offers!$AF$7:$AF$3000,ROUNDUP(COUNTIFS(Offers!$B$7:$B$3000,$B348,Offers!$C$7:$C$3000,$C348,Offers!$AH$7:$AH$3000,"yes")/2,0))+SUMIFS(Offers!$H$7:$H$3000,Offers!$B$7:$B$3000,$B348,Offers!$C$7:$C$3000,$C348,Offers!$AF$7:$AF$3000,INT(COUNTIFS(Offers!$B$7:$B$3000,$B348,Offers!$C$7:$C$3000,$C348,Offers!$AH$7:$AH$3000,"yes")/2)+1))/2)</f>
        <v>3.96</v>
      </c>
      <c r="H348" s="99" t="n">
        <f aca="false">IF(COUNTIFS(Offers!$B$7:$B$3000,$B348,Offers!$C$7:$C$3000,$C348,Offers!$AH$7:$AH$3000,"yes")=0,"",SUMIFS(Offers!$H$7:$H$3000,Offers!$B$7:$B$3000,$B348,Offers!$C$7:$C$3000,$C348,Offers!$AF$7:$AF$3000,COUNTIFS(Offers!$B$7:$B$3000,$B348,Offers!$C$7:$C$3000,$C348,Offers!$AH$7:$AH$3000,"yes")))</f>
        <v>8.71</v>
      </c>
      <c r="I348" s="100" t="n">
        <f aca="false">IF(COUNTIFS(Offers!$B$7:$B$3000,$B348,Offers!$C$7:$C$3000,$C348,Offers!$AI$7:$AI$3000,"yes")=0,"",SUMIFS(Offers!$I$7:$I$3000,Offers!$B$7:$B$3000,$B348,Offers!$C$7:$C$3000,$C348,Offers!$AG$7:$AG$3000,1))</f>
        <v>2.45</v>
      </c>
      <c r="J348" s="95" t="n">
        <f aca="false">IF(COUNTIFS(Offers!$B$7:$B$3000,$B348,Offers!$C$7:$C$3000,$C348,Offers!$AI$7:$AI$3000,"yes")=0,"",(SUMIFS(Offers!$I$7:$I$3000,Offers!$B$7:$B$3000,$B348,Offers!$C$7:$C$3000,$C348,Offers!$AG$7:$AG$3000,ROUNDUP(COUNTIFS(Offers!$B$7:$B$3000,$B348,Offers!$C$7:$C$3000,$C348,Offers!$AI$7:$AI$3000,"yes")/2,0))+SUMIFS(Offers!$I$7:$I$3000,Offers!$B$7:$B$3000,$B348,Offers!$C$7:$C$3000,$C348,Offers!$AG$7:$AG$3000,INT(COUNTIFS(Offers!$B$7:$B$3000,$B348,Offers!$C$7:$C$3000,$C348,Offers!$AI$7:$AI$3000,"yes")/2)+1))/2)</f>
        <v>3.96</v>
      </c>
      <c r="K348" s="100" t="n">
        <f aca="false">IF(COUNTIFS(Offers!$B$7:$B$3000,$B348,Offers!$C$7:$C$3000,$C348,Offers!$AI$7:$AI$3000,"yes")=0,"",SUMIFS(Offers!$I$7:$I$3000,Offers!$B$7:$B$3000,$B348,Offers!$C$7:$C$3000,$C348,Offers!$AG$7:$AG$3000,COUNTIFS(Offers!$B$7:$B$3000,$B348,Offers!$C$7:$C$3000,$C348,Offers!$AI$7:$AI$3000,"yes")))</f>
        <v>8.71</v>
      </c>
      <c r="L348" s="96"/>
      <c r="M348" s="96"/>
      <c r="N348" s="96"/>
      <c r="O348" s="101" t="n">
        <f aca="false">IF(Compare!$E$5="Local prices",IF(F348="","",IF(Compare!$C$5="Minimum",F348,IF(Compare!$C$5="Maximum",H348,G348))),IF(I348="","",IF(Compare!$C$5="Minimum",I348,IF(Compare!$C$5="Maximum",K348,J348))))</f>
        <v>3.96</v>
      </c>
    </row>
    <row r="349" customFormat="false" ht="13.5" hidden="false" customHeight="false" outlineLevel="0" collapsed="false">
      <c r="B349" s="36" t="s">
        <v>88</v>
      </c>
      <c r="C349" s="98" t="s">
        <v>13</v>
      </c>
      <c r="D349" s="98" t="s">
        <v>490</v>
      </c>
      <c r="E349" s="98" t="s">
        <v>491</v>
      </c>
      <c r="F349" s="99" t="str">
        <f aca="false">IF(COUNTIFS(Offers!$B$7:$B$3000,$B349,Offers!$C$7:$C$3000,$C349,Offers!$AH$7:$AH$3000,"yes")=0,"",SUMIFS(Offers!$H$7:$H$3000,Offers!$B$7:$B$3000,$B349,Offers!$C$7:$C$3000,$C349,Offers!$AF$7:$AF$3000,1))</f>
        <v/>
      </c>
      <c r="G349" s="93" t="str">
        <f aca="false">IF(COUNTIFS(Offers!$B$7:$B$3000,$B349,Offers!$C$7:$C$3000,$C349,Offers!$AH$7:$AH$3000,"yes")=0,"",(SUMIFS(Offers!$H$7:$H$3000,Offers!$B$7:$B$3000,$B349,Offers!$C$7:$C$3000,$C349,Offers!$AF$7:$AF$3000,ROUNDUP(COUNTIFS(Offers!$B$7:$B$3000,$B349,Offers!$C$7:$C$3000,$C349,Offers!$AH$7:$AH$3000,"yes")/2,0))+SUMIFS(Offers!$H$7:$H$3000,Offers!$B$7:$B$3000,$B349,Offers!$C$7:$C$3000,$C349,Offers!$AF$7:$AF$3000,INT(COUNTIFS(Offers!$B$7:$B$3000,$B349,Offers!$C$7:$C$3000,$C349,Offers!$AH$7:$AH$3000,"yes")/2)+1))/2)</f>
        <v/>
      </c>
      <c r="H349" s="99" t="str">
        <f aca="false">IF(COUNTIFS(Offers!$B$7:$B$3000,$B349,Offers!$C$7:$C$3000,$C349,Offers!$AH$7:$AH$3000,"yes")=0,"",SUMIFS(Offers!$H$7:$H$3000,Offers!$B$7:$B$3000,$B349,Offers!$C$7:$C$3000,$C349,Offers!$AF$7:$AF$3000,COUNTIFS(Offers!$B$7:$B$3000,$B349,Offers!$C$7:$C$3000,$C349,Offers!$AH$7:$AH$3000,"yes")))</f>
        <v/>
      </c>
      <c r="I349" s="100" t="str">
        <f aca="false">IF(COUNTIFS(Offers!$B$7:$B$3000,$B349,Offers!$C$7:$C$3000,$C349,Offers!$AI$7:$AI$3000,"yes")=0,"",SUMIFS(Offers!$I$7:$I$3000,Offers!$B$7:$B$3000,$B349,Offers!$C$7:$C$3000,$C349,Offers!$AG$7:$AG$3000,1))</f>
        <v/>
      </c>
      <c r="J349" s="95" t="str">
        <f aca="false">IF(COUNTIFS(Offers!$B$7:$B$3000,$B349,Offers!$C$7:$C$3000,$C349,Offers!$AI$7:$AI$3000,"yes")=0,"",(SUMIFS(Offers!$I$7:$I$3000,Offers!$B$7:$B$3000,$B349,Offers!$C$7:$C$3000,$C349,Offers!$AG$7:$AG$3000,ROUNDUP(COUNTIFS(Offers!$B$7:$B$3000,$B349,Offers!$C$7:$C$3000,$C349,Offers!$AI$7:$AI$3000,"yes")/2,0))+SUMIFS(Offers!$I$7:$I$3000,Offers!$B$7:$B$3000,$B349,Offers!$C$7:$C$3000,$C349,Offers!$AG$7:$AG$3000,INT(COUNTIFS(Offers!$B$7:$B$3000,$B349,Offers!$C$7:$C$3000,$C349,Offers!$AI$7:$AI$3000,"yes")/2)+1))/2)</f>
        <v/>
      </c>
      <c r="K349" s="100" t="str">
        <f aca="false">IF(COUNTIFS(Offers!$B$7:$B$3000,$B349,Offers!$C$7:$C$3000,$C349,Offers!$AI$7:$AI$3000,"yes")=0,"",SUMIFS(Offers!$I$7:$I$3000,Offers!$B$7:$B$3000,$B349,Offers!$C$7:$C$3000,$C349,Offers!$AG$7:$AG$3000,COUNTIFS(Offers!$B$7:$B$3000,$B349,Offers!$C$7:$C$3000,$C349,Offers!$AI$7:$AI$3000,"yes")))</f>
        <v/>
      </c>
      <c r="L349" s="96"/>
      <c r="M349" s="96"/>
      <c r="N349" s="96"/>
      <c r="O349" s="110" t="str">
        <f aca="false">IF(Compare!$E$5="Local prices",IF(F349="","",IF(Compare!$C$5="Minimum",F349,IF(Compare!$C$5="Maximum",H349,G349))),IF(I349="","",IF(Compare!$C$5="Minimum",I349,IF(Compare!$C$5="Maximum",K349,J349))))</f>
        <v/>
      </c>
    </row>
    <row r="350" customFormat="false" ht="13.5" hidden="false" customHeight="false" outlineLevel="0" collapsed="false">
      <c r="B350" s="36" t="s">
        <v>88</v>
      </c>
      <c r="C350" s="98" t="s">
        <v>14</v>
      </c>
      <c r="D350" s="98" t="s">
        <v>374</v>
      </c>
      <c r="E350" s="98" t="s">
        <v>491</v>
      </c>
      <c r="F350" s="99" t="n">
        <f aca="false">IF(COUNTIFS(Offers!$B$7:$B$3000,$B350,Offers!$C$7:$C$3000,$C350,Offers!$AH$7:$AH$3000,"yes")=0,"",SUMIFS(Offers!$H$7:$H$3000,Offers!$B$7:$B$3000,$B350,Offers!$C$7:$C$3000,$C350,Offers!$AF$7:$AF$3000,1))</f>
        <v>20.68</v>
      </c>
      <c r="G350" s="93" t="n">
        <f aca="false">IF(COUNTIFS(Offers!$B$7:$B$3000,$B350,Offers!$C$7:$C$3000,$C350,Offers!$AH$7:$AH$3000,"yes")=0,"",(SUMIFS(Offers!$H$7:$H$3000,Offers!$B$7:$B$3000,$B350,Offers!$C$7:$C$3000,$C350,Offers!$AF$7:$AF$3000,ROUNDUP(COUNTIFS(Offers!$B$7:$B$3000,$B350,Offers!$C$7:$C$3000,$C350,Offers!$AH$7:$AH$3000,"yes")/2,0))+SUMIFS(Offers!$H$7:$H$3000,Offers!$B$7:$B$3000,$B350,Offers!$C$7:$C$3000,$C350,Offers!$AF$7:$AF$3000,INT(COUNTIFS(Offers!$B$7:$B$3000,$B350,Offers!$C$7:$C$3000,$C350,Offers!$AH$7:$AH$3000,"yes")/2)+1))/2)</f>
        <v>35.97</v>
      </c>
      <c r="H350" s="99" t="n">
        <f aca="false">IF(COUNTIFS(Offers!$B$7:$B$3000,$B350,Offers!$C$7:$C$3000,$C350,Offers!$AH$7:$AH$3000,"yes")=0,"",SUMIFS(Offers!$H$7:$H$3000,Offers!$B$7:$B$3000,$B350,Offers!$C$7:$C$3000,$C350,Offers!$AF$7:$AF$3000,COUNTIFS(Offers!$B$7:$B$3000,$B350,Offers!$C$7:$C$3000,$C350,Offers!$AH$7:$AH$3000,"yes")))</f>
        <v>92.22</v>
      </c>
      <c r="I350" s="100" t="n">
        <f aca="false">IF(COUNTIFS(Offers!$B$7:$B$3000,$B350,Offers!$C$7:$C$3000,$C350,Offers!$AI$7:$AI$3000,"yes")=0,"",SUMIFS(Offers!$I$7:$I$3000,Offers!$B$7:$B$3000,$B350,Offers!$C$7:$C$3000,$C350,Offers!$AG$7:$AG$3000,1))</f>
        <v>3.918417</v>
      </c>
      <c r="J350" s="95" t="n">
        <f aca="false">IF(COUNTIFS(Offers!$B$7:$B$3000,$B350,Offers!$C$7:$C$3000,$C350,Offers!$AI$7:$AI$3000,"yes")=0,"",(SUMIFS(Offers!$I$7:$I$3000,Offers!$B$7:$B$3000,$B350,Offers!$C$7:$C$3000,$C350,Offers!$AG$7:$AG$3000,ROUNDUP(COUNTIFS(Offers!$B$7:$B$3000,$B350,Offers!$C$7:$C$3000,$C350,Offers!$AI$7:$AI$3000,"yes")/2,0))+SUMIFS(Offers!$I$7:$I$3000,Offers!$B$7:$B$3000,$B350,Offers!$C$7:$C$3000,$C350,Offers!$AG$7:$AG$3000,INT(COUNTIFS(Offers!$B$7:$B$3000,$B350,Offers!$C$7:$C$3000,$C350,Offers!$AI$7:$AI$3000,"yes")/2)+1))/2)</f>
        <v>6.815544</v>
      </c>
      <c r="K350" s="100" t="n">
        <f aca="false">IF(COUNTIFS(Offers!$B$7:$B$3000,$B350,Offers!$C$7:$C$3000,$C350,Offers!$AI$7:$AI$3000,"yes")=0,"",SUMIFS(Offers!$I$7:$I$3000,Offers!$B$7:$B$3000,$B350,Offers!$C$7:$C$3000,$C350,Offers!$AG$7:$AG$3000,COUNTIFS(Offers!$B$7:$B$3000,$B350,Offers!$C$7:$C$3000,$C350,Offers!$AI$7:$AI$3000,"yes")))</f>
        <v>17.473714</v>
      </c>
      <c r="L350" s="96"/>
      <c r="M350" s="96"/>
      <c r="N350" s="96"/>
      <c r="O350" s="101" t="n">
        <f aca="false">IF(Compare!$E$5="Local prices",IF(F350="","",IF(Compare!$C$5="Minimum",F350,IF(Compare!$C$5="Maximum",H350,G350))),IF(I350="","",IF(Compare!$C$5="Minimum",I350,IF(Compare!$C$5="Maximum",K350,J350))))</f>
        <v>6.815544</v>
      </c>
    </row>
    <row r="351" customFormat="false" ht="13.5" hidden="false" customHeight="false" outlineLevel="0" collapsed="false">
      <c r="B351" s="36" t="s">
        <v>88</v>
      </c>
      <c r="C351" s="98" t="s">
        <v>15</v>
      </c>
      <c r="D351" s="98" t="s">
        <v>244</v>
      </c>
      <c r="E351" s="98" t="s">
        <v>491</v>
      </c>
      <c r="F351" s="99" t="n">
        <f aca="false">IF(COUNTIFS(Offers!$B$7:$B$3000,$B351,Offers!$C$7:$C$3000,$C351,Offers!$AH$7:$AH$3000,"yes")=0,"",SUMIFS(Offers!$H$7:$H$3000,Offers!$B$7:$B$3000,$B351,Offers!$C$7:$C$3000,$C351,Offers!$AF$7:$AF$3000,1))</f>
        <v>4.2</v>
      </c>
      <c r="G351" s="93" t="n">
        <f aca="false">IF(COUNTIFS(Offers!$B$7:$B$3000,$B351,Offers!$C$7:$C$3000,$C351,Offers!$AH$7:$AH$3000,"yes")=0,"",(SUMIFS(Offers!$H$7:$H$3000,Offers!$B$7:$B$3000,$B351,Offers!$C$7:$C$3000,$C351,Offers!$AF$7:$AF$3000,ROUNDUP(COUNTIFS(Offers!$B$7:$B$3000,$B351,Offers!$C$7:$C$3000,$C351,Offers!$AH$7:$AH$3000,"yes")/2,0))+SUMIFS(Offers!$H$7:$H$3000,Offers!$B$7:$B$3000,$B351,Offers!$C$7:$C$3000,$C351,Offers!$AF$7:$AF$3000,INT(COUNTIFS(Offers!$B$7:$B$3000,$B351,Offers!$C$7:$C$3000,$C351,Offers!$AH$7:$AH$3000,"yes")/2)+1))/2)</f>
        <v>7.08</v>
      </c>
      <c r="H351" s="99" t="n">
        <f aca="false">IF(COUNTIFS(Offers!$B$7:$B$3000,$B351,Offers!$C$7:$C$3000,$C351,Offers!$AH$7:$AH$3000,"yes")=0,"",SUMIFS(Offers!$H$7:$H$3000,Offers!$B$7:$B$3000,$B351,Offers!$C$7:$C$3000,$C351,Offers!$AF$7:$AF$3000,COUNTIFS(Offers!$B$7:$B$3000,$B351,Offers!$C$7:$C$3000,$C351,Offers!$AH$7:$AH$3000,"yes")))</f>
        <v>18.77</v>
      </c>
      <c r="I351" s="100" t="n">
        <f aca="false">IF(COUNTIFS(Offers!$B$7:$B$3000,$B351,Offers!$C$7:$C$3000,$C351,Offers!$AI$7:$AI$3000,"yes")=0,"",SUMIFS(Offers!$I$7:$I$3000,Offers!$B$7:$B$3000,$B351,Offers!$C$7:$C$3000,$C351,Offers!$AG$7:$AG$3000,1))</f>
        <v>4.2</v>
      </c>
      <c r="J351" s="95" t="n">
        <f aca="false">IF(COUNTIFS(Offers!$B$7:$B$3000,$B351,Offers!$C$7:$C$3000,$C351,Offers!$AI$7:$AI$3000,"yes")=0,"",(SUMIFS(Offers!$I$7:$I$3000,Offers!$B$7:$B$3000,$B351,Offers!$C$7:$C$3000,$C351,Offers!$AG$7:$AG$3000,ROUNDUP(COUNTIFS(Offers!$B$7:$B$3000,$B351,Offers!$C$7:$C$3000,$C351,Offers!$AI$7:$AI$3000,"yes")/2,0))+SUMIFS(Offers!$I$7:$I$3000,Offers!$B$7:$B$3000,$B351,Offers!$C$7:$C$3000,$C351,Offers!$AG$7:$AG$3000,INT(COUNTIFS(Offers!$B$7:$B$3000,$B351,Offers!$C$7:$C$3000,$C351,Offers!$AI$7:$AI$3000,"yes")/2)+1))/2)</f>
        <v>7.08</v>
      </c>
      <c r="K351" s="100" t="n">
        <f aca="false">IF(COUNTIFS(Offers!$B$7:$B$3000,$B351,Offers!$C$7:$C$3000,$C351,Offers!$AI$7:$AI$3000,"yes")=0,"",SUMIFS(Offers!$I$7:$I$3000,Offers!$B$7:$B$3000,$B351,Offers!$C$7:$C$3000,$C351,Offers!$AG$7:$AG$3000,COUNTIFS(Offers!$B$7:$B$3000,$B351,Offers!$C$7:$C$3000,$C351,Offers!$AI$7:$AI$3000,"yes")))</f>
        <v>18.77</v>
      </c>
      <c r="L351" s="96"/>
      <c r="M351" s="96"/>
      <c r="N351" s="96"/>
      <c r="O351" s="101" t="n">
        <f aca="false">IF(Compare!$E$5="Local prices",IF(F351="","",IF(Compare!$C$5="Minimum",F351,IF(Compare!$C$5="Maximum",H351,G351))),IF(I351="","",IF(Compare!$C$5="Minimum",I351,IF(Compare!$C$5="Maximum",K351,J351))))</f>
        <v>7.08</v>
      </c>
    </row>
    <row r="352" customFormat="false" ht="13.5" hidden="false" customHeight="false" outlineLevel="0" collapsed="false">
      <c r="B352" s="36" t="s">
        <v>88</v>
      </c>
      <c r="C352" s="98" t="s">
        <v>16</v>
      </c>
      <c r="D352" s="98" t="s">
        <v>244</v>
      </c>
      <c r="E352" s="98" t="s">
        <v>491</v>
      </c>
      <c r="F352" s="99" t="n">
        <f aca="false">IF(COUNTIFS(Offers!$B$7:$B$3000,$B352,Offers!$C$7:$C$3000,$C352,Offers!$AH$7:$AH$3000,"yes")=0,"",SUMIFS(Offers!$H$7:$H$3000,Offers!$B$7:$B$3000,$B352,Offers!$C$7:$C$3000,$C352,Offers!$AF$7:$AF$3000,1))</f>
        <v>3.99</v>
      </c>
      <c r="G352" s="93" t="n">
        <f aca="false">IF(COUNTIFS(Offers!$B$7:$B$3000,$B352,Offers!$C$7:$C$3000,$C352,Offers!$AH$7:$AH$3000,"yes")=0,"",(SUMIFS(Offers!$H$7:$H$3000,Offers!$B$7:$B$3000,$B352,Offers!$C$7:$C$3000,$C352,Offers!$AF$7:$AF$3000,ROUNDUP(COUNTIFS(Offers!$B$7:$B$3000,$B352,Offers!$C$7:$C$3000,$C352,Offers!$AH$7:$AH$3000,"yes")/2,0))+SUMIFS(Offers!$H$7:$H$3000,Offers!$B$7:$B$3000,$B352,Offers!$C$7:$C$3000,$C352,Offers!$AF$7:$AF$3000,INT(COUNTIFS(Offers!$B$7:$B$3000,$B352,Offers!$C$7:$C$3000,$C352,Offers!$AH$7:$AH$3000,"yes")/2)+1))/2)</f>
        <v>5.79</v>
      </c>
      <c r="H352" s="99" t="n">
        <f aca="false">IF(COUNTIFS(Offers!$B$7:$B$3000,$B352,Offers!$C$7:$C$3000,$C352,Offers!$AH$7:$AH$3000,"yes")=0,"",SUMIFS(Offers!$H$7:$H$3000,Offers!$B$7:$B$3000,$B352,Offers!$C$7:$C$3000,$C352,Offers!$AF$7:$AF$3000,COUNTIFS(Offers!$B$7:$B$3000,$B352,Offers!$C$7:$C$3000,$C352,Offers!$AH$7:$AH$3000,"yes")))</f>
        <v>20</v>
      </c>
      <c r="I352" s="100" t="n">
        <f aca="false">IF(COUNTIFS(Offers!$B$7:$B$3000,$B352,Offers!$C$7:$C$3000,$C352,Offers!$AI$7:$AI$3000,"yes")=0,"",SUMIFS(Offers!$I$7:$I$3000,Offers!$B$7:$B$3000,$B352,Offers!$C$7:$C$3000,$C352,Offers!$AG$7:$AG$3000,1))</f>
        <v>3.99</v>
      </c>
      <c r="J352" s="95" t="n">
        <f aca="false">IF(COUNTIFS(Offers!$B$7:$B$3000,$B352,Offers!$C$7:$C$3000,$C352,Offers!$AI$7:$AI$3000,"yes")=0,"",(SUMIFS(Offers!$I$7:$I$3000,Offers!$B$7:$B$3000,$B352,Offers!$C$7:$C$3000,$C352,Offers!$AG$7:$AG$3000,ROUNDUP(COUNTIFS(Offers!$B$7:$B$3000,$B352,Offers!$C$7:$C$3000,$C352,Offers!$AI$7:$AI$3000,"yes")/2,0))+SUMIFS(Offers!$I$7:$I$3000,Offers!$B$7:$B$3000,$B352,Offers!$C$7:$C$3000,$C352,Offers!$AG$7:$AG$3000,INT(COUNTIFS(Offers!$B$7:$B$3000,$B352,Offers!$C$7:$C$3000,$C352,Offers!$AI$7:$AI$3000,"yes")/2)+1))/2)</f>
        <v>5.79</v>
      </c>
      <c r="K352" s="100" t="n">
        <f aca="false">IF(COUNTIFS(Offers!$B$7:$B$3000,$B352,Offers!$C$7:$C$3000,$C352,Offers!$AI$7:$AI$3000,"yes")=0,"",SUMIFS(Offers!$I$7:$I$3000,Offers!$B$7:$B$3000,$B352,Offers!$C$7:$C$3000,$C352,Offers!$AG$7:$AG$3000,COUNTIFS(Offers!$B$7:$B$3000,$B352,Offers!$C$7:$C$3000,$C352,Offers!$AI$7:$AI$3000,"yes")))</f>
        <v>20</v>
      </c>
      <c r="L352" s="96"/>
      <c r="M352" s="96"/>
      <c r="N352" s="96"/>
      <c r="O352" s="101" t="n">
        <f aca="false">IF(Compare!$E$5="Local prices",IF(F352="","",IF(Compare!$C$5="Minimum",F352,IF(Compare!$C$5="Maximum",H352,G352))),IF(I352="","",IF(Compare!$C$5="Minimum",I352,IF(Compare!$C$5="Maximum",K352,J352))))</f>
        <v>5.79</v>
      </c>
    </row>
    <row r="353" customFormat="false" ht="13.5" hidden="false" customHeight="false" outlineLevel="0" collapsed="false">
      <c r="B353" s="36" t="s">
        <v>88</v>
      </c>
      <c r="C353" s="98" t="s">
        <v>17</v>
      </c>
      <c r="D353" s="98" t="s">
        <v>333</v>
      </c>
      <c r="E353" s="98" t="s">
        <v>491</v>
      </c>
      <c r="F353" s="99" t="n">
        <f aca="false">IF(COUNTIFS(Offers!$B$7:$B$3000,$B353,Offers!$C$7:$C$3000,$C353,Offers!$AH$7:$AH$3000,"yes")=0,"",SUMIFS(Offers!$H$7:$H$3000,Offers!$B$7:$B$3000,$B353,Offers!$C$7:$C$3000,$C353,Offers!$AF$7:$AF$3000,1))</f>
        <v>100.83</v>
      </c>
      <c r="G353" s="93" t="n">
        <f aca="false">IF(COUNTIFS(Offers!$B$7:$B$3000,$B353,Offers!$C$7:$C$3000,$C353,Offers!$AH$7:$AH$3000,"yes")=0,"",(SUMIFS(Offers!$H$7:$H$3000,Offers!$B$7:$B$3000,$B353,Offers!$C$7:$C$3000,$C353,Offers!$AF$7:$AF$3000,ROUNDUP(COUNTIFS(Offers!$B$7:$B$3000,$B353,Offers!$C$7:$C$3000,$C353,Offers!$AH$7:$AH$3000,"yes")/2,0))+SUMIFS(Offers!$H$7:$H$3000,Offers!$B$7:$B$3000,$B353,Offers!$C$7:$C$3000,$C353,Offers!$AF$7:$AF$3000,INT(COUNTIFS(Offers!$B$7:$B$3000,$B353,Offers!$C$7:$C$3000,$C353,Offers!$AH$7:$AH$3000,"yes")/2)+1))/2)</f>
        <v>151.24</v>
      </c>
      <c r="H353" s="99" t="n">
        <f aca="false">IF(COUNTIFS(Offers!$B$7:$B$3000,$B353,Offers!$C$7:$C$3000,$C353,Offers!$AH$7:$AH$3000,"yes")=0,"",SUMIFS(Offers!$H$7:$H$3000,Offers!$B$7:$B$3000,$B353,Offers!$C$7:$C$3000,$C353,Offers!$AF$7:$AF$3000,COUNTIFS(Offers!$B$7:$B$3000,$B353,Offers!$C$7:$C$3000,$C353,Offers!$AH$7:$AH$3000,"yes")))</f>
        <v>208</v>
      </c>
      <c r="I353" s="100" t="n">
        <f aca="false">IF(COUNTIFS(Offers!$B$7:$B$3000,$B353,Offers!$C$7:$C$3000,$C353,Offers!$AI$7:$AI$3000,"yes")=0,"",SUMIFS(Offers!$I$7:$I$3000,Offers!$B$7:$B$3000,$B353,Offers!$C$7:$C$3000,$C353,Offers!$AG$7:$AG$3000,1))</f>
        <v>4.128381</v>
      </c>
      <c r="J353" s="95" t="n">
        <f aca="false">IF(COUNTIFS(Offers!$B$7:$B$3000,$B353,Offers!$C$7:$C$3000,$C353,Offers!$AI$7:$AI$3000,"yes")=0,"",(SUMIFS(Offers!$I$7:$I$3000,Offers!$B$7:$B$3000,$B353,Offers!$C$7:$C$3000,$C353,Offers!$AG$7:$AG$3000,ROUNDUP(COUNTIFS(Offers!$B$7:$B$3000,$B353,Offers!$C$7:$C$3000,$C353,Offers!$AI$7:$AI$3000,"yes")/2,0))+SUMIFS(Offers!$I$7:$I$3000,Offers!$B$7:$B$3000,$B353,Offers!$C$7:$C$3000,$C353,Offers!$AG$7:$AG$3000,INT(COUNTIFS(Offers!$B$7:$B$3000,$B353,Offers!$C$7:$C$3000,$C353,Offers!$AI$7:$AI$3000,"yes")/2)+1))/2)</f>
        <v>6.192367</v>
      </c>
      <c r="K353" s="100" t="n">
        <f aca="false">IF(COUNTIFS(Offers!$B$7:$B$3000,$B353,Offers!$C$7:$C$3000,$C353,Offers!$AI$7:$AI$3000,"yes")=0,"",SUMIFS(Offers!$I$7:$I$3000,Offers!$B$7:$B$3000,$B353,Offers!$C$7:$C$3000,$C353,Offers!$AG$7:$AG$3000,COUNTIFS(Offers!$B$7:$B$3000,$B353,Offers!$C$7:$C$3000,$C353,Offers!$AI$7:$AI$3000,"yes")))</f>
        <v>8.516348</v>
      </c>
      <c r="L353" s="96"/>
      <c r="M353" s="96"/>
      <c r="N353" s="96"/>
      <c r="O353" s="101" t="n">
        <f aca="false">IF(Compare!$E$5="Local prices",IF(F353="","",IF(Compare!$C$5="Minimum",F353,IF(Compare!$C$5="Maximum",H353,G353))),IF(I353="","",IF(Compare!$C$5="Minimum",I353,IF(Compare!$C$5="Maximum",K353,J353))))</f>
        <v>6.192367</v>
      </c>
    </row>
    <row r="354" customFormat="false" ht="13.5" hidden="false" customHeight="false" outlineLevel="0" collapsed="false">
      <c r="B354" s="36" t="s">
        <v>88</v>
      </c>
      <c r="C354" s="98" t="s">
        <v>18</v>
      </c>
      <c r="D354" s="98" t="s">
        <v>244</v>
      </c>
      <c r="E354" s="98" t="s">
        <v>491</v>
      </c>
      <c r="F354" s="99" t="n">
        <f aca="false">IF(COUNTIFS(Offers!$B$7:$B$3000,$B354,Offers!$C$7:$C$3000,$C354,Offers!$AH$7:$AH$3000,"yes")=0,"",SUMIFS(Offers!$H$7:$H$3000,Offers!$B$7:$B$3000,$B354,Offers!$C$7:$C$3000,$C354,Offers!$AF$7:$AF$3000,1))</f>
        <v>3.43</v>
      </c>
      <c r="G354" s="93" t="n">
        <f aca="false">IF(COUNTIFS(Offers!$B$7:$B$3000,$B354,Offers!$C$7:$C$3000,$C354,Offers!$AH$7:$AH$3000,"yes")=0,"",(SUMIFS(Offers!$H$7:$H$3000,Offers!$B$7:$B$3000,$B354,Offers!$C$7:$C$3000,$C354,Offers!$AF$7:$AF$3000,ROUNDUP(COUNTIFS(Offers!$B$7:$B$3000,$B354,Offers!$C$7:$C$3000,$C354,Offers!$AH$7:$AH$3000,"yes")/2,0))+SUMIFS(Offers!$H$7:$H$3000,Offers!$B$7:$B$3000,$B354,Offers!$C$7:$C$3000,$C354,Offers!$AF$7:$AF$3000,INT(COUNTIFS(Offers!$B$7:$B$3000,$B354,Offers!$C$7:$C$3000,$C354,Offers!$AH$7:$AH$3000,"yes")/2)+1))/2)</f>
        <v>6.05</v>
      </c>
      <c r="H354" s="99" t="n">
        <f aca="false">IF(COUNTIFS(Offers!$B$7:$B$3000,$B354,Offers!$C$7:$C$3000,$C354,Offers!$AH$7:$AH$3000,"yes")=0,"",SUMIFS(Offers!$H$7:$H$3000,Offers!$B$7:$B$3000,$B354,Offers!$C$7:$C$3000,$C354,Offers!$AF$7:$AF$3000,COUNTIFS(Offers!$B$7:$B$3000,$B354,Offers!$C$7:$C$3000,$C354,Offers!$AH$7:$AH$3000,"yes")))</f>
        <v>9.01</v>
      </c>
      <c r="I354" s="100" t="n">
        <f aca="false">IF(COUNTIFS(Offers!$B$7:$B$3000,$B354,Offers!$C$7:$C$3000,$C354,Offers!$AI$7:$AI$3000,"yes")=0,"",SUMIFS(Offers!$I$7:$I$3000,Offers!$B$7:$B$3000,$B354,Offers!$C$7:$C$3000,$C354,Offers!$AG$7:$AG$3000,1))</f>
        <v>3.43</v>
      </c>
      <c r="J354" s="95" t="n">
        <f aca="false">IF(COUNTIFS(Offers!$B$7:$B$3000,$B354,Offers!$C$7:$C$3000,$C354,Offers!$AI$7:$AI$3000,"yes")=0,"",(SUMIFS(Offers!$I$7:$I$3000,Offers!$B$7:$B$3000,$B354,Offers!$C$7:$C$3000,$C354,Offers!$AG$7:$AG$3000,ROUNDUP(COUNTIFS(Offers!$B$7:$B$3000,$B354,Offers!$C$7:$C$3000,$C354,Offers!$AI$7:$AI$3000,"yes")/2,0))+SUMIFS(Offers!$I$7:$I$3000,Offers!$B$7:$B$3000,$B354,Offers!$C$7:$C$3000,$C354,Offers!$AG$7:$AG$3000,INT(COUNTIFS(Offers!$B$7:$B$3000,$B354,Offers!$C$7:$C$3000,$C354,Offers!$AI$7:$AI$3000,"yes")/2)+1))/2)</f>
        <v>6.05</v>
      </c>
      <c r="K354" s="100" t="n">
        <f aca="false">IF(COUNTIFS(Offers!$B$7:$B$3000,$B354,Offers!$C$7:$C$3000,$C354,Offers!$AI$7:$AI$3000,"yes")=0,"",SUMIFS(Offers!$I$7:$I$3000,Offers!$B$7:$B$3000,$B354,Offers!$C$7:$C$3000,$C354,Offers!$AG$7:$AG$3000,COUNTIFS(Offers!$B$7:$B$3000,$B354,Offers!$C$7:$C$3000,$C354,Offers!$AI$7:$AI$3000,"yes")))</f>
        <v>9.01</v>
      </c>
      <c r="L354" s="96"/>
      <c r="M354" s="96"/>
      <c r="N354" s="96"/>
      <c r="O354" s="101" t="n">
        <f aca="false">IF(Compare!$E$5="Local prices",IF(F354="","",IF(Compare!$C$5="Minimum",F354,IF(Compare!$C$5="Maximum",H354,G354))),IF(I354="","",IF(Compare!$C$5="Minimum",I354,IF(Compare!$C$5="Maximum",K354,J354))))</f>
        <v>6.05</v>
      </c>
    </row>
    <row r="355" customFormat="false" ht="13.5" hidden="false" customHeight="false" outlineLevel="0" collapsed="false">
      <c r="B355" s="36" t="s">
        <v>89</v>
      </c>
      <c r="C355" s="98" t="s">
        <v>13</v>
      </c>
      <c r="D355" s="98" t="s">
        <v>490</v>
      </c>
      <c r="E355" s="98" t="s">
        <v>491</v>
      </c>
      <c r="F355" s="99" t="str">
        <f aca="false">IF(COUNTIFS(Offers!$B$7:$B$3000,$B355,Offers!$C$7:$C$3000,$C355,Offers!$AH$7:$AH$3000,"yes")=0,"",SUMIFS(Offers!$H$7:$H$3000,Offers!$B$7:$B$3000,$B355,Offers!$C$7:$C$3000,$C355,Offers!$AF$7:$AF$3000,1))</f>
        <v/>
      </c>
      <c r="G355" s="93" t="str">
        <f aca="false">IF(COUNTIFS(Offers!$B$7:$B$3000,$B355,Offers!$C$7:$C$3000,$C355,Offers!$AH$7:$AH$3000,"yes")=0,"",(SUMIFS(Offers!$H$7:$H$3000,Offers!$B$7:$B$3000,$B355,Offers!$C$7:$C$3000,$C355,Offers!$AF$7:$AF$3000,ROUNDUP(COUNTIFS(Offers!$B$7:$B$3000,$B355,Offers!$C$7:$C$3000,$C355,Offers!$AH$7:$AH$3000,"yes")/2,0))+SUMIFS(Offers!$H$7:$H$3000,Offers!$B$7:$B$3000,$B355,Offers!$C$7:$C$3000,$C355,Offers!$AF$7:$AF$3000,INT(COUNTIFS(Offers!$B$7:$B$3000,$B355,Offers!$C$7:$C$3000,$C355,Offers!$AH$7:$AH$3000,"yes")/2)+1))/2)</f>
        <v/>
      </c>
      <c r="H355" s="99" t="str">
        <f aca="false">IF(COUNTIFS(Offers!$B$7:$B$3000,$B355,Offers!$C$7:$C$3000,$C355,Offers!$AH$7:$AH$3000,"yes")=0,"",SUMIFS(Offers!$H$7:$H$3000,Offers!$B$7:$B$3000,$B355,Offers!$C$7:$C$3000,$C355,Offers!$AF$7:$AF$3000,COUNTIFS(Offers!$B$7:$B$3000,$B355,Offers!$C$7:$C$3000,$C355,Offers!$AH$7:$AH$3000,"yes")))</f>
        <v/>
      </c>
      <c r="I355" s="100" t="str">
        <f aca="false">IF(COUNTIFS(Offers!$B$7:$B$3000,$B355,Offers!$C$7:$C$3000,$C355,Offers!$AI$7:$AI$3000,"yes")=0,"",SUMIFS(Offers!$I$7:$I$3000,Offers!$B$7:$B$3000,$B355,Offers!$C$7:$C$3000,$C355,Offers!$AG$7:$AG$3000,1))</f>
        <v/>
      </c>
      <c r="J355" s="95" t="str">
        <f aca="false">IF(COUNTIFS(Offers!$B$7:$B$3000,$B355,Offers!$C$7:$C$3000,$C355,Offers!$AI$7:$AI$3000,"yes")=0,"",(SUMIFS(Offers!$I$7:$I$3000,Offers!$B$7:$B$3000,$B355,Offers!$C$7:$C$3000,$C355,Offers!$AG$7:$AG$3000,ROUNDUP(COUNTIFS(Offers!$B$7:$B$3000,$B355,Offers!$C$7:$C$3000,$C355,Offers!$AI$7:$AI$3000,"yes")/2,0))+SUMIFS(Offers!$I$7:$I$3000,Offers!$B$7:$B$3000,$B355,Offers!$C$7:$C$3000,$C355,Offers!$AG$7:$AG$3000,INT(COUNTIFS(Offers!$B$7:$B$3000,$B355,Offers!$C$7:$C$3000,$C355,Offers!$AI$7:$AI$3000,"yes")/2)+1))/2)</f>
        <v/>
      </c>
      <c r="K355" s="100" t="str">
        <f aca="false">IF(COUNTIFS(Offers!$B$7:$B$3000,$B355,Offers!$C$7:$C$3000,$C355,Offers!$AI$7:$AI$3000,"yes")=0,"",SUMIFS(Offers!$I$7:$I$3000,Offers!$B$7:$B$3000,$B355,Offers!$C$7:$C$3000,$C355,Offers!$AG$7:$AG$3000,COUNTIFS(Offers!$B$7:$B$3000,$B355,Offers!$C$7:$C$3000,$C355,Offers!$AI$7:$AI$3000,"yes")))</f>
        <v/>
      </c>
      <c r="L355" s="96"/>
      <c r="M355" s="96"/>
      <c r="N355" s="96"/>
      <c r="O355" s="110" t="str">
        <f aca="false">IF(Compare!$E$5="Local prices",IF(F355="","",IF(Compare!$C$5="Minimum",F355,IF(Compare!$C$5="Maximum",H355,G355))),IF(I355="","",IF(Compare!$C$5="Minimum",I355,IF(Compare!$C$5="Maximum",K355,J355))))</f>
        <v/>
      </c>
    </row>
    <row r="356" customFormat="false" ht="13.5" hidden="false" customHeight="false" outlineLevel="0" collapsed="false">
      <c r="B356" s="36" t="s">
        <v>89</v>
      </c>
      <c r="C356" s="98" t="s">
        <v>14</v>
      </c>
      <c r="D356" s="98" t="s">
        <v>374</v>
      </c>
      <c r="E356" s="98" t="s">
        <v>491</v>
      </c>
      <c r="F356" s="99" t="n">
        <f aca="false">IF(COUNTIFS(Offers!$B$7:$B$3000,$B356,Offers!$C$7:$C$3000,$C356,Offers!$AH$7:$AH$3000,"yes")=0,"",SUMIFS(Offers!$H$7:$H$3000,Offers!$B$7:$B$3000,$B356,Offers!$C$7:$C$3000,$C356,Offers!$AF$7:$AF$3000,1))</f>
        <v>31.42</v>
      </c>
      <c r="G356" s="93" t="n">
        <f aca="false">IF(COUNTIFS(Offers!$B$7:$B$3000,$B356,Offers!$C$7:$C$3000,$C356,Offers!$AH$7:$AH$3000,"yes")=0,"",(SUMIFS(Offers!$H$7:$H$3000,Offers!$B$7:$B$3000,$B356,Offers!$C$7:$C$3000,$C356,Offers!$AF$7:$AF$3000,ROUNDUP(COUNTIFS(Offers!$B$7:$B$3000,$B356,Offers!$C$7:$C$3000,$C356,Offers!$AH$7:$AH$3000,"yes")/2,0))+SUMIFS(Offers!$H$7:$H$3000,Offers!$B$7:$B$3000,$B356,Offers!$C$7:$C$3000,$C356,Offers!$AF$7:$AF$3000,INT(COUNTIFS(Offers!$B$7:$B$3000,$B356,Offers!$C$7:$C$3000,$C356,Offers!$AH$7:$AH$3000,"yes")/2)+1))/2)</f>
        <v>42.01</v>
      </c>
      <c r="H356" s="99" t="n">
        <f aca="false">IF(COUNTIFS(Offers!$B$7:$B$3000,$B356,Offers!$C$7:$C$3000,$C356,Offers!$AH$7:$AH$3000,"yes")=0,"",SUMIFS(Offers!$H$7:$H$3000,Offers!$B$7:$B$3000,$B356,Offers!$C$7:$C$3000,$C356,Offers!$AF$7:$AF$3000,COUNTIFS(Offers!$B$7:$B$3000,$B356,Offers!$C$7:$C$3000,$C356,Offers!$AH$7:$AH$3000,"yes")))</f>
        <v>119.35</v>
      </c>
      <c r="I356" s="100" t="n">
        <f aca="false">IF(COUNTIFS(Offers!$B$7:$B$3000,$B356,Offers!$C$7:$C$3000,$C356,Offers!$AI$7:$AI$3000,"yes")=0,"",SUMIFS(Offers!$I$7:$I$3000,Offers!$B$7:$B$3000,$B356,Offers!$C$7:$C$3000,$C356,Offers!$AG$7:$AG$3000,1))</f>
        <v>5.953417</v>
      </c>
      <c r="J356" s="95" t="n">
        <f aca="false">IF(COUNTIFS(Offers!$B$7:$B$3000,$B356,Offers!$C$7:$C$3000,$C356,Offers!$AI$7:$AI$3000,"yes")=0,"",(SUMIFS(Offers!$I$7:$I$3000,Offers!$B$7:$B$3000,$B356,Offers!$C$7:$C$3000,$C356,Offers!$AG$7:$AG$3000,ROUNDUP(COUNTIFS(Offers!$B$7:$B$3000,$B356,Offers!$C$7:$C$3000,$C356,Offers!$AI$7:$AI$3000,"yes")/2,0))+SUMIFS(Offers!$I$7:$I$3000,Offers!$B$7:$B$3000,$B356,Offers!$C$7:$C$3000,$C356,Offers!$AG$7:$AG$3000,INT(COUNTIFS(Offers!$B$7:$B$3000,$B356,Offers!$C$7:$C$3000,$C356,Offers!$AI$7:$AI$3000,"yes")/2)+1))/2)</f>
        <v>7.959995</v>
      </c>
      <c r="K356" s="100" t="n">
        <f aca="false">IF(COUNTIFS(Offers!$B$7:$B$3000,$B356,Offers!$C$7:$C$3000,$C356,Offers!$AI$7:$AI$3000,"yes")=0,"",SUMIFS(Offers!$I$7:$I$3000,Offers!$B$7:$B$3000,$B356,Offers!$C$7:$C$3000,$C356,Offers!$AG$7:$AG$3000,COUNTIFS(Offers!$B$7:$B$3000,$B356,Offers!$C$7:$C$3000,$C356,Offers!$AI$7:$AI$3000,"yes")))</f>
        <v>22.614268</v>
      </c>
      <c r="L356" s="96"/>
      <c r="M356" s="96"/>
      <c r="N356" s="96"/>
      <c r="O356" s="101" t="n">
        <f aca="false">IF(Compare!$E$5="Local prices",IF(F356="","",IF(Compare!$C$5="Minimum",F356,IF(Compare!$C$5="Maximum",H356,G356))),IF(I356="","",IF(Compare!$C$5="Minimum",I356,IF(Compare!$C$5="Maximum",K356,J356))))</f>
        <v>7.959995</v>
      </c>
    </row>
    <row r="357" customFormat="false" ht="13.5" hidden="false" customHeight="false" outlineLevel="0" collapsed="false">
      <c r="B357" s="36" t="s">
        <v>89</v>
      </c>
      <c r="C357" s="98" t="s">
        <v>15</v>
      </c>
      <c r="D357" s="98" t="s">
        <v>244</v>
      </c>
      <c r="E357" s="98" t="s">
        <v>491</v>
      </c>
      <c r="F357" s="99" t="n">
        <f aca="false">IF(COUNTIFS(Offers!$B$7:$B$3000,$B357,Offers!$C$7:$C$3000,$C357,Offers!$AH$7:$AH$3000,"yes")=0,"",SUMIFS(Offers!$H$7:$H$3000,Offers!$B$7:$B$3000,$B357,Offers!$C$7:$C$3000,$C357,Offers!$AF$7:$AF$3000,1))</f>
        <v>6</v>
      </c>
      <c r="G357" s="93" t="n">
        <f aca="false">IF(COUNTIFS(Offers!$B$7:$B$3000,$B357,Offers!$C$7:$C$3000,$C357,Offers!$AH$7:$AH$3000,"yes")=0,"",(SUMIFS(Offers!$H$7:$H$3000,Offers!$B$7:$B$3000,$B357,Offers!$C$7:$C$3000,$C357,Offers!$AF$7:$AF$3000,ROUNDUP(COUNTIFS(Offers!$B$7:$B$3000,$B357,Offers!$C$7:$C$3000,$C357,Offers!$AH$7:$AH$3000,"yes")/2,0))+SUMIFS(Offers!$H$7:$H$3000,Offers!$B$7:$B$3000,$B357,Offers!$C$7:$C$3000,$C357,Offers!$AF$7:$AF$3000,INT(COUNTIFS(Offers!$B$7:$B$3000,$B357,Offers!$C$7:$C$3000,$C357,Offers!$AH$7:$AH$3000,"yes")/2)+1))/2)</f>
        <v>8.95</v>
      </c>
      <c r="H357" s="99" t="n">
        <f aca="false">IF(COUNTIFS(Offers!$B$7:$B$3000,$B357,Offers!$C$7:$C$3000,$C357,Offers!$AH$7:$AH$3000,"yes")=0,"",SUMIFS(Offers!$H$7:$H$3000,Offers!$B$7:$B$3000,$B357,Offers!$C$7:$C$3000,$C357,Offers!$AF$7:$AF$3000,COUNTIFS(Offers!$B$7:$B$3000,$B357,Offers!$C$7:$C$3000,$C357,Offers!$AH$7:$AH$3000,"yes")))</f>
        <v>15.38</v>
      </c>
      <c r="I357" s="100" t="n">
        <f aca="false">IF(COUNTIFS(Offers!$B$7:$B$3000,$B357,Offers!$C$7:$C$3000,$C357,Offers!$AI$7:$AI$3000,"yes")=0,"",SUMIFS(Offers!$I$7:$I$3000,Offers!$B$7:$B$3000,$B357,Offers!$C$7:$C$3000,$C357,Offers!$AG$7:$AG$3000,1))</f>
        <v>6</v>
      </c>
      <c r="J357" s="95" t="n">
        <f aca="false">IF(COUNTIFS(Offers!$B$7:$B$3000,$B357,Offers!$C$7:$C$3000,$C357,Offers!$AI$7:$AI$3000,"yes")=0,"",(SUMIFS(Offers!$I$7:$I$3000,Offers!$B$7:$B$3000,$B357,Offers!$C$7:$C$3000,$C357,Offers!$AG$7:$AG$3000,ROUNDUP(COUNTIFS(Offers!$B$7:$B$3000,$B357,Offers!$C$7:$C$3000,$C357,Offers!$AI$7:$AI$3000,"yes")/2,0))+SUMIFS(Offers!$I$7:$I$3000,Offers!$B$7:$B$3000,$B357,Offers!$C$7:$C$3000,$C357,Offers!$AG$7:$AG$3000,INT(COUNTIFS(Offers!$B$7:$B$3000,$B357,Offers!$C$7:$C$3000,$C357,Offers!$AI$7:$AI$3000,"yes")/2)+1))/2)</f>
        <v>8.95</v>
      </c>
      <c r="K357" s="100" t="n">
        <f aca="false">IF(COUNTIFS(Offers!$B$7:$B$3000,$B357,Offers!$C$7:$C$3000,$C357,Offers!$AI$7:$AI$3000,"yes")=0,"",SUMIFS(Offers!$I$7:$I$3000,Offers!$B$7:$B$3000,$B357,Offers!$C$7:$C$3000,$C357,Offers!$AG$7:$AG$3000,COUNTIFS(Offers!$B$7:$B$3000,$B357,Offers!$C$7:$C$3000,$C357,Offers!$AI$7:$AI$3000,"yes")))</f>
        <v>15.38</v>
      </c>
      <c r="L357" s="96"/>
      <c r="M357" s="96"/>
      <c r="N357" s="96"/>
      <c r="O357" s="101" t="n">
        <f aca="false">IF(Compare!$E$5="Local prices",IF(F357="","",IF(Compare!$C$5="Minimum",F357,IF(Compare!$C$5="Maximum",H357,G357))),IF(I357="","",IF(Compare!$C$5="Minimum",I357,IF(Compare!$C$5="Maximum",K357,J357))))</f>
        <v>8.95</v>
      </c>
    </row>
    <row r="358" customFormat="false" ht="13.5" hidden="false" customHeight="false" outlineLevel="0" collapsed="false">
      <c r="B358" s="36" t="s">
        <v>89</v>
      </c>
      <c r="C358" s="98" t="s">
        <v>16</v>
      </c>
      <c r="D358" s="98" t="s">
        <v>244</v>
      </c>
      <c r="E358" s="98" t="s">
        <v>491</v>
      </c>
      <c r="F358" s="99" t="n">
        <f aca="false">IF(COUNTIFS(Offers!$B$7:$B$3000,$B358,Offers!$C$7:$C$3000,$C358,Offers!$AH$7:$AH$3000,"yes")=0,"",SUMIFS(Offers!$H$7:$H$3000,Offers!$B$7:$B$3000,$B358,Offers!$C$7:$C$3000,$C358,Offers!$AF$7:$AF$3000,1))</f>
        <v>5.9</v>
      </c>
      <c r="G358" s="93" t="n">
        <f aca="false">IF(COUNTIFS(Offers!$B$7:$B$3000,$B358,Offers!$C$7:$C$3000,$C358,Offers!$AH$7:$AH$3000,"yes")=0,"",(SUMIFS(Offers!$H$7:$H$3000,Offers!$B$7:$B$3000,$B358,Offers!$C$7:$C$3000,$C358,Offers!$AF$7:$AF$3000,ROUNDUP(COUNTIFS(Offers!$B$7:$B$3000,$B358,Offers!$C$7:$C$3000,$C358,Offers!$AH$7:$AH$3000,"yes")/2,0))+SUMIFS(Offers!$H$7:$H$3000,Offers!$B$7:$B$3000,$B358,Offers!$C$7:$C$3000,$C358,Offers!$AF$7:$AF$3000,INT(COUNTIFS(Offers!$B$7:$B$3000,$B358,Offers!$C$7:$C$3000,$C358,Offers!$AH$7:$AH$3000,"yes")/2)+1))/2)</f>
        <v>7.14</v>
      </c>
      <c r="H358" s="99" t="n">
        <f aca="false">IF(COUNTIFS(Offers!$B$7:$B$3000,$B358,Offers!$C$7:$C$3000,$C358,Offers!$AH$7:$AH$3000,"yes")=0,"",SUMIFS(Offers!$H$7:$H$3000,Offers!$B$7:$B$3000,$B358,Offers!$C$7:$C$3000,$C358,Offers!$AF$7:$AF$3000,COUNTIFS(Offers!$B$7:$B$3000,$B358,Offers!$C$7:$C$3000,$C358,Offers!$AH$7:$AH$3000,"yes")))</f>
        <v>28</v>
      </c>
      <c r="I358" s="100" t="n">
        <f aca="false">IF(COUNTIFS(Offers!$B$7:$B$3000,$B358,Offers!$C$7:$C$3000,$C358,Offers!$AI$7:$AI$3000,"yes")=0,"",SUMIFS(Offers!$I$7:$I$3000,Offers!$B$7:$B$3000,$B358,Offers!$C$7:$C$3000,$C358,Offers!$AG$7:$AG$3000,1))</f>
        <v>5.9</v>
      </c>
      <c r="J358" s="95" t="n">
        <f aca="false">IF(COUNTIFS(Offers!$B$7:$B$3000,$B358,Offers!$C$7:$C$3000,$C358,Offers!$AI$7:$AI$3000,"yes")=0,"",(SUMIFS(Offers!$I$7:$I$3000,Offers!$B$7:$B$3000,$B358,Offers!$C$7:$C$3000,$C358,Offers!$AG$7:$AG$3000,ROUNDUP(COUNTIFS(Offers!$B$7:$B$3000,$B358,Offers!$C$7:$C$3000,$C358,Offers!$AI$7:$AI$3000,"yes")/2,0))+SUMIFS(Offers!$I$7:$I$3000,Offers!$B$7:$B$3000,$B358,Offers!$C$7:$C$3000,$C358,Offers!$AG$7:$AG$3000,INT(COUNTIFS(Offers!$B$7:$B$3000,$B358,Offers!$C$7:$C$3000,$C358,Offers!$AI$7:$AI$3000,"yes")/2)+1))/2)</f>
        <v>7.14</v>
      </c>
      <c r="K358" s="100" t="n">
        <f aca="false">IF(COUNTIFS(Offers!$B$7:$B$3000,$B358,Offers!$C$7:$C$3000,$C358,Offers!$AI$7:$AI$3000,"yes")=0,"",SUMIFS(Offers!$I$7:$I$3000,Offers!$B$7:$B$3000,$B358,Offers!$C$7:$C$3000,$C358,Offers!$AG$7:$AG$3000,COUNTIFS(Offers!$B$7:$B$3000,$B358,Offers!$C$7:$C$3000,$C358,Offers!$AI$7:$AI$3000,"yes")))</f>
        <v>28</v>
      </c>
      <c r="L358" s="96"/>
      <c r="M358" s="96"/>
      <c r="N358" s="96"/>
      <c r="O358" s="101" t="n">
        <f aca="false">IF(Compare!$E$5="Local prices",IF(F358="","",IF(Compare!$C$5="Minimum",F358,IF(Compare!$C$5="Maximum",H358,G358))),IF(I358="","",IF(Compare!$C$5="Minimum",I358,IF(Compare!$C$5="Maximum",K358,J358))))</f>
        <v>7.14</v>
      </c>
    </row>
    <row r="359" customFormat="false" ht="13.5" hidden="false" customHeight="false" outlineLevel="0" collapsed="false">
      <c r="B359" s="36" t="s">
        <v>89</v>
      </c>
      <c r="C359" s="98" t="s">
        <v>17</v>
      </c>
      <c r="D359" s="98" t="s">
        <v>333</v>
      </c>
      <c r="E359" s="98" t="s">
        <v>491</v>
      </c>
      <c r="F359" s="99" t="n">
        <f aca="false">IF(COUNTIFS(Offers!$B$7:$B$3000,$B359,Offers!$C$7:$C$3000,$C359,Offers!$AH$7:$AH$3000,"yes")=0,"",SUMIFS(Offers!$H$7:$H$3000,Offers!$B$7:$B$3000,$B359,Offers!$C$7:$C$3000,$C359,Offers!$AF$7:$AF$3000,1))</f>
        <v>145.45</v>
      </c>
      <c r="G359" s="93" t="n">
        <f aca="false">IF(COUNTIFS(Offers!$B$7:$B$3000,$B359,Offers!$C$7:$C$3000,$C359,Offers!$AH$7:$AH$3000,"yes")=0,"",(SUMIFS(Offers!$H$7:$H$3000,Offers!$B$7:$B$3000,$B359,Offers!$C$7:$C$3000,$C359,Offers!$AF$7:$AF$3000,ROUNDUP(COUNTIFS(Offers!$B$7:$B$3000,$B359,Offers!$C$7:$C$3000,$C359,Offers!$AH$7:$AH$3000,"yes")/2,0))+SUMIFS(Offers!$H$7:$H$3000,Offers!$B$7:$B$3000,$B359,Offers!$C$7:$C$3000,$C359,Offers!$AF$7:$AF$3000,INT(COUNTIFS(Offers!$B$7:$B$3000,$B359,Offers!$C$7:$C$3000,$C359,Offers!$AH$7:$AH$3000,"yes")/2)+1))/2)</f>
        <v>250.41</v>
      </c>
      <c r="H359" s="99" t="n">
        <f aca="false">IF(COUNTIFS(Offers!$B$7:$B$3000,$B359,Offers!$C$7:$C$3000,$C359,Offers!$AH$7:$AH$3000,"yes")=0,"",SUMIFS(Offers!$H$7:$H$3000,Offers!$B$7:$B$3000,$B359,Offers!$C$7:$C$3000,$C359,Offers!$AF$7:$AF$3000,COUNTIFS(Offers!$B$7:$B$3000,$B359,Offers!$C$7:$C$3000,$C359,Offers!$AH$7:$AH$3000,"yes")))</f>
        <v>324</v>
      </c>
      <c r="I359" s="100" t="n">
        <f aca="false">IF(COUNTIFS(Offers!$B$7:$B$3000,$B359,Offers!$C$7:$C$3000,$C359,Offers!$AI$7:$AI$3000,"yes")=0,"",SUMIFS(Offers!$I$7:$I$3000,Offers!$B$7:$B$3000,$B359,Offers!$C$7:$C$3000,$C359,Offers!$AG$7:$AG$3000,1))</f>
        <v>5.955302</v>
      </c>
      <c r="J359" s="95" t="n">
        <f aca="false">IF(COUNTIFS(Offers!$B$7:$B$3000,$B359,Offers!$C$7:$C$3000,$C359,Offers!$AI$7:$AI$3000,"yes")=0,"",(SUMIFS(Offers!$I$7:$I$3000,Offers!$B$7:$B$3000,$B359,Offers!$C$7:$C$3000,$C359,Offers!$AG$7:$AG$3000,ROUNDUP(COUNTIFS(Offers!$B$7:$B$3000,$B359,Offers!$C$7:$C$3000,$C359,Offers!$AI$7:$AI$3000,"yes")/2,0))+SUMIFS(Offers!$I$7:$I$3000,Offers!$B$7:$B$3000,$B359,Offers!$C$7:$C$3000,$C359,Offers!$AG$7:$AG$3000,INT(COUNTIFS(Offers!$B$7:$B$3000,$B359,Offers!$C$7:$C$3000,$C359,Offers!$AI$7:$AI$3000,"yes")/2)+1))/2)</f>
        <v>10.252782</v>
      </c>
      <c r="K359" s="100" t="n">
        <f aca="false">IF(COUNTIFS(Offers!$B$7:$B$3000,$B359,Offers!$C$7:$C$3000,$C359,Offers!$AI$7:$AI$3000,"yes")=0,"",SUMIFS(Offers!$I$7:$I$3000,Offers!$B$7:$B$3000,$B359,Offers!$C$7:$C$3000,$C359,Offers!$AG$7:$AG$3000,COUNTIFS(Offers!$B$7:$B$3000,$B359,Offers!$C$7:$C$3000,$C359,Offers!$AI$7:$AI$3000,"yes")))</f>
        <v>13.265849</v>
      </c>
      <c r="L359" s="96"/>
      <c r="M359" s="96"/>
      <c r="N359" s="96"/>
      <c r="O359" s="101" t="n">
        <f aca="false">IF(Compare!$E$5="Local prices",IF(F359="","",IF(Compare!$C$5="Minimum",F359,IF(Compare!$C$5="Maximum",H359,G359))),IF(I359="","",IF(Compare!$C$5="Minimum",I359,IF(Compare!$C$5="Maximum",K359,J359))))</f>
        <v>10.252782</v>
      </c>
    </row>
    <row r="360" customFormat="false" ht="13.5" hidden="false" customHeight="false" outlineLevel="0" collapsed="false">
      <c r="B360" s="36" t="s">
        <v>89</v>
      </c>
      <c r="C360" s="98" t="s">
        <v>18</v>
      </c>
      <c r="D360" s="98" t="s">
        <v>244</v>
      </c>
      <c r="E360" s="98" t="s">
        <v>491</v>
      </c>
      <c r="F360" s="99" t="n">
        <f aca="false">IF(COUNTIFS(Offers!$B$7:$B$3000,$B360,Offers!$C$7:$C$3000,$C360,Offers!$AH$7:$AH$3000,"yes")=0,"",SUMIFS(Offers!$H$7:$H$3000,Offers!$B$7:$B$3000,$B360,Offers!$C$7:$C$3000,$C360,Offers!$AF$7:$AF$3000,1))</f>
        <v>5.83</v>
      </c>
      <c r="G360" s="93" t="n">
        <f aca="false">IF(COUNTIFS(Offers!$B$7:$B$3000,$B360,Offers!$C$7:$C$3000,$C360,Offers!$AH$7:$AH$3000,"yes")=0,"",(SUMIFS(Offers!$H$7:$H$3000,Offers!$B$7:$B$3000,$B360,Offers!$C$7:$C$3000,$C360,Offers!$AF$7:$AF$3000,ROUNDUP(COUNTIFS(Offers!$B$7:$B$3000,$B360,Offers!$C$7:$C$3000,$C360,Offers!$AH$7:$AH$3000,"yes")/2,0))+SUMIFS(Offers!$H$7:$H$3000,Offers!$B$7:$B$3000,$B360,Offers!$C$7:$C$3000,$C360,Offers!$AF$7:$AF$3000,INT(COUNTIFS(Offers!$B$7:$B$3000,$B360,Offers!$C$7:$C$3000,$C360,Offers!$AH$7:$AH$3000,"yes")/2)+1))/2)</f>
        <v>8.5</v>
      </c>
      <c r="H360" s="99" t="n">
        <f aca="false">IF(COUNTIFS(Offers!$B$7:$B$3000,$B360,Offers!$C$7:$C$3000,$C360,Offers!$AH$7:$AH$3000,"yes")=0,"",SUMIFS(Offers!$H$7:$H$3000,Offers!$B$7:$B$3000,$B360,Offers!$C$7:$C$3000,$C360,Offers!$AF$7:$AF$3000,COUNTIFS(Offers!$B$7:$B$3000,$B360,Offers!$C$7:$C$3000,$C360,Offers!$AH$7:$AH$3000,"yes")))</f>
        <v>12.46</v>
      </c>
      <c r="I360" s="100" t="n">
        <f aca="false">IF(COUNTIFS(Offers!$B$7:$B$3000,$B360,Offers!$C$7:$C$3000,$C360,Offers!$AI$7:$AI$3000,"yes")=0,"",SUMIFS(Offers!$I$7:$I$3000,Offers!$B$7:$B$3000,$B360,Offers!$C$7:$C$3000,$C360,Offers!$AG$7:$AG$3000,1))</f>
        <v>5.83</v>
      </c>
      <c r="J360" s="95" t="n">
        <f aca="false">IF(COUNTIFS(Offers!$B$7:$B$3000,$B360,Offers!$C$7:$C$3000,$C360,Offers!$AI$7:$AI$3000,"yes")=0,"",(SUMIFS(Offers!$I$7:$I$3000,Offers!$B$7:$B$3000,$B360,Offers!$C$7:$C$3000,$C360,Offers!$AG$7:$AG$3000,ROUNDUP(COUNTIFS(Offers!$B$7:$B$3000,$B360,Offers!$C$7:$C$3000,$C360,Offers!$AI$7:$AI$3000,"yes")/2,0))+SUMIFS(Offers!$I$7:$I$3000,Offers!$B$7:$B$3000,$B360,Offers!$C$7:$C$3000,$C360,Offers!$AG$7:$AG$3000,INT(COUNTIFS(Offers!$B$7:$B$3000,$B360,Offers!$C$7:$C$3000,$C360,Offers!$AI$7:$AI$3000,"yes")/2)+1))/2)</f>
        <v>8.5</v>
      </c>
      <c r="K360" s="100" t="n">
        <f aca="false">IF(COUNTIFS(Offers!$B$7:$B$3000,$B360,Offers!$C$7:$C$3000,$C360,Offers!$AI$7:$AI$3000,"yes")=0,"",SUMIFS(Offers!$I$7:$I$3000,Offers!$B$7:$B$3000,$B360,Offers!$C$7:$C$3000,$C360,Offers!$AG$7:$AG$3000,COUNTIFS(Offers!$B$7:$B$3000,$B360,Offers!$C$7:$C$3000,$C360,Offers!$AI$7:$AI$3000,"yes")))</f>
        <v>12.46</v>
      </c>
      <c r="L360" s="96"/>
      <c r="M360" s="96"/>
      <c r="N360" s="96"/>
      <c r="O360" s="101" t="n">
        <f aca="false">IF(Compare!$E$5="Local prices",IF(F360="","",IF(Compare!$C$5="Minimum",F360,IF(Compare!$C$5="Maximum",H360,G360))),IF(I360="","",IF(Compare!$C$5="Minimum",I360,IF(Compare!$C$5="Maximum",K360,J360))))</f>
        <v>8.5</v>
      </c>
    </row>
    <row r="361" customFormat="false" ht="13.5" hidden="false" customHeight="false" outlineLevel="0" collapsed="false">
      <c r="B361" s="36" t="s">
        <v>90</v>
      </c>
      <c r="C361" s="98" t="s">
        <v>13</v>
      </c>
      <c r="D361" s="98" t="s">
        <v>490</v>
      </c>
      <c r="E361" s="98" t="s">
        <v>491</v>
      </c>
      <c r="F361" s="99" t="str">
        <f aca="false">IF(COUNTIFS(Offers!$B$7:$B$3000,$B361,Offers!$C$7:$C$3000,$C361,Offers!$AH$7:$AH$3000,"yes")=0,"",SUMIFS(Offers!$H$7:$H$3000,Offers!$B$7:$B$3000,$B361,Offers!$C$7:$C$3000,$C361,Offers!$AF$7:$AF$3000,1))</f>
        <v/>
      </c>
      <c r="G361" s="93" t="str">
        <f aca="false">IF(COUNTIFS(Offers!$B$7:$B$3000,$B361,Offers!$C$7:$C$3000,$C361,Offers!$AH$7:$AH$3000,"yes")=0,"",(SUMIFS(Offers!$H$7:$H$3000,Offers!$B$7:$B$3000,$B361,Offers!$C$7:$C$3000,$C361,Offers!$AF$7:$AF$3000,ROUNDUP(COUNTIFS(Offers!$B$7:$B$3000,$B361,Offers!$C$7:$C$3000,$C361,Offers!$AH$7:$AH$3000,"yes")/2,0))+SUMIFS(Offers!$H$7:$H$3000,Offers!$B$7:$B$3000,$B361,Offers!$C$7:$C$3000,$C361,Offers!$AF$7:$AF$3000,INT(COUNTIFS(Offers!$B$7:$B$3000,$B361,Offers!$C$7:$C$3000,$C361,Offers!$AH$7:$AH$3000,"yes")/2)+1))/2)</f>
        <v/>
      </c>
      <c r="H361" s="99" t="str">
        <f aca="false">IF(COUNTIFS(Offers!$B$7:$B$3000,$B361,Offers!$C$7:$C$3000,$C361,Offers!$AH$7:$AH$3000,"yes")=0,"",SUMIFS(Offers!$H$7:$H$3000,Offers!$B$7:$B$3000,$B361,Offers!$C$7:$C$3000,$C361,Offers!$AF$7:$AF$3000,COUNTIFS(Offers!$B$7:$B$3000,$B361,Offers!$C$7:$C$3000,$C361,Offers!$AH$7:$AH$3000,"yes")))</f>
        <v/>
      </c>
      <c r="I361" s="100" t="str">
        <f aca="false">IF(COUNTIFS(Offers!$B$7:$B$3000,$B361,Offers!$C$7:$C$3000,$C361,Offers!$AI$7:$AI$3000,"yes")=0,"",SUMIFS(Offers!$I$7:$I$3000,Offers!$B$7:$B$3000,$B361,Offers!$C$7:$C$3000,$C361,Offers!$AG$7:$AG$3000,1))</f>
        <v/>
      </c>
      <c r="J361" s="95" t="str">
        <f aca="false">IF(COUNTIFS(Offers!$B$7:$B$3000,$B361,Offers!$C$7:$C$3000,$C361,Offers!$AI$7:$AI$3000,"yes")=0,"",(SUMIFS(Offers!$I$7:$I$3000,Offers!$B$7:$B$3000,$B361,Offers!$C$7:$C$3000,$C361,Offers!$AG$7:$AG$3000,ROUNDUP(COUNTIFS(Offers!$B$7:$B$3000,$B361,Offers!$C$7:$C$3000,$C361,Offers!$AI$7:$AI$3000,"yes")/2,0))+SUMIFS(Offers!$I$7:$I$3000,Offers!$B$7:$B$3000,$B361,Offers!$C$7:$C$3000,$C361,Offers!$AG$7:$AG$3000,INT(COUNTIFS(Offers!$B$7:$B$3000,$B361,Offers!$C$7:$C$3000,$C361,Offers!$AI$7:$AI$3000,"yes")/2)+1))/2)</f>
        <v/>
      </c>
      <c r="K361" s="100" t="str">
        <f aca="false">IF(COUNTIFS(Offers!$B$7:$B$3000,$B361,Offers!$C$7:$C$3000,$C361,Offers!$AI$7:$AI$3000,"yes")=0,"",SUMIFS(Offers!$I$7:$I$3000,Offers!$B$7:$B$3000,$B361,Offers!$C$7:$C$3000,$C361,Offers!$AG$7:$AG$3000,COUNTIFS(Offers!$B$7:$B$3000,$B361,Offers!$C$7:$C$3000,$C361,Offers!$AI$7:$AI$3000,"yes")))</f>
        <v/>
      </c>
      <c r="L361" s="96"/>
      <c r="M361" s="96"/>
      <c r="N361" s="96"/>
      <c r="O361" s="110" t="str">
        <f aca="false">IF(Compare!$E$5="Local prices",IF(F361="","",IF(Compare!$C$5="Minimum",F361,IF(Compare!$C$5="Maximum",H361,G361))),IF(I361="","",IF(Compare!$C$5="Minimum",I361,IF(Compare!$C$5="Maximum",K361,J361))))</f>
        <v/>
      </c>
    </row>
    <row r="362" customFormat="false" ht="13.5" hidden="false" customHeight="false" outlineLevel="0" collapsed="false">
      <c r="B362" s="36" t="s">
        <v>90</v>
      </c>
      <c r="C362" s="98" t="s">
        <v>14</v>
      </c>
      <c r="D362" s="98" t="s">
        <v>374</v>
      </c>
      <c r="E362" s="98" t="s">
        <v>491</v>
      </c>
      <c r="F362" s="99" t="n">
        <f aca="false">IF(COUNTIFS(Offers!$B$7:$B$3000,$B362,Offers!$C$7:$C$3000,$C362,Offers!$AH$7:$AH$3000,"yes")=0,"",SUMIFS(Offers!$H$7:$H$3000,Offers!$B$7:$B$3000,$B362,Offers!$C$7:$C$3000,$C362,Offers!$AF$7:$AF$3000,1))</f>
        <v>13.8</v>
      </c>
      <c r="G362" s="93" t="n">
        <f aca="false">IF(COUNTIFS(Offers!$B$7:$B$3000,$B362,Offers!$C$7:$C$3000,$C362,Offers!$AH$7:$AH$3000,"yes")=0,"",(SUMIFS(Offers!$H$7:$H$3000,Offers!$B$7:$B$3000,$B362,Offers!$C$7:$C$3000,$C362,Offers!$AF$7:$AF$3000,ROUNDUP(COUNTIFS(Offers!$B$7:$B$3000,$B362,Offers!$C$7:$C$3000,$C362,Offers!$AH$7:$AH$3000,"yes")/2,0))+SUMIFS(Offers!$H$7:$H$3000,Offers!$B$7:$B$3000,$B362,Offers!$C$7:$C$3000,$C362,Offers!$AF$7:$AF$3000,INT(COUNTIFS(Offers!$B$7:$B$3000,$B362,Offers!$C$7:$C$3000,$C362,Offers!$AH$7:$AH$3000,"yes")/2)+1))/2)</f>
        <v>21.47</v>
      </c>
      <c r="H362" s="99" t="n">
        <f aca="false">IF(COUNTIFS(Offers!$B$7:$B$3000,$B362,Offers!$C$7:$C$3000,$C362,Offers!$AH$7:$AH$3000,"yes")=0,"",SUMIFS(Offers!$H$7:$H$3000,Offers!$B$7:$B$3000,$B362,Offers!$C$7:$C$3000,$C362,Offers!$AF$7:$AF$3000,COUNTIFS(Offers!$B$7:$B$3000,$B362,Offers!$C$7:$C$3000,$C362,Offers!$AH$7:$AH$3000,"yes")))</f>
        <v>32.78</v>
      </c>
      <c r="I362" s="100" t="n">
        <f aca="false">IF(COUNTIFS(Offers!$B$7:$B$3000,$B362,Offers!$C$7:$C$3000,$C362,Offers!$AI$7:$AI$3000,"yes")=0,"",SUMIFS(Offers!$I$7:$I$3000,Offers!$B$7:$B$3000,$B362,Offers!$C$7:$C$3000,$C362,Offers!$AG$7:$AG$3000,1))</f>
        <v>2.614804</v>
      </c>
      <c r="J362" s="95" t="n">
        <f aca="false">IF(COUNTIFS(Offers!$B$7:$B$3000,$B362,Offers!$C$7:$C$3000,$C362,Offers!$AI$7:$AI$3000,"yes")=0,"",(SUMIFS(Offers!$I$7:$I$3000,Offers!$B$7:$B$3000,$B362,Offers!$C$7:$C$3000,$C362,Offers!$AG$7:$AG$3000,ROUNDUP(COUNTIFS(Offers!$B$7:$B$3000,$B362,Offers!$C$7:$C$3000,$C362,Offers!$AI$7:$AI$3000,"yes")/2,0))+SUMIFS(Offers!$I$7:$I$3000,Offers!$B$7:$B$3000,$B362,Offers!$C$7:$C$3000,$C362,Offers!$AG$7:$AG$3000,INT(COUNTIFS(Offers!$B$7:$B$3000,$B362,Offers!$C$7:$C$3000,$C362,Offers!$AI$7:$AI$3000,"yes")/2)+1))/2)</f>
        <v>4.068105</v>
      </c>
      <c r="K362" s="100" t="n">
        <f aca="false">IF(COUNTIFS(Offers!$B$7:$B$3000,$B362,Offers!$C$7:$C$3000,$C362,Offers!$AI$7:$AI$3000,"yes")=0,"",SUMIFS(Offers!$I$7:$I$3000,Offers!$B$7:$B$3000,$B362,Offers!$C$7:$C$3000,$C362,Offers!$AG$7:$AG$3000,COUNTIFS(Offers!$B$7:$B$3000,$B362,Offers!$C$7:$C$3000,$C362,Offers!$AI$7:$AI$3000,"yes")))</f>
        <v>6.211108</v>
      </c>
      <c r="L362" s="96"/>
      <c r="M362" s="96"/>
      <c r="N362" s="96"/>
      <c r="O362" s="101" t="n">
        <f aca="false">IF(Compare!$E$5="Local prices",IF(F362="","",IF(Compare!$C$5="Minimum",F362,IF(Compare!$C$5="Maximum",H362,G362))),IF(I362="","",IF(Compare!$C$5="Minimum",I362,IF(Compare!$C$5="Maximum",K362,J362))))</f>
        <v>4.068105</v>
      </c>
    </row>
    <row r="363" customFormat="false" ht="13.5" hidden="false" customHeight="false" outlineLevel="0" collapsed="false">
      <c r="B363" s="36" t="s">
        <v>90</v>
      </c>
      <c r="C363" s="98" t="s">
        <v>15</v>
      </c>
      <c r="D363" s="98" t="s">
        <v>244</v>
      </c>
      <c r="E363" s="98" t="s">
        <v>491</v>
      </c>
      <c r="F363" s="99" t="n">
        <f aca="false">IF(COUNTIFS(Offers!$B$7:$B$3000,$B363,Offers!$C$7:$C$3000,$C363,Offers!$AH$7:$AH$3000,"yes")=0,"",SUMIFS(Offers!$H$7:$H$3000,Offers!$B$7:$B$3000,$B363,Offers!$C$7:$C$3000,$C363,Offers!$AF$7:$AF$3000,1))</f>
        <v>3.1</v>
      </c>
      <c r="G363" s="93" t="n">
        <f aca="false">IF(COUNTIFS(Offers!$B$7:$B$3000,$B363,Offers!$C$7:$C$3000,$C363,Offers!$AH$7:$AH$3000,"yes")=0,"",(SUMIFS(Offers!$H$7:$H$3000,Offers!$B$7:$B$3000,$B363,Offers!$C$7:$C$3000,$C363,Offers!$AF$7:$AF$3000,ROUNDUP(COUNTIFS(Offers!$B$7:$B$3000,$B363,Offers!$C$7:$C$3000,$C363,Offers!$AH$7:$AH$3000,"yes")/2,0))+SUMIFS(Offers!$H$7:$H$3000,Offers!$B$7:$B$3000,$B363,Offers!$C$7:$C$3000,$C363,Offers!$AF$7:$AF$3000,INT(COUNTIFS(Offers!$B$7:$B$3000,$B363,Offers!$C$7:$C$3000,$C363,Offers!$AH$7:$AH$3000,"yes")/2)+1))/2)</f>
        <v>5.15</v>
      </c>
      <c r="H363" s="99" t="n">
        <f aca="false">IF(COUNTIFS(Offers!$B$7:$B$3000,$B363,Offers!$C$7:$C$3000,$C363,Offers!$AH$7:$AH$3000,"yes")=0,"",SUMIFS(Offers!$H$7:$H$3000,Offers!$B$7:$B$3000,$B363,Offers!$C$7:$C$3000,$C363,Offers!$AF$7:$AF$3000,COUNTIFS(Offers!$B$7:$B$3000,$B363,Offers!$C$7:$C$3000,$C363,Offers!$AH$7:$AH$3000,"yes")))</f>
        <v>15.3</v>
      </c>
      <c r="I363" s="100" t="n">
        <f aca="false">IF(COUNTIFS(Offers!$B$7:$B$3000,$B363,Offers!$C$7:$C$3000,$C363,Offers!$AI$7:$AI$3000,"yes")=0,"",SUMIFS(Offers!$I$7:$I$3000,Offers!$B$7:$B$3000,$B363,Offers!$C$7:$C$3000,$C363,Offers!$AG$7:$AG$3000,1))</f>
        <v>3.1</v>
      </c>
      <c r="J363" s="95" t="n">
        <f aca="false">IF(COUNTIFS(Offers!$B$7:$B$3000,$B363,Offers!$C$7:$C$3000,$C363,Offers!$AI$7:$AI$3000,"yes")=0,"",(SUMIFS(Offers!$I$7:$I$3000,Offers!$B$7:$B$3000,$B363,Offers!$C$7:$C$3000,$C363,Offers!$AG$7:$AG$3000,ROUNDUP(COUNTIFS(Offers!$B$7:$B$3000,$B363,Offers!$C$7:$C$3000,$C363,Offers!$AI$7:$AI$3000,"yes")/2,0))+SUMIFS(Offers!$I$7:$I$3000,Offers!$B$7:$B$3000,$B363,Offers!$C$7:$C$3000,$C363,Offers!$AG$7:$AG$3000,INT(COUNTIFS(Offers!$B$7:$B$3000,$B363,Offers!$C$7:$C$3000,$C363,Offers!$AI$7:$AI$3000,"yes")/2)+1))/2)</f>
        <v>5.15</v>
      </c>
      <c r="K363" s="100" t="n">
        <f aca="false">IF(COUNTIFS(Offers!$B$7:$B$3000,$B363,Offers!$C$7:$C$3000,$C363,Offers!$AI$7:$AI$3000,"yes")=0,"",SUMIFS(Offers!$I$7:$I$3000,Offers!$B$7:$B$3000,$B363,Offers!$C$7:$C$3000,$C363,Offers!$AG$7:$AG$3000,COUNTIFS(Offers!$B$7:$B$3000,$B363,Offers!$C$7:$C$3000,$C363,Offers!$AI$7:$AI$3000,"yes")))</f>
        <v>15.3</v>
      </c>
      <c r="L363" s="96"/>
      <c r="M363" s="96"/>
      <c r="N363" s="96"/>
      <c r="O363" s="101" t="n">
        <f aca="false">IF(Compare!$E$5="Local prices",IF(F363="","",IF(Compare!$C$5="Minimum",F363,IF(Compare!$C$5="Maximum",H363,G363))),IF(I363="","",IF(Compare!$C$5="Minimum",I363,IF(Compare!$C$5="Maximum",K363,J363))))</f>
        <v>5.15</v>
      </c>
    </row>
    <row r="364" customFormat="false" ht="13.5" hidden="false" customHeight="false" outlineLevel="0" collapsed="false">
      <c r="B364" s="36" t="s">
        <v>90</v>
      </c>
      <c r="C364" s="98" t="s">
        <v>16</v>
      </c>
      <c r="D364" s="98" t="s">
        <v>244</v>
      </c>
      <c r="E364" s="98" t="s">
        <v>491</v>
      </c>
      <c r="F364" s="99" t="n">
        <f aca="false">IF(COUNTIFS(Offers!$B$7:$B$3000,$B364,Offers!$C$7:$C$3000,$C364,Offers!$AH$7:$AH$3000,"yes")=0,"",SUMIFS(Offers!$H$7:$H$3000,Offers!$B$7:$B$3000,$B364,Offers!$C$7:$C$3000,$C364,Offers!$AF$7:$AF$3000,1))</f>
        <v>2.9</v>
      </c>
      <c r="G364" s="93" t="n">
        <f aca="false">IF(COUNTIFS(Offers!$B$7:$B$3000,$B364,Offers!$C$7:$C$3000,$C364,Offers!$AH$7:$AH$3000,"yes")=0,"",(SUMIFS(Offers!$H$7:$H$3000,Offers!$B$7:$B$3000,$B364,Offers!$C$7:$C$3000,$C364,Offers!$AF$7:$AF$3000,ROUNDUP(COUNTIFS(Offers!$B$7:$B$3000,$B364,Offers!$C$7:$C$3000,$C364,Offers!$AH$7:$AH$3000,"yes")/2,0))+SUMIFS(Offers!$H$7:$H$3000,Offers!$B$7:$B$3000,$B364,Offers!$C$7:$C$3000,$C364,Offers!$AF$7:$AF$3000,INT(COUNTIFS(Offers!$B$7:$B$3000,$B364,Offers!$C$7:$C$3000,$C364,Offers!$AH$7:$AH$3000,"yes")/2)+1))/2)</f>
        <v>4.19</v>
      </c>
      <c r="H364" s="99" t="n">
        <f aca="false">IF(COUNTIFS(Offers!$B$7:$B$3000,$B364,Offers!$C$7:$C$3000,$C364,Offers!$AH$7:$AH$3000,"yes")=0,"",SUMIFS(Offers!$H$7:$H$3000,Offers!$B$7:$B$3000,$B364,Offers!$C$7:$C$3000,$C364,Offers!$AF$7:$AF$3000,COUNTIFS(Offers!$B$7:$B$3000,$B364,Offers!$C$7:$C$3000,$C364,Offers!$AH$7:$AH$3000,"yes")))</f>
        <v>5.72</v>
      </c>
      <c r="I364" s="100" t="n">
        <f aca="false">IF(COUNTIFS(Offers!$B$7:$B$3000,$B364,Offers!$C$7:$C$3000,$C364,Offers!$AI$7:$AI$3000,"yes")=0,"",SUMIFS(Offers!$I$7:$I$3000,Offers!$B$7:$B$3000,$B364,Offers!$C$7:$C$3000,$C364,Offers!$AG$7:$AG$3000,1))</f>
        <v>2.9</v>
      </c>
      <c r="J364" s="95" t="n">
        <f aca="false">IF(COUNTIFS(Offers!$B$7:$B$3000,$B364,Offers!$C$7:$C$3000,$C364,Offers!$AI$7:$AI$3000,"yes")=0,"",(SUMIFS(Offers!$I$7:$I$3000,Offers!$B$7:$B$3000,$B364,Offers!$C$7:$C$3000,$C364,Offers!$AG$7:$AG$3000,ROUNDUP(COUNTIFS(Offers!$B$7:$B$3000,$B364,Offers!$C$7:$C$3000,$C364,Offers!$AI$7:$AI$3000,"yes")/2,0))+SUMIFS(Offers!$I$7:$I$3000,Offers!$B$7:$B$3000,$B364,Offers!$C$7:$C$3000,$C364,Offers!$AG$7:$AG$3000,INT(COUNTIFS(Offers!$B$7:$B$3000,$B364,Offers!$C$7:$C$3000,$C364,Offers!$AI$7:$AI$3000,"yes")/2)+1))/2)</f>
        <v>4.19</v>
      </c>
      <c r="K364" s="100" t="n">
        <f aca="false">IF(COUNTIFS(Offers!$B$7:$B$3000,$B364,Offers!$C$7:$C$3000,$C364,Offers!$AI$7:$AI$3000,"yes")=0,"",SUMIFS(Offers!$I$7:$I$3000,Offers!$B$7:$B$3000,$B364,Offers!$C$7:$C$3000,$C364,Offers!$AG$7:$AG$3000,COUNTIFS(Offers!$B$7:$B$3000,$B364,Offers!$C$7:$C$3000,$C364,Offers!$AI$7:$AI$3000,"yes")))</f>
        <v>5.72</v>
      </c>
      <c r="L364" s="96"/>
      <c r="M364" s="96"/>
      <c r="N364" s="96"/>
      <c r="O364" s="101" t="n">
        <f aca="false">IF(Compare!$E$5="Local prices",IF(F364="","",IF(Compare!$C$5="Minimum",F364,IF(Compare!$C$5="Maximum",H364,G364))),IF(I364="","",IF(Compare!$C$5="Minimum",I364,IF(Compare!$C$5="Maximum",K364,J364))))</f>
        <v>4.19</v>
      </c>
    </row>
    <row r="365" customFormat="false" ht="13.5" hidden="false" customHeight="false" outlineLevel="0" collapsed="false">
      <c r="B365" s="36" t="s">
        <v>90</v>
      </c>
      <c r="C365" s="98" t="s">
        <v>17</v>
      </c>
      <c r="D365" s="98" t="s">
        <v>333</v>
      </c>
      <c r="E365" s="98" t="s">
        <v>491</v>
      </c>
      <c r="F365" s="99" t="n">
        <f aca="false">IF(COUNTIFS(Offers!$B$7:$B$3000,$B365,Offers!$C$7:$C$3000,$C365,Offers!$AH$7:$AH$3000,"yes")=0,"",SUMIFS(Offers!$H$7:$H$3000,Offers!$B$7:$B$3000,$B365,Offers!$C$7:$C$3000,$C365,Offers!$AF$7:$AF$3000,1))</f>
        <v>70.25</v>
      </c>
      <c r="G365" s="93" t="n">
        <f aca="false">IF(COUNTIFS(Offers!$B$7:$B$3000,$B365,Offers!$C$7:$C$3000,$C365,Offers!$AH$7:$AH$3000,"yes")=0,"",(SUMIFS(Offers!$H$7:$H$3000,Offers!$B$7:$B$3000,$B365,Offers!$C$7:$C$3000,$C365,Offers!$AF$7:$AF$3000,ROUNDUP(COUNTIFS(Offers!$B$7:$B$3000,$B365,Offers!$C$7:$C$3000,$C365,Offers!$AH$7:$AH$3000,"yes")/2,0))+SUMIFS(Offers!$H$7:$H$3000,Offers!$B$7:$B$3000,$B365,Offers!$C$7:$C$3000,$C365,Offers!$AF$7:$AF$3000,INT(COUNTIFS(Offers!$B$7:$B$3000,$B365,Offers!$C$7:$C$3000,$C365,Offers!$AH$7:$AH$3000,"yes")/2)+1))/2)</f>
        <v>89.26</v>
      </c>
      <c r="H365" s="99" t="n">
        <f aca="false">IF(COUNTIFS(Offers!$B$7:$B$3000,$B365,Offers!$C$7:$C$3000,$C365,Offers!$AH$7:$AH$3000,"yes")=0,"",SUMIFS(Offers!$H$7:$H$3000,Offers!$B$7:$B$3000,$B365,Offers!$C$7:$C$3000,$C365,Offers!$AF$7:$AF$3000,COUNTIFS(Offers!$B$7:$B$3000,$B365,Offers!$C$7:$C$3000,$C365,Offers!$AH$7:$AH$3000,"yes")))</f>
        <v>172</v>
      </c>
      <c r="I365" s="100" t="n">
        <f aca="false">IF(COUNTIFS(Offers!$B$7:$B$3000,$B365,Offers!$C$7:$C$3000,$C365,Offers!$AI$7:$AI$3000,"yes")=0,"",SUMIFS(Offers!$I$7:$I$3000,Offers!$B$7:$B$3000,$B365,Offers!$C$7:$C$3000,$C365,Offers!$AG$7:$AG$3000,1))</f>
        <v>2.876314</v>
      </c>
      <c r="J365" s="95" t="n">
        <f aca="false">IF(COUNTIFS(Offers!$B$7:$B$3000,$B365,Offers!$C$7:$C$3000,$C365,Offers!$AI$7:$AI$3000,"yes")=0,"",(SUMIFS(Offers!$I$7:$I$3000,Offers!$B$7:$B$3000,$B365,Offers!$C$7:$C$3000,$C365,Offers!$AG$7:$AG$3000,ROUNDUP(COUNTIFS(Offers!$B$7:$B$3000,$B365,Offers!$C$7:$C$3000,$C365,Offers!$AI$7:$AI$3000,"yes")/2,0))+SUMIFS(Offers!$I$7:$I$3000,Offers!$B$7:$B$3000,$B365,Offers!$C$7:$C$3000,$C365,Offers!$AG$7:$AG$3000,INT(COUNTIFS(Offers!$B$7:$B$3000,$B365,Offers!$C$7:$C$3000,$C365,Offers!$AI$7:$AI$3000,"yes")/2)+1))/2)</f>
        <v>3.65466</v>
      </c>
      <c r="K365" s="100" t="n">
        <f aca="false">IF(COUNTIFS(Offers!$B$7:$B$3000,$B365,Offers!$C$7:$C$3000,$C365,Offers!$AI$7:$AI$3000,"yes")=0,"",SUMIFS(Offers!$I$7:$I$3000,Offers!$B$7:$B$3000,$B365,Offers!$C$7:$C$3000,$C365,Offers!$AG$7:$AG$3000,COUNTIFS(Offers!$B$7:$B$3000,$B365,Offers!$C$7:$C$3000,$C365,Offers!$AI$7:$AI$3000,"yes")))</f>
        <v>7.042364</v>
      </c>
      <c r="L365" s="96"/>
      <c r="M365" s="96"/>
      <c r="N365" s="96"/>
      <c r="O365" s="101" t="n">
        <f aca="false">IF(Compare!$E$5="Local prices",IF(F365="","",IF(Compare!$C$5="Minimum",F365,IF(Compare!$C$5="Maximum",H365,G365))),IF(I365="","",IF(Compare!$C$5="Minimum",I365,IF(Compare!$C$5="Maximum",K365,J365))))</f>
        <v>3.65466</v>
      </c>
    </row>
    <row r="366" customFormat="false" ht="13.5" hidden="false" customHeight="false" outlineLevel="0" collapsed="false">
      <c r="B366" s="36" t="s">
        <v>90</v>
      </c>
      <c r="C366" s="98" t="s">
        <v>18</v>
      </c>
      <c r="D366" s="98" t="s">
        <v>244</v>
      </c>
      <c r="E366" s="98" t="s">
        <v>491</v>
      </c>
      <c r="F366" s="99" t="n">
        <f aca="false">IF(COUNTIFS(Offers!$B$7:$B$3000,$B366,Offers!$C$7:$C$3000,$C366,Offers!$AH$7:$AH$3000,"yes")=0,"",SUMIFS(Offers!$H$7:$H$3000,Offers!$B$7:$B$3000,$B366,Offers!$C$7:$C$3000,$C366,Offers!$AF$7:$AF$3000,1))</f>
        <v>2.78</v>
      </c>
      <c r="G366" s="93" t="n">
        <f aca="false">IF(COUNTIFS(Offers!$B$7:$B$3000,$B366,Offers!$C$7:$C$3000,$C366,Offers!$AH$7:$AH$3000,"yes")=0,"",(SUMIFS(Offers!$H$7:$H$3000,Offers!$B$7:$B$3000,$B366,Offers!$C$7:$C$3000,$C366,Offers!$AF$7:$AF$3000,ROUNDUP(COUNTIFS(Offers!$B$7:$B$3000,$B366,Offers!$C$7:$C$3000,$C366,Offers!$AH$7:$AH$3000,"yes")/2,0))+SUMIFS(Offers!$H$7:$H$3000,Offers!$B$7:$B$3000,$B366,Offers!$C$7:$C$3000,$C366,Offers!$AF$7:$AF$3000,INT(COUNTIFS(Offers!$B$7:$B$3000,$B366,Offers!$C$7:$C$3000,$C366,Offers!$AH$7:$AH$3000,"yes")/2)+1))/2)</f>
        <v>4.45</v>
      </c>
      <c r="H366" s="99" t="n">
        <f aca="false">IF(COUNTIFS(Offers!$B$7:$B$3000,$B366,Offers!$C$7:$C$3000,$C366,Offers!$AH$7:$AH$3000,"yes")=0,"",SUMIFS(Offers!$H$7:$H$3000,Offers!$B$7:$B$3000,$B366,Offers!$C$7:$C$3000,$C366,Offers!$AF$7:$AF$3000,COUNTIFS(Offers!$B$7:$B$3000,$B366,Offers!$C$7:$C$3000,$C366,Offers!$AH$7:$AH$3000,"yes")))</f>
        <v>9.54</v>
      </c>
      <c r="I366" s="100" t="n">
        <f aca="false">IF(COUNTIFS(Offers!$B$7:$B$3000,$B366,Offers!$C$7:$C$3000,$C366,Offers!$AI$7:$AI$3000,"yes")=0,"",SUMIFS(Offers!$I$7:$I$3000,Offers!$B$7:$B$3000,$B366,Offers!$C$7:$C$3000,$C366,Offers!$AG$7:$AG$3000,1))</f>
        <v>2.78</v>
      </c>
      <c r="J366" s="95" t="n">
        <f aca="false">IF(COUNTIFS(Offers!$B$7:$B$3000,$B366,Offers!$C$7:$C$3000,$C366,Offers!$AI$7:$AI$3000,"yes")=0,"",(SUMIFS(Offers!$I$7:$I$3000,Offers!$B$7:$B$3000,$B366,Offers!$C$7:$C$3000,$C366,Offers!$AG$7:$AG$3000,ROUNDUP(COUNTIFS(Offers!$B$7:$B$3000,$B366,Offers!$C$7:$C$3000,$C366,Offers!$AI$7:$AI$3000,"yes")/2,0))+SUMIFS(Offers!$I$7:$I$3000,Offers!$B$7:$B$3000,$B366,Offers!$C$7:$C$3000,$C366,Offers!$AG$7:$AG$3000,INT(COUNTIFS(Offers!$B$7:$B$3000,$B366,Offers!$C$7:$C$3000,$C366,Offers!$AI$7:$AI$3000,"yes")/2)+1))/2)</f>
        <v>4.45</v>
      </c>
      <c r="K366" s="100" t="n">
        <f aca="false">IF(COUNTIFS(Offers!$B$7:$B$3000,$B366,Offers!$C$7:$C$3000,$C366,Offers!$AI$7:$AI$3000,"yes")=0,"",SUMIFS(Offers!$I$7:$I$3000,Offers!$B$7:$B$3000,$B366,Offers!$C$7:$C$3000,$C366,Offers!$AG$7:$AG$3000,COUNTIFS(Offers!$B$7:$B$3000,$B366,Offers!$C$7:$C$3000,$C366,Offers!$AI$7:$AI$3000,"yes")))</f>
        <v>9.54</v>
      </c>
      <c r="L366" s="96"/>
      <c r="M366" s="96"/>
      <c r="N366" s="96"/>
      <c r="O366" s="101" t="n">
        <f aca="false">IF(Compare!$E$5="Local prices",IF(F366="","",IF(Compare!$C$5="Minimum",F366,IF(Compare!$C$5="Maximum",H366,G366))),IF(I366="","",IF(Compare!$C$5="Minimum",I366,IF(Compare!$C$5="Maximum",K366,J366))))</f>
        <v>4.45</v>
      </c>
    </row>
    <row r="367" customFormat="false" ht="13.5" hidden="false" customHeight="false" outlineLevel="0" collapsed="false">
      <c r="B367" s="36" t="s">
        <v>91</v>
      </c>
      <c r="C367" s="98" t="s">
        <v>13</v>
      </c>
      <c r="D367" s="98" t="s">
        <v>490</v>
      </c>
      <c r="E367" s="98" t="s">
        <v>491</v>
      </c>
      <c r="F367" s="99" t="str">
        <f aca="false">IF(COUNTIFS(Offers!$B$7:$B$3000,$B367,Offers!$C$7:$C$3000,$C367,Offers!$AH$7:$AH$3000,"yes")=0,"",SUMIFS(Offers!$H$7:$H$3000,Offers!$B$7:$B$3000,$B367,Offers!$C$7:$C$3000,$C367,Offers!$AF$7:$AF$3000,1))</f>
        <v/>
      </c>
      <c r="G367" s="93" t="str">
        <f aca="false">IF(COUNTIFS(Offers!$B$7:$B$3000,$B367,Offers!$C$7:$C$3000,$C367,Offers!$AH$7:$AH$3000,"yes")=0,"",(SUMIFS(Offers!$H$7:$H$3000,Offers!$B$7:$B$3000,$B367,Offers!$C$7:$C$3000,$C367,Offers!$AF$7:$AF$3000,ROUNDUP(COUNTIFS(Offers!$B$7:$B$3000,$B367,Offers!$C$7:$C$3000,$C367,Offers!$AH$7:$AH$3000,"yes")/2,0))+SUMIFS(Offers!$H$7:$H$3000,Offers!$B$7:$B$3000,$B367,Offers!$C$7:$C$3000,$C367,Offers!$AF$7:$AF$3000,INT(COUNTIFS(Offers!$B$7:$B$3000,$B367,Offers!$C$7:$C$3000,$C367,Offers!$AH$7:$AH$3000,"yes")/2)+1))/2)</f>
        <v/>
      </c>
      <c r="H367" s="99" t="str">
        <f aca="false">IF(COUNTIFS(Offers!$B$7:$B$3000,$B367,Offers!$C$7:$C$3000,$C367,Offers!$AH$7:$AH$3000,"yes")=0,"",SUMIFS(Offers!$H$7:$H$3000,Offers!$B$7:$B$3000,$B367,Offers!$C$7:$C$3000,$C367,Offers!$AF$7:$AF$3000,COUNTIFS(Offers!$B$7:$B$3000,$B367,Offers!$C$7:$C$3000,$C367,Offers!$AH$7:$AH$3000,"yes")))</f>
        <v/>
      </c>
      <c r="I367" s="100" t="str">
        <f aca="false">IF(COUNTIFS(Offers!$B$7:$B$3000,$B367,Offers!$C$7:$C$3000,$C367,Offers!$AI$7:$AI$3000,"yes")=0,"",SUMIFS(Offers!$I$7:$I$3000,Offers!$B$7:$B$3000,$B367,Offers!$C$7:$C$3000,$C367,Offers!$AG$7:$AG$3000,1))</f>
        <v/>
      </c>
      <c r="J367" s="95" t="str">
        <f aca="false">IF(COUNTIFS(Offers!$B$7:$B$3000,$B367,Offers!$C$7:$C$3000,$C367,Offers!$AI$7:$AI$3000,"yes")=0,"",(SUMIFS(Offers!$I$7:$I$3000,Offers!$B$7:$B$3000,$B367,Offers!$C$7:$C$3000,$C367,Offers!$AG$7:$AG$3000,ROUNDUP(COUNTIFS(Offers!$B$7:$B$3000,$B367,Offers!$C$7:$C$3000,$C367,Offers!$AI$7:$AI$3000,"yes")/2,0))+SUMIFS(Offers!$I$7:$I$3000,Offers!$B$7:$B$3000,$B367,Offers!$C$7:$C$3000,$C367,Offers!$AG$7:$AG$3000,INT(COUNTIFS(Offers!$B$7:$B$3000,$B367,Offers!$C$7:$C$3000,$C367,Offers!$AI$7:$AI$3000,"yes")/2)+1))/2)</f>
        <v/>
      </c>
      <c r="K367" s="100" t="str">
        <f aca="false">IF(COUNTIFS(Offers!$B$7:$B$3000,$B367,Offers!$C$7:$C$3000,$C367,Offers!$AI$7:$AI$3000,"yes")=0,"",SUMIFS(Offers!$I$7:$I$3000,Offers!$B$7:$B$3000,$B367,Offers!$C$7:$C$3000,$C367,Offers!$AG$7:$AG$3000,COUNTIFS(Offers!$B$7:$B$3000,$B367,Offers!$C$7:$C$3000,$C367,Offers!$AI$7:$AI$3000,"yes")))</f>
        <v/>
      </c>
      <c r="L367" s="96"/>
      <c r="M367" s="96"/>
      <c r="N367" s="96"/>
      <c r="O367" s="110" t="str">
        <f aca="false">IF(Compare!$E$5="Local prices",IF(F367="","",IF(Compare!$C$5="Minimum",F367,IF(Compare!$C$5="Maximum",H367,G367))),IF(I367="","",IF(Compare!$C$5="Minimum",I367,IF(Compare!$C$5="Maximum",K367,J367))))</f>
        <v/>
      </c>
    </row>
    <row r="368" customFormat="false" ht="13.5" hidden="false" customHeight="false" outlineLevel="0" collapsed="false">
      <c r="B368" s="36" t="s">
        <v>91</v>
      </c>
      <c r="C368" s="98" t="s">
        <v>14</v>
      </c>
      <c r="D368" s="98" t="s">
        <v>374</v>
      </c>
      <c r="E368" s="98" t="s">
        <v>491</v>
      </c>
      <c r="F368" s="99" t="n">
        <f aca="false">IF(COUNTIFS(Offers!$B$7:$B$3000,$B368,Offers!$C$7:$C$3000,$C368,Offers!$AH$7:$AH$3000,"yes")=0,"",SUMIFS(Offers!$H$7:$H$3000,Offers!$B$7:$B$3000,$B368,Offers!$C$7:$C$3000,$C368,Offers!$AF$7:$AF$3000,1))</f>
        <v>23.01</v>
      </c>
      <c r="G368" s="93" t="n">
        <f aca="false">IF(COUNTIFS(Offers!$B$7:$B$3000,$B368,Offers!$C$7:$C$3000,$C368,Offers!$AH$7:$AH$3000,"yes")=0,"",(SUMIFS(Offers!$H$7:$H$3000,Offers!$B$7:$B$3000,$B368,Offers!$C$7:$C$3000,$C368,Offers!$AF$7:$AF$3000,ROUNDUP(COUNTIFS(Offers!$B$7:$B$3000,$B368,Offers!$C$7:$C$3000,$C368,Offers!$AH$7:$AH$3000,"yes")/2,0))+SUMIFS(Offers!$H$7:$H$3000,Offers!$B$7:$B$3000,$B368,Offers!$C$7:$C$3000,$C368,Offers!$AF$7:$AF$3000,INT(COUNTIFS(Offers!$B$7:$B$3000,$B368,Offers!$C$7:$C$3000,$C368,Offers!$AH$7:$AH$3000,"yes")/2)+1))/2)</f>
        <v>31.14</v>
      </c>
      <c r="H368" s="99" t="n">
        <f aca="false">IF(COUNTIFS(Offers!$B$7:$B$3000,$B368,Offers!$C$7:$C$3000,$C368,Offers!$AH$7:$AH$3000,"yes")=0,"",SUMIFS(Offers!$H$7:$H$3000,Offers!$B$7:$B$3000,$B368,Offers!$C$7:$C$3000,$C368,Offers!$AF$7:$AF$3000,COUNTIFS(Offers!$B$7:$B$3000,$B368,Offers!$C$7:$C$3000,$C368,Offers!$AH$7:$AH$3000,"yes")))</f>
        <v>41.08</v>
      </c>
      <c r="I368" s="100" t="n">
        <f aca="false">IF(COUNTIFS(Offers!$B$7:$B$3000,$B368,Offers!$C$7:$C$3000,$C368,Offers!$AI$7:$AI$3000,"yes")=0,"",SUMIFS(Offers!$I$7:$I$3000,Offers!$B$7:$B$3000,$B368,Offers!$C$7:$C$3000,$C368,Offers!$AG$7:$AG$3000,1))</f>
        <v>4.359902</v>
      </c>
      <c r="J368" s="95" t="n">
        <f aca="false">IF(COUNTIFS(Offers!$B$7:$B$3000,$B368,Offers!$C$7:$C$3000,$C368,Offers!$AI$7:$AI$3000,"yes")=0,"",(SUMIFS(Offers!$I$7:$I$3000,Offers!$B$7:$B$3000,$B368,Offers!$C$7:$C$3000,$C368,Offers!$AG$7:$AG$3000,ROUNDUP(COUNTIFS(Offers!$B$7:$B$3000,$B368,Offers!$C$7:$C$3000,$C368,Offers!$AI$7:$AI$3000,"yes")/2,0))+SUMIFS(Offers!$I$7:$I$3000,Offers!$B$7:$B$3000,$B368,Offers!$C$7:$C$3000,$C368,Offers!$AG$7:$AG$3000,INT(COUNTIFS(Offers!$B$7:$B$3000,$B368,Offers!$C$7:$C$3000,$C368,Offers!$AI$7:$AI$3000,"yes")/2)+1))/2)</f>
        <v>5.900363</v>
      </c>
      <c r="K368" s="100" t="n">
        <f aca="false">IF(COUNTIFS(Offers!$B$7:$B$3000,$B368,Offers!$C$7:$C$3000,$C368,Offers!$AI$7:$AI$3000,"yes")=0,"",SUMIFS(Offers!$I$7:$I$3000,Offers!$B$7:$B$3000,$B368,Offers!$C$7:$C$3000,$C368,Offers!$AG$7:$AG$3000,COUNTIFS(Offers!$B$7:$B$3000,$B368,Offers!$C$7:$C$3000,$C368,Offers!$AI$7:$AI$3000,"yes")))</f>
        <v>7.78378</v>
      </c>
      <c r="L368" s="96"/>
      <c r="M368" s="96"/>
      <c r="N368" s="96"/>
      <c r="O368" s="101" t="n">
        <f aca="false">IF(Compare!$E$5="Local prices",IF(F368="","",IF(Compare!$C$5="Minimum",F368,IF(Compare!$C$5="Maximum",H368,G368))),IF(I368="","",IF(Compare!$C$5="Minimum",I368,IF(Compare!$C$5="Maximum",K368,J368))))</f>
        <v>5.900363</v>
      </c>
    </row>
    <row r="369" customFormat="false" ht="13.5" hidden="false" customHeight="false" outlineLevel="0" collapsed="false">
      <c r="B369" s="36" t="s">
        <v>91</v>
      </c>
      <c r="C369" s="98" t="s">
        <v>15</v>
      </c>
      <c r="D369" s="98" t="s">
        <v>244</v>
      </c>
      <c r="E369" s="98" t="s">
        <v>491</v>
      </c>
      <c r="F369" s="99" t="n">
        <f aca="false">IF(COUNTIFS(Offers!$B$7:$B$3000,$B369,Offers!$C$7:$C$3000,$C369,Offers!$AH$7:$AH$3000,"yes")=0,"",SUMIFS(Offers!$H$7:$H$3000,Offers!$B$7:$B$3000,$B369,Offers!$C$7:$C$3000,$C369,Offers!$AF$7:$AF$3000,1))</f>
        <v>4.6</v>
      </c>
      <c r="G369" s="93" t="n">
        <f aca="false">IF(COUNTIFS(Offers!$B$7:$B$3000,$B369,Offers!$C$7:$C$3000,$C369,Offers!$AH$7:$AH$3000,"yes")=0,"",(SUMIFS(Offers!$H$7:$H$3000,Offers!$B$7:$B$3000,$B369,Offers!$C$7:$C$3000,$C369,Offers!$AF$7:$AF$3000,ROUNDUP(COUNTIFS(Offers!$B$7:$B$3000,$B369,Offers!$C$7:$C$3000,$C369,Offers!$AH$7:$AH$3000,"yes")/2,0))+SUMIFS(Offers!$H$7:$H$3000,Offers!$B$7:$B$3000,$B369,Offers!$C$7:$C$3000,$C369,Offers!$AF$7:$AF$3000,INT(COUNTIFS(Offers!$B$7:$B$3000,$B369,Offers!$C$7:$C$3000,$C369,Offers!$AH$7:$AH$3000,"yes")/2)+1))/2)</f>
        <v>6.99</v>
      </c>
      <c r="H369" s="99" t="n">
        <f aca="false">IF(COUNTIFS(Offers!$B$7:$B$3000,$B369,Offers!$C$7:$C$3000,$C369,Offers!$AH$7:$AH$3000,"yes")=0,"",SUMIFS(Offers!$H$7:$H$3000,Offers!$B$7:$B$3000,$B369,Offers!$C$7:$C$3000,$C369,Offers!$AF$7:$AF$3000,COUNTIFS(Offers!$B$7:$B$3000,$B369,Offers!$C$7:$C$3000,$C369,Offers!$AH$7:$AH$3000,"yes")))</f>
        <v>19.71</v>
      </c>
      <c r="I369" s="100" t="n">
        <f aca="false">IF(COUNTIFS(Offers!$B$7:$B$3000,$B369,Offers!$C$7:$C$3000,$C369,Offers!$AI$7:$AI$3000,"yes")=0,"",SUMIFS(Offers!$I$7:$I$3000,Offers!$B$7:$B$3000,$B369,Offers!$C$7:$C$3000,$C369,Offers!$AG$7:$AG$3000,1))</f>
        <v>4.6</v>
      </c>
      <c r="J369" s="95" t="n">
        <f aca="false">IF(COUNTIFS(Offers!$B$7:$B$3000,$B369,Offers!$C$7:$C$3000,$C369,Offers!$AI$7:$AI$3000,"yes")=0,"",(SUMIFS(Offers!$I$7:$I$3000,Offers!$B$7:$B$3000,$B369,Offers!$C$7:$C$3000,$C369,Offers!$AG$7:$AG$3000,ROUNDUP(COUNTIFS(Offers!$B$7:$B$3000,$B369,Offers!$C$7:$C$3000,$C369,Offers!$AI$7:$AI$3000,"yes")/2,0))+SUMIFS(Offers!$I$7:$I$3000,Offers!$B$7:$B$3000,$B369,Offers!$C$7:$C$3000,$C369,Offers!$AG$7:$AG$3000,INT(COUNTIFS(Offers!$B$7:$B$3000,$B369,Offers!$C$7:$C$3000,$C369,Offers!$AI$7:$AI$3000,"yes")/2)+1))/2)</f>
        <v>6.99</v>
      </c>
      <c r="K369" s="100" t="n">
        <f aca="false">IF(COUNTIFS(Offers!$B$7:$B$3000,$B369,Offers!$C$7:$C$3000,$C369,Offers!$AI$7:$AI$3000,"yes")=0,"",SUMIFS(Offers!$I$7:$I$3000,Offers!$B$7:$B$3000,$B369,Offers!$C$7:$C$3000,$C369,Offers!$AG$7:$AG$3000,COUNTIFS(Offers!$B$7:$B$3000,$B369,Offers!$C$7:$C$3000,$C369,Offers!$AI$7:$AI$3000,"yes")))</f>
        <v>19.71</v>
      </c>
      <c r="L369" s="96"/>
      <c r="M369" s="96"/>
      <c r="N369" s="96"/>
      <c r="O369" s="101" t="n">
        <f aca="false">IF(Compare!$E$5="Local prices",IF(F369="","",IF(Compare!$C$5="Minimum",F369,IF(Compare!$C$5="Maximum",H369,G369))),IF(I369="","",IF(Compare!$C$5="Minimum",I369,IF(Compare!$C$5="Maximum",K369,J369))))</f>
        <v>6.99</v>
      </c>
    </row>
    <row r="370" customFormat="false" ht="13.5" hidden="false" customHeight="false" outlineLevel="0" collapsed="false">
      <c r="B370" s="36" t="s">
        <v>91</v>
      </c>
      <c r="C370" s="98" t="s">
        <v>16</v>
      </c>
      <c r="D370" s="98" t="s">
        <v>244</v>
      </c>
      <c r="E370" s="98" t="s">
        <v>491</v>
      </c>
      <c r="F370" s="99" t="n">
        <f aca="false">IF(COUNTIFS(Offers!$B$7:$B$3000,$B370,Offers!$C$7:$C$3000,$C370,Offers!$AH$7:$AH$3000,"yes")=0,"",SUMIFS(Offers!$H$7:$H$3000,Offers!$B$7:$B$3000,$B370,Offers!$C$7:$C$3000,$C370,Offers!$AF$7:$AF$3000,1))</f>
        <v>3.49</v>
      </c>
      <c r="G370" s="93" t="n">
        <f aca="false">IF(COUNTIFS(Offers!$B$7:$B$3000,$B370,Offers!$C$7:$C$3000,$C370,Offers!$AH$7:$AH$3000,"yes")=0,"",(SUMIFS(Offers!$H$7:$H$3000,Offers!$B$7:$B$3000,$B370,Offers!$C$7:$C$3000,$C370,Offers!$AF$7:$AF$3000,ROUNDUP(COUNTIFS(Offers!$B$7:$B$3000,$B370,Offers!$C$7:$C$3000,$C370,Offers!$AH$7:$AH$3000,"yes")/2,0))+SUMIFS(Offers!$H$7:$H$3000,Offers!$B$7:$B$3000,$B370,Offers!$C$7:$C$3000,$C370,Offers!$AF$7:$AF$3000,INT(COUNTIFS(Offers!$B$7:$B$3000,$B370,Offers!$C$7:$C$3000,$C370,Offers!$AH$7:$AH$3000,"yes")/2)+1))/2)</f>
        <v>5.75</v>
      </c>
      <c r="H370" s="99" t="n">
        <f aca="false">IF(COUNTIFS(Offers!$B$7:$B$3000,$B370,Offers!$C$7:$C$3000,$C370,Offers!$AH$7:$AH$3000,"yes")=0,"",SUMIFS(Offers!$H$7:$H$3000,Offers!$B$7:$B$3000,$B370,Offers!$C$7:$C$3000,$C370,Offers!$AF$7:$AF$3000,COUNTIFS(Offers!$B$7:$B$3000,$B370,Offers!$C$7:$C$3000,$C370,Offers!$AH$7:$AH$3000,"yes")))</f>
        <v>7.05</v>
      </c>
      <c r="I370" s="100" t="n">
        <f aca="false">IF(COUNTIFS(Offers!$B$7:$B$3000,$B370,Offers!$C$7:$C$3000,$C370,Offers!$AI$7:$AI$3000,"yes")=0,"",SUMIFS(Offers!$I$7:$I$3000,Offers!$B$7:$B$3000,$B370,Offers!$C$7:$C$3000,$C370,Offers!$AG$7:$AG$3000,1))</f>
        <v>3.49</v>
      </c>
      <c r="J370" s="95" t="n">
        <f aca="false">IF(COUNTIFS(Offers!$B$7:$B$3000,$B370,Offers!$C$7:$C$3000,$C370,Offers!$AI$7:$AI$3000,"yes")=0,"",(SUMIFS(Offers!$I$7:$I$3000,Offers!$B$7:$B$3000,$B370,Offers!$C$7:$C$3000,$C370,Offers!$AG$7:$AG$3000,ROUNDUP(COUNTIFS(Offers!$B$7:$B$3000,$B370,Offers!$C$7:$C$3000,$C370,Offers!$AI$7:$AI$3000,"yes")/2,0))+SUMIFS(Offers!$I$7:$I$3000,Offers!$B$7:$B$3000,$B370,Offers!$C$7:$C$3000,$C370,Offers!$AG$7:$AG$3000,INT(COUNTIFS(Offers!$B$7:$B$3000,$B370,Offers!$C$7:$C$3000,$C370,Offers!$AI$7:$AI$3000,"yes")/2)+1))/2)</f>
        <v>5.75</v>
      </c>
      <c r="K370" s="100" t="n">
        <f aca="false">IF(COUNTIFS(Offers!$B$7:$B$3000,$B370,Offers!$C$7:$C$3000,$C370,Offers!$AI$7:$AI$3000,"yes")=0,"",SUMIFS(Offers!$I$7:$I$3000,Offers!$B$7:$B$3000,$B370,Offers!$C$7:$C$3000,$C370,Offers!$AG$7:$AG$3000,COUNTIFS(Offers!$B$7:$B$3000,$B370,Offers!$C$7:$C$3000,$C370,Offers!$AI$7:$AI$3000,"yes")))</f>
        <v>7.05</v>
      </c>
      <c r="L370" s="96"/>
      <c r="M370" s="96"/>
      <c r="N370" s="96"/>
      <c r="O370" s="101" t="n">
        <f aca="false">IF(Compare!$E$5="Local prices",IF(F370="","",IF(Compare!$C$5="Minimum",F370,IF(Compare!$C$5="Maximum",H370,G370))),IF(I370="","",IF(Compare!$C$5="Minimum",I370,IF(Compare!$C$5="Maximum",K370,J370))))</f>
        <v>5.75</v>
      </c>
    </row>
    <row r="371" customFormat="false" ht="13.5" hidden="false" customHeight="false" outlineLevel="0" collapsed="false">
      <c r="B371" s="36" t="s">
        <v>91</v>
      </c>
      <c r="C371" s="98" t="s">
        <v>17</v>
      </c>
      <c r="D371" s="98" t="s">
        <v>333</v>
      </c>
      <c r="E371" s="98" t="s">
        <v>491</v>
      </c>
      <c r="F371" s="99" t="n">
        <f aca="false">IF(COUNTIFS(Offers!$B$7:$B$3000,$B371,Offers!$C$7:$C$3000,$C371,Offers!$AH$7:$AH$3000,"yes")=0,"",SUMIFS(Offers!$H$7:$H$3000,Offers!$B$7:$B$3000,$B371,Offers!$C$7:$C$3000,$C371,Offers!$AF$7:$AF$3000,1))</f>
        <v>100.83</v>
      </c>
      <c r="G371" s="93" t="n">
        <f aca="false">IF(COUNTIFS(Offers!$B$7:$B$3000,$B371,Offers!$C$7:$C$3000,$C371,Offers!$AH$7:$AH$3000,"yes")=0,"",(SUMIFS(Offers!$H$7:$H$3000,Offers!$B$7:$B$3000,$B371,Offers!$C$7:$C$3000,$C371,Offers!$AF$7:$AF$3000,ROUNDUP(COUNTIFS(Offers!$B$7:$B$3000,$B371,Offers!$C$7:$C$3000,$C371,Offers!$AH$7:$AH$3000,"yes")/2,0))+SUMIFS(Offers!$H$7:$H$3000,Offers!$B$7:$B$3000,$B371,Offers!$C$7:$C$3000,$C371,Offers!$AF$7:$AF$3000,INT(COUNTIFS(Offers!$B$7:$B$3000,$B371,Offers!$C$7:$C$3000,$C371,Offers!$AH$7:$AH$3000,"yes")/2)+1))/2)</f>
        <v>139.67</v>
      </c>
      <c r="H371" s="99" t="n">
        <f aca="false">IF(COUNTIFS(Offers!$B$7:$B$3000,$B371,Offers!$C$7:$C$3000,$C371,Offers!$AH$7:$AH$3000,"yes")=0,"",SUMIFS(Offers!$H$7:$H$3000,Offers!$B$7:$B$3000,$B371,Offers!$C$7:$C$3000,$C371,Offers!$AF$7:$AF$3000,COUNTIFS(Offers!$B$7:$B$3000,$B371,Offers!$C$7:$C$3000,$C371,Offers!$AH$7:$AH$3000,"yes")))</f>
        <v>230</v>
      </c>
      <c r="I371" s="100" t="n">
        <f aca="false">IF(COUNTIFS(Offers!$B$7:$B$3000,$B371,Offers!$C$7:$C$3000,$C371,Offers!$AI$7:$AI$3000,"yes")=0,"",SUMIFS(Offers!$I$7:$I$3000,Offers!$B$7:$B$3000,$B371,Offers!$C$7:$C$3000,$C371,Offers!$AG$7:$AG$3000,1))</f>
        <v>4.128381</v>
      </c>
      <c r="J371" s="95" t="n">
        <f aca="false">IF(COUNTIFS(Offers!$B$7:$B$3000,$B371,Offers!$C$7:$C$3000,$C371,Offers!$AI$7:$AI$3000,"yes")=0,"",(SUMIFS(Offers!$I$7:$I$3000,Offers!$B$7:$B$3000,$B371,Offers!$C$7:$C$3000,$C371,Offers!$AG$7:$AG$3000,ROUNDUP(COUNTIFS(Offers!$B$7:$B$3000,$B371,Offers!$C$7:$C$3000,$C371,Offers!$AI$7:$AI$3000,"yes")/2,0))+SUMIFS(Offers!$I$7:$I$3000,Offers!$B$7:$B$3000,$B371,Offers!$C$7:$C$3000,$C371,Offers!$AG$7:$AG$3000,INT(COUNTIFS(Offers!$B$7:$B$3000,$B371,Offers!$C$7:$C$3000,$C371,Offers!$AI$7:$AI$3000,"yes")/2)+1))/2)</f>
        <v>5.718645</v>
      </c>
      <c r="K371" s="100" t="n">
        <f aca="false">IF(COUNTIFS(Offers!$B$7:$B$3000,$B371,Offers!$C$7:$C$3000,$C371,Offers!$AI$7:$AI$3000,"yes")=0,"",SUMIFS(Offers!$I$7:$I$3000,Offers!$B$7:$B$3000,$B371,Offers!$C$7:$C$3000,$C371,Offers!$AG$7:$AG$3000,COUNTIFS(Offers!$B$7:$B$3000,$B371,Offers!$C$7:$C$3000,$C371,Offers!$AI$7:$AI$3000,"yes")))</f>
        <v>9.417115</v>
      </c>
      <c r="L371" s="96"/>
      <c r="M371" s="96"/>
      <c r="N371" s="96"/>
      <c r="O371" s="101" t="n">
        <f aca="false">IF(Compare!$E$5="Local prices",IF(F371="","",IF(Compare!$C$5="Minimum",F371,IF(Compare!$C$5="Maximum",H371,G371))),IF(I371="","",IF(Compare!$C$5="Minimum",I371,IF(Compare!$C$5="Maximum",K371,J371))))</f>
        <v>5.718645</v>
      </c>
    </row>
    <row r="372" customFormat="false" ht="13.5" hidden="false" customHeight="false" outlineLevel="0" collapsed="false">
      <c r="B372" s="36" t="s">
        <v>91</v>
      </c>
      <c r="C372" s="98" t="s">
        <v>18</v>
      </c>
      <c r="D372" s="98" t="s">
        <v>244</v>
      </c>
      <c r="E372" s="98" t="s">
        <v>491</v>
      </c>
      <c r="F372" s="99" t="n">
        <f aca="false">IF(COUNTIFS(Offers!$B$7:$B$3000,$B372,Offers!$C$7:$C$3000,$C372,Offers!$AH$7:$AH$3000,"yes")=0,"",SUMIFS(Offers!$H$7:$H$3000,Offers!$B$7:$B$3000,$B372,Offers!$C$7:$C$3000,$C372,Offers!$AF$7:$AF$3000,1))</f>
        <v>4.03</v>
      </c>
      <c r="G372" s="93" t="n">
        <f aca="false">IF(COUNTIFS(Offers!$B$7:$B$3000,$B372,Offers!$C$7:$C$3000,$C372,Offers!$AH$7:$AH$3000,"yes")=0,"",(SUMIFS(Offers!$H$7:$H$3000,Offers!$B$7:$B$3000,$B372,Offers!$C$7:$C$3000,$C372,Offers!$AF$7:$AF$3000,ROUNDUP(COUNTIFS(Offers!$B$7:$B$3000,$B372,Offers!$C$7:$C$3000,$C372,Offers!$AH$7:$AH$3000,"yes")/2,0))+SUMIFS(Offers!$H$7:$H$3000,Offers!$B$7:$B$3000,$B372,Offers!$C$7:$C$3000,$C372,Offers!$AF$7:$AF$3000,INT(COUNTIFS(Offers!$B$7:$B$3000,$B372,Offers!$C$7:$C$3000,$C372,Offers!$AH$7:$AH$3000,"yes")/2)+1))/2)</f>
        <v>6.38</v>
      </c>
      <c r="H372" s="99" t="n">
        <f aca="false">IF(COUNTIFS(Offers!$B$7:$B$3000,$B372,Offers!$C$7:$C$3000,$C372,Offers!$AH$7:$AH$3000,"yes")=0,"",SUMIFS(Offers!$H$7:$H$3000,Offers!$B$7:$B$3000,$B372,Offers!$C$7:$C$3000,$C372,Offers!$AF$7:$AF$3000,COUNTIFS(Offers!$B$7:$B$3000,$B372,Offers!$C$7:$C$3000,$C372,Offers!$AH$7:$AH$3000,"yes")))</f>
        <v>7.4</v>
      </c>
      <c r="I372" s="100" t="n">
        <f aca="false">IF(COUNTIFS(Offers!$B$7:$B$3000,$B372,Offers!$C$7:$C$3000,$C372,Offers!$AI$7:$AI$3000,"yes")=0,"",SUMIFS(Offers!$I$7:$I$3000,Offers!$B$7:$B$3000,$B372,Offers!$C$7:$C$3000,$C372,Offers!$AG$7:$AG$3000,1))</f>
        <v>4.03</v>
      </c>
      <c r="J372" s="95" t="n">
        <f aca="false">IF(COUNTIFS(Offers!$B$7:$B$3000,$B372,Offers!$C$7:$C$3000,$C372,Offers!$AI$7:$AI$3000,"yes")=0,"",(SUMIFS(Offers!$I$7:$I$3000,Offers!$B$7:$B$3000,$B372,Offers!$C$7:$C$3000,$C372,Offers!$AG$7:$AG$3000,ROUNDUP(COUNTIFS(Offers!$B$7:$B$3000,$B372,Offers!$C$7:$C$3000,$C372,Offers!$AI$7:$AI$3000,"yes")/2,0))+SUMIFS(Offers!$I$7:$I$3000,Offers!$B$7:$B$3000,$B372,Offers!$C$7:$C$3000,$C372,Offers!$AG$7:$AG$3000,INT(COUNTIFS(Offers!$B$7:$B$3000,$B372,Offers!$C$7:$C$3000,$C372,Offers!$AI$7:$AI$3000,"yes")/2)+1))/2)</f>
        <v>6.38</v>
      </c>
      <c r="K372" s="100" t="n">
        <f aca="false">IF(COUNTIFS(Offers!$B$7:$B$3000,$B372,Offers!$C$7:$C$3000,$C372,Offers!$AI$7:$AI$3000,"yes")=0,"",SUMIFS(Offers!$I$7:$I$3000,Offers!$B$7:$B$3000,$B372,Offers!$C$7:$C$3000,$C372,Offers!$AG$7:$AG$3000,COUNTIFS(Offers!$B$7:$B$3000,$B372,Offers!$C$7:$C$3000,$C372,Offers!$AI$7:$AI$3000,"yes")))</f>
        <v>7.4</v>
      </c>
      <c r="L372" s="96"/>
      <c r="M372" s="96"/>
      <c r="N372" s="96"/>
      <c r="O372" s="101" t="n">
        <f aca="false">IF(Compare!$E$5="Local prices",IF(F372="","",IF(Compare!$C$5="Minimum",F372,IF(Compare!$C$5="Maximum",H372,G372))),IF(I372="","",IF(Compare!$C$5="Minimum",I372,IF(Compare!$C$5="Maximum",K372,J372))))</f>
        <v>6.38</v>
      </c>
    </row>
    <row r="373" customFormat="false" ht="13.5" hidden="false" customHeight="false" outlineLevel="0" collapsed="false">
      <c r="B373" s="36" t="s">
        <v>92</v>
      </c>
      <c r="C373" s="98" t="s">
        <v>13</v>
      </c>
      <c r="D373" s="98" t="s">
        <v>490</v>
      </c>
      <c r="E373" s="98" t="s">
        <v>491</v>
      </c>
      <c r="F373" s="99" t="str">
        <f aca="false">IF(COUNTIFS(Offers!$B$7:$B$3000,$B373,Offers!$C$7:$C$3000,$C373,Offers!$AH$7:$AH$3000,"yes")=0,"",SUMIFS(Offers!$H$7:$H$3000,Offers!$B$7:$B$3000,$B373,Offers!$C$7:$C$3000,$C373,Offers!$AF$7:$AF$3000,1))</f>
        <v/>
      </c>
      <c r="G373" s="93" t="str">
        <f aca="false">IF(COUNTIFS(Offers!$B$7:$B$3000,$B373,Offers!$C$7:$C$3000,$C373,Offers!$AH$7:$AH$3000,"yes")=0,"",(SUMIFS(Offers!$H$7:$H$3000,Offers!$B$7:$B$3000,$B373,Offers!$C$7:$C$3000,$C373,Offers!$AF$7:$AF$3000,ROUNDUP(COUNTIFS(Offers!$B$7:$B$3000,$B373,Offers!$C$7:$C$3000,$C373,Offers!$AH$7:$AH$3000,"yes")/2,0))+SUMIFS(Offers!$H$7:$H$3000,Offers!$B$7:$B$3000,$B373,Offers!$C$7:$C$3000,$C373,Offers!$AF$7:$AF$3000,INT(COUNTIFS(Offers!$B$7:$B$3000,$B373,Offers!$C$7:$C$3000,$C373,Offers!$AH$7:$AH$3000,"yes")/2)+1))/2)</f>
        <v/>
      </c>
      <c r="H373" s="99" t="str">
        <f aca="false">IF(COUNTIFS(Offers!$B$7:$B$3000,$B373,Offers!$C$7:$C$3000,$C373,Offers!$AH$7:$AH$3000,"yes")=0,"",SUMIFS(Offers!$H$7:$H$3000,Offers!$B$7:$B$3000,$B373,Offers!$C$7:$C$3000,$C373,Offers!$AF$7:$AF$3000,COUNTIFS(Offers!$B$7:$B$3000,$B373,Offers!$C$7:$C$3000,$C373,Offers!$AH$7:$AH$3000,"yes")))</f>
        <v/>
      </c>
      <c r="I373" s="100" t="str">
        <f aca="false">IF(COUNTIFS(Offers!$B$7:$B$3000,$B373,Offers!$C$7:$C$3000,$C373,Offers!$AI$7:$AI$3000,"yes")=0,"",SUMIFS(Offers!$I$7:$I$3000,Offers!$B$7:$B$3000,$B373,Offers!$C$7:$C$3000,$C373,Offers!$AG$7:$AG$3000,1))</f>
        <v/>
      </c>
      <c r="J373" s="95" t="str">
        <f aca="false">IF(COUNTIFS(Offers!$B$7:$B$3000,$B373,Offers!$C$7:$C$3000,$C373,Offers!$AI$7:$AI$3000,"yes")=0,"",(SUMIFS(Offers!$I$7:$I$3000,Offers!$B$7:$B$3000,$B373,Offers!$C$7:$C$3000,$C373,Offers!$AG$7:$AG$3000,ROUNDUP(COUNTIFS(Offers!$B$7:$B$3000,$B373,Offers!$C$7:$C$3000,$C373,Offers!$AI$7:$AI$3000,"yes")/2,0))+SUMIFS(Offers!$I$7:$I$3000,Offers!$B$7:$B$3000,$B373,Offers!$C$7:$C$3000,$C373,Offers!$AG$7:$AG$3000,INT(COUNTIFS(Offers!$B$7:$B$3000,$B373,Offers!$C$7:$C$3000,$C373,Offers!$AI$7:$AI$3000,"yes")/2)+1))/2)</f>
        <v/>
      </c>
      <c r="K373" s="100" t="str">
        <f aca="false">IF(COUNTIFS(Offers!$B$7:$B$3000,$B373,Offers!$C$7:$C$3000,$C373,Offers!$AI$7:$AI$3000,"yes")=0,"",SUMIFS(Offers!$I$7:$I$3000,Offers!$B$7:$B$3000,$B373,Offers!$C$7:$C$3000,$C373,Offers!$AG$7:$AG$3000,COUNTIFS(Offers!$B$7:$B$3000,$B373,Offers!$C$7:$C$3000,$C373,Offers!$AI$7:$AI$3000,"yes")))</f>
        <v/>
      </c>
      <c r="L373" s="96"/>
      <c r="M373" s="96"/>
      <c r="N373" s="96"/>
      <c r="O373" s="110" t="str">
        <f aca="false">IF(Compare!$E$5="Local prices",IF(F373="","",IF(Compare!$C$5="Minimum",F373,IF(Compare!$C$5="Maximum",H373,G373))),IF(I373="","",IF(Compare!$C$5="Minimum",I373,IF(Compare!$C$5="Maximum",K373,J373))))</f>
        <v/>
      </c>
    </row>
    <row r="374" customFormat="false" ht="13.5" hidden="false" customHeight="false" outlineLevel="0" collapsed="false">
      <c r="B374" s="36" t="s">
        <v>92</v>
      </c>
      <c r="C374" s="98" t="s">
        <v>14</v>
      </c>
      <c r="D374" s="98" t="s">
        <v>374</v>
      </c>
      <c r="E374" s="98" t="s">
        <v>491</v>
      </c>
      <c r="F374" s="99" t="n">
        <f aca="false">IF(COUNTIFS(Offers!$B$7:$B$3000,$B374,Offers!$C$7:$C$3000,$C374,Offers!$AH$7:$AH$3000,"yes")=0,"",SUMIFS(Offers!$H$7:$H$3000,Offers!$B$7:$B$3000,$B374,Offers!$C$7:$C$3000,$C374,Offers!$AF$7:$AF$3000,1))</f>
        <v>27.61</v>
      </c>
      <c r="G374" s="93" t="n">
        <f aca="false">IF(COUNTIFS(Offers!$B$7:$B$3000,$B374,Offers!$C$7:$C$3000,$C374,Offers!$AH$7:$AH$3000,"yes")=0,"",(SUMIFS(Offers!$H$7:$H$3000,Offers!$B$7:$B$3000,$B374,Offers!$C$7:$C$3000,$C374,Offers!$AF$7:$AF$3000,ROUNDUP(COUNTIFS(Offers!$B$7:$B$3000,$B374,Offers!$C$7:$C$3000,$C374,Offers!$AH$7:$AH$3000,"yes")/2,0))+SUMIFS(Offers!$H$7:$H$3000,Offers!$B$7:$B$3000,$B374,Offers!$C$7:$C$3000,$C374,Offers!$AF$7:$AF$3000,INT(COUNTIFS(Offers!$B$7:$B$3000,$B374,Offers!$C$7:$C$3000,$C374,Offers!$AH$7:$AH$3000,"yes")/2)+1))/2)</f>
        <v>36</v>
      </c>
      <c r="H374" s="99" t="n">
        <f aca="false">IF(COUNTIFS(Offers!$B$7:$B$3000,$B374,Offers!$C$7:$C$3000,$C374,Offers!$AH$7:$AH$3000,"yes")=0,"",SUMIFS(Offers!$H$7:$H$3000,Offers!$B$7:$B$3000,$B374,Offers!$C$7:$C$3000,$C374,Offers!$AF$7:$AF$3000,COUNTIFS(Offers!$B$7:$B$3000,$B374,Offers!$C$7:$C$3000,$C374,Offers!$AH$7:$AH$3000,"yes")))</f>
        <v>48.94</v>
      </c>
      <c r="I374" s="100" t="n">
        <f aca="false">IF(COUNTIFS(Offers!$B$7:$B$3000,$B374,Offers!$C$7:$C$3000,$C374,Offers!$AI$7:$AI$3000,"yes")=0,"",SUMIFS(Offers!$I$7:$I$3000,Offers!$B$7:$B$3000,$B374,Offers!$C$7:$C$3000,$C374,Offers!$AG$7:$AG$3000,1))</f>
        <v>5.231503</v>
      </c>
      <c r="J374" s="95" t="n">
        <f aca="false">IF(COUNTIFS(Offers!$B$7:$B$3000,$B374,Offers!$C$7:$C$3000,$C374,Offers!$AI$7:$AI$3000,"yes")=0,"",(SUMIFS(Offers!$I$7:$I$3000,Offers!$B$7:$B$3000,$B374,Offers!$C$7:$C$3000,$C374,Offers!$AG$7:$AG$3000,ROUNDUP(COUNTIFS(Offers!$B$7:$B$3000,$B374,Offers!$C$7:$C$3000,$C374,Offers!$AI$7:$AI$3000,"yes")/2,0))+SUMIFS(Offers!$I$7:$I$3000,Offers!$B$7:$B$3000,$B374,Offers!$C$7:$C$3000,$C374,Offers!$AG$7:$AG$3000,INT(COUNTIFS(Offers!$B$7:$B$3000,$B374,Offers!$C$7:$C$3000,$C374,Offers!$AI$7:$AI$3000,"yes")/2)+1))/2)</f>
        <v>6.821229</v>
      </c>
      <c r="K374" s="100" t="n">
        <f aca="false">IF(COUNTIFS(Offers!$B$7:$B$3000,$B374,Offers!$C$7:$C$3000,$C374,Offers!$AI$7:$AI$3000,"yes")=0,"",SUMIFS(Offers!$I$7:$I$3000,Offers!$B$7:$B$3000,$B374,Offers!$C$7:$C$3000,$C374,Offers!$AG$7:$AG$3000,COUNTIFS(Offers!$B$7:$B$3000,$B374,Offers!$C$7:$C$3000,$C374,Offers!$AI$7:$AI$3000,"yes")))</f>
        <v>9.273081</v>
      </c>
      <c r="L374" s="96"/>
      <c r="M374" s="96"/>
      <c r="N374" s="96"/>
      <c r="O374" s="101" t="n">
        <f aca="false">IF(Compare!$E$5="Local prices",IF(F374="","",IF(Compare!$C$5="Minimum",F374,IF(Compare!$C$5="Maximum",H374,G374))),IF(I374="","",IF(Compare!$C$5="Minimum",I374,IF(Compare!$C$5="Maximum",K374,J374))))</f>
        <v>6.821229</v>
      </c>
    </row>
    <row r="375" customFormat="false" ht="13.5" hidden="false" customHeight="false" outlineLevel="0" collapsed="false">
      <c r="B375" s="36" t="s">
        <v>92</v>
      </c>
      <c r="C375" s="98" t="s">
        <v>15</v>
      </c>
      <c r="D375" s="98" t="s">
        <v>244</v>
      </c>
      <c r="E375" s="98" t="s">
        <v>491</v>
      </c>
      <c r="F375" s="99" t="n">
        <f aca="false">IF(COUNTIFS(Offers!$B$7:$B$3000,$B375,Offers!$C$7:$C$3000,$C375,Offers!$AH$7:$AH$3000,"yes")=0,"",SUMIFS(Offers!$H$7:$H$3000,Offers!$B$7:$B$3000,$B375,Offers!$C$7:$C$3000,$C375,Offers!$AF$7:$AF$3000,1))</f>
        <v>5.3</v>
      </c>
      <c r="G375" s="93" t="n">
        <f aca="false">IF(COUNTIFS(Offers!$B$7:$B$3000,$B375,Offers!$C$7:$C$3000,$C375,Offers!$AH$7:$AH$3000,"yes")=0,"",(SUMIFS(Offers!$H$7:$H$3000,Offers!$B$7:$B$3000,$B375,Offers!$C$7:$C$3000,$C375,Offers!$AF$7:$AF$3000,ROUNDUP(COUNTIFS(Offers!$B$7:$B$3000,$B375,Offers!$C$7:$C$3000,$C375,Offers!$AH$7:$AH$3000,"yes")/2,0))+SUMIFS(Offers!$H$7:$H$3000,Offers!$B$7:$B$3000,$B375,Offers!$C$7:$C$3000,$C375,Offers!$AF$7:$AF$3000,INT(COUNTIFS(Offers!$B$7:$B$3000,$B375,Offers!$C$7:$C$3000,$C375,Offers!$AH$7:$AH$3000,"yes")/2)+1))/2)</f>
        <v>6.85</v>
      </c>
      <c r="H375" s="99" t="n">
        <f aca="false">IF(COUNTIFS(Offers!$B$7:$B$3000,$B375,Offers!$C$7:$C$3000,$C375,Offers!$AH$7:$AH$3000,"yes")=0,"",SUMIFS(Offers!$H$7:$H$3000,Offers!$B$7:$B$3000,$B375,Offers!$C$7:$C$3000,$C375,Offers!$AF$7:$AF$3000,COUNTIFS(Offers!$B$7:$B$3000,$B375,Offers!$C$7:$C$3000,$C375,Offers!$AH$7:$AH$3000,"yes")))</f>
        <v>12.75</v>
      </c>
      <c r="I375" s="100" t="n">
        <f aca="false">IF(COUNTIFS(Offers!$B$7:$B$3000,$B375,Offers!$C$7:$C$3000,$C375,Offers!$AI$7:$AI$3000,"yes")=0,"",SUMIFS(Offers!$I$7:$I$3000,Offers!$B$7:$B$3000,$B375,Offers!$C$7:$C$3000,$C375,Offers!$AG$7:$AG$3000,1))</f>
        <v>5.3</v>
      </c>
      <c r="J375" s="95" t="n">
        <f aca="false">IF(COUNTIFS(Offers!$B$7:$B$3000,$B375,Offers!$C$7:$C$3000,$C375,Offers!$AI$7:$AI$3000,"yes")=0,"",(SUMIFS(Offers!$I$7:$I$3000,Offers!$B$7:$B$3000,$B375,Offers!$C$7:$C$3000,$C375,Offers!$AG$7:$AG$3000,ROUNDUP(COUNTIFS(Offers!$B$7:$B$3000,$B375,Offers!$C$7:$C$3000,$C375,Offers!$AI$7:$AI$3000,"yes")/2,0))+SUMIFS(Offers!$I$7:$I$3000,Offers!$B$7:$B$3000,$B375,Offers!$C$7:$C$3000,$C375,Offers!$AG$7:$AG$3000,INT(COUNTIFS(Offers!$B$7:$B$3000,$B375,Offers!$C$7:$C$3000,$C375,Offers!$AI$7:$AI$3000,"yes")/2)+1))/2)</f>
        <v>6.85</v>
      </c>
      <c r="K375" s="100" t="n">
        <f aca="false">IF(COUNTIFS(Offers!$B$7:$B$3000,$B375,Offers!$C$7:$C$3000,$C375,Offers!$AI$7:$AI$3000,"yes")=0,"",SUMIFS(Offers!$I$7:$I$3000,Offers!$B$7:$B$3000,$B375,Offers!$C$7:$C$3000,$C375,Offers!$AG$7:$AG$3000,COUNTIFS(Offers!$B$7:$B$3000,$B375,Offers!$C$7:$C$3000,$C375,Offers!$AI$7:$AI$3000,"yes")))</f>
        <v>12.75</v>
      </c>
      <c r="L375" s="96"/>
      <c r="M375" s="96"/>
      <c r="N375" s="96"/>
      <c r="O375" s="101" t="n">
        <f aca="false">IF(Compare!$E$5="Local prices",IF(F375="","",IF(Compare!$C$5="Minimum",F375,IF(Compare!$C$5="Maximum",H375,G375))),IF(I375="","",IF(Compare!$C$5="Minimum",I375,IF(Compare!$C$5="Maximum",K375,J375))))</f>
        <v>6.85</v>
      </c>
    </row>
    <row r="376" customFormat="false" ht="13.5" hidden="false" customHeight="false" outlineLevel="0" collapsed="false">
      <c r="B376" s="36" t="s">
        <v>92</v>
      </c>
      <c r="C376" s="98" t="s">
        <v>16</v>
      </c>
      <c r="D376" s="98" t="s">
        <v>244</v>
      </c>
      <c r="E376" s="98" t="s">
        <v>491</v>
      </c>
      <c r="F376" s="99" t="n">
        <f aca="false">IF(COUNTIFS(Offers!$B$7:$B$3000,$B376,Offers!$C$7:$C$3000,$C376,Offers!$AH$7:$AH$3000,"yes")=0,"",SUMIFS(Offers!$H$7:$H$3000,Offers!$B$7:$B$3000,$B376,Offers!$C$7:$C$3000,$C376,Offers!$AF$7:$AF$3000,1))</f>
        <v>5.43</v>
      </c>
      <c r="G376" s="93" t="n">
        <f aca="false">IF(COUNTIFS(Offers!$B$7:$B$3000,$B376,Offers!$C$7:$C$3000,$C376,Offers!$AH$7:$AH$3000,"yes")=0,"",(SUMIFS(Offers!$H$7:$H$3000,Offers!$B$7:$B$3000,$B376,Offers!$C$7:$C$3000,$C376,Offers!$AF$7:$AF$3000,ROUNDUP(COUNTIFS(Offers!$B$7:$B$3000,$B376,Offers!$C$7:$C$3000,$C376,Offers!$AH$7:$AH$3000,"yes")/2,0))+SUMIFS(Offers!$H$7:$H$3000,Offers!$B$7:$B$3000,$B376,Offers!$C$7:$C$3000,$C376,Offers!$AF$7:$AF$3000,INT(COUNTIFS(Offers!$B$7:$B$3000,$B376,Offers!$C$7:$C$3000,$C376,Offers!$AH$7:$AH$3000,"yes")/2)+1))/2)</f>
        <v>7.245</v>
      </c>
      <c r="H376" s="99" t="n">
        <f aca="false">IF(COUNTIFS(Offers!$B$7:$B$3000,$B376,Offers!$C$7:$C$3000,$C376,Offers!$AH$7:$AH$3000,"yes")=0,"",SUMIFS(Offers!$H$7:$H$3000,Offers!$B$7:$B$3000,$B376,Offers!$C$7:$C$3000,$C376,Offers!$AF$7:$AF$3000,COUNTIFS(Offers!$B$7:$B$3000,$B376,Offers!$C$7:$C$3000,$C376,Offers!$AH$7:$AH$3000,"yes")))</f>
        <v>9.64</v>
      </c>
      <c r="I376" s="100" t="n">
        <f aca="false">IF(COUNTIFS(Offers!$B$7:$B$3000,$B376,Offers!$C$7:$C$3000,$C376,Offers!$AI$7:$AI$3000,"yes")=0,"",SUMIFS(Offers!$I$7:$I$3000,Offers!$B$7:$B$3000,$B376,Offers!$C$7:$C$3000,$C376,Offers!$AG$7:$AG$3000,1))</f>
        <v>5.43</v>
      </c>
      <c r="J376" s="95" t="n">
        <f aca="false">IF(COUNTIFS(Offers!$B$7:$B$3000,$B376,Offers!$C$7:$C$3000,$C376,Offers!$AI$7:$AI$3000,"yes")=0,"",(SUMIFS(Offers!$I$7:$I$3000,Offers!$B$7:$B$3000,$B376,Offers!$C$7:$C$3000,$C376,Offers!$AG$7:$AG$3000,ROUNDUP(COUNTIFS(Offers!$B$7:$B$3000,$B376,Offers!$C$7:$C$3000,$C376,Offers!$AI$7:$AI$3000,"yes")/2,0))+SUMIFS(Offers!$I$7:$I$3000,Offers!$B$7:$B$3000,$B376,Offers!$C$7:$C$3000,$C376,Offers!$AG$7:$AG$3000,INT(COUNTIFS(Offers!$B$7:$B$3000,$B376,Offers!$C$7:$C$3000,$C376,Offers!$AI$7:$AI$3000,"yes")/2)+1))/2)</f>
        <v>7.245</v>
      </c>
      <c r="K376" s="100" t="n">
        <f aca="false">IF(COUNTIFS(Offers!$B$7:$B$3000,$B376,Offers!$C$7:$C$3000,$C376,Offers!$AI$7:$AI$3000,"yes")=0,"",SUMIFS(Offers!$I$7:$I$3000,Offers!$B$7:$B$3000,$B376,Offers!$C$7:$C$3000,$C376,Offers!$AG$7:$AG$3000,COUNTIFS(Offers!$B$7:$B$3000,$B376,Offers!$C$7:$C$3000,$C376,Offers!$AI$7:$AI$3000,"yes")))</f>
        <v>9.64</v>
      </c>
      <c r="L376" s="96"/>
      <c r="M376" s="96"/>
      <c r="N376" s="96"/>
      <c r="O376" s="101" t="n">
        <f aca="false">IF(Compare!$E$5="Local prices",IF(F376="","",IF(Compare!$C$5="Minimum",F376,IF(Compare!$C$5="Maximum",H376,G376))),IF(I376="","",IF(Compare!$C$5="Minimum",I376,IF(Compare!$C$5="Maximum",K376,J376))))</f>
        <v>7.245</v>
      </c>
    </row>
    <row r="377" customFormat="false" ht="13.5" hidden="false" customHeight="false" outlineLevel="0" collapsed="false">
      <c r="B377" s="36" t="s">
        <v>92</v>
      </c>
      <c r="C377" s="98" t="s">
        <v>17</v>
      </c>
      <c r="D377" s="98" t="s">
        <v>333</v>
      </c>
      <c r="E377" s="98" t="s">
        <v>491</v>
      </c>
      <c r="F377" s="99" t="n">
        <f aca="false">IF(COUNTIFS(Offers!$B$7:$B$3000,$B377,Offers!$C$7:$C$3000,$C377,Offers!$AH$7:$AH$3000,"yes")=0,"",SUMIFS(Offers!$H$7:$H$3000,Offers!$B$7:$B$3000,$B377,Offers!$C$7:$C$3000,$C377,Offers!$AF$7:$AF$3000,1))</f>
        <v>109.92</v>
      </c>
      <c r="G377" s="93" t="n">
        <f aca="false">IF(COUNTIFS(Offers!$B$7:$B$3000,$B377,Offers!$C$7:$C$3000,$C377,Offers!$AH$7:$AH$3000,"yes")=0,"",(SUMIFS(Offers!$H$7:$H$3000,Offers!$B$7:$B$3000,$B377,Offers!$C$7:$C$3000,$C377,Offers!$AF$7:$AF$3000,ROUNDUP(COUNTIFS(Offers!$B$7:$B$3000,$B377,Offers!$C$7:$C$3000,$C377,Offers!$AH$7:$AH$3000,"yes")/2,0))+SUMIFS(Offers!$H$7:$H$3000,Offers!$B$7:$B$3000,$B377,Offers!$C$7:$C$3000,$C377,Offers!$AF$7:$AF$3000,INT(COUNTIFS(Offers!$B$7:$B$3000,$B377,Offers!$C$7:$C$3000,$C377,Offers!$AH$7:$AH$3000,"yes")/2)+1))/2)</f>
        <v>210.74</v>
      </c>
      <c r="H377" s="99" t="n">
        <f aca="false">IF(COUNTIFS(Offers!$B$7:$B$3000,$B377,Offers!$C$7:$C$3000,$C377,Offers!$AH$7:$AH$3000,"yes")=0,"",SUMIFS(Offers!$H$7:$H$3000,Offers!$B$7:$B$3000,$B377,Offers!$C$7:$C$3000,$C377,Offers!$AF$7:$AF$3000,COUNTIFS(Offers!$B$7:$B$3000,$B377,Offers!$C$7:$C$3000,$C377,Offers!$AH$7:$AH$3000,"yes")))</f>
        <v>267</v>
      </c>
      <c r="I377" s="100" t="n">
        <f aca="false">IF(COUNTIFS(Offers!$B$7:$B$3000,$B377,Offers!$C$7:$C$3000,$C377,Offers!$AI$7:$AI$3000,"yes")=0,"",SUMIFS(Offers!$I$7:$I$3000,Offers!$B$7:$B$3000,$B377,Offers!$C$7:$C$3000,$C377,Offers!$AG$7:$AG$3000,1))</f>
        <v>4.500562</v>
      </c>
      <c r="J377" s="95" t="n">
        <f aca="false">IF(COUNTIFS(Offers!$B$7:$B$3000,$B377,Offers!$C$7:$C$3000,$C377,Offers!$AI$7:$AI$3000,"yes")=0,"",(SUMIFS(Offers!$I$7:$I$3000,Offers!$B$7:$B$3000,$B377,Offers!$C$7:$C$3000,$C377,Offers!$AG$7:$AG$3000,ROUNDUP(COUNTIFS(Offers!$B$7:$B$3000,$B377,Offers!$C$7:$C$3000,$C377,Offers!$AI$7:$AI$3000,"yes")/2,0))+SUMIFS(Offers!$I$7:$I$3000,Offers!$B$7:$B$3000,$B377,Offers!$C$7:$C$3000,$C377,Offers!$AG$7:$AG$3000,INT(COUNTIFS(Offers!$B$7:$B$3000,$B377,Offers!$C$7:$C$3000,$C377,Offers!$AI$7:$AI$3000,"yes")/2)+1))/2)</f>
        <v>8.628534</v>
      </c>
      <c r="K377" s="100" t="n">
        <f aca="false">IF(COUNTIFS(Offers!$B$7:$B$3000,$B377,Offers!$C$7:$C$3000,$C377,Offers!$AI$7:$AI$3000,"yes")=0,"",SUMIFS(Offers!$I$7:$I$3000,Offers!$B$7:$B$3000,$B377,Offers!$C$7:$C$3000,$C377,Offers!$AG$7:$AG$3000,COUNTIFS(Offers!$B$7:$B$3000,$B377,Offers!$C$7:$C$3000,$C377,Offers!$AI$7:$AI$3000,"yes")))</f>
        <v>10.932042</v>
      </c>
      <c r="L377" s="96"/>
      <c r="M377" s="96"/>
      <c r="N377" s="96"/>
      <c r="O377" s="101" t="n">
        <f aca="false">IF(Compare!$E$5="Local prices",IF(F377="","",IF(Compare!$C$5="Minimum",F377,IF(Compare!$C$5="Maximum",H377,G377))),IF(I377="","",IF(Compare!$C$5="Minimum",I377,IF(Compare!$C$5="Maximum",K377,J377))))</f>
        <v>8.628534</v>
      </c>
    </row>
    <row r="378" customFormat="false" ht="13.5" hidden="false" customHeight="false" outlineLevel="0" collapsed="false">
      <c r="B378" s="36" t="s">
        <v>92</v>
      </c>
      <c r="C378" s="98" t="s">
        <v>18</v>
      </c>
      <c r="D378" s="98" t="s">
        <v>244</v>
      </c>
      <c r="E378" s="98" t="s">
        <v>491</v>
      </c>
      <c r="F378" s="99" t="n">
        <f aca="false">IF(COUNTIFS(Offers!$B$7:$B$3000,$B378,Offers!$C$7:$C$3000,$C378,Offers!$AH$7:$AH$3000,"yes")=0,"",SUMIFS(Offers!$H$7:$H$3000,Offers!$B$7:$B$3000,$B378,Offers!$C$7:$C$3000,$C378,Offers!$AF$7:$AF$3000,1))</f>
        <v>4.91</v>
      </c>
      <c r="G378" s="93" t="n">
        <f aca="false">IF(COUNTIFS(Offers!$B$7:$B$3000,$B378,Offers!$C$7:$C$3000,$C378,Offers!$AH$7:$AH$3000,"yes")=0,"",(SUMIFS(Offers!$H$7:$H$3000,Offers!$B$7:$B$3000,$B378,Offers!$C$7:$C$3000,$C378,Offers!$AF$7:$AF$3000,ROUNDUP(COUNTIFS(Offers!$B$7:$B$3000,$B378,Offers!$C$7:$C$3000,$C378,Offers!$AH$7:$AH$3000,"yes")/2,0))+SUMIFS(Offers!$H$7:$H$3000,Offers!$B$7:$B$3000,$B378,Offers!$C$7:$C$3000,$C378,Offers!$AF$7:$AF$3000,INT(COUNTIFS(Offers!$B$7:$B$3000,$B378,Offers!$C$7:$C$3000,$C378,Offers!$AH$7:$AH$3000,"yes")/2)+1))/2)</f>
        <v>7.5</v>
      </c>
      <c r="H378" s="99" t="n">
        <f aca="false">IF(COUNTIFS(Offers!$B$7:$B$3000,$B378,Offers!$C$7:$C$3000,$C378,Offers!$AH$7:$AH$3000,"yes")=0,"",SUMIFS(Offers!$H$7:$H$3000,Offers!$B$7:$B$3000,$B378,Offers!$C$7:$C$3000,$C378,Offers!$AF$7:$AF$3000,COUNTIFS(Offers!$B$7:$B$3000,$B378,Offers!$C$7:$C$3000,$C378,Offers!$AH$7:$AH$3000,"yes")))</f>
        <v>9.38</v>
      </c>
      <c r="I378" s="100" t="n">
        <f aca="false">IF(COUNTIFS(Offers!$B$7:$B$3000,$B378,Offers!$C$7:$C$3000,$C378,Offers!$AI$7:$AI$3000,"yes")=0,"",SUMIFS(Offers!$I$7:$I$3000,Offers!$B$7:$B$3000,$B378,Offers!$C$7:$C$3000,$C378,Offers!$AG$7:$AG$3000,1))</f>
        <v>4.91</v>
      </c>
      <c r="J378" s="95" t="n">
        <f aca="false">IF(COUNTIFS(Offers!$B$7:$B$3000,$B378,Offers!$C$7:$C$3000,$C378,Offers!$AI$7:$AI$3000,"yes")=0,"",(SUMIFS(Offers!$I$7:$I$3000,Offers!$B$7:$B$3000,$B378,Offers!$C$7:$C$3000,$C378,Offers!$AG$7:$AG$3000,ROUNDUP(COUNTIFS(Offers!$B$7:$B$3000,$B378,Offers!$C$7:$C$3000,$C378,Offers!$AI$7:$AI$3000,"yes")/2,0))+SUMIFS(Offers!$I$7:$I$3000,Offers!$B$7:$B$3000,$B378,Offers!$C$7:$C$3000,$C378,Offers!$AG$7:$AG$3000,INT(COUNTIFS(Offers!$B$7:$B$3000,$B378,Offers!$C$7:$C$3000,$C378,Offers!$AI$7:$AI$3000,"yes")/2)+1))/2)</f>
        <v>7.5</v>
      </c>
      <c r="K378" s="100" t="n">
        <f aca="false">IF(COUNTIFS(Offers!$B$7:$B$3000,$B378,Offers!$C$7:$C$3000,$C378,Offers!$AI$7:$AI$3000,"yes")=0,"",SUMIFS(Offers!$I$7:$I$3000,Offers!$B$7:$B$3000,$B378,Offers!$C$7:$C$3000,$C378,Offers!$AG$7:$AG$3000,COUNTIFS(Offers!$B$7:$B$3000,$B378,Offers!$C$7:$C$3000,$C378,Offers!$AI$7:$AI$3000,"yes")))</f>
        <v>9.38</v>
      </c>
      <c r="L378" s="96"/>
      <c r="M378" s="96"/>
      <c r="N378" s="96"/>
      <c r="O378" s="101" t="n">
        <f aca="false">IF(Compare!$E$5="Local prices",IF(F378="","",IF(Compare!$C$5="Minimum",F378,IF(Compare!$C$5="Maximum",H378,G378))),IF(I378="","",IF(Compare!$C$5="Minimum",I378,IF(Compare!$C$5="Maximum",K378,J378))))</f>
        <v>7.5</v>
      </c>
    </row>
    <row r="379" customFormat="false" ht="13.5" hidden="false" customHeight="false" outlineLevel="0" collapsed="false">
      <c r="B379" s="36" t="s">
        <v>93</v>
      </c>
      <c r="C379" s="98" t="s">
        <v>13</v>
      </c>
      <c r="D379" s="98" t="s">
        <v>490</v>
      </c>
      <c r="E379" s="98" t="s">
        <v>491</v>
      </c>
      <c r="F379" s="99" t="str">
        <f aca="false">IF(COUNTIFS(Offers!$B$7:$B$3000,$B379,Offers!$C$7:$C$3000,$C379,Offers!$AH$7:$AH$3000,"yes")=0,"",SUMIFS(Offers!$H$7:$H$3000,Offers!$B$7:$B$3000,$B379,Offers!$C$7:$C$3000,$C379,Offers!$AF$7:$AF$3000,1))</f>
        <v/>
      </c>
      <c r="G379" s="93" t="str">
        <f aca="false">IF(COUNTIFS(Offers!$B$7:$B$3000,$B379,Offers!$C$7:$C$3000,$C379,Offers!$AH$7:$AH$3000,"yes")=0,"",(SUMIFS(Offers!$H$7:$H$3000,Offers!$B$7:$B$3000,$B379,Offers!$C$7:$C$3000,$C379,Offers!$AF$7:$AF$3000,ROUNDUP(COUNTIFS(Offers!$B$7:$B$3000,$B379,Offers!$C$7:$C$3000,$C379,Offers!$AH$7:$AH$3000,"yes")/2,0))+SUMIFS(Offers!$H$7:$H$3000,Offers!$B$7:$B$3000,$B379,Offers!$C$7:$C$3000,$C379,Offers!$AF$7:$AF$3000,INT(COUNTIFS(Offers!$B$7:$B$3000,$B379,Offers!$C$7:$C$3000,$C379,Offers!$AH$7:$AH$3000,"yes")/2)+1))/2)</f>
        <v/>
      </c>
      <c r="H379" s="99" t="str">
        <f aca="false">IF(COUNTIFS(Offers!$B$7:$B$3000,$B379,Offers!$C$7:$C$3000,$C379,Offers!$AH$7:$AH$3000,"yes")=0,"",SUMIFS(Offers!$H$7:$H$3000,Offers!$B$7:$B$3000,$B379,Offers!$C$7:$C$3000,$C379,Offers!$AF$7:$AF$3000,COUNTIFS(Offers!$B$7:$B$3000,$B379,Offers!$C$7:$C$3000,$C379,Offers!$AH$7:$AH$3000,"yes")))</f>
        <v/>
      </c>
      <c r="I379" s="100" t="str">
        <f aca="false">IF(COUNTIFS(Offers!$B$7:$B$3000,$B379,Offers!$C$7:$C$3000,$C379,Offers!$AI$7:$AI$3000,"yes")=0,"",SUMIFS(Offers!$I$7:$I$3000,Offers!$B$7:$B$3000,$B379,Offers!$C$7:$C$3000,$C379,Offers!$AG$7:$AG$3000,1))</f>
        <v/>
      </c>
      <c r="J379" s="95" t="str">
        <f aca="false">IF(COUNTIFS(Offers!$B$7:$B$3000,$B379,Offers!$C$7:$C$3000,$C379,Offers!$AI$7:$AI$3000,"yes")=0,"",(SUMIFS(Offers!$I$7:$I$3000,Offers!$B$7:$B$3000,$B379,Offers!$C$7:$C$3000,$C379,Offers!$AG$7:$AG$3000,ROUNDUP(COUNTIFS(Offers!$B$7:$B$3000,$B379,Offers!$C$7:$C$3000,$C379,Offers!$AI$7:$AI$3000,"yes")/2,0))+SUMIFS(Offers!$I$7:$I$3000,Offers!$B$7:$B$3000,$B379,Offers!$C$7:$C$3000,$C379,Offers!$AG$7:$AG$3000,INT(COUNTIFS(Offers!$B$7:$B$3000,$B379,Offers!$C$7:$C$3000,$C379,Offers!$AI$7:$AI$3000,"yes")/2)+1))/2)</f>
        <v/>
      </c>
      <c r="K379" s="100" t="str">
        <f aca="false">IF(COUNTIFS(Offers!$B$7:$B$3000,$B379,Offers!$C$7:$C$3000,$C379,Offers!$AI$7:$AI$3000,"yes")=0,"",SUMIFS(Offers!$I$7:$I$3000,Offers!$B$7:$B$3000,$B379,Offers!$C$7:$C$3000,$C379,Offers!$AG$7:$AG$3000,COUNTIFS(Offers!$B$7:$B$3000,$B379,Offers!$C$7:$C$3000,$C379,Offers!$AI$7:$AI$3000,"yes")))</f>
        <v/>
      </c>
      <c r="L379" s="96"/>
      <c r="M379" s="96"/>
      <c r="N379" s="96"/>
      <c r="O379" s="110" t="str">
        <f aca="false">IF(Compare!$E$5="Local prices",IF(F379="","",IF(Compare!$C$5="Minimum",F379,IF(Compare!$C$5="Maximum",H379,G379))),IF(I379="","",IF(Compare!$C$5="Minimum",I379,IF(Compare!$C$5="Maximum",K379,J379))))</f>
        <v/>
      </c>
    </row>
    <row r="380" customFormat="false" ht="13.5" hidden="false" customHeight="false" outlineLevel="0" collapsed="false">
      <c r="B380" s="36" t="s">
        <v>93</v>
      </c>
      <c r="C380" s="98" t="s">
        <v>14</v>
      </c>
      <c r="D380" s="98" t="s">
        <v>374</v>
      </c>
      <c r="E380" s="98" t="s">
        <v>491</v>
      </c>
      <c r="F380" s="99" t="n">
        <f aca="false">IF(COUNTIFS(Offers!$B$7:$B$3000,$B380,Offers!$C$7:$C$3000,$C380,Offers!$AH$7:$AH$3000,"yes")=0,"",SUMIFS(Offers!$H$7:$H$3000,Offers!$B$7:$B$3000,$B380,Offers!$C$7:$C$3000,$C380,Offers!$AF$7:$AF$3000,1))</f>
        <v>10.59</v>
      </c>
      <c r="G380" s="93" t="n">
        <f aca="false">IF(COUNTIFS(Offers!$B$7:$B$3000,$B380,Offers!$C$7:$C$3000,$C380,Offers!$AH$7:$AH$3000,"yes")=0,"",(SUMIFS(Offers!$H$7:$H$3000,Offers!$B$7:$B$3000,$B380,Offers!$C$7:$C$3000,$C380,Offers!$AF$7:$AF$3000,ROUNDUP(COUNTIFS(Offers!$B$7:$B$3000,$B380,Offers!$C$7:$C$3000,$C380,Offers!$AH$7:$AH$3000,"yes")/2,0))+SUMIFS(Offers!$H$7:$H$3000,Offers!$B$7:$B$3000,$B380,Offers!$C$7:$C$3000,$C380,Offers!$AF$7:$AF$3000,INT(COUNTIFS(Offers!$B$7:$B$3000,$B380,Offers!$C$7:$C$3000,$C380,Offers!$AH$7:$AH$3000,"yes")/2)+1))/2)</f>
        <v>18.5</v>
      </c>
      <c r="H380" s="99" t="n">
        <f aca="false">IF(COUNTIFS(Offers!$B$7:$B$3000,$B380,Offers!$C$7:$C$3000,$C380,Offers!$AH$7:$AH$3000,"yes")=0,"",SUMIFS(Offers!$H$7:$H$3000,Offers!$B$7:$B$3000,$B380,Offers!$C$7:$C$3000,$C380,Offers!$AF$7:$AF$3000,COUNTIFS(Offers!$B$7:$B$3000,$B380,Offers!$C$7:$C$3000,$C380,Offers!$AH$7:$AH$3000,"yes")))</f>
        <v>27.54</v>
      </c>
      <c r="I380" s="100" t="n">
        <f aca="false">IF(COUNTIFS(Offers!$B$7:$B$3000,$B380,Offers!$C$7:$C$3000,$C380,Offers!$AI$7:$AI$3000,"yes")=0,"",SUMIFS(Offers!$I$7:$I$3000,Offers!$B$7:$B$3000,$B380,Offers!$C$7:$C$3000,$C380,Offers!$AG$7:$AG$3000,1))</f>
        <v>2.006578</v>
      </c>
      <c r="J380" s="95" t="n">
        <f aca="false">IF(COUNTIFS(Offers!$B$7:$B$3000,$B380,Offers!$C$7:$C$3000,$C380,Offers!$AI$7:$AI$3000,"yes")=0,"",(SUMIFS(Offers!$I$7:$I$3000,Offers!$B$7:$B$3000,$B380,Offers!$C$7:$C$3000,$C380,Offers!$AG$7:$AG$3000,ROUNDUP(COUNTIFS(Offers!$B$7:$B$3000,$B380,Offers!$C$7:$C$3000,$C380,Offers!$AI$7:$AI$3000,"yes")/2,0))+SUMIFS(Offers!$I$7:$I$3000,Offers!$B$7:$B$3000,$B380,Offers!$C$7:$C$3000,$C380,Offers!$AG$7:$AG$3000,INT(COUNTIFS(Offers!$B$7:$B$3000,$B380,Offers!$C$7:$C$3000,$C380,Offers!$AI$7:$AI$3000,"yes")/2)+1))/2)</f>
        <v>3.505354</v>
      </c>
      <c r="K380" s="100" t="n">
        <f aca="false">IF(COUNTIFS(Offers!$B$7:$B$3000,$B380,Offers!$C$7:$C$3000,$C380,Offers!$AI$7:$AI$3000,"yes")=0,"",SUMIFS(Offers!$I$7:$I$3000,Offers!$B$7:$B$3000,$B380,Offers!$C$7:$C$3000,$C380,Offers!$AG$7:$AG$3000,COUNTIFS(Offers!$B$7:$B$3000,$B380,Offers!$C$7:$C$3000,$C380,Offers!$AI$7:$AI$3000,"yes")))</f>
        <v>5.21824</v>
      </c>
      <c r="L380" s="96"/>
      <c r="M380" s="96"/>
      <c r="N380" s="96"/>
      <c r="O380" s="101" t="n">
        <f aca="false">IF(Compare!$E$5="Local prices",IF(F380="","",IF(Compare!$C$5="Minimum",F380,IF(Compare!$C$5="Maximum",H380,G380))),IF(I380="","",IF(Compare!$C$5="Minimum",I380,IF(Compare!$C$5="Maximum",K380,J380))))</f>
        <v>3.505354</v>
      </c>
    </row>
    <row r="381" customFormat="false" ht="13.5" hidden="false" customHeight="false" outlineLevel="0" collapsed="false">
      <c r="B381" s="36" t="s">
        <v>93</v>
      </c>
      <c r="C381" s="98" t="s">
        <v>15</v>
      </c>
      <c r="D381" s="98" t="s">
        <v>244</v>
      </c>
      <c r="E381" s="98" t="s">
        <v>491</v>
      </c>
      <c r="F381" s="99" t="n">
        <f aca="false">IF(COUNTIFS(Offers!$B$7:$B$3000,$B381,Offers!$C$7:$C$3000,$C381,Offers!$AH$7:$AH$3000,"yes")=0,"",SUMIFS(Offers!$H$7:$H$3000,Offers!$B$7:$B$3000,$B381,Offers!$C$7:$C$3000,$C381,Offers!$AF$7:$AF$3000,1))</f>
        <v>2.8</v>
      </c>
      <c r="G381" s="93" t="n">
        <f aca="false">IF(COUNTIFS(Offers!$B$7:$B$3000,$B381,Offers!$C$7:$C$3000,$C381,Offers!$AH$7:$AH$3000,"yes")=0,"",(SUMIFS(Offers!$H$7:$H$3000,Offers!$B$7:$B$3000,$B381,Offers!$C$7:$C$3000,$C381,Offers!$AF$7:$AF$3000,ROUNDUP(COUNTIFS(Offers!$B$7:$B$3000,$B381,Offers!$C$7:$C$3000,$C381,Offers!$AH$7:$AH$3000,"yes")/2,0))+SUMIFS(Offers!$H$7:$H$3000,Offers!$B$7:$B$3000,$B381,Offers!$C$7:$C$3000,$C381,Offers!$AF$7:$AF$3000,INT(COUNTIFS(Offers!$B$7:$B$3000,$B381,Offers!$C$7:$C$3000,$C381,Offers!$AH$7:$AH$3000,"yes")/2)+1))/2)</f>
        <v>5.66</v>
      </c>
      <c r="H381" s="99" t="n">
        <f aca="false">IF(COUNTIFS(Offers!$B$7:$B$3000,$B381,Offers!$C$7:$C$3000,$C381,Offers!$AH$7:$AH$3000,"yes")=0,"",SUMIFS(Offers!$H$7:$H$3000,Offers!$B$7:$B$3000,$B381,Offers!$C$7:$C$3000,$C381,Offers!$AF$7:$AF$3000,COUNTIFS(Offers!$B$7:$B$3000,$B381,Offers!$C$7:$C$3000,$C381,Offers!$AH$7:$AH$3000,"yes")))</f>
        <v>12.46</v>
      </c>
      <c r="I381" s="100" t="n">
        <f aca="false">IF(COUNTIFS(Offers!$B$7:$B$3000,$B381,Offers!$C$7:$C$3000,$C381,Offers!$AI$7:$AI$3000,"yes")=0,"",SUMIFS(Offers!$I$7:$I$3000,Offers!$B$7:$B$3000,$B381,Offers!$C$7:$C$3000,$C381,Offers!$AG$7:$AG$3000,1))</f>
        <v>2.8</v>
      </c>
      <c r="J381" s="95" t="n">
        <f aca="false">IF(COUNTIFS(Offers!$B$7:$B$3000,$B381,Offers!$C$7:$C$3000,$C381,Offers!$AI$7:$AI$3000,"yes")=0,"",(SUMIFS(Offers!$I$7:$I$3000,Offers!$B$7:$B$3000,$B381,Offers!$C$7:$C$3000,$C381,Offers!$AG$7:$AG$3000,ROUNDUP(COUNTIFS(Offers!$B$7:$B$3000,$B381,Offers!$C$7:$C$3000,$C381,Offers!$AI$7:$AI$3000,"yes")/2,0))+SUMIFS(Offers!$I$7:$I$3000,Offers!$B$7:$B$3000,$B381,Offers!$C$7:$C$3000,$C381,Offers!$AG$7:$AG$3000,INT(COUNTIFS(Offers!$B$7:$B$3000,$B381,Offers!$C$7:$C$3000,$C381,Offers!$AI$7:$AI$3000,"yes")/2)+1))/2)</f>
        <v>5.66</v>
      </c>
      <c r="K381" s="100" t="n">
        <f aca="false">IF(COUNTIFS(Offers!$B$7:$B$3000,$B381,Offers!$C$7:$C$3000,$C381,Offers!$AI$7:$AI$3000,"yes")=0,"",SUMIFS(Offers!$I$7:$I$3000,Offers!$B$7:$B$3000,$B381,Offers!$C$7:$C$3000,$C381,Offers!$AG$7:$AG$3000,COUNTIFS(Offers!$B$7:$B$3000,$B381,Offers!$C$7:$C$3000,$C381,Offers!$AI$7:$AI$3000,"yes")))</f>
        <v>12.46</v>
      </c>
      <c r="L381" s="96"/>
      <c r="M381" s="96"/>
      <c r="N381" s="96"/>
      <c r="O381" s="101" t="n">
        <f aca="false">IF(Compare!$E$5="Local prices",IF(F381="","",IF(Compare!$C$5="Minimum",F381,IF(Compare!$C$5="Maximum",H381,G381))),IF(I381="","",IF(Compare!$C$5="Minimum",I381,IF(Compare!$C$5="Maximum",K381,J381))))</f>
        <v>5.66</v>
      </c>
    </row>
    <row r="382" customFormat="false" ht="13.5" hidden="false" customHeight="false" outlineLevel="0" collapsed="false">
      <c r="B382" s="36" t="s">
        <v>93</v>
      </c>
      <c r="C382" s="98" t="s">
        <v>16</v>
      </c>
      <c r="D382" s="98" t="s">
        <v>244</v>
      </c>
      <c r="E382" s="98" t="s">
        <v>491</v>
      </c>
      <c r="F382" s="99" t="n">
        <f aca="false">IF(COUNTIFS(Offers!$B$7:$B$3000,$B382,Offers!$C$7:$C$3000,$C382,Offers!$AH$7:$AH$3000,"yes")=0,"",SUMIFS(Offers!$H$7:$H$3000,Offers!$B$7:$B$3000,$B382,Offers!$C$7:$C$3000,$C382,Offers!$AF$7:$AF$3000,1))</f>
        <v>2.85</v>
      </c>
      <c r="G382" s="93" t="n">
        <f aca="false">IF(COUNTIFS(Offers!$B$7:$B$3000,$B382,Offers!$C$7:$C$3000,$C382,Offers!$AH$7:$AH$3000,"yes")=0,"",(SUMIFS(Offers!$H$7:$H$3000,Offers!$B$7:$B$3000,$B382,Offers!$C$7:$C$3000,$C382,Offers!$AF$7:$AF$3000,ROUNDUP(COUNTIFS(Offers!$B$7:$B$3000,$B382,Offers!$C$7:$C$3000,$C382,Offers!$AH$7:$AH$3000,"yes")/2,0))+SUMIFS(Offers!$H$7:$H$3000,Offers!$B$7:$B$3000,$B382,Offers!$C$7:$C$3000,$C382,Offers!$AF$7:$AF$3000,INT(COUNTIFS(Offers!$B$7:$B$3000,$B382,Offers!$C$7:$C$3000,$C382,Offers!$AH$7:$AH$3000,"yes")/2)+1))/2)</f>
        <v>3.615</v>
      </c>
      <c r="H382" s="99" t="n">
        <f aca="false">IF(COUNTIFS(Offers!$B$7:$B$3000,$B382,Offers!$C$7:$C$3000,$C382,Offers!$AH$7:$AH$3000,"yes")=0,"",SUMIFS(Offers!$H$7:$H$3000,Offers!$B$7:$B$3000,$B382,Offers!$C$7:$C$3000,$C382,Offers!$AF$7:$AF$3000,COUNTIFS(Offers!$B$7:$B$3000,$B382,Offers!$C$7:$C$3000,$C382,Offers!$AH$7:$AH$3000,"yes")))</f>
        <v>7.09</v>
      </c>
      <c r="I382" s="100" t="n">
        <f aca="false">IF(COUNTIFS(Offers!$B$7:$B$3000,$B382,Offers!$C$7:$C$3000,$C382,Offers!$AI$7:$AI$3000,"yes")=0,"",SUMIFS(Offers!$I$7:$I$3000,Offers!$B$7:$B$3000,$B382,Offers!$C$7:$C$3000,$C382,Offers!$AG$7:$AG$3000,1))</f>
        <v>2.85</v>
      </c>
      <c r="J382" s="95" t="n">
        <f aca="false">IF(COUNTIFS(Offers!$B$7:$B$3000,$B382,Offers!$C$7:$C$3000,$C382,Offers!$AI$7:$AI$3000,"yes")=0,"",(SUMIFS(Offers!$I$7:$I$3000,Offers!$B$7:$B$3000,$B382,Offers!$C$7:$C$3000,$C382,Offers!$AG$7:$AG$3000,ROUNDUP(COUNTIFS(Offers!$B$7:$B$3000,$B382,Offers!$C$7:$C$3000,$C382,Offers!$AI$7:$AI$3000,"yes")/2,0))+SUMIFS(Offers!$I$7:$I$3000,Offers!$B$7:$B$3000,$B382,Offers!$C$7:$C$3000,$C382,Offers!$AG$7:$AG$3000,INT(COUNTIFS(Offers!$B$7:$B$3000,$B382,Offers!$C$7:$C$3000,$C382,Offers!$AI$7:$AI$3000,"yes")/2)+1))/2)</f>
        <v>3.615</v>
      </c>
      <c r="K382" s="100" t="n">
        <f aca="false">IF(COUNTIFS(Offers!$B$7:$B$3000,$B382,Offers!$C$7:$C$3000,$C382,Offers!$AI$7:$AI$3000,"yes")=0,"",SUMIFS(Offers!$I$7:$I$3000,Offers!$B$7:$B$3000,$B382,Offers!$C$7:$C$3000,$C382,Offers!$AG$7:$AG$3000,COUNTIFS(Offers!$B$7:$B$3000,$B382,Offers!$C$7:$C$3000,$C382,Offers!$AI$7:$AI$3000,"yes")))</f>
        <v>7.09</v>
      </c>
      <c r="L382" s="96"/>
      <c r="M382" s="96"/>
      <c r="N382" s="96"/>
      <c r="O382" s="101" t="n">
        <f aca="false">IF(Compare!$E$5="Local prices",IF(F382="","",IF(Compare!$C$5="Minimum",F382,IF(Compare!$C$5="Maximum",H382,G382))),IF(I382="","",IF(Compare!$C$5="Minimum",I382,IF(Compare!$C$5="Maximum",K382,J382))))</f>
        <v>3.615</v>
      </c>
    </row>
    <row r="383" customFormat="false" ht="13.5" hidden="false" customHeight="false" outlineLevel="0" collapsed="false">
      <c r="B383" s="36" t="s">
        <v>93</v>
      </c>
      <c r="C383" s="98" t="s">
        <v>17</v>
      </c>
      <c r="D383" s="98" t="s">
        <v>333</v>
      </c>
      <c r="E383" s="98" t="s">
        <v>491</v>
      </c>
      <c r="F383" s="99" t="n">
        <f aca="false">IF(COUNTIFS(Offers!$B$7:$B$3000,$B383,Offers!$C$7:$C$3000,$C383,Offers!$AH$7:$AH$3000,"yes")=0,"",SUMIFS(Offers!$H$7:$H$3000,Offers!$B$7:$B$3000,$B383,Offers!$C$7:$C$3000,$C383,Offers!$AF$7:$AF$3000,1))</f>
        <v>52.89</v>
      </c>
      <c r="G383" s="93" t="n">
        <f aca="false">IF(COUNTIFS(Offers!$B$7:$B$3000,$B383,Offers!$C$7:$C$3000,$C383,Offers!$AH$7:$AH$3000,"yes")=0,"",(SUMIFS(Offers!$H$7:$H$3000,Offers!$B$7:$B$3000,$B383,Offers!$C$7:$C$3000,$C383,Offers!$AF$7:$AF$3000,ROUNDUP(COUNTIFS(Offers!$B$7:$B$3000,$B383,Offers!$C$7:$C$3000,$C383,Offers!$AH$7:$AH$3000,"yes")/2,0))+SUMIFS(Offers!$H$7:$H$3000,Offers!$B$7:$B$3000,$B383,Offers!$C$7:$C$3000,$C383,Offers!$AF$7:$AF$3000,INT(COUNTIFS(Offers!$B$7:$B$3000,$B383,Offers!$C$7:$C$3000,$C383,Offers!$AH$7:$AH$3000,"yes")/2)+1))/2)</f>
        <v>86.78</v>
      </c>
      <c r="H383" s="99" t="n">
        <f aca="false">IF(COUNTIFS(Offers!$B$7:$B$3000,$B383,Offers!$C$7:$C$3000,$C383,Offers!$AH$7:$AH$3000,"yes")=0,"",SUMIFS(Offers!$H$7:$H$3000,Offers!$B$7:$B$3000,$B383,Offers!$C$7:$C$3000,$C383,Offers!$AF$7:$AF$3000,COUNTIFS(Offers!$B$7:$B$3000,$B383,Offers!$C$7:$C$3000,$C383,Offers!$AH$7:$AH$3000,"yes")))</f>
        <v>149</v>
      </c>
      <c r="I383" s="100" t="n">
        <f aca="false">IF(COUNTIFS(Offers!$B$7:$B$3000,$B383,Offers!$C$7:$C$3000,$C383,Offers!$AI$7:$AI$3000,"yes")=0,"",SUMIFS(Offers!$I$7:$I$3000,Offers!$B$7:$B$3000,$B383,Offers!$C$7:$C$3000,$C383,Offers!$AG$7:$AG$3000,1))</f>
        <v>2.165527</v>
      </c>
      <c r="J383" s="95" t="n">
        <f aca="false">IF(COUNTIFS(Offers!$B$7:$B$3000,$B383,Offers!$C$7:$C$3000,$C383,Offers!$AI$7:$AI$3000,"yes")=0,"",(SUMIFS(Offers!$I$7:$I$3000,Offers!$B$7:$B$3000,$B383,Offers!$C$7:$C$3000,$C383,Offers!$AG$7:$AG$3000,ROUNDUP(COUNTIFS(Offers!$B$7:$B$3000,$B383,Offers!$C$7:$C$3000,$C383,Offers!$AI$7:$AI$3000,"yes")/2,0))+SUMIFS(Offers!$I$7:$I$3000,Offers!$B$7:$B$3000,$B383,Offers!$C$7:$C$3000,$C383,Offers!$AG$7:$AG$3000,INT(COUNTIFS(Offers!$B$7:$B$3000,$B383,Offers!$C$7:$C$3000,$C383,Offers!$AI$7:$AI$3000,"yes")/2)+1))/2)</f>
        <v>3.553118</v>
      </c>
      <c r="K383" s="100" t="n">
        <f aca="false">IF(COUNTIFS(Offers!$B$7:$B$3000,$B383,Offers!$C$7:$C$3000,$C383,Offers!$AI$7:$AI$3000,"yes")=0,"",SUMIFS(Offers!$I$7:$I$3000,Offers!$B$7:$B$3000,$B383,Offers!$C$7:$C$3000,$C383,Offers!$AG$7:$AG$3000,COUNTIFS(Offers!$B$7:$B$3000,$B383,Offers!$C$7:$C$3000,$C383,Offers!$AI$7:$AI$3000,"yes")))</f>
        <v>6.100653</v>
      </c>
      <c r="L383" s="96"/>
      <c r="M383" s="96"/>
      <c r="N383" s="96"/>
      <c r="O383" s="101" t="n">
        <f aca="false">IF(Compare!$E$5="Local prices",IF(F383="","",IF(Compare!$C$5="Minimum",F383,IF(Compare!$C$5="Maximum",H383,G383))),IF(I383="","",IF(Compare!$C$5="Minimum",I383,IF(Compare!$C$5="Maximum",K383,J383))))</f>
        <v>3.553118</v>
      </c>
    </row>
    <row r="384" customFormat="false" ht="13.5" hidden="false" customHeight="false" outlineLevel="0" collapsed="false">
      <c r="B384" s="36" t="s">
        <v>93</v>
      </c>
      <c r="C384" s="98" t="s">
        <v>18</v>
      </c>
      <c r="D384" s="98" t="s">
        <v>244</v>
      </c>
      <c r="E384" s="98" t="s">
        <v>491</v>
      </c>
      <c r="F384" s="99" t="n">
        <f aca="false">IF(COUNTIFS(Offers!$B$7:$B$3000,$B384,Offers!$C$7:$C$3000,$C384,Offers!$AH$7:$AH$3000,"yes")=0,"",SUMIFS(Offers!$H$7:$H$3000,Offers!$B$7:$B$3000,$B384,Offers!$C$7:$C$3000,$C384,Offers!$AF$7:$AF$3000,1))</f>
        <v>2.16</v>
      </c>
      <c r="G384" s="93" t="n">
        <f aca="false">IF(COUNTIFS(Offers!$B$7:$B$3000,$B384,Offers!$C$7:$C$3000,$C384,Offers!$AH$7:$AH$3000,"yes")=0,"",(SUMIFS(Offers!$H$7:$H$3000,Offers!$B$7:$B$3000,$B384,Offers!$C$7:$C$3000,$C384,Offers!$AF$7:$AF$3000,ROUNDUP(COUNTIFS(Offers!$B$7:$B$3000,$B384,Offers!$C$7:$C$3000,$C384,Offers!$AH$7:$AH$3000,"yes")/2,0))+SUMIFS(Offers!$H$7:$H$3000,Offers!$B$7:$B$3000,$B384,Offers!$C$7:$C$3000,$C384,Offers!$AF$7:$AF$3000,INT(COUNTIFS(Offers!$B$7:$B$3000,$B384,Offers!$C$7:$C$3000,$C384,Offers!$AH$7:$AH$3000,"yes")/2)+1))/2)</f>
        <v>3.63</v>
      </c>
      <c r="H384" s="99" t="n">
        <f aca="false">IF(COUNTIFS(Offers!$B$7:$B$3000,$B384,Offers!$C$7:$C$3000,$C384,Offers!$AH$7:$AH$3000,"yes")=0,"",SUMIFS(Offers!$H$7:$H$3000,Offers!$B$7:$B$3000,$B384,Offers!$C$7:$C$3000,$C384,Offers!$AF$7:$AF$3000,COUNTIFS(Offers!$B$7:$B$3000,$B384,Offers!$C$7:$C$3000,$C384,Offers!$AH$7:$AH$3000,"yes")))</f>
        <v>4.96</v>
      </c>
      <c r="I384" s="100" t="n">
        <f aca="false">IF(COUNTIFS(Offers!$B$7:$B$3000,$B384,Offers!$C$7:$C$3000,$C384,Offers!$AI$7:$AI$3000,"yes")=0,"",SUMIFS(Offers!$I$7:$I$3000,Offers!$B$7:$B$3000,$B384,Offers!$C$7:$C$3000,$C384,Offers!$AG$7:$AG$3000,1))</f>
        <v>2.16</v>
      </c>
      <c r="J384" s="95" t="n">
        <f aca="false">IF(COUNTIFS(Offers!$B$7:$B$3000,$B384,Offers!$C$7:$C$3000,$C384,Offers!$AI$7:$AI$3000,"yes")=0,"",(SUMIFS(Offers!$I$7:$I$3000,Offers!$B$7:$B$3000,$B384,Offers!$C$7:$C$3000,$C384,Offers!$AG$7:$AG$3000,ROUNDUP(COUNTIFS(Offers!$B$7:$B$3000,$B384,Offers!$C$7:$C$3000,$C384,Offers!$AI$7:$AI$3000,"yes")/2,0))+SUMIFS(Offers!$I$7:$I$3000,Offers!$B$7:$B$3000,$B384,Offers!$C$7:$C$3000,$C384,Offers!$AG$7:$AG$3000,INT(COUNTIFS(Offers!$B$7:$B$3000,$B384,Offers!$C$7:$C$3000,$C384,Offers!$AI$7:$AI$3000,"yes")/2)+1))/2)</f>
        <v>3.63</v>
      </c>
      <c r="K384" s="100" t="n">
        <f aca="false">IF(COUNTIFS(Offers!$B$7:$B$3000,$B384,Offers!$C$7:$C$3000,$C384,Offers!$AI$7:$AI$3000,"yes")=0,"",SUMIFS(Offers!$I$7:$I$3000,Offers!$B$7:$B$3000,$B384,Offers!$C$7:$C$3000,$C384,Offers!$AG$7:$AG$3000,COUNTIFS(Offers!$B$7:$B$3000,$B384,Offers!$C$7:$C$3000,$C384,Offers!$AI$7:$AI$3000,"yes")))</f>
        <v>4.96</v>
      </c>
      <c r="L384" s="96"/>
      <c r="M384" s="96"/>
      <c r="N384" s="96"/>
      <c r="O384" s="101" t="n">
        <f aca="false">IF(Compare!$E$5="Local prices",IF(F384="","",IF(Compare!$C$5="Minimum",F384,IF(Compare!$C$5="Maximum",H384,G384))),IF(I384="","",IF(Compare!$C$5="Minimum",I384,IF(Compare!$C$5="Maximum",K384,J384))))</f>
        <v>3.63</v>
      </c>
    </row>
    <row r="385" customFormat="false" ht="13.5" hidden="false" customHeight="false" outlineLevel="0" collapsed="false">
      <c r="B385" s="36" t="s">
        <v>94</v>
      </c>
      <c r="C385" s="98" t="s">
        <v>13</v>
      </c>
      <c r="D385" s="98" t="s">
        <v>490</v>
      </c>
      <c r="E385" s="98" t="s">
        <v>491</v>
      </c>
      <c r="F385" s="99" t="str">
        <f aca="false">IF(COUNTIFS(Offers!$B$7:$B$3000,$B385,Offers!$C$7:$C$3000,$C385,Offers!$AH$7:$AH$3000,"yes")=0,"",SUMIFS(Offers!$H$7:$H$3000,Offers!$B$7:$B$3000,$B385,Offers!$C$7:$C$3000,$C385,Offers!$AF$7:$AF$3000,1))</f>
        <v/>
      </c>
      <c r="G385" s="93" t="str">
        <f aca="false">IF(COUNTIFS(Offers!$B$7:$B$3000,$B385,Offers!$C$7:$C$3000,$C385,Offers!$AH$7:$AH$3000,"yes")=0,"",(SUMIFS(Offers!$H$7:$H$3000,Offers!$B$7:$B$3000,$B385,Offers!$C$7:$C$3000,$C385,Offers!$AF$7:$AF$3000,ROUNDUP(COUNTIFS(Offers!$B$7:$B$3000,$B385,Offers!$C$7:$C$3000,$C385,Offers!$AH$7:$AH$3000,"yes")/2,0))+SUMIFS(Offers!$H$7:$H$3000,Offers!$B$7:$B$3000,$B385,Offers!$C$7:$C$3000,$C385,Offers!$AF$7:$AF$3000,INT(COUNTIFS(Offers!$B$7:$B$3000,$B385,Offers!$C$7:$C$3000,$C385,Offers!$AH$7:$AH$3000,"yes")/2)+1))/2)</f>
        <v/>
      </c>
      <c r="H385" s="99" t="str">
        <f aca="false">IF(COUNTIFS(Offers!$B$7:$B$3000,$B385,Offers!$C$7:$C$3000,$C385,Offers!$AH$7:$AH$3000,"yes")=0,"",SUMIFS(Offers!$H$7:$H$3000,Offers!$B$7:$B$3000,$B385,Offers!$C$7:$C$3000,$C385,Offers!$AF$7:$AF$3000,COUNTIFS(Offers!$B$7:$B$3000,$B385,Offers!$C$7:$C$3000,$C385,Offers!$AH$7:$AH$3000,"yes")))</f>
        <v/>
      </c>
      <c r="I385" s="100" t="str">
        <f aca="false">IF(COUNTIFS(Offers!$B$7:$B$3000,$B385,Offers!$C$7:$C$3000,$C385,Offers!$AI$7:$AI$3000,"yes")=0,"",SUMIFS(Offers!$I$7:$I$3000,Offers!$B$7:$B$3000,$B385,Offers!$C$7:$C$3000,$C385,Offers!$AG$7:$AG$3000,1))</f>
        <v/>
      </c>
      <c r="J385" s="95" t="str">
        <f aca="false">IF(COUNTIFS(Offers!$B$7:$B$3000,$B385,Offers!$C$7:$C$3000,$C385,Offers!$AI$7:$AI$3000,"yes")=0,"",(SUMIFS(Offers!$I$7:$I$3000,Offers!$B$7:$B$3000,$B385,Offers!$C$7:$C$3000,$C385,Offers!$AG$7:$AG$3000,ROUNDUP(COUNTIFS(Offers!$B$7:$B$3000,$B385,Offers!$C$7:$C$3000,$C385,Offers!$AI$7:$AI$3000,"yes")/2,0))+SUMIFS(Offers!$I$7:$I$3000,Offers!$B$7:$B$3000,$B385,Offers!$C$7:$C$3000,$C385,Offers!$AG$7:$AG$3000,INT(COUNTIFS(Offers!$B$7:$B$3000,$B385,Offers!$C$7:$C$3000,$C385,Offers!$AI$7:$AI$3000,"yes")/2)+1))/2)</f>
        <v/>
      </c>
      <c r="K385" s="100" t="str">
        <f aca="false">IF(COUNTIFS(Offers!$B$7:$B$3000,$B385,Offers!$C$7:$C$3000,$C385,Offers!$AI$7:$AI$3000,"yes")=0,"",SUMIFS(Offers!$I$7:$I$3000,Offers!$B$7:$B$3000,$B385,Offers!$C$7:$C$3000,$C385,Offers!$AG$7:$AG$3000,COUNTIFS(Offers!$B$7:$B$3000,$B385,Offers!$C$7:$C$3000,$C385,Offers!$AI$7:$AI$3000,"yes")))</f>
        <v/>
      </c>
      <c r="L385" s="96"/>
      <c r="M385" s="96"/>
      <c r="N385" s="96"/>
      <c r="O385" s="110" t="str">
        <f aca="false">IF(Compare!$E$5="Local prices",IF(F385="","",IF(Compare!$C$5="Minimum",F385,IF(Compare!$C$5="Maximum",H385,G385))),IF(I385="","",IF(Compare!$C$5="Minimum",I385,IF(Compare!$C$5="Maximum",K385,J385))))</f>
        <v/>
      </c>
    </row>
    <row r="386" customFormat="false" ht="13.5" hidden="false" customHeight="false" outlineLevel="0" collapsed="false">
      <c r="B386" s="36" t="s">
        <v>94</v>
      </c>
      <c r="C386" s="98" t="s">
        <v>14</v>
      </c>
      <c r="D386" s="98" t="s">
        <v>374</v>
      </c>
      <c r="E386" s="98" t="s">
        <v>491</v>
      </c>
      <c r="F386" s="99" t="n">
        <f aca="false">IF(COUNTIFS(Offers!$B$7:$B$3000,$B386,Offers!$C$7:$C$3000,$C386,Offers!$AH$7:$AH$3000,"yes")=0,"",SUMIFS(Offers!$H$7:$H$3000,Offers!$B$7:$B$3000,$B386,Offers!$C$7:$C$3000,$C386,Offers!$AF$7:$AF$3000,1))</f>
        <v>12.84</v>
      </c>
      <c r="G386" s="93" t="n">
        <f aca="false">IF(COUNTIFS(Offers!$B$7:$B$3000,$B386,Offers!$C$7:$C$3000,$C386,Offers!$AH$7:$AH$3000,"yes")=0,"",(SUMIFS(Offers!$H$7:$H$3000,Offers!$B$7:$B$3000,$B386,Offers!$C$7:$C$3000,$C386,Offers!$AF$7:$AF$3000,ROUNDUP(COUNTIFS(Offers!$B$7:$B$3000,$B386,Offers!$C$7:$C$3000,$C386,Offers!$AH$7:$AH$3000,"yes")/2,0))+SUMIFS(Offers!$H$7:$H$3000,Offers!$B$7:$B$3000,$B386,Offers!$C$7:$C$3000,$C386,Offers!$AF$7:$AF$3000,INT(COUNTIFS(Offers!$B$7:$B$3000,$B386,Offers!$C$7:$C$3000,$C386,Offers!$AH$7:$AH$3000,"yes")/2)+1))/2)</f>
        <v>20.42</v>
      </c>
      <c r="H386" s="99" t="n">
        <f aca="false">IF(COUNTIFS(Offers!$B$7:$B$3000,$B386,Offers!$C$7:$C$3000,$C386,Offers!$AH$7:$AH$3000,"yes")=0,"",SUMIFS(Offers!$H$7:$H$3000,Offers!$B$7:$B$3000,$B386,Offers!$C$7:$C$3000,$C386,Offers!$AF$7:$AF$3000,COUNTIFS(Offers!$B$7:$B$3000,$B386,Offers!$C$7:$C$3000,$C386,Offers!$AH$7:$AH$3000,"yes")))</f>
        <v>27.54</v>
      </c>
      <c r="I386" s="100" t="n">
        <f aca="false">IF(COUNTIFS(Offers!$B$7:$B$3000,$B386,Offers!$C$7:$C$3000,$C386,Offers!$AI$7:$AI$3000,"yes")=0,"",SUMIFS(Offers!$I$7:$I$3000,Offers!$B$7:$B$3000,$B386,Offers!$C$7:$C$3000,$C386,Offers!$AG$7:$AG$3000,1))</f>
        <v>2.432905</v>
      </c>
      <c r="J386" s="95" t="n">
        <f aca="false">IF(COUNTIFS(Offers!$B$7:$B$3000,$B386,Offers!$C$7:$C$3000,$C386,Offers!$AI$7:$AI$3000,"yes")=0,"",(SUMIFS(Offers!$I$7:$I$3000,Offers!$B$7:$B$3000,$B386,Offers!$C$7:$C$3000,$C386,Offers!$AG$7:$AG$3000,ROUNDUP(COUNTIFS(Offers!$B$7:$B$3000,$B386,Offers!$C$7:$C$3000,$C386,Offers!$AI$7:$AI$3000,"yes")/2,0))+SUMIFS(Offers!$I$7:$I$3000,Offers!$B$7:$B$3000,$B386,Offers!$C$7:$C$3000,$C386,Offers!$AG$7:$AG$3000,INT(COUNTIFS(Offers!$B$7:$B$3000,$B386,Offers!$C$7:$C$3000,$C386,Offers!$AI$7:$AI$3000,"yes")/2)+1))/2)</f>
        <v>3.869152</v>
      </c>
      <c r="K386" s="100" t="n">
        <f aca="false">IF(COUNTIFS(Offers!$B$7:$B$3000,$B386,Offers!$C$7:$C$3000,$C386,Offers!$AI$7:$AI$3000,"yes")=0,"",SUMIFS(Offers!$I$7:$I$3000,Offers!$B$7:$B$3000,$B386,Offers!$C$7:$C$3000,$C386,Offers!$AG$7:$AG$3000,COUNTIFS(Offers!$B$7:$B$3000,$B386,Offers!$C$7:$C$3000,$C386,Offers!$AI$7:$AI$3000,"yes")))</f>
        <v>5.21824</v>
      </c>
      <c r="L386" s="96"/>
      <c r="M386" s="96"/>
      <c r="N386" s="96"/>
      <c r="O386" s="101" t="n">
        <f aca="false">IF(Compare!$E$5="Local prices",IF(F386="","",IF(Compare!$C$5="Minimum",F386,IF(Compare!$C$5="Maximum",H386,G386))),IF(I386="","",IF(Compare!$C$5="Minimum",I386,IF(Compare!$C$5="Maximum",K386,J386))))</f>
        <v>3.869152</v>
      </c>
    </row>
    <row r="387" customFormat="false" ht="13.5" hidden="false" customHeight="false" outlineLevel="0" collapsed="false">
      <c r="B387" s="36" t="s">
        <v>94</v>
      </c>
      <c r="C387" s="98" t="s">
        <v>15</v>
      </c>
      <c r="D387" s="98" t="s">
        <v>244</v>
      </c>
      <c r="E387" s="98" t="s">
        <v>491</v>
      </c>
      <c r="F387" s="99" t="n">
        <f aca="false">IF(COUNTIFS(Offers!$B$7:$B$3000,$B387,Offers!$C$7:$C$3000,$C387,Offers!$AH$7:$AH$3000,"yes")=0,"",SUMIFS(Offers!$H$7:$H$3000,Offers!$B$7:$B$3000,$B387,Offers!$C$7:$C$3000,$C387,Offers!$AF$7:$AF$3000,1))</f>
        <v>2.8</v>
      </c>
      <c r="G387" s="93" t="n">
        <f aca="false">IF(COUNTIFS(Offers!$B$7:$B$3000,$B387,Offers!$C$7:$C$3000,$C387,Offers!$AH$7:$AH$3000,"yes")=0,"",(SUMIFS(Offers!$H$7:$H$3000,Offers!$B$7:$B$3000,$B387,Offers!$C$7:$C$3000,$C387,Offers!$AF$7:$AF$3000,ROUNDUP(COUNTIFS(Offers!$B$7:$B$3000,$B387,Offers!$C$7:$C$3000,$C387,Offers!$AH$7:$AH$3000,"yes")/2,0))+SUMIFS(Offers!$H$7:$H$3000,Offers!$B$7:$B$3000,$B387,Offers!$C$7:$C$3000,$C387,Offers!$AF$7:$AF$3000,INT(COUNTIFS(Offers!$B$7:$B$3000,$B387,Offers!$C$7:$C$3000,$C387,Offers!$AH$7:$AH$3000,"yes")/2)+1))/2)</f>
        <v>4.25</v>
      </c>
      <c r="H387" s="99" t="n">
        <f aca="false">IF(COUNTIFS(Offers!$B$7:$B$3000,$B387,Offers!$C$7:$C$3000,$C387,Offers!$AH$7:$AH$3000,"yes")=0,"",SUMIFS(Offers!$H$7:$H$3000,Offers!$B$7:$B$3000,$B387,Offers!$C$7:$C$3000,$C387,Offers!$AF$7:$AF$3000,COUNTIFS(Offers!$B$7:$B$3000,$B387,Offers!$C$7:$C$3000,$C387,Offers!$AH$7:$AH$3000,"yes")))</f>
        <v>13.5</v>
      </c>
      <c r="I387" s="100" t="n">
        <f aca="false">IF(COUNTIFS(Offers!$B$7:$B$3000,$B387,Offers!$C$7:$C$3000,$C387,Offers!$AI$7:$AI$3000,"yes")=0,"",SUMIFS(Offers!$I$7:$I$3000,Offers!$B$7:$B$3000,$B387,Offers!$C$7:$C$3000,$C387,Offers!$AG$7:$AG$3000,1))</f>
        <v>2.8</v>
      </c>
      <c r="J387" s="95" t="n">
        <f aca="false">IF(COUNTIFS(Offers!$B$7:$B$3000,$B387,Offers!$C$7:$C$3000,$C387,Offers!$AI$7:$AI$3000,"yes")=0,"",(SUMIFS(Offers!$I$7:$I$3000,Offers!$B$7:$B$3000,$B387,Offers!$C$7:$C$3000,$C387,Offers!$AG$7:$AG$3000,ROUNDUP(COUNTIFS(Offers!$B$7:$B$3000,$B387,Offers!$C$7:$C$3000,$C387,Offers!$AI$7:$AI$3000,"yes")/2,0))+SUMIFS(Offers!$I$7:$I$3000,Offers!$B$7:$B$3000,$B387,Offers!$C$7:$C$3000,$C387,Offers!$AG$7:$AG$3000,INT(COUNTIFS(Offers!$B$7:$B$3000,$B387,Offers!$C$7:$C$3000,$C387,Offers!$AI$7:$AI$3000,"yes")/2)+1))/2)</f>
        <v>4.25</v>
      </c>
      <c r="K387" s="100" t="n">
        <f aca="false">IF(COUNTIFS(Offers!$B$7:$B$3000,$B387,Offers!$C$7:$C$3000,$C387,Offers!$AI$7:$AI$3000,"yes")=0,"",SUMIFS(Offers!$I$7:$I$3000,Offers!$B$7:$B$3000,$B387,Offers!$C$7:$C$3000,$C387,Offers!$AG$7:$AG$3000,COUNTIFS(Offers!$B$7:$B$3000,$B387,Offers!$C$7:$C$3000,$C387,Offers!$AI$7:$AI$3000,"yes")))</f>
        <v>13.5</v>
      </c>
      <c r="L387" s="96"/>
      <c r="M387" s="96"/>
      <c r="N387" s="96"/>
      <c r="O387" s="101" t="n">
        <f aca="false">IF(Compare!$E$5="Local prices",IF(F387="","",IF(Compare!$C$5="Minimum",F387,IF(Compare!$C$5="Maximum",H387,G387))),IF(I387="","",IF(Compare!$C$5="Minimum",I387,IF(Compare!$C$5="Maximum",K387,J387))))</f>
        <v>4.25</v>
      </c>
    </row>
    <row r="388" customFormat="false" ht="13.5" hidden="false" customHeight="false" outlineLevel="0" collapsed="false">
      <c r="B388" s="36" t="s">
        <v>94</v>
      </c>
      <c r="C388" s="98" t="s">
        <v>16</v>
      </c>
      <c r="D388" s="98" t="s">
        <v>244</v>
      </c>
      <c r="E388" s="98" t="s">
        <v>491</v>
      </c>
      <c r="F388" s="99" t="n">
        <f aca="false">IF(COUNTIFS(Offers!$B$7:$B$3000,$B388,Offers!$C$7:$C$3000,$C388,Offers!$AH$7:$AH$3000,"yes")=0,"",SUMIFS(Offers!$H$7:$H$3000,Offers!$B$7:$B$3000,$B388,Offers!$C$7:$C$3000,$C388,Offers!$AF$7:$AF$3000,1))</f>
        <v>2.9</v>
      </c>
      <c r="G388" s="93" t="n">
        <f aca="false">IF(COUNTIFS(Offers!$B$7:$B$3000,$B388,Offers!$C$7:$C$3000,$C388,Offers!$AH$7:$AH$3000,"yes")=0,"",(SUMIFS(Offers!$H$7:$H$3000,Offers!$B$7:$B$3000,$B388,Offers!$C$7:$C$3000,$C388,Offers!$AF$7:$AF$3000,ROUNDUP(COUNTIFS(Offers!$B$7:$B$3000,$B388,Offers!$C$7:$C$3000,$C388,Offers!$AH$7:$AH$3000,"yes")/2,0))+SUMIFS(Offers!$H$7:$H$3000,Offers!$B$7:$B$3000,$B388,Offers!$C$7:$C$3000,$C388,Offers!$AF$7:$AF$3000,INT(COUNTIFS(Offers!$B$7:$B$3000,$B388,Offers!$C$7:$C$3000,$C388,Offers!$AH$7:$AH$3000,"yes")/2)+1))/2)</f>
        <v>3.92</v>
      </c>
      <c r="H388" s="99" t="n">
        <f aca="false">IF(COUNTIFS(Offers!$B$7:$B$3000,$B388,Offers!$C$7:$C$3000,$C388,Offers!$AH$7:$AH$3000,"yes")=0,"",SUMIFS(Offers!$H$7:$H$3000,Offers!$B$7:$B$3000,$B388,Offers!$C$7:$C$3000,$C388,Offers!$AF$7:$AF$3000,COUNTIFS(Offers!$B$7:$B$3000,$B388,Offers!$C$7:$C$3000,$C388,Offers!$AH$7:$AH$3000,"yes")))</f>
        <v>12.9</v>
      </c>
      <c r="I388" s="100" t="n">
        <f aca="false">IF(COUNTIFS(Offers!$B$7:$B$3000,$B388,Offers!$C$7:$C$3000,$C388,Offers!$AI$7:$AI$3000,"yes")=0,"",SUMIFS(Offers!$I$7:$I$3000,Offers!$B$7:$B$3000,$B388,Offers!$C$7:$C$3000,$C388,Offers!$AG$7:$AG$3000,1))</f>
        <v>2.9</v>
      </c>
      <c r="J388" s="95" t="n">
        <f aca="false">IF(COUNTIFS(Offers!$B$7:$B$3000,$B388,Offers!$C$7:$C$3000,$C388,Offers!$AI$7:$AI$3000,"yes")=0,"",(SUMIFS(Offers!$I$7:$I$3000,Offers!$B$7:$B$3000,$B388,Offers!$C$7:$C$3000,$C388,Offers!$AG$7:$AG$3000,ROUNDUP(COUNTIFS(Offers!$B$7:$B$3000,$B388,Offers!$C$7:$C$3000,$C388,Offers!$AI$7:$AI$3000,"yes")/2,0))+SUMIFS(Offers!$I$7:$I$3000,Offers!$B$7:$B$3000,$B388,Offers!$C$7:$C$3000,$C388,Offers!$AG$7:$AG$3000,INT(COUNTIFS(Offers!$B$7:$B$3000,$B388,Offers!$C$7:$C$3000,$C388,Offers!$AI$7:$AI$3000,"yes")/2)+1))/2)</f>
        <v>3.92</v>
      </c>
      <c r="K388" s="100" t="n">
        <f aca="false">IF(COUNTIFS(Offers!$B$7:$B$3000,$B388,Offers!$C$7:$C$3000,$C388,Offers!$AI$7:$AI$3000,"yes")=0,"",SUMIFS(Offers!$I$7:$I$3000,Offers!$B$7:$B$3000,$B388,Offers!$C$7:$C$3000,$C388,Offers!$AG$7:$AG$3000,COUNTIFS(Offers!$B$7:$B$3000,$B388,Offers!$C$7:$C$3000,$C388,Offers!$AI$7:$AI$3000,"yes")))</f>
        <v>12.9</v>
      </c>
      <c r="L388" s="96"/>
      <c r="M388" s="96"/>
      <c r="N388" s="96"/>
      <c r="O388" s="101" t="n">
        <f aca="false">IF(Compare!$E$5="Local prices",IF(F388="","",IF(Compare!$C$5="Minimum",F388,IF(Compare!$C$5="Maximum",H388,G388))),IF(I388="","",IF(Compare!$C$5="Minimum",I388,IF(Compare!$C$5="Maximum",K388,J388))))</f>
        <v>3.92</v>
      </c>
    </row>
    <row r="389" customFormat="false" ht="13.5" hidden="false" customHeight="false" outlineLevel="0" collapsed="false">
      <c r="B389" s="36" t="s">
        <v>94</v>
      </c>
      <c r="C389" s="98" t="s">
        <v>17</v>
      </c>
      <c r="D389" s="98" t="s">
        <v>333</v>
      </c>
      <c r="E389" s="98" t="s">
        <v>491</v>
      </c>
      <c r="F389" s="99" t="n">
        <f aca="false">IF(COUNTIFS(Offers!$B$7:$B$3000,$B389,Offers!$C$7:$C$3000,$C389,Offers!$AH$7:$AH$3000,"yes")=0,"",SUMIFS(Offers!$H$7:$H$3000,Offers!$B$7:$B$3000,$B389,Offers!$C$7:$C$3000,$C389,Offers!$AF$7:$AF$3000,1))</f>
        <v>61.98</v>
      </c>
      <c r="G389" s="93" t="n">
        <f aca="false">IF(COUNTIFS(Offers!$B$7:$B$3000,$B389,Offers!$C$7:$C$3000,$C389,Offers!$AH$7:$AH$3000,"yes")=0,"",(SUMIFS(Offers!$H$7:$H$3000,Offers!$B$7:$B$3000,$B389,Offers!$C$7:$C$3000,$C389,Offers!$AF$7:$AF$3000,ROUNDUP(COUNTIFS(Offers!$B$7:$B$3000,$B389,Offers!$C$7:$C$3000,$C389,Offers!$AH$7:$AH$3000,"yes")/2,0))+SUMIFS(Offers!$H$7:$H$3000,Offers!$B$7:$B$3000,$B389,Offers!$C$7:$C$3000,$C389,Offers!$AF$7:$AF$3000,INT(COUNTIFS(Offers!$B$7:$B$3000,$B389,Offers!$C$7:$C$3000,$C389,Offers!$AH$7:$AH$3000,"yes")/2)+1))/2)</f>
        <v>109.92</v>
      </c>
      <c r="H389" s="99" t="n">
        <f aca="false">IF(COUNTIFS(Offers!$B$7:$B$3000,$B389,Offers!$C$7:$C$3000,$C389,Offers!$AH$7:$AH$3000,"yes")=0,"",SUMIFS(Offers!$H$7:$H$3000,Offers!$B$7:$B$3000,$B389,Offers!$C$7:$C$3000,$C389,Offers!$AF$7:$AF$3000,COUNTIFS(Offers!$B$7:$B$3000,$B389,Offers!$C$7:$C$3000,$C389,Offers!$AH$7:$AH$3000,"yes")))</f>
        <v>164</v>
      </c>
      <c r="I389" s="100" t="n">
        <f aca="false">IF(COUNTIFS(Offers!$B$7:$B$3000,$B389,Offers!$C$7:$C$3000,$C389,Offers!$AI$7:$AI$3000,"yes")=0,"",SUMIFS(Offers!$I$7:$I$3000,Offers!$B$7:$B$3000,$B389,Offers!$C$7:$C$3000,$C389,Offers!$AG$7:$AG$3000,1))</f>
        <v>2.537708</v>
      </c>
      <c r="J389" s="95" t="n">
        <f aca="false">IF(COUNTIFS(Offers!$B$7:$B$3000,$B389,Offers!$C$7:$C$3000,$C389,Offers!$AI$7:$AI$3000,"yes")=0,"",(SUMIFS(Offers!$I$7:$I$3000,Offers!$B$7:$B$3000,$B389,Offers!$C$7:$C$3000,$C389,Offers!$AG$7:$AG$3000,ROUNDUP(COUNTIFS(Offers!$B$7:$B$3000,$B389,Offers!$C$7:$C$3000,$C389,Offers!$AI$7:$AI$3000,"yes")/2,0))+SUMIFS(Offers!$I$7:$I$3000,Offers!$B$7:$B$3000,$B389,Offers!$C$7:$C$3000,$C389,Offers!$AG$7:$AG$3000,INT(COUNTIFS(Offers!$B$7:$B$3000,$B389,Offers!$C$7:$C$3000,$C389,Offers!$AI$7:$AI$3000,"yes")/2)+1))/2)</f>
        <v>4.500562</v>
      </c>
      <c r="K389" s="100" t="n">
        <f aca="false">IF(COUNTIFS(Offers!$B$7:$B$3000,$B389,Offers!$C$7:$C$3000,$C389,Offers!$AI$7:$AI$3000,"yes")=0,"",SUMIFS(Offers!$I$7:$I$3000,Offers!$B$7:$B$3000,$B389,Offers!$C$7:$C$3000,$C389,Offers!$AG$7:$AG$3000,COUNTIFS(Offers!$B$7:$B$3000,$B389,Offers!$C$7:$C$3000,$C389,Offers!$AI$7:$AI$3000,"yes")))</f>
        <v>6.714812</v>
      </c>
      <c r="L389" s="96"/>
      <c r="M389" s="96"/>
      <c r="N389" s="96"/>
      <c r="O389" s="101" t="n">
        <f aca="false">IF(Compare!$E$5="Local prices",IF(F389="","",IF(Compare!$C$5="Minimum",F389,IF(Compare!$C$5="Maximum",H389,G389))),IF(I389="","",IF(Compare!$C$5="Minimum",I389,IF(Compare!$C$5="Maximum",K389,J389))))</f>
        <v>4.500562</v>
      </c>
    </row>
    <row r="390" customFormat="false" ht="13.5" hidden="false" customHeight="false" outlineLevel="0" collapsed="false">
      <c r="B390" s="36" t="s">
        <v>94</v>
      </c>
      <c r="C390" s="98" t="s">
        <v>18</v>
      </c>
      <c r="D390" s="98" t="s">
        <v>244</v>
      </c>
      <c r="E390" s="98" t="s">
        <v>491</v>
      </c>
      <c r="F390" s="99" t="n">
        <f aca="false">IF(COUNTIFS(Offers!$B$7:$B$3000,$B390,Offers!$C$7:$C$3000,$C390,Offers!$AH$7:$AH$3000,"yes")=0,"",SUMIFS(Offers!$H$7:$H$3000,Offers!$B$7:$B$3000,$B390,Offers!$C$7:$C$3000,$C390,Offers!$AF$7:$AF$3000,1))</f>
        <v>2.46</v>
      </c>
      <c r="G390" s="93" t="n">
        <f aca="false">IF(COUNTIFS(Offers!$B$7:$B$3000,$B390,Offers!$C$7:$C$3000,$C390,Offers!$AH$7:$AH$3000,"yes")=0,"",(SUMIFS(Offers!$H$7:$H$3000,Offers!$B$7:$B$3000,$B390,Offers!$C$7:$C$3000,$C390,Offers!$AF$7:$AF$3000,ROUNDUP(COUNTIFS(Offers!$B$7:$B$3000,$B390,Offers!$C$7:$C$3000,$C390,Offers!$AH$7:$AH$3000,"yes")/2,0))+SUMIFS(Offers!$H$7:$H$3000,Offers!$B$7:$B$3000,$B390,Offers!$C$7:$C$3000,$C390,Offers!$AF$7:$AF$3000,INT(COUNTIFS(Offers!$B$7:$B$3000,$B390,Offers!$C$7:$C$3000,$C390,Offers!$AH$7:$AH$3000,"yes")/2)+1))/2)</f>
        <v>4.01</v>
      </c>
      <c r="H390" s="99" t="n">
        <f aca="false">IF(COUNTIFS(Offers!$B$7:$B$3000,$B390,Offers!$C$7:$C$3000,$C390,Offers!$AH$7:$AH$3000,"yes")=0,"",SUMIFS(Offers!$H$7:$H$3000,Offers!$B$7:$B$3000,$B390,Offers!$C$7:$C$3000,$C390,Offers!$AF$7:$AF$3000,COUNTIFS(Offers!$B$7:$B$3000,$B390,Offers!$C$7:$C$3000,$C390,Offers!$AH$7:$AH$3000,"yes")))</f>
        <v>4.96</v>
      </c>
      <c r="I390" s="100" t="n">
        <f aca="false">IF(COUNTIFS(Offers!$B$7:$B$3000,$B390,Offers!$C$7:$C$3000,$C390,Offers!$AI$7:$AI$3000,"yes")=0,"",SUMIFS(Offers!$I$7:$I$3000,Offers!$B$7:$B$3000,$B390,Offers!$C$7:$C$3000,$C390,Offers!$AG$7:$AG$3000,1))</f>
        <v>2.46</v>
      </c>
      <c r="J390" s="95" t="n">
        <f aca="false">IF(COUNTIFS(Offers!$B$7:$B$3000,$B390,Offers!$C$7:$C$3000,$C390,Offers!$AI$7:$AI$3000,"yes")=0,"",(SUMIFS(Offers!$I$7:$I$3000,Offers!$B$7:$B$3000,$B390,Offers!$C$7:$C$3000,$C390,Offers!$AG$7:$AG$3000,ROUNDUP(COUNTIFS(Offers!$B$7:$B$3000,$B390,Offers!$C$7:$C$3000,$C390,Offers!$AI$7:$AI$3000,"yes")/2,0))+SUMIFS(Offers!$I$7:$I$3000,Offers!$B$7:$B$3000,$B390,Offers!$C$7:$C$3000,$C390,Offers!$AG$7:$AG$3000,INT(COUNTIFS(Offers!$B$7:$B$3000,$B390,Offers!$C$7:$C$3000,$C390,Offers!$AI$7:$AI$3000,"yes")/2)+1))/2)</f>
        <v>4.01</v>
      </c>
      <c r="K390" s="100" t="n">
        <f aca="false">IF(COUNTIFS(Offers!$B$7:$B$3000,$B390,Offers!$C$7:$C$3000,$C390,Offers!$AI$7:$AI$3000,"yes")=0,"",SUMIFS(Offers!$I$7:$I$3000,Offers!$B$7:$B$3000,$B390,Offers!$C$7:$C$3000,$C390,Offers!$AG$7:$AG$3000,COUNTIFS(Offers!$B$7:$B$3000,$B390,Offers!$C$7:$C$3000,$C390,Offers!$AI$7:$AI$3000,"yes")))</f>
        <v>4.96</v>
      </c>
      <c r="L390" s="96"/>
      <c r="M390" s="96"/>
      <c r="N390" s="96"/>
      <c r="O390" s="101" t="n">
        <f aca="false">IF(Compare!$E$5="Local prices",IF(F390="","",IF(Compare!$C$5="Minimum",F390,IF(Compare!$C$5="Maximum",H390,G390))),IF(I390="","",IF(Compare!$C$5="Minimum",I390,IF(Compare!$C$5="Maximum",K390,J390))))</f>
        <v>4.01</v>
      </c>
    </row>
    <row r="391" customFormat="false" ht="13.5" hidden="false" customHeight="false" outlineLevel="0" collapsed="false">
      <c r="B391" s="36" t="s">
        <v>95</v>
      </c>
      <c r="C391" s="98" t="s">
        <v>13</v>
      </c>
      <c r="D391" s="98" t="s">
        <v>490</v>
      </c>
      <c r="E391" s="98" t="s">
        <v>491</v>
      </c>
      <c r="F391" s="99" t="str">
        <f aca="false">IF(COUNTIFS(Offers!$B$7:$B$3000,$B391,Offers!$C$7:$C$3000,$C391,Offers!$AH$7:$AH$3000,"yes")=0,"",SUMIFS(Offers!$H$7:$H$3000,Offers!$B$7:$B$3000,$B391,Offers!$C$7:$C$3000,$C391,Offers!$AF$7:$AF$3000,1))</f>
        <v/>
      </c>
      <c r="G391" s="93" t="str">
        <f aca="false">IF(COUNTIFS(Offers!$B$7:$B$3000,$B391,Offers!$C$7:$C$3000,$C391,Offers!$AH$7:$AH$3000,"yes")=0,"",(SUMIFS(Offers!$H$7:$H$3000,Offers!$B$7:$B$3000,$B391,Offers!$C$7:$C$3000,$C391,Offers!$AF$7:$AF$3000,ROUNDUP(COUNTIFS(Offers!$B$7:$B$3000,$B391,Offers!$C$7:$C$3000,$C391,Offers!$AH$7:$AH$3000,"yes")/2,0))+SUMIFS(Offers!$H$7:$H$3000,Offers!$B$7:$B$3000,$B391,Offers!$C$7:$C$3000,$C391,Offers!$AF$7:$AF$3000,INT(COUNTIFS(Offers!$B$7:$B$3000,$B391,Offers!$C$7:$C$3000,$C391,Offers!$AH$7:$AH$3000,"yes")/2)+1))/2)</f>
        <v/>
      </c>
      <c r="H391" s="99" t="str">
        <f aca="false">IF(COUNTIFS(Offers!$B$7:$B$3000,$B391,Offers!$C$7:$C$3000,$C391,Offers!$AH$7:$AH$3000,"yes")=0,"",SUMIFS(Offers!$H$7:$H$3000,Offers!$B$7:$B$3000,$B391,Offers!$C$7:$C$3000,$C391,Offers!$AF$7:$AF$3000,COUNTIFS(Offers!$B$7:$B$3000,$B391,Offers!$C$7:$C$3000,$C391,Offers!$AH$7:$AH$3000,"yes")))</f>
        <v/>
      </c>
      <c r="I391" s="100" t="str">
        <f aca="false">IF(COUNTIFS(Offers!$B$7:$B$3000,$B391,Offers!$C$7:$C$3000,$C391,Offers!$AI$7:$AI$3000,"yes")=0,"",SUMIFS(Offers!$I$7:$I$3000,Offers!$B$7:$B$3000,$B391,Offers!$C$7:$C$3000,$C391,Offers!$AG$7:$AG$3000,1))</f>
        <v/>
      </c>
      <c r="J391" s="95" t="str">
        <f aca="false">IF(COUNTIFS(Offers!$B$7:$B$3000,$B391,Offers!$C$7:$C$3000,$C391,Offers!$AI$7:$AI$3000,"yes")=0,"",(SUMIFS(Offers!$I$7:$I$3000,Offers!$B$7:$B$3000,$B391,Offers!$C$7:$C$3000,$C391,Offers!$AG$7:$AG$3000,ROUNDUP(COUNTIFS(Offers!$B$7:$B$3000,$B391,Offers!$C$7:$C$3000,$C391,Offers!$AI$7:$AI$3000,"yes")/2,0))+SUMIFS(Offers!$I$7:$I$3000,Offers!$B$7:$B$3000,$B391,Offers!$C$7:$C$3000,$C391,Offers!$AG$7:$AG$3000,INT(COUNTIFS(Offers!$B$7:$B$3000,$B391,Offers!$C$7:$C$3000,$C391,Offers!$AI$7:$AI$3000,"yes")/2)+1))/2)</f>
        <v/>
      </c>
      <c r="K391" s="100" t="str">
        <f aca="false">IF(COUNTIFS(Offers!$B$7:$B$3000,$B391,Offers!$C$7:$C$3000,$C391,Offers!$AI$7:$AI$3000,"yes")=0,"",SUMIFS(Offers!$I$7:$I$3000,Offers!$B$7:$B$3000,$B391,Offers!$C$7:$C$3000,$C391,Offers!$AG$7:$AG$3000,COUNTIFS(Offers!$B$7:$B$3000,$B391,Offers!$C$7:$C$3000,$C391,Offers!$AI$7:$AI$3000,"yes")))</f>
        <v/>
      </c>
      <c r="L391" s="96"/>
      <c r="M391" s="96"/>
      <c r="N391" s="96"/>
      <c r="O391" s="110" t="str">
        <f aca="false">IF(Compare!$E$5="Local prices",IF(F391="","",IF(Compare!$C$5="Minimum",F391,IF(Compare!$C$5="Maximum",H391,G391))),IF(I391="","",IF(Compare!$C$5="Minimum",I391,IF(Compare!$C$5="Maximum",K391,J391))))</f>
        <v/>
      </c>
    </row>
    <row r="392" customFormat="false" ht="13.5" hidden="false" customHeight="false" outlineLevel="0" collapsed="false">
      <c r="B392" s="36" t="s">
        <v>95</v>
      </c>
      <c r="C392" s="98" t="s">
        <v>14</v>
      </c>
      <c r="D392" s="98" t="s">
        <v>374</v>
      </c>
      <c r="E392" s="98" t="s">
        <v>491</v>
      </c>
      <c r="F392" s="99" t="n">
        <f aca="false">IF(COUNTIFS(Offers!$B$7:$B$3000,$B392,Offers!$C$7:$C$3000,$C392,Offers!$AH$7:$AH$3000,"yes")=0,"",SUMIFS(Offers!$H$7:$H$3000,Offers!$B$7:$B$3000,$B392,Offers!$C$7:$C$3000,$C392,Offers!$AF$7:$AF$3000,1))</f>
        <v>16.16</v>
      </c>
      <c r="G392" s="93" t="n">
        <f aca="false">IF(COUNTIFS(Offers!$B$7:$B$3000,$B392,Offers!$C$7:$C$3000,$C392,Offers!$AH$7:$AH$3000,"yes")=0,"",(SUMIFS(Offers!$H$7:$H$3000,Offers!$B$7:$B$3000,$B392,Offers!$C$7:$C$3000,$C392,Offers!$AF$7:$AF$3000,ROUNDUP(COUNTIFS(Offers!$B$7:$B$3000,$B392,Offers!$C$7:$C$3000,$C392,Offers!$AH$7:$AH$3000,"yes")/2,0))+SUMIFS(Offers!$H$7:$H$3000,Offers!$B$7:$B$3000,$B392,Offers!$C$7:$C$3000,$C392,Offers!$AF$7:$AF$3000,INT(COUNTIFS(Offers!$B$7:$B$3000,$B392,Offers!$C$7:$C$3000,$C392,Offers!$AH$7:$AH$3000,"yes")/2)+1))/2)</f>
        <v>20.93</v>
      </c>
      <c r="H392" s="99" t="n">
        <f aca="false">IF(COUNTIFS(Offers!$B$7:$B$3000,$B392,Offers!$C$7:$C$3000,$C392,Offers!$AH$7:$AH$3000,"yes")=0,"",SUMIFS(Offers!$H$7:$H$3000,Offers!$B$7:$B$3000,$B392,Offers!$C$7:$C$3000,$C392,Offers!$AF$7:$AF$3000,COUNTIFS(Offers!$B$7:$B$3000,$B392,Offers!$C$7:$C$3000,$C392,Offers!$AH$7:$AH$3000,"yes")))</f>
        <v>48.82</v>
      </c>
      <c r="I392" s="100" t="n">
        <f aca="false">IF(COUNTIFS(Offers!$B$7:$B$3000,$B392,Offers!$C$7:$C$3000,$C392,Offers!$AI$7:$AI$3000,"yes")=0,"",SUMIFS(Offers!$I$7:$I$3000,Offers!$B$7:$B$3000,$B392,Offers!$C$7:$C$3000,$C392,Offers!$AG$7:$AG$3000,1))</f>
        <v>3.061974</v>
      </c>
      <c r="J392" s="95" t="n">
        <f aca="false">IF(COUNTIFS(Offers!$B$7:$B$3000,$B392,Offers!$C$7:$C$3000,$C392,Offers!$AI$7:$AI$3000,"yes")=0,"",(SUMIFS(Offers!$I$7:$I$3000,Offers!$B$7:$B$3000,$B392,Offers!$C$7:$C$3000,$C392,Offers!$AG$7:$AG$3000,ROUNDUP(COUNTIFS(Offers!$B$7:$B$3000,$B392,Offers!$C$7:$C$3000,$C392,Offers!$AI$7:$AI$3000,"yes")/2,0))+SUMIFS(Offers!$I$7:$I$3000,Offers!$B$7:$B$3000,$B392,Offers!$C$7:$C$3000,$C392,Offers!$AG$7:$AG$3000,INT(COUNTIFS(Offers!$B$7:$B$3000,$B392,Offers!$C$7:$C$3000,$C392,Offers!$AI$7:$AI$3000,"yes")/2)+1))/2)</f>
        <v>3.965787</v>
      </c>
      <c r="K392" s="100" t="n">
        <f aca="false">IF(COUNTIFS(Offers!$B$7:$B$3000,$B392,Offers!$C$7:$C$3000,$C392,Offers!$AI$7:$AI$3000,"yes")=0,"",SUMIFS(Offers!$I$7:$I$3000,Offers!$B$7:$B$3000,$B392,Offers!$C$7:$C$3000,$C392,Offers!$AG$7:$AG$3000,COUNTIFS(Offers!$B$7:$B$3000,$B392,Offers!$C$7:$C$3000,$C392,Offers!$AI$7:$AI$3000,"yes")))</f>
        <v>9.250344</v>
      </c>
      <c r="L392" s="96"/>
      <c r="M392" s="96"/>
      <c r="N392" s="96"/>
      <c r="O392" s="101" t="n">
        <f aca="false">IF(Compare!$E$5="Local prices",IF(F392="","",IF(Compare!$C$5="Minimum",F392,IF(Compare!$C$5="Maximum",H392,G392))),IF(I392="","",IF(Compare!$C$5="Minimum",I392,IF(Compare!$C$5="Maximum",K392,J392))))</f>
        <v>3.965787</v>
      </c>
    </row>
    <row r="393" customFormat="false" ht="13.5" hidden="false" customHeight="false" outlineLevel="0" collapsed="false">
      <c r="B393" s="36" t="s">
        <v>95</v>
      </c>
      <c r="C393" s="98" t="s">
        <v>15</v>
      </c>
      <c r="D393" s="98" t="s">
        <v>244</v>
      </c>
      <c r="E393" s="98" t="s">
        <v>491</v>
      </c>
      <c r="F393" s="99" t="n">
        <f aca="false">IF(COUNTIFS(Offers!$B$7:$B$3000,$B393,Offers!$C$7:$C$3000,$C393,Offers!$AH$7:$AH$3000,"yes")=0,"",SUMIFS(Offers!$H$7:$H$3000,Offers!$B$7:$B$3000,$B393,Offers!$C$7:$C$3000,$C393,Offers!$AF$7:$AF$3000,1))</f>
        <v>2.83</v>
      </c>
      <c r="G393" s="93" t="n">
        <f aca="false">IF(COUNTIFS(Offers!$B$7:$B$3000,$B393,Offers!$C$7:$C$3000,$C393,Offers!$AH$7:$AH$3000,"yes")=0,"",(SUMIFS(Offers!$H$7:$H$3000,Offers!$B$7:$B$3000,$B393,Offers!$C$7:$C$3000,$C393,Offers!$AF$7:$AF$3000,ROUNDUP(COUNTIFS(Offers!$B$7:$B$3000,$B393,Offers!$C$7:$C$3000,$C393,Offers!$AH$7:$AH$3000,"yes")/2,0))+SUMIFS(Offers!$H$7:$H$3000,Offers!$B$7:$B$3000,$B393,Offers!$C$7:$C$3000,$C393,Offers!$AF$7:$AF$3000,INT(COUNTIFS(Offers!$B$7:$B$3000,$B393,Offers!$C$7:$C$3000,$C393,Offers!$AH$7:$AH$3000,"yes")/2)+1))/2)</f>
        <v>5.25</v>
      </c>
      <c r="H393" s="99" t="n">
        <f aca="false">IF(COUNTIFS(Offers!$B$7:$B$3000,$B393,Offers!$C$7:$C$3000,$C393,Offers!$AH$7:$AH$3000,"yes")=0,"",SUMIFS(Offers!$H$7:$H$3000,Offers!$B$7:$B$3000,$B393,Offers!$C$7:$C$3000,$C393,Offers!$AF$7:$AF$3000,COUNTIFS(Offers!$B$7:$B$3000,$B393,Offers!$C$7:$C$3000,$C393,Offers!$AH$7:$AH$3000,"yes")))</f>
        <v>19.36</v>
      </c>
      <c r="I393" s="100" t="n">
        <f aca="false">IF(COUNTIFS(Offers!$B$7:$B$3000,$B393,Offers!$C$7:$C$3000,$C393,Offers!$AI$7:$AI$3000,"yes")=0,"",SUMIFS(Offers!$I$7:$I$3000,Offers!$B$7:$B$3000,$B393,Offers!$C$7:$C$3000,$C393,Offers!$AG$7:$AG$3000,1))</f>
        <v>2.83</v>
      </c>
      <c r="J393" s="95" t="n">
        <f aca="false">IF(COUNTIFS(Offers!$B$7:$B$3000,$B393,Offers!$C$7:$C$3000,$C393,Offers!$AI$7:$AI$3000,"yes")=0,"",(SUMIFS(Offers!$I$7:$I$3000,Offers!$B$7:$B$3000,$B393,Offers!$C$7:$C$3000,$C393,Offers!$AG$7:$AG$3000,ROUNDUP(COUNTIFS(Offers!$B$7:$B$3000,$B393,Offers!$C$7:$C$3000,$C393,Offers!$AI$7:$AI$3000,"yes")/2,0))+SUMIFS(Offers!$I$7:$I$3000,Offers!$B$7:$B$3000,$B393,Offers!$C$7:$C$3000,$C393,Offers!$AG$7:$AG$3000,INT(COUNTIFS(Offers!$B$7:$B$3000,$B393,Offers!$C$7:$C$3000,$C393,Offers!$AI$7:$AI$3000,"yes")/2)+1))/2)</f>
        <v>5.25</v>
      </c>
      <c r="K393" s="100" t="n">
        <f aca="false">IF(COUNTIFS(Offers!$B$7:$B$3000,$B393,Offers!$C$7:$C$3000,$C393,Offers!$AI$7:$AI$3000,"yes")=0,"",SUMIFS(Offers!$I$7:$I$3000,Offers!$B$7:$B$3000,$B393,Offers!$C$7:$C$3000,$C393,Offers!$AG$7:$AG$3000,COUNTIFS(Offers!$B$7:$B$3000,$B393,Offers!$C$7:$C$3000,$C393,Offers!$AI$7:$AI$3000,"yes")))</f>
        <v>19.36</v>
      </c>
      <c r="L393" s="96"/>
      <c r="M393" s="96"/>
      <c r="N393" s="96"/>
      <c r="O393" s="101" t="n">
        <f aca="false">IF(Compare!$E$5="Local prices",IF(F393="","",IF(Compare!$C$5="Minimum",F393,IF(Compare!$C$5="Maximum",H393,G393))),IF(I393="","",IF(Compare!$C$5="Minimum",I393,IF(Compare!$C$5="Maximum",K393,J393))))</f>
        <v>5.25</v>
      </c>
    </row>
    <row r="394" customFormat="false" ht="13.5" hidden="false" customHeight="false" outlineLevel="0" collapsed="false">
      <c r="B394" s="36" t="s">
        <v>95</v>
      </c>
      <c r="C394" s="98" t="s">
        <v>16</v>
      </c>
      <c r="D394" s="98" t="s">
        <v>244</v>
      </c>
      <c r="E394" s="98" t="s">
        <v>491</v>
      </c>
      <c r="F394" s="99" t="n">
        <f aca="false">IF(COUNTIFS(Offers!$B$7:$B$3000,$B394,Offers!$C$7:$C$3000,$C394,Offers!$AH$7:$AH$3000,"yes")=0,"",SUMIFS(Offers!$H$7:$H$3000,Offers!$B$7:$B$3000,$B394,Offers!$C$7:$C$3000,$C394,Offers!$AF$7:$AF$3000,1))</f>
        <v>2.67</v>
      </c>
      <c r="G394" s="93" t="n">
        <f aca="false">IF(COUNTIFS(Offers!$B$7:$B$3000,$B394,Offers!$C$7:$C$3000,$C394,Offers!$AH$7:$AH$3000,"yes")=0,"",(SUMIFS(Offers!$H$7:$H$3000,Offers!$B$7:$B$3000,$B394,Offers!$C$7:$C$3000,$C394,Offers!$AF$7:$AF$3000,ROUNDUP(COUNTIFS(Offers!$B$7:$B$3000,$B394,Offers!$C$7:$C$3000,$C394,Offers!$AH$7:$AH$3000,"yes")/2,0))+SUMIFS(Offers!$H$7:$H$3000,Offers!$B$7:$B$3000,$B394,Offers!$C$7:$C$3000,$C394,Offers!$AF$7:$AF$3000,INT(COUNTIFS(Offers!$B$7:$B$3000,$B394,Offers!$C$7:$C$3000,$C394,Offers!$AH$7:$AH$3000,"yes")/2)+1))/2)</f>
        <v>4.56</v>
      </c>
      <c r="H394" s="99" t="n">
        <f aca="false">IF(COUNTIFS(Offers!$B$7:$B$3000,$B394,Offers!$C$7:$C$3000,$C394,Offers!$AH$7:$AH$3000,"yes")=0,"",SUMIFS(Offers!$H$7:$H$3000,Offers!$B$7:$B$3000,$B394,Offers!$C$7:$C$3000,$C394,Offers!$AF$7:$AF$3000,COUNTIFS(Offers!$B$7:$B$3000,$B394,Offers!$C$7:$C$3000,$C394,Offers!$AH$7:$AH$3000,"yes")))</f>
        <v>15.9</v>
      </c>
      <c r="I394" s="100" t="n">
        <f aca="false">IF(COUNTIFS(Offers!$B$7:$B$3000,$B394,Offers!$C$7:$C$3000,$C394,Offers!$AI$7:$AI$3000,"yes")=0,"",SUMIFS(Offers!$I$7:$I$3000,Offers!$B$7:$B$3000,$B394,Offers!$C$7:$C$3000,$C394,Offers!$AG$7:$AG$3000,1))</f>
        <v>2.67</v>
      </c>
      <c r="J394" s="95" t="n">
        <f aca="false">IF(COUNTIFS(Offers!$B$7:$B$3000,$B394,Offers!$C$7:$C$3000,$C394,Offers!$AI$7:$AI$3000,"yes")=0,"",(SUMIFS(Offers!$I$7:$I$3000,Offers!$B$7:$B$3000,$B394,Offers!$C$7:$C$3000,$C394,Offers!$AG$7:$AG$3000,ROUNDUP(COUNTIFS(Offers!$B$7:$B$3000,$B394,Offers!$C$7:$C$3000,$C394,Offers!$AI$7:$AI$3000,"yes")/2,0))+SUMIFS(Offers!$I$7:$I$3000,Offers!$B$7:$B$3000,$B394,Offers!$C$7:$C$3000,$C394,Offers!$AG$7:$AG$3000,INT(COUNTIFS(Offers!$B$7:$B$3000,$B394,Offers!$C$7:$C$3000,$C394,Offers!$AI$7:$AI$3000,"yes")/2)+1))/2)</f>
        <v>4.56</v>
      </c>
      <c r="K394" s="100" t="n">
        <f aca="false">IF(COUNTIFS(Offers!$B$7:$B$3000,$B394,Offers!$C$7:$C$3000,$C394,Offers!$AI$7:$AI$3000,"yes")=0,"",SUMIFS(Offers!$I$7:$I$3000,Offers!$B$7:$B$3000,$B394,Offers!$C$7:$C$3000,$C394,Offers!$AG$7:$AG$3000,COUNTIFS(Offers!$B$7:$B$3000,$B394,Offers!$C$7:$C$3000,$C394,Offers!$AI$7:$AI$3000,"yes")))</f>
        <v>15.9</v>
      </c>
      <c r="L394" s="96"/>
      <c r="M394" s="96"/>
      <c r="N394" s="96"/>
      <c r="O394" s="101" t="n">
        <f aca="false">IF(Compare!$E$5="Local prices",IF(F394="","",IF(Compare!$C$5="Minimum",F394,IF(Compare!$C$5="Maximum",H394,G394))),IF(I394="","",IF(Compare!$C$5="Minimum",I394,IF(Compare!$C$5="Maximum",K394,J394))))</f>
        <v>4.56</v>
      </c>
    </row>
    <row r="395" customFormat="false" ht="13.5" hidden="false" customHeight="false" outlineLevel="0" collapsed="false">
      <c r="B395" s="36" t="s">
        <v>95</v>
      </c>
      <c r="C395" s="98" t="s">
        <v>17</v>
      </c>
      <c r="D395" s="98" t="s">
        <v>333</v>
      </c>
      <c r="E395" s="98" t="s">
        <v>491</v>
      </c>
      <c r="F395" s="99" t="n">
        <f aca="false">IF(COUNTIFS(Offers!$B$7:$B$3000,$B395,Offers!$C$7:$C$3000,$C395,Offers!$AH$7:$AH$3000,"yes")=0,"",SUMIFS(Offers!$H$7:$H$3000,Offers!$B$7:$B$3000,$B395,Offers!$C$7:$C$3000,$C395,Offers!$AF$7:$AF$3000,1))</f>
        <v>83.47</v>
      </c>
      <c r="G395" s="93" t="n">
        <f aca="false">IF(COUNTIFS(Offers!$B$7:$B$3000,$B395,Offers!$C$7:$C$3000,$C395,Offers!$AH$7:$AH$3000,"yes")=0,"",(SUMIFS(Offers!$H$7:$H$3000,Offers!$B$7:$B$3000,$B395,Offers!$C$7:$C$3000,$C395,Offers!$AF$7:$AF$3000,ROUNDUP(COUNTIFS(Offers!$B$7:$B$3000,$B395,Offers!$C$7:$C$3000,$C395,Offers!$AH$7:$AH$3000,"yes")/2,0))+SUMIFS(Offers!$H$7:$H$3000,Offers!$B$7:$B$3000,$B395,Offers!$C$7:$C$3000,$C395,Offers!$AF$7:$AF$3000,INT(COUNTIFS(Offers!$B$7:$B$3000,$B395,Offers!$C$7:$C$3000,$C395,Offers!$AH$7:$AH$3000,"yes")/2)+1))/2)</f>
        <v>129.75</v>
      </c>
      <c r="H395" s="99" t="n">
        <f aca="false">IF(COUNTIFS(Offers!$B$7:$B$3000,$B395,Offers!$C$7:$C$3000,$C395,Offers!$AH$7:$AH$3000,"yes")=0,"",SUMIFS(Offers!$H$7:$H$3000,Offers!$B$7:$B$3000,$B395,Offers!$C$7:$C$3000,$C395,Offers!$AF$7:$AF$3000,COUNTIFS(Offers!$B$7:$B$3000,$B395,Offers!$C$7:$C$3000,$C395,Offers!$AH$7:$AH$3000,"yes")))</f>
        <v>208</v>
      </c>
      <c r="I395" s="100" t="n">
        <f aca="false">IF(COUNTIFS(Offers!$B$7:$B$3000,$B395,Offers!$C$7:$C$3000,$C395,Offers!$AI$7:$AI$3000,"yes")=0,"",SUMIFS(Offers!$I$7:$I$3000,Offers!$B$7:$B$3000,$B395,Offers!$C$7:$C$3000,$C395,Offers!$AG$7:$AG$3000,1))</f>
        <v>3.417594</v>
      </c>
      <c r="J395" s="95" t="n">
        <f aca="false">IF(COUNTIFS(Offers!$B$7:$B$3000,$B395,Offers!$C$7:$C$3000,$C395,Offers!$AI$7:$AI$3000,"yes")=0,"",(SUMIFS(Offers!$I$7:$I$3000,Offers!$B$7:$B$3000,$B395,Offers!$C$7:$C$3000,$C395,Offers!$AG$7:$AG$3000,ROUNDUP(COUNTIFS(Offers!$B$7:$B$3000,$B395,Offers!$C$7:$C$3000,$C395,Offers!$AI$7:$AI$3000,"yes")/2,0))+SUMIFS(Offers!$I$7:$I$3000,Offers!$B$7:$B$3000,$B395,Offers!$C$7:$C$3000,$C395,Offers!$AG$7:$AG$3000,INT(COUNTIFS(Offers!$B$7:$B$3000,$B395,Offers!$C$7:$C$3000,$C395,Offers!$AI$7:$AI$3000,"yes")/2)+1))/2)</f>
        <v>5.312481</v>
      </c>
      <c r="K395" s="100" t="n">
        <f aca="false">IF(COUNTIFS(Offers!$B$7:$B$3000,$B395,Offers!$C$7:$C$3000,$C395,Offers!$AI$7:$AI$3000,"yes")=0,"",SUMIFS(Offers!$I$7:$I$3000,Offers!$B$7:$B$3000,$B395,Offers!$C$7:$C$3000,$C395,Offers!$AG$7:$AG$3000,COUNTIFS(Offers!$B$7:$B$3000,$B395,Offers!$C$7:$C$3000,$C395,Offers!$AI$7:$AI$3000,"yes")))</f>
        <v>8.516348</v>
      </c>
      <c r="L395" s="96"/>
      <c r="M395" s="96"/>
      <c r="N395" s="96"/>
      <c r="O395" s="101" t="n">
        <f aca="false">IF(Compare!$E$5="Local prices",IF(F395="","",IF(Compare!$C$5="Minimum",F395,IF(Compare!$C$5="Maximum",H395,G395))),IF(I395="","",IF(Compare!$C$5="Minimum",I395,IF(Compare!$C$5="Maximum",K395,J395))))</f>
        <v>5.312481</v>
      </c>
    </row>
    <row r="396" customFormat="false" ht="13.5" hidden="false" customHeight="false" outlineLevel="0" collapsed="false">
      <c r="B396" s="36" t="s">
        <v>95</v>
      </c>
      <c r="C396" s="98" t="s">
        <v>18</v>
      </c>
      <c r="D396" s="98" t="s">
        <v>244</v>
      </c>
      <c r="E396" s="98" t="s">
        <v>491</v>
      </c>
      <c r="F396" s="99" t="n">
        <f aca="false">IF(COUNTIFS(Offers!$B$7:$B$3000,$B396,Offers!$C$7:$C$3000,$C396,Offers!$AH$7:$AH$3000,"yes")=0,"",SUMIFS(Offers!$H$7:$H$3000,Offers!$B$7:$B$3000,$B396,Offers!$C$7:$C$3000,$C396,Offers!$AF$7:$AF$3000,1))</f>
        <v>3.4</v>
      </c>
      <c r="G396" s="93" t="n">
        <f aca="false">IF(COUNTIFS(Offers!$B$7:$B$3000,$B396,Offers!$C$7:$C$3000,$C396,Offers!$AH$7:$AH$3000,"yes")=0,"",(SUMIFS(Offers!$H$7:$H$3000,Offers!$B$7:$B$3000,$B396,Offers!$C$7:$C$3000,$C396,Offers!$AF$7:$AF$3000,ROUNDUP(COUNTIFS(Offers!$B$7:$B$3000,$B396,Offers!$C$7:$C$3000,$C396,Offers!$AH$7:$AH$3000,"yes")/2,0))+SUMIFS(Offers!$H$7:$H$3000,Offers!$B$7:$B$3000,$B396,Offers!$C$7:$C$3000,$C396,Offers!$AF$7:$AF$3000,INT(COUNTIFS(Offers!$B$7:$B$3000,$B396,Offers!$C$7:$C$3000,$C396,Offers!$AH$7:$AH$3000,"yes")/2)+1))/2)</f>
        <v>5.51</v>
      </c>
      <c r="H396" s="99" t="n">
        <f aca="false">IF(COUNTIFS(Offers!$B$7:$B$3000,$B396,Offers!$C$7:$C$3000,$C396,Offers!$AH$7:$AH$3000,"yes")=0,"",SUMIFS(Offers!$H$7:$H$3000,Offers!$B$7:$B$3000,$B396,Offers!$C$7:$C$3000,$C396,Offers!$AF$7:$AF$3000,COUNTIFS(Offers!$B$7:$B$3000,$B396,Offers!$C$7:$C$3000,$C396,Offers!$AH$7:$AH$3000,"yes")))</f>
        <v>6.05</v>
      </c>
      <c r="I396" s="100" t="n">
        <f aca="false">IF(COUNTIFS(Offers!$B$7:$B$3000,$B396,Offers!$C$7:$C$3000,$C396,Offers!$AI$7:$AI$3000,"yes")=0,"",SUMIFS(Offers!$I$7:$I$3000,Offers!$B$7:$B$3000,$B396,Offers!$C$7:$C$3000,$C396,Offers!$AG$7:$AG$3000,1))</f>
        <v>3.4</v>
      </c>
      <c r="J396" s="95" t="n">
        <f aca="false">IF(COUNTIFS(Offers!$B$7:$B$3000,$B396,Offers!$C$7:$C$3000,$C396,Offers!$AI$7:$AI$3000,"yes")=0,"",(SUMIFS(Offers!$I$7:$I$3000,Offers!$B$7:$B$3000,$B396,Offers!$C$7:$C$3000,$C396,Offers!$AG$7:$AG$3000,ROUNDUP(COUNTIFS(Offers!$B$7:$B$3000,$B396,Offers!$C$7:$C$3000,$C396,Offers!$AI$7:$AI$3000,"yes")/2,0))+SUMIFS(Offers!$I$7:$I$3000,Offers!$B$7:$B$3000,$B396,Offers!$C$7:$C$3000,$C396,Offers!$AG$7:$AG$3000,INT(COUNTIFS(Offers!$B$7:$B$3000,$B396,Offers!$C$7:$C$3000,$C396,Offers!$AI$7:$AI$3000,"yes")/2)+1))/2)</f>
        <v>5.51</v>
      </c>
      <c r="K396" s="100" t="n">
        <f aca="false">IF(COUNTIFS(Offers!$B$7:$B$3000,$B396,Offers!$C$7:$C$3000,$C396,Offers!$AI$7:$AI$3000,"yes")=0,"",SUMIFS(Offers!$I$7:$I$3000,Offers!$B$7:$B$3000,$B396,Offers!$C$7:$C$3000,$C396,Offers!$AG$7:$AG$3000,COUNTIFS(Offers!$B$7:$B$3000,$B396,Offers!$C$7:$C$3000,$C396,Offers!$AI$7:$AI$3000,"yes")))</f>
        <v>6.05</v>
      </c>
      <c r="L396" s="96"/>
      <c r="M396" s="96"/>
      <c r="N396" s="96"/>
      <c r="O396" s="101" t="n">
        <f aca="false">IF(Compare!$E$5="Local prices",IF(F396="","",IF(Compare!$C$5="Minimum",F396,IF(Compare!$C$5="Maximum",H396,G396))),IF(I396="","",IF(Compare!$C$5="Minimum",I396,IF(Compare!$C$5="Maximum",K396,J396))))</f>
        <v>5.51</v>
      </c>
    </row>
    <row r="397" customFormat="false" ht="13.5" hidden="false" customHeight="false" outlineLevel="0" collapsed="false">
      <c r="B397" s="36" t="s">
        <v>96</v>
      </c>
      <c r="C397" s="98" t="s">
        <v>13</v>
      </c>
      <c r="D397" s="98" t="s">
        <v>490</v>
      </c>
      <c r="E397" s="98" t="s">
        <v>491</v>
      </c>
      <c r="F397" s="99" t="str">
        <f aca="false">IF(COUNTIFS(Offers!$B$7:$B$3000,$B397,Offers!$C$7:$C$3000,$C397,Offers!$AH$7:$AH$3000,"yes")=0,"",SUMIFS(Offers!$H$7:$H$3000,Offers!$B$7:$B$3000,$B397,Offers!$C$7:$C$3000,$C397,Offers!$AF$7:$AF$3000,1))</f>
        <v/>
      </c>
      <c r="G397" s="93" t="str">
        <f aca="false">IF(COUNTIFS(Offers!$B$7:$B$3000,$B397,Offers!$C$7:$C$3000,$C397,Offers!$AH$7:$AH$3000,"yes")=0,"",(SUMIFS(Offers!$H$7:$H$3000,Offers!$B$7:$B$3000,$B397,Offers!$C$7:$C$3000,$C397,Offers!$AF$7:$AF$3000,ROUNDUP(COUNTIFS(Offers!$B$7:$B$3000,$B397,Offers!$C$7:$C$3000,$C397,Offers!$AH$7:$AH$3000,"yes")/2,0))+SUMIFS(Offers!$H$7:$H$3000,Offers!$B$7:$B$3000,$B397,Offers!$C$7:$C$3000,$C397,Offers!$AF$7:$AF$3000,INT(COUNTIFS(Offers!$B$7:$B$3000,$B397,Offers!$C$7:$C$3000,$C397,Offers!$AH$7:$AH$3000,"yes")/2)+1))/2)</f>
        <v/>
      </c>
      <c r="H397" s="99" t="str">
        <f aca="false">IF(COUNTIFS(Offers!$B$7:$B$3000,$B397,Offers!$C$7:$C$3000,$C397,Offers!$AH$7:$AH$3000,"yes")=0,"",SUMIFS(Offers!$H$7:$H$3000,Offers!$B$7:$B$3000,$B397,Offers!$C$7:$C$3000,$C397,Offers!$AF$7:$AF$3000,COUNTIFS(Offers!$B$7:$B$3000,$B397,Offers!$C$7:$C$3000,$C397,Offers!$AH$7:$AH$3000,"yes")))</f>
        <v/>
      </c>
      <c r="I397" s="100" t="str">
        <f aca="false">IF(COUNTIFS(Offers!$B$7:$B$3000,$B397,Offers!$C$7:$C$3000,$C397,Offers!$AI$7:$AI$3000,"yes")=0,"",SUMIFS(Offers!$I$7:$I$3000,Offers!$B$7:$B$3000,$B397,Offers!$C$7:$C$3000,$C397,Offers!$AG$7:$AG$3000,1))</f>
        <v/>
      </c>
      <c r="J397" s="95" t="str">
        <f aca="false">IF(COUNTIFS(Offers!$B$7:$B$3000,$B397,Offers!$C$7:$C$3000,$C397,Offers!$AI$7:$AI$3000,"yes")=0,"",(SUMIFS(Offers!$I$7:$I$3000,Offers!$B$7:$B$3000,$B397,Offers!$C$7:$C$3000,$C397,Offers!$AG$7:$AG$3000,ROUNDUP(COUNTIFS(Offers!$B$7:$B$3000,$B397,Offers!$C$7:$C$3000,$C397,Offers!$AI$7:$AI$3000,"yes")/2,0))+SUMIFS(Offers!$I$7:$I$3000,Offers!$B$7:$B$3000,$B397,Offers!$C$7:$C$3000,$C397,Offers!$AG$7:$AG$3000,INT(COUNTIFS(Offers!$B$7:$B$3000,$B397,Offers!$C$7:$C$3000,$C397,Offers!$AI$7:$AI$3000,"yes")/2)+1))/2)</f>
        <v/>
      </c>
      <c r="K397" s="100" t="str">
        <f aca="false">IF(COUNTIFS(Offers!$B$7:$B$3000,$B397,Offers!$C$7:$C$3000,$C397,Offers!$AI$7:$AI$3000,"yes")=0,"",SUMIFS(Offers!$I$7:$I$3000,Offers!$B$7:$B$3000,$B397,Offers!$C$7:$C$3000,$C397,Offers!$AG$7:$AG$3000,COUNTIFS(Offers!$B$7:$B$3000,$B397,Offers!$C$7:$C$3000,$C397,Offers!$AI$7:$AI$3000,"yes")))</f>
        <v/>
      </c>
      <c r="L397" s="96"/>
      <c r="M397" s="96"/>
      <c r="N397" s="96"/>
      <c r="O397" s="110" t="str">
        <f aca="false">IF(Compare!$E$5="Local prices",IF(F397="","",IF(Compare!$C$5="Minimum",F397,IF(Compare!$C$5="Maximum",H397,G397))),IF(I397="","",IF(Compare!$C$5="Minimum",I397,IF(Compare!$C$5="Maximum",K397,J397))))</f>
        <v/>
      </c>
    </row>
    <row r="398" customFormat="false" ht="13.5" hidden="false" customHeight="false" outlineLevel="0" collapsed="false">
      <c r="B398" s="36" t="s">
        <v>96</v>
      </c>
      <c r="C398" s="98" t="s">
        <v>14</v>
      </c>
      <c r="D398" s="98" t="s">
        <v>374</v>
      </c>
      <c r="E398" s="98" t="s">
        <v>491</v>
      </c>
      <c r="F398" s="99" t="n">
        <f aca="false">IF(COUNTIFS(Offers!$B$7:$B$3000,$B398,Offers!$C$7:$C$3000,$C398,Offers!$AH$7:$AH$3000,"yes")=0,"",SUMIFS(Offers!$H$7:$H$3000,Offers!$B$7:$B$3000,$B398,Offers!$C$7:$C$3000,$C398,Offers!$AF$7:$AF$3000,1))</f>
        <v>24.83</v>
      </c>
      <c r="G398" s="93" t="n">
        <f aca="false">IF(COUNTIFS(Offers!$B$7:$B$3000,$B398,Offers!$C$7:$C$3000,$C398,Offers!$AH$7:$AH$3000,"yes")=0,"",(SUMIFS(Offers!$H$7:$H$3000,Offers!$B$7:$B$3000,$B398,Offers!$C$7:$C$3000,$C398,Offers!$AF$7:$AF$3000,ROUNDUP(COUNTIFS(Offers!$B$7:$B$3000,$B398,Offers!$C$7:$C$3000,$C398,Offers!$AH$7:$AH$3000,"yes")/2,0))+SUMIFS(Offers!$H$7:$H$3000,Offers!$B$7:$B$3000,$B398,Offers!$C$7:$C$3000,$C398,Offers!$AF$7:$AF$3000,INT(COUNTIFS(Offers!$B$7:$B$3000,$B398,Offers!$C$7:$C$3000,$C398,Offers!$AH$7:$AH$3000,"yes")/2)+1))/2)</f>
        <v>37.525</v>
      </c>
      <c r="H398" s="99" t="n">
        <f aca="false">IF(COUNTIFS(Offers!$B$7:$B$3000,$B398,Offers!$C$7:$C$3000,$C398,Offers!$AH$7:$AH$3000,"yes")=0,"",SUMIFS(Offers!$H$7:$H$3000,Offers!$B$7:$B$3000,$B398,Offers!$C$7:$C$3000,$C398,Offers!$AF$7:$AF$3000,COUNTIFS(Offers!$B$7:$B$3000,$B398,Offers!$C$7:$C$3000,$C398,Offers!$AH$7:$AH$3000,"yes")))</f>
        <v>57.29</v>
      </c>
      <c r="I398" s="100" t="n">
        <f aca="false">IF(COUNTIFS(Offers!$B$7:$B$3000,$B398,Offers!$C$7:$C$3000,$C398,Offers!$AI$7:$AI$3000,"yes")=0,"",SUMIFS(Offers!$I$7:$I$3000,Offers!$B$7:$B$3000,$B398,Offers!$C$7:$C$3000,$C398,Offers!$AG$7:$AG$3000,1))</f>
        <v>4.704753</v>
      </c>
      <c r="J398" s="95" t="n">
        <f aca="false">IF(COUNTIFS(Offers!$B$7:$B$3000,$B398,Offers!$C$7:$C$3000,$C398,Offers!$AI$7:$AI$3000,"yes")=0,"",(SUMIFS(Offers!$I$7:$I$3000,Offers!$B$7:$B$3000,$B398,Offers!$C$7:$C$3000,$C398,Offers!$AG$7:$AG$3000,ROUNDUP(COUNTIFS(Offers!$B$7:$B$3000,$B398,Offers!$C$7:$C$3000,$C398,Offers!$AI$7:$AI$3000,"yes")/2,0))+SUMIFS(Offers!$I$7:$I$3000,Offers!$B$7:$B$3000,$B398,Offers!$C$7:$C$3000,$C398,Offers!$AG$7:$AG$3000,INT(COUNTIFS(Offers!$B$7:$B$3000,$B398,Offers!$C$7:$C$3000,$C398,Offers!$AI$7:$AI$3000,"yes")/2)+1))/2)</f>
        <v>7.1101835</v>
      </c>
      <c r="K398" s="100" t="n">
        <f aca="false">IF(COUNTIFS(Offers!$B$7:$B$3000,$B398,Offers!$C$7:$C$3000,$C398,Offers!$AI$7:$AI$3000,"yes")=0,"",SUMIFS(Offers!$I$7:$I$3000,Offers!$B$7:$B$3000,$B398,Offers!$C$7:$C$3000,$C398,Offers!$AG$7:$AG$3000,COUNTIFS(Offers!$B$7:$B$3000,$B398,Offers!$C$7:$C$3000,$C398,Offers!$AI$7:$AI$3000,"yes")))</f>
        <v>10.855227</v>
      </c>
      <c r="L398" s="96"/>
      <c r="M398" s="96"/>
      <c r="N398" s="96"/>
      <c r="O398" s="101" t="n">
        <f aca="false">IF(Compare!$E$5="Local prices",IF(F398="","",IF(Compare!$C$5="Minimum",F398,IF(Compare!$C$5="Maximum",H398,G398))),IF(I398="","",IF(Compare!$C$5="Minimum",I398,IF(Compare!$C$5="Maximum",K398,J398))))</f>
        <v>7.1101835</v>
      </c>
    </row>
    <row r="399" customFormat="false" ht="13.5" hidden="false" customHeight="false" outlineLevel="0" collapsed="false">
      <c r="B399" s="36" t="s">
        <v>96</v>
      </c>
      <c r="C399" s="98" t="s">
        <v>15</v>
      </c>
      <c r="D399" s="98" t="s">
        <v>244</v>
      </c>
      <c r="E399" s="98" t="s">
        <v>491</v>
      </c>
      <c r="F399" s="99" t="n">
        <f aca="false">IF(COUNTIFS(Offers!$B$7:$B$3000,$B399,Offers!$C$7:$C$3000,$C399,Offers!$AH$7:$AH$3000,"yes")=0,"",SUMIFS(Offers!$H$7:$H$3000,Offers!$B$7:$B$3000,$B399,Offers!$C$7:$C$3000,$C399,Offers!$AF$7:$AF$3000,1))</f>
        <v>4.9</v>
      </c>
      <c r="G399" s="93" t="n">
        <f aca="false">IF(COUNTIFS(Offers!$B$7:$B$3000,$B399,Offers!$C$7:$C$3000,$C399,Offers!$AH$7:$AH$3000,"yes")=0,"",(SUMIFS(Offers!$H$7:$H$3000,Offers!$B$7:$B$3000,$B399,Offers!$C$7:$C$3000,$C399,Offers!$AF$7:$AF$3000,ROUNDUP(COUNTIFS(Offers!$B$7:$B$3000,$B399,Offers!$C$7:$C$3000,$C399,Offers!$AH$7:$AH$3000,"yes")/2,0))+SUMIFS(Offers!$H$7:$H$3000,Offers!$B$7:$B$3000,$B399,Offers!$C$7:$C$3000,$C399,Offers!$AF$7:$AF$3000,INT(COUNTIFS(Offers!$B$7:$B$3000,$B399,Offers!$C$7:$C$3000,$C399,Offers!$AH$7:$AH$3000,"yes")/2)+1))/2)</f>
        <v>6</v>
      </c>
      <c r="H399" s="99" t="n">
        <f aca="false">IF(COUNTIFS(Offers!$B$7:$B$3000,$B399,Offers!$C$7:$C$3000,$C399,Offers!$AH$7:$AH$3000,"yes")=0,"",SUMIFS(Offers!$H$7:$H$3000,Offers!$B$7:$B$3000,$B399,Offers!$C$7:$C$3000,$C399,Offers!$AF$7:$AF$3000,COUNTIFS(Offers!$B$7:$B$3000,$B399,Offers!$C$7:$C$3000,$C399,Offers!$AH$7:$AH$3000,"yes")))</f>
        <v>21.06</v>
      </c>
      <c r="I399" s="100" t="n">
        <f aca="false">IF(COUNTIFS(Offers!$B$7:$B$3000,$B399,Offers!$C$7:$C$3000,$C399,Offers!$AI$7:$AI$3000,"yes")=0,"",SUMIFS(Offers!$I$7:$I$3000,Offers!$B$7:$B$3000,$B399,Offers!$C$7:$C$3000,$C399,Offers!$AG$7:$AG$3000,1))</f>
        <v>4.9</v>
      </c>
      <c r="J399" s="95" t="n">
        <f aca="false">IF(COUNTIFS(Offers!$B$7:$B$3000,$B399,Offers!$C$7:$C$3000,$C399,Offers!$AI$7:$AI$3000,"yes")=0,"",(SUMIFS(Offers!$I$7:$I$3000,Offers!$B$7:$B$3000,$B399,Offers!$C$7:$C$3000,$C399,Offers!$AG$7:$AG$3000,ROUNDUP(COUNTIFS(Offers!$B$7:$B$3000,$B399,Offers!$C$7:$C$3000,$C399,Offers!$AI$7:$AI$3000,"yes")/2,0))+SUMIFS(Offers!$I$7:$I$3000,Offers!$B$7:$B$3000,$B399,Offers!$C$7:$C$3000,$C399,Offers!$AG$7:$AG$3000,INT(COUNTIFS(Offers!$B$7:$B$3000,$B399,Offers!$C$7:$C$3000,$C399,Offers!$AI$7:$AI$3000,"yes")/2)+1))/2)</f>
        <v>6</v>
      </c>
      <c r="K399" s="100" t="n">
        <f aca="false">IF(COUNTIFS(Offers!$B$7:$B$3000,$B399,Offers!$C$7:$C$3000,$C399,Offers!$AI$7:$AI$3000,"yes")=0,"",SUMIFS(Offers!$I$7:$I$3000,Offers!$B$7:$B$3000,$B399,Offers!$C$7:$C$3000,$C399,Offers!$AG$7:$AG$3000,COUNTIFS(Offers!$B$7:$B$3000,$B399,Offers!$C$7:$C$3000,$C399,Offers!$AI$7:$AI$3000,"yes")))</f>
        <v>21.06</v>
      </c>
      <c r="L399" s="96"/>
      <c r="M399" s="96"/>
      <c r="N399" s="96"/>
      <c r="O399" s="101" t="n">
        <f aca="false">IF(Compare!$E$5="Local prices",IF(F399="","",IF(Compare!$C$5="Minimum",F399,IF(Compare!$C$5="Maximum",H399,G399))),IF(I399="","",IF(Compare!$C$5="Minimum",I399,IF(Compare!$C$5="Maximum",K399,J399))))</f>
        <v>6</v>
      </c>
    </row>
    <row r="400" customFormat="false" ht="13.5" hidden="false" customHeight="false" outlineLevel="0" collapsed="false">
      <c r="B400" s="36" t="s">
        <v>96</v>
      </c>
      <c r="C400" s="98" t="s">
        <v>16</v>
      </c>
      <c r="D400" s="98" t="s">
        <v>244</v>
      </c>
      <c r="E400" s="98" t="s">
        <v>491</v>
      </c>
      <c r="F400" s="99" t="n">
        <f aca="false">IF(COUNTIFS(Offers!$B$7:$B$3000,$B400,Offers!$C$7:$C$3000,$C400,Offers!$AH$7:$AH$3000,"yes")=0,"",SUMIFS(Offers!$H$7:$H$3000,Offers!$B$7:$B$3000,$B400,Offers!$C$7:$C$3000,$C400,Offers!$AF$7:$AF$3000,1))</f>
        <v>5.07</v>
      </c>
      <c r="G400" s="93" t="n">
        <f aca="false">IF(COUNTIFS(Offers!$B$7:$B$3000,$B400,Offers!$C$7:$C$3000,$C400,Offers!$AH$7:$AH$3000,"yes")=0,"",(SUMIFS(Offers!$H$7:$H$3000,Offers!$B$7:$B$3000,$B400,Offers!$C$7:$C$3000,$C400,Offers!$AF$7:$AF$3000,ROUNDUP(COUNTIFS(Offers!$B$7:$B$3000,$B400,Offers!$C$7:$C$3000,$C400,Offers!$AH$7:$AH$3000,"yes")/2,0))+SUMIFS(Offers!$H$7:$H$3000,Offers!$B$7:$B$3000,$B400,Offers!$C$7:$C$3000,$C400,Offers!$AF$7:$AF$3000,INT(COUNTIFS(Offers!$B$7:$B$3000,$B400,Offers!$C$7:$C$3000,$C400,Offers!$AH$7:$AH$3000,"yes")/2)+1))/2)</f>
        <v>5.89</v>
      </c>
      <c r="H400" s="99" t="n">
        <f aca="false">IF(COUNTIFS(Offers!$B$7:$B$3000,$B400,Offers!$C$7:$C$3000,$C400,Offers!$AH$7:$AH$3000,"yes")=0,"",SUMIFS(Offers!$H$7:$H$3000,Offers!$B$7:$B$3000,$B400,Offers!$C$7:$C$3000,$C400,Offers!$AF$7:$AF$3000,COUNTIFS(Offers!$B$7:$B$3000,$B400,Offers!$C$7:$C$3000,$C400,Offers!$AH$7:$AH$3000,"yes")))</f>
        <v>14.4</v>
      </c>
      <c r="I400" s="100" t="n">
        <f aca="false">IF(COUNTIFS(Offers!$B$7:$B$3000,$B400,Offers!$C$7:$C$3000,$C400,Offers!$AI$7:$AI$3000,"yes")=0,"",SUMIFS(Offers!$I$7:$I$3000,Offers!$B$7:$B$3000,$B400,Offers!$C$7:$C$3000,$C400,Offers!$AG$7:$AG$3000,1))</f>
        <v>5.07</v>
      </c>
      <c r="J400" s="95" t="n">
        <f aca="false">IF(COUNTIFS(Offers!$B$7:$B$3000,$B400,Offers!$C$7:$C$3000,$C400,Offers!$AI$7:$AI$3000,"yes")=0,"",(SUMIFS(Offers!$I$7:$I$3000,Offers!$B$7:$B$3000,$B400,Offers!$C$7:$C$3000,$C400,Offers!$AG$7:$AG$3000,ROUNDUP(COUNTIFS(Offers!$B$7:$B$3000,$B400,Offers!$C$7:$C$3000,$C400,Offers!$AI$7:$AI$3000,"yes")/2,0))+SUMIFS(Offers!$I$7:$I$3000,Offers!$B$7:$B$3000,$B400,Offers!$C$7:$C$3000,$C400,Offers!$AG$7:$AG$3000,INT(COUNTIFS(Offers!$B$7:$B$3000,$B400,Offers!$C$7:$C$3000,$C400,Offers!$AI$7:$AI$3000,"yes")/2)+1))/2)</f>
        <v>5.89</v>
      </c>
      <c r="K400" s="100" t="n">
        <f aca="false">IF(COUNTIFS(Offers!$B$7:$B$3000,$B400,Offers!$C$7:$C$3000,$C400,Offers!$AI$7:$AI$3000,"yes")=0,"",SUMIFS(Offers!$I$7:$I$3000,Offers!$B$7:$B$3000,$B400,Offers!$C$7:$C$3000,$C400,Offers!$AG$7:$AG$3000,COUNTIFS(Offers!$B$7:$B$3000,$B400,Offers!$C$7:$C$3000,$C400,Offers!$AI$7:$AI$3000,"yes")))</f>
        <v>14.4</v>
      </c>
      <c r="L400" s="96"/>
      <c r="M400" s="96"/>
      <c r="N400" s="96"/>
      <c r="O400" s="101" t="n">
        <f aca="false">IF(Compare!$E$5="Local prices",IF(F400="","",IF(Compare!$C$5="Minimum",F400,IF(Compare!$C$5="Maximum",H400,G400))),IF(I400="","",IF(Compare!$C$5="Minimum",I400,IF(Compare!$C$5="Maximum",K400,J400))))</f>
        <v>5.89</v>
      </c>
    </row>
    <row r="401" customFormat="false" ht="13.5" hidden="false" customHeight="false" outlineLevel="0" collapsed="false">
      <c r="B401" s="36" t="s">
        <v>96</v>
      </c>
      <c r="C401" s="98" t="s">
        <v>17</v>
      </c>
      <c r="D401" s="98" t="s">
        <v>333</v>
      </c>
      <c r="E401" s="98" t="s">
        <v>491</v>
      </c>
      <c r="F401" s="99" t="n">
        <f aca="false">IF(COUNTIFS(Offers!$B$7:$B$3000,$B401,Offers!$C$7:$C$3000,$C401,Offers!$AH$7:$AH$3000,"yes")=0,"",SUMIFS(Offers!$H$7:$H$3000,Offers!$B$7:$B$3000,$B401,Offers!$C$7:$C$3000,$C401,Offers!$AF$7:$AF$3000,1))</f>
        <v>87.6</v>
      </c>
      <c r="G401" s="93" t="n">
        <f aca="false">IF(COUNTIFS(Offers!$B$7:$B$3000,$B401,Offers!$C$7:$C$3000,$C401,Offers!$AH$7:$AH$3000,"yes")=0,"",(SUMIFS(Offers!$H$7:$H$3000,Offers!$B$7:$B$3000,$B401,Offers!$C$7:$C$3000,$C401,Offers!$AF$7:$AF$3000,ROUNDUP(COUNTIFS(Offers!$B$7:$B$3000,$B401,Offers!$C$7:$C$3000,$C401,Offers!$AH$7:$AH$3000,"yes")/2,0))+SUMIFS(Offers!$H$7:$H$3000,Offers!$B$7:$B$3000,$B401,Offers!$C$7:$C$3000,$C401,Offers!$AF$7:$AF$3000,INT(COUNTIFS(Offers!$B$7:$B$3000,$B401,Offers!$C$7:$C$3000,$C401,Offers!$AH$7:$AH$3000,"yes")/2)+1))/2)</f>
        <v>157.02</v>
      </c>
      <c r="H401" s="99" t="n">
        <f aca="false">IF(COUNTIFS(Offers!$B$7:$B$3000,$B401,Offers!$C$7:$C$3000,$C401,Offers!$AH$7:$AH$3000,"yes")=0,"",SUMIFS(Offers!$H$7:$H$3000,Offers!$B$7:$B$3000,$B401,Offers!$C$7:$C$3000,$C401,Offers!$AF$7:$AF$3000,COUNTIFS(Offers!$B$7:$B$3000,$B401,Offers!$C$7:$C$3000,$C401,Offers!$AH$7:$AH$3000,"yes")))</f>
        <v>260</v>
      </c>
      <c r="I401" s="100" t="n">
        <f aca="false">IF(COUNTIFS(Offers!$B$7:$B$3000,$B401,Offers!$C$7:$C$3000,$C401,Offers!$AI$7:$AI$3000,"yes")=0,"",SUMIFS(Offers!$I$7:$I$3000,Offers!$B$7:$B$3000,$B401,Offers!$C$7:$C$3000,$C401,Offers!$AG$7:$AG$3000,1))</f>
        <v>3.586693</v>
      </c>
      <c r="J401" s="95" t="n">
        <f aca="false">IF(COUNTIFS(Offers!$B$7:$B$3000,$B401,Offers!$C$7:$C$3000,$C401,Offers!$AI$7:$AI$3000,"yes")=0,"",(SUMIFS(Offers!$I$7:$I$3000,Offers!$B$7:$B$3000,$B401,Offers!$C$7:$C$3000,$C401,Offers!$AG$7:$AG$3000,ROUNDUP(COUNTIFS(Offers!$B$7:$B$3000,$B401,Offers!$C$7:$C$3000,$C401,Offers!$AI$7:$AI$3000,"yes")/2,0))+SUMIFS(Offers!$I$7:$I$3000,Offers!$B$7:$B$3000,$B401,Offers!$C$7:$C$3000,$C401,Offers!$AG$7:$AG$3000,INT(COUNTIFS(Offers!$B$7:$B$3000,$B401,Offers!$C$7:$C$3000,$C401,Offers!$AI$7:$AI$3000,"yes")/2)+1))/2)</f>
        <v>6.429024</v>
      </c>
      <c r="K401" s="100" t="n">
        <f aca="false">IF(COUNTIFS(Offers!$B$7:$B$3000,$B401,Offers!$C$7:$C$3000,$C401,Offers!$AI$7:$AI$3000,"yes")=0,"",SUMIFS(Offers!$I$7:$I$3000,Offers!$B$7:$B$3000,$B401,Offers!$C$7:$C$3000,$C401,Offers!$AG$7:$AG$3000,COUNTIFS(Offers!$B$7:$B$3000,$B401,Offers!$C$7:$C$3000,$C401,Offers!$AI$7:$AI$3000,"yes")))</f>
        <v>10.645434</v>
      </c>
      <c r="L401" s="96"/>
      <c r="M401" s="96"/>
      <c r="N401" s="96"/>
      <c r="O401" s="101" t="n">
        <f aca="false">IF(Compare!$E$5="Local prices",IF(F401="","",IF(Compare!$C$5="Minimum",F401,IF(Compare!$C$5="Maximum",H401,G401))),IF(I401="","",IF(Compare!$C$5="Minimum",I401,IF(Compare!$C$5="Maximum",K401,J401))))</f>
        <v>6.429024</v>
      </c>
    </row>
    <row r="402" customFormat="false" ht="13.5" hidden="false" customHeight="false" outlineLevel="0" collapsed="false">
      <c r="B402" s="36" t="s">
        <v>96</v>
      </c>
      <c r="C402" s="98" t="s">
        <v>18</v>
      </c>
      <c r="D402" s="98" t="s">
        <v>244</v>
      </c>
      <c r="E402" s="98" t="s">
        <v>491</v>
      </c>
      <c r="F402" s="99" t="n">
        <f aca="false">IF(COUNTIFS(Offers!$B$7:$B$3000,$B402,Offers!$C$7:$C$3000,$C402,Offers!$AH$7:$AH$3000,"yes")=0,"",SUMIFS(Offers!$H$7:$H$3000,Offers!$B$7:$B$3000,$B402,Offers!$C$7:$C$3000,$C402,Offers!$AF$7:$AF$3000,1))</f>
        <v>4.64</v>
      </c>
      <c r="G402" s="93" t="n">
        <f aca="false">IF(COUNTIFS(Offers!$B$7:$B$3000,$B402,Offers!$C$7:$C$3000,$C402,Offers!$AH$7:$AH$3000,"yes")=0,"",(SUMIFS(Offers!$H$7:$H$3000,Offers!$B$7:$B$3000,$B402,Offers!$C$7:$C$3000,$C402,Offers!$AF$7:$AF$3000,ROUNDUP(COUNTIFS(Offers!$B$7:$B$3000,$B402,Offers!$C$7:$C$3000,$C402,Offers!$AH$7:$AH$3000,"yes")/2,0))+SUMIFS(Offers!$H$7:$H$3000,Offers!$B$7:$B$3000,$B402,Offers!$C$7:$C$3000,$C402,Offers!$AF$7:$AF$3000,INT(COUNTIFS(Offers!$B$7:$B$3000,$B402,Offers!$C$7:$C$3000,$C402,Offers!$AH$7:$AH$3000,"yes")/2)+1))/2)</f>
        <v>7.14</v>
      </c>
      <c r="H402" s="99" t="n">
        <f aca="false">IF(COUNTIFS(Offers!$B$7:$B$3000,$B402,Offers!$C$7:$C$3000,$C402,Offers!$AH$7:$AH$3000,"yes")=0,"",SUMIFS(Offers!$H$7:$H$3000,Offers!$B$7:$B$3000,$B402,Offers!$C$7:$C$3000,$C402,Offers!$AF$7:$AF$3000,COUNTIFS(Offers!$B$7:$B$3000,$B402,Offers!$C$7:$C$3000,$C402,Offers!$AH$7:$AH$3000,"yes")))</f>
        <v>10.32</v>
      </c>
      <c r="I402" s="100" t="n">
        <f aca="false">IF(COUNTIFS(Offers!$B$7:$B$3000,$B402,Offers!$C$7:$C$3000,$C402,Offers!$AI$7:$AI$3000,"yes")=0,"",SUMIFS(Offers!$I$7:$I$3000,Offers!$B$7:$B$3000,$B402,Offers!$C$7:$C$3000,$C402,Offers!$AG$7:$AG$3000,1))</f>
        <v>4.64</v>
      </c>
      <c r="J402" s="95" t="n">
        <f aca="false">IF(COUNTIFS(Offers!$B$7:$B$3000,$B402,Offers!$C$7:$C$3000,$C402,Offers!$AI$7:$AI$3000,"yes")=0,"",(SUMIFS(Offers!$I$7:$I$3000,Offers!$B$7:$B$3000,$B402,Offers!$C$7:$C$3000,$C402,Offers!$AG$7:$AG$3000,ROUNDUP(COUNTIFS(Offers!$B$7:$B$3000,$B402,Offers!$C$7:$C$3000,$C402,Offers!$AI$7:$AI$3000,"yes")/2,0))+SUMIFS(Offers!$I$7:$I$3000,Offers!$B$7:$B$3000,$B402,Offers!$C$7:$C$3000,$C402,Offers!$AG$7:$AG$3000,INT(COUNTIFS(Offers!$B$7:$B$3000,$B402,Offers!$C$7:$C$3000,$C402,Offers!$AI$7:$AI$3000,"yes")/2)+1))/2)</f>
        <v>7.14</v>
      </c>
      <c r="K402" s="100" t="n">
        <f aca="false">IF(COUNTIFS(Offers!$B$7:$B$3000,$B402,Offers!$C$7:$C$3000,$C402,Offers!$AI$7:$AI$3000,"yes")=0,"",SUMIFS(Offers!$I$7:$I$3000,Offers!$B$7:$B$3000,$B402,Offers!$C$7:$C$3000,$C402,Offers!$AG$7:$AG$3000,COUNTIFS(Offers!$B$7:$B$3000,$B402,Offers!$C$7:$C$3000,$C402,Offers!$AI$7:$AI$3000,"yes")))</f>
        <v>10.32</v>
      </c>
      <c r="L402" s="96"/>
      <c r="M402" s="96"/>
      <c r="N402" s="96"/>
      <c r="O402" s="101" t="n">
        <f aca="false">IF(Compare!$E$5="Local prices",IF(F402="","",IF(Compare!$C$5="Minimum",F402,IF(Compare!$C$5="Maximum",H402,G402))),IF(I402="","",IF(Compare!$C$5="Minimum",I402,IF(Compare!$C$5="Maximum",K402,J402))))</f>
        <v>7.14</v>
      </c>
    </row>
    <row r="403" customFormat="false" ht="13.5" hidden="false" customHeight="false" outlineLevel="0" collapsed="false">
      <c r="B403" s="36" t="s">
        <v>97</v>
      </c>
      <c r="C403" s="98" t="s">
        <v>13</v>
      </c>
      <c r="D403" s="98" t="s">
        <v>490</v>
      </c>
      <c r="E403" s="98" t="s">
        <v>491</v>
      </c>
      <c r="F403" s="99" t="str">
        <f aca="false">IF(COUNTIFS(Offers!$B$7:$B$3000,$B403,Offers!$C$7:$C$3000,$C403,Offers!$AH$7:$AH$3000,"yes")=0,"",SUMIFS(Offers!$H$7:$H$3000,Offers!$B$7:$B$3000,$B403,Offers!$C$7:$C$3000,$C403,Offers!$AF$7:$AF$3000,1))</f>
        <v/>
      </c>
      <c r="G403" s="93" t="str">
        <f aca="false">IF(COUNTIFS(Offers!$B$7:$B$3000,$B403,Offers!$C$7:$C$3000,$C403,Offers!$AH$7:$AH$3000,"yes")=0,"",(SUMIFS(Offers!$H$7:$H$3000,Offers!$B$7:$B$3000,$B403,Offers!$C$7:$C$3000,$C403,Offers!$AF$7:$AF$3000,ROUNDUP(COUNTIFS(Offers!$B$7:$B$3000,$B403,Offers!$C$7:$C$3000,$C403,Offers!$AH$7:$AH$3000,"yes")/2,0))+SUMIFS(Offers!$H$7:$H$3000,Offers!$B$7:$B$3000,$B403,Offers!$C$7:$C$3000,$C403,Offers!$AF$7:$AF$3000,INT(COUNTIFS(Offers!$B$7:$B$3000,$B403,Offers!$C$7:$C$3000,$C403,Offers!$AH$7:$AH$3000,"yes")/2)+1))/2)</f>
        <v/>
      </c>
      <c r="H403" s="99" t="str">
        <f aca="false">IF(COUNTIFS(Offers!$B$7:$B$3000,$B403,Offers!$C$7:$C$3000,$C403,Offers!$AH$7:$AH$3000,"yes")=0,"",SUMIFS(Offers!$H$7:$H$3000,Offers!$B$7:$B$3000,$B403,Offers!$C$7:$C$3000,$C403,Offers!$AF$7:$AF$3000,COUNTIFS(Offers!$B$7:$B$3000,$B403,Offers!$C$7:$C$3000,$C403,Offers!$AH$7:$AH$3000,"yes")))</f>
        <v/>
      </c>
      <c r="I403" s="100" t="str">
        <f aca="false">IF(COUNTIFS(Offers!$B$7:$B$3000,$B403,Offers!$C$7:$C$3000,$C403,Offers!$AI$7:$AI$3000,"yes")=0,"",SUMIFS(Offers!$I$7:$I$3000,Offers!$B$7:$B$3000,$B403,Offers!$C$7:$C$3000,$C403,Offers!$AG$7:$AG$3000,1))</f>
        <v/>
      </c>
      <c r="J403" s="95" t="str">
        <f aca="false">IF(COUNTIFS(Offers!$B$7:$B$3000,$B403,Offers!$C$7:$C$3000,$C403,Offers!$AI$7:$AI$3000,"yes")=0,"",(SUMIFS(Offers!$I$7:$I$3000,Offers!$B$7:$B$3000,$B403,Offers!$C$7:$C$3000,$C403,Offers!$AG$7:$AG$3000,ROUNDUP(COUNTIFS(Offers!$B$7:$B$3000,$B403,Offers!$C$7:$C$3000,$C403,Offers!$AI$7:$AI$3000,"yes")/2,0))+SUMIFS(Offers!$I$7:$I$3000,Offers!$B$7:$B$3000,$B403,Offers!$C$7:$C$3000,$C403,Offers!$AG$7:$AG$3000,INT(COUNTIFS(Offers!$B$7:$B$3000,$B403,Offers!$C$7:$C$3000,$C403,Offers!$AI$7:$AI$3000,"yes")/2)+1))/2)</f>
        <v/>
      </c>
      <c r="K403" s="100" t="str">
        <f aca="false">IF(COUNTIFS(Offers!$B$7:$B$3000,$B403,Offers!$C$7:$C$3000,$C403,Offers!$AI$7:$AI$3000,"yes")=0,"",SUMIFS(Offers!$I$7:$I$3000,Offers!$B$7:$B$3000,$B403,Offers!$C$7:$C$3000,$C403,Offers!$AG$7:$AG$3000,COUNTIFS(Offers!$B$7:$B$3000,$B403,Offers!$C$7:$C$3000,$C403,Offers!$AI$7:$AI$3000,"yes")))</f>
        <v/>
      </c>
      <c r="L403" s="96"/>
      <c r="M403" s="96"/>
      <c r="N403" s="96"/>
      <c r="O403" s="110" t="str">
        <f aca="false">IF(Compare!$E$5="Local prices",IF(F403="","",IF(Compare!$C$5="Minimum",F403,IF(Compare!$C$5="Maximum",H403,G403))),IF(I403="","",IF(Compare!$C$5="Minimum",I403,IF(Compare!$C$5="Maximum",K403,J403))))</f>
        <v/>
      </c>
    </row>
    <row r="404" customFormat="false" ht="13.5" hidden="false" customHeight="false" outlineLevel="0" collapsed="false">
      <c r="B404" s="36" t="s">
        <v>97</v>
      </c>
      <c r="C404" s="98" t="s">
        <v>14</v>
      </c>
      <c r="D404" s="98" t="s">
        <v>374</v>
      </c>
      <c r="E404" s="98" t="s">
        <v>491</v>
      </c>
      <c r="F404" s="99" t="n">
        <f aca="false">IF(COUNTIFS(Offers!$B$7:$B$3000,$B404,Offers!$C$7:$C$3000,$C404,Offers!$AH$7:$AH$3000,"yes")=0,"",SUMIFS(Offers!$H$7:$H$3000,Offers!$B$7:$B$3000,$B404,Offers!$C$7:$C$3000,$C404,Offers!$AF$7:$AF$3000,1))</f>
        <v>7.81</v>
      </c>
      <c r="G404" s="93" t="n">
        <f aca="false">IF(COUNTIFS(Offers!$B$7:$B$3000,$B404,Offers!$C$7:$C$3000,$C404,Offers!$AH$7:$AH$3000,"yes")=0,"",(SUMIFS(Offers!$H$7:$H$3000,Offers!$B$7:$B$3000,$B404,Offers!$C$7:$C$3000,$C404,Offers!$AF$7:$AF$3000,ROUNDUP(COUNTIFS(Offers!$B$7:$B$3000,$B404,Offers!$C$7:$C$3000,$C404,Offers!$AH$7:$AH$3000,"yes")/2,0))+SUMIFS(Offers!$H$7:$H$3000,Offers!$B$7:$B$3000,$B404,Offers!$C$7:$C$3000,$C404,Offers!$AF$7:$AF$3000,INT(COUNTIFS(Offers!$B$7:$B$3000,$B404,Offers!$C$7:$C$3000,$C404,Offers!$AH$7:$AH$3000,"yes")/2)+1))/2)</f>
        <v>14.11</v>
      </c>
      <c r="H404" s="99" t="n">
        <f aca="false">IF(COUNTIFS(Offers!$B$7:$B$3000,$B404,Offers!$C$7:$C$3000,$C404,Offers!$AH$7:$AH$3000,"yes")=0,"",SUMIFS(Offers!$H$7:$H$3000,Offers!$B$7:$B$3000,$B404,Offers!$C$7:$C$3000,$C404,Offers!$AF$7:$AF$3000,COUNTIFS(Offers!$B$7:$B$3000,$B404,Offers!$C$7:$C$3000,$C404,Offers!$AH$7:$AH$3000,"yes")))</f>
        <v>19.82</v>
      </c>
      <c r="I404" s="100" t="n">
        <f aca="false">IF(COUNTIFS(Offers!$B$7:$B$3000,$B404,Offers!$C$7:$C$3000,$C404,Offers!$AI$7:$AI$3000,"yes")=0,"",SUMIFS(Offers!$I$7:$I$3000,Offers!$B$7:$B$3000,$B404,Offers!$C$7:$C$3000,$C404,Offers!$AG$7:$AG$3000,1))</f>
        <v>1.479828</v>
      </c>
      <c r="J404" s="95" t="n">
        <f aca="false">IF(COUNTIFS(Offers!$B$7:$B$3000,$B404,Offers!$C$7:$C$3000,$C404,Offers!$AI$7:$AI$3000,"yes")=0,"",(SUMIFS(Offers!$I$7:$I$3000,Offers!$B$7:$B$3000,$B404,Offers!$C$7:$C$3000,$C404,Offers!$AG$7:$AG$3000,ROUNDUP(COUNTIFS(Offers!$B$7:$B$3000,$B404,Offers!$C$7:$C$3000,$C404,Offers!$AI$7:$AI$3000,"yes")/2,0))+SUMIFS(Offers!$I$7:$I$3000,Offers!$B$7:$B$3000,$B404,Offers!$C$7:$C$3000,$C404,Offers!$AG$7:$AG$3000,INT(COUNTIFS(Offers!$B$7:$B$3000,$B404,Offers!$C$7:$C$3000,$C404,Offers!$AI$7:$AI$3000,"yes")/2)+1))/2)</f>
        <v>2.673543</v>
      </c>
      <c r="K404" s="100" t="n">
        <f aca="false">IF(COUNTIFS(Offers!$B$7:$B$3000,$B404,Offers!$C$7:$C$3000,$C404,Offers!$AI$7:$AI$3000,"yes")=0,"",SUMIFS(Offers!$I$7:$I$3000,Offers!$B$7:$B$3000,$B404,Offers!$C$7:$C$3000,$C404,Offers!$AG$7:$AG$3000,COUNTIFS(Offers!$B$7:$B$3000,$B404,Offers!$C$7:$C$3000,$C404,Offers!$AI$7:$AI$3000,"yes")))</f>
        <v>3.755465</v>
      </c>
      <c r="L404" s="96"/>
      <c r="M404" s="96"/>
      <c r="N404" s="96"/>
      <c r="O404" s="101" t="n">
        <f aca="false">IF(Compare!$E$5="Local prices",IF(F404="","",IF(Compare!$C$5="Minimum",F404,IF(Compare!$C$5="Maximum",H404,G404))),IF(I404="","",IF(Compare!$C$5="Minimum",I404,IF(Compare!$C$5="Maximum",K404,J404))))</f>
        <v>2.673543</v>
      </c>
    </row>
    <row r="405" customFormat="false" ht="13.5" hidden="false" customHeight="false" outlineLevel="0" collapsed="false">
      <c r="B405" s="36" t="s">
        <v>97</v>
      </c>
      <c r="C405" s="98" t="s">
        <v>15</v>
      </c>
      <c r="D405" s="98" t="s">
        <v>244</v>
      </c>
      <c r="E405" s="98" t="s">
        <v>491</v>
      </c>
      <c r="F405" s="99" t="n">
        <f aca="false">IF(COUNTIFS(Offers!$B$7:$B$3000,$B405,Offers!$C$7:$C$3000,$C405,Offers!$AH$7:$AH$3000,"yes")=0,"",SUMIFS(Offers!$H$7:$H$3000,Offers!$B$7:$B$3000,$B405,Offers!$C$7:$C$3000,$C405,Offers!$AF$7:$AF$3000,1))</f>
        <v>1.96</v>
      </c>
      <c r="G405" s="93" t="n">
        <f aca="false">IF(COUNTIFS(Offers!$B$7:$B$3000,$B405,Offers!$C$7:$C$3000,$C405,Offers!$AH$7:$AH$3000,"yes")=0,"",(SUMIFS(Offers!$H$7:$H$3000,Offers!$B$7:$B$3000,$B405,Offers!$C$7:$C$3000,$C405,Offers!$AF$7:$AF$3000,ROUNDUP(COUNTIFS(Offers!$B$7:$B$3000,$B405,Offers!$C$7:$C$3000,$C405,Offers!$AH$7:$AH$3000,"yes")/2,0))+SUMIFS(Offers!$H$7:$H$3000,Offers!$B$7:$B$3000,$B405,Offers!$C$7:$C$3000,$C405,Offers!$AF$7:$AF$3000,INT(COUNTIFS(Offers!$B$7:$B$3000,$B405,Offers!$C$7:$C$3000,$C405,Offers!$AH$7:$AH$3000,"yes")/2)+1))/2)</f>
        <v>3.34</v>
      </c>
      <c r="H405" s="99" t="n">
        <f aca="false">IF(COUNTIFS(Offers!$B$7:$B$3000,$B405,Offers!$C$7:$C$3000,$C405,Offers!$AH$7:$AH$3000,"yes")=0,"",SUMIFS(Offers!$H$7:$H$3000,Offers!$B$7:$B$3000,$B405,Offers!$C$7:$C$3000,$C405,Offers!$AF$7:$AF$3000,COUNTIFS(Offers!$B$7:$B$3000,$B405,Offers!$C$7:$C$3000,$C405,Offers!$AH$7:$AH$3000,"yes")))</f>
        <v>10.36</v>
      </c>
      <c r="I405" s="100" t="n">
        <f aca="false">IF(COUNTIFS(Offers!$B$7:$B$3000,$B405,Offers!$C$7:$C$3000,$C405,Offers!$AI$7:$AI$3000,"yes")=0,"",SUMIFS(Offers!$I$7:$I$3000,Offers!$B$7:$B$3000,$B405,Offers!$C$7:$C$3000,$C405,Offers!$AG$7:$AG$3000,1))</f>
        <v>1.96</v>
      </c>
      <c r="J405" s="95" t="n">
        <f aca="false">IF(COUNTIFS(Offers!$B$7:$B$3000,$B405,Offers!$C$7:$C$3000,$C405,Offers!$AI$7:$AI$3000,"yes")=0,"",(SUMIFS(Offers!$I$7:$I$3000,Offers!$B$7:$B$3000,$B405,Offers!$C$7:$C$3000,$C405,Offers!$AG$7:$AG$3000,ROUNDUP(COUNTIFS(Offers!$B$7:$B$3000,$B405,Offers!$C$7:$C$3000,$C405,Offers!$AI$7:$AI$3000,"yes")/2,0))+SUMIFS(Offers!$I$7:$I$3000,Offers!$B$7:$B$3000,$B405,Offers!$C$7:$C$3000,$C405,Offers!$AG$7:$AG$3000,INT(COUNTIFS(Offers!$B$7:$B$3000,$B405,Offers!$C$7:$C$3000,$C405,Offers!$AI$7:$AI$3000,"yes")/2)+1))/2)</f>
        <v>3.34</v>
      </c>
      <c r="K405" s="100" t="n">
        <f aca="false">IF(COUNTIFS(Offers!$B$7:$B$3000,$B405,Offers!$C$7:$C$3000,$C405,Offers!$AI$7:$AI$3000,"yes")=0,"",SUMIFS(Offers!$I$7:$I$3000,Offers!$B$7:$B$3000,$B405,Offers!$C$7:$C$3000,$C405,Offers!$AG$7:$AG$3000,COUNTIFS(Offers!$B$7:$B$3000,$B405,Offers!$C$7:$C$3000,$C405,Offers!$AI$7:$AI$3000,"yes")))</f>
        <v>10.36</v>
      </c>
      <c r="L405" s="96"/>
      <c r="M405" s="96"/>
      <c r="N405" s="96"/>
      <c r="O405" s="101" t="n">
        <f aca="false">IF(Compare!$E$5="Local prices",IF(F405="","",IF(Compare!$C$5="Minimum",F405,IF(Compare!$C$5="Maximum",H405,G405))),IF(I405="","",IF(Compare!$C$5="Minimum",I405,IF(Compare!$C$5="Maximum",K405,J405))))</f>
        <v>3.34</v>
      </c>
    </row>
    <row r="406" customFormat="false" ht="13.5" hidden="false" customHeight="false" outlineLevel="0" collapsed="false">
      <c r="B406" s="36" t="s">
        <v>97</v>
      </c>
      <c r="C406" s="98" t="s">
        <v>16</v>
      </c>
      <c r="D406" s="98" t="s">
        <v>244</v>
      </c>
      <c r="E406" s="98" t="s">
        <v>491</v>
      </c>
      <c r="F406" s="99" t="n">
        <f aca="false">IF(COUNTIFS(Offers!$B$7:$B$3000,$B406,Offers!$C$7:$C$3000,$C406,Offers!$AH$7:$AH$3000,"yes")=0,"",SUMIFS(Offers!$H$7:$H$3000,Offers!$B$7:$B$3000,$B406,Offers!$C$7:$C$3000,$C406,Offers!$AF$7:$AF$3000,1))</f>
        <v>1.83</v>
      </c>
      <c r="G406" s="93" t="n">
        <f aca="false">IF(COUNTIFS(Offers!$B$7:$B$3000,$B406,Offers!$C$7:$C$3000,$C406,Offers!$AH$7:$AH$3000,"yes")=0,"",(SUMIFS(Offers!$H$7:$H$3000,Offers!$B$7:$B$3000,$B406,Offers!$C$7:$C$3000,$C406,Offers!$AF$7:$AF$3000,ROUNDUP(COUNTIFS(Offers!$B$7:$B$3000,$B406,Offers!$C$7:$C$3000,$C406,Offers!$AH$7:$AH$3000,"yes")/2,0))+SUMIFS(Offers!$H$7:$H$3000,Offers!$B$7:$B$3000,$B406,Offers!$C$7:$C$3000,$C406,Offers!$AF$7:$AF$3000,INT(COUNTIFS(Offers!$B$7:$B$3000,$B406,Offers!$C$7:$C$3000,$C406,Offers!$AH$7:$AH$3000,"yes")/2)+1))/2)</f>
        <v>2.59</v>
      </c>
      <c r="H406" s="99" t="n">
        <f aca="false">IF(COUNTIFS(Offers!$B$7:$B$3000,$B406,Offers!$C$7:$C$3000,$C406,Offers!$AH$7:$AH$3000,"yes")=0,"",SUMIFS(Offers!$H$7:$H$3000,Offers!$B$7:$B$3000,$B406,Offers!$C$7:$C$3000,$C406,Offers!$AF$7:$AF$3000,COUNTIFS(Offers!$B$7:$B$3000,$B406,Offers!$C$7:$C$3000,$C406,Offers!$AH$7:$AH$3000,"yes")))</f>
        <v>12.9</v>
      </c>
      <c r="I406" s="100" t="n">
        <f aca="false">IF(COUNTIFS(Offers!$B$7:$B$3000,$B406,Offers!$C$7:$C$3000,$C406,Offers!$AI$7:$AI$3000,"yes")=0,"",SUMIFS(Offers!$I$7:$I$3000,Offers!$B$7:$B$3000,$B406,Offers!$C$7:$C$3000,$C406,Offers!$AG$7:$AG$3000,1))</f>
        <v>1.83</v>
      </c>
      <c r="J406" s="95" t="n">
        <f aca="false">IF(COUNTIFS(Offers!$B$7:$B$3000,$B406,Offers!$C$7:$C$3000,$C406,Offers!$AI$7:$AI$3000,"yes")=0,"",(SUMIFS(Offers!$I$7:$I$3000,Offers!$B$7:$B$3000,$B406,Offers!$C$7:$C$3000,$C406,Offers!$AG$7:$AG$3000,ROUNDUP(COUNTIFS(Offers!$B$7:$B$3000,$B406,Offers!$C$7:$C$3000,$C406,Offers!$AI$7:$AI$3000,"yes")/2,0))+SUMIFS(Offers!$I$7:$I$3000,Offers!$B$7:$B$3000,$B406,Offers!$C$7:$C$3000,$C406,Offers!$AG$7:$AG$3000,INT(COUNTIFS(Offers!$B$7:$B$3000,$B406,Offers!$C$7:$C$3000,$C406,Offers!$AI$7:$AI$3000,"yes")/2)+1))/2)</f>
        <v>2.59</v>
      </c>
      <c r="K406" s="100" t="n">
        <f aca="false">IF(COUNTIFS(Offers!$B$7:$B$3000,$B406,Offers!$C$7:$C$3000,$C406,Offers!$AI$7:$AI$3000,"yes")=0,"",SUMIFS(Offers!$I$7:$I$3000,Offers!$B$7:$B$3000,$B406,Offers!$C$7:$C$3000,$C406,Offers!$AG$7:$AG$3000,COUNTIFS(Offers!$B$7:$B$3000,$B406,Offers!$C$7:$C$3000,$C406,Offers!$AI$7:$AI$3000,"yes")))</f>
        <v>12.9</v>
      </c>
      <c r="L406" s="96"/>
      <c r="M406" s="96"/>
      <c r="N406" s="96"/>
      <c r="O406" s="101" t="n">
        <f aca="false">IF(Compare!$E$5="Local prices",IF(F406="","",IF(Compare!$C$5="Minimum",F406,IF(Compare!$C$5="Maximum",H406,G406))),IF(I406="","",IF(Compare!$C$5="Minimum",I406,IF(Compare!$C$5="Maximum",K406,J406))))</f>
        <v>2.59</v>
      </c>
    </row>
    <row r="407" customFormat="false" ht="13.5" hidden="false" customHeight="false" outlineLevel="0" collapsed="false">
      <c r="B407" s="36" t="s">
        <v>97</v>
      </c>
      <c r="C407" s="98" t="s">
        <v>17</v>
      </c>
      <c r="D407" s="98" t="s">
        <v>333</v>
      </c>
      <c r="E407" s="98" t="s">
        <v>491</v>
      </c>
      <c r="F407" s="99" t="n">
        <f aca="false">IF(COUNTIFS(Offers!$B$7:$B$3000,$B407,Offers!$C$7:$C$3000,$C407,Offers!$AH$7:$AH$3000,"yes")=0,"",SUMIFS(Offers!$H$7:$H$3000,Offers!$B$7:$B$3000,$B407,Offers!$C$7:$C$3000,$C407,Offers!$AF$7:$AF$3000,1))</f>
        <v>39.67</v>
      </c>
      <c r="G407" s="93" t="n">
        <f aca="false">IF(COUNTIFS(Offers!$B$7:$B$3000,$B407,Offers!$C$7:$C$3000,$C407,Offers!$AH$7:$AH$3000,"yes")=0,"",(SUMIFS(Offers!$H$7:$H$3000,Offers!$B$7:$B$3000,$B407,Offers!$C$7:$C$3000,$C407,Offers!$AF$7:$AF$3000,ROUNDUP(COUNTIFS(Offers!$B$7:$B$3000,$B407,Offers!$C$7:$C$3000,$C407,Offers!$AH$7:$AH$3000,"yes")/2,0))+SUMIFS(Offers!$H$7:$H$3000,Offers!$B$7:$B$3000,$B407,Offers!$C$7:$C$3000,$C407,Offers!$AF$7:$AF$3000,INT(COUNTIFS(Offers!$B$7:$B$3000,$B407,Offers!$C$7:$C$3000,$C407,Offers!$AH$7:$AH$3000,"yes")/2)+1))/2)</f>
        <v>89.26</v>
      </c>
      <c r="H407" s="99" t="n">
        <f aca="false">IF(COUNTIFS(Offers!$B$7:$B$3000,$B407,Offers!$C$7:$C$3000,$C407,Offers!$AH$7:$AH$3000,"yes")=0,"",SUMIFS(Offers!$H$7:$H$3000,Offers!$B$7:$B$3000,$B407,Offers!$C$7:$C$3000,$C407,Offers!$AF$7:$AF$3000,COUNTIFS(Offers!$B$7:$B$3000,$B407,Offers!$C$7:$C$3000,$C407,Offers!$AH$7:$AH$3000,"yes")))</f>
        <v>113</v>
      </c>
      <c r="I407" s="100" t="n">
        <f aca="false">IF(COUNTIFS(Offers!$B$7:$B$3000,$B407,Offers!$C$7:$C$3000,$C407,Offers!$AI$7:$AI$3000,"yes")=0,"",SUMIFS(Offers!$I$7:$I$3000,Offers!$B$7:$B$3000,$B407,Offers!$C$7:$C$3000,$C407,Offers!$AG$7:$AG$3000,1))</f>
        <v>1.624248</v>
      </c>
      <c r="J407" s="95" t="n">
        <f aca="false">IF(COUNTIFS(Offers!$B$7:$B$3000,$B407,Offers!$C$7:$C$3000,$C407,Offers!$AI$7:$AI$3000,"yes")=0,"",(SUMIFS(Offers!$I$7:$I$3000,Offers!$B$7:$B$3000,$B407,Offers!$C$7:$C$3000,$C407,Offers!$AG$7:$AG$3000,ROUNDUP(COUNTIFS(Offers!$B$7:$B$3000,$B407,Offers!$C$7:$C$3000,$C407,Offers!$AI$7:$AI$3000,"yes")/2,0))+SUMIFS(Offers!$I$7:$I$3000,Offers!$B$7:$B$3000,$B407,Offers!$C$7:$C$3000,$C407,Offers!$AG$7:$AG$3000,INT(COUNTIFS(Offers!$B$7:$B$3000,$B407,Offers!$C$7:$C$3000,$C407,Offers!$AI$7:$AI$3000,"yes")/2)+1))/2)</f>
        <v>3.65466</v>
      </c>
      <c r="K407" s="100" t="n">
        <f aca="false">IF(COUNTIFS(Offers!$B$7:$B$3000,$B407,Offers!$C$7:$C$3000,$C407,Offers!$AI$7:$AI$3000,"yes")=0,"",SUMIFS(Offers!$I$7:$I$3000,Offers!$B$7:$B$3000,$B407,Offers!$C$7:$C$3000,$C407,Offers!$AG$7:$AG$3000,COUNTIFS(Offers!$B$7:$B$3000,$B407,Offers!$C$7:$C$3000,$C407,Offers!$AI$7:$AI$3000,"yes")))</f>
        <v>4.62667</v>
      </c>
      <c r="L407" s="96"/>
      <c r="M407" s="96"/>
      <c r="N407" s="96"/>
      <c r="O407" s="101" t="n">
        <f aca="false">IF(Compare!$E$5="Local prices",IF(F407="","",IF(Compare!$C$5="Minimum",F407,IF(Compare!$C$5="Maximum",H407,G407))),IF(I407="","",IF(Compare!$C$5="Minimum",I407,IF(Compare!$C$5="Maximum",K407,J407))))</f>
        <v>3.65466</v>
      </c>
    </row>
    <row r="408" customFormat="false" ht="13.5" hidden="false" customHeight="false" outlineLevel="0" collapsed="false">
      <c r="B408" s="36" t="s">
        <v>97</v>
      </c>
      <c r="C408" s="98" t="s">
        <v>18</v>
      </c>
      <c r="D408" s="98" t="s">
        <v>244</v>
      </c>
      <c r="E408" s="98" t="s">
        <v>491</v>
      </c>
      <c r="F408" s="99" t="n">
        <f aca="false">IF(COUNTIFS(Offers!$B$7:$B$3000,$B408,Offers!$C$7:$C$3000,$C408,Offers!$AH$7:$AH$3000,"yes")=0,"",SUMIFS(Offers!$H$7:$H$3000,Offers!$B$7:$B$3000,$B408,Offers!$C$7:$C$3000,$C408,Offers!$AF$7:$AF$3000,1))</f>
        <v>2.29</v>
      </c>
      <c r="G408" s="93" t="n">
        <f aca="false">IF(COUNTIFS(Offers!$B$7:$B$3000,$B408,Offers!$C$7:$C$3000,$C408,Offers!$AH$7:$AH$3000,"yes")=0,"",(SUMIFS(Offers!$H$7:$H$3000,Offers!$B$7:$B$3000,$B408,Offers!$C$7:$C$3000,$C408,Offers!$AF$7:$AF$3000,ROUNDUP(COUNTIFS(Offers!$B$7:$B$3000,$B408,Offers!$C$7:$C$3000,$C408,Offers!$AH$7:$AH$3000,"yes")/2,0))+SUMIFS(Offers!$H$7:$H$3000,Offers!$B$7:$B$3000,$B408,Offers!$C$7:$C$3000,$C408,Offers!$AF$7:$AF$3000,INT(COUNTIFS(Offers!$B$7:$B$3000,$B408,Offers!$C$7:$C$3000,$C408,Offers!$AH$7:$AH$3000,"yes")/2)+1))/2)</f>
        <v>3</v>
      </c>
      <c r="H408" s="99" t="n">
        <f aca="false">IF(COUNTIFS(Offers!$B$7:$B$3000,$B408,Offers!$C$7:$C$3000,$C408,Offers!$AH$7:$AH$3000,"yes")=0,"",SUMIFS(Offers!$H$7:$H$3000,Offers!$B$7:$B$3000,$B408,Offers!$C$7:$C$3000,$C408,Offers!$AF$7:$AF$3000,COUNTIFS(Offers!$B$7:$B$3000,$B408,Offers!$C$7:$C$3000,$C408,Offers!$AH$7:$AH$3000,"yes")))</f>
        <v>3.65</v>
      </c>
      <c r="I408" s="100" t="n">
        <f aca="false">IF(COUNTIFS(Offers!$B$7:$B$3000,$B408,Offers!$C$7:$C$3000,$C408,Offers!$AI$7:$AI$3000,"yes")=0,"",SUMIFS(Offers!$I$7:$I$3000,Offers!$B$7:$B$3000,$B408,Offers!$C$7:$C$3000,$C408,Offers!$AG$7:$AG$3000,1))</f>
        <v>2.29</v>
      </c>
      <c r="J408" s="95" t="n">
        <f aca="false">IF(COUNTIFS(Offers!$B$7:$B$3000,$B408,Offers!$C$7:$C$3000,$C408,Offers!$AI$7:$AI$3000,"yes")=0,"",(SUMIFS(Offers!$I$7:$I$3000,Offers!$B$7:$B$3000,$B408,Offers!$C$7:$C$3000,$C408,Offers!$AG$7:$AG$3000,ROUNDUP(COUNTIFS(Offers!$B$7:$B$3000,$B408,Offers!$C$7:$C$3000,$C408,Offers!$AI$7:$AI$3000,"yes")/2,0))+SUMIFS(Offers!$I$7:$I$3000,Offers!$B$7:$B$3000,$B408,Offers!$C$7:$C$3000,$C408,Offers!$AG$7:$AG$3000,INT(COUNTIFS(Offers!$B$7:$B$3000,$B408,Offers!$C$7:$C$3000,$C408,Offers!$AI$7:$AI$3000,"yes")/2)+1))/2)</f>
        <v>3</v>
      </c>
      <c r="K408" s="100" t="n">
        <f aca="false">IF(COUNTIFS(Offers!$B$7:$B$3000,$B408,Offers!$C$7:$C$3000,$C408,Offers!$AI$7:$AI$3000,"yes")=0,"",SUMIFS(Offers!$I$7:$I$3000,Offers!$B$7:$B$3000,$B408,Offers!$C$7:$C$3000,$C408,Offers!$AG$7:$AG$3000,COUNTIFS(Offers!$B$7:$B$3000,$B408,Offers!$C$7:$C$3000,$C408,Offers!$AI$7:$AI$3000,"yes")))</f>
        <v>3.65</v>
      </c>
      <c r="L408" s="96"/>
      <c r="M408" s="96"/>
      <c r="N408" s="96"/>
      <c r="O408" s="101" t="n">
        <f aca="false">IF(Compare!$E$5="Local prices",IF(F408="","",IF(Compare!$C$5="Minimum",F408,IF(Compare!$C$5="Maximum",H408,G408))),IF(I408="","",IF(Compare!$C$5="Minimum",I408,IF(Compare!$C$5="Maximum",K408,J408))))</f>
        <v>3</v>
      </c>
    </row>
    <row r="409" customFormat="false" ht="13.5" hidden="false" customHeight="false" outlineLevel="0" collapsed="false">
      <c r="B409" s="36" t="s">
        <v>98</v>
      </c>
      <c r="C409" s="98" t="s">
        <v>13</v>
      </c>
      <c r="D409" s="98" t="s">
        <v>490</v>
      </c>
      <c r="E409" s="98" t="s">
        <v>491</v>
      </c>
      <c r="F409" s="99" t="str">
        <f aca="false">IF(COUNTIFS(Offers!$B$7:$B$3000,$B409,Offers!$C$7:$C$3000,$C409,Offers!$AH$7:$AH$3000,"yes")=0,"",SUMIFS(Offers!$H$7:$H$3000,Offers!$B$7:$B$3000,$B409,Offers!$C$7:$C$3000,$C409,Offers!$AF$7:$AF$3000,1))</f>
        <v/>
      </c>
      <c r="G409" s="93" t="str">
        <f aca="false">IF(COUNTIFS(Offers!$B$7:$B$3000,$B409,Offers!$C$7:$C$3000,$C409,Offers!$AH$7:$AH$3000,"yes")=0,"",(SUMIFS(Offers!$H$7:$H$3000,Offers!$B$7:$B$3000,$B409,Offers!$C$7:$C$3000,$C409,Offers!$AF$7:$AF$3000,ROUNDUP(COUNTIFS(Offers!$B$7:$B$3000,$B409,Offers!$C$7:$C$3000,$C409,Offers!$AH$7:$AH$3000,"yes")/2,0))+SUMIFS(Offers!$H$7:$H$3000,Offers!$B$7:$B$3000,$B409,Offers!$C$7:$C$3000,$C409,Offers!$AF$7:$AF$3000,INT(COUNTIFS(Offers!$B$7:$B$3000,$B409,Offers!$C$7:$C$3000,$C409,Offers!$AH$7:$AH$3000,"yes")/2)+1))/2)</f>
        <v/>
      </c>
      <c r="H409" s="99" t="str">
        <f aca="false">IF(COUNTIFS(Offers!$B$7:$B$3000,$B409,Offers!$C$7:$C$3000,$C409,Offers!$AH$7:$AH$3000,"yes")=0,"",SUMIFS(Offers!$H$7:$H$3000,Offers!$B$7:$B$3000,$B409,Offers!$C$7:$C$3000,$C409,Offers!$AF$7:$AF$3000,COUNTIFS(Offers!$B$7:$B$3000,$B409,Offers!$C$7:$C$3000,$C409,Offers!$AH$7:$AH$3000,"yes")))</f>
        <v/>
      </c>
      <c r="I409" s="100" t="str">
        <f aca="false">IF(COUNTIFS(Offers!$B$7:$B$3000,$B409,Offers!$C$7:$C$3000,$C409,Offers!$AI$7:$AI$3000,"yes")=0,"",SUMIFS(Offers!$I$7:$I$3000,Offers!$B$7:$B$3000,$B409,Offers!$C$7:$C$3000,$C409,Offers!$AG$7:$AG$3000,1))</f>
        <v/>
      </c>
      <c r="J409" s="95" t="str">
        <f aca="false">IF(COUNTIFS(Offers!$B$7:$B$3000,$B409,Offers!$C$7:$C$3000,$C409,Offers!$AI$7:$AI$3000,"yes")=0,"",(SUMIFS(Offers!$I$7:$I$3000,Offers!$B$7:$B$3000,$B409,Offers!$C$7:$C$3000,$C409,Offers!$AG$7:$AG$3000,ROUNDUP(COUNTIFS(Offers!$B$7:$B$3000,$B409,Offers!$C$7:$C$3000,$C409,Offers!$AI$7:$AI$3000,"yes")/2,0))+SUMIFS(Offers!$I$7:$I$3000,Offers!$B$7:$B$3000,$B409,Offers!$C$7:$C$3000,$C409,Offers!$AG$7:$AG$3000,INT(COUNTIFS(Offers!$B$7:$B$3000,$B409,Offers!$C$7:$C$3000,$C409,Offers!$AI$7:$AI$3000,"yes")/2)+1))/2)</f>
        <v/>
      </c>
      <c r="K409" s="100" t="str">
        <f aca="false">IF(COUNTIFS(Offers!$B$7:$B$3000,$B409,Offers!$C$7:$C$3000,$C409,Offers!$AI$7:$AI$3000,"yes")=0,"",SUMIFS(Offers!$I$7:$I$3000,Offers!$B$7:$B$3000,$B409,Offers!$C$7:$C$3000,$C409,Offers!$AG$7:$AG$3000,COUNTIFS(Offers!$B$7:$B$3000,$B409,Offers!$C$7:$C$3000,$C409,Offers!$AI$7:$AI$3000,"yes")))</f>
        <v/>
      </c>
      <c r="L409" s="96"/>
      <c r="M409" s="96"/>
      <c r="N409" s="96"/>
      <c r="O409" s="110" t="str">
        <f aca="false">IF(Compare!$E$5="Local prices",IF(F409="","",IF(Compare!$C$5="Minimum",F409,IF(Compare!$C$5="Maximum",H409,G409))),IF(I409="","",IF(Compare!$C$5="Minimum",I409,IF(Compare!$C$5="Maximum",K409,J409))))</f>
        <v/>
      </c>
    </row>
    <row r="410" customFormat="false" ht="13.5" hidden="false" customHeight="false" outlineLevel="0" collapsed="false">
      <c r="B410" s="36" t="s">
        <v>98</v>
      </c>
      <c r="C410" s="98" t="s">
        <v>14</v>
      </c>
      <c r="D410" s="98" t="s">
        <v>374</v>
      </c>
      <c r="E410" s="98" t="s">
        <v>491</v>
      </c>
      <c r="F410" s="99" t="n">
        <f aca="false">IF(COUNTIFS(Offers!$B$7:$B$3000,$B410,Offers!$C$7:$C$3000,$C410,Offers!$AH$7:$AH$3000,"yes")=0,"",SUMIFS(Offers!$H$7:$H$3000,Offers!$B$7:$B$3000,$B410,Offers!$C$7:$C$3000,$C410,Offers!$AF$7:$AF$3000,1))</f>
        <v>12.84</v>
      </c>
      <c r="G410" s="93" t="n">
        <f aca="false">IF(COUNTIFS(Offers!$B$7:$B$3000,$B410,Offers!$C$7:$C$3000,$C410,Offers!$AH$7:$AH$3000,"yes")=0,"",(SUMIFS(Offers!$H$7:$H$3000,Offers!$B$7:$B$3000,$B410,Offers!$C$7:$C$3000,$C410,Offers!$AF$7:$AF$3000,ROUNDUP(COUNTIFS(Offers!$B$7:$B$3000,$B410,Offers!$C$7:$C$3000,$C410,Offers!$AH$7:$AH$3000,"yes")/2,0))+SUMIFS(Offers!$H$7:$H$3000,Offers!$B$7:$B$3000,$B410,Offers!$C$7:$C$3000,$C410,Offers!$AF$7:$AF$3000,INT(COUNTIFS(Offers!$B$7:$B$3000,$B410,Offers!$C$7:$C$3000,$C410,Offers!$AH$7:$AH$3000,"yes")/2)+1))/2)</f>
        <v>20.18</v>
      </c>
      <c r="H410" s="99" t="n">
        <f aca="false">IF(COUNTIFS(Offers!$B$7:$B$3000,$B410,Offers!$C$7:$C$3000,$C410,Offers!$AH$7:$AH$3000,"yes")=0,"",SUMIFS(Offers!$H$7:$H$3000,Offers!$B$7:$B$3000,$B410,Offers!$C$7:$C$3000,$C410,Offers!$AF$7:$AF$3000,COUNTIFS(Offers!$B$7:$B$3000,$B410,Offers!$C$7:$C$3000,$C410,Offers!$AH$7:$AH$3000,"yes")))</f>
        <v>37.97</v>
      </c>
      <c r="I410" s="100" t="n">
        <f aca="false">IF(COUNTIFS(Offers!$B$7:$B$3000,$B410,Offers!$C$7:$C$3000,$C410,Offers!$AI$7:$AI$3000,"yes")=0,"",SUMIFS(Offers!$I$7:$I$3000,Offers!$B$7:$B$3000,$B410,Offers!$C$7:$C$3000,$C410,Offers!$AG$7:$AG$3000,1))</f>
        <v>2.432905</v>
      </c>
      <c r="J410" s="95" t="n">
        <f aca="false">IF(COUNTIFS(Offers!$B$7:$B$3000,$B410,Offers!$C$7:$C$3000,$C410,Offers!$AI$7:$AI$3000,"yes")=0,"",(SUMIFS(Offers!$I$7:$I$3000,Offers!$B$7:$B$3000,$B410,Offers!$C$7:$C$3000,$C410,Offers!$AG$7:$AG$3000,ROUNDUP(COUNTIFS(Offers!$B$7:$B$3000,$B410,Offers!$C$7:$C$3000,$C410,Offers!$AI$7:$AI$3000,"yes")/2,0))+SUMIFS(Offers!$I$7:$I$3000,Offers!$B$7:$B$3000,$B410,Offers!$C$7:$C$3000,$C410,Offers!$AG$7:$AG$3000,INT(COUNTIFS(Offers!$B$7:$B$3000,$B410,Offers!$C$7:$C$3000,$C410,Offers!$AI$7:$AI$3000,"yes")/2)+1))/2)</f>
        <v>3.823678</v>
      </c>
      <c r="K410" s="100" t="n">
        <f aca="false">IF(COUNTIFS(Offers!$B$7:$B$3000,$B410,Offers!$C$7:$C$3000,$C410,Offers!$AI$7:$AI$3000,"yes")=0,"",SUMIFS(Offers!$I$7:$I$3000,Offers!$B$7:$B$3000,$B410,Offers!$C$7:$C$3000,$C410,Offers!$AG$7:$AG$3000,COUNTIFS(Offers!$B$7:$B$3000,$B410,Offers!$C$7:$C$3000,$C410,Offers!$AI$7:$AI$3000,"yes")))</f>
        <v>7.194501</v>
      </c>
      <c r="L410" s="96"/>
      <c r="M410" s="96"/>
      <c r="N410" s="96"/>
      <c r="O410" s="101" t="n">
        <f aca="false">IF(Compare!$E$5="Local prices",IF(F410="","",IF(Compare!$C$5="Minimum",F410,IF(Compare!$C$5="Maximum",H410,G410))),IF(I410="","",IF(Compare!$C$5="Minimum",I410,IF(Compare!$C$5="Maximum",K410,J410))))</f>
        <v>3.823678</v>
      </c>
    </row>
    <row r="411" customFormat="false" ht="13.5" hidden="false" customHeight="false" outlineLevel="0" collapsed="false">
      <c r="B411" s="36" t="s">
        <v>98</v>
      </c>
      <c r="C411" s="98" t="s">
        <v>15</v>
      </c>
      <c r="D411" s="98" t="s">
        <v>244</v>
      </c>
      <c r="E411" s="98" t="s">
        <v>491</v>
      </c>
      <c r="F411" s="99" t="n">
        <f aca="false">IF(COUNTIFS(Offers!$B$7:$B$3000,$B411,Offers!$C$7:$C$3000,$C411,Offers!$AH$7:$AH$3000,"yes")=0,"",SUMIFS(Offers!$H$7:$H$3000,Offers!$B$7:$B$3000,$B411,Offers!$C$7:$C$3000,$C411,Offers!$AF$7:$AF$3000,1))</f>
        <v>2.8</v>
      </c>
      <c r="G411" s="93" t="n">
        <f aca="false">IF(COUNTIFS(Offers!$B$7:$B$3000,$B411,Offers!$C$7:$C$3000,$C411,Offers!$AH$7:$AH$3000,"yes")=0,"",(SUMIFS(Offers!$H$7:$H$3000,Offers!$B$7:$B$3000,$B411,Offers!$C$7:$C$3000,$C411,Offers!$AF$7:$AF$3000,ROUNDUP(COUNTIFS(Offers!$B$7:$B$3000,$B411,Offers!$C$7:$C$3000,$C411,Offers!$AH$7:$AH$3000,"yes")/2,0))+SUMIFS(Offers!$H$7:$H$3000,Offers!$B$7:$B$3000,$B411,Offers!$C$7:$C$3000,$C411,Offers!$AF$7:$AF$3000,INT(COUNTIFS(Offers!$B$7:$B$3000,$B411,Offers!$C$7:$C$3000,$C411,Offers!$AH$7:$AH$3000,"yes")/2)+1))/2)</f>
        <v>4.15</v>
      </c>
      <c r="H411" s="99" t="n">
        <f aca="false">IF(COUNTIFS(Offers!$B$7:$B$3000,$B411,Offers!$C$7:$C$3000,$C411,Offers!$AH$7:$AH$3000,"yes")=0,"",SUMIFS(Offers!$H$7:$H$3000,Offers!$B$7:$B$3000,$B411,Offers!$C$7:$C$3000,$C411,Offers!$AF$7:$AF$3000,COUNTIFS(Offers!$B$7:$B$3000,$B411,Offers!$C$7:$C$3000,$C411,Offers!$AH$7:$AH$3000,"yes")))</f>
        <v>14.7</v>
      </c>
      <c r="I411" s="100" t="n">
        <f aca="false">IF(COUNTIFS(Offers!$B$7:$B$3000,$B411,Offers!$C$7:$C$3000,$C411,Offers!$AI$7:$AI$3000,"yes")=0,"",SUMIFS(Offers!$I$7:$I$3000,Offers!$B$7:$B$3000,$B411,Offers!$C$7:$C$3000,$C411,Offers!$AG$7:$AG$3000,1))</f>
        <v>2.8</v>
      </c>
      <c r="J411" s="95" t="n">
        <f aca="false">IF(COUNTIFS(Offers!$B$7:$B$3000,$B411,Offers!$C$7:$C$3000,$C411,Offers!$AI$7:$AI$3000,"yes")=0,"",(SUMIFS(Offers!$I$7:$I$3000,Offers!$B$7:$B$3000,$B411,Offers!$C$7:$C$3000,$C411,Offers!$AG$7:$AG$3000,ROUNDUP(COUNTIFS(Offers!$B$7:$B$3000,$B411,Offers!$C$7:$C$3000,$C411,Offers!$AI$7:$AI$3000,"yes")/2,0))+SUMIFS(Offers!$I$7:$I$3000,Offers!$B$7:$B$3000,$B411,Offers!$C$7:$C$3000,$C411,Offers!$AG$7:$AG$3000,INT(COUNTIFS(Offers!$B$7:$B$3000,$B411,Offers!$C$7:$C$3000,$C411,Offers!$AI$7:$AI$3000,"yes")/2)+1))/2)</f>
        <v>4.15</v>
      </c>
      <c r="K411" s="100" t="n">
        <f aca="false">IF(COUNTIFS(Offers!$B$7:$B$3000,$B411,Offers!$C$7:$C$3000,$C411,Offers!$AI$7:$AI$3000,"yes")=0,"",SUMIFS(Offers!$I$7:$I$3000,Offers!$B$7:$B$3000,$B411,Offers!$C$7:$C$3000,$C411,Offers!$AG$7:$AG$3000,COUNTIFS(Offers!$B$7:$B$3000,$B411,Offers!$C$7:$C$3000,$C411,Offers!$AI$7:$AI$3000,"yes")))</f>
        <v>14.7</v>
      </c>
      <c r="L411" s="96"/>
      <c r="M411" s="96"/>
      <c r="N411" s="96"/>
      <c r="O411" s="101" t="n">
        <f aca="false">IF(Compare!$E$5="Local prices",IF(F411="","",IF(Compare!$C$5="Minimum",F411,IF(Compare!$C$5="Maximum",H411,G411))),IF(I411="","",IF(Compare!$C$5="Minimum",I411,IF(Compare!$C$5="Maximum",K411,J411))))</f>
        <v>4.15</v>
      </c>
    </row>
    <row r="412" customFormat="false" ht="13.5" hidden="false" customHeight="false" outlineLevel="0" collapsed="false">
      <c r="B412" s="36" t="s">
        <v>98</v>
      </c>
      <c r="C412" s="98" t="s">
        <v>16</v>
      </c>
      <c r="D412" s="98" t="s">
        <v>244</v>
      </c>
      <c r="E412" s="98" t="s">
        <v>491</v>
      </c>
      <c r="F412" s="99" t="n">
        <f aca="false">IF(COUNTIFS(Offers!$B$7:$B$3000,$B412,Offers!$C$7:$C$3000,$C412,Offers!$AH$7:$AH$3000,"yes")=0,"",SUMIFS(Offers!$H$7:$H$3000,Offers!$B$7:$B$3000,$B412,Offers!$C$7:$C$3000,$C412,Offers!$AF$7:$AF$3000,1))</f>
        <v>2.39</v>
      </c>
      <c r="G412" s="93" t="n">
        <f aca="false">IF(COUNTIFS(Offers!$B$7:$B$3000,$B412,Offers!$C$7:$C$3000,$C412,Offers!$AH$7:$AH$3000,"yes")=0,"",(SUMIFS(Offers!$H$7:$H$3000,Offers!$B$7:$B$3000,$B412,Offers!$C$7:$C$3000,$C412,Offers!$AF$7:$AF$3000,ROUNDUP(COUNTIFS(Offers!$B$7:$B$3000,$B412,Offers!$C$7:$C$3000,$C412,Offers!$AH$7:$AH$3000,"yes")/2,0))+SUMIFS(Offers!$H$7:$H$3000,Offers!$B$7:$B$3000,$B412,Offers!$C$7:$C$3000,$C412,Offers!$AF$7:$AF$3000,INT(COUNTIFS(Offers!$B$7:$B$3000,$B412,Offers!$C$7:$C$3000,$C412,Offers!$AH$7:$AH$3000,"yes")/2)+1))/2)</f>
        <v>3.38</v>
      </c>
      <c r="H412" s="99" t="n">
        <f aca="false">IF(COUNTIFS(Offers!$B$7:$B$3000,$B412,Offers!$C$7:$C$3000,$C412,Offers!$AH$7:$AH$3000,"yes")=0,"",SUMIFS(Offers!$H$7:$H$3000,Offers!$B$7:$B$3000,$B412,Offers!$C$7:$C$3000,$C412,Offers!$AF$7:$AF$3000,COUNTIFS(Offers!$B$7:$B$3000,$B412,Offers!$C$7:$C$3000,$C412,Offers!$AH$7:$AH$3000,"yes")))</f>
        <v>13.5</v>
      </c>
      <c r="I412" s="100" t="n">
        <f aca="false">IF(COUNTIFS(Offers!$B$7:$B$3000,$B412,Offers!$C$7:$C$3000,$C412,Offers!$AI$7:$AI$3000,"yes")=0,"",SUMIFS(Offers!$I$7:$I$3000,Offers!$B$7:$B$3000,$B412,Offers!$C$7:$C$3000,$C412,Offers!$AG$7:$AG$3000,1))</f>
        <v>2.39</v>
      </c>
      <c r="J412" s="95" t="n">
        <f aca="false">IF(COUNTIFS(Offers!$B$7:$B$3000,$B412,Offers!$C$7:$C$3000,$C412,Offers!$AI$7:$AI$3000,"yes")=0,"",(SUMIFS(Offers!$I$7:$I$3000,Offers!$B$7:$B$3000,$B412,Offers!$C$7:$C$3000,$C412,Offers!$AG$7:$AG$3000,ROUNDUP(COUNTIFS(Offers!$B$7:$B$3000,$B412,Offers!$C$7:$C$3000,$C412,Offers!$AI$7:$AI$3000,"yes")/2,0))+SUMIFS(Offers!$I$7:$I$3000,Offers!$B$7:$B$3000,$B412,Offers!$C$7:$C$3000,$C412,Offers!$AG$7:$AG$3000,INT(COUNTIFS(Offers!$B$7:$B$3000,$B412,Offers!$C$7:$C$3000,$C412,Offers!$AI$7:$AI$3000,"yes")/2)+1))/2)</f>
        <v>3.38</v>
      </c>
      <c r="K412" s="100" t="n">
        <f aca="false">IF(COUNTIFS(Offers!$B$7:$B$3000,$B412,Offers!$C$7:$C$3000,$C412,Offers!$AI$7:$AI$3000,"yes")=0,"",SUMIFS(Offers!$I$7:$I$3000,Offers!$B$7:$B$3000,$B412,Offers!$C$7:$C$3000,$C412,Offers!$AG$7:$AG$3000,COUNTIFS(Offers!$B$7:$B$3000,$B412,Offers!$C$7:$C$3000,$C412,Offers!$AI$7:$AI$3000,"yes")))</f>
        <v>13.5</v>
      </c>
      <c r="L412" s="96"/>
      <c r="M412" s="96"/>
      <c r="N412" s="96"/>
      <c r="O412" s="101" t="n">
        <f aca="false">IF(Compare!$E$5="Local prices",IF(F412="","",IF(Compare!$C$5="Minimum",F412,IF(Compare!$C$5="Maximum",H412,G412))),IF(I412="","",IF(Compare!$C$5="Minimum",I412,IF(Compare!$C$5="Maximum",K412,J412))))</f>
        <v>3.38</v>
      </c>
    </row>
    <row r="413" customFormat="false" ht="13.5" hidden="false" customHeight="false" outlineLevel="0" collapsed="false">
      <c r="B413" s="36" t="s">
        <v>98</v>
      </c>
      <c r="C413" s="98" t="s">
        <v>17</v>
      </c>
      <c r="D413" s="98" t="s">
        <v>333</v>
      </c>
      <c r="E413" s="98" t="s">
        <v>491</v>
      </c>
      <c r="F413" s="99" t="n">
        <f aca="false">IF(COUNTIFS(Offers!$B$7:$B$3000,$B413,Offers!$C$7:$C$3000,$C413,Offers!$AH$7:$AH$3000,"yes")=0,"",SUMIFS(Offers!$H$7:$H$3000,Offers!$B$7:$B$3000,$B413,Offers!$C$7:$C$3000,$C413,Offers!$AF$7:$AF$3000,1))</f>
        <v>75.21</v>
      </c>
      <c r="G413" s="93" t="n">
        <f aca="false">IF(COUNTIFS(Offers!$B$7:$B$3000,$B413,Offers!$C$7:$C$3000,$C413,Offers!$AH$7:$AH$3000,"yes")=0,"",(SUMIFS(Offers!$H$7:$H$3000,Offers!$B$7:$B$3000,$B413,Offers!$C$7:$C$3000,$C413,Offers!$AF$7:$AF$3000,ROUNDUP(COUNTIFS(Offers!$B$7:$B$3000,$B413,Offers!$C$7:$C$3000,$C413,Offers!$AH$7:$AH$3000,"yes")/2,0))+SUMIFS(Offers!$H$7:$H$3000,Offers!$B$7:$B$3000,$B413,Offers!$C$7:$C$3000,$C413,Offers!$AF$7:$AF$3000,INT(COUNTIFS(Offers!$B$7:$B$3000,$B413,Offers!$C$7:$C$3000,$C413,Offers!$AH$7:$AH$3000,"yes")/2)+1))/2)</f>
        <v>127</v>
      </c>
      <c r="H413" s="99" t="n">
        <f aca="false">IF(COUNTIFS(Offers!$B$7:$B$3000,$B413,Offers!$C$7:$C$3000,$C413,Offers!$AH$7:$AH$3000,"yes")=0,"",SUMIFS(Offers!$H$7:$H$3000,Offers!$B$7:$B$3000,$B413,Offers!$C$7:$C$3000,$C413,Offers!$AF$7:$AF$3000,COUNTIFS(Offers!$B$7:$B$3000,$B413,Offers!$C$7:$C$3000,$C413,Offers!$AH$7:$AH$3000,"yes")))</f>
        <v>164</v>
      </c>
      <c r="I413" s="100" t="n">
        <f aca="false">IF(COUNTIFS(Offers!$B$7:$B$3000,$B413,Offers!$C$7:$C$3000,$C413,Offers!$AI$7:$AI$3000,"yes")=0,"",SUMIFS(Offers!$I$7:$I$3000,Offers!$B$7:$B$3000,$B413,Offers!$C$7:$C$3000,$C413,Offers!$AG$7:$AG$3000,1))</f>
        <v>3.079397</v>
      </c>
      <c r="J413" s="95" t="n">
        <f aca="false">IF(COUNTIFS(Offers!$B$7:$B$3000,$B413,Offers!$C$7:$C$3000,$C413,Offers!$AI$7:$AI$3000,"yes")=0,"",(SUMIFS(Offers!$I$7:$I$3000,Offers!$B$7:$B$3000,$B413,Offers!$C$7:$C$3000,$C413,Offers!$AG$7:$AG$3000,ROUNDUP(COUNTIFS(Offers!$B$7:$B$3000,$B413,Offers!$C$7:$C$3000,$C413,Offers!$AI$7:$AI$3000,"yes")/2,0))+SUMIFS(Offers!$I$7:$I$3000,Offers!$B$7:$B$3000,$B413,Offers!$C$7:$C$3000,$C413,Offers!$AG$7:$AG$3000,INT(COUNTIFS(Offers!$B$7:$B$3000,$B413,Offers!$C$7:$C$3000,$C413,Offers!$AI$7:$AI$3000,"yes")/2)+1))/2)</f>
        <v>5.199885</v>
      </c>
      <c r="K413" s="100" t="n">
        <f aca="false">IF(COUNTIFS(Offers!$B$7:$B$3000,$B413,Offers!$C$7:$C$3000,$C413,Offers!$AI$7:$AI$3000,"yes")=0,"",SUMIFS(Offers!$I$7:$I$3000,Offers!$B$7:$B$3000,$B413,Offers!$C$7:$C$3000,$C413,Offers!$AG$7:$AG$3000,COUNTIFS(Offers!$B$7:$B$3000,$B413,Offers!$C$7:$C$3000,$C413,Offers!$AI$7:$AI$3000,"yes")))</f>
        <v>6.714812</v>
      </c>
      <c r="L413" s="96"/>
      <c r="M413" s="96"/>
      <c r="N413" s="96"/>
      <c r="O413" s="101" t="n">
        <f aca="false">IF(Compare!$E$5="Local prices",IF(F413="","",IF(Compare!$C$5="Minimum",F413,IF(Compare!$C$5="Maximum",H413,G413))),IF(I413="","",IF(Compare!$C$5="Minimum",I413,IF(Compare!$C$5="Maximum",K413,J413))))</f>
        <v>5.199885</v>
      </c>
    </row>
    <row r="414" customFormat="false" ht="13.5" hidden="false" customHeight="false" outlineLevel="0" collapsed="false">
      <c r="B414" s="36" t="s">
        <v>98</v>
      </c>
      <c r="C414" s="98" t="s">
        <v>18</v>
      </c>
      <c r="D414" s="98" t="s">
        <v>244</v>
      </c>
      <c r="E414" s="98" t="s">
        <v>491</v>
      </c>
      <c r="F414" s="99" t="n">
        <f aca="false">IF(COUNTIFS(Offers!$B$7:$B$3000,$B414,Offers!$C$7:$C$3000,$C414,Offers!$AH$7:$AH$3000,"yes")=0,"",SUMIFS(Offers!$H$7:$H$3000,Offers!$B$7:$B$3000,$B414,Offers!$C$7:$C$3000,$C414,Offers!$AF$7:$AF$3000,1))</f>
        <v>2.78</v>
      </c>
      <c r="G414" s="93" t="n">
        <f aca="false">IF(COUNTIFS(Offers!$B$7:$B$3000,$B414,Offers!$C$7:$C$3000,$C414,Offers!$AH$7:$AH$3000,"yes")=0,"",(SUMIFS(Offers!$H$7:$H$3000,Offers!$B$7:$B$3000,$B414,Offers!$C$7:$C$3000,$C414,Offers!$AF$7:$AF$3000,ROUNDUP(COUNTIFS(Offers!$B$7:$B$3000,$B414,Offers!$C$7:$C$3000,$C414,Offers!$AH$7:$AH$3000,"yes")/2,0))+SUMIFS(Offers!$H$7:$H$3000,Offers!$B$7:$B$3000,$B414,Offers!$C$7:$C$3000,$C414,Offers!$AF$7:$AF$3000,INT(COUNTIFS(Offers!$B$7:$B$3000,$B414,Offers!$C$7:$C$3000,$C414,Offers!$AH$7:$AH$3000,"yes")/2)+1))/2)</f>
        <v>3.43</v>
      </c>
      <c r="H414" s="99" t="n">
        <f aca="false">IF(COUNTIFS(Offers!$B$7:$B$3000,$B414,Offers!$C$7:$C$3000,$C414,Offers!$AH$7:$AH$3000,"yes")=0,"",SUMIFS(Offers!$H$7:$H$3000,Offers!$B$7:$B$3000,$B414,Offers!$C$7:$C$3000,$C414,Offers!$AF$7:$AF$3000,COUNTIFS(Offers!$B$7:$B$3000,$B414,Offers!$C$7:$C$3000,$C414,Offers!$AH$7:$AH$3000,"yes")))</f>
        <v>4.78</v>
      </c>
      <c r="I414" s="100" t="n">
        <f aca="false">IF(COUNTIFS(Offers!$B$7:$B$3000,$B414,Offers!$C$7:$C$3000,$C414,Offers!$AI$7:$AI$3000,"yes")=0,"",SUMIFS(Offers!$I$7:$I$3000,Offers!$B$7:$B$3000,$B414,Offers!$C$7:$C$3000,$C414,Offers!$AG$7:$AG$3000,1))</f>
        <v>2.78</v>
      </c>
      <c r="J414" s="95" t="n">
        <f aca="false">IF(COUNTIFS(Offers!$B$7:$B$3000,$B414,Offers!$C$7:$C$3000,$C414,Offers!$AI$7:$AI$3000,"yes")=0,"",(SUMIFS(Offers!$I$7:$I$3000,Offers!$B$7:$B$3000,$B414,Offers!$C$7:$C$3000,$C414,Offers!$AG$7:$AG$3000,ROUNDUP(COUNTIFS(Offers!$B$7:$B$3000,$B414,Offers!$C$7:$C$3000,$C414,Offers!$AI$7:$AI$3000,"yes")/2,0))+SUMIFS(Offers!$I$7:$I$3000,Offers!$B$7:$B$3000,$B414,Offers!$C$7:$C$3000,$C414,Offers!$AG$7:$AG$3000,INT(COUNTIFS(Offers!$B$7:$B$3000,$B414,Offers!$C$7:$C$3000,$C414,Offers!$AI$7:$AI$3000,"yes")/2)+1))/2)</f>
        <v>3.43</v>
      </c>
      <c r="K414" s="100" t="n">
        <f aca="false">IF(COUNTIFS(Offers!$B$7:$B$3000,$B414,Offers!$C$7:$C$3000,$C414,Offers!$AI$7:$AI$3000,"yes")=0,"",SUMIFS(Offers!$I$7:$I$3000,Offers!$B$7:$B$3000,$B414,Offers!$C$7:$C$3000,$C414,Offers!$AG$7:$AG$3000,COUNTIFS(Offers!$B$7:$B$3000,$B414,Offers!$C$7:$C$3000,$C414,Offers!$AI$7:$AI$3000,"yes")))</f>
        <v>4.78</v>
      </c>
      <c r="L414" s="96"/>
      <c r="M414" s="96"/>
      <c r="N414" s="96"/>
      <c r="O414" s="101" t="n">
        <f aca="false">IF(Compare!$E$5="Local prices",IF(F414="","",IF(Compare!$C$5="Minimum",F414,IF(Compare!$C$5="Maximum",H414,G414))),IF(I414="","",IF(Compare!$C$5="Minimum",I414,IF(Compare!$C$5="Maximum",K414,J414))))</f>
        <v>3.43</v>
      </c>
    </row>
    <row r="415" customFormat="false" ht="13.5" hidden="false" customHeight="false" outlineLevel="0" collapsed="false">
      <c r="B415" s="36" t="s">
        <v>99</v>
      </c>
      <c r="C415" s="98" t="s">
        <v>13</v>
      </c>
      <c r="D415" s="98" t="s">
        <v>490</v>
      </c>
      <c r="E415" s="98" t="s">
        <v>491</v>
      </c>
      <c r="F415" s="99" t="str">
        <f aca="false">IF(COUNTIFS(Offers!$B$7:$B$3000,$B415,Offers!$C$7:$C$3000,$C415,Offers!$AH$7:$AH$3000,"yes")=0,"",SUMIFS(Offers!$H$7:$H$3000,Offers!$B$7:$B$3000,$B415,Offers!$C$7:$C$3000,$C415,Offers!$AF$7:$AF$3000,1))</f>
        <v/>
      </c>
      <c r="G415" s="93" t="str">
        <f aca="false">IF(COUNTIFS(Offers!$B$7:$B$3000,$B415,Offers!$C$7:$C$3000,$C415,Offers!$AH$7:$AH$3000,"yes")=0,"",(SUMIFS(Offers!$H$7:$H$3000,Offers!$B$7:$B$3000,$B415,Offers!$C$7:$C$3000,$C415,Offers!$AF$7:$AF$3000,ROUNDUP(COUNTIFS(Offers!$B$7:$B$3000,$B415,Offers!$C$7:$C$3000,$C415,Offers!$AH$7:$AH$3000,"yes")/2,0))+SUMIFS(Offers!$H$7:$H$3000,Offers!$B$7:$B$3000,$B415,Offers!$C$7:$C$3000,$C415,Offers!$AF$7:$AF$3000,INT(COUNTIFS(Offers!$B$7:$B$3000,$B415,Offers!$C$7:$C$3000,$C415,Offers!$AH$7:$AH$3000,"yes")/2)+1))/2)</f>
        <v/>
      </c>
      <c r="H415" s="99" t="str">
        <f aca="false">IF(COUNTIFS(Offers!$B$7:$B$3000,$B415,Offers!$C$7:$C$3000,$C415,Offers!$AH$7:$AH$3000,"yes")=0,"",SUMIFS(Offers!$H$7:$H$3000,Offers!$B$7:$B$3000,$B415,Offers!$C$7:$C$3000,$C415,Offers!$AF$7:$AF$3000,COUNTIFS(Offers!$B$7:$B$3000,$B415,Offers!$C$7:$C$3000,$C415,Offers!$AH$7:$AH$3000,"yes")))</f>
        <v/>
      </c>
      <c r="I415" s="100" t="str">
        <f aca="false">IF(COUNTIFS(Offers!$B$7:$B$3000,$B415,Offers!$C$7:$C$3000,$C415,Offers!$AI$7:$AI$3000,"yes")=0,"",SUMIFS(Offers!$I$7:$I$3000,Offers!$B$7:$B$3000,$B415,Offers!$C$7:$C$3000,$C415,Offers!$AG$7:$AG$3000,1))</f>
        <v/>
      </c>
      <c r="J415" s="95" t="str">
        <f aca="false">IF(COUNTIFS(Offers!$B$7:$B$3000,$B415,Offers!$C$7:$C$3000,$C415,Offers!$AI$7:$AI$3000,"yes")=0,"",(SUMIFS(Offers!$I$7:$I$3000,Offers!$B$7:$B$3000,$B415,Offers!$C$7:$C$3000,$C415,Offers!$AG$7:$AG$3000,ROUNDUP(COUNTIFS(Offers!$B$7:$B$3000,$B415,Offers!$C$7:$C$3000,$C415,Offers!$AI$7:$AI$3000,"yes")/2,0))+SUMIFS(Offers!$I$7:$I$3000,Offers!$B$7:$B$3000,$B415,Offers!$C$7:$C$3000,$C415,Offers!$AG$7:$AG$3000,INT(COUNTIFS(Offers!$B$7:$B$3000,$B415,Offers!$C$7:$C$3000,$C415,Offers!$AI$7:$AI$3000,"yes")/2)+1))/2)</f>
        <v/>
      </c>
      <c r="K415" s="100" t="str">
        <f aca="false">IF(COUNTIFS(Offers!$B$7:$B$3000,$B415,Offers!$C$7:$C$3000,$C415,Offers!$AI$7:$AI$3000,"yes")=0,"",SUMIFS(Offers!$I$7:$I$3000,Offers!$B$7:$B$3000,$B415,Offers!$C$7:$C$3000,$C415,Offers!$AG$7:$AG$3000,COUNTIFS(Offers!$B$7:$B$3000,$B415,Offers!$C$7:$C$3000,$C415,Offers!$AI$7:$AI$3000,"yes")))</f>
        <v/>
      </c>
      <c r="L415" s="96"/>
      <c r="M415" s="96"/>
      <c r="N415" s="96"/>
      <c r="O415" s="110" t="str">
        <f aca="false">IF(Compare!$E$5="Local prices",IF(F415="","",IF(Compare!$C$5="Minimum",F415,IF(Compare!$C$5="Maximum",H415,G415))),IF(I415="","",IF(Compare!$C$5="Minimum",I415,IF(Compare!$C$5="Maximum",K415,J415))))</f>
        <v/>
      </c>
    </row>
    <row r="416" customFormat="false" ht="13.5" hidden="false" customHeight="false" outlineLevel="0" collapsed="false">
      <c r="B416" s="36" t="s">
        <v>99</v>
      </c>
      <c r="C416" s="98" t="s">
        <v>14</v>
      </c>
      <c r="D416" s="98" t="s">
        <v>374</v>
      </c>
      <c r="E416" s="98" t="s">
        <v>491</v>
      </c>
      <c r="F416" s="99" t="n">
        <f aca="false">IF(COUNTIFS(Offers!$B$7:$B$3000,$B416,Offers!$C$7:$C$3000,$C416,Offers!$AH$7:$AH$3000,"yes")=0,"",SUMIFS(Offers!$H$7:$H$3000,Offers!$B$7:$B$3000,$B416,Offers!$C$7:$C$3000,$C416,Offers!$AF$7:$AF$3000,1))</f>
        <v>20.93</v>
      </c>
      <c r="G416" s="93" t="n">
        <f aca="false">IF(COUNTIFS(Offers!$B$7:$B$3000,$B416,Offers!$C$7:$C$3000,$C416,Offers!$AH$7:$AH$3000,"yes")=0,"",(SUMIFS(Offers!$H$7:$H$3000,Offers!$B$7:$B$3000,$B416,Offers!$C$7:$C$3000,$C416,Offers!$AF$7:$AF$3000,ROUNDUP(COUNTIFS(Offers!$B$7:$B$3000,$B416,Offers!$C$7:$C$3000,$C416,Offers!$AH$7:$AH$3000,"yes")/2,0))+SUMIFS(Offers!$H$7:$H$3000,Offers!$B$7:$B$3000,$B416,Offers!$C$7:$C$3000,$C416,Offers!$AF$7:$AF$3000,INT(COUNTIFS(Offers!$B$7:$B$3000,$B416,Offers!$C$7:$C$3000,$C416,Offers!$AH$7:$AH$3000,"yes")/2)+1))/2)</f>
        <v>29.39</v>
      </c>
      <c r="H416" s="99" t="n">
        <f aca="false">IF(COUNTIFS(Offers!$B$7:$B$3000,$B416,Offers!$C$7:$C$3000,$C416,Offers!$AH$7:$AH$3000,"yes")=0,"",SUMIFS(Offers!$H$7:$H$3000,Offers!$B$7:$B$3000,$B416,Offers!$C$7:$C$3000,$C416,Offers!$AF$7:$AF$3000,COUNTIFS(Offers!$B$7:$B$3000,$B416,Offers!$C$7:$C$3000,$C416,Offers!$AH$7:$AH$3000,"yes")))</f>
        <v>48.36</v>
      </c>
      <c r="I416" s="100" t="n">
        <f aca="false">IF(COUNTIFS(Offers!$B$7:$B$3000,$B416,Offers!$C$7:$C$3000,$C416,Offers!$AI$7:$AI$3000,"yes")=0,"",SUMIFS(Offers!$I$7:$I$3000,Offers!$B$7:$B$3000,$B416,Offers!$C$7:$C$3000,$C416,Offers!$AG$7:$AG$3000,1))</f>
        <v>3.965787</v>
      </c>
      <c r="J416" s="95" t="n">
        <f aca="false">IF(COUNTIFS(Offers!$B$7:$B$3000,$B416,Offers!$C$7:$C$3000,$C416,Offers!$AI$7:$AI$3000,"yes")=0,"",(SUMIFS(Offers!$I$7:$I$3000,Offers!$B$7:$B$3000,$B416,Offers!$C$7:$C$3000,$C416,Offers!$AG$7:$AG$3000,ROUNDUP(COUNTIFS(Offers!$B$7:$B$3000,$B416,Offers!$C$7:$C$3000,$C416,Offers!$AI$7:$AI$3000,"yes")/2,0))+SUMIFS(Offers!$I$7:$I$3000,Offers!$B$7:$B$3000,$B416,Offers!$C$7:$C$3000,$C416,Offers!$AG$7:$AG$3000,INT(COUNTIFS(Offers!$B$7:$B$3000,$B416,Offers!$C$7:$C$3000,$C416,Offers!$AI$7:$AI$3000,"yes")/2)+1))/2)</f>
        <v>5.568775</v>
      </c>
      <c r="K416" s="100" t="n">
        <f aca="false">IF(COUNTIFS(Offers!$B$7:$B$3000,$B416,Offers!$C$7:$C$3000,$C416,Offers!$AI$7:$AI$3000,"yes")=0,"",SUMIFS(Offers!$I$7:$I$3000,Offers!$B$7:$B$3000,$B416,Offers!$C$7:$C$3000,$C416,Offers!$AG$7:$AG$3000,COUNTIFS(Offers!$B$7:$B$3000,$B416,Offers!$C$7:$C$3000,$C416,Offers!$AI$7:$AI$3000,"yes")))</f>
        <v>9.163184</v>
      </c>
      <c r="L416" s="96"/>
      <c r="M416" s="96"/>
      <c r="N416" s="96"/>
      <c r="O416" s="101" t="n">
        <f aca="false">IF(Compare!$E$5="Local prices",IF(F416="","",IF(Compare!$C$5="Minimum",F416,IF(Compare!$C$5="Maximum",H416,G416))),IF(I416="","",IF(Compare!$C$5="Minimum",I416,IF(Compare!$C$5="Maximum",K416,J416))))</f>
        <v>5.568775</v>
      </c>
    </row>
    <row r="417" customFormat="false" ht="13.5" hidden="false" customHeight="false" outlineLevel="0" collapsed="false">
      <c r="B417" s="36" t="s">
        <v>99</v>
      </c>
      <c r="C417" s="98" t="s">
        <v>15</v>
      </c>
      <c r="D417" s="98" t="s">
        <v>244</v>
      </c>
      <c r="E417" s="98" t="s">
        <v>491</v>
      </c>
      <c r="F417" s="99" t="n">
        <f aca="false">IF(COUNTIFS(Offers!$B$7:$B$3000,$B417,Offers!$C$7:$C$3000,$C417,Offers!$AH$7:$AH$3000,"yes")=0,"",SUMIFS(Offers!$H$7:$H$3000,Offers!$B$7:$B$3000,$B417,Offers!$C$7:$C$3000,$C417,Offers!$AF$7:$AF$3000,1))</f>
        <v>3.8</v>
      </c>
      <c r="G417" s="93" t="n">
        <f aca="false">IF(COUNTIFS(Offers!$B$7:$B$3000,$B417,Offers!$C$7:$C$3000,$C417,Offers!$AH$7:$AH$3000,"yes")=0,"",(SUMIFS(Offers!$H$7:$H$3000,Offers!$B$7:$B$3000,$B417,Offers!$C$7:$C$3000,$C417,Offers!$AF$7:$AF$3000,ROUNDUP(COUNTIFS(Offers!$B$7:$B$3000,$B417,Offers!$C$7:$C$3000,$C417,Offers!$AH$7:$AH$3000,"yes")/2,0))+SUMIFS(Offers!$H$7:$H$3000,Offers!$B$7:$B$3000,$B417,Offers!$C$7:$C$3000,$C417,Offers!$AF$7:$AF$3000,INT(COUNTIFS(Offers!$B$7:$B$3000,$B417,Offers!$C$7:$C$3000,$C417,Offers!$AH$7:$AH$3000,"yes")/2)+1))/2)</f>
        <v>4.74</v>
      </c>
      <c r="H417" s="99" t="n">
        <f aca="false">IF(COUNTIFS(Offers!$B$7:$B$3000,$B417,Offers!$C$7:$C$3000,$C417,Offers!$AH$7:$AH$3000,"yes")=0,"",SUMIFS(Offers!$H$7:$H$3000,Offers!$B$7:$B$3000,$B417,Offers!$C$7:$C$3000,$C417,Offers!$AF$7:$AF$3000,COUNTIFS(Offers!$B$7:$B$3000,$B417,Offers!$C$7:$C$3000,$C417,Offers!$AH$7:$AH$3000,"yes")))</f>
        <v>15.76</v>
      </c>
      <c r="I417" s="100" t="n">
        <f aca="false">IF(COUNTIFS(Offers!$B$7:$B$3000,$B417,Offers!$C$7:$C$3000,$C417,Offers!$AI$7:$AI$3000,"yes")=0,"",SUMIFS(Offers!$I$7:$I$3000,Offers!$B$7:$B$3000,$B417,Offers!$C$7:$C$3000,$C417,Offers!$AG$7:$AG$3000,1))</f>
        <v>3.8</v>
      </c>
      <c r="J417" s="95" t="n">
        <f aca="false">IF(COUNTIFS(Offers!$B$7:$B$3000,$B417,Offers!$C$7:$C$3000,$C417,Offers!$AI$7:$AI$3000,"yes")=0,"",(SUMIFS(Offers!$I$7:$I$3000,Offers!$B$7:$B$3000,$B417,Offers!$C$7:$C$3000,$C417,Offers!$AG$7:$AG$3000,ROUNDUP(COUNTIFS(Offers!$B$7:$B$3000,$B417,Offers!$C$7:$C$3000,$C417,Offers!$AI$7:$AI$3000,"yes")/2,0))+SUMIFS(Offers!$I$7:$I$3000,Offers!$B$7:$B$3000,$B417,Offers!$C$7:$C$3000,$C417,Offers!$AG$7:$AG$3000,INT(COUNTIFS(Offers!$B$7:$B$3000,$B417,Offers!$C$7:$C$3000,$C417,Offers!$AI$7:$AI$3000,"yes")/2)+1))/2)</f>
        <v>4.74</v>
      </c>
      <c r="K417" s="100" t="n">
        <f aca="false">IF(COUNTIFS(Offers!$B$7:$B$3000,$B417,Offers!$C$7:$C$3000,$C417,Offers!$AI$7:$AI$3000,"yes")=0,"",SUMIFS(Offers!$I$7:$I$3000,Offers!$B$7:$B$3000,$B417,Offers!$C$7:$C$3000,$C417,Offers!$AG$7:$AG$3000,COUNTIFS(Offers!$B$7:$B$3000,$B417,Offers!$C$7:$C$3000,$C417,Offers!$AI$7:$AI$3000,"yes")))</f>
        <v>15.76</v>
      </c>
      <c r="L417" s="96"/>
      <c r="M417" s="96"/>
      <c r="N417" s="96"/>
      <c r="O417" s="101" t="n">
        <f aca="false">IF(Compare!$E$5="Local prices",IF(F417="","",IF(Compare!$C$5="Minimum",F417,IF(Compare!$C$5="Maximum",H417,G417))),IF(I417="","",IF(Compare!$C$5="Minimum",I417,IF(Compare!$C$5="Maximum",K417,J417))))</f>
        <v>4.74</v>
      </c>
    </row>
    <row r="418" customFormat="false" ht="13.5" hidden="false" customHeight="false" outlineLevel="0" collapsed="false">
      <c r="B418" s="36" t="s">
        <v>99</v>
      </c>
      <c r="C418" s="98" t="s">
        <v>16</v>
      </c>
      <c r="D418" s="98" t="s">
        <v>244</v>
      </c>
      <c r="E418" s="98" t="s">
        <v>491</v>
      </c>
      <c r="F418" s="99" t="n">
        <f aca="false">IF(COUNTIFS(Offers!$B$7:$B$3000,$B418,Offers!$C$7:$C$3000,$C418,Offers!$AH$7:$AH$3000,"yes")=0,"",SUMIFS(Offers!$H$7:$H$3000,Offers!$B$7:$B$3000,$B418,Offers!$C$7:$C$3000,$C418,Offers!$AF$7:$AF$3000,1))</f>
        <v>4.12</v>
      </c>
      <c r="G418" s="93" t="n">
        <f aca="false">IF(COUNTIFS(Offers!$B$7:$B$3000,$B418,Offers!$C$7:$C$3000,$C418,Offers!$AH$7:$AH$3000,"yes")=0,"",(SUMIFS(Offers!$H$7:$H$3000,Offers!$B$7:$B$3000,$B418,Offers!$C$7:$C$3000,$C418,Offers!$AF$7:$AF$3000,ROUNDUP(COUNTIFS(Offers!$B$7:$B$3000,$B418,Offers!$C$7:$C$3000,$C418,Offers!$AH$7:$AH$3000,"yes")/2,0))+SUMIFS(Offers!$H$7:$H$3000,Offers!$B$7:$B$3000,$B418,Offers!$C$7:$C$3000,$C418,Offers!$AF$7:$AF$3000,INT(COUNTIFS(Offers!$B$7:$B$3000,$B418,Offers!$C$7:$C$3000,$C418,Offers!$AH$7:$AH$3000,"yes")/2)+1))/2)</f>
        <v>6.195</v>
      </c>
      <c r="H418" s="99" t="n">
        <f aca="false">IF(COUNTIFS(Offers!$B$7:$B$3000,$B418,Offers!$C$7:$C$3000,$C418,Offers!$AH$7:$AH$3000,"yes")=0,"",SUMIFS(Offers!$H$7:$H$3000,Offers!$B$7:$B$3000,$B418,Offers!$C$7:$C$3000,$C418,Offers!$AF$7:$AF$3000,COUNTIFS(Offers!$B$7:$B$3000,$B418,Offers!$C$7:$C$3000,$C418,Offers!$AH$7:$AH$3000,"yes")))</f>
        <v>12</v>
      </c>
      <c r="I418" s="100" t="n">
        <f aca="false">IF(COUNTIFS(Offers!$B$7:$B$3000,$B418,Offers!$C$7:$C$3000,$C418,Offers!$AI$7:$AI$3000,"yes")=0,"",SUMIFS(Offers!$I$7:$I$3000,Offers!$B$7:$B$3000,$B418,Offers!$C$7:$C$3000,$C418,Offers!$AG$7:$AG$3000,1))</f>
        <v>4.12</v>
      </c>
      <c r="J418" s="95" t="n">
        <f aca="false">IF(COUNTIFS(Offers!$B$7:$B$3000,$B418,Offers!$C$7:$C$3000,$C418,Offers!$AI$7:$AI$3000,"yes")=0,"",(SUMIFS(Offers!$I$7:$I$3000,Offers!$B$7:$B$3000,$B418,Offers!$C$7:$C$3000,$C418,Offers!$AG$7:$AG$3000,ROUNDUP(COUNTIFS(Offers!$B$7:$B$3000,$B418,Offers!$C$7:$C$3000,$C418,Offers!$AI$7:$AI$3000,"yes")/2,0))+SUMIFS(Offers!$I$7:$I$3000,Offers!$B$7:$B$3000,$B418,Offers!$C$7:$C$3000,$C418,Offers!$AG$7:$AG$3000,INT(COUNTIFS(Offers!$B$7:$B$3000,$B418,Offers!$C$7:$C$3000,$C418,Offers!$AI$7:$AI$3000,"yes")/2)+1))/2)</f>
        <v>6.195</v>
      </c>
      <c r="K418" s="100" t="n">
        <f aca="false">IF(COUNTIFS(Offers!$B$7:$B$3000,$B418,Offers!$C$7:$C$3000,$C418,Offers!$AI$7:$AI$3000,"yes")=0,"",SUMIFS(Offers!$I$7:$I$3000,Offers!$B$7:$B$3000,$B418,Offers!$C$7:$C$3000,$C418,Offers!$AG$7:$AG$3000,COUNTIFS(Offers!$B$7:$B$3000,$B418,Offers!$C$7:$C$3000,$C418,Offers!$AI$7:$AI$3000,"yes")))</f>
        <v>12</v>
      </c>
      <c r="L418" s="96"/>
      <c r="M418" s="96"/>
      <c r="N418" s="96"/>
      <c r="O418" s="101" t="n">
        <f aca="false">IF(Compare!$E$5="Local prices",IF(F418="","",IF(Compare!$C$5="Minimum",F418,IF(Compare!$C$5="Maximum",H418,G418))),IF(I418="","",IF(Compare!$C$5="Minimum",I418,IF(Compare!$C$5="Maximum",K418,J418))))</f>
        <v>6.195</v>
      </c>
    </row>
    <row r="419" customFormat="false" ht="13.5" hidden="false" customHeight="false" outlineLevel="0" collapsed="false">
      <c r="B419" s="36" t="s">
        <v>99</v>
      </c>
      <c r="C419" s="98" t="s">
        <v>17</v>
      </c>
      <c r="D419" s="98" t="s">
        <v>333</v>
      </c>
      <c r="E419" s="98" t="s">
        <v>491</v>
      </c>
      <c r="F419" s="99" t="n">
        <f aca="false">IF(COUNTIFS(Offers!$B$7:$B$3000,$B419,Offers!$C$7:$C$3000,$C419,Offers!$AH$7:$AH$3000,"yes")=0,"",SUMIFS(Offers!$H$7:$H$3000,Offers!$B$7:$B$3000,$B419,Offers!$C$7:$C$3000,$C419,Offers!$AF$7:$AF$3000,1))</f>
        <v>96.69</v>
      </c>
      <c r="G419" s="93" t="n">
        <f aca="false">IF(COUNTIFS(Offers!$B$7:$B$3000,$B419,Offers!$C$7:$C$3000,$C419,Offers!$AH$7:$AH$3000,"yes")=0,"",(SUMIFS(Offers!$H$7:$H$3000,Offers!$B$7:$B$3000,$B419,Offers!$C$7:$C$3000,$C419,Offers!$AF$7:$AF$3000,ROUNDUP(COUNTIFS(Offers!$B$7:$B$3000,$B419,Offers!$C$7:$C$3000,$C419,Offers!$AH$7:$AH$3000,"yes")/2,0))+SUMIFS(Offers!$H$7:$H$3000,Offers!$B$7:$B$3000,$B419,Offers!$C$7:$C$3000,$C419,Offers!$AF$7:$AF$3000,INT(COUNTIFS(Offers!$B$7:$B$3000,$B419,Offers!$C$7:$C$3000,$C419,Offers!$AH$7:$AH$3000,"yes")/2)+1))/2)</f>
        <v>143.8</v>
      </c>
      <c r="H419" s="99" t="n">
        <f aca="false">IF(COUNTIFS(Offers!$B$7:$B$3000,$B419,Offers!$C$7:$C$3000,$C419,Offers!$AH$7:$AH$3000,"yes")=0,"",SUMIFS(Offers!$H$7:$H$3000,Offers!$B$7:$B$3000,$B419,Offers!$C$7:$C$3000,$C419,Offers!$AF$7:$AF$3000,COUNTIFS(Offers!$B$7:$B$3000,$B419,Offers!$C$7:$C$3000,$C419,Offers!$AH$7:$AH$3000,"yes")))</f>
        <v>220</v>
      </c>
      <c r="I419" s="100" t="n">
        <f aca="false">IF(COUNTIFS(Offers!$B$7:$B$3000,$B419,Offers!$C$7:$C$3000,$C419,Offers!$AI$7:$AI$3000,"yes")=0,"",SUMIFS(Offers!$I$7:$I$3000,Offers!$B$7:$B$3000,$B419,Offers!$C$7:$C$3000,$C419,Offers!$AG$7:$AG$3000,1))</f>
        <v>3.958873</v>
      </c>
      <c r="J419" s="95" t="n">
        <f aca="false">IF(COUNTIFS(Offers!$B$7:$B$3000,$B419,Offers!$C$7:$C$3000,$C419,Offers!$AI$7:$AI$3000,"yes")=0,"",(SUMIFS(Offers!$I$7:$I$3000,Offers!$B$7:$B$3000,$B419,Offers!$C$7:$C$3000,$C419,Offers!$AG$7:$AG$3000,ROUNDUP(COUNTIFS(Offers!$B$7:$B$3000,$B419,Offers!$C$7:$C$3000,$C419,Offers!$AI$7:$AI$3000,"yes")/2,0))+SUMIFS(Offers!$I$7:$I$3000,Offers!$B$7:$B$3000,$B419,Offers!$C$7:$C$3000,$C419,Offers!$AG$7:$AG$3000,INT(COUNTIFS(Offers!$B$7:$B$3000,$B419,Offers!$C$7:$C$3000,$C419,Offers!$AI$7:$AI$3000,"yes")/2)+1))/2)</f>
        <v>5.887744</v>
      </c>
      <c r="K419" s="100" t="n">
        <f aca="false">IF(COUNTIFS(Offers!$B$7:$B$3000,$B419,Offers!$C$7:$C$3000,$C419,Offers!$AI$7:$AI$3000,"yes")=0,"",SUMIFS(Offers!$I$7:$I$3000,Offers!$B$7:$B$3000,$B419,Offers!$C$7:$C$3000,$C419,Offers!$AG$7:$AG$3000,COUNTIFS(Offers!$B$7:$B$3000,$B419,Offers!$C$7:$C$3000,$C419,Offers!$AI$7:$AI$3000,"yes")))</f>
        <v>9.007675</v>
      </c>
      <c r="L419" s="96"/>
      <c r="M419" s="96"/>
      <c r="N419" s="96"/>
      <c r="O419" s="101" t="n">
        <f aca="false">IF(Compare!$E$5="Local prices",IF(F419="","",IF(Compare!$C$5="Minimum",F419,IF(Compare!$C$5="Maximum",H419,G419))),IF(I419="","",IF(Compare!$C$5="Minimum",I419,IF(Compare!$C$5="Maximum",K419,J419))))</f>
        <v>5.887744</v>
      </c>
    </row>
    <row r="420" customFormat="false" ht="13.5" hidden="false" customHeight="false" outlineLevel="0" collapsed="false">
      <c r="B420" s="36" t="s">
        <v>99</v>
      </c>
      <c r="C420" s="98" t="s">
        <v>18</v>
      </c>
      <c r="D420" s="98" t="s">
        <v>244</v>
      </c>
      <c r="E420" s="98" t="s">
        <v>491</v>
      </c>
      <c r="F420" s="99" t="n">
        <f aca="false">IF(COUNTIFS(Offers!$B$7:$B$3000,$B420,Offers!$C$7:$C$3000,$C420,Offers!$AH$7:$AH$3000,"yes")=0,"",SUMIFS(Offers!$H$7:$H$3000,Offers!$B$7:$B$3000,$B420,Offers!$C$7:$C$3000,$C420,Offers!$AF$7:$AF$3000,1))</f>
        <v>3.9</v>
      </c>
      <c r="G420" s="93" t="n">
        <f aca="false">IF(COUNTIFS(Offers!$B$7:$B$3000,$B420,Offers!$C$7:$C$3000,$C420,Offers!$AH$7:$AH$3000,"yes")=0,"",(SUMIFS(Offers!$H$7:$H$3000,Offers!$B$7:$B$3000,$B420,Offers!$C$7:$C$3000,$C420,Offers!$AF$7:$AF$3000,ROUNDUP(COUNTIFS(Offers!$B$7:$B$3000,$B420,Offers!$C$7:$C$3000,$C420,Offers!$AH$7:$AH$3000,"yes")/2,0))+SUMIFS(Offers!$H$7:$H$3000,Offers!$B$7:$B$3000,$B420,Offers!$C$7:$C$3000,$C420,Offers!$AF$7:$AF$3000,INT(COUNTIFS(Offers!$B$7:$B$3000,$B420,Offers!$C$7:$C$3000,$C420,Offers!$AH$7:$AH$3000,"yes")/2)+1))/2)</f>
        <v>6.5</v>
      </c>
      <c r="H420" s="99" t="n">
        <f aca="false">IF(COUNTIFS(Offers!$B$7:$B$3000,$B420,Offers!$C$7:$C$3000,$C420,Offers!$AH$7:$AH$3000,"yes")=0,"",SUMIFS(Offers!$H$7:$H$3000,Offers!$B$7:$B$3000,$B420,Offers!$C$7:$C$3000,$C420,Offers!$AF$7:$AF$3000,COUNTIFS(Offers!$B$7:$B$3000,$B420,Offers!$C$7:$C$3000,$C420,Offers!$AH$7:$AH$3000,"yes")))</f>
        <v>8.71</v>
      </c>
      <c r="I420" s="100" t="n">
        <f aca="false">IF(COUNTIFS(Offers!$B$7:$B$3000,$B420,Offers!$C$7:$C$3000,$C420,Offers!$AI$7:$AI$3000,"yes")=0,"",SUMIFS(Offers!$I$7:$I$3000,Offers!$B$7:$B$3000,$B420,Offers!$C$7:$C$3000,$C420,Offers!$AG$7:$AG$3000,1))</f>
        <v>3.9</v>
      </c>
      <c r="J420" s="95" t="n">
        <f aca="false">IF(COUNTIFS(Offers!$B$7:$B$3000,$B420,Offers!$C$7:$C$3000,$C420,Offers!$AI$7:$AI$3000,"yes")=0,"",(SUMIFS(Offers!$I$7:$I$3000,Offers!$B$7:$B$3000,$B420,Offers!$C$7:$C$3000,$C420,Offers!$AG$7:$AG$3000,ROUNDUP(COUNTIFS(Offers!$B$7:$B$3000,$B420,Offers!$C$7:$C$3000,$C420,Offers!$AI$7:$AI$3000,"yes")/2,0))+SUMIFS(Offers!$I$7:$I$3000,Offers!$B$7:$B$3000,$B420,Offers!$C$7:$C$3000,$C420,Offers!$AG$7:$AG$3000,INT(COUNTIFS(Offers!$B$7:$B$3000,$B420,Offers!$C$7:$C$3000,$C420,Offers!$AI$7:$AI$3000,"yes")/2)+1))/2)</f>
        <v>6.5</v>
      </c>
      <c r="K420" s="100" t="n">
        <f aca="false">IF(COUNTIFS(Offers!$B$7:$B$3000,$B420,Offers!$C$7:$C$3000,$C420,Offers!$AI$7:$AI$3000,"yes")=0,"",SUMIFS(Offers!$I$7:$I$3000,Offers!$B$7:$B$3000,$B420,Offers!$C$7:$C$3000,$C420,Offers!$AG$7:$AG$3000,COUNTIFS(Offers!$B$7:$B$3000,$B420,Offers!$C$7:$C$3000,$C420,Offers!$AI$7:$AI$3000,"yes")))</f>
        <v>8.71</v>
      </c>
      <c r="L420" s="96"/>
      <c r="M420" s="96"/>
      <c r="N420" s="96"/>
      <c r="O420" s="101" t="n">
        <f aca="false">IF(Compare!$E$5="Local prices",IF(F420="","",IF(Compare!$C$5="Minimum",F420,IF(Compare!$C$5="Maximum",H420,G420))),IF(I420="","",IF(Compare!$C$5="Minimum",I420,IF(Compare!$C$5="Maximum",K420,J420))))</f>
        <v>6.5</v>
      </c>
    </row>
    <row r="421" customFormat="false" ht="13.5" hidden="false" customHeight="false" outlineLevel="0" collapsed="false">
      <c r="B421" s="36" t="s">
        <v>100</v>
      </c>
      <c r="C421" s="98" t="s">
        <v>13</v>
      </c>
      <c r="D421" s="98" t="s">
        <v>490</v>
      </c>
      <c r="E421" s="98" t="s">
        <v>491</v>
      </c>
      <c r="F421" s="99" t="str">
        <f aca="false">IF(COUNTIFS(Offers!$B$7:$B$3000,$B421,Offers!$C$7:$C$3000,$C421,Offers!$AH$7:$AH$3000,"yes")=0,"",SUMIFS(Offers!$H$7:$H$3000,Offers!$B$7:$B$3000,$B421,Offers!$C$7:$C$3000,$C421,Offers!$AF$7:$AF$3000,1))</f>
        <v/>
      </c>
      <c r="G421" s="93" t="str">
        <f aca="false">IF(COUNTIFS(Offers!$B$7:$B$3000,$B421,Offers!$C$7:$C$3000,$C421,Offers!$AH$7:$AH$3000,"yes")=0,"",(SUMIFS(Offers!$H$7:$H$3000,Offers!$B$7:$B$3000,$B421,Offers!$C$7:$C$3000,$C421,Offers!$AF$7:$AF$3000,ROUNDUP(COUNTIFS(Offers!$B$7:$B$3000,$B421,Offers!$C$7:$C$3000,$C421,Offers!$AH$7:$AH$3000,"yes")/2,0))+SUMIFS(Offers!$H$7:$H$3000,Offers!$B$7:$B$3000,$B421,Offers!$C$7:$C$3000,$C421,Offers!$AF$7:$AF$3000,INT(COUNTIFS(Offers!$B$7:$B$3000,$B421,Offers!$C$7:$C$3000,$C421,Offers!$AH$7:$AH$3000,"yes")/2)+1))/2)</f>
        <v/>
      </c>
      <c r="H421" s="99" t="str">
        <f aca="false">IF(COUNTIFS(Offers!$B$7:$B$3000,$B421,Offers!$C$7:$C$3000,$C421,Offers!$AH$7:$AH$3000,"yes")=0,"",SUMIFS(Offers!$H$7:$H$3000,Offers!$B$7:$B$3000,$B421,Offers!$C$7:$C$3000,$C421,Offers!$AF$7:$AF$3000,COUNTIFS(Offers!$B$7:$B$3000,$B421,Offers!$C$7:$C$3000,$C421,Offers!$AH$7:$AH$3000,"yes")))</f>
        <v/>
      </c>
      <c r="I421" s="100" t="str">
        <f aca="false">IF(COUNTIFS(Offers!$B$7:$B$3000,$B421,Offers!$C$7:$C$3000,$C421,Offers!$AI$7:$AI$3000,"yes")=0,"",SUMIFS(Offers!$I$7:$I$3000,Offers!$B$7:$B$3000,$B421,Offers!$C$7:$C$3000,$C421,Offers!$AG$7:$AG$3000,1))</f>
        <v/>
      </c>
      <c r="J421" s="95" t="str">
        <f aca="false">IF(COUNTIFS(Offers!$B$7:$B$3000,$B421,Offers!$C$7:$C$3000,$C421,Offers!$AI$7:$AI$3000,"yes")=0,"",(SUMIFS(Offers!$I$7:$I$3000,Offers!$B$7:$B$3000,$B421,Offers!$C$7:$C$3000,$C421,Offers!$AG$7:$AG$3000,ROUNDUP(COUNTIFS(Offers!$B$7:$B$3000,$B421,Offers!$C$7:$C$3000,$C421,Offers!$AI$7:$AI$3000,"yes")/2,0))+SUMIFS(Offers!$I$7:$I$3000,Offers!$B$7:$B$3000,$B421,Offers!$C$7:$C$3000,$C421,Offers!$AG$7:$AG$3000,INT(COUNTIFS(Offers!$B$7:$B$3000,$B421,Offers!$C$7:$C$3000,$C421,Offers!$AI$7:$AI$3000,"yes")/2)+1))/2)</f>
        <v/>
      </c>
      <c r="K421" s="100" t="str">
        <f aca="false">IF(COUNTIFS(Offers!$B$7:$B$3000,$B421,Offers!$C$7:$C$3000,$C421,Offers!$AI$7:$AI$3000,"yes")=0,"",SUMIFS(Offers!$I$7:$I$3000,Offers!$B$7:$B$3000,$B421,Offers!$C$7:$C$3000,$C421,Offers!$AG$7:$AG$3000,COUNTIFS(Offers!$B$7:$B$3000,$B421,Offers!$C$7:$C$3000,$C421,Offers!$AI$7:$AI$3000,"yes")))</f>
        <v/>
      </c>
      <c r="L421" s="96"/>
      <c r="M421" s="96"/>
      <c r="N421" s="96"/>
      <c r="O421" s="110" t="str">
        <f aca="false">IF(Compare!$E$5="Local prices",IF(F421="","",IF(Compare!$C$5="Minimum",F421,IF(Compare!$C$5="Maximum",H421,G421))),IF(I421="","",IF(Compare!$C$5="Minimum",I421,IF(Compare!$C$5="Maximum",K421,J421))))</f>
        <v/>
      </c>
    </row>
    <row r="422" customFormat="false" ht="13.5" hidden="false" customHeight="false" outlineLevel="0" collapsed="false">
      <c r="B422" s="36" t="s">
        <v>100</v>
      </c>
      <c r="C422" s="98" t="s">
        <v>14</v>
      </c>
      <c r="D422" s="98" t="s">
        <v>374</v>
      </c>
      <c r="E422" s="98" t="s">
        <v>491</v>
      </c>
      <c r="F422" s="99" t="n">
        <f aca="false">IF(COUNTIFS(Offers!$B$7:$B$3000,$B422,Offers!$C$7:$C$3000,$C422,Offers!$AH$7:$AH$3000,"yes")=0,"",SUMIFS(Offers!$H$7:$H$3000,Offers!$B$7:$B$3000,$B422,Offers!$C$7:$C$3000,$C422,Offers!$AF$7:$AF$3000,1))</f>
        <v>1</v>
      </c>
      <c r="G422" s="93" t="n">
        <f aca="false">IF(COUNTIFS(Offers!$B$7:$B$3000,$B422,Offers!$C$7:$C$3000,$C422,Offers!$AH$7:$AH$3000,"yes")=0,"",(SUMIFS(Offers!$H$7:$H$3000,Offers!$B$7:$B$3000,$B422,Offers!$C$7:$C$3000,$C422,Offers!$AF$7:$AF$3000,ROUNDUP(COUNTIFS(Offers!$B$7:$B$3000,$B422,Offers!$C$7:$C$3000,$C422,Offers!$AH$7:$AH$3000,"yes")/2,0))+SUMIFS(Offers!$H$7:$H$3000,Offers!$B$7:$B$3000,$B422,Offers!$C$7:$C$3000,$C422,Offers!$AF$7:$AF$3000,INT(COUNTIFS(Offers!$B$7:$B$3000,$B422,Offers!$C$7:$C$3000,$C422,Offers!$AH$7:$AH$3000,"yes")/2)+1))/2)</f>
        <v>12.65</v>
      </c>
      <c r="H422" s="99" t="n">
        <f aca="false">IF(COUNTIFS(Offers!$B$7:$B$3000,$B422,Offers!$C$7:$C$3000,$C422,Offers!$AH$7:$AH$3000,"yes")=0,"",SUMIFS(Offers!$H$7:$H$3000,Offers!$B$7:$B$3000,$B422,Offers!$C$7:$C$3000,$C422,Offers!$AF$7:$AF$3000,COUNTIFS(Offers!$B$7:$B$3000,$B422,Offers!$C$7:$C$3000,$C422,Offers!$AH$7:$AH$3000,"yes")))</f>
        <v>27.12</v>
      </c>
      <c r="I422" s="100" t="n">
        <f aca="false">IF(COUNTIFS(Offers!$B$7:$B$3000,$B422,Offers!$C$7:$C$3000,$C422,Offers!$AI$7:$AI$3000,"yes")=0,"",SUMIFS(Offers!$I$7:$I$3000,Offers!$B$7:$B$3000,$B422,Offers!$C$7:$C$3000,$C422,Offers!$AG$7:$AG$3000,1))</f>
        <v>1</v>
      </c>
      <c r="J422" s="95" t="n">
        <f aca="false">IF(COUNTIFS(Offers!$B$7:$B$3000,$B422,Offers!$C$7:$C$3000,$C422,Offers!$AI$7:$AI$3000,"yes")=0,"",(SUMIFS(Offers!$I$7:$I$3000,Offers!$B$7:$B$3000,$B422,Offers!$C$7:$C$3000,$C422,Offers!$AG$7:$AG$3000,ROUNDUP(COUNTIFS(Offers!$B$7:$B$3000,$B422,Offers!$C$7:$C$3000,$C422,Offers!$AI$7:$AI$3000,"yes")/2,0))+SUMIFS(Offers!$I$7:$I$3000,Offers!$B$7:$B$3000,$B422,Offers!$C$7:$C$3000,$C422,Offers!$AG$7:$AG$3000,INT(COUNTIFS(Offers!$B$7:$B$3000,$B422,Offers!$C$7:$C$3000,$C422,Offers!$AI$7:$AI$3000,"yes")/2)+1))/2)</f>
        <v>2.396904</v>
      </c>
      <c r="K422" s="100" t="n">
        <f aca="false">IF(COUNTIFS(Offers!$B$7:$B$3000,$B422,Offers!$C$7:$C$3000,$C422,Offers!$AI$7:$AI$3000,"yes")=0,"",SUMIFS(Offers!$I$7:$I$3000,Offers!$B$7:$B$3000,$B422,Offers!$C$7:$C$3000,$C422,Offers!$AG$7:$AG$3000,COUNTIFS(Offers!$B$7:$B$3000,$B422,Offers!$C$7:$C$3000,$C422,Offers!$AI$7:$AI$3000,"yes")))</f>
        <v>5.138659</v>
      </c>
      <c r="L422" s="96"/>
      <c r="M422" s="96"/>
      <c r="N422" s="96"/>
      <c r="O422" s="101" t="n">
        <f aca="false">IF(Compare!$E$5="Local prices",IF(F422="","",IF(Compare!$C$5="Minimum",F422,IF(Compare!$C$5="Maximum",H422,G422))),IF(I422="","",IF(Compare!$C$5="Minimum",I422,IF(Compare!$C$5="Maximum",K422,J422))))</f>
        <v>2.396904</v>
      </c>
    </row>
    <row r="423" customFormat="false" ht="13.5" hidden="false" customHeight="false" outlineLevel="0" collapsed="false">
      <c r="B423" s="36" t="s">
        <v>100</v>
      </c>
      <c r="C423" s="98" t="s">
        <v>15</v>
      </c>
      <c r="D423" s="98" t="s">
        <v>244</v>
      </c>
      <c r="E423" s="98" t="s">
        <v>491</v>
      </c>
      <c r="F423" s="99" t="n">
        <f aca="false">IF(COUNTIFS(Offers!$B$7:$B$3000,$B423,Offers!$C$7:$C$3000,$C423,Offers!$AH$7:$AH$3000,"yes")=0,"",SUMIFS(Offers!$H$7:$H$3000,Offers!$B$7:$B$3000,$B423,Offers!$C$7:$C$3000,$C423,Offers!$AF$7:$AF$3000,1))</f>
        <v>1.8</v>
      </c>
      <c r="G423" s="93" t="n">
        <f aca="false">IF(COUNTIFS(Offers!$B$7:$B$3000,$B423,Offers!$C$7:$C$3000,$C423,Offers!$AH$7:$AH$3000,"yes")=0,"",(SUMIFS(Offers!$H$7:$H$3000,Offers!$B$7:$B$3000,$B423,Offers!$C$7:$C$3000,$C423,Offers!$AF$7:$AF$3000,ROUNDUP(COUNTIFS(Offers!$B$7:$B$3000,$B423,Offers!$C$7:$C$3000,$C423,Offers!$AH$7:$AH$3000,"yes")/2,0))+SUMIFS(Offers!$H$7:$H$3000,Offers!$B$7:$B$3000,$B423,Offers!$C$7:$C$3000,$C423,Offers!$AF$7:$AF$3000,INT(COUNTIFS(Offers!$B$7:$B$3000,$B423,Offers!$C$7:$C$3000,$C423,Offers!$AH$7:$AH$3000,"yes")/2)+1))/2)</f>
        <v>4.285</v>
      </c>
      <c r="H423" s="99" t="n">
        <f aca="false">IF(COUNTIFS(Offers!$B$7:$B$3000,$B423,Offers!$C$7:$C$3000,$C423,Offers!$AH$7:$AH$3000,"yes")=0,"",SUMIFS(Offers!$H$7:$H$3000,Offers!$B$7:$B$3000,$B423,Offers!$C$7:$C$3000,$C423,Offers!$AF$7:$AF$3000,COUNTIFS(Offers!$B$7:$B$3000,$B423,Offers!$C$7:$C$3000,$C423,Offers!$AH$7:$AH$3000,"yes")))</f>
        <v>17.2</v>
      </c>
      <c r="I423" s="100" t="n">
        <f aca="false">IF(COUNTIFS(Offers!$B$7:$B$3000,$B423,Offers!$C$7:$C$3000,$C423,Offers!$AI$7:$AI$3000,"yes")=0,"",SUMIFS(Offers!$I$7:$I$3000,Offers!$B$7:$B$3000,$B423,Offers!$C$7:$C$3000,$C423,Offers!$AG$7:$AG$3000,1))</f>
        <v>1.8</v>
      </c>
      <c r="J423" s="95" t="n">
        <f aca="false">IF(COUNTIFS(Offers!$B$7:$B$3000,$B423,Offers!$C$7:$C$3000,$C423,Offers!$AI$7:$AI$3000,"yes")=0,"",(SUMIFS(Offers!$I$7:$I$3000,Offers!$B$7:$B$3000,$B423,Offers!$C$7:$C$3000,$C423,Offers!$AG$7:$AG$3000,ROUNDUP(COUNTIFS(Offers!$B$7:$B$3000,$B423,Offers!$C$7:$C$3000,$C423,Offers!$AI$7:$AI$3000,"yes")/2,0))+SUMIFS(Offers!$I$7:$I$3000,Offers!$B$7:$B$3000,$B423,Offers!$C$7:$C$3000,$C423,Offers!$AG$7:$AG$3000,INT(COUNTIFS(Offers!$B$7:$B$3000,$B423,Offers!$C$7:$C$3000,$C423,Offers!$AI$7:$AI$3000,"yes")/2)+1))/2)</f>
        <v>4.285</v>
      </c>
      <c r="K423" s="100" t="n">
        <f aca="false">IF(COUNTIFS(Offers!$B$7:$B$3000,$B423,Offers!$C$7:$C$3000,$C423,Offers!$AI$7:$AI$3000,"yes")=0,"",SUMIFS(Offers!$I$7:$I$3000,Offers!$B$7:$B$3000,$B423,Offers!$C$7:$C$3000,$C423,Offers!$AG$7:$AG$3000,COUNTIFS(Offers!$B$7:$B$3000,$B423,Offers!$C$7:$C$3000,$C423,Offers!$AI$7:$AI$3000,"yes")))</f>
        <v>17.2</v>
      </c>
      <c r="L423" s="96"/>
      <c r="M423" s="96"/>
      <c r="N423" s="96"/>
      <c r="O423" s="101" t="n">
        <f aca="false">IF(Compare!$E$5="Local prices",IF(F423="","",IF(Compare!$C$5="Minimum",F423,IF(Compare!$C$5="Maximum",H423,G423))),IF(I423="","",IF(Compare!$C$5="Minimum",I423,IF(Compare!$C$5="Maximum",K423,J423))))</f>
        <v>4.285</v>
      </c>
    </row>
    <row r="424" customFormat="false" ht="13.5" hidden="false" customHeight="false" outlineLevel="0" collapsed="false">
      <c r="B424" s="36" t="s">
        <v>100</v>
      </c>
      <c r="C424" s="98" t="s">
        <v>16</v>
      </c>
      <c r="D424" s="98" t="s">
        <v>244</v>
      </c>
      <c r="E424" s="98" t="s">
        <v>491</v>
      </c>
      <c r="F424" s="99" t="n">
        <f aca="false">IF(COUNTIFS(Offers!$B$7:$B$3000,$B424,Offers!$C$7:$C$3000,$C424,Offers!$AH$7:$AH$3000,"yes")=0,"",SUMIFS(Offers!$H$7:$H$3000,Offers!$B$7:$B$3000,$B424,Offers!$C$7:$C$3000,$C424,Offers!$AF$7:$AF$3000,1))</f>
        <v>2.5</v>
      </c>
      <c r="G424" s="93" t="n">
        <f aca="false">IF(COUNTIFS(Offers!$B$7:$B$3000,$B424,Offers!$C$7:$C$3000,$C424,Offers!$AH$7:$AH$3000,"yes")=0,"",(SUMIFS(Offers!$H$7:$H$3000,Offers!$B$7:$B$3000,$B424,Offers!$C$7:$C$3000,$C424,Offers!$AF$7:$AF$3000,ROUNDUP(COUNTIFS(Offers!$B$7:$B$3000,$B424,Offers!$C$7:$C$3000,$C424,Offers!$AH$7:$AH$3000,"yes")/2,0))+SUMIFS(Offers!$H$7:$H$3000,Offers!$B$7:$B$3000,$B424,Offers!$C$7:$C$3000,$C424,Offers!$AF$7:$AF$3000,INT(COUNTIFS(Offers!$B$7:$B$3000,$B424,Offers!$C$7:$C$3000,$C424,Offers!$AH$7:$AH$3000,"yes")/2)+1))/2)</f>
        <v>3.435</v>
      </c>
      <c r="H424" s="99" t="n">
        <f aca="false">IF(COUNTIFS(Offers!$B$7:$B$3000,$B424,Offers!$C$7:$C$3000,$C424,Offers!$AH$7:$AH$3000,"yes")=0,"",SUMIFS(Offers!$H$7:$H$3000,Offers!$B$7:$B$3000,$B424,Offers!$C$7:$C$3000,$C424,Offers!$AF$7:$AF$3000,COUNTIFS(Offers!$B$7:$B$3000,$B424,Offers!$C$7:$C$3000,$C424,Offers!$AH$7:$AH$3000,"yes")))</f>
        <v>11.1</v>
      </c>
      <c r="I424" s="100" t="n">
        <f aca="false">IF(COUNTIFS(Offers!$B$7:$B$3000,$B424,Offers!$C$7:$C$3000,$C424,Offers!$AI$7:$AI$3000,"yes")=0,"",SUMIFS(Offers!$I$7:$I$3000,Offers!$B$7:$B$3000,$B424,Offers!$C$7:$C$3000,$C424,Offers!$AG$7:$AG$3000,1))</f>
        <v>2.5</v>
      </c>
      <c r="J424" s="95" t="n">
        <f aca="false">IF(COUNTIFS(Offers!$B$7:$B$3000,$B424,Offers!$C$7:$C$3000,$C424,Offers!$AI$7:$AI$3000,"yes")=0,"",(SUMIFS(Offers!$I$7:$I$3000,Offers!$B$7:$B$3000,$B424,Offers!$C$7:$C$3000,$C424,Offers!$AG$7:$AG$3000,ROUNDUP(COUNTIFS(Offers!$B$7:$B$3000,$B424,Offers!$C$7:$C$3000,$C424,Offers!$AI$7:$AI$3000,"yes")/2,0))+SUMIFS(Offers!$I$7:$I$3000,Offers!$B$7:$B$3000,$B424,Offers!$C$7:$C$3000,$C424,Offers!$AG$7:$AG$3000,INT(COUNTIFS(Offers!$B$7:$B$3000,$B424,Offers!$C$7:$C$3000,$C424,Offers!$AI$7:$AI$3000,"yes")/2)+1))/2)</f>
        <v>3.435</v>
      </c>
      <c r="K424" s="100" t="n">
        <f aca="false">IF(COUNTIFS(Offers!$B$7:$B$3000,$B424,Offers!$C$7:$C$3000,$C424,Offers!$AI$7:$AI$3000,"yes")=0,"",SUMIFS(Offers!$I$7:$I$3000,Offers!$B$7:$B$3000,$B424,Offers!$C$7:$C$3000,$C424,Offers!$AG$7:$AG$3000,COUNTIFS(Offers!$B$7:$B$3000,$B424,Offers!$C$7:$C$3000,$C424,Offers!$AI$7:$AI$3000,"yes")))</f>
        <v>11.1</v>
      </c>
      <c r="L424" s="96"/>
      <c r="M424" s="96"/>
      <c r="N424" s="96"/>
      <c r="O424" s="101" t="n">
        <f aca="false">IF(Compare!$E$5="Local prices",IF(F424="","",IF(Compare!$C$5="Minimum",F424,IF(Compare!$C$5="Maximum",H424,G424))),IF(I424="","",IF(Compare!$C$5="Minimum",I424,IF(Compare!$C$5="Maximum",K424,J424))))</f>
        <v>3.435</v>
      </c>
    </row>
    <row r="425" customFormat="false" ht="13.5" hidden="false" customHeight="false" outlineLevel="0" collapsed="false">
      <c r="B425" s="36" t="s">
        <v>100</v>
      </c>
      <c r="C425" s="98" t="s">
        <v>17</v>
      </c>
      <c r="D425" s="98" t="s">
        <v>333</v>
      </c>
      <c r="E425" s="98" t="s">
        <v>491</v>
      </c>
      <c r="F425" s="99" t="n">
        <f aca="false">IF(COUNTIFS(Offers!$B$7:$B$3000,$B425,Offers!$C$7:$C$3000,$C425,Offers!$AH$7:$AH$3000,"yes")=0,"",SUMIFS(Offers!$H$7:$H$3000,Offers!$B$7:$B$3000,$B425,Offers!$C$7:$C$3000,$C425,Offers!$AF$7:$AF$3000,1))</f>
        <v>30.58</v>
      </c>
      <c r="G425" s="93" t="n">
        <f aca="false">IF(COUNTIFS(Offers!$B$7:$B$3000,$B425,Offers!$C$7:$C$3000,$C425,Offers!$AH$7:$AH$3000,"yes")=0,"",(SUMIFS(Offers!$H$7:$H$3000,Offers!$B$7:$B$3000,$B425,Offers!$C$7:$C$3000,$C425,Offers!$AF$7:$AF$3000,ROUNDUP(COUNTIFS(Offers!$B$7:$B$3000,$B425,Offers!$C$7:$C$3000,$C425,Offers!$AH$7:$AH$3000,"yes")/2,0))+SUMIFS(Offers!$H$7:$H$3000,Offers!$B$7:$B$3000,$B425,Offers!$C$7:$C$3000,$C425,Offers!$AF$7:$AF$3000,INT(COUNTIFS(Offers!$B$7:$B$3000,$B425,Offers!$C$7:$C$3000,$C425,Offers!$AH$7:$AH$3000,"yes")/2)+1))/2)</f>
        <v>72.73</v>
      </c>
      <c r="H425" s="99" t="n">
        <f aca="false">IF(COUNTIFS(Offers!$B$7:$B$3000,$B425,Offers!$C$7:$C$3000,$C425,Offers!$AH$7:$AH$3000,"yes")=0,"",SUMIFS(Offers!$H$7:$H$3000,Offers!$B$7:$B$3000,$B425,Offers!$C$7:$C$3000,$C425,Offers!$AF$7:$AF$3000,COUNTIFS(Offers!$B$7:$B$3000,$B425,Offers!$C$7:$C$3000,$C425,Offers!$AH$7:$AH$3000,"yes")))</f>
        <v>102</v>
      </c>
      <c r="I425" s="100" t="n">
        <f aca="false">IF(COUNTIFS(Offers!$B$7:$B$3000,$B425,Offers!$C$7:$C$3000,$C425,Offers!$AI$7:$AI$3000,"yes")=0,"",SUMIFS(Offers!$I$7:$I$3000,Offers!$B$7:$B$3000,$B425,Offers!$C$7:$C$3000,$C425,Offers!$AG$7:$AG$3000,1))</f>
        <v>1.252067</v>
      </c>
      <c r="J425" s="95" t="n">
        <f aca="false">IF(COUNTIFS(Offers!$B$7:$B$3000,$B425,Offers!$C$7:$C$3000,$C425,Offers!$AI$7:$AI$3000,"yes")=0,"",(SUMIFS(Offers!$I$7:$I$3000,Offers!$B$7:$B$3000,$B425,Offers!$C$7:$C$3000,$C425,Offers!$AG$7:$AG$3000,ROUNDUP(COUNTIFS(Offers!$B$7:$B$3000,$B425,Offers!$C$7:$C$3000,$C425,Offers!$AI$7:$AI$3000,"yes")/2,0))+SUMIFS(Offers!$I$7:$I$3000,Offers!$B$7:$B$3000,$B425,Offers!$C$7:$C$3000,$C425,Offers!$AG$7:$AG$3000,INT(COUNTIFS(Offers!$B$7:$B$3000,$B425,Offers!$C$7:$C$3000,$C425,Offers!$AI$7:$AI$3000,"yes")/2)+1))/2)</f>
        <v>2.977856</v>
      </c>
      <c r="K425" s="100" t="n">
        <f aca="false">IF(COUNTIFS(Offers!$B$7:$B$3000,$B425,Offers!$C$7:$C$3000,$C425,Offers!$AI$7:$AI$3000,"yes")=0,"",SUMIFS(Offers!$I$7:$I$3000,Offers!$B$7:$B$3000,$B425,Offers!$C$7:$C$3000,$C425,Offers!$AG$7:$AG$3000,COUNTIFS(Offers!$B$7:$B$3000,$B425,Offers!$C$7:$C$3000,$C425,Offers!$AI$7:$AI$3000,"yes")))</f>
        <v>4.176286</v>
      </c>
      <c r="L425" s="96"/>
      <c r="M425" s="96"/>
      <c r="N425" s="96"/>
      <c r="O425" s="101" t="n">
        <f aca="false">IF(Compare!$E$5="Local prices",IF(F425="","",IF(Compare!$C$5="Minimum",F425,IF(Compare!$C$5="Maximum",H425,G425))),IF(I425="","",IF(Compare!$C$5="Minimum",I425,IF(Compare!$C$5="Maximum",K425,J425))))</f>
        <v>2.977856</v>
      </c>
    </row>
    <row r="426" customFormat="false" ht="13.5" hidden="false" customHeight="false" outlineLevel="0" collapsed="false">
      <c r="B426" s="36" t="s">
        <v>100</v>
      </c>
      <c r="C426" s="98" t="s">
        <v>18</v>
      </c>
      <c r="D426" s="98" t="s">
        <v>244</v>
      </c>
      <c r="E426" s="98" t="s">
        <v>491</v>
      </c>
      <c r="F426" s="99" t="n">
        <f aca="false">IF(COUNTIFS(Offers!$B$7:$B$3000,$B426,Offers!$C$7:$C$3000,$C426,Offers!$AH$7:$AH$3000,"yes")=0,"",SUMIFS(Offers!$H$7:$H$3000,Offers!$B$7:$B$3000,$B426,Offers!$C$7:$C$3000,$C426,Offers!$AF$7:$AF$3000,1))</f>
        <v>1.36</v>
      </c>
      <c r="G426" s="93" t="n">
        <f aca="false">IF(COUNTIFS(Offers!$B$7:$B$3000,$B426,Offers!$C$7:$C$3000,$C426,Offers!$AH$7:$AH$3000,"yes")=0,"",(SUMIFS(Offers!$H$7:$H$3000,Offers!$B$7:$B$3000,$B426,Offers!$C$7:$C$3000,$C426,Offers!$AF$7:$AF$3000,ROUNDUP(COUNTIFS(Offers!$B$7:$B$3000,$B426,Offers!$C$7:$C$3000,$C426,Offers!$AH$7:$AH$3000,"yes")/2,0))+SUMIFS(Offers!$H$7:$H$3000,Offers!$B$7:$B$3000,$B426,Offers!$C$7:$C$3000,$C426,Offers!$AF$7:$AF$3000,INT(COUNTIFS(Offers!$B$7:$B$3000,$B426,Offers!$C$7:$C$3000,$C426,Offers!$AH$7:$AH$3000,"yes")/2)+1))/2)</f>
        <v>2.67</v>
      </c>
      <c r="H426" s="99" t="n">
        <f aca="false">IF(COUNTIFS(Offers!$B$7:$B$3000,$B426,Offers!$C$7:$C$3000,$C426,Offers!$AH$7:$AH$3000,"yes")=0,"",SUMIFS(Offers!$H$7:$H$3000,Offers!$B$7:$B$3000,$B426,Offers!$C$7:$C$3000,$C426,Offers!$AF$7:$AF$3000,COUNTIFS(Offers!$B$7:$B$3000,$B426,Offers!$C$7:$C$3000,$C426,Offers!$AH$7:$AH$3000,"yes")))</f>
        <v>3.37</v>
      </c>
      <c r="I426" s="100" t="n">
        <f aca="false">IF(COUNTIFS(Offers!$B$7:$B$3000,$B426,Offers!$C$7:$C$3000,$C426,Offers!$AI$7:$AI$3000,"yes")=0,"",SUMIFS(Offers!$I$7:$I$3000,Offers!$B$7:$B$3000,$B426,Offers!$C$7:$C$3000,$C426,Offers!$AG$7:$AG$3000,1))</f>
        <v>1.36</v>
      </c>
      <c r="J426" s="95" t="n">
        <f aca="false">IF(COUNTIFS(Offers!$B$7:$B$3000,$B426,Offers!$C$7:$C$3000,$C426,Offers!$AI$7:$AI$3000,"yes")=0,"",(SUMIFS(Offers!$I$7:$I$3000,Offers!$B$7:$B$3000,$B426,Offers!$C$7:$C$3000,$C426,Offers!$AG$7:$AG$3000,ROUNDUP(COUNTIFS(Offers!$B$7:$B$3000,$B426,Offers!$C$7:$C$3000,$C426,Offers!$AI$7:$AI$3000,"yes")/2,0))+SUMIFS(Offers!$I$7:$I$3000,Offers!$B$7:$B$3000,$B426,Offers!$C$7:$C$3000,$C426,Offers!$AG$7:$AG$3000,INT(COUNTIFS(Offers!$B$7:$B$3000,$B426,Offers!$C$7:$C$3000,$C426,Offers!$AI$7:$AI$3000,"yes")/2)+1))/2)</f>
        <v>2.67</v>
      </c>
      <c r="K426" s="100" t="n">
        <f aca="false">IF(COUNTIFS(Offers!$B$7:$B$3000,$B426,Offers!$C$7:$C$3000,$C426,Offers!$AI$7:$AI$3000,"yes")=0,"",SUMIFS(Offers!$I$7:$I$3000,Offers!$B$7:$B$3000,$B426,Offers!$C$7:$C$3000,$C426,Offers!$AG$7:$AG$3000,COUNTIFS(Offers!$B$7:$B$3000,$B426,Offers!$C$7:$C$3000,$C426,Offers!$AI$7:$AI$3000,"yes")))</f>
        <v>3.37</v>
      </c>
      <c r="L426" s="96"/>
      <c r="M426" s="96"/>
      <c r="N426" s="96"/>
      <c r="O426" s="101" t="n">
        <f aca="false">IF(Compare!$E$5="Local prices",IF(F426="","",IF(Compare!$C$5="Minimum",F426,IF(Compare!$C$5="Maximum",H426,G426))),IF(I426="","",IF(Compare!$C$5="Minimum",I426,IF(Compare!$C$5="Maximum",K426,J426))))</f>
        <v>2.67</v>
      </c>
    </row>
    <row r="427" customFormat="false" ht="13.5" hidden="false" customHeight="false" outlineLevel="0" collapsed="false">
      <c r="B427" s="36" t="s">
        <v>101</v>
      </c>
      <c r="C427" s="98" t="s">
        <v>13</v>
      </c>
      <c r="D427" s="98" t="s">
        <v>490</v>
      </c>
      <c r="E427" s="98" t="s">
        <v>491</v>
      </c>
      <c r="F427" s="99" t="str">
        <f aca="false">IF(COUNTIFS(Offers!$B$7:$B$3000,$B427,Offers!$C$7:$C$3000,$C427,Offers!$AH$7:$AH$3000,"yes")=0,"",SUMIFS(Offers!$H$7:$H$3000,Offers!$B$7:$B$3000,$B427,Offers!$C$7:$C$3000,$C427,Offers!$AF$7:$AF$3000,1))</f>
        <v/>
      </c>
      <c r="G427" s="93" t="str">
        <f aca="false">IF(COUNTIFS(Offers!$B$7:$B$3000,$B427,Offers!$C$7:$C$3000,$C427,Offers!$AH$7:$AH$3000,"yes")=0,"",(SUMIFS(Offers!$H$7:$H$3000,Offers!$B$7:$B$3000,$B427,Offers!$C$7:$C$3000,$C427,Offers!$AF$7:$AF$3000,ROUNDUP(COUNTIFS(Offers!$B$7:$B$3000,$B427,Offers!$C$7:$C$3000,$C427,Offers!$AH$7:$AH$3000,"yes")/2,0))+SUMIFS(Offers!$H$7:$H$3000,Offers!$B$7:$B$3000,$B427,Offers!$C$7:$C$3000,$C427,Offers!$AF$7:$AF$3000,INT(COUNTIFS(Offers!$B$7:$B$3000,$B427,Offers!$C$7:$C$3000,$C427,Offers!$AH$7:$AH$3000,"yes")/2)+1))/2)</f>
        <v/>
      </c>
      <c r="H427" s="99" t="str">
        <f aca="false">IF(COUNTIFS(Offers!$B$7:$B$3000,$B427,Offers!$C$7:$C$3000,$C427,Offers!$AH$7:$AH$3000,"yes")=0,"",SUMIFS(Offers!$H$7:$H$3000,Offers!$B$7:$B$3000,$B427,Offers!$C$7:$C$3000,$C427,Offers!$AF$7:$AF$3000,COUNTIFS(Offers!$B$7:$B$3000,$B427,Offers!$C$7:$C$3000,$C427,Offers!$AH$7:$AH$3000,"yes")))</f>
        <v/>
      </c>
      <c r="I427" s="100" t="str">
        <f aca="false">IF(COUNTIFS(Offers!$B$7:$B$3000,$B427,Offers!$C$7:$C$3000,$C427,Offers!$AI$7:$AI$3000,"yes")=0,"",SUMIFS(Offers!$I$7:$I$3000,Offers!$B$7:$B$3000,$B427,Offers!$C$7:$C$3000,$C427,Offers!$AG$7:$AG$3000,1))</f>
        <v/>
      </c>
      <c r="J427" s="95" t="str">
        <f aca="false">IF(COUNTIFS(Offers!$B$7:$B$3000,$B427,Offers!$C$7:$C$3000,$C427,Offers!$AI$7:$AI$3000,"yes")=0,"",(SUMIFS(Offers!$I$7:$I$3000,Offers!$B$7:$B$3000,$B427,Offers!$C$7:$C$3000,$C427,Offers!$AG$7:$AG$3000,ROUNDUP(COUNTIFS(Offers!$B$7:$B$3000,$B427,Offers!$C$7:$C$3000,$C427,Offers!$AI$7:$AI$3000,"yes")/2,0))+SUMIFS(Offers!$I$7:$I$3000,Offers!$B$7:$B$3000,$B427,Offers!$C$7:$C$3000,$C427,Offers!$AG$7:$AG$3000,INT(COUNTIFS(Offers!$B$7:$B$3000,$B427,Offers!$C$7:$C$3000,$C427,Offers!$AI$7:$AI$3000,"yes")/2)+1))/2)</f>
        <v/>
      </c>
      <c r="K427" s="100" t="str">
        <f aca="false">IF(COUNTIFS(Offers!$B$7:$B$3000,$B427,Offers!$C$7:$C$3000,$C427,Offers!$AI$7:$AI$3000,"yes")=0,"",SUMIFS(Offers!$I$7:$I$3000,Offers!$B$7:$B$3000,$B427,Offers!$C$7:$C$3000,$C427,Offers!$AG$7:$AG$3000,COUNTIFS(Offers!$B$7:$B$3000,$B427,Offers!$C$7:$C$3000,$C427,Offers!$AI$7:$AI$3000,"yes")))</f>
        <v/>
      </c>
      <c r="L427" s="96"/>
      <c r="M427" s="96"/>
      <c r="N427" s="96"/>
      <c r="O427" s="110" t="str">
        <f aca="false">IF(Compare!$E$5="Local prices",IF(F427="","",IF(Compare!$C$5="Minimum",F427,IF(Compare!$C$5="Maximum",H427,G427))),IF(I427="","",IF(Compare!$C$5="Minimum",I427,IF(Compare!$C$5="Maximum",K427,J427))))</f>
        <v/>
      </c>
    </row>
    <row r="428" customFormat="false" ht="13.5" hidden="false" customHeight="false" outlineLevel="0" collapsed="false">
      <c r="B428" s="36" t="s">
        <v>101</v>
      </c>
      <c r="C428" s="98" t="s">
        <v>14</v>
      </c>
      <c r="D428" s="98" t="s">
        <v>374</v>
      </c>
      <c r="E428" s="98" t="s">
        <v>491</v>
      </c>
      <c r="F428" s="99" t="n">
        <f aca="false">IF(COUNTIFS(Offers!$B$7:$B$3000,$B428,Offers!$C$7:$C$3000,$C428,Offers!$AH$7:$AH$3000,"yes")=0,"",SUMIFS(Offers!$H$7:$H$3000,Offers!$B$7:$B$3000,$B428,Offers!$C$7:$C$3000,$C428,Offers!$AF$7:$AF$3000,1))</f>
        <v>10.17</v>
      </c>
      <c r="G428" s="93" t="n">
        <f aca="false">IF(COUNTIFS(Offers!$B$7:$B$3000,$B428,Offers!$C$7:$C$3000,$C428,Offers!$AH$7:$AH$3000,"yes")=0,"",(SUMIFS(Offers!$H$7:$H$3000,Offers!$B$7:$B$3000,$B428,Offers!$C$7:$C$3000,$C428,Offers!$AF$7:$AF$3000,ROUNDUP(COUNTIFS(Offers!$B$7:$B$3000,$B428,Offers!$C$7:$C$3000,$C428,Offers!$AH$7:$AH$3000,"yes")/2,0))+SUMIFS(Offers!$H$7:$H$3000,Offers!$B$7:$B$3000,$B428,Offers!$C$7:$C$3000,$C428,Offers!$AF$7:$AF$3000,INT(COUNTIFS(Offers!$B$7:$B$3000,$B428,Offers!$C$7:$C$3000,$C428,Offers!$AH$7:$AH$3000,"yes")/2)+1))/2)</f>
        <v>23.25</v>
      </c>
      <c r="H428" s="99" t="n">
        <f aca="false">IF(COUNTIFS(Offers!$B$7:$B$3000,$B428,Offers!$C$7:$C$3000,$C428,Offers!$AH$7:$AH$3000,"yes")=0,"",SUMIFS(Offers!$H$7:$H$3000,Offers!$B$7:$B$3000,$B428,Offers!$C$7:$C$3000,$C428,Offers!$AF$7:$AF$3000,COUNTIFS(Offers!$B$7:$B$3000,$B428,Offers!$C$7:$C$3000,$C428,Offers!$AH$7:$AH$3000,"yes")))</f>
        <v>34.99</v>
      </c>
      <c r="I428" s="100" t="n">
        <f aca="false">IF(COUNTIFS(Offers!$B$7:$B$3000,$B428,Offers!$C$7:$C$3000,$C428,Offers!$AI$7:$AI$3000,"yes")=0,"",SUMIFS(Offers!$I$7:$I$3000,Offers!$B$7:$B$3000,$B428,Offers!$C$7:$C$3000,$C428,Offers!$AG$7:$AG$3000,1))</f>
        <v>1.926997</v>
      </c>
      <c r="J428" s="95" t="n">
        <f aca="false">IF(COUNTIFS(Offers!$B$7:$B$3000,$B428,Offers!$C$7:$C$3000,$C428,Offers!$AI$7:$AI$3000,"yes")=0,"",(SUMIFS(Offers!$I$7:$I$3000,Offers!$B$7:$B$3000,$B428,Offers!$C$7:$C$3000,$C428,Offers!$AG$7:$AG$3000,ROUNDUP(COUNTIFS(Offers!$B$7:$B$3000,$B428,Offers!$C$7:$C$3000,$C428,Offers!$AI$7:$AI$3000,"yes")/2,0))+SUMIFS(Offers!$I$7:$I$3000,Offers!$B$7:$B$3000,$B428,Offers!$C$7:$C$3000,$C428,Offers!$AG$7:$AG$3000,INT(COUNTIFS(Offers!$B$7:$B$3000,$B428,Offers!$C$7:$C$3000,$C428,Offers!$AI$7:$AI$3000,"yes")/2)+1))/2)</f>
        <v>4.405377</v>
      </c>
      <c r="K428" s="100" t="n">
        <f aca="false">IF(COUNTIFS(Offers!$B$7:$B$3000,$B428,Offers!$C$7:$C$3000,$C428,Offers!$AI$7:$AI$3000,"yes")=0,"",SUMIFS(Offers!$I$7:$I$3000,Offers!$B$7:$B$3000,$B428,Offers!$C$7:$C$3000,$C428,Offers!$AG$7:$AG$3000,COUNTIFS(Offers!$B$7:$B$3000,$B428,Offers!$C$7:$C$3000,$C428,Offers!$AI$7:$AI$3000,"yes")))</f>
        <v>6.629855</v>
      </c>
      <c r="L428" s="96"/>
      <c r="M428" s="96"/>
      <c r="N428" s="96"/>
      <c r="O428" s="101" t="n">
        <f aca="false">IF(Compare!$E$5="Local prices",IF(F428="","",IF(Compare!$C$5="Minimum",F428,IF(Compare!$C$5="Maximum",H428,G428))),IF(I428="","",IF(Compare!$C$5="Minimum",I428,IF(Compare!$C$5="Maximum",K428,J428))))</f>
        <v>4.405377</v>
      </c>
    </row>
    <row r="429" customFormat="false" ht="13.5" hidden="false" customHeight="false" outlineLevel="0" collapsed="false">
      <c r="B429" s="36" t="s">
        <v>101</v>
      </c>
      <c r="C429" s="98" t="s">
        <v>15</v>
      </c>
      <c r="D429" s="98" t="s">
        <v>244</v>
      </c>
      <c r="E429" s="98" t="s">
        <v>491</v>
      </c>
      <c r="F429" s="99" t="n">
        <f aca="false">IF(COUNTIFS(Offers!$B$7:$B$3000,$B429,Offers!$C$7:$C$3000,$C429,Offers!$AH$7:$AH$3000,"yes")=0,"",SUMIFS(Offers!$H$7:$H$3000,Offers!$B$7:$B$3000,$B429,Offers!$C$7:$C$3000,$C429,Offers!$AF$7:$AF$3000,1))</f>
        <v>4.08</v>
      </c>
      <c r="G429" s="93" t="n">
        <f aca="false">IF(COUNTIFS(Offers!$B$7:$B$3000,$B429,Offers!$C$7:$C$3000,$C429,Offers!$AH$7:$AH$3000,"yes")=0,"",(SUMIFS(Offers!$H$7:$H$3000,Offers!$B$7:$B$3000,$B429,Offers!$C$7:$C$3000,$C429,Offers!$AF$7:$AF$3000,ROUNDUP(COUNTIFS(Offers!$B$7:$B$3000,$B429,Offers!$C$7:$C$3000,$C429,Offers!$AH$7:$AH$3000,"yes")/2,0))+SUMIFS(Offers!$H$7:$H$3000,Offers!$B$7:$B$3000,$B429,Offers!$C$7:$C$3000,$C429,Offers!$AF$7:$AF$3000,INT(COUNTIFS(Offers!$B$7:$B$3000,$B429,Offers!$C$7:$C$3000,$C429,Offers!$AH$7:$AH$3000,"yes")/2)+1))/2)</f>
        <v>5.145</v>
      </c>
      <c r="H429" s="99" t="n">
        <f aca="false">IF(COUNTIFS(Offers!$B$7:$B$3000,$B429,Offers!$C$7:$C$3000,$C429,Offers!$AH$7:$AH$3000,"yes")=0,"",SUMIFS(Offers!$H$7:$H$3000,Offers!$B$7:$B$3000,$B429,Offers!$C$7:$C$3000,$C429,Offers!$AF$7:$AF$3000,COUNTIFS(Offers!$B$7:$B$3000,$B429,Offers!$C$7:$C$3000,$C429,Offers!$AH$7:$AH$3000,"yes")))</f>
        <v>18.4</v>
      </c>
      <c r="I429" s="100" t="n">
        <f aca="false">IF(COUNTIFS(Offers!$B$7:$B$3000,$B429,Offers!$C$7:$C$3000,$C429,Offers!$AI$7:$AI$3000,"yes")=0,"",SUMIFS(Offers!$I$7:$I$3000,Offers!$B$7:$B$3000,$B429,Offers!$C$7:$C$3000,$C429,Offers!$AG$7:$AG$3000,1))</f>
        <v>4.08</v>
      </c>
      <c r="J429" s="95" t="n">
        <f aca="false">IF(COUNTIFS(Offers!$B$7:$B$3000,$B429,Offers!$C$7:$C$3000,$C429,Offers!$AI$7:$AI$3000,"yes")=0,"",(SUMIFS(Offers!$I$7:$I$3000,Offers!$B$7:$B$3000,$B429,Offers!$C$7:$C$3000,$C429,Offers!$AG$7:$AG$3000,ROUNDUP(COUNTIFS(Offers!$B$7:$B$3000,$B429,Offers!$C$7:$C$3000,$C429,Offers!$AI$7:$AI$3000,"yes")/2,0))+SUMIFS(Offers!$I$7:$I$3000,Offers!$B$7:$B$3000,$B429,Offers!$C$7:$C$3000,$C429,Offers!$AG$7:$AG$3000,INT(COUNTIFS(Offers!$B$7:$B$3000,$B429,Offers!$C$7:$C$3000,$C429,Offers!$AI$7:$AI$3000,"yes")/2)+1))/2)</f>
        <v>5.145</v>
      </c>
      <c r="K429" s="100" t="n">
        <f aca="false">IF(COUNTIFS(Offers!$B$7:$B$3000,$B429,Offers!$C$7:$C$3000,$C429,Offers!$AI$7:$AI$3000,"yes")=0,"",SUMIFS(Offers!$I$7:$I$3000,Offers!$B$7:$B$3000,$B429,Offers!$C$7:$C$3000,$C429,Offers!$AG$7:$AG$3000,COUNTIFS(Offers!$B$7:$B$3000,$B429,Offers!$C$7:$C$3000,$C429,Offers!$AI$7:$AI$3000,"yes")))</f>
        <v>18.4</v>
      </c>
      <c r="L429" s="96"/>
      <c r="M429" s="96"/>
      <c r="N429" s="96"/>
      <c r="O429" s="101" t="n">
        <f aca="false">IF(Compare!$E$5="Local prices",IF(F429="","",IF(Compare!$C$5="Minimum",F429,IF(Compare!$C$5="Maximum",H429,G429))),IF(I429="","",IF(Compare!$C$5="Minimum",I429,IF(Compare!$C$5="Maximum",K429,J429))))</f>
        <v>5.145</v>
      </c>
    </row>
    <row r="430" customFormat="false" ht="13.5" hidden="false" customHeight="false" outlineLevel="0" collapsed="false">
      <c r="B430" s="36" t="s">
        <v>101</v>
      </c>
      <c r="C430" s="98" t="s">
        <v>16</v>
      </c>
      <c r="D430" s="98" t="s">
        <v>244</v>
      </c>
      <c r="E430" s="98" t="s">
        <v>491</v>
      </c>
      <c r="F430" s="99" t="n">
        <f aca="false">IF(COUNTIFS(Offers!$B$7:$B$3000,$B430,Offers!$C$7:$C$3000,$C430,Offers!$AH$7:$AH$3000,"yes")=0,"",SUMIFS(Offers!$H$7:$H$3000,Offers!$B$7:$B$3000,$B430,Offers!$C$7:$C$3000,$C430,Offers!$AF$7:$AF$3000,1))</f>
        <v>3.92</v>
      </c>
      <c r="G430" s="93" t="n">
        <f aca="false">IF(COUNTIFS(Offers!$B$7:$B$3000,$B430,Offers!$C$7:$C$3000,$C430,Offers!$AH$7:$AH$3000,"yes")=0,"",(SUMIFS(Offers!$H$7:$H$3000,Offers!$B$7:$B$3000,$B430,Offers!$C$7:$C$3000,$C430,Offers!$AF$7:$AF$3000,ROUNDUP(COUNTIFS(Offers!$B$7:$B$3000,$B430,Offers!$C$7:$C$3000,$C430,Offers!$AH$7:$AH$3000,"yes")/2,0))+SUMIFS(Offers!$H$7:$H$3000,Offers!$B$7:$B$3000,$B430,Offers!$C$7:$C$3000,$C430,Offers!$AF$7:$AF$3000,INT(COUNTIFS(Offers!$B$7:$B$3000,$B430,Offers!$C$7:$C$3000,$C430,Offers!$AH$7:$AH$3000,"yes")/2)+1))/2)</f>
        <v>5.79</v>
      </c>
      <c r="H430" s="99" t="n">
        <f aca="false">IF(COUNTIFS(Offers!$B$7:$B$3000,$B430,Offers!$C$7:$C$3000,$C430,Offers!$AH$7:$AH$3000,"yes")=0,"",SUMIFS(Offers!$H$7:$H$3000,Offers!$B$7:$B$3000,$B430,Offers!$C$7:$C$3000,$C430,Offers!$AF$7:$AF$3000,COUNTIFS(Offers!$B$7:$B$3000,$B430,Offers!$C$7:$C$3000,$C430,Offers!$AH$7:$AH$3000,"yes")))</f>
        <v>7.5</v>
      </c>
      <c r="I430" s="100" t="n">
        <f aca="false">IF(COUNTIFS(Offers!$B$7:$B$3000,$B430,Offers!$C$7:$C$3000,$C430,Offers!$AI$7:$AI$3000,"yes")=0,"",SUMIFS(Offers!$I$7:$I$3000,Offers!$B$7:$B$3000,$B430,Offers!$C$7:$C$3000,$C430,Offers!$AG$7:$AG$3000,1))</f>
        <v>3.92</v>
      </c>
      <c r="J430" s="95" t="n">
        <f aca="false">IF(COUNTIFS(Offers!$B$7:$B$3000,$B430,Offers!$C$7:$C$3000,$C430,Offers!$AI$7:$AI$3000,"yes")=0,"",(SUMIFS(Offers!$I$7:$I$3000,Offers!$B$7:$B$3000,$B430,Offers!$C$7:$C$3000,$C430,Offers!$AG$7:$AG$3000,ROUNDUP(COUNTIFS(Offers!$B$7:$B$3000,$B430,Offers!$C$7:$C$3000,$C430,Offers!$AI$7:$AI$3000,"yes")/2,0))+SUMIFS(Offers!$I$7:$I$3000,Offers!$B$7:$B$3000,$B430,Offers!$C$7:$C$3000,$C430,Offers!$AG$7:$AG$3000,INT(COUNTIFS(Offers!$B$7:$B$3000,$B430,Offers!$C$7:$C$3000,$C430,Offers!$AI$7:$AI$3000,"yes")/2)+1))/2)</f>
        <v>5.79</v>
      </c>
      <c r="K430" s="100" t="n">
        <f aca="false">IF(COUNTIFS(Offers!$B$7:$B$3000,$B430,Offers!$C$7:$C$3000,$C430,Offers!$AI$7:$AI$3000,"yes")=0,"",SUMIFS(Offers!$I$7:$I$3000,Offers!$B$7:$B$3000,$B430,Offers!$C$7:$C$3000,$C430,Offers!$AG$7:$AG$3000,COUNTIFS(Offers!$B$7:$B$3000,$B430,Offers!$C$7:$C$3000,$C430,Offers!$AI$7:$AI$3000,"yes")))</f>
        <v>7.5</v>
      </c>
      <c r="L430" s="96"/>
      <c r="M430" s="96"/>
      <c r="N430" s="96"/>
      <c r="O430" s="101" t="n">
        <f aca="false">IF(Compare!$E$5="Local prices",IF(F430="","",IF(Compare!$C$5="Minimum",F430,IF(Compare!$C$5="Maximum",H430,G430))),IF(I430="","",IF(Compare!$C$5="Minimum",I430,IF(Compare!$C$5="Maximum",K430,J430))))</f>
        <v>5.79</v>
      </c>
    </row>
    <row r="431" customFormat="false" ht="13.5" hidden="false" customHeight="false" outlineLevel="0" collapsed="false">
      <c r="B431" s="36" t="s">
        <v>101</v>
      </c>
      <c r="C431" s="98" t="s">
        <v>17</v>
      </c>
      <c r="D431" s="98" t="s">
        <v>333</v>
      </c>
      <c r="E431" s="98" t="s">
        <v>491</v>
      </c>
      <c r="F431" s="99" t="n">
        <f aca="false">IF(COUNTIFS(Offers!$B$7:$B$3000,$B431,Offers!$C$7:$C$3000,$C431,Offers!$AH$7:$AH$3000,"yes")=0,"",SUMIFS(Offers!$H$7:$H$3000,Offers!$B$7:$B$3000,$B431,Offers!$C$7:$C$3000,$C431,Offers!$AF$7:$AF$3000,1))</f>
        <v>97.34</v>
      </c>
      <c r="G431" s="93" t="n">
        <f aca="false">IF(COUNTIFS(Offers!$B$7:$B$3000,$B431,Offers!$C$7:$C$3000,$C431,Offers!$AH$7:$AH$3000,"yes")=0,"",(SUMIFS(Offers!$H$7:$H$3000,Offers!$B$7:$B$3000,$B431,Offers!$C$7:$C$3000,$C431,Offers!$AF$7:$AF$3000,ROUNDUP(COUNTIFS(Offers!$B$7:$B$3000,$B431,Offers!$C$7:$C$3000,$C431,Offers!$AH$7:$AH$3000,"yes")/2,0))+SUMIFS(Offers!$H$7:$H$3000,Offers!$B$7:$B$3000,$B431,Offers!$C$7:$C$3000,$C431,Offers!$AF$7:$AF$3000,INT(COUNTIFS(Offers!$B$7:$B$3000,$B431,Offers!$C$7:$C$3000,$C431,Offers!$AH$7:$AH$3000,"yes")/2)+1))/2)</f>
        <v>151.9</v>
      </c>
      <c r="H431" s="99" t="n">
        <f aca="false">IF(COUNTIFS(Offers!$B$7:$B$3000,$B431,Offers!$C$7:$C$3000,$C431,Offers!$AH$7:$AH$3000,"yes")=0,"",SUMIFS(Offers!$H$7:$H$3000,Offers!$B$7:$B$3000,$B431,Offers!$C$7:$C$3000,$C431,Offers!$AF$7:$AF$3000,COUNTIFS(Offers!$B$7:$B$3000,$B431,Offers!$C$7:$C$3000,$C431,Offers!$AH$7:$AH$3000,"yes")))</f>
        <v>172</v>
      </c>
      <c r="I431" s="100" t="n">
        <f aca="false">IF(COUNTIFS(Offers!$B$7:$B$3000,$B431,Offers!$C$7:$C$3000,$C431,Offers!$AI$7:$AI$3000,"yes")=0,"",SUMIFS(Offers!$I$7:$I$3000,Offers!$B$7:$B$3000,$B431,Offers!$C$7:$C$3000,$C431,Offers!$AG$7:$AG$3000,1))</f>
        <v>3.985487</v>
      </c>
      <c r="J431" s="95" t="n">
        <f aca="false">IF(COUNTIFS(Offers!$B$7:$B$3000,$B431,Offers!$C$7:$C$3000,$C431,Offers!$AI$7:$AI$3000,"yes")=0,"",(SUMIFS(Offers!$I$7:$I$3000,Offers!$B$7:$B$3000,$B431,Offers!$C$7:$C$3000,$C431,Offers!$AG$7:$AG$3000,ROUNDUP(COUNTIFS(Offers!$B$7:$B$3000,$B431,Offers!$C$7:$C$3000,$C431,Offers!$AI$7:$AI$3000,"yes")/2,0))+SUMIFS(Offers!$I$7:$I$3000,Offers!$B$7:$B$3000,$B431,Offers!$C$7:$C$3000,$C431,Offers!$AG$7:$AG$3000,INT(COUNTIFS(Offers!$B$7:$B$3000,$B431,Offers!$C$7:$C$3000,$C431,Offers!$AI$7:$AI$3000,"yes")/2)+1))/2)</f>
        <v>6.2193905</v>
      </c>
      <c r="K431" s="100" t="n">
        <f aca="false">IF(COUNTIFS(Offers!$B$7:$B$3000,$B431,Offers!$C$7:$C$3000,$C431,Offers!$AI$7:$AI$3000,"yes")=0,"",SUMIFS(Offers!$I$7:$I$3000,Offers!$B$7:$B$3000,$B431,Offers!$C$7:$C$3000,$C431,Offers!$AG$7:$AG$3000,COUNTIFS(Offers!$B$7:$B$3000,$B431,Offers!$C$7:$C$3000,$C431,Offers!$AI$7:$AI$3000,"yes")))</f>
        <v>7.042364</v>
      </c>
      <c r="L431" s="96"/>
      <c r="M431" s="96"/>
      <c r="N431" s="96"/>
      <c r="O431" s="101" t="n">
        <f aca="false">IF(Compare!$E$5="Local prices",IF(F431="","",IF(Compare!$C$5="Minimum",F431,IF(Compare!$C$5="Maximum",H431,G431))),IF(I431="","",IF(Compare!$C$5="Minimum",I431,IF(Compare!$C$5="Maximum",K431,J431))))</f>
        <v>6.2193905</v>
      </c>
    </row>
    <row r="432" customFormat="false" ht="13.5" hidden="false" customHeight="false" outlineLevel="0" collapsed="false">
      <c r="B432" s="36" t="s">
        <v>101</v>
      </c>
      <c r="C432" s="98" t="s">
        <v>18</v>
      </c>
      <c r="D432" s="98" t="s">
        <v>244</v>
      </c>
      <c r="E432" s="98" t="s">
        <v>491</v>
      </c>
      <c r="F432" s="99" t="n">
        <f aca="false">IF(COUNTIFS(Offers!$B$7:$B$3000,$B432,Offers!$C$7:$C$3000,$C432,Offers!$AH$7:$AH$3000,"yes")=0,"",SUMIFS(Offers!$H$7:$H$3000,Offers!$B$7:$B$3000,$B432,Offers!$C$7:$C$3000,$C432,Offers!$AF$7:$AF$3000,1))</f>
        <v>3.06</v>
      </c>
      <c r="G432" s="93" t="n">
        <f aca="false">IF(COUNTIFS(Offers!$B$7:$B$3000,$B432,Offers!$C$7:$C$3000,$C432,Offers!$AH$7:$AH$3000,"yes")=0,"",(SUMIFS(Offers!$H$7:$H$3000,Offers!$B$7:$B$3000,$B432,Offers!$C$7:$C$3000,$C432,Offers!$AF$7:$AF$3000,ROUNDUP(COUNTIFS(Offers!$B$7:$B$3000,$B432,Offers!$C$7:$C$3000,$C432,Offers!$AH$7:$AH$3000,"yes")/2,0))+SUMIFS(Offers!$H$7:$H$3000,Offers!$B$7:$B$3000,$B432,Offers!$C$7:$C$3000,$C432,Offers!$AF$7:$AF$3000,INT(COUNTIFS(Offers!$B$7:$B$3000,$B432,Offers!$C$7:$C$3000,$C432,Offers!$AH$7:$AH$3000,"yes")/2)+1))/2)</f>
        <v>4.05</v>
      </c>
      <c r="H432" s="99" t="n">
        <f aca="false">IF(COUNTIFS(Offers!$B$7:$B$3000,$B432,Offers!$C$7:$C$3000,$C432,Offers!$AH$7:$AH$3000,"yes")=0,"",SUMIFS(Offers!$H$7:$H$3000,Offers!$B$7:$B$3000,$B432,Offers!$C$7:$C$3000,$C432,Offers!$AF$7:$AF$3000,COUNTIFS(Offers!$B$7:$B$3000,$B432,Offers!$C$7:$C$3000,$C432,Offers!$AH$7:$AH$3000,"yes")))</f>
        <v>6.3</v>
      </c>
      <c r="I432" s="100" t="n">
        <f aca="false">IF(COUNTIFS(Offers!$B$7:$B$3000,$B432,Offers!$C$7:$C$3000,$C432,Offers!$AI$7:$AI$3000,"yes")=0,"",SUMIFS(Offers!$I$7:$I$3000,Offers!$B$7:$B$3000,$B432,Offers!$C$7:$C$3000,$C432,Offers!$AG$7:$AG$3000,1))</f>
        <v>3.06</v>
      </c>
      <c r="J432" s="95" t="n">
        <f aca="false">IF(COUNTIFS(Offers!$B$7:$B$3000,$B432,Offers!$C$7:$C$3000,$C432,Offers!$AI$7:$AI$3000,"yes")=0,"",(SUMIFS(Offers!$I$7:$I$3000,Offers!$B$7:$B$3000,$B432,Offers!$C$7:$C$3000,$C432,Offers!$AG$7:$AG$3000,ROUNDUP(COUNTIFS(Offers!$B$7:$B$3000,$B432,Offers!$C$7:$C$3000,$C432,Offers!$AI$7:$AI$3000,"yes")/2,0))+SUMIFS(Offers!$I$7:$I$3000,Offers!$B$7:$B$3000,$B432,Offers!$C$7:$C$3000,$C432,Offers!$AG$7:$AG$3000,INT(COUNTIFS(Offers!$B$7:$B$3000,$B432,Offers!$C$7:$C$3000,$C432,Offers!$AI$7:$AI$3000,"yes")/2)+1))/2)</f>
        <v>4.05</v>
      </c>
      <c r="K432" s="100" t="n">
        <f aca="false">IF(COUNTIFS(Offers!$B$7:$B$3000,$B432,Offers!$C$7:$C$3000,$C432,Offers!$AI$7:$AI$3000,"yes")=0,"",SUMIFS(Offers!$I$7:$I$3000,Offers!$B$7:$B$3000,$B432,Offers!$C$7:$C$3000,$C432,Offers!$AG$7:$AG$3000,COUNTIFS(Offers!$B$7:$B$3000,$B432,Offers!$C$7:$C$3000,$C432,Offers!$AI$7:$AI$3000,"yes")))</f>
        <v>6.3</v>
      </c>
      <c r="L432" s="96"/>
      <c r="M432" s="96"/>
      <c r="N432" s="96"/>
      <c r="O432" s="101" t="n">
        <f aca="false">IF(Compare!$E$5="Local prices",IF(F432="","",IF(Compare!$C$5="Minimum",F432,IF(Compare!$C$5="Maximum",H432,G432))),IF(I432="","",IF(Compare!$C$5="Minimum",I432,IF(Compare!$C$5="Maximum",K432,J432))))</f>
        <v>4.05</v>
      </c>
    </row>
    <row r="433" customFormat="false" ht="13.5" hidden="false" customHeight="false" outlineLevel="0" collapsed="false">
      <c r="B433" s="36" t="s">
        <v>102</v>
      </c>
      <c r="C433" s="98" t="s">
        <v>13</v>
      </c>
      <c r="D433" s="98" t="s">
        <v>490</v>
      </c>
      <c r="E433" s="98" t="s">
        <v>491</v>
      </c>
      <c r="F433" s="99" t="str">
        <f aca="false">IF(COUNTIFS(Offers!$B$7:$B$3000,$B433,Offers!$C$7:$C$3000,$C433,Offers!$AH$7:$AH$3000,"yes")=0,"",SUMIFS(Offers!$H$7:$H$3000,Offers!$B$7:$B$3000,$B433,Offers!$C$7:$C$3000,$C433,Offers!$AF$7:$AF$3000,1))</f>
        <v/>
      </c>
      <c r="G433" s="93" t="str">
        <f aca="false">IF(COUNTIFS(Offers!$B$7:$B$3000,$B433,Offers!$C$7:$C$3000,$C433,Offers!$AH$7:$AH$3000,"yes")=0,"",(SUMIFS(Offers!$H$7:$H$3000,Offers!$B$7:$B$3000,$B433,Offers!$C$7:$C$3000,$C433,Offers!$AF$7:$AF$3000,ROUNDUP(COUNTIFS(Offers!$B$7:$B$3000,$B433,Offers!$C$7:$C$3000,$C433,Offers!$AH$7:$AH$3000,"yes")/2,0))+SUMIFS(Offers!$H$7:$H$3000,Offers!$B$7:$B$3000,$B433,Offers!$C$7:$C$3000,$C433,Offers!$AF$7:$AF$3000,INT(COUNTIFS(Offers!$B$7:$B$3000,$B433,Offers!$C$7:$C$3000,$C433,Offers!$AH$7:$AH$3000,"yes")/2)+1))/2)</f>
        <v/>
      </c>
      <c r="H433" s="99" t="str">
        <f aca="false">IF(COUNTIFS(Offers!$B$7:$B$3000,$B433,Offers!$C$7:$C$3000,$C433,Offers!$AH$7:$AH$3000,"yes")=0,"",SUMIFS(Offers!$H$7:$H$3000,Offers!$B$7:$B$3000,$B433,Offers!$C$7:$C$3000,$C433,Offers!$AF$7:$AF$3000,COUNTIFS(Offers!$B$7:$B$3000,$B433,Offers!$C$7:$C$3000,$C433,Offers!$AH$7:$AH$3000,"yes")))</f>
        <v/>
      </c>
      <c r="I433" s="100" t="str">
        <f aca="false">IF(COUNTIFS(Offers!$B$7:$B$3000,$B433,Offers!$C$7:$C$3000,$C433,Offers!$AI$7:$AI$3000,"yes")=0,"",SUMIFS(Offers!$I$7:$I$3000,Offers!$B$7:$B$3000,$B433,Offers!$C$7:$C$3000,$C433,Offers!$AG$7:$AG$3000,1))</f>
        <v/>
      </c>
      <c r="J433" s="95" t="str">
        <f aca="false">IF(COUNTIFS(Offers!$B$7:$B$3000,$B433,Offers!$C$7:$C$3000,$C433,Offers!$AI$7:$AI$3000,"yes")=0,"",(SUMIFS(Offers!$I$7:$I$3000,Offers!$B$7:$B$3000,$B433,Offers!$C$7:$C$3000,$C433,Offers!$AG$7:$AG$3000,ROUNDUP(COUNTIFS(Offers!$B$7:$B$3000,$B433,Offers!$C$7:$C$3000,$C433,Offers!$AI$7:$AI$3000,"yes")/2,0))+SUMIFS(Offers!$I$7:$I$3000,Offers!$B$7:$B$3000,$B433,Offers!$C$7:$C$3000,$C433,Offers!$AG$7:$AG$3000,INT(COUNTIFS(Offers!$B$7:$B$3000,$B433,Offers!$C$7:$C$3000,$C433,Offers!$AI$7:$AI$3000,"yes")/2)+1))/2)</f>
        <v/>
      </c>
      <c r="K433" s="100" t="str">
        <f aca="false">IF(COUNTIFS(Offers!$B$7:$B$3000,$B433,Offers!$C$7:$C$3000,$C433,Offers!$AI$7:$AI$3000,"yes")=0,"",SUMIFS(Offers!$I$7:$I$3000,Offers!$B$7:$B$3000,$B433,Offers!$C$7:$C$3000,$C433,Offers!$AG$7:$AG$3000,COUNTIFS(Offers!$B$7:$B$3000,$B433,Offers!$C$7:$C$3000,$C433,Offers!$AI$7:$AI$3000,"yes")))</f>
        <v/>
      </c>
      <c r="L433" s="96"/>
      <c r="M433" s="96"/>
      <c r="N433" s="96"/>
      <c r="O433" s="110" t="str">
        <f aca="false">IF(Compare!$E$5="Local prices",IF(F433="","",IF(Compare!$C$5="Minimum",F433,IF(Compare!$C$5="Maximum",H433,G433))),IF(I433="","",IF(Compare!$C$5="Minimum",I433,IF(Compare!$C$5="Maximum",K433,J433))))</f>
        <v/>
      </c>
    </row>
    <row r="434" customFormat="false" ht="13.5" hidden="false" customHeight="false" outlineLevel="0" collapsed="false">
      <c r="B434" s="36" t="s">
        <v>102</v>
      </c>
      <c r="C434" s="98" t="s">
        <v>14</v>
      </c>
      <c r="D434" s="98" t="s">
        <v>374</v>
      </c>
      <c r="E434" s="98" t="s">
        <v>491</v>
      </c>
      <c r="F434" s="99" t="n">
        <f aca="false">IF(COUNTIFS(Offers!$B$7:$B$3000,$B434,Offers!$C$7:$C$3000,$C434,Offers!$AH$7:$AH$3000,"yes")=0,"",SUMIFS(Offers!$H$7:$H$3000,Offers!$B$7:$B$3000,$B434,Offers!$C$7:$C$3000,$C434,Offers!$AF$7:$AF$3000,1))</f>
        <v>3.23</v>
      </c>
      <c r="G434" s="93" t="n">
        <f aca="false">IF(COUNTIFS(Offers!$B$7:$B$3000,$B434,Offers!$C$7:$C$3000,$C434,Offers!$AH$7:$AH$3000,"yes")=0,"",(SUMIFS(Offers!$H$7:$H$3000,Offers!$B$7:$B$3000,$B434,Offers!$C$7:$C$3000,$C434,Offers!$AF$7:$AF$3000,ROUNDUP(COUNTIFS(Offers!$B$7:$B$3000,$B434,Offers!$C$7:$C$3000,$C434,Offers!$AH$7:$AH$3000,"yes")/2,0))+SUMIFS(Offers!$H$7:$H$3000,Offers!$B$7:$B$3000,$B434,Offers!$C$7:$C$3000,$C434,Offers!$AF$7:$AF$3000,INT(COUNTIFS(Offers!$B$7:$B$3000,$B434,Offers!$C$7:$C$3000,$C434,Offers!$AH$7:$AH$3000,"yes")/2)+1))/2)</f>
        <v>24.53</v>
      </c>
      <c r="H434" s="99" t="n">
        <f aca="false">IF(COUNTIFS(Offers!$B$7:$B$3000,$B434,Offers!$C$7:$C$3000,$C434,Offers!$AH$7:$AH$3000,"yes")=0,"",SUMIFS(Offers!$H$7:$H$3000,Offers!$B$7:$B$3000,$B434,Offers!$C$7:$C$3000,$C434,Offers!$AF$7:$AF$3000,COUNTIFS(Offers!$B$7:$B$3000,$B434,Offers!$C$7:$C$3000,$C434,Offers!$AH$7:$AH$3000,"yes")))</f>
        <v>38.87</v>
      </c>
      <c r="I434" s="100" t="n">
        <f aca="false">IF(COUNTIFS(Offers!$B$7:$B$3000,$B434,Offers!$C$7:$C$3000,$C434,Offers!$AI$7:$AI$3000,"yes")=0,"",SUMIFS(Offers!$I$7:$I$3000,Offers!$B$7:$B$3000,$B434,Offers!$C$7:$C$3000,$C434,Offers!$AG$7:$AG$3000,1))</f>
        <v>2.929339</v>
      </c>
      <c r="J434" s="95" t="n">
        <f aca="false">IF(COUNTIFS(Offers!$B$7:$B$3000,$B434,Offers!$C$7:$C$3000,$C434,Offers!$AI$7:$AI$3000,"yes")=0,"",(SUMIFS(Offers!$I$7:$I$3000,Offers!$B$7:$B$3000,$B434,Offers!$C$7:$C$3000,$C434,Offers!$AG$7:$AG$3000,ROUNDUP(COUNTIFS(Offers!$B$7:$B$3000,$B434,Offers!$C$7:$C$3000,$C434,Offers!$AI$7:$AI$3000,"yes")/2,0))+SUMIFS(Offers!$I$7:$I$3000,Offers!$B$7:$B$3000,$B434,Offers!$C$7:$C$3000,$C434,Offers!$AG$7:$AG$3000,INT(COUNTIFS(Offers!$B$7:$B$3000,$B434,Offers!$C$7:$C$3000,$C434,Offers!$AI$7:$AI$3000,"yes")/2)+1))/2)</f>
        <v>4.647909</v>
      </c>
      <c r="K434" s="100" t="n">
        <f aca="false">IF(COUNTIFS(Offers!$B$7:$B$3000,$B434,Offers!$C$7:$C$3000,$C434,Offers!$AI$7:$AI$3000,"yes")=0,"",SUMIFS(Offers!$I$7:$I$3000,Offers!$B$7:$B$3000,$B434,Offers!$C$7:$C$3000,$C434,Offers!$AG$7:$AG$3000,COUNTIFS(Offers!$B$7:$B$3000,$B434,Offers!$C$7:$C$3000,$C434,Offers!$AI$7:$AI$3000,"yes")))</f>
        <v>7.365032</v>
      </c>
      <c r="L434" s="96"/>
      <c r="M434" s="96"/>
      <c r="N434" s="96"/>
      <c r="O434" s="101" t="n">
        <f aca="false">IF(Compare!$E$5="Local prices",IF(F434="","",IF(Compare!$C$5="Minimum",F434,IF(Compare!$C$5="Maximum",H434,G434))),IF(I434="","",IF(Compare!$C$5="Minimum",I434,IF(Compare!$C$5="Maximum",K434,J434))))</f>
        <v>4.647909</v>
      </c>
    </row>
    <row r="435" customFormat="false" ht="13.5" hidden="false" customHeight="false" outlineLevel="0" collapsed="false">
      <c r="B435" s="36" t="s">
        <v>102</v>
      </c>
      <c r="C435" s="98" t="s">
        <v>15</v>
      </c>
      <c r="D435" s="98" t="s">
        <v>244</v>
      </c>
      <c r="E435" s="98" t="s">
        <v>491</v>
      </c>
      <c r="F435" s="99" t="n">
        <f aca="false">IF(COUNTIFS(Offers!$B$7:$B$3000,$B435,Offers!$C$7:$C$3000,$C435,Offers!$AH$7:$AH$3000,"yes")=0,"",SUMIFS(Offers!$H$7:$H$3000,Offers!$B$7:$B$3000,$B435,Offers!$C$7:$C$3000,$C435,Offers!$AF$7:$AF$3000,1))</f>
        <v>4.1</v>
      </c>
      <c r="G435" s="93" t="n">
        <f aca="false">IF(COUNTIFS(Offers!$B$7:$B$3000,$B435,Offers!$C$7:$C$3000,$C435,Offers!$AH$7:$AH$3000,"yes")=0,"",(SUMIFS(Offers!$H$7:$H$3000,Offers!$B$7:$B$3000,$B435,Offers!$C$7:$C$3000,$C435,Offers!$AF$7:$AF$3000,ROUNDUP(COUNTIFS(Offers!$B$7:$B$3000,$B435,Offers!$C$7:$C$3000,$C435,Offers!$AH$7:$AH$3000,"yes")/2,0))+SUMIFS(Offers!$H$7:$H$3000,Offers!$B$7:$B$3000,$B435,Offers!$C$7:$C$3000,$C435,Offers!$AF$7:$AF$3000,INT(COUNTIFS(Offers!$B$7:$B$3000,$B435,Offers!$C$7:$C$3000,$C435,Offers!$AH$7:$AH$3000,"yes")/2)+1))/2)</f>
        <v>5.09</v>
      </c>
      <c r="H435" s="99" t="n">
        <f aca="false">IF(COUNTIFS(Offers!$B$7:$B$3000,$B435,Offers!$C$7:$C$3000,$C435,Offers!$AH$7:$AH$3000,"yes")=0,"",SUMIFS(Offers!$H$7:$H$3000,Offers!$B$7:$B$3000,$B435,Offers!$C$7:$C$3000,$C435,Offers!$AF$7:$AF$3000,COUNTIFS(Offers!$B$7:$B$3000,$B435,Offers!$C$7:$C$3000,$C435,Offers!$AH$7:$AH$3000,"yes")))</f>
        <v>19.5</v>
      </c>
      <c r="I435" s="100" t="n">
        <f aca="false">IF(COUNTIFS(Offers!$B$7:$B$3000,$B435,Offers!$C$7:$C$3000,$C435,Offers!$AI$7:$AI$3000,"yes")=0,"",SUMIFS(Offers!$I$7:$I$3000,Offers!$B$7:$B$3000,$B435,Offers!$C$7:$C$3000,$C435,Offers!$AG$7:$AG$3000,1))</f>
        <v>4.1</v>
      </c>
      <c r="J435" s="95" t="n">
        <f aca="false">IF(COUNTIFS(Offers!$B$7:$B$3000,$B435,Offers!$C$7:$C$3000,$C435,Offers!$AI$7:$AI$3000,"yes")=0,"",(SUMIFS(Offers!$I$7:$I$3000,Offers!$B$7:$B$3000,$B435,Offers!$C$7:$C$3000,$C435,Offers!$AG$7:$AG$3000,ROUNDUP(COUNTIFS(Offers!$B$7:$B$3000,$B435,Offers!$C$7:$C$3000,$C435,Offers!$AI$7:$AI$3000,"yes")/2,0))+SUMIFS(Offers!$I$7:$I$3000,Offers!$B$7:$B$3000,$B435,Offers!$C$7:$C$3000,$C435,Offers!$AG$7:$AG$3000,INT(COUNTIFS(Offers!$B$7:$B$3000,$B435,Offers!$C$7:$C$3000,$C435,Offers!$AI$7:$AI$3000,"yes")/2)+1))/2)</f>
        <v>5.09</v>
      </c>
      <c r="K435" s="100" t="n">
        <f aca="false">IF(COUNTIFS(Offers!$B$7:$B$3000,$B435,Offers!$C$7:$C$3000,$C435,Offers!$AI$7:$AI$3000,"yes")=0,"",SUMIFS(Offers!$I$7:$I$3000,Offers!$B$7:$B$3000,$B435,Offers!$C$7:$C$3000,$C435,Offers!$AG$7:$AG$3000,COUNTIFS(Offers!$B$7:$B$3000,$B435,Offers!$C$7:$C$3000,$C435,Offers!$AI$7:$AI$3000,"yes")))</f>
        <v>19.5</v>
      </c>
      <c r="L435" s="96"/>
      <c r="M435" s="96"/>
      <c r="N435" s="96"/>
      <c r="O435" s="101" t="n">
        <f aca="false">IF(Compare!$E$5="Local prices",IF(F435="","",IF(Compare!$C$5="Minimum",F435,IF(Compare!$C$5="Maximum",H435,G435))),IF(I435="","",IF(Compare!$C$5="Minimum",I435,IF(Compare!$C$5="Maximum",K435,J435))))</f>
        <v>5.09</v>
      </c>
    </row>
    <row r="436" customFormat="false" ht="13.5" hidden="false" customHeight="false" outlineLevel="0" collapsed="false">
      <c r="B436" s="36" t="s">
        <v>102</v>
      </c>
      <c r="C436" s="98" t="s">
        <v>16</v>
      </c>
      <c r="D436" s="98" t="s">
        <v>244</v>
      </c>
      <c r="E436" s="98" t="s">
        <v>491</v>
      </c>
      <c r="F436" s="99" t="n">
        <f aca="false">IF(COUNTIFS(Offers!$B$7:$B$3000,$B436,Offers!$C$7:$C$3000,$C436,Offers!$AH$7:$AH$3000,"yes")=0,"",SUMIFS(Offers!$H$7:$H$3000,Offers!$B$7:$B$3000,$B436,Offers!$C$7:$C$3000,$C436,Offers!$AF$7:$AF$3000,1))</f>
        <v>2.64</v>
      </c>
      <c r="G436" s="93" t="n">
        <f aca="false">IF(COUNTIFS(Offers!$B$7:$B$3000,$B436,Offers!$C$7:$C$3000,$C436,Offers!$AH$7:$AH$3000,"yes")=0,"",(SUMIFS(Offers!$H$7:$H$3000,Offers!$B$7:$B$3000,$B436,Offers!$C$7:$C$3000,$C436,Offers!$AF$7:$AF$3000,ROUNDUP(COUNTIFS(Offers!$B$7:$B$3000,$B436,Offers!$C$7:$C$3000,$C436,Offers!$AH$7:$AH$3000,"yes")/2,0))+SUMIFS(Offers!$H$7:$H$3000,Offers!$B$7:$B$3000,$B436,Offers!$C$7:$C$3000,$C436,Offers!$AF$7:$AF$3000,INT(COUNTIFS(Offers!$B$7:$B$3000,$B436,Offers!$C$7:$C$3000,$C436,Offers!$AH$7:$AH$3000,"yes")/2)+1))/2)</f>
        <v>4.71</v>
      </c>
      <c r="H436" s="99" t="n">
        <f aca="false">IF(COUNTIFS(Offers!$B$7:$B$3000,$B436,Offers!$C$7:$C$3000,$C436,Offers!$AH$7:$AH$3000,"yes")=0,"",SUMIFS(Offers!$H$7:$H$3000,Offers!$B$7:$B$3000,$B436,Offers!$C$7:$C$3000,$C436,Offers!$AF$7:$AF$3000,COUNTIFS(Offers!$B$7:$B$3000,$B436,Offers!$C$7:$C$3000,$C436,Offers!$AH$7:$AH$3000,"yes")))</f>
        <v>19.5</v>
      </c>
      <c r="I436" s="100" t="n">
        <f aca="false">IF(COUNTIFS(Offers!$B$7:$B$3000,$B436,Offers!$C$7:$C$3000,$C436,Offers!$AI$7:$AI$3000,"yes")=0,"",SUMIFS(Offers!$I$7:$I$3000,Offers!$B$7:$B$3000,$B436,Offers!$C$7:$C$3000,$C436,Offers!$AG$7:$AG$3000,1))</f>
        <v>2.64</v>
      </c>
      <c r="J436" s="95" t="n">
        <f aca="false">IF(COUNTIFS(Offers!$B$7:$B$3000,$B436,Offers!$C$7:$C$3000,$C436,Offers!$AI$7:$AI$3000,"yes")=0,"",(SUMIFS(Offers!$I$7:$I$3000,Offers!$B$7:$B$3000,$B436,Offers!$C$7:$C$3000,$C436,Offers!$AG$7:$AG$3000,ROUNDUP(COUNTIFS(Offers!$B$7:$B$3000,$B436,Offers!$C$7:$C$3000,$C436,Offers!$AI$7:$AI$3000,"yes")/2,0))+SUMIFS(Offers!$I$7:$I$3000,Offers!$B$7:$B$3000,$B436,Offers!$C$7:$C$3000,$C436,Offers!$AG$7:$AG$3000,INT(COUNTIFS(Offers!$B$7:$B$3000,$B436,Offers!$C$7:$C$3000,$C436,Offers!$AI$7:$AI$3000,"yes")/2)+1))/2)</f>
        <v>4.71</v>
      </c>
      <c r="K436" s="100" t="n">
        <f aca="false">IF(COUNTIFS(Offers!$B$7:$B$3000,$B436,Offers!$C$7:$C$3000,$C436,Offers!$AI$7:$AI$3000,"yes")=0,"",SUMIFS(Offers!$I$7:$I$3000,Offers!$B$7:$B$3000,$B436,Offers!$C$7:$C$3000,$C436,Offers!$AG$7:$AG$3000,COUNTIFS(Offers!$B$7:$B$3000,$B436,Offers!$C$7:$C$3000,$C436,Offers!$AI$7:$AI$3000,"yes")))</f>
        <v>19.5</v>
      </c>
      <c r="L436" s="96"/>
      <c r="M436" s="96"/>
      <c r="N436" s="96"/>
      <c r="O436" s="101" t="n">
        <f aca="false">IF(Compare!$E$5="Local prices",IF(F436="","",IF(Compare!$C$5="Minimum",F436,IF(Compare!$C$5="Maximum",H436,G436))),IF(I436="","",IF(Compare!$C$5="Minimum",I436,IF(Compare!$C$5="Maximum",K436,J436))))</f>
        <v>4.71</v>
      </c>
    </row>
    <row r="437" customFormat="false" ht="13.5" hidden="false" customHeight="false" outlineLevel="0" collapsed="false">
      <c r="B437" s="36" t="s">
        <v>102</v>
      </c>
      <c r="C437" s="98" t="s">
        <v>17</v>
      </c>
      <c r="D437" s="98" t="s">
        <v>333</v>
      </c>
      <c r="E437" s="98" t="s">
        <v>491</v>
      </c>
      <c r="F437" s="99" t="n">
        <f aca="false">IF(COUNTIFS(Offers!$B$7:$B$3000,$B437,Offers!$C$7:$C$3000,$C437,Offers!$AH$7:$AH$3000,"yes")=0,"",SUMIFS(Offers!$H$7:$H$3000,Offers!$B$7:$B$3000,$B437,Offers!$C$7:$C$3000,$C437,Offers!$AF$7:$AF$3000,1))</f>
        <v>92</v>
      </c>
      <c r="G437" s="93" t="n">
        <f aca="false">IF(COUNTIFS(Offers!$B$7:$B$3000,$B437,Offers!$C$7:$C$3000,$C437,Offers!$AH$7:$AH$3000,"yes")=0,"",(SUMIFS(Offers!$H$7:$H$3000,Offers!$B$7:$B$3000,$B437,Offers!$C$7:$C$3000,$C437,Offers!$AF$7:$AF$3000,ROUNDUP(COUNTIFS(Offers!$B$7:$B$3000,$B437,Offers!$C$7:$C$3000,$C437,Offers!$AH$7:$AH$3000,"yes")/2,0))+SUMIFS(Offers!$H$7:$H$3000,Offers!$B$7:$B$3000,$B437,Offers!$C$7:$C$3000,$C437,Offers!$AF$7:$AF$3000,INT(COUNTIFS(Offers!$B$7:$B$3000,$B437,Offers!$C$7:$C$3000,$C437,Offers!$AH$7:$AH$3000,"yes")/2)+1))/2)</f>
        <v>177</v>
      </c>
      <c r="H437" s="99" t="n">
        <f aca="false">IF(COUNTIFS(Offers!$B$7:$B$3000,$B437,Offers!$C$7:$C$3000,$C437,Offers!$AH$7:$AH$3000,"yes")=0,"",SUMIFS(Offers!$H$7:$H$3000,Offers!$B$7:$B$3000,$B437,Offers!$C$7:$C$3000,$C437,Offers!$AF$7:$AF$3000,COUNTIFS(Offers!$B$7:$B$3000,$B437,Offers!$C$7:$C$3000,$C437,Offers!$AH$7:$AH$3000,"yes")))</f>
        <v>454</v>
      </c>
      <c r="I437" s="100" t="n">
        <f aca="false">IF(COUNTIFS(Offers!$B$7:$B$3000,$B437,Offers!$C$7:$C$3000,$C437,Offers!$AI$7:$AI$3000,"yes")=0,"",SUMIFS(Offers!$I$7:$I$3000,Offers!$B$7:$B$3000,$B437,Offers!$C$7:$C$3000,$C437,Offers!$AG$7:$AG$3000,1))</f>
        <v>3.766846</v>
      </c>
      <c r="J437" s="95" t="n">
        <f aca="false">IF(COUNTIFS(Offers!$B$7:$B$3000,$B437,Offers!$C$7:$C$3000,$C437,Offers!$AI$7:$AI$3000,"yes")=0,"",(SUMIFS(Offers!$I$7:$I$3000,Offers!$B$7:$B$3000,$B437,Offers!$C$7:$C$3000,$C437,Offers!$AG$7:$AG$3000,ROUNDUP(COUNTIFS(Offers!$B$7:$B$3000,$B437,Offers!$C$7:$C$3000,$C437,Offers!$AI$7:$AI$3000,"yes")/2,0))+SUMIFS(Offers!$I$7:$I$3000,Offers!$B$7:$B$3000,$B437,Offers!$C$7:$C$3000,$C437,Offers!$AG$7:$AG$3000,INT(COUNTIFS(Offers!$B$7:$B$3000,$B437,Offers!$C$7:$C$3000,$C437,Offers!$AI$7:$AI$3000,"yes")/2)+1))/2)</f>
        <v>7.247084</v>
      </c>
      <c r="K437" s="100" t="n">
        <f aca="false">IF(COUNTIFS(Offers!$B$7:$B$3000,$B437,Offers!$C$7:$C$3000,$C437,Offers!$AI$7:$AI$3000,"yes")=0,"",SUMIFS(Offers!$I$7:$I$3000,Offers!$B$7:$B$3000,$B437,Offers!$C$7:$C$3000,$C437,Offers!$AG$7:$AG$3000,COUNTIFS(Offers!$B$7:$B$3000,$B437,Offers!$C$7:$C$3000,$C437,Offers!$AI$7:$AI$3000,"yes")))</f>
        <v>18.588566</v>
      </c>
      <c r="L437" s="96"/>
      <c r="M437" s="96"/>
      <c r="N437" s="96"/>
      <c r="O437" s="101" t="n">
        <f aca="false">IF(Compare!$E$5="Local prices",IF(F437="","",IF(Compare!$C$5="Minimum",F437,IF(Compare!$C$5="Maximum",H437,G437))),IF(I437="","",IF(Compare!$C$5="Minimum",I437,IF(Compare!$C$5="Maximum",K437,J437))))</f>
        <v>7.247084</v>
      </c>
    </row>
    <row r="438" customFormat="false" ht="13.5" hidden="false" customHeight="false" outlineLevel="0" collapsed="false">
      <c r="B438" s="36" t="s">
        <v>102</v>
      </c>
      <c r="C438" s="98" t="s">
        <v>18</v>
      </c>
      <c r="D438" s="98" t="s">
        <v>244</v>
      </c>
      <c r="E438" s="98" t="s">
        <v>491</v>
      </c>
      <c r="F438" s="99" t="n">
        <f aca="false">IF(COUNTIFS(Offers!$B$7:$B$3000,$B438,Offers!$C$7:$C$3000,$C438,Offers!$AH$7:$AH$3000,"yes")=0,"",SUMIFS(Offers!$H$7:$H$3000,Offers!$B$7:$B$3000,$B438,Offers!$C$7:$C$3000,$C438,Offers!$AF$7:$AF$3000,1))</f>
        <v>3.6</v>
      </c>
      <c r="G438" s="93" t="n">
        <f aca="false">IF(COUNTIFS(Offers!$B$7:$B$3000,$B438,Offers!$C$7:$C$3000,$C438,Offers!$AH$7:$AH$3000,"yes")=0,"",(SUMIFS(Offers!$H$7:$H$3000,Offers!$B$7:$B$3000,$B438,Offers!$C$7:$C$3000,$C438,Offers!$AF$7:$AF$3000,ROUNDUP(COUNTIFS(Offers!$B$7:$B$3000,$B438,Offers!$C$7:$C$3000,$C438,Offers!$AH$7:$AH$3000,"yes")/2,0))+SUMIFS(Offers!$H$7:$H$3000,Offers!$B$7:$B$3000,$B438,Offers!$C$7:$C$3000,$C438,Offers!$AF$7:$AF$3000,INT(COUNTIFS(Offers!$B$7:$B$3000,$B438,Offers!$C$7:$C$3000,$C438,Offers!$AH$7:$AH$3000,"yes")/2)+1))/2)</f>
        <v>6.05</v>
      </c>
      <c r="H438" s="99" t="n">
        <f aca="false">IF(COUNTIFS(Offers!$B$7:$B$3000,$B438,Offers!$C$7:$C$3000,$C438,Offers!$AH$7:$AH$3000,"yes")=0,"",SUMIFS(Offers!$H$7:$H$3000,Offers!$B$7:$B$3000,$B438,Offers!$C$7:$C$3000,$C438,Offers!$AF$7:$AF$3000,COUNTIFS(Offers!$B$7:$B$3000,$B438,Offers!$C$7:$C$3000,$C438,Offers!$AH$7:$AH$3000,"yes")))</f>
        <v>6.94</v>
      </c>
      <c r="I438" s="100" t="n">
        <f aca="false">IF(COUNTIFS(Offers!$B$7:$B$3000,$B438,Offers!$C$7:$C$3000,$C438,Offers!$AI$7:$AI$3000,"yes")=0,"",SUMIFS(Offers!$I$7:$I$3000,Offers!$B$7:$B$3000,$B438,Offers!$C$7:$C$3000,$C438,Offers!$AG$7:$AG$3000,1))</f>
        <v>3.6</v>
      </c>
      <c r="J438" s="95" t="n">
        <f aca="false">IF(COUNTIFS(Offers!$B$7:$B$3000,$B438,Offers!$C$7:$C$3000,$C438,Offers!$AI$7:$AI$3000,"yes")=0,"",(SUMIFS(Offers!$I$7:$I$3000,Offers!$B$7:$B$3000,$B438,Offers!$C$7:$C$3000,$C438,Offers!$AG$7:$AG$3000,ROUNDUP(COUNTIFS(Offers!$B$7:$B$3000,$B438,Offers!$C$7:$C$3000,$C438,Offers!$AI$7:$AI$3000,"yes")/2,0))+SUMIFS(Offers!$I$7:$I$3000,Offers!$B$7:$B$3000,$B438,Offers!$C$7:$C$3000,$C438,Offers!$AG$7:$AG$3000,INT(COUNTIFS(Offers!$B$7:$B$3000,$B438,Offers!$C$7:$C$3000,$C438,Offers!$AI$7:$AI$3000,"yes")/2)+1))/2)</f>
        <v>6.05</v>
      </c>
      <c r="K438" s="100" t="n">
        <f aca="false">IF(COUNTIFS(Offers!$B$7:$B$3000,$B438,Offers!$C$7:$C$3000,$C438,Offers!$AI$7:$AI$3000,"yes")=0,"",SUMIFS(Offers!$I$7:$I$3000,Offers!$B$7:$B$3000,$B438,Offers!$C$7:$C$3000,$C438,Offers!$AG$7:$AG$3000,COUNTIFS(Offers!$B$7:$B$3000,$B438,Offers!$C$7:$C$3000,$C438,Offers!$AI$7:$AI$3000,"yes")))</f>
        <v>6.94</v>
      </c>
      <c r="L438" s="96"/>
      <c r="M438" s="96"/>
      <c r="N438" s="96"/>
      <c r="O438" s="101" t="n">
        <f aca="false">IF(Compare!$E$5="Local prices",IF(F438="","",IF(Compare!$C$5="Minimum",F438,IF(Compare!$C$5="Maximum",H438,G438))),IF(I438="","",IF(Compare!$C$5="Minimum",I438,IF(Compare!$C$5="Maximum",K438,J438))))</f>
        <v>6.05</v>
      </c>
    </row>
    <row r="439" customFormat="false" ht="13.5" hidden="false" customHeight="false" outlineLevel="0" collapsed="false">
      <c r="B439" s="36" t="s">
        <v>103</v>
      </c>
      <c r="C439" s="98" t="s">
        <v>13</v>
      </c>
      <c r="D439" s="98" t="s">
        <v>490</v>
      </c>
      <c r="E439" s="98" t="s">
        <v>491</v>
      </c>
      <c r="F439" s="99" t="str">
        <f aca="false">IF(COUNTIFS(Offers!$B$7:$B$3000,$B439,Offers!$C$7:$C$3000,$C439,Offers!$AH$7:$AH$3000,"yes")=0,"",SUMIFS(Offers!$H$7:$H$3000,Offers!$B$7:$B$3000,$B439,Offers!$C$7:$C$3000,$C439,Offers!$AF$7:$AF$3000,1))</f>
        <v/>
      </c>
      <c r="G439" s="93" t="str">
        <f aca="false">IF(COUNTIFS(Offers!$B$7:$B$3000,$B439,Offers!$C$7:$C$3000,$C439,Offers!$AH$7:$AH$3000,"yes")=0,"",(SUMIFS(Offers!$H$7:$H$3000,Offers!$B$7:$B$3000,$B439,Offers!$C$7:$C$3000,$C439,Offers!$AF$7:$AF$3000,ROUNDUP(COUNTIFS(Offers!$B$7:$B$3000,$B439,Offers!$C$7:$C$3000,$C439,Offers!$AH$7:$AH$3000,"yes")/2,0))+SUMIFS(Offers!$H$7:$H$3000,Offers!$B$7:$B$3000,$B439,Offers!$C$7:$C$3000,$C439,Offers!$AF$7:$AF$3000,INT(COUNTIFS(Offers!$B$7:$B$3000,$B439,Offers!$C$7:$C$3000,$C439,Offers!$AH$7:$AH$3000,"yes")/2)+1))/2)</f>
        <v/>
      </c>
      <c r="H439" s="99" t="str">
        <f aca="false">IF(COUNTIFS(Offers!$B$7:$B$3000,$B439,Offers!$C$7:$C$3000,$C439,Offers!$AH$7:$AH$3000,"yes")=0,"",SUMIFS(Offers!$H$7:$H$3000,Offers!$B$7:$B$3000,$B439,Offers!$C$7:$C$3000,$C439,Offers!$AF$7:$AF$3000,COUNTIFS(Offers!$B$7:$B$3000,$B439,Offers!$C$7:$C$3000,$C439,Offers!$AH$7:$AH$3000,"yes")))</f>
        <v/>
      </c>
      <c r="I439" s="100" t="str">
        <f aca="false">IF(COUNTIFS(Offers!$B$7:$B$3000,$B439,Offers!$C$7:$C$3000,$C439,Offers!$AI$7:$AI$3000,"yes")=0,"",SUMIFS(Offers!$I$7:$I$3000,Offers!$B$7:$B$3000,$B439,Offers!$C$7:$C$3000,$C439,Offers!$AG$7:$AG$3000,1))</f>
        <v/>
      </c>
      <c r="J439" s="95" t="str">
        <f aca="false">IF(COUNTIFS(Offers!$B$7:$B$3000,$B439,Offers!$C$7:$C$3000,$C439,Offers!$AI$7:$AI$3000,"yes")=0,"",(SUMIFS(Offers!$I$7:$I$3000,Offers!$B$7:$B$3000,$B439,Offers!$C$7:$C$3000,$C439,Offers!$AG$7:$AG$3000,ROUNDUP(COUNTIFS(Offers!$B$7:$B$3000,$B439,Offers!$C$7:$C$3000,$C439,Offers!$AI$7:$AI$3000,"yes")/2,0))+SUMIFS(Offers!$I$7:$I$3000,Offers!$B$7:$B$3000,$B439,Offers!$C$7:$C$3000,$C439,Offers!$AG$7:$AG$3000,INT(COUNTIFS(Offers!$B$7:$B$3000,$B439,Offers!$C$7:$C$3000,$C439,Offers!$AI$7:$AI$3000,"yes")/2)+1))/2)</f>
        <v/>
      </c>
      <c r="K439" s="100" t="str">
        <f aca="false">IF(COUNTIFS(Offers!$B$7:$B$3000,$B439,Offers!$C$7:$C$3000,$C439,Offers!$AI$7:$AI$3000,"yes")=0,"",SUMIFS(Offers!$I$7:$I$3000,Offers!$B$7:$B$3000,$B439,Offers!$C$7:$C$3000,$C439,Offers!$AG$7:$AG$3000,COUNTIFS(Offers!$B$7:$B$3000,$B439,Offers!$C$7:$C$3000,$C439,Offers!$AI$7:$AI$3000,"yes")))</f>
        <v/>
      </c>
      <c r="L439" s="96"/>
      <c r="M439" s="96"/>
      <c r="N439" s="96"/>
      <c r="O439" s="110" t="str">
        <f aca="false">IF(Compare!$E$5="Local prices",IF(F439="","",IF(Compare!$C$5="Minimum",F439,IF(Compare!$C$5="Maximum",H439,G439))),IF(I439="","",IF(Compare!$C$5="Minimum",I439,IF(Compare!$C$5="Maximum",K439,J439))))</f>
        <v/>
      </c>
    </row>
    <row r="440" customFormat="false" ht="13.5" hidden="false" customHeight="false" outlineLevel="0" collapsed="false">
      <c r="B440" s="36" t="s">
        <v>103</v>
      </c>
      <c r="C440" s="98" t="s">
        <v>14</v>
      </c>
      <c r="D440" s="98" t="s">
        <v>374</v>
      </c>
      <c r="E440" s="98" t="s">
        <v>491</v>
      </c>
      <c r="F440" s="99" t="n">
        <f aca="false">IF(COUNTIFS(Offers!$B$7:$B$3000,$B440,Offers!$C$7:$C$3000,$C440,Offers!$AH$7:$AH$3000,"yes")=0,"",SUMIFS(Offers!$H$7:$H$3000,Offers!$B$7:$B$3000,$B440,Offers!$C$7:$C$3000,$C440,Offers!$AF$7:$AF$3000,1))</f>
        <v>2.22</v>
      </c>
      <c r="G440" s="93" t="n">
        <f aca="false">IF(COUNTIFS(Offers!$B$7:$B$3000,$B440,Offers!$C$7:$C$3000,$C440,Offers!$AH$7:$AH$3000,"yes")=0,"",(SUMIFS(Offers!$H$7:$H$3000,Offers!$B$7:$B$3000,$B440,Offers!$C$7:$C$3000,$C440,Offers!$AF$7:$AF$3000,ROUNDUP(COUNTIFS(Offers!$B$7:$B$3000,$B440,Offers!$C$7:$C$3000,$C440,Offers!$AH$7:$AH$3000,"yes")/2,0))+SUMIFS(Offers!$H$7:$H$3000,Offers!$B$7:$B$3000,$B440,Offers!$C$7:$C$3000,$C440,Offers!$AF$7:$AF$3000,INT(COUNTIFS(Offers!$B$7:$B$3000,$B440,Offers!$C$7:$C$3000,$C440,Offers!$AH$7:$AH$3000,"yes")/2)+1))/2)</f>
        <v>16.53</v>
      </c>
      <c r="H440" s="99" t="n">
        <f aca="false">IF(COUNTIFS(Offers!$B$7:$B$3000,$B440,Offers!$C$7:$C$3000,$C440,Offers!$AH$7:$AH$3000,"yes")=0,"",SUMIFS(Offers!$H$7:$H$3000,Offers!$B$7:$B$3000,$B440,Offers!$C$7:$C$3000,$C440,Offers!$AF$7:$AF$3000,COUNTIFS(Offers!$B$7:$B$3000,$B440,Offers!$C$7:$C$3000,$C440,Offers!$AH$7:$AH$3000,"yes")))</f>
        <v>27.22</v>
      </c>
      <c r="I440" s="100" t="n">
        <f aca="false">IF(COUNTIFS(Offers!$B$7:$B$3000,$B440,Offers!$C$7:$C$3000,$C440,Offers!$AI$7:$AI$3000,"yes")=0,"",SUMIFS(Offers!$I$7:$I$3000,Offers!$B$7:$B$3000,$B440,Offers!$C$7:$C$3000,$C440,Offers!$AG$7:$AG$3000,1))</f>
        <v>2.072896</v>
      </c>
      <c r="J440" s="95" t="n">
        <f aca="false">IF(COUNTIFS(Offers!$B$7:$B$3000,$B440,Offers!$C$7:$C$3000,$C440,Offers!$AI$7:$AI$3000,"yes")=0,"",(SUMIFS(Offers!$I$7:$I$3000,Offers!$B$7:$B$3000,$B440,Offers!$C$7:$C$3000,$C440,Offers!$AG$7:$AG$3000,ROUNDUP(COUNTIFS(Offers!$B$7:$B$3000,$B440,Offers!$C$7:$C$3000,$C440,Offers!$AI$7:$AI$3000,"yes")/2,0))+SUMIFS(Offers!$I$7:$I$3000,Offers!$B$7:$B$3000,$B440,Offers!$C$7:$C$3000,$C440,Offers!$AG$7:$AG$3000,INT(COUNTIFS(Offers!$B$7:$B$3000,$B440,Offers!$C$7:$C$3000,$C440,Offers!$AI$7:$AI$3000,"yes")/2)+1))/2)</f>
        <v>3.132081</v>
      </c>
      <c r="K440" s="100" t="n">
        <f aca="false">IF(COUNTIFS(Offers!$B$7:$B$3000,$B440,Offers!$C$7:$C$3000,$C440,Offers!$AI$7:$AI$3000,"yes")=0,"",SUMIFS(Offers!$I$7:$I$3000,Offers!$B$7:$B$3000,$B440,Offers!$C$7:$C$3000,$C440,Offers!$AG$7:$AG$3000,COUNTIFS(Offers!$B$7:$B$3000,$B440,Offers!$C$7:$C$3000,$C440,Offers!$AI$7:$AI$3000,"yes")))</f>
        <v>5.157607</v>
      </c>
      <c r="L440" s="96"/>
      <c r="M440" s="96"/>
      <c r="N440" s="96"/>
      <c r="O440" s="101" t="n">
        <f aca="false">IF(Compare!$E$5="Local prices",IF(F440="","",IF(Compare!$C$5="Minimum",F440,IF(Compare!$C$5="Maximum",H440,G440))),IF(I440="","",IF(Compare!$C$5="Minimum",I440,IF(Compare!$C$5="Maximum",K440,J440))))</f>
        <v>3.132081</v>
      </c>
    </row>
    <row r="441" customFormat="false" ht="13.5" hidden="false" customHeight="false" outlineLevel="0" collapsed="false">
      <c r="B441" s="36" t="s">
        <v>103</v>
      </c>
      <c r="C441" s="98" t="s">
        <v>15</v>
      </c>
      <c r="D441" s="98" t="s">
        <v>244</v>
      </c>
      <c r="E441" s="98" t="s">
        <v>491</v>
      </c>
      <c r="F441" s="99" t="n">
        <f aca="false">IF(COUNTIFS(Offers!$B$7:$B$3000,$B441,Offers!$C$7:$C$3000,$C441,Offers!$AH$7:$AH$3000,"yes")=0,"",SUMIFS(Offers!$H$7:$H$3000,Offers!$B$7:$B$3000,$B441,Offers!$C$7:$C$3000,$C441,Offers!$AF$7:$AF$3000,1))</f>
        <v>3.23</v>
      </c>
      <c r="G441" s="93" t="n">
        <f aca="false">IF(COUNTIFS(Offers!$B$7:$B$3000,$B441,Offers!$C$7:$C$3000,$C441,Offers!$AH$7:$AH$3000,"yes")=0,"",(SUMIFS(Offers!$H$7:$H$3000,Offers!$B$7:$B$3000,$B441,Offers!$C$7:$C$3000,$C441,Offers!$AF$7:$AF$3000,ROUNDUP(COUNTIFS(Offers!$B$7:$B$3000,$B441,Offers!$C$7:$C$3000,$C441,Offers!$AH$7:$AH$3000,"yes")/2,0))+SUMIFS(Offers!$H$7:$H$3000,Offers!$B$7:$B$3000,$B441,Offers!$C$7:$C$3000,$C441,Offers!$AF$7:$AF$3000,INT(COUNTIFS(Offers!$B$7:$B$3000,$B441,Offers!$C$7:$C$3000,$C441,Offers!$AH$7:$AH$3000,"yes")/2)+1))/2)</f>
        <v>4.18</v>
      </c>
      <c r="H441" s="99" t="n">
        <f aca="false">IF(COUNTIFS(Offers!$B$7:$B$3000,$B441,Offers!$C$7:$C$3000,$C441,Offers!$AH$7:$AH$3000,"yes")=0,"",SUMIFS(Offers!$H$7:$H$3000,Offers!$B$7:$B$3000,$B441,Offers!$C$7:$C$3000,$C441,Offers!$AF$7:$AF$3000,COUNTIFS(Offers!$B$7:$B$3000,$B441,Offers!$C$7:$C$3000,$C441,Offers!$AH$7:$AH$3000,"yes")))</f>
        <v>15.42</v>
      </c>
      <c r="I441" s="100" t="n">
        <f aca="false">IF(COUNTIFS(Offers!$B$7:$B$3000,$B441,Offers!$C$7:$C$3000,$C441,Offers!$AI$7:$AI$3000,"yes")=0,"",SUMIFS(Offers!$I$7:$I$3000,Offers!$B$7:$B$3000,$B441,Offers!$C$7:$C$3000,$C441,Offers!$AG$7:$AG$3000,1))</f>
        <v>3.23</v>
      </c>
      <c r="J441" s="95" t="n">
        <f aca="false">IF(COUNTIFS(Offers!$B$7:$B$3000,$B441,Offers!$C$7:$C$3000,$C441,Offers!$AI$7:$AI$3000,"yes")=0,"",(SUMIFS(Offers!$I$7:$I$3000,Offers!$B$7:$B$3000,$B441,Offers!$C$7:$C$3000,$C441,Offers!$AG$7:$AG$3000,ROUNDUP(COUNTIFS(Offers!$B$7:$B$3000,$B441,Offers!$C$7:$C$3000,$C441,Offers!$AI$7:$AI$3000,"yes")/2,0))+SUMIFS(Offers!$I$7:$I$3000,Offers!$B$7:$B$3000,$B441,Offers!$C$7:$C$3000,$C441,Offers!$AG$7:$AG$3000,INT(COUNTIFS(Offers!$B$7:$B$3000,$B441,Offers!$C$7:$C$3000,$C441,Offers!$AI$7:$AI$3000,"yes")/2)+1))/2)</f>
        <v>4.18</v>
      </c>
      <c r="K441" s="100" t="n">
        <f aca="false">IF(COUNTIFS(Offers!$B$7:$B$3000,$B441,Offers!$C$7:$C$3000,$C441,Offers!$AI$7:$AI$3000,"yes")=0,"",SUMIFS(Offers!$I$7:$I$3000,Offers!$B$7:$B$3000,$B441,Offers!$C$7:$C$3000,$C441,Offers!$AG$7:$AG$3000,COUNTIFS(Offers!$B$7:$B$3000,$B441,Offers!$C$7:$C$3000,$C441,Offers!$AI$7:$AI$3000,"yes")))</f>
        <v>15.42</v>
      </c>
      <c r="L441" s="96"/>
      <c r="M441" s="96"/>
      <c r="N441" s="96"/>
      <c r="O441" s="101" t="n">
        <f aca="false">IF(Compare!$E$5="Local prices",IF(F441="","",IF(Compare!$C$5="Minimum",F441,IF(Compare!$C$5="Maximum",H441,G441))),IF(I441="","",IF(Compare!$C$5="Minimum",I441,IF(Compare!$C$5="Maximum",K441,J441))))</f>
        <v>4.18</v>
      </c>
    </row>
    <row r="442" customFormat="false" ht="13.5" hidden="false" customHeight="false" outlineLevel="0" collapsed="false">
      <c r="B442" s="36" t="s">
        <v>103</v>
      </c>
      <c r="C442" s="98" t="s">
        <v>16</v>
      </c>
      <c r="D442" s="98" t="s">
        <v>244</v>
      </c>
      <c r="E442" s="98" t="s">
        <v>491</v>
      </c>
      <c r="F442" s="99" t="n">
        <f aca="false">IF(COUNTIFS(Offers!$B$7:$B$3000,$B442,Offers!$C$7:$C$3000,$C442,Offers!$AH$7:$AH$3000,"yes")=0,"",SUMIFS(Offers!$H$7:$H$3000,Offers!$B$7:$B$3000,$B442,Offers!$C$7:$C$3000,$C442,Offers!$AF$7:$AF$3000,1))</f>
        <v>3.23</v>
      </c>
      <c r="G442" s="93" t="n">
        <f aca="false">IF(COUNTIFS(Offers!$B$7:$B$3000,$B442,Offers!$C$7:$C$3000,$C442,Offers!$AH$7:$AH$3000,"yes")=0,"",(SUMIFS(Offers!$H$7:$H$3000,Offers!$B$7:$B$3000,$B442,Offers!$C$7:$C$3000,$C442,Offers!$AF$7:$AF$3000,ROUNDUP(COUNTIFS(Offers!$B$7:$B$3000,$B442,Offers!$C$7:$C$3000,$C442,Offers!$AH$7:$AH$3000,"yes")/2,0))+SUMIFS(Offers!$H$7:$H$3000,Offers!$B$7:$B$3000,$B442,Offers!$C$7:$C$3000,$C442,Offers!$AF$7:$AF$3000,INT(COUNTIFS(Offers!$B$7:$B$3000,$B442,Offers!$C$7:$C$3000,$C442,Offers!$AH$7:$AH$3000,"yes")/2)+1))/2)</f>
        <v>3.99</v>
      </c>
      <c r="H442" s="99" t="n">
        <f aca="false">IF(COUNTIFS(Offers!$B$7:$B$3000,$B442,Offers!$C$7:$C$3000,$C442,Offers!$AH$7:$AH$3000,"yes")=0,"",SUMIFS(Offers!$H$7:$H$3000,Offers!$B$7:$B$3000,$B442,Offers!$C$7:$C$3000,$C442,Offers!$AF$7:$AF$3000,COUNTIFS(Offers!$B$7:$B$3000,$B442,Offers!$C$7:$C$3000,$C442,Offers!$AH$7:$AH$3000,"yes")))</f>
        <v>7.62</v>
      </c>
      <c r="I442" s="100" t="n">
        <f aca="false">IF(COUNTIFS(Offers!$B$7:$B$3000,$B442,Offers!$C$7:$C$3000,$C442,Offers!$AI$7:$AI$3000,"yes")=0,"",SUMIFS(Offers!$I$7:$I$3000,Offers!$B$7:$B$3000,$B442,Offers!$C$7:$C$3000,$C442,Offers!$AG$7:$AG$3000,1))</f>
        <v>3.23</v>
      </c>
      <c r="J442" s="95" t="n">
        <f aca="false">IF(COUNTIFS(Offers!$B$7:$B$3000,$B442,Offers!$C$7:$C$3000,$C442,Offers!$AI$7:$AI$3000,"yes")=0,"",(SUMIFS(Offers!$I$7:$I$3000,Offers!$B$7:$B$3000,$B442,Offers!$C$7:$C$3000,$C442,Offers!$AG$7:$AG$3000,ROUNDUP(COUNTIFS(Offers!$B$7:$B$3000,$B442,Offers!$C$7:$C$3000,$C442,Offers!$AI$7:$AI$3000,"yes")/2,0))+SUMIFS(Offers!$I$7:$I$3000,Offers!$B$7:$B$3000,$B442,Offers!$C$7:$C$3000,$C442,Offers!$AG$7:$AG$3000,INT(COUNTIFS(Offers!$B$7:$B$3000,$B442,Offers!$C$7:$C$3000,$C442,Offers!$AI$7:$AI$3000,"yes")/2)+1))/2)</f>
        <v>3.99</v>
      </c>
      <c r="K442" s="100" t="n">
        <f aca="false">IF(COUNTIFS(Offers!$B$7:$B$3000,$B442,Offers!$C$7:$C$3000,$C442,Offers!$AI$7:$AI$3000,"yes")=0,"",SUMIFS(Offers!$I$7:$I$3000,Offers!$B$7:$B$3000,$B442,Offers!$C$7:$C$3000,$C442,Offers!$AG$7:$AG$3000,COUNTIFS(Offers!$B$7:$B$3000,$B442,Offers!$C$7:$C$3000,$C442,Offers!$AI$7:$AI$3000,"yes")))</f>
        <v>7.62</v>
      </c>
      <c r="L442" s="96"/>
      <c r="M442" s="96"/>
      <c r="N442" s="96"/>
      <c r="O442" s="101" t="n">
        <f aca="false">IF(Compare!$E$5="Local prices",IF(F442="","",IF(Compare!$C$5="Minimum",F442,IF(Compare!$C$5="Maximum",H442,G442))),IF(I442="","",IF(Compare!$C$5="Minimum",I442,IF(Compare!$C$5="Maximum",K442,J442))))</f>
        <v>3.99</v>
      </c>
    </row>
    <row r="443" customFormat="false" ht="13.5" hidden="false" customHeight="false" outlineLevel="0" collapsed="false">
      <c r="B443" s="36" t="s">
        <v>103</v>
      </c>
      <c r="C443" s="98" t="s">
        <v>17</v>
      </c>
      <c r="D443" s="98" t="s">
        <v>333</v>
      </c>
      <c r="E443" s="98" t="s">
        <v>491</v>
      </c>
      <c r="F443" s="99" t="n">
        <f aca="false">IF(COUNTIFS(Offers!$B$7:$B$3000,$B443,Offers!$C$7:$C$3000,$C443,Offers!$AH$7:$AH$3000,"yes")=0,"",SUMIFS(Offers!$H$7:$H$3000,Offers!$B$7:$B$3000,$B443,Offers!$C$7:$C$3000,$C443,Offers!$AF$7:$AF$3000,1))</f>
        <v>66</v>
      </c>
      <c r="G443" s="93" t="n">
        <f aca="false">IF(COUNTIFS(Offers!$B$7:$B$3000,$B443,Offers!$C$7:$C$3000,$C443,Offers!$AH$7:$AH$3000,"yes")=0,"",(SUMIFS(Offers!$H$7:$H$3000,Offers!$B$7:$B$3000,$B443,Offers!$C$7:$C$3000,$C443,Offers!$AF$7:$AF$3000,ROUNDUP(COUNTIFS(Offers!$B$7:$B$3000,$B443,Offers!$C$7:$C$3000,$C443,Offers!$AH$7:$AH$3000,"yes")/2,0))+SUMIFS(Offers!$H$7:$H$3000,Offers!$B$7:$B$3000,$B443,Offers!$C$7:$C$3000,$C443,Offers!$AF$7:$AF$3000,INT(COUNTIFS(Offers!$B$7:$B$3000,$B443,Offers!$C$7:$C$3000,$C443,Offers!$AH$7:$AH$3000,"yes")/2)+1))/2)</f>
        <v>125</v>
      </c>
      <c r="H443" s="99" t="n">
        <f aca="false">IF(COUNTIFS(Offers!$B$7:$B$3000,$B443,Offers!$C$7:$C$3000,$C443,Offers!$AH$7:$AH$3000,"yes")=0,"",SUMIFS(Offers!$H$7:$H$3000,Offers!$B$7:$B$3000,$B443,Offers!$C$7:$C$3000,$C443,Offers!$AF$7:$AF$3000,COUNTIFS(Offers!$B$7:$B$3000,$B443,Offers!$C$7:$C$3000,$C443,Offers!$AH$7:$AH$3000,"yes")))</f>
        <v>417.36</v>
      </c>
      <c r="I443" s="100" t="n">
        <f aca="false">IF(COUNTIFS(Offers!$B$7:$B$3000,$B443,Offers!$C$7:$C$3000,$C443,Offers!$AI$7:$AI$3000,"yes")=0,"",SUMIFS(Offers!$I$7:$I$3000,Offers!$B$7:$B$3000,$B443,Offers!$C$7:$C$3000,$C443,Offers!$AG$7:$AG$3000,1))</f>
        <v>2.702303</v>
      </c>
      <c r="J443" s="95" t="n">
        <f aca="false">IF(COUNTIFS(Offers!$B$7:$B$3000,$B443,Offers!$C$7:$C$3000,$C443,Offers!$AI$7:$AI$3000,"yes")=0,"",(SUMIFS(Offers!$I$7:$I$3000,Offers!$B$7:$B$3000,$B443,Offers!$C$7:$C$3000,$C443,Offers!$AG$7:$AG$3000,ROUNDUP(COUNTIFS(Offers!$B$7:$B$3000,$B443,Offers!$C$7:$C$3000,$C443,Offers!$AI$7:$AI$3000,"yes")/2,0))+SUMIFS(Offers!$I$7:$I$3000,Offers!$B$7:$B$3000,$B443,Offers!$C$7:$C$3000,$C443,Offers!$AG$7:$AG$3000,INT(COUNTIFS(Offers!$B$7:$B$3000,$B443,Offers!$C$7:$C$3000,$C443,Offers!$AI$7:$AI$3000,"yes")/2)+1))/2)</f>
        <v>5.117997</v>
      </c>
      <c r="K443" s="100" t="n">
        <f aca="false">IF(COUNTIFS(Offers!$B$7:$B$3000,$B443,Offers!$C$7:$C$3000,$C443,Offers!$AI$7:$AI$3000,"yes")=0,"",SUMIFS(Offers!$I$7:$I$3000,Offers!$B$7:$B$3000,$B443,Offers!$C$7:$C$3000,$C443,Offers!$AG$7:$AG$3000,COUNTIFS(Offers!$B$7:$B$3000,$B443,Offers!$C$7:$C$3000,$C443,Offers!$AI$7:$AI$3000,"yes")))</f>
        <v>17.088379</v>
      </c>
      <c r="L443" s="96"/>
      <c r="M443" s="96"/>
      <c r="N443" s="96"/>
      <c r="O443" s="101" t="n">
        <f aca="false">IF(Compare!$E$5="Local prices",IF(F443="","",IF(Compare!$C$5="Minimum",F443,IF(Compare!$C$5="Maximum",H443,G443))),IF(I443="","",IF(Compare!$C$5="Minimum",I443,IF(Compare!$C$5="Maximum",K443,J443))))</f>
        <v>5.117997</v>
      </c>
    </row>
    <row r="444" customFormat="false" ht="13.5" hidden="false" customHeight="false" outlineLevel="0" collapsed="false">
      <c r="B444" s="36" t="s">
        <v>103</v>
      </c>
      <c r="C444" s="98" t="s">
        <v>18</v>
      </c>
      <c r="D444" s="98" t="s">
        <v>244</v>
      </c>
      <c r="E444" s="98" t="s">
        <v>491</v>
      </c>
      <c r="F444" s="99" t="n">
        <f aca="false">IF(COUNTIFS(Offers!$B$7:$B$3000,$B444,Offers!$C$7:$C$3000,$C444,Offers!$AH$7:$AH$3000,"yes")=0,"",SUMIFS(Offers!$H$7:$H$3000,Offers!$B$7:$B$3000,$B444,Offers!$C$7:$C$3000,$C444,Offers!$AF$7:$AF$3000,1))</f>
        <v>2.43</v>
      </c>
      <c r="G444" s="93" t="n">
        <f aca="false">IF(COUNTIFS(Offers!$B$7:$B$3000,$B444,Offers!$C$7:$C$3000,$C444,Offers!$AH$7:$AH$3000,"yes")=0,"",(SUMIFS(Offers!$H$7:$H$3000,Offers!$B$7:$B$3000,$B444,Offers!$C$7:$C$3000,$C444,Offers!$AF$7:$AF$3000,ROUNDUP(COUNTIFS(Offers!$B$7:$B$3000,$B444,Offers!$C$7:$C$3000,$C444,Offers!$AH$7:$AH$3000,"yes")/2,0))+SUMIFS(Offers!$H$7:$H$3000,Offers!$B$7:$B$3000,$B444,Offers!$C$7:$C$3000,$C444,Offers!$AF$7:$AF$3000,INT(COUNTIFS(Offers!$B$7:$B$3000,$B444,Offers!$C$7:$C$3000,$C444,Offers!$AH$7:$AH$3000,"yes")/2)+1))/2)</f>
        <v>4.1</v>
      </c>
      <c r="H444" s="99" t="n">
        <f aca="false">IF(COUNTIFS(Offers!$B$7:$B$3000,$B444,Offers!$C$7:$C$3000,$C444,Offers!$AH$7:$AH$3000,"yes")=0,"",SUMIFS(Offers!$H$7:$H$3000,Offers!$B$7:$B$3000,$B444,Offers!$C$7:$C$3000,$C444,Offers!$AF$7:$AF$3000,COUNTIFS(Offers!$B$7:$B$3000,$B444,Offers!$C$7:$C$3000,$C444,Offers!$AH$7:$AH$3000,"yes")))</f>
        <v>5.44</v>
      </c>
      <c r="I444" s="100" t="n">
        <f aca="false">IF(COUNTIFS(Offers!$B$7:$B$3000,$B444,Offers!$C$7:$C$3000,$C444,Offers!$AI$7:$AI$3000,"yes")=0,"",SUMIFS(Offers!$I$7:$I$3000,Offers!$B$7:$B$3000,$B444,Offers!$C$7:$C$3000,$C444,Offers!$AG$7:$AG$3000,1))</f>
        <v>2.43</v>
      </c>
      <c r="J444" s="95" t="n">
        <f aca="false">IF(COUNTIFS(Offers!$B$7:$B$3000,$B444,Offers!$C$7:$C$3000,$C444,Offers!$AI$7:$AI$3000,"yes")=0,"",(SUMIFS(Offers!$I$7:$I$3000,Offers!$B$7:$B$3000,$B444,Offers!$C$7:$C$3000,$C444,Offers!$AG$7:$AG$3000,ROUNDUP(COUNTIFS(Offers!$B$7:$B$3000,$B444,Offers!$C$7:$C$3000,$C444,Offers!$AI$7:$AI$3000,"yes")/2,0))+SUMIFS(Offers!$I$7:$I$3000,Offers!$B$7:$B$3000,$B444,Offers!$C$7:$C$3000,$C444,Offers!$AG$7:$AG$3000,INT(COUNTIFS(Offers!$B$7:$B$3000,$B444,Offers!$C$7:$C$3000,$C444,Offers!$AI$7:$AI$3000,"yes")/2)+1))/2)</f>
        <v>4.1</v>
      </c>
      <c r="K444" s="100" t="n">
        <f aca="false">IF(COUNTIFS(Offers!$B$7:$B$3000,$B444,Offers!$C$7:$C$3000,$C444,Offers!$AI$7:$AI$3000,"yes")=0,"",SUMIFS(Offers!$I$7:$I$3000,Offers!$B$7:$B$3000,$B444,Offers!$C$7:$C$3000,$C444,Offers!$AG$7:$AG$3000,COUNTIFS(Offers!$B$7:$B$3000,$B444,Offers!$C$7:$C$3000,$C444,Offers!$AI$7:$AI$3000,"yes")))</f>
        <v>5.44</v>
      </c>
      <c r="L444" s="96"/>
      <c r="M444" s="96"/>
      <c r="N444" s="96"/>
      <c r="O444" s="101" t="n">
        <f aca="false">IF(Compare!$E$5="Local prices",IF(F444="","",IF(Compare!$C$5="Minimum",F444,IF(Compare!$C$5="Maximum",H444,G444))),IF(I444="","",IF(Compare!$C$5="Minimum",I444,IF(Compare!$C$5="Maximum",K444,J444))))</f>
        <v>4.1</v>
      </c>
    </row>
    <row r="445" customFormat="false" ht="13.5" hidden="false" customHeight="false" outlineLevel="0" collapsed="false">
      <c r="B445" s="36" t="s">
        <v>104</v>
      </c>
      <c r="C445" s="98" t="s">
        <v>13</v>
      </c>
      <c r="D445" s="98" t="s">
        <v>490</v>
      </c>
      <c r="E445" s="98" t="s">
        <v>491</v>
      </c>
      <c r="F445" s="99" t="str">
        <f aca="false">IF(COUNTIFS(Offers!$B$7:$B$3000,$B445,Offers!$C$7:$C$3000,$C445,Offers!$AH$7:$AH$3000,"yes")=0,"",SUMIFS(Offers!$H$7:$H$3000,Offers!$B$7:$B$3000,$B445,Offers!$C$7:$C$3000,$C445,Offers!$AF$7:$AF$3000,1))</f>
        <v/>
      </c>
      <c r="G445" s="93" t="str">
        <f aca="false">IF(COUNTIFS(Offers!$B$7:$B$3000,$B445,Offers!$C$7:$C$3000,$C445,Offers!$AH$7:$AH$3000,"yes")=0,"",(SUMIFS(Offers!$H$7:$H$3000,Offers!$B$7:$B$3000,$B445,Offers!$C$7:$C$3000,$C445,Offers!$AF$7:$AF$3000,ROUNDUP(COUNTIFS(Offers!$B$7:$B$3000,$B445,Offers!$C$7:$C$3000,$C445,Offers!$AH$7:$AH$3000,"yes")/2,0))+SUMIFS(Offers!$H$7:$H$3000,Offers!$B$7:$B$3000,$B445,Offers!$C$7:$C$3000,$C445,Offers!$AF$7:$AF$3000,INT(COUNTIFS(Offers!$B$7:$B$3000,$B445,Offers!$C$7:$C$3000,$C445,Offers!$AH$7:$AH$3000,"yes")/2)+1))/2)</f>
        <v/>
      </c>
      <c r="H445" s="99" t="str">
        <f aca="false">IF(COUNTIFS(Offers!$B$7:$B$3000,$B445,Offers!$C$7:$C$3000,$C445,Offers!$AH$7:$AH$3000,"yes")=0,"",SUMIFS(Offers!$H$7:$H$3000,Offers!$B$7:$B$3000,$B445,Offers!$C$7:$C$3000,$C445,Offers!$AF$7:$AF$3000,COUNTIFS(Offers!$B$7:$B$3000,$B445,Offers!$C$7:$C$3000,$C445,Offers!$AH$7:$AH$3000,"yes")))</f>
        <v/>
      </c>
      <c r="I445" s="100" t="str">
        <f aca="false">IF(COUNTIFS(Offers!$B$7:$B$3000,$B445,Offers!$C$7:$C$3000,$C445,Offers!$AI$7:$AI$3000,"yes")=0,"",SUMIFS(Offers!$I$7:$I$3000,Offers!$B$7:$B$3000,$B445,Offers!$C$7:$C$3000,$C445,Offers!$AG$7:$AG$3000,1))</f>
        <v/>
      </c>
      <c r="J445" s="95" t="str">
        <f aca="false">IF(COUNTIFS(Offers!$B$7:$B$3000,$B445,Offers!$C$7:$C$3000,$C445,Offers!$AI$7:$AI$3000,"yes")=0,"",(SUMIFS(Offers!$I$7:$I$3000,Offers!$B$7:$B$3000,$B445,Offers!$C$7:$C$3000,$C445,Offers!$AG$7:$AG$3000,ROUNDUP(COUNTIFS(Offers!$B$7:$B$3000,$B445,Offers!$C$7:$C$3000,$C445,Offers!$AI$7:$AI$3000,"yes")/2,0))+SUMIFS(Offers!$I$7:$I$3000,Offers!$B$7:$B$3000,$B445,Offers!$C$7:$C$3000,$C445,Offers!$AG$7:$AG$3000,INT(COUNTIFS(Offers!$B$7:$B$3000,$B445,Offers!$C$7:$C$3000,$C445,Offers!$AI$7:$AI$3000,"yes")/2)+1))/2)</f>
        <v/>
      </c>
      <c r="K445" s="100" t="str">
        <f aca="false">IF(COUNTIFS(Offers!$B$7:$B$3000,$B445,Offers!$C$7:$C$3000,$C445,Offers!$AI$7:$AI$3000,"yes")=0,"",SUMIFS(Offers!$I$7:$I$3000,Offers!$B$7:$B$3000,$B445,Offers!$C$7:$C$3000,$C445,Offers!$AG$7:$AG$3000,COUNTIFS(Offers!$B$7:$B$3000,$B445,Offers!$C$7:$C$3000,$C445,Offers!$AI$7:$AI$3000,"yes")))</f>
        <v/>
      </c>
      <c r="L445" s="96"/>
      <c r="M445" s="96"/>
      <c r="N445" s="96"/>
      <c r="O445" s="110" t="str">
        <f aca="false">IF(Compare!$E$5="Local prices",IF(F445="","",IF(Compare!$C$5="Minimum",F445,IF(Compare!$C$5="Maximum",H445,G445))),IF(I445="","",IF(Compare!$C$5="Minimum",I445,IF(Compare!$C$5="Maximum",K445,J445))))</f>
        <v/>
      </c>
    </row>
    <row r="446" customFormat="false" ht="13.5" hidden="false" customHeight="false" outlineLevel="0" collapsed="false">
      <c r="B446" s="36" t="s">
        <v>104</v>
      </c>
      <c r="C446" s="98" t="s">
        <v>14</v>
      </c>
      <c r="D446" s="98" t="s">
        <v>374</v>
      </c>
      <c r="E446" s="98" t="s">
        <v>491</v>
      </c>
      <c r="F446" s="99" t="n">
        <f aca="false">IF(COUNTIFS(Offers!$B$7:$B$3000,$B446,Offers!$C$7:$C$3000,$C446,Offers!$AH$7:$AH$3000,"yes")=0,"",SUMIFS(Offers!$H$7:$H$3000,Offers!$B$7:$B$3000,$B446,Offers!$C$7:$C$3000,$C446,Offers!$AF$7:$AF$3000,1))</f>
        <v>1.91</v>
      </c>
      <c r="G446" s="93" t="n">
        <f aca="false">IF(COUNTIFS(Offers!$B$7:$B$3000,$B446,Offers!$C$7:$C$3000,$C446,Offers!$AH$7:$AH$3000,"yes")=0,"",(SUMIFS(Offers!$H$7:$H$3000,Offers!$B$7:$B$3000,$B446,Offers!$C$7:$C$3000,$C446,Offers!$AF$7:$AF$3000,ROUNDUP(COUNTIFS(Offers!$B$7:$B$3000,$B446,Offers!$C$7:$C$3000,$C446,Offers!$AH$7:$AH$3000,"yes")/2,0))+SUMIFS(Offers!$H$7:$H$3000,Offers!$B$7:$B$3000,$B446,Offers!$C$7:$C$3000,$C446,Offers!$AF$7:$AF$3000,INT(COUNTIFS(Offers!$B$7:$B$3000,$B446,Offers!$C$7:$C$3000,$C446,Offers!$AH$7:$AH$3000,"yes")/2)+1))/2)</f>
        <v>14.84</v>
      </c>
      <c r="H446" s="99" t="n">
        <f aca="false">IF(COUNTIFS(Offers!$B$7:$B$3000,$B446,Offers!$C$7:$C$3000,$C446,Offers!$AH$7:$AH$3000,"yes")=0,"",SUMIFS(Offers!$H$7:$H$3000,Offers!$B$7:$B$3000,$B446,Offers!$C$7:$C$3000,$C446,Offers!$AF$7:$AF$3000,COUNTIFS(Offers!$B$7:$B$3000,$B446,Offers!$C$7:$C$3000,$C446,Offers!$AH$7:$AH$3000,"yes")))</f>
        <v>20.45</v>
      </c>
      <c r="I446" s="100" t="n">
        <f aca="false">IF(COUNTIFS(Offers!$B$7:$B$3000,$B446,Offers!$C$7:$C$3000,$C446,Offers!$AI$7:$AI$3000,"yes")=0,"",SUMIFS(Offers!$I$7:$I$3000,Offers!$B$7:$B$3000,$B446,Offers!$C$7:$C$3000,$C446,Offers!$AG$7:$AG$3000,1))</f>
        <v>1.716676</v>
      </c>
      <c r="J446" s="95" t="n">
        <f aca="false">IF(COUNTIFS(Offers!$B$7:$B$3000,$B446,Offers!$C$7:$C$3000,$C446,Offers!$AI$7:$AI$3000,"yes")=0,"",(SUMIFS(Offers!$I$7:$I$3000,Offers!$B$7:$B$3000,$B446,Offers!$C$7:$C$3000,$C446,Offers!$AG$7:$AG$3000,ROUNDUP(COUNTIFS(Offers!$B$7:$B$3000,$B446,Offers!$C$7:$C$3000,$C446,Offers!$AI$7:$AI$3000,"yes")/2,0))+SUMIFS(Offers!$I$7:$I$3000,Offers!$B$7:$B$3000,$B446,Offers!$C$7:$C$3000,$C446,Offers!$AG$7:$AG$3000,INT(COUNTIFS(Offers!$B$7:$B$3000,$B446,Offers!$C$7:$C$3000,$C446,Offers!$AI$7:$AI$3000,"yes")/2)+1))/2)</f>
        <v>2.811862</v>
      </c>
      <c r="K446" s="100" t="n">
        <f aca="false">IF(COUNTIFS(Offers!$B$7:$B$3000,$B446,Offers!$C$7:$C$3000,$C446,Offers!$AI$7:$AI$3000,"yes")=0,"",SUMIFS(Offers!$I$7:$I$3000,Offers!$B$7:$B$3000,$B446,Offers!$C$7:$C$3000,$C446,Offers!$AG$7:$AG$3000,COUNTIFS(Offers!$B$7:$B$3000,$B446,Offers!$C$7:$C$3000,$C446,Offers!$AI$7:$AI$3000,"yes")))</f>
        <v>3.874837</v>
      </c>
      <c r="L446" s="96"/>
      <c r="M446" s="96"/>
      <c r="N446" s="96"/>
      <c r="O446" s="101" t="n">
        <f aca="false">IF(Compare!$E$5="Local prices",IF(F446="","",IF(Compare!$C$5="Minimum",F446,IF(Compare!$C$5="Maximum",H446,G446))),IF(I446="","",IF(Compare!$C$5="Minimum",I446,IF(Compare!$C$5="Maximum",K446,J446))))</f>
        <v>2.811862</v>
      </c>
    </row>
    <row r="447" customFormat="false" ht="13.5" hidden="false" customHeight="false" outlineLevel="0" collapsed="false">
      <c r="B447" s="36" t="s">
        <v>104</v>
      </c>
      <c r="C447" s="98" t="s">
        <v>15</v>
      </c>
      <c r="D447" s="98" t="s">
        <v>244</v>
      </c>
      <c r="E447" s="98" t="s">
        <v>491</v>
      </c>
      <c r="F447" s="99" t="n">
        <f aca="false">IF(COUNTIFS(Offers!$B$7:$B$3000,$B447,Offers!$C$7:$C$3000,$C447,Offers!$AH$7:$AH$3000,"yes")=0,"",SUMIFS(Offers!$H$7:$H$3000,Offers!$B$7:$B$3000,$B447,Offers!$C$7:$C$3000,$C447,Offers!$AF$7:$AF$3000,1))</f>
        <v>2.61</v>
      </c>
      <c r="G447" s="93" t="n">
        <f aca="false">IF(COUNTIFS(Offers!$B$7:$B$3000,$B447,Offers!$C$7:$C$3000,$C447,Offers!$AH$7:$AH$3000,"yes")=0,"",(SUMIFS(Offers!$H$7:$H$3000,Offers!$B$7:$B$3000,$B447,Offers!$C$7:$C$3000,$C447,Offers!$AF$7:$AF$3000,ROUNDUP(COUNTIFS(Offers!$B$7:$B$3000,$B447,Offers!$C$7:$C$3000,$C447,Offers!$AH$7:$AH$3000,"yes")/2,0))+SUMIFS(Offers!$H$7:$H$3000,Offers!$B$7:$B$3000,$B447,Offers!$C$7:$C$3000,$C447,Offers!$AF$7:$AF$3000,INT(COUNTIFS(Offers!$B$7:$B$3000,$B447,Offers!$C$7:$C$3000,$C447,Offers!$AH$7:$AH$3000,"yes")/2)+1))/2)</f>
        <v>3.16</v>
      </c>
      <c r="H447" s="99" t="n">
        <f aca="false">IF(COUNTIFS(Offers!$B$7:$B$3000,$B447,Offers!$C$7:$C$3000,$C447,Offers!$AH$7:$AH$3000,"yes")=0,"",SUMIFS(Offers!$H$7:$H$3000,Offers!$B$7:$B$3000,$B447,Offers!$C$7:$C$3000,$C447,Offers!$AF$7:$AF$3000,COUNTIFS(Offers!$B$7:$B$3000,$B447,Offers!$C$7:$C$3000,$C447,Offers!$AH$7:$AH$3000,"yes")))</f>
        <v>12.51</v>
      </c>
      <c r="I447" s="100" t="n">
        <f aca="false">IF(COUNTIFS(Offers!$B$7:$B$3000,$B447,Offers!$C$7:$C$3000,$C447,Offers!$AI$7:$AI$3000,"yes")=0,"",SUMIFS(Offers!$I$7:$I$3000,Offers!$B$7:$B$3000,$B447,Offers!$C$7:$C$3000,$C447,Offers!$AG$7:$AG$3000,1))</f>
        <v>2.61</v>
      </c>
      <c r="J447" s="95" t="n">
        <f aca="false">IF(COUNTIFS(Offers!$B$7:$B$3000,$B447,Offers!$C$7:$C$3000,$C447,Offers!$AI$7:$AI$3000,"yes")=0,"",(SUMIFS(Offers!$I$7:$I$3000,Offers!$B$7:$B$3000,$B447,Offers!$C$7:$C$3000,$C447,Offers!$AG$7:$AG$3000,ROUNDUP(COUNTIFS(Offers!$B$7:$B$3000,$B447,Offers!$C$7:$C$3000,$C447,Offers!$AI$7:$AI$3000,"yes")/2,0))+SUMIFS(Offers!$I$7:$I$3000,Offers!$B$7:$B$3000,$B447,Offers!$C$7:$C$3000,$C447,Offers!$AG$7:$AG$3000,INT(COUNTIFS(Offers!$B$7:$B$3000,$B447,Offers!$C$7:$C$3000,$C447,Offers!$AI$7:$AI$3000,"yes")/2)+1))/2)</f>
        <v>3.16</v>
      </c>
      <c r="K447" s="100" t="n">
        <f aca="false">IF(COUNTIFS(Offers!$B$7:$B$3000,$B447,Offers!$C$7:$C$3000,$C447,Offers!$AI$7:$AI$3000,"yes")=0,"",SUMIFS(Offers!$I$7:$I$3000,Offers!$B$7:$B$3000,$B447,Offers!$C$7:$C$3000,$C447,Offers!$AG$7:$AG$3000,COUNTIFS(Offers!$B$7:$B$3000,$B447,Offers!$C$7:$C$3000,$C447,Offers!$AI$7:$AI$3000,"yes")))</f>
        <v>12.51</v>
      </c>
      <c r="L447" s="96"/>
      <c r="M447" s="96"/>
      <c r="N447" s="96"/>
      <c r="O447" s="101" t="n">
        <f aca="false">IF(Compare!$E$5="Local prices",IF(F447="","",IF(Compare!$C$5="Minimum",F447,IF(Compare!$C$5="Maximum",H447,G447))),IF(I447="","",IF(Compare!$C$5="Minimum",I447,IF(Compare!$C$5="Maximum",K447,J447))))</f>
        <v>3.16</v>
      </c>
    </row>
    <row r="448" customFormat="false" ht="13.5" hidden="false" customHeight="false" outlineLevel="0" collapsed="false">
      <c r="B448" s="36" t="s">
        <v>104</v>
      </c>
      <c r="C448" s="98" t="s">
        <v>16</v>
      </c>
      <c r="D448" s="98" t="s">
        <v>244</v>
      </c>
      <c r="E448" s="98" t="s">
        <v>491</v>
      </c>
      <c r="F448" s="99" t="n">
        <f aca="false">IF(COUNTIFS(Offers!$B$7:$B$3000,$B448,Offers!$C$7:$C$3000,$C448,Offers!$AH$7:$AH$3000,"yes")=0,"",SUMIFS(Offers!$H$7:$H$3000,Offers!$B$7:$B$3000,$B448,Offers!$C$7:$C$3000,$C448,Offers!$AF$7:$AF$3000,1))</f>
        <v>1.59</v>
      </c>
      <c r="G448" s="93" t="n">
        <f aca="false">IF(COUNTIFS(Offers!$B$7:$B$3000,$B448,Offers!$C$7:$C$3000,$C448,Offers!$AH$7:$AH$3000,"yes")=0,"",(SUMIFS(Offers!$H$7:$H$3000,Offers!$B$7:$B$3000,$B448,Offers!$C$7:$C$3000,$C448,Offers!$AF$7:$AF$3000,ROUNDUP(COUNTIFS(Offers!$B$7:$B$3000,$B448,Offers!$C$7:$C$3000,$C448,Offers!$AH$7:$AH$3000,"yes")/2,0))+SUMIFS(Offers!$H$7:$H$3000,Offers!$B$7:$B$3000,$B448,Offers!$C$7:$C$3000,$C448,Offers!$AF$7:$AF$3000,INT(COUNTIFS(Offers!$B$7:$B$3000,$B448,Offers!$C$7:$C$3000,$C448,Offers!$AH$7:$AH$3000,"yes")/2)+1))/2)</f>
        <v>3.12</v>
      </c>
      <c r="H448" s="99" t="n">
        <f aca="false">IF(COUNTIFS(Offers!$B$7:$B$3000,$B448,Offers!$C$7:$C$3000,$C448,Offers!$AH$7:$AH$3000,"yes")=0,"",SUMIFS(Offers!$H$7:$H$3000,Offers!$B$7:$B$3000,$B448,Offers!$C$7:$C$3000,$C448,Offers!$AF$7:$AF$3000,COUNTIFS(Offers!$B$7:$B$3000,$B448,Offers!$C$7:$C$3000,$C448,Offers!$AH$7:$AH$3000,"yes")))</f>
        <v>5.61</v>
      </c>
      <c r="I448" s="100" t="n">
        <f aca="false">IF(COUNTIFS(Offers!$B$7:$B$3000,$B448,Offers!$C$7:$C$3000,$C448,Offers!$AI$7:$AI$3000,"yes")=0,"",SUMIFS(Offers!$I$7:$I$3000,Offers!$B$7:$B$3000,$B448,Offers!$C$7:$C$3000,$C448,Offers!$AG$7:$AG$3000,1))</f>
        <v>1.59</v>
      </c>
      <c r="J448" s="95" t="n">
        <f aca="false">IF(COUNTIFS(Offers!$B$7:$B$3000,$B448,Offers!$C$7:$C$3000,$C448,Offers!$AI$7:$AI$3000,"yes")=0,"",(SUMIFS(Offers!$I$7:$I$3000,Offers!$B$7:$B$3000,$B448,Offers!$C$7:$C$3000,$C448,Offers!$AG$7:$AG$3000,ROUNDUP(COUNTIFS(Offers!$B$7:$B$3000,$B448,Offers!$C$7:$C$3000,$C448,Offers!$AI$7:$AI$3000,"yes")/2,0))+SUMIFS(Offers!$I$7:$I$3000,Offers!$B$7:$B$3000,$B448,Offers!$C$7:$C$3000,$C448,Offers!$AG$7:$AG$3000,INT(COUNTIFS(Offers!$B$7:$B$3000,$B448,Offers!$C$7:$C$3000,$C448,Offers!$AI$7:$AI$3000,"yes")/2)+1))/2)</f>
        <v>3.12</v>
      </c>
      <c r="K448" s="100" t="n">
        <f aca="false">IF(COUNTIFS(Offers!$B$7:$B$3000,$B448,Offers!$C$7:$C$3000,$C448,Offers!$AI$7:$AI$3000,"yes")=0,"",SUMIFS(Offers!$I$7:$I$3000,Offers!$B$7:$B$3000,$B448,Offers!$C$7:$C$3000,$C448,Offers!$AG$7:$AG$3000,COUNTIFS(Offers!$B$7:$B$3000,$B448,Offers!$C$7:$C$3000,$C448,Offers!$AI$7:$AI$3000,"yes")))</f>
        <v>5.61</v>
      </c>
      <c r="L448" s="96"/>
      <c r="M448" s="96"/>
      <c r="N448" s="96"/>
      <c r="O448" s="101" t="n">
        <f aca="false">IF(Compare!$E$5="Local prices",IF(F448="","",IF(Compare!$C$5="Minimum",F448,IF(Compare!$C$5="Maximum",H448,G448))),IF(I448="","",IF(Compare!$C$5="Minimum",I448,IF(Compare!$C$5="Maximum",K448,J448))))</f>
        <v>3.12</v>
      </c>
    </row>
    <row r="449" customFormat="false" ht="13.5" hidden="false" customHeight="false" outlineLevel="0" collapsed="false">
      <c r="B449" s="36" t="s">
        <v>104</v>
      </c>
      <c r="C449" s="98" t="s">
        <v>17</v>
      </c>
      <c r="D449" s="98" t="s">
        <v>333</v>
      </c>
      <c r="E449" s="98" t="s">
        <v>491</v>
      </c>
      <c r="F449" s="99" t="n">
        <f aca="false">IF(COUNTIFS(Offers!$B$7:$B$3000,$B449,Offers!$C$7:$C$3000,$C449,Offers!$AH$7:$AH$3000,"yes")=0,"",SUMIFS(Offers!$H$7:$H$3000,Offers!$B$7:$B$3000,$B449,Offers!$C$7:$C$3000,$C449,Offers!$AF$7:$AF$3000,1))</f>
        <v>47.93</v>
      </c>
      <c r="G449" s="93" t="n">
        <f aca="false">IF(COUNTIFS(Offers!$B$7:$B$3000,$B449,Offers!$C$7:$C$3000,$C449,Offers!$AH$7:$AH$3000,"yes")=0,"",(SUMIFS(Offers!$H$7:$H$3000,Offers!$B$7:$B$3000,$B449,Offers!$C$7:$C$3000,$C449,Offers!$AF$7:$AF$3000,ROUNDUP(COUNTIFS(Offers!$B$7:$B$3000,$B449,Offers!$C$7:$C$3000,$C449,Offers!$AH$7:$AH$3000,"yes")/2,0))+SUMIFS(Offers!$H$7:$H$3000,Offers!$B$7:$B$3000,$B449,Offers!$C$7:$C$3000,$C449,Offers!$AF$7:$AF$3000,INT(COUNTIFS(Offers!$B$7:$B$3000,$B449,Offers!$C$7:$C$3000,$C449,Offers!$AH$7:$AH$3000,"yes")/2)+1))/2)</f>
        <v>69</v>
      </c>
      <c r="H449" s="99" t="n">
        <f aca="false">IF(COUNTIFS(Offers!$B$7:$B$3000,$B449,Offers!$C$7:$C$3000,$C449,Offers!$AH$7:$AH$3000,"yes")=0,"",SUMIFS(Offers!$H$7:$H$3000,Offers!$B$7:$B$3000,$B449,Offers!$C$7:$C$3000,$C449,Offers!$AF$7:$AF$3000,COUNTIFS(Offers!$B$7:$B$3000,$B449,Offers!$C$7:$C$3000,$C449,Offers!$AH$7:$AH$3000,"yes")))</f>
        <v>106</v>
      </c>
      <c r="I449" s="100" t="n">
        <f aca="false">IF(COUNTIFS(Offers!$B$7:$B$3000,$B449,Offers!$C$7:$C$3000,$C449,Offers!$AI$7:$AI$3000,"yes")=0,"",SUMIFS(Offers!$I$7:$I$3000,Offers!$B$7:$B$3000,$B449,Offers!$C$7:$C$3000,$C449,Offers!$AG$7:$AG$3000,1))</f>
        <v>1.962445</v>
      </c>
      <c r="J449" s="95" t="n">
        <f aca="false">IF(COUNTIFS(Offers!$B$7:$B$3000,$B449,Offers!$C$7:$C$3000,$C449,Offers!$AI$7:$AI$3000,"yes")=0,"",(SUMIFS(Offers!$I$7:$I$3000,Offers!$B$7:$B$3000,$B449,Offers!$C$7:$C$3000,$C449,Offers!$AG$7:$AG$3000,ROUNDUP(COUNTIFS(Offers!$B$7:$B$3000,$B449,Offers!$C$7:$C$3000,$C449,Offers!$AI$7:$AI$3000,"yes")/2,0))+SUMIFS(Offers!$I$7:$I$3000,Offers!$B$7:$B$3000,$B449,Offers!$C$7:$C$3000,$C449,Offers!$AG$7:$AG$3000,INT(COUNTIFS(Offers!$B$7:$B$3000,$B449,Offers!$C$7:$C$3000,$C449,Offers!$AI$7:$AI$3000,"yes")/2)+1))/2)</f>
        <v>2.825135</v>
      </c>
      <c r="K449" s="100" t="n">
        <f aca="false">IF(COUNTIFS(Offers!$B$7:$B$3000,$B449,Offers!$C$7:$C$3000,$C449,Offers!$AI$7:$AI$3000,"yes")=0,"",SUMIFS(Offers!$I$7:$I$3000,Offers!$B$7:$B$3000,$B449,Offers!$C$7:$C$3000,$C449,Offers!$AG$7:$AG$3000,COUNTIFS(Offers!$B$7:$B$3000,$B449,Offers!$C$7:$C$3000,$C449,Offers!$AI$7:$AI$3000,"yes")))</f>
        <v>4.340062</v>
      </c>
      <c r="L449" s="96"/>
      <c r="M449" s="96"/>
      <c r="N449" s="96"/>
      <c r="O449" s="101" t="n">
        <f aca="false">IF(Compare!$E$5="Local prices",IF(F449="","",IF(Compare!$C$5="Minimum",F449,IF(Compare!$C$5="Maximum",H449,G449))),IF(I449="","",IF(Compare!$C$5="Minimum",I449,IF(Compare!$C$5="Maximum",K449,J449))))</f>
        <v>2.825135</v>
      </c>
    </row>
    <row r="450" customFormat="false" ht="13.5" hidden="false" customHeight="false" outlineLevel="0" collapsed="false">
      <c r="B450" s="36" t="s">
        <v>104</v>
      </c>
      <c r="C450" s="98" t="s">
        <v>18</v>
      </c>
      <c r="D450" s="98" t="s">
        <v>244</v>
      </c>
      <c r="E450" s="98" t="s">
        <v>491</v>
      </c>
      <c r="F450" s="99" t="n">
        <f aca="false">IF(COUNTIFS(Offers!$B$7:$B$3000,$B450,Offers!$C$7:$C$3000,$C450,Offers!$AH$7:$AH$3000,"yes")=0,"",SUMIFS(Offers!$H$7:$H$3000,Offers!$B$7:$B$3000,$B450,Offers!$C$7:$C$3000,$C450,Offers!$AF$7:$AF$3000,1))</f>
        <v>1.31</v>
      </c>
      <c r="G450" s="93" t="n">
        <f aca="false">IF(COUNTIFS(Offers!$B$7:$B$3000,$B450,Offers!$C$7:$C$3000,$C450,Offers!$AH$7:$AH$3000,"yes")=0,"",(SUMIFS(Offers!$H$7:$H$3000,Offers!$B$7:$B$3000,$B450,Offers!$C$7:$C$3000,$C450,Offers!$AF$7:$AF$3000,ROUNDUP(COUNTIFS(Offers!$B$7:$B$3000,$B450,Offers!$C$7:$C$3000,$C450,Offers!$AH$7:$AH$3000,"yes")/2,0))+SUMIFS(Offers!$H$7:$H$3000,Offers!$B$7:$B$3000,$B450,Offers!$C$7:$C$3000,$C450,Offers!$AF$7:$AF$3000,INT(COUNTIFS(Offers!$B$7:$B$3000,$B450,Offers!$C$7:$C$3000,$C450,Offers!$AH$7:$AH$3000,"yes")/2)+1))/2)</f>
        <v>3.3</v>
      </c>
      <c r="H450" s="99" t="n">
        <f aca="false">IF(COUNTIFS(Offers!$B$7:$B$3000,$B450,Offers!$C$7:$C$3000,$C450,Offers!$AH$7:$AH$3000,"yes")=0,"",SUMIFS(Offers!$H$7:$H$3000,Offers!$B$7:$B$3000,$B450,Offers!$C$7:$C$3000,$C450,Offers!$AF$7:$AF$3000,COUNTIFS(Offers!$B$7:$B$3000,$B450,Offers!$C$7:$C$3000,$C450,Offers!$AH$7:$AH$3000,"yes")))</f>
        <v>3.68</v>
      </c>
      <c r="I450" s="100" t="n">
        <f aca="false">IF(COUNTIFS(Offers!$B$7:$B$3000,$B450,Offers!$C$7:$C$3000,$C450,Offers!$AI$7:$AI$3000,"yes")=0,"",SUMIFS(Offers!$I$7:$I$3000,Offers!$B$7:$B$3000,$B450,Offers!$C$7:$C$3000,$C450,Offers!$AG$7:$AG$3000,1))</f>
        <v>1.31</v>
      </c>
      <c r="J450" s="95" t="n">
        <f aca="false">IF(COUNTIFS(Offers!$B$7:$B$3000,$B450,Offers!$C$7:$C$3000,$C450,Offers!$AI$7:$AI$3000,"yes")=0,"",(SUMIFS(Offers!$I$7:$I$3000,Offers!$B$7:$B$3000,$B450,Offers!$C$7:$C$3000,$C450,Offers!$AG$7:$AG$3000,ROUNDUP(COUNTIFS(Offers!$B$7:$B$3000,$B450,Offers!$C$7:$C$3000,$C450,Offers!$AI$7:$AI$3000,"yes")/2,0))+SUMIFS(Offers!$I$7:$I$3000,Offers!$B$7:$B$3000,$B450,Offers!$C$7:$C$3000,$C450,Offers!$AG$7:$AG$3000,INT(COUNTIFS(Offers!$B$7:$B$3000,$B450,Offers!$C$7:$C$3000,$C450,Offers!$AI$7:$AI$3000,"yes")/2)+1))/2)</f>
        <v>3.3</v>
      </c>
      <c r="K450" s="100" t="n">
        <f aca="false">IF(COUNTIFS(Offers!$B$7:$B$3000,$B450,Offers!$C$7:$C$3000,$C450,Offers!$AI$7:$AI$3000,"yes")=0,"",SUMIFS(Offers!$I$7:$I$3000,Offers!$B$7:$B$3000,$B450,Offers!$C$7:$C$3000,$C450,Offers!$AG$7:$AG$3000,COUNTIFS(Offers!$B$7:$B$3000,$B450,Offers!$C$7:$C$3000,$C450,Offers!$AI$7:$AI$3000,"yes")))</f>
        <v>3.68</v>
      </c>
      <c r="L450" s="96"/>
      <c r="M450" s="96"/>
      <c r="N450" s="96"/>
      <c r="O450" s="101" t="n">
        <f aca="false">IF(Compare!$E$5="Local prices",IF(F450="","",IF(Compare!$C$5="Minimum",F450,IF(Compare!$C$5="Maximum",H450,G450))),IF(I450="","",IF(Compare!$C$5="Minimum",I450,IF(Compare!$C$5="Maximum",K450,J450))))</f>
        <v>3.3</v>
      </c>
    </row>
    <row r="451" customFormat="false" ht="13.5" hidden="false" customHeight="false" outlineLevel="0" collapsed="false">
      <c r="B451" s="36" t="s">
        <v>105</v>
      </c>
      <c r="C451" s="98" t="s">
        <v>13</v>
      </c>
      <c r="D451" s="98" t="s">
        <v>490</v>
      </c>
      <c r="E451" s="98" t="s">
        <v>491</v>
      </c>
      <c r="F451" s="99" t="str">
        <f aca="false">IF(COUNTIFS(Offers!$B$7:$B$3000,$B451,Offers!$C$7:$C$3000,$C451,Offers!$AH$7:$AH$3000,"yes")=0,"",SUMIFS(Offers!$H$7:$H$3000,Offers!$B$7:$B$3000,$B451,Offers!$C$7:$C$3000,$C451,Offers!$AF$7:$AF$3000,1))</f>
        <v/>
      </c>
      <c r="G451" s="93" t="str">
        <f aca="false">IF(COUNTIFS(Offers!$B$7:$B$3000,$B451,Offers!$C$7:$C$3000,$C451,Offers!$AH$7:$AH$3000,"yes")=0,"",(SUMIFS(Offers!$H$7:$H$3000,Offers!$B$7:$B$3000,$B451,Offers!$C$7:$C$3000,$C451,Offers!$AF$7:$AF$3000,ROUNDUP(COUNTIFS(Offers!$B$7:$B$3000,$B451,Offers!$C$7:$C$3000,$C451,Offers!$AH$7:$AH$3000,"yes")/2,0))+SUMIFS(Offers!$H$7:$H$3000,Offers!$B$7:$B$3000,$B451,Offers!$C$7:$C$3000,$C451,Offers!$AF$7:$AF$3000,INT(COUNTIFS(Offers!$B$7:$B$3000,$B451,Offers!$C$7:$C$3000,$C451,Offers!$AH$7:$AH$3000,"yes")/2)+1))/2)</f>
        <v/>
      </c>
      <c r="H451" s="99" t="str">
        <f aca="false">IF(COUNTIFS(Offers!$B$7:$B$3000,$B451,Offers!$C$7:$C$3000,$C451,Offers!$AH$7:$AH$3000,"yes")=0,"",SUMIFS(Offers!$H$7:$H$3000,Offers!$B$7:$B$3000,$B451,Offers!$C$7:$C$3000,$C451,Offers!$AF$7:$AF$3000,COUNTIFS(Offers!$B$7:$B$3000,$B451,Offers!$C$7:$C$3000,$C451,Offers!$AH$7:$AH$3000,"yes")))</f>
        <v/>
      </c>
      <c r="I451" s="100" t="str">
        <f aca="false">IF(COUNTIFS(Offers!$B$7:$B$3000,$B451,Offers!$C$7:$C$3000,$C451,Offers!$AI$7:$AI$3000,"yes")=0,"",SUMIFS(Offers!$I$7:$I$3000,Offers!$B$7:$B$3000,$B451,Offers!$C$7:$C$3000,$C451,Offers!$AG$7:$AG$3000,1))</f>
        <v/>
      </c>
      <c r="J451" s="95" t="str">
        <f aca="false">IF(COUNTIFS(Offers!$B$7:$B$3000,$B451,Offers!$C$7:$C$3000,$C451,Offers!$AI$7:$AI$3000,"yes")=0,"",(SUMIFS(Offers!$I$7:$I$3000,Offers!$B$7:$B$3000,$B451,Offers!$C$7:$C$3000,$C451,Offers!$AG$7:$AG$3000,ROUNDUP(COUNTIFS(Offers!$B$7:$B$3000,$B451,Offers!$C$7:$C$3000,$C451,Offers!$AI$7:$AI$3000,"yes")/2,0))+SUMIFS(Offers!$I$7:$I$3000,Offers!$B$7:$B$3000,$B451,Offers!$C$7:$C$3000,$C451,Offers!$AG$7:$AG$3000,INT(COUNTIFS(Offers!$B$7:$B$3000,$B451,Offers!$C$7:$C$3000,$C451,Offers!$AI$7:$AI$3000,"yes")/2)+1))/2)</f>
        <v/>
      </c>
      <c r="K451" s="100" t="str">
        <f aca="false">IF(COUNTIFS(Offers!$B$7:$B$3000,$B451,Offers!$C$7:$C$3000,$C451,Offers!$AI$7:$AI$3000,"yes")=0,"",SUMIFS(Offers!$I$7:$I$3000,Offers!$B$7:$B$3000,$B451,Offers!$C$7:$C$3000,$C451,Offers!$AG$7:$AG$3000,COUNTIFS(Offers!$B$7:$B$3000,$B451,Offers!$C$7:$C$3000,$C451,Offers!$AI$7:$AI$3000,"yes")))</f>
        <v/>
      </c>
      <c r="L451" s="96"/>
      <c r="M451" s="96"/>
      <c r="N451" s="96"/>
      <c r="O451" s="110" t="str">
        <f aca="false">IF(Compare!$E$5="Local prices",IF(F451="","",IF(Compare!$C$5="Minimum",F451,IF(Compare!$C$5="Maximum",H451,G451))),IF(I451="","",IF(Compare!$C$5="Minimum",I451,IF(Compare!$C$5="Maximum",K451,J451))))</f>
        <v/>
      </c>
    </row>
    <row r="452" customFormat="false" ht="13.5" hidden="false" customHeight="false" outlineLevel="0" collapsed="false">
      <c r="B452" s="36" t="s">
        <v>105</v>
      </c>
      <c r="C452" s="98" t="s">
        <v>14</v>
      </c>
      <c r="D452" s="98" t="s">
        <v>374</v>
      </c>
      <c r="E452" s="98" t="s">
        <v>491</v>
      </c>
      <c r="F452" s="99" t="n">
        <f aca="false">IF(COUNTIFS(Offers!$B$7:$B$3000,$B452,Offers!$C$7:$C$3000,$C452,Offers!$AH$7:$AH$3000,"yes")=0,"",SUMIFS(Offers!$H$7:$H$3000,Offers!$B$7:$B$3000,$B452,Offers!$C$7:$C$3000,$C452,Offers!$AF$7:$AF$3000,1))</f>
        <v>1.27</v>
      </c>
      <c r="G452" s="93" t="n">
        <f aca="false">IF(COUNTIFS(Offers!$B$7:$B$3000,$B452,Offers!$C$7:$C$3000,$C452,Offers!$AH$7:$AH$3000,"yes")=0,"",(SUMIFS(Offers!$H$7:$H$3000,Offers!$B$7:$B$3000,$B452,Offers!$C$7:$C$3000,$C452,Offers!$AF$7:$AF$3000,ROUNDUP(COUNTIFS(Offers!$B$7:$B$3000,$B452,Offers!$C$7:$C$3000,$C452,Offers!$AH$7:$AH$3000,"yes")/2,0))+SUMIFS(Offers!$H$7:$H$3000,Offers!$B$7:$B$3000,$B452,Offers!$C$7:$C$3000,$C452,Offers!$AF$7:$AF$3000,INT(COUNTIFS(Offers!$B$7:$B$3000,$B452,Offers!$C$7:$C$3000,$C452,Offers!$AH$7:$AH$3000,"yes")/2)+1))/2)</f>
        <v>8.89</v>
      </c>
      <c r="H452" s="99" t="n">
        <f aca="false">IF(COUNTIFS(Offers!$B$7:$B$3000,$B452,Offers!$C$7:$C$3000,$C452,Offers!$AH$7:$AH$3000,"yes")=0,"",SUMIFS(Offers!$H$7:$H$3000,Offers!$B$7:$B$3000,$B452,Offers!$C$7:$C$3000,$C452,Offers!$AF$7:$AF$3000,COUNTIFS(Offers!$B$7:$B$3000,$B452,Offers!$C$7:$C$3000,$C452,Offers!$AH$7:$AH$3000,"yes")))</f>
        <v>16.02</v>
      </c>
      <c r="I452" s="100" t="n">
        <f aca="false">IF(COUNTIFS(Offers!$B$7:$B$3000,$B452,Offers!$C$7:$C$3000,$C452,Offers!$AI$7:$AI$3000,"yes")=0,"",SUMIFS(Offers!$I$7:$I$3000,Offers!$B$7:$B$3000,$B452,Offers!$C$7:$C$3000,$C452,Offers!$AG$7:$AG$3000,1))</f>
        <v>1.27</v>
      </c>
      <c r="J452" s="95" t="n">
        <f aca="false">IF(COUNTIFS(Offers!$B$7:$B$3000,$B452,Offers!$C$7:$C$3000,$C452,Offers!$AI$7:$AI$3000,"yes")=0,"",(SUMIFS(Offers!$I$7:$I$3000,Offers!$B$7:$B$3000,$B452,Offers!$C$7:$C$3000,$C452,Offers!$AG$7:$AG$3000,ROUNDUP(COUNTIFS(Offers!$B$7:$B$3000,$B452,Offers!$C$7:$C$3000,$C452,Offers!$AI$7:$AI$3000,"yes")/2,0))+SUMIFS(Offers!$I$7:$I$3000,Offers!$B$7:$B$3000,$B452,Offers!$C$7:$C$3000,$C452,Offers!$AG$7:$AG$3000,INT(COUNTIFS(Offers!$B$7:$B$3000,$B452,Offers!$C$7:$C$3000,$C452,Offers!$AI$7:$AI$3000,"yes")/2)+1))/2)</f>
        <v>1.684465</v>
      </c>
      <c r="K452" s="100" t="n">
        <f aca="false">IF(COUNTIFS(Offers!$B$7:$B$3000,$B452,Offers!$C$7:$C$3000,$C452,Offers!$AI$7:$AI$3000,"yes")=0,"",SUMIFS(Offers!$I$7:$I$3000,Offers!$B$7:$B$3000,$B452,Offers!$C$7:$C$3000,$C452,Offers!$AG$7:$AG$3000,COUNTIFS(Offers!$B$7:$B$3000,$B452,Offers!$C$7:$C$3000,$C452,Offers!$AI$7:$AI$3000,"yes")))</f>
        <v>3.035447</v>
      </c>
      <c r="L452" s="96"/>
      <c r="M452" s="96"/>
      <c r="N452" s="96"/>
      <c r="O452" s="101" t="n">
        <f aca="false">IF(Compare!$E$5="Local prices",IF(F452="","",IF(Compare!$C$5="Minimum",F452,IF(Compare!$C$5="Maximum",H452,G452))),IF(I452="","",IF(Compare!$C$5="Minimum",I452,IF(Compare!$C$5="Maximum",K452,J452))))</f>
        <v>1.684465</v>
      </c>
    </row>
    <row r="453" customFormat="false" ht="13.5" hidden="false" customHeight="false" outlineLevel="0" collapsed="false">
      <c r="B453" s="36" t="s">
        <v>105</v>
      </c>
      <c r="C453" s="98" t="s">
        <v>15</v>
      </c>
      <c r="D453" s="98" t="s">
        <v>244</v>
      </c>
      <c r="E453" s="98" t="s">
        <v>491</v>
      </c>
      <c r="F453" s="99" t="n">
        <f aca="false">IF(COUNTIFS(Offers!$B$7:$B$3000,$B453,Offers!$C$7:$C$3000,$C453,Offers!$AH$7:$AH$3000,"yes")=0,"",SUMIFS(Offers!$H$7:$H$3000,Offers!$B$7:$B$3000,$B453,Offers!$C$7:$C$3000,$C453,Offers!$AF$7:$AF$3000,1))</f>
        <v>1.49</v>
      </c>
      <c r="G453" s="93" t="n">
        <f aca="false">IF(COUNTIFS(Offers!$B$7:$B$3000,$B453,Offers!$C$7:$C$3000,$C453,Offers!$AH$7:$AH$3000,"yes")=0,"",(SUMIFS(Offers!$H$7:$H$3000,Offers!$B$7:$B$3000,$B453,Offers!$C$7:$C$3000,$C453,Offers!$AF$7:$AF$3000,ROUNDUP(COUNTIFS(Offers!$B$7:$B$3000,$B453,Offers!$C$7:$C$3000,$C453,Offers!$AH$7:$AH$3000,"yes")/2,0))+SUMIFS(Offers!$H$7:$H$3000,Offers!$B$7:$B$3000,$B453,Offers!$C$7:$C$3000,$C453,Offers!$AF$7:$AF$3000,INT(COUNTIFS(Offers!$B$7:$B$3000,$B453,Offers!$C$7:$C$3000,$C453,Offers!$AH$7:$AH$3000,"yes")/2)+1))/2)</f>
        <v>2.49</v>
      </c>
      <c r="H453" s="99" t="n">
        <f aca="false">IF(COUNTIFS(Offers!$B$7:$B$3000,$B453,Offers!$C$7:$C$3000,$C453,Offers!$AH$7:$AH$3000,"yes")=0,"",SUMIFS(Offers!$H$7:$H$3000,Offers!$B$7:$B$3000,$B453,Offers!$C$7:$C$3000,$C453,Offers!$AF$7:$AF$3000,COUNTIFS(Offers!$B$7:$B$3000,$B453,Offers!$C$7:$C$3000,$C453,Offers!$AH$7:$AH$3000,"yes")))</f>
        <v>9.6</v>
      </c>
      <c r="I453" s="100" t="n">
        <f aca="false">IF(COUNTIFS(Offers!$B$7:$B$3000,$B453,Offers!$C$7:$C$3000,$C453,Offers!$AI$7:$AI$3000,"yes")=0,"",SUMIFS(Offers!$I$7:$I$3000,Offers!$B$7:$B$3000,$B453,Offers!$C$7:$C$3000,$C453,Offers!$AG$7:$AG$3000,1))</f>
        <v>1.49</v>
      </c>
      <c r="J453" s="95" t="n">
        <f aca="false">IF(COUNTIFS(Offers!$B$7:$B$3000,$B453,Offers!$C$7:$C$3000,$C453,Offers!$AI$7:$AI$3000,"yes")=0,"",(SUMIFS(Offers!$I$7:$I$3000,Offers!$B$7:$B$3000,$B453,Offers!$C$7:$C$3000,$C453,Offers!$AG$7:$AG$3000,ROUNDUP(COUNTIFS(Offers!$B$7:$B$3000,$B453,Offers!$C$7:$C$3000,$C453,Offers!$AI$7:$AI$3000,"yes")/2,0))+SUMIFS(Offers!$I$7:$I$3000,Offers!$B$7:$B$3000,$B453,Offers!$C$7:$C$3000,$C453,Offers!$AG$7:$AG$3000,INT(COUNTIFS(Offers!$B$7:$B$3000,$B453,Offers!$C$7:$C$3000,$C453,Offers!$AI$7:$AI$3000,"yes")/2)+1))/2)</f>
        <v>2.49</v>
      </c>
      <c r="K453" s="100" t="n">
        <f aca="false">IF(COUNTIFS(Offers!$B$7:$B$3000,$B453,Offers!$C$7:$C$3000,$C453,Offers!$AI$7:$AI$3000,"yes")=0,"",SUMIFS(Offers!$I$7:$I$3000,Offers!$B$7:$B$3000,$B453,Offers!$C$7:$C$3000,$C453,Offers!$AG$7:$AG$3000,COUNTIFS(Offers!$B$7:$B$3000,$B453,Offers!$C$7:$C$3000,$C453,Offers!$AI$7:$AI$3000,"yes")))</f>
        <v>9.6</v>
      </c>
      <c r="L453" s="96"/>
      <c r="M453" s="96"/>
      <c r="N453" s="96"/>
      <c r="O453" s="101" t="n">
        <f aca="false">IF(Compare!$E$5="Local prices",IF(F453="","",IF(Compare!$C$5="Minimum",F453,IF(Compare!$C$5="Maximum",H453,G453))),IF(I453="","",IF(Compare!$C$5="Minimum",I453,IF(Compare!$C$5="Maximum",K453,J453))))</f>
        <v>2.49</v>
      </c>
    </row>
    <row r="454" customFormat="false" ht="13.5" hidden="false" customHeight="false" outlineLevel="0" collapsed="false">
      <c r="B454" s="36" t="s">
        <v>105</v>
      </c>
      <c r="C454" s="98" t="s">
        <v>16</v>
      </c>
      <c r="D454" s="98" t="s">
        <v>244</v>
      </c>
      <c r="E454" s="98" t="s">
        <v>491</v>
      </c>
      <c r="F454" s="99" t="n">
        <f aca="false">IF(COUNTIFS(Offers!$B$7:$B$3000,$B454,Offers!$C$7:$C$3000,$C454,Offers!$AH$7:$AH$3000,"yes")=0,"",SUMIFS(Offers!$H$7:$H$3000,Offers!$B$7:$B$3000,$B454,Offers!$C$7:$C$3000,$C454,Offers!$AF$7:$AF$3000,1))</f>
        <v>0.92</v>
      </c>
      <c r="G454" s="93" t="n">
        <f aca="false">IF(COUNTIFS(Offers!$B$7:$B$3000,$B454,Offers!$C$7:$C$3000,$C454,Offers!$AH$7:$AH$3000,"yes")=0,"",(SUMIFS(Offers!$H$7:$H$3000,Offers!$B$7:$B$3000,$B454,Offers!$C$7:$C$3000,$C454,Offers!$AF$7:$AF$3000,ROUNDUP(COUNTIFS(Offers!$B$7:$B$3000,$B454,Offers!$C$7:$C$3000,$C454,Offers!$AH$7:$AH$3000,"yes")/2,0))+SUMIFS(Offers!$H$7:$H$3000,Offers!$B$7:$B$3000,$B454,Offers!$C$7:$C$3000,$C454,Offers!$AF$7:$AF$3000,INT(COUNTIFS(Offers!$B$7:$B$3000,$B454,Offers!$C$7:$C$3000,$C454,Offers!$AH$7:$AH$3000,"yes")/2)+1))/2)</f>
        <v>2.24</v>
      </c>
      <c r="H454" s="99" t="n">
        <f aca="false">IF(COUNTIFS(Offers!$B$7:$B$3000,$B454,Offers!$C$7:$C$3000,$C454,Offers!$AH$7:$AH$3000,"yes")=0,"",SUMIFS(Offers!$H$7:$H$3000,Offers!$B$7:$B$3000,$B454,Offers!$C$7:$C$3000,$C454,Offers!$AF$7:$AF$3000,COUNTIFS(Offers!$B$7:$B$3000,$B454,Offers!$C$7:$C$3000,$C454,Offers!$AH$7:$AH$3000,"yes")))</f>
        <v>9.6</v>
      </c>
      <c r="I454" s="100" t="n">
        <f aca="false">IF(COUNTIFS(Offers!$B$7:$B$3000,$B454,Offers!$C$7:$C$3000,$C454,Offers!$AI$7:$AI$3000,"yes")=0,"",SUMIFS(Offers!$I$7:$I$3000,Offers!$B$7:$B$3000,$B454,Offers!$C$7:$C$3000,$C454,Offers!$AG$7:$AG$3000,1))</f>
        <v>0.92</v>
      </c>
      <c r="J454" s="95" t="n">
        <f aca="false">IF(COUNTIFS(Offers!$B$7:$B$3000,$B454,Offers!$C$7:$C$3000,$C454,Offers!$AI$7:$AI$3000,"yes")=0,"",(SUMIFS(Offers!$I$7:$I$3000,Offers!$B$7:$B$3000,$B454,Offers!$C$7:$C$3000,$C454,Offers!$AG$7:$AG$3000,ROUNDUP(COUNTIFS(Offers!$B$7:$B$3000,$B454,Offers!$C$7:$C$3000,$C454,Offers!$AI$7:$AI$3000,"yes")/2,0))+SUMIFS(Offers!$I$7:$I$3000,Offers!$B$7:$B$3000,$B454,Offers!$C$7:$C$3000,$C454,Offers!$AG$7:$AG$3000,INT(COUNTIFS(Offers!$B$7:$B$3000,$B454,Offers!$C$7:$C$3000,$C454,Offers!$AI$7:$AI$3000,"yes")/2)+1))/2)</f>
        <v>2.24</v>
      </c>
      <c r="K454" s="100" t="n">
        <f aca="false">IF(COUNTIFS(Offers!$B$7:$B$3000,$B454,Offers!$C$7:$C$3000,$C454,Offers!$AI$7:$AI$3000,"yes")=0,"",SUMIFS(Offers!$I$7:$I$3000,Offers!$B$7:$B$3000,$B454,Offers!$C$7:$C$3000,$C454,Offers!$AG$7:$AG$3000,COUNTIFS(Offers!$B$7:$B$3000,$B454,Offers!$C$7:$C$3000,$C454,Offers!$AI$7:$AI$3000,"yes")))</f>
        <v>9.6</v>
      </c>
      <c r="L454" s="96"/>
      <c r="M454" s="96"/>
      <c r="N454" s="96"/>
      <c r="O454" s="101" t="n">
        <f aca="false">IF(Compare!$E$5="Local prices",IF(F454="","",IF(Compare!$C$5="Minimum",F454,IF(Compare!$C$5="Maximum",H454,G454))),IF(I454="","",IF(Compare!$C$5="Minimum",I454,IF(Compare!$C$5="Maximum",K454,J454))))</f>
        <v>2.24</v>
      </c>
    </row>
    <row r="455" customFormat="false" ht="13.5" hidden="false" customHeight="false" outlineLevel="0" collapsed="false">
      <c r="B455" s="36" t="s">
        <v>105</v>
      </c>
      <c r="C455" s="98" t="s">
        <v>17</v>
      </c>
      <c r="D455" s="98" t="s">
        <v>333</v>
      </c>
      <c r="E455" s="98" t="s">
        <v>491</v>
      </c>
      <c r="F455" s="99" t="n">
        <f aca="false">IF(COUNTIFS(Offers!$B$7:$B$3000,$B455,Offers!$C$7:$C$3000,$C455,Offers!$AH$7:$AH$3000,"yes")=0,"",SUMIFS(Offers!$H$7:$H$3000,Offers!$B$7:$B$3000,$B455,Offers!$C$7:$C$3000,$C455,Offers!$AF$7:$AF$3000,1))</f>
        <v>36.36</v>
      </c>
      <c r="G455" s="93" t="n">
        <f aca="false">IF(COUNTIFS(Offers!$B$7:$B$3000,$B455,Offers!$C$7:$C$3000,$C455,Offers!$AH$7:$AH$3000,"yes")=0,"",(SUMIFS(Offers!$H$7:$H$3000,Offers!$B$7:$B$3000,$B455,Offers!$C$7:$C$3000,$C455,Offers!$AF$7:$AF$3000,ROUNDUP(COUNTIFS(Offers!$B$7:$B$3000,$B455,Offers!$C$7:$C$3000,$C455,Offers!$AH$7:$AH$3000,"yes")/2,0))+SUMIFS(Offers!$H$7:$H$3000,Offers!$B$7:$B$3000,$B455,Offers!$C$7:$C$3000,$C455,Offers!$AF$7:$AF$3000,INT(COUNTIFS(Offers!$B$7:$B$3000,$B455,Offers!$C$7:$C$3000,$C455,Offers!$AH$7:$AH$3000,"yes")/2)+1))/2)</f>
        <v>50</v>
      </c>
      <c r="H455" s="99" t="n">
        <f aca="false">IF(COUNTIFS(Offers!$B$7:$B$3000,$B455,Offers!$C$7:$C$3000,$C455,Offers!$AH$7:$AH$3000,"yes")=0,"",SUMIFS(Offers!$H$7:$H$3000,Offers!$B$7:$B$3000,$B455,Offers!$C$7:$C$3000,$C455,Offers!$AF$7:$AF$3000,COUNTIFS(Offers!$B$7:$B$3000,$B455,Offers!$C$7:$C$3000,$C455,Offers!$AH$7:$AH$3000,"yes")))</f>
        <v>89</v>
      </c>
      <c r="I455" s="100" t="n">
        <f aca="false">IF(COUNTIFS(Offers!$B$7:$B$3000,$B455,Offers!$C$7:$C$3000,$C455,Offers!$AI$7:$AI$3000,"yes")=0,"",SUMIFS(Offers!$I$7:$I$3000,Offers!$B$7:$B$3000,$B455,Offers!$C$7:$C$3000,$C455,Offers!$AG$7:$AG$3000,1))</f>
        <v>1.488723</v>
      </c>
      <c r="J455" s="95" t="n">
        <f aca="false">IF(COUNTIFS(Offers!$B$7:$B$3000,$B455,Offers!$C$7:$C$3000,$C455,Offers!$AI$7:$AI$3000,"yes")=0,"",(SUMIFS(Offers!$I$7:$I$3000,Offers!$B$7:$B$3000,$B455,Offers!$C$7:$C$3000,$C455,Offers!$AG$7:$AG$3000,ROUNDUP(COUNTIFS(Offers!$B$7:$B$3000,$B455,Offers!$C$7:$C$3000,$C455,Offers!$AI$7:$AI$3000,"yes")/2,0))+SUMIFS(Offers!$I$7:$I$3000,Offers!$B$7:$B$3000,$B455,Offers!$C$7:$C$3000,$C455,Offers!$AG$7:$AG$3000,INT(COUNTIFS(Offers!$B$7:$B$3000,$B455,Offers!$C$7:$C$3000,$C455,Offers!$AI$7:$AI$3000,"yes")/2)+1))/2)</f>
        <v>2.047199</v>
      </c>
      <c r="K455" s="100" t="n">
        <f aca="false">IF(COUNTIFS(Offers!$B$7:$B$3000,$B455,Offers!$C$7:$C$3000,$C455,Offers!$AI$7:$AI$3000,"yes")=0,"",SUMIFS(Offers!$I$7:$I$3000,Offers!$B$7:$B$3000,$B455,Offers!$C$7:$C$3000,$C455,Offers!$AG$7:$AG$3000,COUNTIFS(Offers!$B$7:$B$3000,$B455,Offers!$C$7:$C$3000,$C455,Offers!$AI$7:$AI$3000,"yes")))</f>
        <v>3.644014</v>
      </c>
      <c r="L455" s="96"/>
      <c r="M455" s="96"/>
      <c r="N455" s="96"/>
      <c r="O455" s="101" t="n">
        <f aca="false">IF(Compare!$E$5="Local prices",IF(F455="","",IF(Compare!$C$5="Minimum",F455,IF(Compare!$C$5="Maximum",H455,G455))),IF(I455="","",IF(Compare!$C$5="Minimum",I455,IF(Compare!$C$5="Maximum",K455,J455))))</f>
        <v>2.047199</v>
      </c>
    </row>
    <row r="456" customFormat="false" ht="13.5" hidden="false" customHeight="false" outlineLevel="0" collapsed="false">
      <c r="B456" s="36" t="s">
        <v>105</v>
      </c>
      <c r="C456" s="98" t="s">
        <v>18</v>
      </c>
      <c r="D456" s="98" t="s">
        <v>244</v>
      </c>
      <c r="E456" s="98" t="s">
        <v>491</v>
      </c>
      <c r="F456" s="99" t="n">
        <f aca="false">IF(COUNTIFS(Offers!$B$7:$B$3000,$B456,Offers!$C$7:$C$3000,$C456,Offers!$AH$7:$AH$3000,"yes")=0,"",SUMIFS(Offers!$H$7:$H$3000,Offers!$B$7:$B$3000,$B456,Offers!$C$7:$C$3000,$C456,Offers!$AF$7:$AF$3000,1))</f>
        <v>1.69</v>
      </c>
      <c r="G456" s="93" t="n">
        <f aca="false">IF(COUNTIFS(Offers!$B$7:$B$3000,$B456,Offers!$C$7:$C$3000,$C456,Offers!$AH$7:$AH$3000,"yes")=0,"",(SUMIFS(Offers!$H$7:$H$3000,Offers!$B$7:$B$3000,$B456,Offers!$C$7:$C$3000,$C456,Offers!$AF$7:$AF$3000,ROUNDUP(COUNTIFS(Offers!$B$7:$B$3000,$B456,Offers!$C$7:$C$3000,$C456,Offers!$AH$7:$AH$3000,"yes")/2,0))+SUMIFS(Offers!$H$7:$H$3000,Offers!$B$7:$B$3000,$B456,Offers!$C$7:$C$3000,$C456,Offers!$AF$7:$AF$3000,INT(COUNTIFS(Offers!$B$7:$B$3000,$B456,Offers!$C$7:$C$3000,$C456,Offers!$AH$7:$AH$3000,"yes")/2)+1))/2)</f>
        <v>2.6</v>
      </c>
      <c r="H456" s="99" t="n">
        <f aca="false">IF(COUNTIFS(Offers!$B$7:$B$3000,$B456,Offers!$C$7:$C$3000,$C456,Offers!$AH$7:$AH$3000,"yes")=0,"",SUMIFS(Offers!$H$7:$H$3000,Offers!$B$7:$B$3000,$B456,Offers!$C$7:$C$3000,$C456,Offers!$AF$7:$AF$3000,COUNTIFS(Offers!$B$7:$B$3000,$B456,Offers!$C$7:$C$3000,$C456,Offers!$AH$7:$AH$3000,"yes")))</f>
        <v>4.88</v>
      </c>
      <c r="I456" s="100" t="n">
        <f aca="false">IF(COUNTIFS(Offers!$B$7:$B$3000,$B456,Offers!$C$7:$C$3000,$C456,Offers!$AI$7:$AI$3000,"yes")=0,"",SUMIFS(Offers!$I$7:$I$3000,Offers!$B$7:$B$3000,$B456,Offers!$C$7:$C$3000,$C456,Offers!$AG$7:$AG$3000,1))</f>
        <v>1.69</v>
      </c>
      <c r="J456" s="95" t="n">
        <f aca="false">IF(COUNTIFS(Offers!$B$7:$B$3000,$B456,Offers!$C$7:$C$3000,$C456,Offers!$AI$7:$AI$3000,"yes")=0,"",(SUMIFS(Offers!$I$7:$I$3000,Offers!$B$7:$B$3000,$B456,Offers!$C$7:$C$3000,$C456,Offers!$AG$7:$AG$3000,ROUNDUP(COUNTIFS(Offers!$B$7:$B$3000,$B456,Offers!$C$7:$C$3000,$C456,Offers!$AI$7:$AI$3000,"yes")/2,0))+SUMIFS(Offers!$I$7:$I$3000,Offers!$B$7:$B$3000,$B456,Offers!$C$7:$C$3000,$C456,Offers!$AG$7:$AG$3000,INT(COUNTIFS(Offers!$B$7:$B$3000,$B456,Offers!$C$7:$C$3000,$C456,Offers!$AI$7:$AI$3000,"yes")/2)+1))/2)</f>
        <v>2.6</v>
      </c>
      <c r="K456" s="100" t="n">
        <f aca="false">IF(COUNTIFS(Offers!$B$7:$B$3000,$B456,Offers!$C$7:$C$3000,$C456,Offers!$AI$7:$AI$3000,"yes")=0,"",SUMIFS(Offers!$I$7:$I$3000,Offers!$B$7:$B$3000,$B456,Offers!$C$7:$C$3000,$C456,Offers!$AG$7:$AG$3000,COUNTIFS(Offers!$B$7:$B$3000,$B456,Offers!$C$7:$C$3000,$C456,Offers!$AI$7:$AI$3000,"yes")))</f>
        <v>4.88</v>
      </c>
      <c r="L456" s="96"/>
      <c r="M456" s="96"/>
      <c r="N456" s="96"/>
      <c r="O456" s="101" t="n">
        <f aca="false">IF(Compare!$E$5="Local prices",IF(F456="","",IF(Compare!$C$5="Minimum",F456,IF(Compare!$C$5="Maximum",H456,G456))),IF(I456="","",IF(Compare!$C$5="Minimum",I456,IF(Compare!$C$5="Maximum",K456,J456))))</f>
        <v>2.6</v>
      </c>
    </row>
    <row r="457" customFormat="false" ht="13.5" hidden="false" customHeight="false" outlineLevel="0" collapsed="false">
      <c r="B457" s="36" t="s">
        <v>106</v>
      </c>
      <c r="C457" s="98" t="s">
        <v>13</v>
      </c>
      <c r="D457" s="98" t="s">
        <v>490</v>
      </c>
      <c r="E457" s="98" t="s">
        <v>491</v>
      </c>
      <c r="F457" s="99" t="str">
        <f aca="false">IF(COUNTIFS(Offers!$B$7:$B$3000,$B457,Offers!$C$7:$C$3000,$C457,Offers!$AH$7:$AH$3000,"yes")=0,"",SUMIFS(Offers!$H$7:$H$3000,Offers!$B$7:$B$3000,$B457,Offers!$C$7:$C$3000,$C457,Offers!$AF$7:$AF$3000,1))</f>
        <v/>
      </c>
      <c r="G457" s="93" t="str">
        <f aca="false">IF(COUNTIFS(Offers!$B$7:$B$3000,$B457,Offers!$C$7:$C$3000,$C457,Offers!$AH$7:$AH$3000,"yes")=0,"",(SUMIFS(Offers!$H$7:$H$3000,Offers!$B$7:$B$3000,$B457,Offers!$C$7:$C$3000,$C457,Offers!$AF$7:$AF$3000,ROUNDUP(COUNTIFS(Offers!$B$7:$B$3000,$B457,Offers!$C$7:$C$3000,$C457,Offers!$AH$7:$AH$3000,"yes")/2,0))+SUMIFS(Offers!$H$7:$H$3000,Offers!$B$7:$B$3000,$B457,Offers!$C$7:$C$3000,$C457,Offers!$AF$7:$AF$3000,INT(COUNTIFS(Offers!$B$7:$B$3000,$B457,Offers!$C$7:$C$3000,$C457,Offers!$AH$7:$AH$3000,"yes")/2)+1))/2)</f>
        <v/>
      </c>
      <c r="H457" s="99" t="str">
        <f aca="false">IF(COUNTIFS(Offers!$B$7:$B$3000,$B457,Offers!$C$7:$C$3000,$C457,Offers!$AH$7:$AH$3000,"yes")=0,"",SUMIFS(Offers!$H$7:$H$3000,Offers!$B$7:$B$3000,$B457,Offers!$C$7:$C$3000,$C457,Offers!$AF$7:$AF$3000,COUNTIFS(Offers!$B$7:$B$3000,$B457,Offers!$C$7:$C$3000,$C457,Offers!$AH$7:$AH$3000,"yes")))</f>
        <v/>
      </c>
      <c r="I457" s="100" t="str">
        <f aca="false">IF(COUNTIFS(Offers!$B$7:$B$3000,$B457,Offers!$C$7:$C$3000,$C457,Offers!$AI$7:$AI$3000,"yes")=0,"",SUMIFS(Offers!$I$7:$I$3000,Offers!$B$7:$B$3000,$B457,Offers!$C$7:$C$3000,$C457,Offers!$AG$7:$AG$3000,1))</f>
        <v/>
      </c>
      <c r="J457" s="95" t="str">
        <f aca="false">IF(COUNTIFS(Offers!$B$7:$B$3000,$B457,Offers!$C$7:$C$3000,$C457,Offers!$AI$7:$AI$3000,"yes")=0,"",(SUMIFS(Offers!$I$7:$I$3000,Offers!$B$7:$B$3000,$B457,Offers!$C$7:$C$3000,$C457,Offers!$AG$7:$AG$3000,ROUNDUP(COUNTIFS(Offers!$B$7:$B$3000,$B457,Offers!$C$7:$C$3000,$C457,Offers!$AI$7:$AI$3000,"yes")/2,0))+SUMIFS(Offers!$I$7:$I$3000,Offers!$B$7:$B$3000,$B457,Offers!$C$7:$C$3000,$C457,Offers!$AG$7:$AG$3000,INT(COUNTIFS(Offers!$B$7:$B$3000,$B457,Offers!$C$7:$C$3000,$C457,Offers!$AI$7:$AI$3000,"yes")/2)+1))/2)</f>
        <v/>
      </c>
      <c r="K457" s="100" t="str">
        <f aca="false">IF(COUNTIFS(Offers!$B$7:$B$3000,$B457,Offers!$C$7:$C$3000,$C457,Offers!$AI$7:$AI$3000,"yes")=0,"",SUMIFS(Offers!$I$7:$I$3000,Offers!$B$7:$B$3000,$B457,Offers!$C$7:$C$3000,$C457,Offers!$AG$7:$AG$3000,COUNTIFS(Offers!$B$7:$B$3000,$B457,Offers!$C$7:$C$3000,$C457,Offers!$AI$7:$AI$3000,"yes")))</f>
        <v/>
      </c>
      <c r="L457" s="96"/>
      <c r="M457" s="96"/>
      <c r="N457" s="96"/>
      <c r="O457" s="110" t="str">
        <f aca="false">IF(Compare!$E$5="Local prices",IF(F457="","",IF(Compare!$C$5="Minimum",F457,IF(Compare!$C$5="Maximum",H457,G457))),IF(I457="","",IF(Compare!$C$5="Minimum",I457,IF(Compare!$C$5="Maximum",K457,J457))))</f>
        <v/>
      </c>
    </row>
    <row r="458" customFormat="false" ht="13.5" hidden="false" customHeight="false" outlineLevel="0" collapsed="false">
      <c r="B458" s="36" t="s">
        <v>106</v>
      </c>
      <c r="C458" s="98" t="s">
        <v>14</v>
      </c>
      <c r="D458" s="98" t="s">
        <v>374</v>
      </c>
      <c r="E458" s="98" t="s">
        <v>491</v>
      </c>
      <c r="F458" s="99" t="n">
        <f aca="false">IF(COUNTIFS(Offers!$B$7:$B$3000,$B458,Offers!$C$7:$C$3000,$C458,Offers!$AH$7:$AH$3000,"yes")=0,"",SUMIFS(Offers!$H$7:$H$3000,Offers!$B$7:$B$3000,$B458,Offers!$C$7:$C$3000,$C458,Offers!$AF$7:$AF$3000,1))</f>
        <v>0.9</v>
      </c>
      <c r="G458" s="93" t="n">
        <f aca="false">IF(COUNTIFS(Offers!$B$7:$B$3000,$B458,Offers!$C$7:$C$3000,$C458,Offers!$AH$7:$AH$3000,"yes")=0,"",(SUMIFS(Offers!$H$7:$H$3000,Offers!$B$7:$B$3000,$B458,Offers!$C$7:$C$3000,$C458,Offers!$AF$7:$AF$3000,ROUNDUP(COUNTIFS(Offers!$B$7:$B$3000,$B458,Offers!$C$7:$C$3000,$C458,Offers!$AH$7:$AH$3000,"yes")/2,0))+SUMIFS(Offers!$H$7:$H$3000,Offers!$B$7:$B$3000,$B458,Offers!$C$7:$C$3000,$C458,Offers!$AF$7:$AF$3000,INT(COUNTIFS(Offers!$B$7:$B$3000,$B458,Offers!$C$7:$C$3000,$C458,Offers!$AH$7:$AH$3000,"yes")/2)+1))/2)</f>
        <v>7.82</v>
      </c>
      <c r="H458" s="99" t="n">
        <f aca="false">IF(COUNTIFS(Offers!$B$7:$B$3000,$B458,Offers!$C$7:$C$3000,$C458,Offers!$AH$7:$AH$3000,"yes")=0,"",SUMIFS(Offers!$H$7:$H$3000,Offers!$B$7:$B$3000,$B458,Offers!$C$7:$C$3000,$C458,Offers!$AF$7:$AF$3000,COUNTIFS(Offers!$B$7:$B$3000,$B458,Offers!$C$7:$C$3000,$C458,Offers!$AH$7:$AH$3000,"yes")))</f>
        <v>13.09</v>
      </c>
      <c r="I458" s="100" t="n">
        <f aca="false">IF(COUNTIFS(Offers!$B$7:$B$3000,$B458,Offers!$C$7:$C$3000,$C458,Offers!$AI$7:$AI$3000,"yes")=0,"",SUMIFS(Offers!$I$7:$I$3000,Offers!$B$7:$B$3000,$B458,Offers!$C$7:$C$3000,$C458,Offers!$AG$7:$AG$3000,1))</f>
        <v>0.720019</v>
      </c>
      <c r="J458" s="95" t="n">
        <f aca="false">IF(COUNTIFS(Offers!$B$7:$B$3000,$B458,Offers!$C$7:$C$3000,$C458,Offers!$AI$7:$AI$3000,"yes")=0,"",(SUMIFS(Offers!$I$7:$I$3000,Offers!$B$7:$B$3000,$B458,Offers!$C$7:$C$3000,$C458,Offers!$AG$7:$AG$3000,ROUNDUP(COUNTIFS(Offers!$B$7:$B$3000,$B458,Offers!$C$7:$C$3000,$C458,Offers!$AI$7:$AI$3000,"yes")/2,0))+SUMIFS(Offers!$I$7:$I$3000,Offers!$B$7:$B$3000,$B458,Offers!$C$7:$C$3000,$C458,Offers!$AG$7:$AG$3000,INT(COUNTIFS(Offers!$B$7:$B$3000,$B458,Offers!$C$7:$C$3000,$C458,Offers!$AI$7:$AI$3000,"yes")/2)+1))/2)</f>
        <v>1.481722</v>
      </c>
      <c r="K458" s="100" t="n">
        <f aca="false">IF(COUNTIFS(Offers!$B$7:$B$3000,$B458,Offers!$C$7:$C$3000,$C458,Offers!$AI$7:$AI$3000,"yes")=0,"",SUMIFS(Offers!$I$7:$I$3000,Offers!$B$7:$B$3000,$B458,Offers!$C$7:$C$3000,$C458,Offers!$AG$7:$AG$3000,COUNTIFS(Offers!$B$7:$B$3000,$B458,Offers!$C$7:$C$3000,$C458,Offers!$AI$7:$AI$3000,"yes")))</f>
        <v>2.480275</v>
      </c>
      <c r="L458" s="96"/>
      <c r="M458" s="96"/>
      <c r="N458" s="96"/>
      <c r="O458" s="101" t="n">
        <f aca="false">IF(Compare!$E$5="Local prices",IF(F458="","",IF(Compare!$C$5="Minimum",F458,IF(Compare!$C$5="Maximum",H458,G458))),IF(I458="","",IF(Compare!$C$5="Minimum",I458,IF(Compare!$C$5="Maximum",K458,J458))))</f>
        <v>1.481722</v>
      </c>
    </row>
    <row r="459" customFormat="false" ht="13.5" hidden="false" customHeight="false" outlineLevel="0" collapsed="false">
      <c r="B459" s="36" t="s">
        <v>106</v>
      </c>
      <c r="C459" s="98" t="s">
        <v>15</v>
      </c>
      <c r="D459" s="98" t="s">
        <v>244</v>
      </c>
      <c r="E459" s="98" t="s">
        <v>491</v>
      </c>
      <c r="F459" s="99" t="n">
        <f aca="false">IF(COUNTIFS(Offers!$B$7:$B$3000,$B459,Offers!$C$7:$C$3000,$C459,Offers!$AH$7:$AH$3000,"yes")=0,"",SUMIFS(Offers!$H$7:$H$3000,Offers!$B$7:$B$3000,$B459,Offers!$C$7:$C$3000,$C459,Offers!$AF$7:$AF$3000,1))</f>
        <v>0.4</v>
      </c>
      <c r="G459" s="93" t="n">
        <f aca="false">IF(COUNTIFS(Offers!$B$7:$B$3000,$B459,Offers!$C$7:$C$3000,$C459,Offers!$AH$7:$AH$3000,"yes")=0,"",(SUMIFS(Offers!$H$7:$H$3000,Offers!$B$7:$B$3000,$B459,Offers!$C$7:$C$3000,$C459,Offers!$AF$7:$AF$3000,ROUNDUP(COUNTIFS(Offers!$B$7:$B$3000,$B459,Offers!$C$7:$C$3000,$C459,Offers!$AH$7:$AH$3000,"yes")/2,0))+SUMIFS(Offers!$H$7:$H$3000,Offers!$B$7:$B$3000,$B459,Offers!$C$7:$C$3000,$C459,Offers!$AF$7:$AF$3000,INT(COUNTIFS(Offers!$B$7:$B$3000,$B459,Offers!$C$7:$C$3000,$C459,Offers!$AH$7:$AH$3000,"yes")/2)+1))/2)</f>
        <v>2.1</v>
      </c>
      <c r="H459" s="99" t="n">
        <f aca="false">IF(COUNTIFS(Offers!$B$7:$B$3000,$B459,Offers!$C$7:$C$3000,$C459,Offers!$AH$7:$AH$3000,"yes")=0,"",SUMIFS(Offers!$H$7:$H$3000,Offers!$B$7:$B$3000,$B459,Offers!$C$7:$C$3000,$C459,Offers!$AF$7:$AF$3000,COUNTIFS(Offers!$B$7:$B$3000,$B459,Offers!$C$7:$C$3000,$C459,Offers!$AH$7:$AH$3000,"yes")))</f>
        <v>8.73</v>
      </c>
      <c r="I459" s="100" t="n">
        <f aca="false">IF(COUNTIFS(Offers!$B$7:$B$3000,$B459,Offers!$C$7:$C$3000,$C459,Offers!$AI$7:$AI$3000,"yes")=0,"",SUMIFS(Offers!$I$7:$I$3000,Offers!$B$7:$B$3000,$B459,Offers!$C$7:$C$3000,$C459,Offers!$AG$7:$AG$3000,1))</f>
        <v>0.4</v>
      </c>
      <c r="J459" s="95" t="n">
        <f aca="false">IF(COUNTIFS(Offers!$B$7:$B$3000,$B459,Offers!$C$7:$C$3000,$C459,Offers!$AI$7:$AI$3000,"yes")=0,"",(SUMIFS(Offers!$I$7:$I$3000,Offers!$B$7:$B$3000,$B459,Offers!$C$7:$C$3000,$C459,Offers!$AG$7:$AG$3000,ROUNDUP(COUNTIFS(Offers!$B$7:$B$3000,$B459,Offers!$C$7:$C$3000,$C459,Offers!$AI$7:$AI$3000,"yes")/2,0))+SUMIFS(Offers!$I$7:$I$3000,Offers!$B$7:$B$3000,$B459,Offers!$C$7:$C$3000,$C459,Offers!$AG$7:$AG$3000,INT(COUNTIFS(Offers!$B$7:$B$3000,$B459,Offers!$C$7:$C$3000,$C459,Offers!$AI$7:$AI$3000,"yes")/2)+1))/2)</f>
        <v>2.1</v>
      </c>
      <c r="K459" s="100" t="n">
        <f aca="false">IF(COUNTIFS(Offers!$B$7:$B$3000,$B459,Offers!$C$7:$C$3000,$C459,Offers!$AI$7:$AI$3000,"yes")=0,"",SUMIFS(Offers!$I$7:$I$3000,Offers!$B$7:$B$3000,$B459,Offers!$C$7:$C$3000,$C459,Offers!$AG$7:$AG$3000,COUNTIFS(Offers!$B$7:$B$3000,$B459,Offers!$C$7:$C$3000,$C459,Offers!$AI$7:$AI$3000,"yes")))</f>
        <v>8.73</v>
      </c>
      <c r="L459" s="96"/>
      <c r="M459" s="96"/>
      <c r="N459" s="96"/>
      <c r="O459" s="101" t="n">
        <f aca="false">IF(Compare!$E$5="Local prices",IF(F459="","",IF(Compare!$C$5="Minimum",F459,IF(Compare!$C$5="Maximum",H459,G459))),IF(I459="","",IF(Compare!$C$5="Minimum",I459,IF(Compare!$C$5="Maximum",K459,J459))))</f>
        <v>2.1</v>
      </c>
    </row>
    <row r="460" customFormat="false" ht="13.5" hidden="false" customHeight="false" outlineLevel="0" collapsed="false">
      <c r="B460" s="36" t="s">
        <v>106</v>
      </c>
      <c r="C460" s="98" t="s">
        <v>16</v>
      </c>
      <c r="D460" s="98" t="s">
        <v>244</v>
      </c>
      <c r="E460" s="98" t="s">
        <v>491</v>
      </c>
      <c r="F460" s="99" t="n">
        <f aca="false">IF(COUNTIFS(Offers!$B$7:$B$3000,$B460,Offers!$C$7:$C$3000,$C460,Offers!$AH$7:$AH$3000,"yes")=0,"",SUMIFS(Offers!$H$7:$H$3000,Offers!$B$7:$B$3000,$B460,Offers!$C$7:$C$3000,$C460,Offers!$AF$7:$AF$3000,1))</f>
        <v>0.4</v>
      </c>
      <c r="G460" s="93" t="n">
        <f aca="false">IF(COUNTIFS(Offers!$B$7:$B$3000,$B460,Offers!$C$7:$C$3000,$C460,Offers!$AH$7:$AH$3000,"yes")=0,"",(SUMIFS(Offers!$H$7:$H$3000,Offers!$B$7:$B$3000,$B460,Offers!$C$7:$C$3000,$C460,Offers!$AF$7:$AF$3000,ROUNDUP(COUNTIFS(Offers!$B$7:$B$3000,$B460,Offers!$C$7:$C$3000,$C460,Offers!$AH$7:$AH$3000,"yes")/2,0))+SUMIFS(Offers!$H$7:$H$3000,Offers!$B$7:$B$3000,$B460,Offers!$C$7:$C$3000,$C460,Offers!$AF$7:$AF$3000,INT(COUNTIFS(Offers!$B$7:$B$3000,$B460,Offers!$C$7:$C$3000,$C460,Offers!$AH$7:$AH$3000,"yes")/2)+1))/2)</f>
        <v>1.79</v>
      </c>
      <c r="H460" s="99" t="n">
        <f aca="false">IF(COUNTIFS(Offers!$B$7:$B$3000,$B460,Offers!$C$7:$C$3000,$C460,Offers!$AH$7:$AH$3000,"yes")=0,"",SUMIFS(Offers!$H$7:$H$3000,Offers!$B$7:$B$3000,$B460,Offers!$C$7:$C$3000,$C460,Offers!$AF$7:$AF$3000,COUNTIFS(Offers!$B$7:$B$3000,$B460,Offers!$C$7:$C$3000,$C460,Offers!$AH$7:$AH$3000,"yes")))</f>
        <v>8.73</v>
      </c>
      <c r="I460" s="100" t="n">
        <f aca="false">IF(COUNTIFS(Offers!$B$7:$B$3000,$B460,Offers!$C$7:$C$3000,$C460,Offers!$AI$7:$AI$3000,"yes")=0,"",SUMIFS(Offers!$I$7:$I$3000,Offers!$B$7:$B$3000,$B460,Offers!$C$7:$C$3000,$C460,Offers!$AG$7:$AG$3000,1))</f>
        <v>0.4</v>
      </c>
      <c r="J460" s="95" t="n">
        <f aca="false">IF(COUNTIFS(Offers!$B$7:$B$3000,$B460,Offers!$C$7:$C$3000,$C460,Offers!$AI$7:$AI$3000,"yes")=0,"",(SUMIFS(Offers!$I$7:$I$3000,Offers!$B$7:$B$3000,$B460,Offers!$C$7:$C$3000,$C460,Offers!$AG$7:$AG$3000,ROUNDUP(COUNTIFS(Offers!$B$7:$B$3000,$B460,Offers!$C$7:$C$3000,$C460,Offers!$AI$7:$AI$3000,"yes")/2,0))+SUMIFS(Offers!$I$7:$I$3000,Offers!$B$7:$B$3000,$B460,Offers!$C$7:$C$3000,$C460,Offers!$AG$7:$AG$3000,INT(COUNTIFS(Offers!$B$7:$B$3000,$B460,Offers!$C$7:$C$3000,$C460,Offers!$AI$7:$AI$3000,"yes")/2)+1))/2)</f>
        <v>1.79</v>
      </c>
      <c r="K460" s="100" t="n">
        <f aca="false">IF(COUNTIFS(Offers!$B$7:$B$3000,$B460,Offers!$C$7:$C$3000,$C460,Offers!$AI$7:$AI$3000,"yes")=0,"",SUMIFS(Offers!$I$7:$I$3000,Offers!$B$7:$B$3000,$B460,Offers!$C$7:$C$3000,$C460,Offers!$AG$7:$AG$3000,COUNTIFS(Offers!$B$7:$B$3000,$B460,Offers!$C$7:$C$3000,$C460,Offers!$AI$7:$AI$3000,"yes")))</f>
        <v>8.73</v>
      </c>
      <c r="L460" s="96"/>
      <c r="M460" s="96"/>
      <c r="N460" s="96"/>
      <c r="O460" s="101" t="n">
        <f aca="false">IF(Compare!$E$5="Local prices",IF(F460="","",IF(Compare!$C$5="Minimum",F460,IF(Compare!$C$5="Maximum",H460,G460))),IF(I460="","",IF(Compare!$C$5="Minimum",I460,IF(Compare!$C$5="Maximum",K460,J460))))</f>
        <v>1.79</v>
      </c>
    </row>
    <row r="461" customFormat="false" ht="13.5" hidden="false" customHeight="false" outlineLevel="0" collapsed="false">
      <c r="B461" s="36" t="s">
        <v>106</v>
      </c>
      <c r="C461" s="98" t="s">
        <v>17</v>
      </c>
      <c r="D461" s="98" t="s">
        <v>333</v>
      </c>
      <c r="E461" s="98" t="s">
        <v>491</v>
      </c>
      <c r="F461" s="99" t="n">
        <f aca="false">IF(COUNTIFS(Offers!$B$7:$B$3000,$B461,Offers!$C$7:$C$3000,$C461,Offers!$AH$7:$AH$3000,"yes")=0,"",SUMIFS(Offers!$H$7:$H$3000,Offers!$B$7:$B$3000,$B461,Offers!$C$7:$C$3000,$C461,Offers!$AF$7:$AF$3000,1))</f>
        <v>26</v>
      </c>
      <c r="G461" s="93" t="n">
        <f aca="false">IF(COUNTIFS(Offers!$B$7:$B$3000,$B461,Offers!$C$7:$C$3000,$C461,Offers!$AH$7:$AH$3000,"yes")=0,"",(SUMIFS(Offers!$H$7:$H$3000,Offers!$B$7:$B$3000,$B461,Offers!$C$7:$C$3000,$C461,Offers!$AF$7:$AF$3000,ROUNDUP(COUNTIFS(Offers!$B$7:$B$3000,$B461,Offers!$C$7:$C$3000,$C461,Offers!$AH$7:$AH$3000,"yes")/2,0))+SUMIFS(Offers!$H$7:$H$3000,Offers!$B$7:$B$3000,$B461,Offers!$C$7:$C$3000,$C461,Offers!$AF$7:$AF$3000,INT(COUNTIFS(Offers!$B$7:$B$3000,$B461,Offers!$C$7:$C$3000,$C461,Offers!$AH$7:$AH$3000,"yes")/2)+1))/2)</f>
        <v>40</v>
      </c>
      <c r="H461" s="99" t="n">
        <f aca="false">IF(COUNTIFS(Offers!$B$7:$B$3000,$B461,Offers!$C$7:$C$3000,$C461,Offers!$AH$7:$AH$3000,"yes")=0,"",SUMIFS(Offers!$H$7:$H$3000,Offers!$B$7:$B$3000,$B461,Offers!$C$7:$C$3000,$C461,Offers!$AF$7:$AF$3000,COUNTIFS(Offers!$B$7:$B$3000,$B461,Offers!$C$7:$C$3000,$C461,Offers!$AH$7:$AH$3000,"yes")))</f>
        <v>79</v>
      </c>
      <c r="I461" s="100" t="n">
        <f aca="false">IF(COUNTIFS(Offers!$B$7:$B$3000,$B461,Offers!$C$7:$C$3000,$C461,Offers!$AI$7:$AI$3000,"yes")=0,"",SUMIFS(Offers!$I$7:$I$3000,Offers!$B$7:$B$3000,$B461,Offers!$C$7:$C$3000,$C461,Offers!$AG$7:$AG$3000,1))</f>
        <v>1.064543</v>
      </c>
      <c r="J461" s="95" t="n">
        <f aca="false">IF(COUNTIFS(Offers!$B$7:$B$3000,$B461,Offers!$C$7:$C$3000,$C461,Offers!$AI$7:$AI$3000,"yes")=0,"",(SUMIFS(Offers!$I$7:$I$3000,Offers!$B$7:$B$3000,$B461,Offers!$C$7:$C$3000,$C461,Offers!$AG$7:$AG$3000,ROUNDUP(COUNTIFS(Offers!$B$7:$B$3000,$B461,Offers!$C$7:$C$3000,$C461,Offers!$AI$7:$AI$3000,"yes")/2,0))+SUMIFS(Offers!$I$7:$I$3000,Offers!$B$7:$B$3000,$B461,Offers!$C$7:$C$3000,$C461,Offers!$AG$7:$AG$3000,INT(COUNTIFS(Offers!$B$7:$B$3000,$B461,Offers!$C$7:$C$3000,$C461,Offers!$AI$7:$AI$3000,"yes")/2)+1))/2)</f>
        <v>1.637759</v>
      </c>
      <c r="K461" s="100" t="n">
        <f aca="false">IF(COUNTIFS(Offers!$B$7:$B$3000,$B461,Offers!$C$7:$C$3000,$C461,Offers!$AI$7:$AI$3000,"yes")=0,"",SUMIFS(Offers!$I$7:$I$3000,Offers!$B$7:$B$3000,$B461,Offers!$C$7:$C$3000,$C461,Offers!$AG$7:$AG$3000,COUNTIFS(Offers!$B$7:$B$3000,$B461,Offers!$C$7:$C$3000,$C461,Offers!$AI$7:$AI$3000,"yes")))</f>
        <v>3.234574</v>
      </c>
      <c r="L461" s="96"/>
      <c r="M461" s="96"/>
      <c r="N461" s="96"/>
      <c r="O461" s="101" t="n">
        <f aca="false">IF(Compare!$E$5="Local prices",IF(F461="","",IF(Compare!$C$5="Minimum",F461,IF(Compare!$C$5="Maximum",H461,G461))),IF(I461="","",IF(Compare!$C$5="Minimum",I461,IF(Compare!$C$5="Maximum",K461,J461))))</f>
        <v>1.637759</v>
      </c>
    </row>
    <row r="462" customFormat="false" ht="13.5" hidden="false" customHeight="false" outlineLevel="0" collapsed="false">
      <c r="B462" s="36" t="s">
        <v>106</v>
      </c>
      <c r="C462" s="98" t="s">
        <v>18</v>
      </c>
      <c r="D462" s="98" t="s">
        <v>244</v>
      </c>
      <c r="E462" s="98" t="s">
        <v>491</v>
      </c>
      <c r="F462" s="99" t="n">
        <f aca="false">IF(COUNTIFS(Offers!$B$7:$B$3000,$B462,Offers!$C$7:$C$3000,$C462,Offers!$AH$7:$AH$3000,"yes")=0,"",SUMIFS(Offers!$H$7:$H$3000,Offers!$B$7:$B$3000,$B462,Offers!$C$7:$C$3000,$C462,Offers!$AF$7:$AF$3000,1))</f>
        <v>1</v>
      </c>
      <c r="G462" s="93" t="n">
        <f aca="false">IF(COUNTIFS(Offers!$B$7:$B$3000,$B462,Offers!$C$7:$C$3000,$C462,Offers!$AH$7:$AH$3000,"yes")=0,"",(SUMIFS(Offers!$H$7:$H$3000,Offers!$B$7:$B$3000,$B462,Offers!$C$7:$C$3000,$C462,Offers!$AF$7:$AF$3000,ROUNDUP(COUNTIFS(Offers!$B$7:$B$3000,$B462,Offers!$C$7:$C$3000,$C462,Offers!$AH$7:$AH$3000,"yes")/2,0))+SUMIFS(Offers!$H$7:$H$3000,Offers!$B$7:$B$3000,$B462,Offers!$C$7:$C$3000,$C462,Offers!$AF$7:$AF$3000,INT(COUNTIFS(Offers!$B$7:$B$3000,$B462,Offers!$C$7:$C$3000,$C462,Offers!$AH$7:$AH$3000,"yes")/2)+1))/2)</f>
        <v>1.9</v>
      </c>
      <c r="H462" s="99" t="n">
        <f aca="false">IF(COUNTIFS(Offers!$B$7:$B$3000,$B462,Offers!$C$7:$C$3000,$C462,Offers!$AH$7:$AH$3000,"yes")=0,"",SUMIFS(Offers!$H$7:$H$3000,Offers!$B$7:$B$3000,$B462,Offers!$C$7:$C$3000,$C462,Offers!$AF$7:$AF$3000,COUNTIFS(Offers!$B$7:$B$3000,$B462,Offers!$C$7:$C$3000,$C462,Offers!$AH$7:$AH$3000,"yes")))</f>
        <v>2.39</v>
      </c>
      <c r="I462" s="100" t="n">
        <f aca="false">IF(COUNTIFS(Offers!$B$7:$B$3000,$B462,Offers!$C$7:$C$3000,$C462,Offers!$AI$7:$AI$3000,"yes")=0,"",SUMIFS(Offers!$I$7:$I$3000,Offers!$B$7:$B$3000,$B462,Offers!$C$7:$C$3000,$C462,Offers!$AG$7:$AG$3000,1))</f>
        <v>1</v>
      </c>
      <c r="J462" s="95" t="n">
        <f aca="false">IF(COUNTIFS(Offers!$B$7:$B$3000,$B462,Offers!$C$7:$C$3000,$C462,Offers!$AI$7:$AI$3000,"yes")=0,"",(SUMIFS(Offers!$I$7:$I$3000,Offers!$B$7:$B$3000,$B462,Offers!$C$7:$C$3000,$C462,Offers!$AG$7:$AG$3000,ROUNDUP(COUNTIFS(Offers!$B$7:$B$3000,$B462,Offers!$C$7:$C$3000,$C462,Offers!$AI$7:$AI$3000,"yes")/2,0))+SUMIFS(Offers!$I$7:$I$3000,Offers!$B$7:$B$3000,$B462,Offers!$C$7:$C$3000,$C462,Offers!$AG$7:$AG$3000,INT(COUNTIFS(Offers!$B$7:$B$3000,$B462,Offers!$C$7:$C$3000,$C462,Offers!$AI$7:$AI$3000,"yes")/2)+1))/2)</f>
        <v>1.9</v>
      </c>
      <c r="K462" s="100" t="n">
        <f aca="false">IF(COUNTIFS(Offers!$B$7:$B$3000,$B462,Offers!$C$7:$C$3000,$C462,Offers!$AI$7:$AI$3000,"yes")=0,"",SUMIFS(Offers!$I$7:$I$3000,Offers!$B$7:$B$3000,$B462,Offers!$C$7:$C$3000,$C462,Offers!$AG$7:$AG$3000,COUNTIFS(Offers!$B$7:$B$3000,$B462,Offers!$C$7:$C$3000,$C462,Offers!$AI$7:$AI$3000,"yes")))</f>
        <v>2.39</v>
      </c>
      <c r="L462" s="96"/>
      <c r="M462" s="96"/>
      <c r="N462" s="96"/>
      <c r="O462" s="101" t="n">
        <f aca="false">IF(Compare!$E$5="Local prices",IF(F462="","",IF(Compare!$C$5="Minimum",F462,IF(Compare!$C$5="Maximum",H462,G462))),IF(I462="","",IF(Compare!$C$5="Minimum",I462,IF(Compare!$C$5="Maximum",K462,J462))))</f>
        <v>1.9</v>
      </c>
    </row>
    <row r="463" customFormat="false" ht="13.5" hidden="false" customHeight="false" outlineLevel="0" collapsed="false">
      <c r="B463" s="36" t="s">
        <v>107</v>
      </c>
      <c r="C463" s="98" t="s">
        <v>13</v>
      </c>
      <c r="D463" s="98" t="s">
        <v>490</v>
      </c>
      <c r="E463" s="98" t="s">
        <v>491</v>
      </c>
      <c r="F463" s="99" t="str">
        <f aca="false">IF(COUNTIFS(Offers!$B$7:$B$3000,$B463,Offers!$C$7:$C$3000,$C463,Offers!$AH$7:$AH$3000,"yes")=0,"",SUMIFS(Offers!$H$7:$H$3000,Offers!$B$7:$B$3000,$B463,Offers!$C$7:$C$3000,$C463,Offers!$AF$7:$AF$3000,1))</f>
        <v/>
      </c>
      <c r="G463" s="93" t="str">
        <f aca="false">IF(COUNTIFS(Offers!$B$7:$B$3000,$B463,Offers!$C$7:$C$3000,$C463,Offers!$AH$7:$AH$3000,"yes")=0,"",(SUMIFS(Offers!$H$7:$H$3000,Offers!$B$7:$B$3000,$B463,Offers!$C$7:$C$3000,$C463,Offers!$AF$7:$AF$3000,ROUNDUP(COUNTIFS(Offers!$B$7:$B$3000,$B463,Offers!$C$7:$C$3000,$C463,Offers!$AH$7:$AH$3000,"yes")/2,0))+SUMIFS(Offers!$H$7:$H$3000,Offers!$B$7:$B$3000,$B463,Offers!$C$7:$C$3000,$C463,Offers!$AF$7:$AF$3000,INT(COUNTIFS(Offers!$B$7:$B$3000,$B463,Offers!$C$7:$C$3000,$C463,Offers!$AH$7:$AH$3000,"yes")/2)+1))/2)</f>
        <v/>
      </c>
      <c r="H463" s="99" t="str">
        <f aca="false">IF(COUNTIFS(Offers!$B$7:$B$3000,$B463,Offers!$C$7:$C$3000,$C463,Offers!$AH$7:$AH$3000,"yes")=0,"",SUMIFS(Offers!$H$7:$H$3000,Offers!$B$7:$B$3000,$B463,Offers!$C$7:$C$3000,$C463,Offers!$AF$7:$AF$3000,COUNTIFS(Offers!$B$7:$B$3000,$B463,Offers!$C$7:$C$3000,$C463,Offers!$AH$7:$AH$3000,"yes")))</f>
        <v/>
      </c>
      <c r="I463" s="100" t="str">
        <f aca="false">IF(COUNTIFS(Offers!$B$7:$B$3000,$B463,Offers!$C$7:$C$3000,$C463,Offers!$AI$7:$AI$3000,"yes")=0,"",SUMIFS(Offers!$I$7:$I$3000,Offers!$B$7:$B$3000,$B463,Offers!$C$7:$C$3000,$C463,Offers!$AG$7:$AG$3000,1))</f>
        <v/>
      </c>
      <c r="J463" s="95" t="str">
        <f aca="false">IF(COUNTIFS(Offers!$B$7:$B$3000,$B463,Offers!$C$7:$C$3000,$C463,Offers!$AI$7:$AI$3000,"yes")=0,"",(SUMIFS(Offers!$I$7:$I$3000,Offers!$B$7:$B$3000,$B463,Offers!$C$7:$C$3000,$C463,Offers!$AG$7:$AG$3000,ROUNDUP(COUNTIFS(Offers!$B$7:$B$3000,$B463,Offers!$C$7:$C$3000,$C463,Offers!$AI$7:$AI$3000,"yes")/2,0))+SUMIFS(Offers!$I$7:$I$3000,Offers!$B$7:$B$3000,$B463,Offers!$C$7:$C$3000,$C463,Offers!$AG$7:$AG$3000,INT(COUNTIFS(Offers!$B$7:$B$3000,$B463,Offers!$C$7:$C$3000,$C463,Offers!$AI$7:$AI$3000,"yes")/2)+1))/2)</f>
        <v/>
      </c>
      <c r="K463" s="100" t="str">
        <f aca="false">IF(COUNTIFS(Offers!$B$7:$B$3000,$B463,Offers!$C$7:$C$3000,$C463,Offers!$AI$7:$AI$3000,"yes")=0,"",SUMIFS(Offers!$I$7:$I$3000,Offers!$B$7:$B$3000,$B463,Offers!$C$7:$C$3000,$C463,Offers!$AG$7:$AG$3000,COUNTIFS(Offers!$B$7:$B$3000,$B463,Offers!$C$7:$C$3000,$C463,Offers!$AI$7:$AI$3000,"yes")))</f>
        <v/>
      </c>
      <c r="L463" s="96"/>
      <c r="M463" s="96"/>
      <c r="N463" s="96"/>
      <c r="O463" s="110" t="str">
        <f aca="false">IF(Compare!$E$5="Local prices",IF(F463="","",IF(Compare!$C$5="Minimum",F463,IF(Compare!$C$5="Maximum",H463,G463))),IF(I463="","",IF(Compare!$C$5="Minimum",I463,IF(Compare!$C$5="Maximum",K463,J463))))</f>
        <v/>
      </c>
    </row>
    <row r="464" customFormat="false" ht="13.5" hidden="false" customHeight="false" outlineLevel="0" collapsed="false">
      <c r="B464" s="36" t="s">
        <v>107</v>
      </c>
      <c r="C464" s="98" t="s">
        <v>14</v>
      </c>
      <c r="D464" s="98" t="s">
        <v>374</v>
      </c>
      <c r="E464" s="98" t="s">
        <v>491</v>
      </c>
      <c r="F464" s="99" t="n">
        <f aca="false">IF(COUNTIFS(Offers!$B$7:$B$3000,$B464,Offers!$C$7:$C$3000,$C464,Offers!$AH$7:$AH$3000,"yes")=0,"",SUMIFS(Offers!$H$7:$H$3000,Offers!$B$7:$B$3000,$B464,Offers!$C$7:$C$3000,$C464,Offers!$AF$7:$AF$3000,1))</f>
        <v>2.54</v>
      </c>
      <c r="G464" s="93" t="n">
        <f aca="false">IF(COUNTIFS(Offers!$B$7:$B$3000,$B464,Offers!$C$7:$C$3000,$C464,Offers!$AH$7:$AH$3000,"yes")=0,"",(SUMIFS(Offers!$H$7:$H$3000,Offers!$B$7:$B$3000,$B464,Offers!$C$7:$C$3000,$C464,Offers!$AF$7:$AF$3000,ROUNDUP(COUNTIFS(Offers!$B$7:$B$3000,$B464,Offers!$C$7:$C$3000,$C464,Offers!$AH$7:$AH$3000,"yes")/2,0))+SUMIFS(Offers!$H$7:$H$3000,Offers!$B$7:$B$3000,$B464,Offers!$C$7:$C$3000,$C464,Offers!$AF$7:$AF$3000,INT(COUNTIFS(Offers!$B$7:$B$3000,$B464,Offers!$C$7:$C$3000,$C464,Offers!$AH$7:$AH$3000,"yes")/2)+1))/2)</f>
        <v>15.58</v>
      </c>
      <c r="H464" s="99" t="n">
        <f aca="false">IF(COUNTIFS(Offers!$B$7:$B$3000,$B464,Offers!$C$7:$C$3000,$C464,Offers!$AH$7:$AH$3000,"yes")=0,"",SUMIFS(Offers!$H$7:$H$3000,Offers!$B$7:$B$3000,$B464,Offers!$C$7:$C$3000,$C464,Offers!$AF$7:$AF$3000,COUNTIFS(Offers!$B$7:$B$3000,$B464,Offers!$C$7:$C$3000,$C464,Offers!$AH$7:$AH$3000,"yes")))</f>
        <v>38.55</v>
      </c>
      <c r="I464" s="100" t="n">
        <f aca="false">IF(COUNTIFS(Offers!$B$7:$B$3000,$B464,Offers!$C$7:$C$3000,$C464,Offers!$AI$7:$AI$3000,"yes")=0,"",SUMIFS(Offers!$I$7:$I$3000,Offers!$B$7:$B$3000,$B464,Offers!$C$7:$C$3000,$C464,Offers!$AG$7:$AG$3000,1))</f>
        <v>2.54</v>
      </c>
      <c r="J464" s="95" t="n">
        <f aca="false">IF(COUNTIFS(Offers!$B$7:$B$3000,$B464,Offers!$C$7:$C$3000,$C464,Offers!$AI$7:$AI$3000,"yes")=0,"",(SUMIFS(Offers!$I$7:$I$3000,Offers!$B$7:$B$3000,$B464,Offers!$C$7:$C$3000,$C464,Offers!$AG$7:$AG$3000,ROUNDUP(COUNTIFS(Offers!$B$7:$B$3000,$B464,Offers!$C$7:$C$3000,$C464,Offers!$AI$7:$AI$3000,"yes")/2,0))+SUMIFS(Offers!$I$7:$I$3000,Offers!$B$7:$B$3000,$B464,Offers!$C$7:$C$3000,$C464,Offers!$AG$7:$AG$3000,INT(COUNTIFS(Offers!$B$7:$B$3000,$B464,Offers!$C$7:$C$3000,$C464,Offers!$AI$7:$AI$3000,"yes")/2)+1))/2)</f>
        <v>2.952076</v>
      </c>
      <c r="K464" s="100" t="n">
        <f aca="false">IF(COUNTIFS(Offers!$B$7:$B$3000,$B464,Offers!$C$7:$C$3000,$C464,Offers!$AI$7:$AI$3000,"yes")=0,"",SUMIFS(Offers!$I$7:$I$3000,Offers!$B$7:$B$3000,$B464,Offers!$C$7:$C$3000,$C464,Offers!$AG$7:$AG$3000,COUNTIFS(Offers!$B$7:$B$3000,$B464,Offers!$C$7:$C$3000,$C464,Offers!$AI$7:$AI$3000,"yes")))</f>
        <v>7.304399</v>
      </c>
      <c r="L464" s="96"/>
      <c r="M464" s="96"/>
      <c r="N464" s="96"/>
      <c r="O464" s="101" t="n">
        <f aca="false">IF(Compare!$E$5="Local prices",IF(F464="","",IF(Compare!$C$5="Minimum",F464,IF(Compare!$C$5="Maximum",H464,G464))),IF(I464="","",IF(Compare!$C$5="Minimum",I464,IF(Compare!$C$5="Maximum",K464,J464))))</f>
        <v>2.952076</v>
      </c>
    </row>
    <row r="465" customFormat="false" ht="13.5" hidden="false" customHeight="false" outlineLevel="0" collapsed="false">
      <c r="B465" s="36" t="s">
        <v>107</v>
      </c>
      <c r="C465" s="98" t="s">
        <v>15</v>
      </c>
      <c r="D465" s="98" t="s">
        <v>244</v>
      </c>
      <c r="E465" s="98" t="s">
        <v>491</v>
      </c>
      <c r="F465" s="99" t="n">
        <f aca="false">IF(COUNTIFS(Offers!$B$7:$B$3000,$B465,Offers!$C$7:$C$3000,$C465,Offers!$AH$7:$AH$3000,"yes")=0,"",SUMIFS(Offers!$H$7:$H$3000,Offers!$B$7:$B$3000,$B465,Offers!$C$7:$C$3000,$C465,Offers!$AF$7:$AF$3000,1))</f>
        <v>2.1</v>
      </c>
      <c r="G465" s="93" t="n">
        <f aca="false">IF(COUNTIFS(Offers!$B$7:$B$3000,$B465,Offers!$C$7:$C$3000,$C465,Offers!$AH$7:$AH$3000,"yes")=0,"",(SUMIFS(Offers!$H$7:$H$3000,Offers!$B$7:$B$3000,$B465,Offers!$C$7:$C$3000,$C465,Offers!$AF$7:$AF$3000,ROUNDUP(COUNTIFS(Offers!$B$7:$B$3000,$B465,Offers!$C$7:$C$3000,$C465,Offers!$AH$7:$AH$3000,"yes")/2,0))+SUMIFS(Offers!$H$7:$H$3000,Offers!$B$7:$B$3000,$B465,Offers!$C$7:$C$3000,$C465,Offers!$AF$7:$AF$3000,INT(COUNTIFS(Offers!$B$7:$B$3000,$B465,Offers!$C$7:$C$3000,$C465,Offers!$AH$7:$AH$3000,"yes")/2)+1))/2)</f>
        <v>4.24</v>
      </c>
      <c r="H465" s="99" t="n">
        <f aca="false">IF(COUNTIFS(Offers!$B$7:$B$3000,$B465,Offers!$C$7:$C$3000,$C465,Offers!$AH$7:$AH$3000,"yes")=0,"",SUMIFS(Offers!$H$7:$H$3000,Offers!$B$7:$B$3000,$B465,Offers!$C$7:$C$3000,$C465,Offers!$AF$7:$AF$3000,COUNTIFS(Offers!$B$7:$B$3000,$B465,Offers!$C$7:$C$3000,$C465,Offers!$AH$7:$AH$3000,"yes")))</f>
        <v>14.85</v>
      </c>
      <c r="I465" s="100" t="n">
        <f aca="false">IF(COUNTIFS(Offers!$B$7:$B$3000,$B465,Offers!$C$7:$C$3000,$C465,Offers!$AI$7:$AI$3000,"yes")=0,"",SUMIFS(Offers!$I$7:$I$3000,Offers!$B$7:$B$3000,$B465,Offers!$C$7:$C$3000,$C465,Offers!$AG$7:$AG$3000,1))</f>
        <v>2.1</v>
      </c>
      <c r="J465" s="95" t="n">
        <f aca="false">IF(COUNTIFS(Offers!$B$7:$B$3000,$B465,Offers!$C$7:$C$3000,$C465,Offers!$AI$7:$AI$3000,"yes")=0,"",(SUMIFS(Offers!$I$7:$I$3000,Offers!$B$7:$B$3000,$B465,Offers!$C$7:$C$3000,$C465,Offers!$AG$7:$AG$3000,ROUNDUP(COUNTIFS(Offers!$B$7:$B$3000,$B465,Offers!$C$7:$C$3000,$C465,Offers!$AI$7:$AI$3000,"yes")/2,0))+SUMIFS(Offers!$I$7:$I$3000,Offers!$B$7:$B$3000,$B465,Offers!$C$7:$C$3000,$C465,Offers!$AG$7:$AG$3000,INT(COUNTIFS(Offers!$B$7:$B$3000,$B465,Offers!$C$7:$C$3000,$C465,Offers!$AI$7:$AI$3000,"yes")/2)+1))/2)</f>
        <v>4.24</v>
      </c>
      <c r="K465" s="100" t="n">
        <f aca="false">IF(COUNTIFS(Offers!$B$7:$B$3000,$B465,Offers!$C$7:$C$3000,$C465,Offers!$AI$7:$AI$3000,"yes")=0,"",SUMIFS(Offers!$I$7:$I$3000,Offers!$B$7:$B$3000,$B465,Offers!$C$7:$C$3000,$C465,Offers!$AG$7:$AG$3000,COUNTIFS(Offers!$B$7:$B$3000,$B465,Offers!$C$7:$C$3000,$C465,Offers!$AI$7:$AI$3000,"yes")))</f>
        <v>14.85</v>
      </c>
      <c r="L465" s="96"/>
      <c r="M465" s="96"/>
      <c r="N465" s="96"/>
      <c r="O465" s="101" t="n">
        <f aca="false">IF(Compare!$E$5="Local prices",IF(F465="","",IF(Compare!$C$5="Minimum",F465,IF(Compare!$C$5="Maximum",H465,G465))),IF(I465="","",IF(Compare!$C$5="Minimum",I465,IF(Compare!$C$5="Maximum",K465,J465))))</f>
        <v>4.24</v>
      </c>
    </row>
    <row r="466" customFormat="false" ht="13.5" hidden="false" customHeight="false" outlineLevel="0" collapsed="false">
      <c r="B466" s="36" t="s">
        <v>107</v>
      </c>
      <c r="C466" s="98" t="s">
        <v>16</v>
      </c>
      <c r="D466" s="98" t="s">
        <v>244</v>
      </c>
      <c r="E466" s="98" t="s">
        <v>491</v>
      </c>
      <c r="F466" s="99" t="n">
        <f aca="false">IF(COUNTIFS(Offers!$B$7:$B$3000,$B466,Offers!$C$7:$C$3000,$C466,Offers!$AH$7:$AH$3000,"yes")=0,"",SUMIFS(Offers!$H$7:$H$3000,Offers!$B$7:$B$3000,$B466,Offers!$C$7:$C$3000,$C466,Offers!$AF$7:$AF$3000,1))</f>
        <v>2.17</v>
      </c>
      <c r="G466" s="93" t="n">
        <f aca="false">IF(COUNTIFS(Offers!$B$7:$B$3000,$B466,Offers!$C$7:$C$3000,$C466,Offers!$AH$7:$AH$3000,"yes")=0,"",(SUMIFS(Offers!$H$7:$H$3000,Offers!$B$7:$B$3000,$B466,Offers!$C$7:$C$3000,$C466,Offers!$AF$7:$AF$3000,ROUNDUP(COUNTIFS(Offers!$B$7:$B$3000,$B466,Offers!$C$7:$C$3000,$C466,Offers!$AH$7:$AH$3000,"yes")/2,0))+SUMIFS(Offers!$H$7:$H$3000,Offers!$B$7:$B$3000,$B466,Offers!$C$7:$C$3000,$C466,Offers!$AF$7:$AF$3000,INT(COUNTIFS(Offers!$B$7:$B$3000,$B466,Offers!$C$7:$C$3000,$C466,Offers!$AH$7:$AH$3000,"yes")/2)+1))/2)</f>
        <v>2.69</v>
      </c>
      <c r="H466" s="99" t="n">
        <f aca="false">IF(COUNTIFS(Offers!$B$7:$B$3000,$B466,Offers!$C$7:$C$3000,$C466,Offers!$AH$7:$AH$3000,"yes")=0,"",SUMIFS(Offers!$H$7:$H$3000,Offers!$B$7:$B$3000,$B466,Offers!$C$7:$C$3000,$C466,Offers!$AF$7:$AF$3000,COUNTIFS(Offers!$B$7:$B$3000,$B466,Offers!$C$7:$C$3000,$C466,Offers!$AH$7:$AH$3000,"yes")))</f>
        <v>5.87</v>
      </c>
      <c r="I466" s="100" t="n">
        <f aca="false">IF(COUNTIFS(Offers!$B$7:$B$3000,$B466,Offers!$C$7:$C$3000,$C466,Offers!$AI$7:$AI$3000,"yes")=0,"",SUMIFS(Offers!$I$7:$I$3000,Offers!$B$7:$B$3000,$B466,Offers!$C$7:$C$3000,$C466,Offers!$AG$7:$AG$3000,1))</f>
        <v>2.17</v>
      </c>
      <c r="J466" s="95" t="n">
        <f aca="false">IF(COUNTIFS(Offers!$B$7:$B$3000,$B466,Offers!$C$7:$C$3000,$C466,Offers!$AI$7:$AI$3000,"yes")=0,"",(SUMIFS(Offers!$I$7:$I$3000,Offers!$B$7:$B$3000,$B466,Offers!$C$7:$C$3000,$C466,Offers!$AG$7:$AG$3000,ROUNDUP(COUNTIFS(Offers!$B$7:$B$3000,$B466,Offers!$C$7:$C$3000,$C466,Offers!$AI$7:$AI$3000,"yes")/2,0))+SUMIFS(Offers!$I$7:$I$3000,Offers!$B$7:$B$3000,$B466,Offers!$C$7:$C$3000,$C466,Offers!$AG$7:$AG$3000,INT(COUNTIFS(Offers!$B$7:$B$3000,$B466,Offers!$C$7:$C$3000,$C466,Offers!$AI$7:$AI$3000,"yes")/2)+1))/2)</f>
        <v>2.69</v>
      </c>
      <c r="K466" s="100" t="n">
        <f aca="false">IF(COUNTIFS(Offers!$B$7:$B$3000,$B466,Offers!$C$7:$C$3000,$C466,Offers!$AI$7:$AI$3000,"yes")=0,"",SUMIFS(Offers!$I$7:$I$3000,Offers!$B$7:$B$3000,$B466,Offers!$C$7:$C$3000,$C466,Offers!$AG$7:$AG$3000,COUNTIFS(Offers!$B$7:$B$3000,$B466,Offers!$C$7:$C$3000,$C466,Offers!$AI$7:$AI$3000,"yes")))</f>
        <v>5.87</v>
      </c>
      <c r="L466" s="96"/>
      <c r="M466" s="96"/>
      <c r="N466" s="96"/>
      <c r="O466" s="101" t="n">
        <f aca="false">IF(Compare!$E$5="Local prices",IF(F466="","",IF(Compare!$C$5="Minimum",F466,IF(Compare!$C$5="Maximum",H466,G466))),IF(I466="","",IF(Compare!$C$5="Minimum",I466,IF(Compare!$C$5="Maximum",K466,J466))))</f>
        <v>2.69</v>
      </c>
    </row>
    <row r="467" customFormat="false" ht="13.5" hidden="false" customHeight="false" outlineLevel="0" collapsed="false">
      <c r="B467" s="36" t="s">
        <v>107</v>
      </c>
      <c r="C467" s="98" t="s">
        <v>17</v>
      </c>
      <c r="D467" s="98" t="s">
        <v>333</v>
      </c>
      <c r="E467" s="98" t="s">
        <v>491</v>
      </c>
      <c r="F467" s="99" t="n">
        <f aca="false">IF(COUNTIFS(Offers!$B$7:$B$3000,$B467,Offers!$C$7:$C$3000,$C467,Offers!$AH$7:$AH$3000,"yes")=0,"",SUMIFS(Offers!$H$7:$H$3000,Offers!$B$7:$B$3000,$B467,Offers!$C$7:$C$3000,$C467,Offers!$AF$7:$AF$3000,1))</f>
        <v>43.8</v>
      </c>
      <c r="G467" s="93" t="n">
        <f aca="false">IF(COUNTIFS(Offers!$B$7:$B$3000,$B467,Offers!$C$7:$C$3000,$C467,Offers!$AH$7:$AH$3000,"yes")=0,"",(SUMIFS(Offers!$H$7:$H$3000,Offers!$B$7:$B$3000,$B467,Offers!$C$7:$C$3000,$C467,Offers!$AF$7:$AF$3000,ROUNDUP(COUNTIFS(Offers!$B$7:$B$3000,$B467,Offers!$C$7:$C$3000,$C467,Offers!$AH$7:$AH$3000,"yes")/2,0))+SUMIFS(Offers!$H$7:$H$3000,Offers!$B$7:$B$3000,$B467,Offers!$C$7:$C$3000,$C467,Offers!$AF$7:$AF$3000,INT(COUNTIFS(Offers!$B$7:$B$3000,$B467,Offers!$C$7:$C$3000,$C467,Offers!$AH$7:$AH$3000,"yes")/2)+1))/2)</f>
        <v>117.46</v>
      </c>
      <c r="H467" s="99" t="n">
        <f aca="false">IF(COUNTIFS(Offers!$B$7:$B$3000,$B467,Offers!$C$7:$C$3000,$C467,Offers!$AH$7:$AH$3000,"yes")=0,"",SUMIFS(Offers!$H$7:$H$3000,Offers!$B$7:$B$3000,$B467,Offers!$C$7:$C$3000,$C467,Offers!$AF$7:$AF$3000,COUNTIFS(Offers!$B$7:$B$3000,$B467,Offers!$C$7:$C$3000,$C467,Offers!$AH$7:$AH$3000,"yes")))</f>
        <v>175</v>
      </c>
      <c r="I467" s="100" t="n">
        <f aca="false">IF(COUNTIFS(Offers!$B$7:$B$3000,$B467,Offers!$C$7:$C$3000,$C467,Offers!$AI$7:$AI$3000,"yes")=0,"",SUMIFS(Offers!$I$7:$I$3000,Offers!$B$7:$B$3000,$B467,Offers!$C$7:$C$3000,$C467,Offers!$AG$7:$AG$3000,1))</f>
        <v>1.793346</v>
      </c>
      <c r="J467" s="95" t="n">
        <f aca="false">IF(COUNTIFS(Offers!$B$7:$B$3000,$B467,Offers!$C$7:$C$3000,$C467,Offers!$AI$7:$AI$3000,"yes")=0,"",(SUMIFS(Offers!$I$7:$I$3000,Offers!$B$7:$B$3000,$B467,Offers!$C$7:$C$3000,$C467,Offers!$AG$7:$AG$3000,ROUNDUP(COUNTIFS(Offers!$B$7:$B$3000,$B467,Offers!$C$7:$C$3000,$C467,Offers!$AI$7:$AI$3000,"yes")/2,0))+SUMIFS(Offers!$I$7:$I$3000,Offers!$B$7:$B$3000,$B467,Offers!$C$7:$C$3000,$C467,Offers!$AG$7:$AG$3000,INT(COUNTIFS(Offers!$B$7:$B$3000,$B467,Offers!$C$7:$C$3000,$C467,Offers!$AI$7:$AI$3000,"yes")/2)+1))/2)</f>
        <v>4.8092795</v>
      </c>
      <c r="K467" s="100" t="n">
        <f aca="false">IF(COUNTIFS(Offers!$B$7:$B$3000,$B467,Offers!$C$7:$C$3000,$C467,Offers!$AI$7:$AI$3000,"yes")=0,"",SUMIFS(Offers!$I$7:$I$3000,Offers!$B$7:$B$3000,$B467,Offers!$C$7:$C$3000,$C467,Offers!$AG$7:$AG$3000,COUNTIFS(Offers!$B$7:$B$3000,$B467,Offers!$C$7:$C$3000,$C467,Offers!$AI$7:$AI$3000,"yes")))</f>
        <v>7.165196</v>
      </c>
      <c r="L467" s="96"/>
      <c r="M467" s="96"/>
      <c r="N467" s="96"/>
      <c r="O467" s="101" t="n">
        <f aca="false">IF(Compare!$E$5="Local prices",IF(F467="","",IF(Compare!$C$5="Minimum",F467,IF(Compare!$C$5="Maximum",H467,G467))),IF(I467="","",IF(Compare!$C$5="Minimum",I467,IF(Compare!$C$5="Maximum",K467,J467))))</f>
        <v>4.8092795</v>
      </c>
    </row>
    <row r="468" customFormat="false" ht="13.5" hidden="false" customHeight="false" outlineLevel="0" collapsed="false">
      <c r="B468" s="36" t="s">
        <v>107</v>
      </c>
      <c r="C468" s="98" t="s">
        <v>18</v>
      </c>
      <c r="D468" s="98" t="s">
        <v>244</v>
      </c>
      <c r="E468" s="98" t="s">
        <v>491</v>
      </c>
      <c r="F468" s="99" t="n">
        <f aca="false">IF(COUNTIFS(Offers!$B$7:$B$3000,$B468,Offers!$C$7:$C$3000,$C468,Offers!$AH$7:$AH$3000,"yes")=0,"",SUMIFS(Offers!$H$7:$H$3000,Offers!$B$7:$B$3000,$B468,Offers!$C$7:$C$3000,$C468,Offers!$AF$7:$AF$3000,1))</f>
        <v>1.88</v>
      </c>
      <c r="G468" s="93" t="n">
        <f aca="false">IF(COUNTIFS(Offers!$B$7:$B$3000,$B468,Offers!$C$7:$C$3000,$C468,Offers!$AH$7:$AH$3000,"yes")=0,"",(SUMIFS(Offers!$H$7:$H$3000,Offers!$B$7:$B$3000,$B468,Offers!$C$7:$C$3000,$C468,Offers!$AF$7:$AF$3000,ROUNDUP(COUNTIFS(Offers!$B$7:$B$3000,$B468,Offers!$C$7:$C$3000,$C468,Offers!$AH$7:$AH$3000,"yes")/2,0))+SUMIFS(Offers!$H$7:$H$3000,Offers!$B$7:$B$3000,$B468,Offers!$C$7:$C$3000,$C468,Offers!$AF$7:$AF$3000,INT(COUNTIFS(Offers!$B$7:$B$3000,$B468,Offers!$C$7:$C$3000,$C468,Offers!$AH$7:$AH$3000,"yes")/2)+1))/2)</f>
        <v>3</v>
      </c>
      <c r="H468" s="99" t="n">
        <f aca="false">IF(COUNTIFS(Offers!$B$7:$B$3000,$B468,Offers!$C$7:$C$3000,$C468,Offers!$AH$7:$AH$3000,"yes")=0,"",SUMIFS(Offers!$H$7:$H$3000,Offers!$B$7:$B$3000,$B468,Offers!$C$7:$C$3000,$C468,Offers!$AF$7:$AF$3000,COUNTIFS(Offers!$B$7:$B$3000,$B468,Offers!$C$7:$C$3000,$C468,Offers!$AH$7:$AH$3000,"yes")))</f>
        <v>6.94</v>
      </c>
      <c r="I468" s="100" t="n">
        <f aca="false">IF(COUNTIFS(Offers!$B$7:$B$3000,$B468,Offers!$C$7:$C$3000,$C468,Offers!$AI$7:$AI$3000,"yes")=0,"",SUMIFS(Offers!$I$7:$I$3000,Offers!$B$7:$B$3000,$B468,Offers!$C$7:$C$3000,$C468,Offers!$AG$7:$AG$3000,1))</f>
        <v>1.88</v>
      </c>
      <c r="J468" s="95" t="n">
        <f aca="false">IF(COUNTIFS(Offers!$B$7:$B$3000,$B468,Offers!$C$7:$C$3000,$C468,Offers!$AI$7:$AI$3000,"yes")=0,"",(SUMIFS(Offers!$I$7:$I$3000,Offers!$B$7:$B$3000,$B468,Offers!$C$7:$C$3000,$C468,Offers!$AG$7:$AG$3000,ROUNDUP(COUNTIFS(Offers!$B$7:$B$3000,$B468,Offers!$C$7:$C$3000,$C468,Offers!$AI$7:$AI$3000,"yes")/2,0))+SUMIFS(Offers!$I$7:$I$3000,Offers!$B$7:$B$3000,$B468,Offers!$C$7:$C$3000,$C468,Offers!$AG$7:$AG$3000,INT(COUNTIFS(Offers!$B$7:$B$3000,$B468,Offers!$C$7:$C$3000,$C468,Offers!$AI$7:$AI$3000,"yes")/2)+1))/2)</f>
        <v>3</v>
      </c>
      <c r="K468" s="100" t="n">
        <f aca="false">IF(COUNTIFS(Offers!$B$7:$B$3000,$B468,Offers!$C$7:$C$3000,$C468,Offers!$AI$7:$AI$3000,"yes")=0,"",SUMIFS(Offers!$I$7:$I$3000,Offers!$B$7:$B$3000,$B468,Offers!$C$7:$C$3000,$C468,Offers!$AG$7:$AG$3000,COUNTIFS(Offers!$B$7:$B$3000,$B468,Offers!$C$7:$C$3000,$C468,Offers!$AI$7:$AI$3000,"yes")))</f>
        <v>6.94</v>
      </c>
      <c r="L468" s="96"/>
      <c r="M468" s="96"/>
      <c r="N468" s="96"/>
      <c r="O468" s="101" t="n">
        <f aca="false">IF(Compare!$E$5="Local prices",IF(F468="","",IF(Compare!$C$5="Minimum",F468,IF(Compare!$C$5="Maximum",H468,G468))),IF(I468="","",IF(Compare!$C$5="Minimum",I468,IF(Compare!$C$5="Maximum",K468,J468))))</f>
        <v>3</v>
      </c>
    </row>
    <row r="469" customFormat="false" ht="13.5" hidden="false" customHeight="false" outlineLevel="0" collapsed="false">
      <c r="B469" s="36" t="s">
        <v>108</v>
      </c>
      <c r="C469" s="98" t="s">
        <v>13</v>
      </c>
      <c r="D469" s="98" t="s">
        <v>490</v>
      </c>
      <c r="E469" s="98" t="s">
        <v>491</v>
      </c>
      <c r="F469" s="99" t="str">
        <f aca="false">IF(COUNTIFS(Offers!$B$7:$B$3000,$B469,Offers!$C$7:$C$3000,$C469,Offers!$AH$7:$AH$3000,"yes")=0,"",SUMIFS(Offers!$H$7:$H$3000,Offers!$B$7:$B$3000,$B469,Offers!$C$7:$C$3000,$C469,Offers!$AF$7:$AF$3000,1))</f>
        <v/>
      </c>
      <c r="G469" s="93" t="str">
        <f aca="false">IF(COUNTIFS(Offers!$B$7:$B$3000,$B469,Offers!$C$7:$C$3000,$C469,Offers!$AH$7:$AH$3000,"yes")=0,"",(SUMIFS(Offers!$H$7:$H$3000,Offers!$B$7:$B$3000,$B469,Offers!$C$7:$C$3000,$C469,Offers!$AF$7:$AF$3000,ROUNDUP(COUNTIFS(Offers!$B$7:$B$3000,$B469,Offers!$C$7:$C$3000,$C469,Offers!$AH$7:$AH$3000,"yes")/2,0))+SUMIFS(Offers!$H$7:$H$3000,Offers!$B$7:$B$3000,$B469,Offers!$C$7:$C$3000,$C469,Offers!$AF$7:$AF$3000,INT(COUNTIFS(Offers!$B$7:$B$3000,$B469,Offers!$C$7:$C$3000,$C469,Offers!$AH$7:$AH$3000,"yes")/2)+1))/2)</f>
        <v/>
      </c>
      <c r="H469" s="99" t="str">
        <f aca="false">IF(COUNTIFS(Offers!$B$7:$B$3000,$B469,Offers!$C$7:$C$3000,$C469,Offers!$AH$7:$AH$3000,"yes")=0,"",SUMIFS(Offers!$H$7:$H$3000,Offers!$B$7:$B$3000,$B469,Offers!$C$7:$C$3000,$C469,Offers!$AF$7:$AF$3000,COUNTIFS(Offers!$B$7:$B$3000,$B469,Offers!$C$7:$C$3000,$C469,Offers!$AH$7:$AH$3000,"yes")))</f>
        <v/>
      </c>
      <c r="I469" s="100" t="str">
        <f aca="false">IF(COUNTIFS(Offers!$B$7:$B$3000,$B469,Offers!$C$7:$C$3000,$C469,Offers!$AI$7:$AI$3000,"yes")=0,"",SUMIFS(Offers!$I$7:$I$3000,Offers!$B$7:$B$3000,$B469,Offers!$C$7:$C$3000,$C469,Offers!$AG$7:$AG$3000,1))</f>
        <v/>
      </c>
      <c r="J469" s="95" t="str">
        <f aca="false">IF(COUNTIFS(Offers!$B$7:$B$3000,$B469,Offers!$C$7:$C$3000,$C469,Offers!$AI$7:$AI$3000,"yes")=0,"",(SUMIFS(Offers!$I$7:$I$3000,Offers!$B$7:$B$3000,$B469,Offers!$C$7:$C$3000,$C469,Offers!$AG$7:$AG$3000,ROUNDUP(COUNTIFS(Offers!$B$7:$B$3000,$B469,Offers!$C$7:$C$3000,$C469,Offers!$AI$7:$AI$3000,"yes")/2,0))+SUMIFS(Offers!$I$7:$I$3000,Offers!$B$7:$B$3000,$B469,Offers!$C$7:$C$3000,$C469,Offers!$AG$7:$AG$3000,INT(COUNTIFS(Offers!$B$7:$B$3000,$B469,Offers!$C$7:$C$3000,$C469,Offers!$AI$7:$AI$3000,"yes")/2)+1))/2)</f>
        <v/>
      </c>
      <c r="K469" s="100" t="str">
        <f aca="false">IF(COUNTIFS(Offers!$B$7:$B$3000,$B469,Offers!$C$7:$C$3000,$C469,Offers!$AI$7:$AI$3000,"yes")=0,"",SUMIFS(Offers!$I$7:$I$3000,Offers!$B$7:$B$3000,$B469,Offers!$C$7:$C$3000,$C469,Offers!$AG$7:$AG$3000,COUNTIFS(Offers!$B$7:$B$3000,$B469,Offers!$C$7:$C$3000,$C469,Offers!$AI$7:$AI$3000,"yes")))</f>
        <v/>
      </c>
      <c r="L469" s="96"/>
      <c r="M469" s="96"/>
      <c r="N469" s="96"/>
      <c r="O469" s="110" t="str">
        <f aca="false">IF(Compare!$E$5="Local prices",IF(F469="","",IF(Compare!$C$5="Minimum",F469,IF(Compare!$C$5="Maximum",H469,G469))),IF(I469="","",IF(Compare!$C$5="Minimum",I469,IF(Compare!$C$5="Maximum",K469,J469))))</f>
        <v/>
      </c>
    </row>
    <row r="470" customFormat="false" ht="13.5" hidden="false" customHeight="false" outlineLevel="0" collapsed="false">
      <c r="B470" s="36" t="s">
        <v>108</v>
      </c>
      <c r="C470" s="98" t="s">
        <v>14</v>
      </c>
      <c r="D470" s="98" t="s">
        <v>374</v>
      </c>
      <c r="E470" s="98" t="s">
        <v>491</v>
      </c>
      <c r="F470" s="99" t="n">
        <f aca="false">IF(COUNTIFS(Offers!$B$7:$B$3000,$B470,Offers!$C$7:$C$3000,$C470,Offers!$AH$7:$AH$3000,"yes")=0,"",SUMIFS(Offers!$H$7:$H$3000,Offers!$B$7:$B$3000,$B470,Offers!$C$7:$C$3000,$C470,Offers!$AF$7:$AF$3000,1))</f>
        <v>8.77</v>
      </c>
      <c r="G470" s="93" t="n">
        <f aca="false">IF(COUNTIFS(Offers!$B$7:$B$3000,$B470,Offers!$C$7:$C$3000,$C470,Offers!$AH$7:$AH$3000,"yes")=0,"",(SUMIFS(Offers!$H$7:$H$3000,Offers!$B$7:$B$3000,$B470,Offers!$C$7:$C$3000,$C470,Offers!$AF$7:$AF$3000,ROUNDUP(COUNTIFS(Offers!$B$7:$B$3000,$B470,Offers!$C$7:$C$3000,$C470,Offers!$AH$7:$AH$3000,"yes")/2,0))+SUMIFS(Offers!$H$7:$H$3000,Offers!$B$7:$B$3000,$B470,Offers!$C$7:$C$3000,$C470,Offers!$AF$7:$AF$3000,INT(COUNTIFS(Offers!$B$7:$B$3000,$B470,Offers!$C$7:$C$3000,$C470,Offers!$AH$7:$AH$3000,"yes")/2)+1))/2)</f>
        <v>9.61</v>
      </c>
      <c r="H470" s="99" t="n">
        <f aca="false">IF(COUNTIFS(Offers!$B$7:$B$3000,$B470,Offers!$C$7:$C$3000,$C470,Offers!$AH$7:$AH$3000,"yes")=0,"",SUMIFS(Offers!$H$7:$H$3000,Offers!$B$7:$B$3000,$B470,Offers!$C$7:$C$3000,$C470,Offers!$AF$7:$AF$3000,COUNTIFS(Offers!$B$7:$B$3000,$B470,Offers!$C$7:$C$3000,$C470,Offers!$AH$7:$AH$3000,"yes")))</f>
        <v>29.62</v>
      </c>
      <c r="I470" s="100" t="n">
        <f aca="false">IF(COUNTIFS(Offers!$B$7:$B$3000,$B470,Offers!$C$7:$C$3000,$C470,Offers!$AI$7:$AI$3000,"yes")=0,"",SUMIFS(Offers!$I$7:$I$3000,Offers!$B$7:$B$3000,$B470,Offers!$C$7:$C$3000,$C470,Offers!$AG$7:$AG$3000,1))</f>
        <v>1.661727</v>
      </c>
      <c r="J470" s="95" t="n">
        <f aca="false">IF(COUNTIFS(Offers!$B$7:$B$3000,$B470,Offers!$C$7:$C$3000,$C470,Offers!$AI$7:$AI$3000,"yes")=0,"",(SUMIFS(Offers!$I$7:$I$3000,Offers!$B$7:$B$3000,$B470,Offers!$C$7:$C$3000,$C470,Offers!$AG$7:$AG$3000,ROUNDUP(COUNTIFS(Offers!$B$7:$B$3000,$B470,Offers!$C$7:$C$3000,$C470,Offers!$AI$7:$AI$3000,"yes")/2,0))+SUMIFS(Offers!$I$7:$I$3000,Offers!$B$7:$B$3000,$B470,Offers!$C$7:$C$3000,$C470,Offers!$AG$7:$AG$3000,INT(COUNTIFS(Offers!$B$7:$B$3000,$B470,Offers!$C$7:$C$3000,$C470,Offers!$AI$7:$AI$3000,"yes")/2)+1))/2)</f>
        <v>1.820889</v>
      </c>
      <c r="K470" s="100" t="n">
        <f aca="false">IF(COUNTIFS(Offers!$B$7:$B$3000,$B470,Offers!$C$7:$C$3000,$C470,Offers!$AI$7:$AI$3000,"yes")=0,"",SUMIFS(Offers!$I$7:$I$3000,Offers!$B$7:$B$3000,$B470,Offers!$C$7:$C$3000,$C470,Offers!$AG$7:$AG$3000,COUNTIFS(Offers!$B$7:$B$3000,$B470,Offers!$C$7:$C$3000,$C470,Offers!$AI$7:$AI$3000,"yes")))</f>
        <v>5.612355</v>
      </c>
      <c r="L470" s="96"/>
      <c r="M470" s="96"/>
      <c r="N470" s="96"/>
      <c r="O470" s="101" t="n">
        <f aca="false">IF(Compare!$E$5="Local prices",IF(F470="","",IF(Compare!$C$5="Minimum",F470,IF(Compare!$C$5="Maximum",H470,G470))),IF(I470="","",IF(Compare!$C$5="Minimum",I470,IF(Compare!$C$5="Maximum",K470,J470))))</f>
        <v>1.820889</v>
      </c>
    </row>
    <row r="471" customFormat="false" ht="13.5" hidden="false" customHeight="false" outlineLevel="0" collapsed="false">
      <c r="B471" s="36" t="s">
        <v>108</v>
      </c>
      <c r="C471" s="98" t="s">
        <v>15</v>
      </c>
      <c r="D471" s="98" t="s">
        <v>244</v>
      </c>
      <c r="E471" s="98" t="s">
        <v>491</v>
      </c>
      <c r="F471" s="99" t="n">
        <f aca="false">IF(COUNTIFS(Offers!$B$7:$B$3000,$B471,Offers!$C$7:$C$3000,$C471,Offers!$AH$7:$AH$3000,"yes")=0,"",SUMIFS(Offers!$H$7:$H$3000,Offers!$B$7:$B$3000,$B471,Offers!$C$7:$C$3000,$C471,Offers!$AF$7:$AF$3000,1))</f>
        <v>1.6</v>
      </c>
      <c r="G471" s="93" t="n">
        <f aca="false">IF(COUNTIFS(Offers!$B$7:$B$3000,$B471,Offers!$C$7:$C$3000,$C471,Offers!$AH$7:$AH$3000,"yes")=0,"",(SUMIFS(Offers!$H$7:$H$3000,Offers!$B$7:$B$3000,$B471,Offers!$C$7:$C$3000,$C471,Offers!$AF$7:$AF$3000,ROUNDUP(COUNTIFS(Offers!$B$7:$B$3000,$B471,Offers!$C$7:$C$3000,$C471,Offers!$AH$7:$AH$3000,"yes")/2,0))+SUMIFS(Offers!$H$7:$H$3000,Offers!$B$7:$B$3000,$B471,Offers!$C$7:$C$3000,$C471,Offers!$AF$7:$AF$3000,INT(COUNTIFS(Offers!$B$7:$B$3000,$B471,Offers!$C$7:$C$3000,$C471,Offers!$AH$7:$AH$3000,"yes")/2)+1))/2)</f>
        <v>2.37</v>
      </c>
      <c r="H471" s="99" t="n">
        <f aca="false">IF(COUNTIFS(Offers!$B$7:$B$3000,$B471,Offers!$C$7:$C$3000,$C471,Offers!$AH$7:$AH$3000,"yes")=0,"",SUMIFS(Offers!$H$7:$H$3000,Offers!$B$7:$B$3000,$B471,Offers!$C$7:$C$3000,$C471,Offers!$AF$7:$AF$3000,COUNTIFS(Offers!$B$7:$B$3000,$B471,Offers!$C$7:$C$3000,$C471,Offers!$AH$7:$AH$3000,"yes")))</f>
        <v>16.68</v>
      </c>
      <c r="I471" s="100" t="n">
        <f aca="false">IF(COUNTIFS(Offers!$B$7:$B$3000,$B471,Offers!$C$7:$C$3000,$C471,Offers!$AI$7:$AI$3000,"yes")=0,"",SUMIFS(Offers!$I$7:$I$3000,Offers!$B$7:$B$3000,$B471,Offers!$C$7:$C$3000,$C471,Offers!$AG$7:$AG$3000,1))</f>
        <v>1.6</v>
      </c>
      <c r="J471" s="95" t="n">
        <f aca="false">IF(COUNTIFS(Offers!$B$7:$B$3000,$B471,Offers!$C$7:$C$3000,$C471,Offers!$AI$7:$AI$3000,"yes")=0,"",(SUMIFS(Offers!$I$7:$I$3000,Offers!$B$7:$B$3000,$B471,Offers!$C$7:$C$3000,$C471,Offers!$AG$7:$AG$3000,ROUNDUP(COUNTIFS(Offers!$B$7:$B$3000,$B471,Offers!$C$7:$C$3000,$C471,Offers!$AI$7:$AI$3000,"yes")/2,0))+SUMIFS(Offers!$I$7:$I$3000,Offers!$B$7:$B$3000,$B471,Offers!$C$7:$C$3000,$C471,Offers!$AG$7:$AG$3000,INT(COUNTIFS(Offers!$B$7:$B$3000,$B471,Offers!$C$7:$C$3000,$C471,Offers!$AI$7:$AI$3000,"yes")/2)+1))/2)</f>
        <v>2.37</v>
      </c>
      <c r="K471" s="100" t="n">
        <f aca="false">IF(COUNTIFS(Offers!$B$7:$B$3000,$B471,Offers!$C$7:$C$3000,$C471,Offers!$AI$7:$AI$3000,"yes")=0,"",SUMIFS(Offers!$I$7:$I$3000,Offers!$B$7:$B$3000,$B471,Offers!$C$7:$C$3000,$C471,Offers!$AG$7:$AG$3000,COUNTIFS(Offers!$B$7:$B$3000,$B471,Offers!$C$7:$C$3000,$C471,Offers!$AI$7:$AI$3000,"yes")))</f>
        <v>16.68</v>
      </c>
      <c r="L471" s="96"/>
      <c r="M471" s="96"/>
      <c r="N471" s="96"/>
      <c r="O471" s="101" t="n">
        <f aca="false">IF(Compare!$E$5="Local prices",IF(F471="","",IF(Compare!$C$5="Minimum",F471,IF(Compare!$C$5="Maximum",H471,G471))),IF(I471="","",IF(Compare!$C$5="Minimum",I471,IF(Compare!$C$5="Maximum",K471,J471))))</f>
        <v>2.37</v>
      </c>
    </row>
    <row r="472" customFormat="false" ht="13.5" hidden="false" customHeight="false" outlineLevel="0" collapsed="false">
      <c r="B472" s="36" t="s">
        <v>108</v>
      </c>
      <c r="C472" s="98" t="s">
        <v>16</v>
      </c>
      <c r="D472" s="98" t="s">
        <v>244</v>
      </c>
      <c r="E472" s="98" t="s">
        <v>491</v>
      </c>
      <c r="F472" s="99" t="n">
        <f aca="false">IF(COUNTIFS(Offers!$B$7:$B$3000,$B472,Offers!$C$7:$C$3000,$C472,Offers!$AH$7:$AH$3000,"yes")=0,"",SUMIFS(Offers!$H$7:$H$3000,Offers!$B$7:$B$3000,$B472,Offers!$C$7:$C$3000,$C472,Offers!$AF$7:$AF$3000,1))</f>
        <v>1.59</v>
      </c>
      <c r="G472" s="93" t="n">
        <f aca="false">IF(COUNTIFS(Offers!$B$7:$B$3000,$B472,Offers!$C$7:$C$3000,$C472,Offers!$AH$7:$AH$3000,"yes")=0,"",(SUMIFS(Offers!$H$7:$H$3000,Offers!$B$7:$B$3000,$B472,Offers!$C$7:$C$3000,$C472,Offers!$AF$7:$AF$3000,ROUNDUP(COUNTIFS(Offers!$B$7:$B$3000,$B472,Offers!$C$7:$C$3000,$C472,Offers!$AH$7:$AH$3000,"yes")/2,0))+SUMIFS(Offers!$H$7:$H$3000,Offers!$B$7:$B$3000,$B472,Offers!$C$7:$C$3000,$C472,Offers!$AF$7:$AF$3000,INT(COUNTIFS(Offers!$B$7:$B$3000,$B472,Offers!$C$7:$C$3000,$C472,Offers!$AH$7:$AH$3000,"yes")/2)+1))/2)</f>
        <v>2.19</v>
      </c>
      <c r="H472" s="99" t="n">
        <f aca="false">IF(COUNTIFS(Offers!$B$7:$B$3000,$B472,Offers!$C$7:$C$3000,$C472,Offers!$AH$7:$AH$3000,"yes")=0,"",SUMIFS(Offers!$H$7:$H$3000,Offers!$B$7:$B$3000,$B472,Offers!$C$7:$C$3000,$C472,Offers!$AF$7:$AF$3000,COUNTIFS(Offers!$B$7:$B$3000,$B472,Offers!$C$7:$C$3000,$C472,Offers!$AH$7:$AH$3000,"yes")))</f>
        <v>11.1</v>
      </c>
      <c r="I472" s="100" t="n">
        <f aca="false">IF(COUNTIFS(Offers!$B$7:$B$3000,$B472,Offers!$C$7:$C$3000,$C472,Offers!$AI$7:$AI$3000,"yes")=0,"",SUMIFS(Offers!$I$7:$I$3000,Offers!$B$7:$B$3000,$B472,Offers!$C$7:$C$3000,$C472,Offers!$AG$7:$AG$3000,1))</f>
        <v>1.59</v>
      </c>
      <c r="J472" s="95" t="n">
        <f aca="false">IF(COUNTIFS(Offers!$B$7:$B$3000,$B472,Offers!$C$7:$C$3000,$C472,Offers!$AI$7:$AI$3000,"yes")=0,"",(SUMIFS(Offers!$I$7:$I$3000,Offers!$B$7:$B$3000,$B472,Offers!$C$7:$C$3000,$C472,Offers!$AG$7:$AG$3000,ROUNDUP(COUNTIFS(Offers!$B$7:$B$3000,$B472,Offers!$C$7:$C$3000,$C472,Offers!$AI$7:$AI$3000,"yes")/2,0))+SUMIFS(Offers!$I$7:$I$3000,Offers!$B$7:$B$3000,$B472,Offers!$C$7:$C$3000,$C472,Offers!$AG$7:$AG$3000,INT(COUNTIFS(Offers!$B$7:$B$3000,$B472,Offers!$C$7:$C$3000,$C472,Offers!$AI$7:$AI$3000,"yes")/2)+1))/2)</f>
        <v>2.19</v>
      </c>
      <c r="K472" s="100" t="n">
        <f aca="false">IF(COUNTIFS(Offers!$B$7:$B$3000,$B472,Offers!$C$7:$C$3000,$C472,Offers!$AI$7:$AI$3000,"yes")=0,"",SUMIFS(Offers!$I$7:$I$3000,Offers!$B$7:$B$3000,$B472,Offers!$C$7:$C$3000,$C472,Offers!$AG$7:$AG$3000,COUNTIFS(Offers!$B$7:$B$3000,$B472,Offers!$C$7:$C$3000,$C472,Offers!$AI$7:$AI$3000,"yes")))</f>
        <v>11.1</v>
      </c>
      <c r="L472" s="96"/>
      <c r="M472" s="96"/>
      <c r="N472" s="96"/>
      <c r="O472" s="101" t="n">
        <f aca="false">IF(Compare!$E$5="Local prices",IF(F472="","",IF(Compare!$C$5="Minimum",F472,IF(Compare!$C$5="Maximum",H472,G472))),IF(I472="","",IF(Compare!$C$5="Minimum",I472,IF(Compare!$C$5="Maximum",K472,J472))))</f>
        <v>2.19</v>
      </c>
    </row>
    <row r="473" customFormat="false" ht="13.5" hidden="false" customHeight="false" outlineLevel="0" collapsed="false">
      <c r="B473" s="36" t="s">
        <v>108</v>
      </c>
      <c r="C473" s="98" t="s">
        <v>17</v>
      </c>
      <c r="D473" s="98" t="s">
        <v>333</v>
      </c>
      <c r="E473" s="98" t="s">
        <v>491</v>
      </c>
      <c r="F473" s="99" t="n">
        <f aca="false">IF(COUNTIFS(Offers!$B$7:$B$3000,$B473,Offers!$C$7:$C$3000,$C473,Offers!$AH$7:$AH$3000,"yes")=0,"",SUMIFS(Offers!$H$7:$H$3000,Offers!$B$7:$B$3000,$B473,Offers!$C$7:$C$3000,$C473,Offers!$AF$7:$AF$3000,1))</f>
        <v>30.58</v>
      </c>
      <c r="G473" s="93" t="n">
        <f aca="false">IF(COUNTIFS(Offers!$B$7:$B$3000,$B473,Offers!$C$7:$C$3000,$C473,Offers!$AH$7:$AH$3000,"yes")=0,"",(SUMIFS(Offers!$H$7:$H$3000,Offers!$B$7:$B$3000,$B473,Offers!$C$7:$C$3000,$C473,Offers!$AF$7:$AF$3000,ROUNDUP(COUNTIFS(Offers!$B$7:$B$3000,$B473,Offers!$C$7:$C$3000,$C473,Offers!$AH$7:$AH$3000,"yes")/2,0))+SUMIFS(Offers!$H$7:$H$3000,Offers!$B$7:$B$3000,$B473,Offers!$C$7:$C$3000,$C473,Offers!$AF$7:$AF$3000,INT(COUNTIFS(Offers!$B$7:$B$3000,$B473,Offers!$C$7:$C$3000,$C473,Offers!$AH$7:$AH$3000,"yes")/2)+1))/2)</f>
        <v>65.6</v>
      </c>
      <c r="H473" s="99" t="n">
        <f aca="false">IF(COUNTIFS(Offers!$B$7:$B$3000,$B473,Offers!$C$7:$C$3000,$C473,Offers!$AH$7:$AH$3000,"yes")=0,"",SUMIFS(Offers!$H$7:$H$3000,Offers!$B$7:$B$3000,$B473,Offers!$C$7:$C$3000,$C473,Offers!$AF$7:$AF$3000,COUNTIFS(Offers!$B$7:$B$3000,$B473,Offers!$C$7:$C$3000,$C473,Offers!$AH$7:$AH$3000,"yes")))</f>
        <v>138</v>
      </c>
      <c r="I473" s="100" t="n">
        <f aca="false">IF(COUNTIFS(Offers!$B$7:$B$3000,$B473,Offers!$C$7:$C$3000,$C473,Offers!$AI$7:$AI$3000,"yes")=0,"",SUMIFS(Offers!$I$7:$I$3000,Offers!$B$7:$B$3000,$B473,Offers!$C$7:$C$3000,$C473,Offers!$AG$7:$AG$3000,1))</f>
        <v>1.252067</v>
      </c>
      <c r="J473" s="95" t="n">
        <f aca="false">IF(COUNTIFS(Offers!$B$7:$B$3000,$B473,Offers!$C$7:$C$3000,$C473,Offers!$AI$7:$AI$3000,"yes")=0,"",(SUMIFS(Offers!$I$7:$I$3000,Offers!$B$7:$B$3000,$B473,Offers!$C$7:$C$3000,$C473,Offers!$AG$7:$AG$3000,ROUNDUP(COUNTIFS(Offers!$B$7:$B$3000,$B473,Offers!$C$7:$C$3000,$C473,Offers!$AI$7:$AI$3000,"yes")/2,0))+SUMIFS(Offers!$I$7:$I$3000,Offers!$B$7:$B$3000,$B473,Offers!$C$7:$C$3000,$C473,Offers!$AG$7:$AG$3000,INT(COUNTIFS(Offers!$B$7:$B$3000,$B473,Offers!$C$7:$C$3000,$C473,Offers!$AI$7:$AI$3000,"yes")/2)+1))/2)</f>
        <v>2.685925</v>
      </c>
      <c r="K473" s="100" t="n">
        <f aca="false">IF(COUNTIFS(Offers!$B$7:$B$3000,$B473,Offers!$C$7:$C$3000,$C473,Offers!$AI$7:$AI$3000,"yes")=0,"",SUMIFS(Offers!$I$7:$I$3000,Offers!$B$7:$B$3000,$B473,Offers!$C$7:$C$3000,$C473,Offers!$AG$7:$AG$3000,COUNTIFS(Offers!$B$7:$B$3000,$B473,Offers!$C$7:$C$3000,$C473,Offers!$AI$7:$AI$3000,"yes")))</f>
        <v>5.650269</v>
      </c>
      <c r="L473" s="96"/>
      <c r="M473" s="96"/>
      <c r="N473" s="96"/>
      <c r="O473" s="101" t="n">
        <f aca="false">IF(Compare!$E$5="Local prices",IF(F473="","",IF(Compare!$C$5="Minimum",F473,IF(Compare!$C$5="Maximum",H473,G473))),IF(I473="","",IF(Compare!$C$5="Minimum",I473,IF(Compare!$C$5="Maximum",K473,J473))))</f>
        <v>2.685925</v>
      </c>
    </row>
    <row r="474" customFormat="false" ht="13.5" hidden="false" customHeight="false" outlineLevel="0" collapsed="false">
      <c r="B474" s="36" t="s">
        <v>108</v>
      </c>
      <c r="C474" s="98" t="s">
        <v>18</v>
      </c>
      <c r="D474" s="98" t="s">
        <v>244</v>
      </c>
      <c r="E474" s="98" t="s">
        <v>491</v>
      </c>
      <c r="F474" s="99" t="n">
        <f aca="false">IF(COUNTIFS(Offers!$B$7:$B$3000,$B474,Offers!$C$7:$C$3000,$C474,Offers!$AH$7:$AH$3000,"yes")=0,"",SUMIFS(Offers!$H$7:$H$3000,Offers!$B$7:$B$3000,$B474,Offers!$C$7:$C$3000,$C474,Offers!$AF$7:$AF$3000,1))</f>
        <v>1.22</v>
      </c>
      <c r="G474" s="93" t="n">
        <f aca="false">IF(COUNTIFS(Offers!$B$7:$B$3000,$B474,Offers!$C$7:$C$3000,$C474,Offers!$AH$7:$AH$3000,"yes")=0,"",(SUMIFS(Offers!$H$7:$H$3000,Offers!$B$7:$B$3000,$B474,Offers!$C$7:$C$3000,$C474,Offers!$AF$7:$AF$3000,ROUNDUP(COUNTIFS(Offers!$B$7:$B$3000,$B474,Offers!$C$7:$C$3000,$C474,Offers!$AH$7:$AH$3000,"yes")/2,0))+SUMIFS(Offers!$H$7:$H$3000,Offers!$B$7:$B$3000,$B474,Offers!$C$7:$C$3000,$C474,Offers!$AF$7:$AF$3000,INT(COUNTIFS(Offers!$B$7:$B$3000,$B474,Offers!$C$7:$C$3000,$C474,Offers!$AH$7:$AH$3000,"yes")/2)+1))/2)</f>
        <v>1.98</v>
      </c>
      <c r="H474" s="99" t="n">
        <f aca="false">IF(COUNTIFS(Offers!$B$7:$B$3000,$B474,Offers!$C$7:$C$3000,$C474,Offers!$AH$7:$AH$3000,"yes")=0,"",SUMIFS(Offers!$H$7:$H$3000,Offers!$B$7:$B$3000,$B474,Offers!$C$7:$C$3000,$C474,Offers!$AF$7:$AF$3000,COUNTIFS(Offers!$B$7:$B$3000,$B474,Offers!$C$7:$C$3000,$C474,Offers!$AH$7:$AH$3000,"yes")))</f>
        <v>5.33</v>
      </c>
      <c r="I474" s="100" t="n">
        <f aca="false">IF(COUNTIFS(Offers!$B$7:$B$3000,$B474,Offers!$C$7:$C$3000,$C474,Offers!$AI$7:$AI$3000,"yes")=0,"",SUMIFS(Offers!$I$7:$I$3000,Offers!$B$7:$B$3000,$B474,Offers!$C$7:$C$3000,$C474,Offers!$AG$7:$AG$3000,1))</f>
        <v>1.22</v>
      </c>
      <c r="J474" s="95" t="n">
        <f aca="false">IF(COUNTIFS(Offers!$B$7:$B$3000,$B474,Offers!$C$7:$C$3000,$C474,Offers!$AI$7:$AI$3000,"yes")=0,"",(SUMIFS(Offers!$I$7:$I$3000,Offers!$B$7:$B$3000,$B474,Offers!$C$7:$C$3000,$C474,Offers!$AG$7:$AG$3000,ROUNDUP(COUNTIFS(Offers!$B$7:$B$3000,$B474,Offers!$C$7:$C$3000,$C474,Offers!$AI$7:$AI$3000,"yes")/2,0))+SUMIFS(Offers!$I$7:$I$3000,Offers!$B$7:$B$3000,$B474,Offers!$C$7:$C$3000,$C474,Offers!$AG$7:$AG$3000,INT(COUNTIFS(Offers!$B$7:$B$3000,$B474,Offers!$C$7:$C$3000,$C474,Offers!$AI$7:$AI$3000,"yes")/2)+1))/2)</f>
        <v>1.98</v>
      </c>
      <c r="K474" s="100" t="n">
        <f aca="false">IF(COUNTIFS(Offers!$B$7:$B$3000,$B474,Offers!$C$7:$C$3000,$C474,Offers!$AI$7:$AI$3000,"yes")=0,"",SUMIFS(Offers!$I$7:$I$3000,Offers!$B$7:$B$3000,$B474,Offers!$C$7:$C$3000,$C474,Offers!$AG$7:$AG$3000,COUNTIFS(Offers!$B$7:$B$3000,$B474,Offers!$C$7:$C$3000,$C474,Offers!$AI$7:$AI$3000,"yes")))</f>
        <v>5.33</v>
      </c>
      <c r="L474" s="96"/>
      <c r="M474" s="96"/>
      <c r="N474" s="96"/>
      <c r="O474" s="101" t="n">
        <f aca="false">IF(Compare!$E$5="Local prices",IF(F474="","",IF(Compare!$C$5="Minimum",F474,IF(Compare!$C$5="Maximum",H474,G474))),IF(I474="","",IF(Compare!$C$5="Minimum",I474,IF(Compare!$C$5="Maximum",K474,J474))))</f>
        <v>1.98</v>
      </c>
    </row>
    <row r="475" customFormat="false" ht="13.5" hidden="false" customHeight="false" outlineLevel="0" collapsed="false">
      <c r="B475" s="36" t="s">
        <v>109</v>
      </c>
      <c r="C475" s="98" t="s">
        <v>13</v>
      </c>
      <c r="D475" s="98" t="s">
        <v>490</v>
      </c>
      <c r="E475" s="98" t="s">
        <v>491</v>
      </c>
      <c r="F475" s="99" t="str">
        <f aca="false">IF(COUNTIFS(Offers!$B$7:$B$3000,$B475,Offers!$C$7:$C$3000,$C475,Offers!$AH$7:$AH$3000,"yes")=0,"",SUMIFS(Offers!$H$7:$H$3000,Offers!$B$7:$B$3000,$B475,Offers!$C$7:$C$3000,$C475,Offers!$AF$7:$AF$3000,1))</f>
        <v/>
      </c>
      <c r="G475" s="93" t="str">
        <f aca="false">IF(COUNTIFS(Offers!$B$7:$B$3000,$B475,Offers!$C$7:$C$3000,$C475,Offers!$AH$7:$AH$3000,"yes")=0,"",(SUMIFS(Offers!$H$7:$H$3000,Offers!$B$7:$B$3000,$B475,Offers!$C$7:$C$3000,$C475,Offers!$AF$7:$AF$3000,ROUNDUP(COUNTIFS(Offers!$B$7:$B$3000,$B475,Offers!$C$7:$C$3000,$C475,Offers!$AH$7:$AH$3000,"yes")/2,0))+SUMIFS(Offers!$H$7:$H$3000,Offers!$B$7:$B$3000,$B475,Offers!$C$7:$C$3000,$C475,Offers!$AF$7:$AF$3000,INT(COUNTIFS(Offers!$B$7:$B$3000,$B475,Offers!$C$7:$C$3000,$C475,Offers!$AH$7:$AH$3000,"yes")/2)+1))/2)</f>
        <v/>
      </c>
      <c r="H475" s="99" t="str">
        <f aca="false">IF(COUNTIFS(Offers!$B$7:$B$3000,$B475,Offers!$C$7:$C$3000,$C475,Offers!$AH$7:$AH$3000,"yes")=0,"",SUMIFS(Offers!$H$7:$H$3000,Offers!$B$7:$B$3000,$B475,Offers!$C$7:$C$3000,$C475,Offers!$AF$7:$AF$3000,COUNTIFS(Offers!$B$7:$B$3000,$B475,Offers!$C$7:$C$3000,$C475,Offers!$AH$7:$AH$3000,"yes")))</f>
        <v/>
      </c>
      <c r="I475" s="100" t="str">
        <f aca="false">IF(COUNTIFS(Offers!$B$7:$B$3000,$B475,Offers!$C$7:$C$3000,$C475,Offers!$AI$7:$AI$3000,"yes")=0,"",SUMIFS(Offers!$I$7:$I$3000,Offers!$B$7:$B$3000,$B475,Offers!$C$7:$C$3000,$C475,Offers!$AG$7:$AG$3000,1))</f>
        <v/>
      </c>
      <c r="J475" s="95" t="str">
        <f aca="false">IF(COUNTIFS(Offers!$B$7:$B$3000,$B475,Offers!$C$7:$C$3000,$C475,Offers!$AI$7:$AI$3000,"yes")=0,"",(SUMIFS(Offers!$I$7:$I$3000,Offers!$B$7:$B$3000,$B475,Offers!$C$7:$C$3000,$C475,Offers!$AG$7:$AG$3000,ROUNDUP(COUNTIFS(Offers!$B$7:$B$3000,$B475,Offers!$C$7:$C$3000,$C475,Offers!$AI$7:$AI$3000,"yes")/2,0))+SUMIFS(Offers!$I$7:$I$3000,Offers!$B$7:$B$3000,$B475,Offers!$C$7:$C$3000,$C475,Offers!$AG$7:$AG$3000,INT(COUNTIFS(Offers!$B$7:$B$3000,$B475,Offers!$C$7:$C$3000,$C475,Offers!$AI$7:$AI$3000,"yes")/2)+1))/2)</f>
        <v/>
      </c>
      <c r="K475" s="100" t="str">
        <f aca="false">IF(COUNTIFS(Offers!$B$7:$B$3000,$B475,Offers!$C$7:$C$3000,$C475,Offers!$AI$7:$AI$3000,"yes")=0,"",SUMIFS(Offers!$I$7:$I$3000,Offers!$B$7:$B$3000,$B475,Offers!$C$7:$C$3000,$C475,Offers!$AG$7:$AG$3000,COUNTIFS(Offers!$B$7:$B$3000,$B475,Offers!$C$7:$C$3000,$C475,Offers!$AI$7:$AI$3000,"yes")))</f>
        <v/>
      </c>
      <c r="L475" s="96"/>
      <c r="M475" s="96"/>
      <c r="N475" s="96"/>
      <c r="O475" s="110" t="str">
        <f aca="false">IF(Compare!$E$5="Local prices",IF(F475="","",IF(Compare!$C$5="Minimum",F475,IF(Compare!$C$5="Maximum",H475,G475))),IF(I475="","",IF(Compare!$C$5="Minimum",I475,IF(Compare!$C$5="Maximum",K475,J475))))</f>
        <v/>
      </c>
    </row>
    <row r="476" customFormat="false" ht="13.5" hidden="false" customHeight="false" outlineLevel="0" collapsed="false">
      <c r="B476" s="36" t="s">
        <v>109</v>
      </c>
      <c r="C476" s="98" t="s">
        <v>14</v>
      </c>
      <c r="D476" s="98" t="s">
        <v>374</v>
      </c>
      <c r="E476" s="98" t="s">
        <v>491</v>
      </c>
      <c r="F476" s="99" t="n">
        <f aca="false">IF(COUNTIFS(Offers!$B$7:$B$3000,$B476,Offers!$C$7:$C$3000,$C476,Offers!$AH$7:$AH$3000,"yes")=0,"",SUMIFS(Offers!$H$7:$H$3000,Offers!$B$7:$B$3000,$B476,Offers!$C$7:$C$3000,$C476,Offers!$AF$7:$AF$3000,1))</f>
        <v>1</v>
      </c>
      <c r="G476" s="93" t="n">
        <f aca="false">IF(COUNTIFS(Offers!$B$7:$B$3000,$B476,Offers!$C$7:$C$3000,$C476,Offers!$AH$7:$AH$3000,"yes")=0,"",(SUMIFS(Offers!$H$7:$H$3000,Offers!$B$7:$B$3000,$B476,Offers!$C$7:$C$3000,$C476,Offers!$AF$7:$AF$3000,ROUNDUP(COUNTIFS(Offers!$B$7:$B$3000,$B476,Offers!$C$7:$C$3000,$C476,Offers!$AH$7:$AH$3000,"yes")/2,0))+SUMIFS(Offers!$H$7:$H$3000,Offers!$B$7:$B$3000,$B476,Offers!$C$7:$C$3000,$C476,Offers!$AF$7:$AF$3000,INT(COUNTIFS(Offers!$B$7:$B$3000,$B476,Offers!$C$7:$C$3000,$C476,Offers!$AH$7:$AH$3000,"yes")/2)+1))/2)</f>
        <v>6.81</v>
      </c>
      <c r="H476" s="99" t="n">
        <f aca="false">IF(COUNTIFS(Offers!$B$7:$B$3000,$B476,Offers!$C$7:$C$3000,$C476,Offers!$AH$7:$AH$3000,"yes")=0,"",SUMIFS(Offers!$H$7:$H$3000,Offers!$B$7:$B$3000,$B476,Offers!$C$7:$C$3000,$C476,Offers!$AF$7:$AF$3000,COUNTIFS(Offers!$B$7:$B$3000,$B476,Offers!$C$7:$C$3000,$C476,Offers!$AH$7:$AH$3000,"yes")))</f>
        <v>16.66</v>
      </c>
      <c r="I476" s="100" t="n">
        <f aca="false">IF(COUNTIFS(Offers!$B$7:$B$3000,$B476,Offers!$C$7:$C$3000,$C476,Offers!$AI$7:$AI$3000,"yes")=0,"",SUMIFS(Offers!$I$7:$I$3000,Offers!$B$7:$B$3000,$B476,Offers!$C$7:$C$3000,$C476,Offers!$AG$7:$AG$3000,1))</f>
        <v>1</v>
      </c>
      <c r="J476" s="95" t="n">
        <f aca="false">IF(COUNTIFS(Offers!$B$7:$B$3000,$B476,Offers!$C$7:$C$3000,$C476,Offers!$AI$7:$AI$3000,"yes")=0,"",(SUMIFS(Offers!$I$7:$I$3000,Offers!$B$7:$B$3000,$B476,Offers!$C$7:$C$3000,$C476,Offers!$AG$7:$AG$3000,ROUNDUP(COUNTIFS(Offers!$B$7:$B$3000,$B476,Offers!$C$7:$C$3000,$C476,Offers!$AI$7:$AI$3000,"yes")/2,0))+SUMIFS(Offers!$I$7:$I$3000,Offers!$B$7:$B$3000,$B476,Offers!$C$7:$C$3000,$C476,Offers!$AG$7:$AG$3000,INT(COUNTIFS(Offers!$B$7:$B$3000,$B476,Offers!$C$7:$C$3000,$C476,Offers!$AI$7:$AI$3000,"yes")/2)+1))/2)</f>
        <v>1.290349</v>
      </c>
      <c r="K476" s="100" t="n">
        <f aca="false">IF(COUNTIFS(Offers!$B$7:$B$3000,$B476,Offers!$C$7:$C$3000,$C476,Offers!$AI$7:$AI$3000,"yes")=0,"",SUMIFS(Offers!$I$7:$I$3000,Offers!$B$7:$B$3000,$B476,Offers!$C$7:$C$3000,$C476,Offers!$AG$7:$AG$3000,COUNTIFS(Offers!$B$7:$B$3000,$B476,Offers!$C$7:$C$3000,$C476,Offers!$AI$7:$AI$3000,"yes")))</f>
        <v>3.156713</v>
      </c>
      <c r="L476" s="96"/>
      <c r="M476" s="96"/>
      <c r="N476" s="96"/>
      <c r="O476" s="101" t="n">
        <f aca="false">IF(Compare!$E$5="Local prices",IF(F476="","",IF(Compare!$C$5="Minimum",F476,IF(Compare!$C$5="Maximum",H476,G476))),IF(I476="","",IF(Compare!$C$5="Minimum",I476,IF(Compare!$C$5="Maximum",K476,J476))))</f>
        <v>1.290349</v>
      </c>
    </row>
    <row r="477" customFormat="false" ht="13.5" hidden="false" customHeight="false" outlineLevel="0" collapsed="false">
      <c r="B477" s="36" t="s">
        <v>109</v>
      </c>
      <c r="C477" s="98" t="s">
        <v>15</v>
      </c>
      <c r="D477" s="98" t="s">
        <v>244</v>
      </c>
      <c r="E477" s="98" t="s">
        <v>491</v>
      </c>
      <c r="F477" s="99" t="n">
        <f aca="false">IF(COUNTIFS(Offers!$B$7:$B$3000,$B477,Offers!$C$7:$C$3000,$C477,Offers!$AH$7:$AH$3000,"yes")=0,"",SUMIFS(Offers!$H$7:$H$3000,Offers!$B$7:$B$3000,$B477,Offers!$C$7:$C$3000,$C477,Offers!$AF$7:$AF$3000,1))</f>
        <v>1.3</v>
      </c>
      <c r="G477" s="93" t="n">
        <f aca="false">IF(COUNTIFS(Offers!$B$7:$B$3000,$B477,Offers!$C$7:$C$3000,$C477,Offers!$AH$7:$AH$3000,"yes")=0,"",(SUMIFS(Offers!$H$7:$H$3000,Offers!$B$7:$B$3000,$B477,Offers!$C$7:$C$3000,$C477,Offers!$AF$7:$AF$3000,ROUNDUP(COUNTIFS(Offers!$B$7:$B$3000,$B477,Offers!$C$7:$C$3000,$C477,Offers!$AH$7:$AH$3000,"yes")/2,0))+SUMIFS(Offers!$H$7:$H$3000,Offers!$B$7:$B$3000,$B477,Offers!$C$7:$C$3000,$C477,Offers!$AF$7:$AF$3000,INT(COUNTIFS(Offers!$B$7:$B$3000,$B477,Offers!$C$7:$C$3000,$C477,Offers!$AH$7:$AH$3000,"yes")/2)+1))/2)</f>
        <v>2.02</v>
      </c>
      <c r="H477" s="99" t="n">
        <f aca="false">IF(COUNTIFS(Offers!$B$7:$B$3000,$B477,Offers!$C$7:$C$3000,$C477,Offers!$AH$7:$AH$3000,"yes")=0,"",SUMIFS(Offers!$H$7:$H$3000,Offers!$B$7:$B$3000,$B477,Offers!$C$7:$C$3000,$C477,Offers!$AF$7:$AF$3000,COUNTIFS(Offers!$B$7:$B$3000,$B477,Offers!$C$7:$C$3000,$C477,Offers!$AH$7:$AH$3000,"yes")))</f>
        <v>11.7</v>
      </c>
      <c r="I477" s="100" t="n">
        <f aca="false">IF(COUNTIFS(Offers!$B$7:$B$3000,$B477,Offers!$C$7:$C$3000,$C477,Offers!$AI$7:$AI$3000,"yes")=0,"",SUMIFS(Offers!$I$7:$I$3000,Offers!$B$7:$B$3000,$B477,Offers!$C$7:$C$3000,$C477,Offers!$AG$7:$AG$3000,1))</f>
        <v>1.3</v>
      </c>
      <c r="J477" s="95" t="n">
        <f aca="false">IF(COUNTIFS(Offers!$B$7:$B$3000,$B477,Offers!$C$7:$C$3000,$C477,Offers!$AI$7:$AI$3000,"yes")=0,"",(SUMIFS(Offers!$I$7:$I$3000,Offers!$B$7:$B$3000,$B477,Offers!$C$7:$C$3000,$C477,Offers!$AG$7:$AG$3000,ROUNDUP(COUNTIFS(Offers!$B$7:$B$3000,$B477,Offers!$C$7:$C$3000,$C477,Offers!$AI$7:$AI$3000,"yes")/2,0))+SUMIFS(Offers!$I$7:$I$3000,Offers!$B$7:$B$3000,$B477,Offers!$C$7:$C$3000,$C477,Offers!$AG$7:$AG$3000,INT(COUNTIFS(Offers!$B$7:$B$3000,$B477,Offers!$C$7:$C$3000,$C477,Offers!$AI$7:$AI$3000,"yes")/2)+1))/2)</f>
        <v>2.02</v>
      </c>
      <c r="K477" s="100" t="n">
        <f aca="false">IF(COUNTIFS(Offers!$B$7:$B$3000,$B477,Offers!$C$7:$C$3000,$C477,Offers!$AI$7:$AI$3000,"yes")=0,"",SUMIFS(Offers!$I$7:$I$3000,Offers!$B$7:$B$3000,$B477,Offers!$C$7:$C$3000,$C477,Offers!$AG$7:$AG$3000,COUNTIFS(Offers!$B$7:$B$3000,$B477,Offers!$C$7:$C$3000,$C477,Offers!$AI$7:$AI$3000,"yes")))</f>
        <v>11.7</v>
      </c>
      <c r="L477" s="96"/>
      <c r="M477" s="96"/>
      <c r="N477" s="96"/>
      <c r="O477" s="101" t="n">
        <f aca="false">IF(Compare!$E$5="Local prices",IF(F477="","",IF(Compare!$C$5="Minimum",F477,IF(Compare!$C$5="Maximum",H477,G477))),IF(I477="","",IF(Compare!$C$5="Minimum",I477,IF(Compare!$C$5="Maximum",K477,J477))))</f>
        <v>2.02</v>
      </c>
    </row>
    <row r="478" customFormat="false" ht="13.5" hidden="false" customHeight="false" outlineLevel="0" collapsed="false">
      <c r="B478" s="36" t="s">
        <v>109</v>
      </c>
      <c r="C478" s="98" t="s">
        <v>16</v>
      </c>
      <c r="D478" s="98" t="s">
        <v>244</v>
      </c>
      <c r="E478" s="98" t="s">
        <v>491</v>
      </c>
      <c r="F478" s="99" t="n">
        <f aca="false">IF(COUNTIFS(Offers!$B$7:$B$3000,$B478,Offers!$C$7:$C$3000,$C478,Offers!$AH$7:$AH$3000,"yes")=0,"",SUMIFS(Offers!$H$7:$H$3000,Offers!$B$7:$B$3000,$B478,Offers!$C$7:$C$3000,$C478,Offers!$AF$7:$AF$3000,1))</f>
        <v>1.69</v>
      </c>
      <c r="G478" s="93" t="n">
        <f aca="false">IF(COUNTIFS(Offers!$B$7:$B$3000,$B478,Offers!$C$7:$C$3000,$C478,Offers!$AH$7:$AH$3000,"yes")=0,"",(SUMIFS(Offers!$H$7:$H$3000,Offers!$B$7:$B$3000,$B478,Offers!$C$7:$C$3000,$C478,Offers!$AF$7:$AF$3000,ROUNDUP(COUNTIFS(Offers!$B$7:$B$3000,$B478,Offers!$C$7:$C$3000,$C478,Offers!$AH$7:$AH$3000,"yes")/2,0))+SUMIFS(Offers!$H$7:$H$3000,Offers!$B$7:$B$3000,$B478,Offers!$C$7:$C$3000,$C478,Offers!$AF$7:$AF$3000,INT(COUNTIFS(Offers!$B$7:$B$3000,$B478,Offers!$C$7:$C$3000,$C478,Offers!$AH$7:$AH$3000,"yes")/2)+1))/2)</f>
        <v>2</v>
      </c>
      <c r="H478" s="99" t="n">
        <f aca="false">IF(COUNTIFS(Offers!$B$7:$B$3000,$B478,Offers!$C$7:$C$3000,$C478,Offers!$AH$7:$AH$3000,"yes")=0,"",SUMIFS(Offers!$H$7:$H$3000,Offers!$B$7:$B$3000,$B478,Offers!$C$7:$C$3000,$C478,Offers!$AF$7:$AF$3000,COUNTIFS(Offers!$B$7:$B$3000,$B478,Offers!$C$7:$C$3000,$C478,Offers!$AH$7:$AH$3000,"yes")))</f>
        <v>3.02</v>
      </c>
      <c r="I478" s="100" t="n">
        <f aca="false">IF(COUNTIFS(Offers!$B$7:$B$3000,$B478,Offers!$C$7:$C$3000,$C478,Offers!$AI$7:$AI$3000,"yes")=0,"",SUMIFS(Offers!$I$7:$I$3000,Offers!$B$7:$B$3000,$B478,Offers!$C$7:$C$3000,$C478,Offers!$AG$7:$AG$3000,1))</f>
        <v>1.69</v>
      </c>
      <c r="J478" s="95" t="n">
        <f aca="false">IF(COUNTIFS(Offers!$B$7:$B$3000,$B478,Offers!$C$7:$C$3000,$C478,Offers!$AI$7:$AI$3000,"yes")=0,"",(SUMIFS(Offers!$I$7:$I$3000,Offers!$B$7:$B$3000,$B478,Offers!$C$7:$C$3000,$C478,Offers!$AG$7:$AG$3000,ROUNDUP(COUNTIFS(Offers!$B$7:$B$3000,$B478,Offers!$C$7:$C$3000,$C478,Offers!$AI$7:$AI$3000,"yes")/2,0))+SUMIFS(Offers!$I$7:$I$3000,Offers!$B$7:$B$3000,$B478,Offers!$C$7:$C$3000,$C478,Offers!$AG$7:$AG$3000,INT(COUNTIFS(Offers!$B$7:$B$3000,$B478,Offers!$C$7:$C$3000,$C478,Offers!$AI$7:$AI$3000,"yes")/2)+1))/2)</f>
        <v>2</v>
      </c>
      <c r="K478" s="100" t="n">
        <f aca="false">IF(COUNTIFS(Offers!$B$7:$B$3000,$B478,Offers!$C$7:$C$3000,$C478,Offers!$AI$7:$AI$3000,"yes")=0,"",SUMIFS(Offers!$I$7:$I$3000,Offers!$B$7:$B$3000,$B478,Offers!$C$7:$C$3000,$C478,Offers!$AG$7:$AG$3000,COUNTIFS(Offers!$B$7:$B$3000,$B478,Offers!$C$7:$C$3000,$C478,Offers!$AI$7:$AI$3000,"yes")))</f>
        <v>3.02</v>
      </c>
      <c r="L478" s="96"/>
      <c r="M478" s="96"/>
      <c r="N478" s="96"/>
      <c r="O478" s="101" t="n">
        <f aca="false">IF(Compare!$E$5="Local prices",IF(F478="","",IF(Compare!$C$5="Minimum",F478,IF(Compare!$C$5="Maximum",H478,G478))),IF(I478="","",IF(Compare!$C$5="Minimum",I478,IF(Compare!$C$5="Maximum",K478,J478))))</f>
        <v>2</v>
      </c>
    </row>
    <row r="479" customFormat="false" ht="13.5" hidden="false" customHeight="false" outlineLevel="0" collapsed="false">
      <c r="B479" s="36" t="s">
        <v>109</v>
      </c>
      <c r="C479" s="98" t="s">
        <v>17</v>
      </c>
      <c r="D479" s="98" t="s">
        <v>333</v>
      </c>
      <c r="E479" s="98" t="s">
        <v>491</v>
      </c>
      <c r="F479" s="99" t="n">
        <f aca="false">IF(COUNTIFS(Offers!$B$7:$B$3000,$B479,Offers!$C$7:$C$3000,$C479,Offers!$AH$7:$AH$3000,"yes")=0,"",SUMIFS(Offers!$H$7:$H$3000,Offers!$B$7:$B$3000,$B479,Offers!$C$7:$C$3000,$C479,Offers!$AF$7:$AF$3000,1))</f>
        <v>22.31</v>
      </c>
      <c r="G479" s="93" t="n">
        <f aca="false">IF(COUNTIFS(Offers!$B$7:$B$3000,$B479,Offers!$C$7:$C$3000,$C479,Offers!$AH$7:$AH$3000,"yes")=0,"",(SUMIFS(Offers!$H$7:$H$3000,Offers!$B$7:$B$3000,$B479,Offers!$C$7:$C$3000,$C479,Offers!$AF$7:$AF$3000,ROUNDUP(COUNTIFS(Offers!$B$7:$B$3000,$B479,Offers!$C$7:$C$3000,$C479,Offers!$AH$7:$AH$3000,"yes")/2,0))+SUMIFS(Offers!$H$7:$H$3000,Offers!$B$7:$B$3000,$B479,Offers!$C$7:$C$3000,$C479,Offers!$AF$7:$AF$3000,INT(COUNTIFS(Offers!$B$7:$B$3000,$B479,Offers!$C$7:$C$3000,$C479,Offers!$AH$7:$AH$3000,"yes")/2)+1))/2)</f>
        <v>53.72</v>
      </c>
      <c r="H479" s="99" t="n">
        <f aca="false">IF(COUNTIFS(Offers!$B$7:$B$3000,$B479,Offers!$C$7:$C$3000,$C479,Offers!$AH$7:$AH$3000,"yes")=0,"",SUMIFS(Offers!$H$7:$H$3000,Offers!$B$7:$B$3000,$B479,Offers!$C$7:$C$3000,$C479,Offers!$AF$7:$AF$3000,COUNTIFS(Offers!$B$7:$B$3000,$B479,Offers!$C$7:$C$3000,$C479,Offers!$AH$7:$AH$3000,"yes")))</f>
        <v>122</v>
      </c>
      <c r="I479" s="100" t="n">
        <f aca="false">IF(COUNTIFS(Offers!$B$7:$B$3000,$B479,Offers!$C$7:$C$3000,$C479,Offers!$AI$7:$AI$3000,"yes")=0,"",SUMIFS(Offers!$I$7:$I$3000,Offers!$B$7:$B$3000,$B479,Offers!$C$7:$C$3000,$C479,Offers!$AG$7:$AG$3000,1))</f>
        <v>0.91346</v>
      </c>
      <c r="J479" s="95" t="n">
        <f aca="false">IF(COUNTIFS(Offers!$B$7:$B$3000,$B479,Offers!$C$7:$C$3000,$C479,Offers!$AI$7:$AI$3000,"yes")=0,"",(SUMIFS(Offers!$I$7:$I$3000,Offers!$B$7:$B$3000,$B479,Offers!$C$7:$C$3000,$C479,Offers!$AG$7:$AG$3000,ROUNDUP(COUNTIFS(Offers!$B$7:$B$3000,$B479,Offers!$C$7:$C$3000,$C479,Offers!$AI$7:$AI$3000,"yes")/2,0))+SUMIFS(Offers!$I$7:$I$3000,Offers!$B$7:$B$3000,$B479,Offers!$C$7:$C$3000,$C479,Offers!$AG$7:$AG$3000,INT(COUNTIFS(Offers!$B$7:$B$3000,$B479,Offers!$C$7:$C$3000,$C479,Offers!$AI$7:$AI$3000,"yes")/2)+1))/2)</f>
        <v>2.199511</v>
      </c>
      <c r="K479" s="100" t="n">
        <f aca="false">IF(COUNTIFS(Offers!$B$7:$B$3000,$B479,Offers!$C$7:$C$3000,$C479,Offers!$AI$7:$AI$3000,"yes")=0,"",SUMIFS(Offers!$I$7:$I$3000,Offers!$B$7:$B$3000,$B479,Offers!$C$7:$C$3000,$C479,Offers!$AG$7:$AG$3000,COUNTIFS(Offers!$B$7:$B$3000,$B479,Offers!$C$7:$C$3000,$C479,Offers!$AI$7:$AI$3000,"yes")))</f>
        <v>4.995165</v>
      </c>
      <c r="L479" s="96"/>
      <c r="M479" s="96"/>
      <c r="N479" s="96"/>
      <c r="O479" s="101" t="n">
        <f aca="false">IF(Compare!$E$5="Local prices",IF(F479="","",IF(Compare!$C$5="Minimum",F479,IF(Compare!$C$5="Maximum",H479,G479))),IF(I479="","",IF(Compare!$C$5="Minimum",I479,IF(Compare!$C$5="Maximum",K479,J479))))</f>
        <v>2.199511</v>
      </c>
    </row>
    <row r="480" customFormat="false" ht="13.5" hidden="false" customHeight="false" outlineLevel="0" collapsed="false">
      <c r="B480" s="36" t="s">
        <v>109</v>
      </c>
      <c r="C480" s="98" t="s">
        <v>18</v>
      </c>
      <c r="D480" s="98" t="s">
        <v>244</v>
      </c>
      <c r="E480" s="98" t="s">
        <v>491</v>
      </c>
      <c r="F480" s="99" t="n">
        <f aca="false">IF(COUNTIFS(Offers!$B$7:$B$3000,$B480,Offers!$C$7:$C$3000,$C480,Offers!$AH$7:$AH$3000,"yes")=0,"",SUMIFS(Offers!$H$7:$H$3000,Offers!$B$7:$B$3000,$B480,Offers!$C$7:$C$3000,$C480,Offers!$AF$7:$AF$3000,1))</f>
        <v>1.17</v>
      </c>
      <c r="G480" s="93" t="n">
        <f aca="false">IF(COUNTIFS(Offers!$B$7:$B$3000,$B480,Offers!$C$7:$C$3000,$C480,Offers!$AH$7:$AH$3000,"yes")=0,"",(SUMIFS(Offers!$H$7:$H$3000,Offers!$B$7:$B$3000,$B480,Offers!$C$7:$C$3000,$C480,Offers!$AF$7:$AF$3000,ROUNDUP(COUNTIFS(Offers!$B$7:$B$3000,$B480,Offers!$C$7:$C$3000,$C480,Offers!$AH$7:$AH$3000,"yes")/2,0))+SUMIFS(Offers!$H$7:$H$3000,Offers!$B$7:$B$3000,$B480,Offers!$C$7:$C$3000,$C480,Offers!$AF$7:$AF$3000,INT(COUNTIFS(Offers!$B$7:$B$3000,$B480,Offers!$C$7:$C$3000,$C480,Offers!$AH$7:$AH$3000,"yes")/2)+1))/2)</f>
        <v>1.65</v>
      </c>
      <c r="H480" s="99" t="n">
        <f aca="false">IF(COUNTIFS(Offers!$B$7:$B$3000,$B480,Offers!$C$7:$C$3000,$C480,Offers!$AH$7:$AH$3000,"yes")=0,"",SUMIFS(Offers!$H$7:$H$3000,Offers!$B$7:$B$3000,$B480,Offers!$C$7:$C$3000,$C480,Offers!$AF$7:$AF$3000,COUNTIFS(Offers!$B$7:$B$3000,$B480,Offers!$C$7:$C$3000,$C480,Offers!$AH$7:$AH$3000,"yes")))</f>
        <v>4.59</v>
      </c>
      <c r="I480" s="100" t="n">
        <f aca="false">IF(COUNTIFS(Offers!$B$7:$B$3000,$B480,Offers!$C$7:$C$3000,$C480,Offers!$AI$7:$AI$3000,"yes")=0,"",SUMIFS(Offers!$I$7:$I$3000,Offers!$B$7:$B$3000,$B480,Offers!$C$7:$C$3000,$C480,Offers!$AG$7:$AG$3000,1))</f>
        <v>1.17</v>
      </c>
      <c r="J480" s="95" t="n">
        <f aca="false">IF(COUNTIFS(Offers!$B$7:$B$3000,$B480,Offers!$C$7:$C$3000,$C480,Offers!$AI$7:$AI$3000,"yes")=0,"",(SUMIFS(Offers!$I$7:$I$3000,Offers!$B$7:$B$3000,$B480,Offers!$C$7:$C$3000,$C480,Offers!$AG$7:$AG$3000,ROUNDUP(COUNTIFS(Offers!$B$7:$B$3000,$B480,Offers!$C$7:$C$3000,$C480,Offers!$AI$7:$AI$3000,"yes")/2,0))+SUMIFS(Offers!$I$7:$I$3000,Offers!$B$7:$B$3000,$B480,Offers!$C$7:$C$3000,$C480,Offers!$AG$7:$AG$3000,INT(COUNTIFS(Offers!$B$7:$B$3000,$B480,Offers!$C$7:$C$3000,$C480,Offers!$AI$7:$AI$3000,"yes")/2)+1))/2)</f>
        <v>1.65</v>
      </c>
      <c r="K480" s="100" t="n">
        <f aca="false">IF(COUNTIFS(Offers!$B$7:$B$3000,$B480,Offers!$C$7:$C$3000,$C480,Offers!$AI$7:$AI$3000,"yes")=0,"",SUMIFS(Offers!$I$7:$I$3000,Offers!$B$7:$B$3000,$B480,Offers!$C$7:$C$3000,$C480,Offers!$AG$7:$AG$3000,COUNTIFS(Offers!$B$7:$B$3000,$B480,Offers!$C$7:$C$3000,$C480,Offers!$AI$7:$AI$3000,"yes")))</f>
        <v>4.59</v>
      </c>
      <c r="L480" s="96"/>
      <c r="M480" s="96"/>
      <c r="N480" s="96"/>
      <c r="O480" s="101" t="n">
        <f aca="false">IF(Compare!$E$5="Local prices",IF(F480="","",IF(Compare!$C$5="Minimum",F480,IF(Compare!$C$5="Maximum",H480,G480))),IF(I480="","",IF(Compare!$C$5="Minimum",I480,IF(Compare!$C$5="Maximum",K480,J480))))</f>
        <v>1.65</v>
      </c>
    </row>
    <row r="481" customFormat="false" ht="13.5" hidden="false" customHeight="false" outlineLevel="0" collapsed="false">
      <c r="B481" s="36" t="s">
        <v>110</v>
      </c>
      <c r="C481" s="98" t="s">
        <v>13</v>
      </c>
      <c r="D481" s="98" t="s">
        <v>490</v>
      </c>
      <c r="E481" s="98" t="s">
        <v>491</v>
      </c>
      <c r="F481" s="99" t="str">
        <f aca="false">IF(COUNTIFS(Offers!$B$7:$B$3000,$B481,Offers!$C$7:$C$3000,$C481,Offers!$AH$7:$AH$3000,"yes")=0,"",SUMIFS(Offers!$H$7:$H$3000,Offers!$B$7:$B$3000,$B481,Offers!$C$7:$C$3000,$C481,Offers!$AF$7:$AF$3000,1))</f>
        <v/>
      </c>
      <c r="G481" s="93" t="str">
        <f aca="false">IF(COUNTIFS(Offers!$B$7:$B$3000,$B481,Offers!$C$7:$C$3000,$C481,Offers!$AH$7:$AH$3000,"yes")=0,"",(SUMIFS(Offers!$H$7:$H$3000,Offers!$B$7:$B$3000,$B481,Offers!$C$7:$C$3000,$C481,Offers!$AF$7:$AF$3000,ROUNDUP(COUNTIFS(Offers!$B$7:$B$3000,$B481,Offers!$C$7:$C$3000,$C481,Offers!$AH$7:$AH$3000,"yes")/2,0))+SUMIFS(Offers!$H$7:$H$3000,Offers!$B$7:$B$3000,$B481,Offers!$C$7:$C$3000,$C481,Offers!$AF$7:$AF$3000,INT(COUNTIFS(Offers!$B$7:$B$3000,$B481,Offers!$C$7:$C$3000,$C481,Offers!$AH$7:$AH$3000,"yes")/2)+1))/2)</f>
        <v/>
      </c>
      <c r="H481" s="99" t="str">
        <f aca="false">IF(COUNTIFS(Offers!$B$7:$B$3000,$B481,Offers!$C$7:$C$3000,$C481,Offers!$AH$7:$AH$3000,"yes")=0,"",SUMIFS(Offers!$H$7:$H$3000,Offers!$B$7:$B$3000,$B481,Offers!$C$7:$C$3000,$C481,Offers!$AF$7:$AF$3000,COUNTIFS(Offers!$B$7:$B$3000,$B481,Offers!$C$7:$C$3000,$C481,Offers!$AH$7:$AH$3000,"yes")))</f>
        <v/>
      </c>
      <c r="I481" s="100" t="str">
        <f aca="false">IF(COUNTIFS(Offers!$B$7:$B$3000,$B481,Offers!$C$7:$C$3000,$C481,Offers!$AI$7:$AI$3000,"yes")=0,"",SUMIFS(Offers!$I$7:$I$3000,Offers!$B$7:$B$3000,$B481,Offers!$C$7:$C$3000,$C481,Offers!$AG$7:$AG$3000,1))</f>
        <v/>
      </c>
      <c r="J481" s="95" t="str">
        <f aca="false">IF(COUNTIFS(Offers!$B$7:$B$3000,$B481,Offers!$C$7:$C$3000,$C481,Offers!$AI$7:$AI$3000,"yes")=0,"",(SUMIFS(Offers!$I$7:$I$3000,Offers!$B$7:$B$3000,$B481,Offers!$C$7:$C$3000,$C481,Offers!$AG$7:$AG$3000,ROUNDUP(COUNTIFS(Offers!$B$7:$B$3000,$B481,Offers!$C$7:$C$3000,$C481,Offers!$AI$7:$AI$3000,"yes")/2,0))+SUMIFS(Offers!$I$7:$I$3000,Offers!$B$7:$B$3000,$B481,Offers!$C$7:$C$3000,$C481,Offers!$AG$7:$AG$3000,INT(COUNTIFS(Offers!$B$7:$B$3000,$B481,Offers!$C$7:$C$3000,$C481,Offers!$AI$7:$AI$3000,"yes")/2)+1))/2)</f>
        <v/>
      </c>
      <c r="K481" s="100" t="str">
        <f aca="false">IF(COUNTIFS(Offers!$B$7:$B$3000,$B481,Offers!$C$7:$C$3000,$C481,Offers!$AI$7:$AI$3000,"yes")=0,"",SUMIFS(Offers!$I$7:$I$3000,Offers!$B$7:$B$3000,$B481,Offers!$C$7:$C$3000,$C481,Offers!$AG$7:$AG$3000,COUNTIFS(Offers!$B$7:$B$3000,$B481,Offers!$C$7:$C$3000,$C481,Offers!$AI$7:$AI$3000,"yes")))</f>
        <v/>
      </c>
      <c r="L481" s="96"/>
      <c r="M481" s="96"/>
      <c r="N481" s="96"/>
      <c r="O481" s="110" t="str">
        <f aca="false">IF(Compare!$E$5="Local prices",IF(F481="","",IF(Compare!$C$5="Minimum",F481,IF(Compare!$C$5="Maximum",H481,G481))),IF(I481="","",IF(Compare!$C$5="Minimum",I481,IF(Compare!$C$5="Maximum",K481,J481))))</f>
        <v/>
      </c>
    </row>
    <row r="482" customFormat="false" ht="13.5" hidden="false" customHeight="false" outlineLevel="0" collapsed="false">
      <c r="B482" s="36" t="s">
        <v>110</v>
      </c>
      <c r="C482" s="98" t="s">
        <v>14</v>
      </c>
      <c r="D482" s="98" t="s">
        <v>374</v>
      </c>
      <c r="E482" s="98" t="s">
        <v>491</v>
      </c>
      <c r="F482" s="99" t="n">
        <f aca="false">IF(COUNTIFS(Offers!$B$7:$B$3000,$B482,Offers!$C$7:$C$3000,$C482,Offers!$AH$7:$AH$3000,"yes")=0,"",SUMIFS(Offers!$H$7:$H$3000,Offers!$B$7:$B$3000,$B482,Offers!$C$7:$C$3000,$C482,Offers!$AF$7:$AF$3000,1))</f>
        <v>4.17</v>
      </c>
      <c r="G482" s="93" t="n">
        <f aca="false">IF(COUNTIFS(Offers!$B$7:$B$3000,$B482,Offers!$C$7:$C$3000,$C482,Offers!$AH$7:$AH$3000,"yes")=0,"",(SUMIFS(Offers!$H$7:$H$3000,Offers!$B$7:$B$3000,$B482,Offers!$C$7:$C$3000,$C482,Offers!$AF$7:$AF$3000,ROUNDUP(COUNTIFS(Offers!$B$7:$B$3000,$B482,Offers!$C$7:$C$3000,$C482,Offers!$AH$7:$AH$3000,"yes")/2,0))+SUMIFS(Offers!$H$7:$H$3000,Offers!$B$7:$B$3000,$B482,Offers!$C$7:$C$3000,$C482,Offers!$AF$7:$AF$3000,INT(COUNTIFS(Offers!$B$7:$B$3000,$B482,Offers!$C$7:$C$3000,$C482,Offers!$AH$7:$AH$3000,"yes")/2)+1))/2)</f>
        <v>12.14</v>
      </c>
      <c r="H482" s="99" t="n">
        <f aca="false">IF(COUNTIFS(Offers!$B$7:$B$3000,$B482,Offers!$C$7:$C$3000,$C482,Offers!$AH$7:$AH$3000,"yes")=0,"",SUMIFS(Offers!$H$7:$H$3000,Offers!$B$7:$B$3000,$B482,Offers!$C$7:$C$3000,$C482,Offers!$AF$7:$AF$3000,COUNTIFS(Offers!$B$7:$B$3000,$B482,Offers!$C$7:$C$3000,$C482,Offers!$AH$7:$AH$3000,"yes")))</f>
        <v>16.07</v>
      </c>
      <c r="I482" s="100" t="n">
        <f aca="false">IF(COUNTIFS(Offers!$B$7:$B$3000,$B482,Offers!$C$7:$C$3000,$C482,Offers!$AI$7:$AI$3000,"yes")=0,"",SUMIFS(Offers!$I$7:$I$3000,Offers!$B$7:$B$3000,$B482,Offers!$C$7:$C$3000,$C482,Offers!$AG$7:$AG$3000,1))</f>
        <v>0.790126</v>
      </c>
      <c r="J482" s="95" t="n">
        <f aca="false">IF(COUNTIFS(Offers!$B$7:$B$3000,$B482,Offers!$C$7:$C$3000,$C482,Offers!$AI$7:$AI$3000,"yes")=0,"",(SUMIFS(Offers!$I$7:$I$3000,Offers!$B$7:$B$3000,$B482,Offers!$C$7:$C$3000,$C482,Offers!$AG$7:$AG$3000,ROUNDUP(COUNTIFS(Offers!$B$7:$B$3000,$B482,Offers!$C$7:$C$3000,$C482,Offers!$AI$7:$AI$3000,"yes")/2,0))+SUMIFS(Offers!$I$7:$I$3000,Offers!$B$7:$B$3000,$B482,Offers!$C$7:$C$3000,$C482,Offers!$AG$7:$AG$3000,INT(COUNTIFS(Offers!$B$7:$B$3000,$B482,Offers!$C$7:$C$3000,$C482,Offers!$AI$7:$AI$3000,"yes")/2)+1))/2)</f>
        <v>2.30027</v>
      </c>
      <c r="K482" s="100" t="n">
        <f aca="false">IF(COUNTIFS(Offers!$B$7:$B$3000,$B482,Offers!$C$7:$C$3000,$C482,Offers!$AI$7:$AI$3000,"yes")=0,"",SUMIFS(Offers!$I$7:$I$3000,Offers!$B$7:$B$3000,$B482,Offers!$C$7:$C$3000,$C482,Offers!$AG$7:$AG$3000,COUNTIFS(Offers!$B$7:$B$3000,$B482,Offers!$C$7:$C$3000,$C482,Offers!$AI$7:$AI$3000,"yes")))</f>
        <v>3.044921</v>
      </c>
      <c r="L482" s="96"/>
      <c r="M482" s="96"/>
      <c r="N482" s="96"/>
      <c r="O482" s="101" t="n">
        <f aca="false">IF(Compare!$E$5="Local prices",IF(F482="","",IF(Compare!$C$5="Minimum",F482,IF(Compare!$C$5="Maximum",H482,G482))),IF(I482="","",IF(Compare!$C$5="Minimum",I482,IF(Compare!$C$5="Maximum",K482,J482))))</f>
        <v>2.30027</v>
      </c>
    </row>
    <row r="483" customFormat="false" ht="13.5" hidden="false" customHeight="false" outlineLevel="0" collapsed="false">
      <c r="B483" s="36" t="s">
        <v>110</v>
      </c>
      <c r="C483" s="98" t="s">
        <v>15</v>
      </c>
      <c r="D483" s="98" t="s">
        <v>244</v>
      </c>
      <c r="E483" s="98" t="s">
        <v>491</v>
      </c>
      <c r="F483" s="99" t="n">
        <f aca="false">IF(COUNTIFS(Offers!$B$7:$B$3000,$B483,Offers!$C$7:$C$3000,$C483,Offers!$AH$7:$AH$3000,"yes")=0,"",SUMIFS(Offers!$H$7:$H$3000,Offers!$B$7:$B$3000,$B483,Offers!$C$7:$C$3000,$C483,Offers!$AF$7:$AF$3000,1))</f>
        <v>1.15</v>
      </c>
      <c r="G483" s="93" t="n">
        <f aca="false">IF(COUNTIFS(Offers!$B$7:$B$3000,$B483,Offers!$C$7:$C$3000,$C483,Offers!$AH$7:$AH$3000,"yes")=0,"",(SUMIFS(Offers!$H$7:$H$3000,Offers!$B$7:$B$3000,$B483,Offers!$C$7:$C$3000,$C483,Offers!$AF$7:$AF$3000,ROUNDUP(COUNTIFS(Offers!$B$7:$B$3000,$B483,Offers!$C$7:$C$3000,$C483,Offers!$AH$7:$AH$3000,"yes")/2,0))+SUMIFS(Offers!$H$7:$H$3000,Offers!$B$7:$B$3000,$B483,Offers!$C$7:$C$3000,$C483,Offers!$AF$7:$AF$3000,INT(COUNTIFS(Offers!$B$7:$B$3000,$B483,Offers!$C$7:$C$3000,$C483,Offers!$AH$7:$AH$3000,"yes")/2)+1))/2)</f>
        <v>2.125</v>
      </c>
      <c r="H483" s="99" t="n">
        <f aca="false">IF(COUNTIFS(Offers!$B$7:$B$3000,$B483,Offers!$C$7:$C$3000,$C483,Offers!$AH$7:$AH$3000,"yes")=0,"",SUMIFS(Offers!$H$7:$H$3000,Offers!$B$7:$B$3000,$B483,Offers!$C$7:$C$3000,$C483,Offers!$AF$7:$AF$3000,COUNTIFS(Offers!$B$7:$B$3000,$B483,Offers!$C$7:$C$3000,$C483,Offers!$AH$7:$AH$3000,"yes")))</f>
        <v>10.38</v>
      </c>
      <c r="I483" s="100" t="n">
        <f aca="false">IF(COUNTIFS(Offers!$B$7:$B$3000,$B483,Offers!$C$7:$C$3000,$C483,Offers!$AI$7:$AI$3000,"yes")=0,"",SUMIFS(Offers!$I$7:$I$3000,Offers!$B$7:$B$3000,$B483,Offers!$C$7:$C$3000,$C483,Offers!$AG$7:$AG$3000,1))</f>
        <v>1.15</v>
      </c>
      <c r="J483" s="95" t="n">
        <f aca="false">IF(COUNTIFS(Offers!$B$7:$B$3000,$B483,Offers!$C$7:$C$3000,$C483,Offers!$AI$7:$AI$3000,"yes")=0,"",(SUMIFS(Offers!$I$7:$I$3000,Offers!$B$7:$B$3000,$B483,Offers!$C$7:$C$3000,$C483,Offers!$AG$7:$AG$3000,ROUNDUP(COUNTIFS(Offers!$B$7:$B$3000,$B483,Offers!$C$7:$C$3000,$C483,Offers!$AI$7:$AI$3000,"yes")/2,0))+SUMIFS(Offers!$I$7:$I$3000,Offers!$B$7:$B$3000,$B483,Offers!$C$7:$C$3000,$C483,Offers!$AG$7:$AG$3000,INT(COUNTIFS(Offers!$B$7:$B$3000,$B483,Offers!$C$7:$C$3000,$C483,Offers!$AI$7:$AI$3000,"yes")/2)+1))/2)</f>
        <v>2.125</v>
      </c>
      <c r="K483" s="100" t="n">
        <f aca="false">IF(COUNTIFS(Offers!$B$7:$B$3000,$B483,Offers!$C$7:$C$3000,$C483,Offers!$AI$7:$AI$3000,"yes")=0,"",SUMIFS(Offers!$I$7:$I$3000,Offers!$B$7:$B$3000,$B483,Offers!$C$7:$C$3000,$C483,Offers!$AG$7:$AG$3000,COUNTIFS(Offers!$B$7:$B$3000,$B483,Offers!$C$7:$C$3000,$C483,Offers!$AI$7:$AI$3000,"yes")))</f>
        <v>10.38</v>
      </c>
      <c r="L483" s="96"/>
      <c r="M483" s="96"/>
      <c r="N483" s="96"/>
      <c r="O483" s="101" t="n">
        <f aca="false">IF(Compare!$E$5="Local prices",IF(F483="","",IF(Compare!$C$5="Minimum",F483,IF(Compare!$C$5="Maximum",H483,G483))),IF(I483="","",IF(Compare!$C$5="Minimum",I483,IF(Compare!$C$5="Maximum",K483,J483))))</f>
        <v>2.125</v>
      </c>
    </row>
    <row r="484" customFormat="false" ht="13.5" hidden="false" customHeight="false" outlineLevel="0" collapsed="false">
      <c r="B484" s="36" t="s">
        <v>110</v>
      </c>
      <c r="C484" s="98" t="s">
        <v>16</v>
      </c>
      <c r="D484" s="98" t="s">
        <v>244</v>
      </c>
      <c r="E484" s="98" t="s">
        <v>491</v>
      </c>
      <c r="F484" s="99" t="n">
        <f aca="false">IF(COUNTIFS(Offers!$B$7:$B$3000,$B484,Offers!$C$7:$C$3000,$C484,Offers!$AH$7:$AH$3000,"yes")=0,"",SUMIFS(Offers!$H$7:$H$3000,Offers!$B$7:$B$3000,$B484,Offers!$C$7:$C$3000,$C484,Offers!$AF$7:$AF$3000,1))</f>
        <v>1.39</v>
      </c>
      <c r="G484" s="93" t="n">
        <f aca="false">IF(COUNTIFS(Offers!$B$7:$B$3000,$B484,Offers!$C$7:$C$3000,$C484,Offers!$AH$7:$AH$3000,"yes")=0,"",(SUMIFS(Offers!$H$7:$H$3000,Offers!$B$7:$B$3000,$B484,Offers!$C$7:$C$3000,$C484,Offers!$AF$7:$AF$3000,ROUNDUP(COUNTIFS(Offers!$B$7:$B$3000,$B484,Offers!$C$7:$C$3000,$C484,Offers!$AH$7:$AH$3000,"yes")/2,0))+SUMIFS(Offers!$H$7:$H$3000,Offers!$B$7:$B$3000,$B484,Offers!$C$7:$C$3000,$C484,Offers!$AF$7:$AF$3000,INT(COUNTIFS(Offers!$B$7:$B$3000,$B484,Offers!$C$7:$C$3000,$C484,Offers!$AH$7:$AH$3000,"yes")/2)+1))/2)</f>
        <v>1.79</v>
      </c>
      <c r="H484" s="99" t="n">
        <f aca="false">IF(COUNTIFS(Offers!$B$7:$B$3000,$B484,Offers!$C$7:$C$3000,$C484,Offers!$AH$7:$AH$3000,"yes")=0,"",SUMIFS(Offers!$H$7:$H$3000,Offers!$B$7:$B$3000,$B484,Offers!$C$7:$C$3000,$C484,Offers!$AF$7:$AF$3000,COUNTIFS(Offers!$B$7:$B$3000,$B484,Offers!$C$7:$C$3000,$C484,Offers!$AH$7:$AH$3000,"yes")))</f>
        <v>3.02</v>
      </c>
      <c r="I484" s="100" t="n">
        <f aca="false">IF(COUNTIFS(Offers!$B$7:$B$3000,$B484,Offers!$C$7:$C$3000,$C484,Offers!$AI$7:$AI$3000,"yes")=0,"",SUMIFS(Offers!$I$7:$I$3000,Offers!$B$7:$B$3000,$B484,Offers!$C$7:$C$3000,$C484,Offers!$AG$7:$AG$3000,1))</f>
        <v>1.39</v>
      </c>
      <c r="J484" s="95" t="n">
        <f aca="false">IF(COUNTIFS(Offers!$B$7:$B$3000,$B484,Offers!$C$7:$C$3000,$C484,Offers!$AI$7:$AI$3000,"yes")=0,"",(SUMIFS(Offers!$I$7:$I$3000,Offers!$B$7:$B$3000,$B484,Offers!$C$7:$C$3000,$C484,Offers!$AG$7:$AG$3000,ROUNDUP(COUNTIFS(Offers!$B$7:$B$3000,$B484,Offers!$C$7:$C$3000,$C484,Offers!$AI$7:$AI$3000,"yes")/2,0))+SUMIFS(Offers!$I$7:$I$3000,Offers!$B$7:$B$3000,$B484,Offers!$C$7:$C$3000,$C484,Offers!$AG$7:$AG$3000,INT(COUNTIFS(Offers!$B$7:$B$3000,$B484,Offers!$C$7:$C$3000,$C484,Offers!$AI$7:$AI$3000,"yes")/2)+1))/2)</f>
        <v>1.79</v>
      </c>
      <c r="K484" s="100" t="n">
        <f aca="false">IF(COUNTIFS(Offers!$B$7:$B$3000,$B484,Offers!$C$7:$C$3000,$C484,Offers!$AI$7:$AI$3000,"yes")=0,"",SUMIFS(Offers!$I$7:$I$3000,Offers!$B$7:$B$3000,$B484,Offers!$C$7:$C$3000,$C484,Offers!$AG$7:$AG$3000,COUNTIFS(Offers!$B$7:$B$3000,$B484,Offers!$C$7:$C$3000,$C484,Offers!$AI$7:$AI$3000,"yes")))</f>
        <v>3.02</v>
      </c>
      <c r="L484" s="96"/>
      <c r="M484" s="96"/>
      <c r="N484" s="96"/>
      <c r="O484" s="101" t="n">
        <f aca="false">IF(Compare!$E$5="Local prices",IF(F484="","",IF(Compare!$C$5="Minimum",F484,IF(Compare!$C$5="Maximum",H484,G484))),IF(I484="","",IF(Compare!$C$5="Minimum",I484,IF(Compare!$C$5="Maximum",K484,J484))))</f>
        <v>1.79</v>
      </c>
    </row>
    <row r="485" customFormat="false" ht="13.5" hidden="false" customHeight="false" outlineLevel="0" collapsed="false">
      <c r="B485" s="36" t="s">
        <v>110</v>
      </c>
      <c r="C485" s="98" t="s">
        <v>17</v>
      </c>
      <c r="D485" s="98" t="s">
        <v>333</v>
      </c>
      <c r="E485" s="98" t="s">
        <v>491</v>
      </c>
      <c r="F485" s="99" t="n">
        <f aca="false">IF(COUNTIFS(Offers!$B$7:$B$3000,$B485,Offers!$C$7:$C$3000,$C485,Offers!$AH$7:$AH$3000,"yes")=0,"",SUMIFS(Offers!$H$7:$H$3000,Offers!$B$7:$B$3000,$B485,Offers!$C$7:$C$3000,$C485,Offers!$AF$7:$AF$3000,1))</f>
        <v>22.31</v>
      </c>
      <c r="G485" s="93" t="n">
        <f aca="false">IF(COUNTIFS(Offers!$B$7:$B$3000,$B485,Offers!$C$7:$C$3000,$C485,Offers!$AH$7:$AH$3000,"yes")=0,"",(SUMIFS(Offers!$H$7:$H$3000,Offers!$B$7:$B$3000,$B485,Offers!$C$7:$C$3000,$C485,Offers!$AF$7:$AF$3000,ROUNDUP(COUNTIFS(Offers!$B$7:$B$3000,$B485,Offers!$C$7:$C$3000,$C485,Offers!$AH$7:$AH$3000,"yes")/2,0))+SUMIFS(Offers!$H$7:$H$3000,Offers!$B$7:$B$3000,$B485,Offers!$C$7:$C$3000,$C485,Offers!$AF$7:$AF$3000,INT(COUNTIFS(Offers!$B$7:$B$3000,$B485,Offers!$C$7:$C$3000,$C485,Offers!$AH$7:$AH$3000,"yes")/2)+1))/2)</f>
        <v>40.495</v>
      </c>
      <c r="H485" s="99" t="n">
        <f aca="false">IF(COUNTIFS(Offers!$B$7:$B$3000,$B485,Offers!$C$7:$C$3000,$C485,Offers!$AH$7:$AH$3000,"yes")=0,"",SUMIFS(Offers!$H$7:$H$3000,Offers!$B$7:$B$3000,$B485,Offers!$C$7:$C$3000,$C485,Offers!$AF$7:$AF$3000,COUNTIFS(Offers!$B$7:$B$3000,$B485,Offers!$C$7:$C$3000,$C485,Offers!$AH$7:$AH$3000,"yes")))</f>
        <v>50</v>
      </c>
      <c r="I485" s="100" t="n">
        <f aca="false">IF(COUNTIFS(Offers!$B$7:$B$3000,$B485,Offers!$C$7:$C$3000,$C485,Offers!$AI$7:$AI$3000,"yes")=0,"",SUMIFS(Offers!$I$7:$I$3000,Offers!$B$7:$B$3000,$B485,Offers!$C$7:$C$3000,$C485,Offers!$AG$7:$AG$3000,1))</f>
        <v>0.91346</v>
      </c>
      <c r="J485" s="95" t="n">
        <f aca="false">IF(COUNTIFS(Offers!$B$7:$B$3000,$B485,Offers!$C$7:$C$3000,$C485,Offers!$AI$7:$AI$3000,"yes")=0,"",(SUMIFS(Offers!$I$7:$I$3000,Offers!$B$7:$B$3000,$B485,Offers!$C$7:$C$3000,$C485,Offers!$AG$7:$AG$3000,ROUNDUP(COUNTIFS(Offers!$B$7:$B$3000,$B485,Offers!$C$7:$C$3000,$C485,Offers!$AI$7:$AI$3000,"yes")/2,0))+SUMIFS(Offers!$I$7:$I$3000,Offers!$B$7:$B$3000,$B485,Offers!$C$7:$C$3000,$C485,Offers!$AG$7:$AG$3000,INT(COUNTIFS(Offers!$B$7:$B$3000,$B485,Offers!$C$7:$C$3000,$C485,Offers!$AI$7:$AI$3000,"yes")/2)+1))/2)</f>
        <v>1.6580265</v>
      </c>
      <c r="K485" s="100" t="n">
        <f aca="false">IF(COUNTIFS(Offers!$B$7:$B$3000,$B485,Offers!$C$7:$C$3000,$C485,Offers!$AI$7:$AI$3000,"yes")=0,"",SUMIFS(Offers!$I$7:$I$3000,Offers!$B$7:$B$3000,$B485,Offers!$C$7:$C$3000,$C485,Offers!$AG$7:$AG$3000,COUNTIFS(Offers!$B$7:$B$3000,$B485,Offers!$C$7:$C$3000,$C485,Offers!$AI$7:$AI$3000,"yes")))</f>
        <v>2.047199</v>
      </c>
      <c r="L485" s="96"/>
      <c r="M485" s="96"/>
      <c r="N485" s="96"/>
      <c r="O485" s="101" t="n">
        <f aca="false">IF(Compare!$E$5="Local prices",IF(F485="","",IF(Compare!$C$5="Minimum",F485,IF(Compare!$C$5="Maximum",H485,G485))),IF(I485="","",IF(Compare!$C$5="Minimum",I485,IF(Compare!$C$5="Maximum",K485,J485))))</f>
        <v>1.6580265</v>
      </c>
    </row>
    <row r="486" customFormat="false" ht="13.5" hidden="false" customHeight="false" outlineLevel="0" collapsed="false">
      <c r="B486" s="36" t="s">
        <v>110</v>
      </c>
      <c r="C486" s="98" t="s">
        <v>18</v>
      </c>
      <c r="D486" s="98" t="s">
        <v>244</v>
      </c>
      <c r="E486" s="98" t="s">
        <v>491</v>
      </c>
      <c r="F486" s="99" t="n">
        <f aca="false">IF(COUNTIFS(Offers!$B$7:$B$3000,$B486,Offers!$C$7:$C$3000,$C486,Offers!$AH$7:$AH$3000,"yes")=0,"",SUMIFS(Offers!$H$7:$H$3000,Offers!$B$7:$B$3000,$B486,Offers!$C$7:$C$3000,$C486,Offers!$AF$7:$AF$3000,1))</f>
        <v>1.09</v>
      </c>
      <c r="G486" s="93" t="n">
        <f aca="false">IF(COUNTIFS(Offers!$B$7:$B$3000,$B486,Offers!$C$7:$C$3000,$C486,Offers!$AH$7:$AH$3000,"yes")=0,"",(SUMIFS(Offers!$H$7:$H$3000,Offers!$B$7:$B$3000,$B486,Offers!$C$7:$C$3000,$C486,Offers!$AF$7:$AF$3000,ROUNDUP(COUNTIFS(Offers!$B$7:$B$3000,$B486,Offers!$C$7:$C$3000,$C486,Offers!$AH$7:$AH$3000,"yes")/2,0))+SUMIFS(Offers!$H$7:$H$3000,Offers!$B$7:$B$3000,$B486,Offers!$C$7:$C$3000,$C486,Offers!$AF$7:$AF$3000,INT(COUNTIFS(Offers!$B$7:$B$3000,$B486,Offers!$C$7:$C$3000,$C486,Offers!$AH$7:$AH$3000,"yes")/2)+1))/2)</f>
        <v>1.585</v>
      </c>
      <c r="H486" s="99" t="n">
        <f aca="false">IF(COUNTIFS(Offers!$B$7:$B$3000,$B486,Offers!$C$7:$C$3000,$C486,Offers!$AH$7:$AH$3000,"yes")=0,"",SUMIFS(Offers!$H$7:$H$3000,Offers!$B$7:$B$3000,$B486,Offers!$C$7:$C$3000,$C486,Offers!$AF$7:$AF$3000,COUNTIFS(Offers!$B$7:$B$3000,$B486,Offers!$C$7:$C$3000,$C486,Offers!$AH$7:$AH$3000,"yes")))</f>
        <v>4.2</v>
      </c>
      <c r="I486" s="100" t="n">
        <f aca="false">IF(COUNTIFS(Offers!$B$7:$B$3000,$B486,Offers!$C$7:$C$3000,$C486,Offers!$AI$7:$AI$3000,"yes")=0,"",SUMIFS(Offers!$I$7:$I$3000,Offers!$B$7:$B$3000,$B486,Offers!$C$7:$C$3000,$C486,Offers!$AG$7:$AG$3000,1))</f>
        <v>1.09</v>
      </c>
      <c r="J486" s="95" t="n">
        <f aca="false">IF(COUNTIFS(Offers!$B$7:$B$3000,$B486,Offers!$C$7:$C$3000,$C486,Offers!$AI$7:$AI$3000,"yes")=0,"",(SUMIFS(Offers!$I$7:$I$3000,Offers!$B$7:$B$3000,$B486,Offers!$C$7:$C$3000,$C486,Offers!$AG$7:$AG$3000,ROUNDUP(COUNTIFS(Offers!$B$7:$B$3000,$B486,Offers!$C$7:$C$3000,$C486,Offers!$AI$7:$AI$3000,"yes")/2,0))+SUMIFS(Offers!$I$7:$I$3000,Offers!$B$7:$B$3000,$B486,Offers!$C$7:$C$3000,$C486,Offers!$AG$7:$AG$3000,INT(COUNTIFS(Offers!$B$7:$B$3000,$B486,Offers!$C$7:$C$3000,$C486,Offers!$AI$7:$AI$3000,"yes")/2)+1))/2)</f>
        <v>1.585</v>
      </c>
      <c r="K486" s="100" t="n">
        <f aca="false">IF(COUNTIFS(Offers!$B$7:$B$3000,$B486,Offers!$C$7:$C$3000,$C486,Offers!$AI$7:$AI$3000,"yes")=0,"",SUMIFS(Offers!$I$7:$I$3000,Offers!$B$7:$B$3000,$B486,Offers!$C$7:$C$3000,$C486,Offers!$AG$7:$AG$3000,COUNTIFS(Offers!$B$7:$B$3000,$B486,Offers!$C$7:$C$3000,$C486,Offers!$AI$7:$AI$3000,"yes")))</f>
        <v>4.2</v>
      </c>
      <c r="L486" s="96"/>
      <c r="M486" s="96"/>
      <c r="N486" s="96"/>
      <c r="O486" s="101" t="n">
        <f aca="false">IF(Compare!$E$5="Local prices",IF(F486="","",IF(Compare!$C$5="Minimum",F486,IF(Compare!$C$5="Maximum",H486,G486))),IF(I486="","",IF(Compare!$C$5="Minimum",I486,IF(Compare!$C$5="Maximum",K486,J486))))</f>
        <v>1.585</v>
      </c>
    </row>
  </sheetData>
  <conditionalFormatting sqref="M7:M216">
    <cfRule type="expression" priority="2" aboveAverage="0" equalAverage="0" bottom="0" percent="0" rank="0" text="" dxfId="1">
      <formula>M7="High"</formula>
    </cfRule>
  </conditionalFormatting>
  <dataValidations count="2">
    <dataValidation allowBlank="false" errorStyle="stop" operator="between" showDropDown="false" showErrorMessage="false" showInputMessage="false" sqref="L7:L216" type="list">
      <formula1>"Review,Shortlist,Research further,Hold,Decided"</formula1>
      <formula2>0</formula2>
    </dataValidation>
    <dataValidation allowBlank="false" errorStyle="stop" operator="between" showDropDown="false" showErrorMessage="false" showInputMessage="false" sqref="M7:M216" type="list">
      <formula1>"High,Medium,Low"</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66A6"/>
    <pageSetUpPr fitToPage="false"/>
  </sheetPr>
  <dimension ref="A1:AK2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43"/>
    <col collapsed="false" customWidth="true" hidden="false" outlineLevel="0" max="3" min="3" style="2" width="14"/>
    <col collapsed="false" customWidth="true" hidden="false" outlineLevel="0" max="4" min="4" style="2" width="26"/>
    <col collapsed="false" customWidth="true" hidden="false" outlineLevel="0" max="5" min="5" style="1" width="57"/>
    <col collapsed="false" customWidth="true" hidden="false" outlineLevel="0" max="6" min="6" style="2" width="16"/>
    <col collapsed="false" customWidth="true" hidden="false" outlineLevel="0" max="7" min="7" style="2" width="13"/>
    <col collapsed="false" customWidth="true" hidden="false" outlineLevel="0" max="9" min="8" style="2" width="18"/>
    <col collapsed="false" customWidth="true" hidden="false" outlineLevel="0" max="10" min="10" style="2" width="16"/>
    <col collapsed="false" customWidth="true" hidden="false" outlineLevel="0" max="11" min="11" style="2" width="17"/>
    <col collapsed="false" customWidth="true" hidden="false" outlineLevel="0" max="12" min="12" style="1" width="45"/>
    <col collapsed="false" customWidth="true" hidden="false" outlineLevel="0" max="13" min="13" style="1" width="88"/>
    <col collapsed="false" customWidth="true" hidden="false" outlineLevel="0" max="14" min="14" style="1" width="82"/>
    <col collapsed="false" customWidth="true" hidden="false" outlineLevel="0" max="15" min="15" style="1" width="20"/>
    <col collapsed="false" customWidth="true" hidden="false" outlineLevel="0" max="18" min="16" style="1" width="14"/>
    <col collapsed="false" customWidth="true" hidden="false" outlineLevel="0" max="19" min="19" style="1" width="24"/>
    <col collapsed="false" customWidth="true" hidden="false" outlineLevel="0" max="20" min="20" style="1" width="14"/>
    <col collapsed="false" customWidth="true" hidden="false" outlineLevel="0" max="21" min="21" style="1" width="80"/>
    <col collapsed="false" customWidth="true" hidden="false" outlineLevel="0" max="22" min="22" style="1" width="19"/>
    <col collapsed="false" customWidth="true" hidden="false" outlineLevel="0" max="23" min="23" style="1" width="23"/>
    <col collapsed="false" customWidth="true" hidden="false" outlineLevel="0" max="24" min="24" style="1" width="51"/>
    <col collapsed="false" customWidth="true" hidden="false" outlineLevel="0" max="26" min="25" style="1" width="17"/>
    <col collapsed="false" customWidth="true" hidden="false" outlineLevel="0" max="27" min="27" style="1" width="20"/>
    <col collapsed="false" customWidth="true" hidden="false" outlineLevel="0" max="37" min="37" style="1" width="42"/>
  </cols>
  <sheetData>
    <row r="1" customFormat="false" ht="21.75" hidden="false" customHeight="true" outlineLevel="0" collapsed="false">
      <c r="A1" s="3"/>
      <c r="B1" s="3"/>
      <c r="C1" s="4"/>
      <c r="D1" s="4"/>
      <c r="E1" s="3"/>
      <c r="F1" s="4"/>
      <c r="G1" s="4"/>
      <c r="H1" s="4"/>
      <c r="I1" s="4"/>
      <c r="J1" s="4"/>
      <c r="K1" s="4"/>
      <c r="L1" s="3"/>
      <c r="M1" s="3"/>
      <c r="N1" s="3"/>
      <c r="O1" s="3"/>
      <c r="P1" s="3"/>
      <c r="Q1" s="3"/>
      <c r="R1" s="3"/>
      <c r="S1" s="3"/>
      <c r="T1" s="3"/>
      <c r="U1" s="3"/>
      <c r="V1" s="3"/>
      <c r="W1" s="3"/>
      <c r="X1" s="3"/>
      <c r="Y1" s="3"/>
      <c r="Z1" s="3"/>
      <c r="AA1" s="3"/>
      <c r="AB1" s="3"/>
      <c r="AC1" s="3"/>
      <c r="AD1" s="3"/>
      <c r="AE1" s="3"/>
      <c r="AF1" s="3"/>
      <c r="AG1" s="3"/>
      <c r="AH1" s="3"/>
      <c r="AI1" s="3"/>
      <c r="AJ1" s="3"/>
      <c r="AK1" s="3"/>
    </row>
    <row r="2" customFormat="false" ht="28.5" hidden="false" customHeight="true" outlineLevel="0" collapsed="false">
      <c r="A2" s="3"/>
      <c r="B2" s="5" t="s">
        <v>492</v>
      </c>
      <c r="C2" s="6"/>
      <c r="D2" s="6"/>
      <c r="E2" s="7"/>
      <c r="F2" s="6"/>
      <c r="G2" s="6"/>
      <c r="H2" s="6"/>
      <c r="I2" s="6"/>
      <c r="J2" s="6"/>
      <c r="K2" s="6"/>
      <c r="L2" s="7"/>
      <c r="M2" s="7"/>
      <c r="N2" s="7"/>
      <c r="O2" s="7"/>
      <c r="P2" s="7"/>
      <c r="Q2" s="7"/>
      <c r="R2" s="7"/>
      <c r="S2" s="7"/>
      <c r="T2" s="7"/>
      <c r="U2" s="7"/>
      <c r="V2" s="7"/>
      <c r="W2" s="7"/>
      <c r="X2" s="7"/>
      <c r="Y2" s="7"/>
      <c r="Z2" s="7"/>
      <c r="AA2" s="7"/>
      <c r="AB2" s="7"/>
      <c r="AC2" s="7"/>
      <c r="AD2" s="7"/>
      <c r="AE2" s="7"/>
      <c r="AF2" s="7"/>
      <c r="AG2" s="7"/>
      <c r="AH2" s="7"/>
      <c r="AI2" s="7"/>
      <c r="AJ2" s="7"/>
      <c r="AK2" s="7"/>
    </row>
    <row r="3" customFormat="false" ht="22.5" hidden="false" customHeight="true" outlineLevel="0" collapsed="false">
      <c r="A3" s="3"/>
      <c r="B3" s="8" t="s">
        <v>493</v>
      </c>
      <c r="C3" s="6"/>
      <c r="D3" s="6"/>
      <c r="E3" s="7"/>
      <c r="F3" s="6"/>
      <c r="G3" s="6"/>
      <c r="H3" s="6"/>
      <c r="I3" s="6"/>
      <c r="J3" s="6"/>
      <c r="K3" s="6"/>
      <c r="L3" s="7"/>
      <c r="M3" s="7"/>
      <c r="N3" s="7"/>
      <c r="O3" s="7"/>
      <c r="P3" s="7"/>
      <c r="Q3" s="7"/>
      <c r="R3" s="7"/>
      <c r="S3" s="7"/>
      <c r="T3" s="7"/>
      <c r="U3" s="7"/>
      <c r="V3" s="7"/>
      <c r="W3" s="7"/>
      <c r="X3" s="7"/>
      <c r="Y3" s="7"/>
      <c r="Z3" s="7"/>
      <c r="AA3" s="7"/>
      <c r="AB3" s="7"/>
      <c r="AC3" s="7"/>
      <c r="AD3" s="7"/>
      <c r="AE3" s="7"/>
      <c r="AF3" s="7"/>
      <c r="AG3" s="7"/>
      <c r="AH3" s="7"/>
      <c r="AI3" s="7"/>
      <c r="AJ3" s="7"/>
      <c r="AK3" s="7"/>
    </row>
    <row r="4" customFormat="false" ht="21.75" hidden="false" customHeight="true" outlineLevel="0" collapsed="false">
      <c r="A4" s="3"/>
      <c r="B4" s="9"/>
      <c r="C4" s="10"/>
      <c r="D4" s="10"/>
      <c r="E4" s="9"/>
      <c r="F4" s="10"/>
      <c r="G4" s="10"/>
      <c r="H4" s="10"/>
      <c r="I4" s="10"/>
      <c r="J4" s="10"/>
      <c r="K4" s="10"/>
      <c r="L4" s="9"/>
      <c r="M4" s="9"/>
      <c r="N4" s="9"/>
      <c r="O4" s="9"/>
      <c r="P4" s="9"/>
      <c r="Q4" s="9"/>
      <c r="R4" s="9"/>
      <c r="S4" s="9"/>
      <c r="T4" s="9"/>
      <c r="U4" s="9"/>
      <c r="V4" s="9"/>
      <c r="W4" s="9"/>
      <c r="X4" s="9"/>
      <c r="Y4" s="9"/>
      <c r="Z4" s="9"/>
      <c r="AA4" s="9"/>
      <c r="AB4" s="9"/>
      <c r="AC4" s="9"/>
      <c r="AD4" s="9"/>
      <c r="AE4" s="9"/>
      <c r="AF4" s="9"/>
      <c r="AG4" s="9"/>
      <c r="AH4" s="9"/>
      <c r="AI4" s="9"/>
      <c r="AJ4" s="9"/>
      <c r="AK4" s="9"/>
    </row>
    <row r="5" customFormat="false" ht="21.75" hidden="false" customHeight="true" outlineLevel="0" collapsed="false">
      <c r="A5" s="3"/>
      <c r="B5" s="17" t="s">
        <v>494</v>
      </c>
      <c r="C5" s="10"/>
      <c r="D5" s="10"/>
      <c r="E5" s="9"/>
      <c r="F5" s="10"/>
      <c r="G5" s="10"/>
      <c r="H5" s="10"/>
      <c r="I5" s="10"/>
      <c r="J5" s="10"/>
      <c r="K5" s="10"/>
      <c r="L5" s="9"/>
      <c r="M5" s="9"/>
      <c r="N5" s="9"/>
      <c r="O5" s="9"/>
      <c r="P5" s="9"/>
      <c r="Q5" s="9"/>
      <c r="R5" s="9"/>
      <c r="S5" s="9"/>
      <c r="T5" s="9"/>
      <c r="U5" s="9"/>
      <c r="V5" s="9"/>
      <c r="W5" s="9"/>
      <c r="X5" s="9"/>
      <c r="Y5" s="9"/>
      <c r="Z5" s="9"/>
      <c r="AA5" s="9"/>
      <c r="AB5" s="9"/>
      <c r="AC5" s="9"/>
      <c r="AD5" s="9"/>
      <c r="AE5" s="9"/>
      <c r="AF5" s="9"/>
      <c r="AG5" s="9"/>
      <c r="AH5" s="9"/>
      <c r="AI5" s="9"/>
      <c r="AJ5" s="9"/>
      <c r="AK5" s="9"/>
    </row>
    <row r="6" customFormat="false" ht="36" hidden="false" customHeight="true" outlineLevel="0" collapsed="false">
      <c r="A6" s="3"/>
      <c r="B6" s="21" t="s">
        <v>12</v>
      </c>
      <c r="C6" s="30" t="s">
        <v>481</v>
      </c>
      <c r="D6" s="30" t="s">
        <v>230</v>
      </c>
      <c r="E6" s="30" t="s">
        <v>495</v>
      </c>
      <c r="F6" s="22" t="s">
        <v>496</v>
      </c>
      <c r="G6" s="22" t="s">
        <v>497</v>
      </c>
      <c r="H6" s="23" t="s">
        <v>498</v>
      </c>
      <c r="I6" s="23" t="s">
        <v>499</v>
      </c>
      <c r="J6" s="26" t="s">
        <v>500</v>
      </c>
      <c r="K6" s="26" t="s">
        <v>501</v>
      </c>
      <c r="L6" s="90" t="s">
        <v>502</v>
      </c>
      <c r="M6" s="111" t="s">
        <v>503</v>
      </c>
      <c r="N6" s="111" t="s">
        <v>504</v>
      </c>
      <c r="O6" s="111" t="s">
        <v>505</v>
      </c>
      <c r="P6" s="111" t="s">
        <v>506</v>
      </c>
      <c r="Q6" s="111" t="s">
        <v>507</v>
      </c>
      <c r="R6" s="111" t="s">
        <v>508</v>
      </c>
      <c r="S6" s="111" t="s">
        <v>509</v>
      </c>
      <c r="T6" s="111" t="s">
        <v>510</v>
      </c>
      <c r="U6" s="111" t="s">
        <v>511</v>
      </c>
      <c r="V6" s="111" t="s">
        <v>512</v>
      </c>
      <c r="W6" s="111" t="s">
        <v>513</v>
      </c>
      <c r="X6" s="111" t="s">
        <v>514</v>
      </c>
      <c r="Y6" s="111" t="s">
        <v>515</v>
      </c>
      <c r="Z6" s="111" t="s">
        <v>516</v>
      </c>
      <c r="AA6" s="111" t="s">
        <v>517</v>
      </c>
      <c r="AB6" s="111" t="s">
        <v>518</v>
      </c>
      <c r="AC6" s="111" t="s">
        <v>519</v>
      </c>
      <c r="AD6" s="111" t="s">
        <v>520</v>
      </c>
      <c r="AE6" s="111" t="s">
        <v>521</v>
      </c>
      <c r="AF6" s="111" t="s">
        <v>522</v>
      </c>
      <c r="AG6" s="111" t="s">
        <v>523</v>
      </c>
      <c r="AH6" s="111" t="s">
        <v>524</v>
      </c>
      <c r="AI6" s="111" t="s">
        <v>525</v>
      </c>
      <c r="AJ6" s="111" t="s">
        <v>526</v>
      </c>
      <c r="AK6" s="111" t="s">
        <v>527</v>
      </c>
    </row>
    <row r="7" customFormat="false" ht="42" hidden="false" customHeight="true" outlineLevel="0" collapsed="false">
      <c r="A7" s="3"/>
      <c r="B7" s="31" t="s">
        <v>9</v>
      </c>
      <c r="C7" s="91" t="s">
        <v>13</v>
      </c>
      <c r="D7" s="91" t="s">
        <v>528</v>
      </c>
      <c r="E7" s="109" t="s">
        <v>529</v>
      </c>
      <c r="F7" s="92" t="n">
        <v>3990</v>
      </c>
      <c r="G7" s="91" t="s">
        <v>490</v>
      </c>
      <c r="H7" s="112" t="n">
        <f aca="false">IF(AND(AE7="yes",ISNUMBER(AD7)),AD7,"")</f>
        <v>3990</v>
      </c>
      <c r="I7" s="95" t="n">
        <f aca="false">IF(AND(AE7="yes",ISNUMBER(AD7),ISNUMBER(INDEX(Sources!$G$7:$G$10,MATCH(AB7,Sources!$B$7:$B$10,0)))),ROUND(AD7/INDEX(Sources!$G$7:$G$10,MATCH(AB7,Sources!$B$7:$B$10,0)),6),"")</f>
        <v>10.898364</v>
      </c>
      <c r="J7" s="91" t="s">
        <v>530</v>
      </c>
      <c r="K7" s="91" t="s">
        <v>531</v>
      </c>
      <c r="L7" s="96"/>
      <c r="M7" s="109" t="s">
        <v>532</v>
      </c>
      <c r="N7" s="113" t="s">
        <v>533</v>
      </c>
      <c r="O7" s="109"/>
      <c r="P7" s="109"/>
      <c r="Q7" s="114"/>
      <c r="R7" s="109"/>
      <c r="S7" s="109"/>
      <c r="T7" s="109"/>
      <c r="U7" s="109" t="s">
        <v>534</v>
      </c>
      <c r="V7" s="115"/>
      <c r="W7" s="115" t="n">
        <v>3990</v>
      </c>
      <c r="X7" s="109" t="s">
        <v>535</v>
      </c>
      <c r="Y7" s="109"/>
      <c r="Z7" s="109" t="s">
        <v>536</v>
      </c>
      <c r="AA7" s="109" t="s">
        <v>537</v>
      </c>
      <c r="AB7" s="109" t="s">
        <v>490</v>
      </c>
      <c r="AC7" s="109" t="s">
        <v>538</v>
      </c>
      <c r="AD7" s="115" t="n">
        <f aca="false">IF(ISNUMBER(F7),IF(G7=AB7,F7,IF(AND(ISNUMBER(INDEX(Sources!$G$7:$G$10,MATCH(G7,Sources!$B$7:$B$10,0))),ISNUMBER(INDEX(Sources!$G$7:$G$10,MATCH(AB7,Sources!$B$7:$B$10,0)))),F7/INDEX(Sources!$G$7:$G$10,MATCH(G7,Sources!$B$7:$B$10,0))*INDEX(Sources!$G$7:$G$10,MATCH(AB7,Sources!$B$7:$B$10,0)),"")),"")</f>
        <v>3990</v>
      </c>
      <c r="AE7" s="109" t="str">
        <f aca="false">IF(AND(AC7="yes",ISNUMBER(F7),IF(Compare!$H$5="All mapped",TRUE(),IF(Compare!$H$5="EXACT only",J7="EXACT",OR(J7="EXACT",J7="CLOSE")))),"yes","no")</f>
        <v>yes</v>
      </c>
      <c r="AF7" s="109" t="n">
        <f aca="false">IF(ISNUMBER(H7),COUNTIFS($B$7:$B$3000,B7,$C$7:$C$3000,C7,$H$7:$H$3000,"&lt;"&amp;H7,$AH$7:$AH$3000,"yes")+COUNTIFS($B$7:B7,B7,$C$7:C7,C7,$H$7:H7,H7,$AH$7:AH7,"yes"),"")</f>
        <v>3</v>
      </c>
      <c r="AG7" s="109" t="n">
        <f aca="false">IF(ISNUMBER(I7),COUNTIFS($B$7:$B$3000,B7,$C$7:$C$3000,C7,$I$7:$I$3000,"&lt;"&amp;I7,$AI$7:$AI$3000,"yes")+COUNTIFS($B$7:B7,B7,$C$7:C7,C7,$I$7:I7,I7,$AI$7:AI7,"yes"),"")</f>
        <v>3</v>
      </c>
      <c r="AH7" s="109" t="str">
        <f aca="false">IF(ISNUMBER(H7),"yes","no")</f>
        <v>yes</v>
      </c>
      <c r="AI7" s="109" t="str">
        <f aca="false">IF(ISNUMBER(I7),"yes","no")</f>
        <v>yes</v>
      </c>
      <c r="AJ7" s="116" t="n">
        <v>46181</v>
      </c>
      <c r="AK7" s="109"/>
    </row>
    <row r="8" customFormat="false" ht="42" hidden="false" customHeight="true" outlineLevel="0" collapsed="false">
      <c r="A8" s="3"/>
      <c r="B8" s="36" t="s">
        <v>9</v>
      </c>
      <c r="C8" s="98" t="s">
        <v>13</v>
      </c>
      <c r="D8" s="98" t="s">
        <v>539</v>
      </c>
      <c r="E8" s="110" t="s">
        <v>529</v>
      </c>
      <c r="F8" s="99" t="n">
        <v>2520</v>
      </c>
      <c r="G8" s="98" t="s">
        <v>490</v>
      </c>
      <c r="H8" s="112" t="n">
        <f aca="false">IF(AND(AE8="yes",ISNUMBER(AD8)),AD8,"")</f>
        <v>2520</v>
      </c>
      <c r="I8" s="95" t="n">
        <f aca="false">IF(AND(AE8="yes",ISNUMBER(AD8),ISNUMBER(INDEX(Sources!$G$7:$G$10,MATCH(AB8,Sources!$B$7:$B$10,0)))),ROUND(AD8/INDEX(Sources!$G$7:$G$10,MATCH(AB8,Sources!$B$7:$B$10,0)),6),"")</f>
        <v>6.883177</v>
      </c>
      <c r="J8" s="98" t="s">
        <v>530</v>
      </c>
      <c r="K8" s="98" t="s">
        <v>531</v>
      </c>
      <c r="L8" s="96"/>
      <c r="M8" s="110" t="s">
        <v>532</v>
      </c>
      <c r="N8" s="117" t="s">
        <v>540</v>
      </c>
      <c r="O8" s="110"/>
      <c r="P8" s="110"/>
      <c r="Q8" s="118"/>
      <c r="R8" s="110"/>
      <c r="S8" s="110"/>
      <c r="T8" s="110"/>
      <c r="U8" s="110" t="s">
        <v>534</v>
      </c>
      <c r="V8" s="119"/>
      <c r="W8" s="119" t="n">
        <v>2520</v>
      </c>
      <c r="X8" s="110" t="s">
        <v>535</v>
      </c>
      <c r="Y8" s="110"/>
      <c r="Z8" s="110"/>
      <c r="AA8" s="110" t="s">
        <v>537</v>
      </c>
      <c r="AB8" s="110" t="s">
        <v>490</v>
      </c>
      <c r="AC8" s="110" t="s">
        <v>538</v>
      </c>
      <c r="AD8" s="119" t="n">
        <f aca="false">IF(ISNUMBER(F8),IF(G8=AB8,F8,IF(AND(ISNUMBER(INDEX(Sources!$G$7:$G$10,MATCH(G8,Sources!$B$7:$B$10,0))),ISNUMBER(INDEX(Sources!$G$7:$G$10,MATCH(AB8,Sources!$B$7:$B$10,0)))),F8/INDEX(Sources!$G$7:$G$10,MATCH(G8,Sources!$B$7:$B$10,0))*INDEX(Sources!$G$7:$G$10,MATCH(AB8,Sources!$B$7:$B$10,0)),"")),"")</f>
        <v>2520</v>
      </c>
      <c r="AE8" s="110" t="str">
        <f aca="false">IF(AND(AC8="yes",ISNUMBER(F8),IF(Compare!$H$5="All mapped",TRUE(),IF(Compare!$H$5="EXACT only",J8="EXACT",OR(J8="EXACT",J8="CLOSE")))),"yes","no")</f>
        <v>yes</v>
      </c>
      <c r="AF8" s="110" t="n">
        <f aca="false">IF(ISNUMBER(H8),COUNTIFS($B$7:$B$3000,B8,$C$7:$C$3000,C8,$H$7:$H$3000,"&lt;"&amp;H8,$AH$7:$AH$3000,"yes")+COUNTIFS($B$7:B8,B8,$C$7:C8,C8,$H$7:H8,H8,$AH$7:AH8,"yes"),"")</f>
        <v>1</v>
      </c>
      <c r="AG8" s="110" t="n">
        <f aca="false">IF(ISNUMBER(I8),COUNTIFS($B$7:$B$3000,B8,$C$7:$C$3000,C8,$I$7:$I$3000,"&lt;"&amp;I8,$AI$7:$AI$3000,"yes")+COUNTIFS($B$7:B8,B8,$C$7:C8,C8,$I$7:I8,I8,$AI$7:AI8,"yes"),"")</f>
        <v>1</v>
      </c>
      <c r="AH8" s="110" t="str">
        <f aca="false">IF(ISNUMBER(H8),"yes","no")</f>
        <v>yes</v>
      </c>
      <c r="AI8" s="110" t="str">
        <f aca="false">IF(ISNUMBER(I8),"yes","no")</f>
        <v>yes</v>
      </c>
      <c r="AJ8" s="120" t="n">
        <v>46181</v>
      </c>
      <c r="AK8" s="110"/>
    </row>
    <row r="9" customFormat="false" ht="42" hidden="false" customHeight="true" outlineLevel="0" collapsed="false">
      <c r="A9" s="3"/>
      <c r="B9" s="31" t="s">
        <v>9</v>
      </c>
      <c r="C9" s="91" t="s">
        <v>13</v>
      </c>
      <c r="D9" s="91" t="s">
        <v>541</v>
      </c>
      <c r="E9" s="109" t="s">
        <v>529</v>
      </c>
      <c r="F9" s="92" t="n">
        <v>7236</v>
      </c>
      <c r="G9" s="91" t="s">
        <v>490</v>
      </c>
      <c r="H9" s="112" t="n">
        <f aca="false">IF(AND(AE9="yes",ISNUMBER(AD9)),AD9,"")</f>
        <v>7236</v>
      </c>
      <c r="I9" s="95" t="n">
        <f aca="false">IF(AND(AE9="yes",ISNUMBER(AD9),ISNUMBER(INDEX(Sources!$G$7:$G$10,MATCH(AB9,Sources!$B$7:$B$10,0)))),ROUND(AD9/INDEX(Sources!$G$7:$G$10,MATCH(AB9,Sources!$B$7:$B$10,0)),6),"")</f>
        <v>19.764552</v>
      </c>
      <c r="J9" s="91" t="s">
        <v>530</v>
      </c>
      <c r="K9" s="91" t="s">
        <v>542</v>
      </c>
      <c r="L9" s="96"/>
      <c r="M9" s="109" t="s">
        <v>532</v>
      </c>
      <c r="N9" s="113" t="s">
        <v>543</v>
      </c>
      <c r="O9" s="109"/>
      <c r="P9" s="109"/>
      <c r="Q9" s="114"/>
      <c r="R9" s="109"/>
      <c r="S9" s="109"/>
      <c r="T9" s="109"/>
      <c r="U9" s="109" t="s">
        <v>544</v>
      </c>
      <c r="V9" s="115"/>
      <c r="W9" s="115" t="n">
        <v>3543</v>
      </c>
      <c r="X9" s="109" t="s">
        <v>535</v>
      </c>
      <c r="Y9" s="109"/>
      <c r="Z9" s="109" t="s">
        <v>545</v>
      </c>
      <c r="AA9" s="109" t="s">
        <v>537</v>
      </c>
      <c r="AB9" s="109" t="s">
        <v>490</v>
      </c>
      <c r="AC9" s="109" t="s">
        <v>538</v>
      </c>
      <c r="AD9" s="115" t="n">
        <f aca="false">IF(ISNUMBER(F9),IF(G9=AB9,F9,IF(AND(ISNUMBER(INDEX(Sources!$G$7:$G$10,MATCH(G9,Sources!$B$7:$B$10,0))),ISNUMBER(INDEX(Sources!$G$7:$G$10,MATCH(AB9,Sources!$B$7:$B$10,0)))),F9/INDEX(Sources!$G$7:$G$10,MATCH(G9,Sources!$B$7:$B$10,0))*INDEX(Sources!$G$7:$G$10,MATCH(AB9,Sources!$B$7:$B$10,0)),"")),"")</f>
        <v>7236</v>
      </c>
      <c r="AE9" s="109" t="str">
        <f aca="false">IF(AND(AC9="yes",ISNUMBER(F9),IF(Compare!$H$5="All mapped",TRUE(),IF(Compare!$H$5="EXACT only",J9="EXACT",OR(J9="EXACT",J9="CLOSE")))),"yes","no")</f>
        <v>yes</v>
      </c>
      <c r="AF9" s="109" t="n">
        <f aca="false">IF(ISNUMBER(H9),COUNTIFS($B$7:$B$3000,B9,$C$7:$C$3000,C9,$H$7:$H$3000,"&lt;"&amp;H9,$AH$7:$AH$3000,"yes")+COUNTIFS($B$7:B9,B9,$C$7:C9,C9,$H$7:H9,H9,$AH$7:AH9,"yes"),"")</f>
        <v>6</v>
      </c>
      <c r="AG9" s="109" t="n">
        <f aca="false">IF(ISNUMBER(I9),COUNTIFS($B$7:$B$3000,B9,$C$7:$C$3000,C9,$I$7:$I$3000,"&lt;"&amp;I9,$AI$7:$AI$3000,"yes")+COUNTIFS($B$7:B9,B9,$C$7:C9,C9,$I$7:I9,I9,$AI$7:AI9,"yes"),"")</f>
        <v>6</v>
      </c>
      <c r="AH9" s="109" t="str">
        <f aca="false">IF(ISNUMBER(H9),"yes","no")</f>
        <v>yes</v>
      </c>
      <c r="AI9" s="109" t="str">
        <f aca="false">IF(ISNUMBER(I9),"yes","no")</f>
        <v>yes</v>
      </c>
      <c r="AJ9" s="116" t="n">
        <v>46297</v>
      </c>
      <c r="AK9" s="109"/>
    </row>
    <row r="10" customFormat="false" ht="42" hidden="false" customHeight="true" outlineLevel="0" collapsed="false">
      <c r="A10" s="3"/>
      <c r="B10" s="36" t="s">
        <v>9</v>
      </c>
      <c r="C10" s="98" t="s">
        <v>13</v>
      </c>
      <c r="D10" s="98" t="s">
        <v>546</v>
      </c>
      <c r="E10" s="110" t="s">
        <v>529</v>
      </c>
      <c r="F10" s="99" t="n">
        <v>4000</v>
      </c>
      <c r="G10" s="98" t="s">
        <v>490</v>
      </c>
      <c r="H10" s="112" t="n">
        <f aca="false">IF(AND(AE10="yes",ISNUMBER(AD10)),AD10,"")</f>
        <v>4000</v>
      </c>
      <c r="I10" s="95" t="n">
        <f aca="false">IF(AND(AE10="yes",ISNUMBER(AD10),ISNUMBER(INDEX(Sources!$G$7:$G$10,MATCH(AB10,Sources!$B$7:$B$10,0)))),ROUND(AD10/INDEX(Sources!$G$7:$G$10,MATCH(AB10,Sources!$B$7:$B$10,0)),6),"")</f>
        <v>10.925678</v>
      </c>
      <c r="J10" s="98" t="s">
        <v>530</v>
      </c>
      <c r="K10" s="98" t="s">
        <v>531</v>
      </c>
      <c r="L10" s="96"/>
      <c r="M10" s="110" t="s">
        <v>532</v>
      </c>
      <c r="N10" s="117" t="s">
        <v>547</v>
      </c>
      <c r="O10" s="110"/>
      <c r="P10" s="110"/>
      <c r="Q10" s="118"/>
      <c r="R10" s="110"/>
      <c r="S10" s="110"/>
      <c r="T10" s="110"/>
      <c r="U10" s="110" t="s">
        <v>534</v>
      </c>
      <c r="V10" s="119"/>
      <c r="W10" s="119" t="n">
        <v>4000</v>
      </c>
      <c r="X10" s="110" t="s">
        <v>535</v>
      </c>
      <c r="Y10" s="110"/>
      <c r="Z10" s="110"/>
      <c r="AA10" s="110" t="s">
        <v>537</v>
      </c>
      <c r="AB10" s="110" t="s">
        <v>490</v>
      </c>
      <c r="AC10" s="110" t="s">
        <v>538</v>
      </c>
      <c r="AD10" s="119" t="n">
        <f aca="false">IF(ISNUMBER(F10),IF(G10=AB10,F10,IF(AND(ISNUMBER(INDEX(Sources!$G$7:$G$10,MATCH(G10,Sources!$B$7:$B$10,0))),ISNUMBER(INDEX(Sources!$G$7:$G$10,MATCH(AB10,Sources!$B$7:$B$10,0)))),F10/INDEX(Sources!$G$7:$G$10,MATCH(G10,Sources!$B$7:$B$10,0))*INDEX(Sources!$G$7:$G$10,MATCH(AB10,Sources!$B$7:$B$10,0)),"")),"")</f>
        <v>4000</v>
      </c>
      <c r="AE10" s="110" t="str">
        <f aca="false">IF(AND(AC10="yes",ISNUMBER(F10),IF(Compare!$H$5="All mapped",TRUE(),IF(Compare!$H$5="EXACT only",J10="EXACT",OR(J10="EXACT",J10="CLOSE")))),"yes","no")</f>
        <v>yes</v>
      </c>
      <c r="AF10" s="110" t="n">
        <f aca="false">IF(ISNUMBER(H10),COUNTIFS($B$7:$B$3000,B10,$C$7:$C$3000,C10,$H$7:$H$3000,"&lt;"&amp;H10,$AH$7:$AH$3000,"yes")+COUNTIFS($B$7:B10,B10,$C$7:C10,C10,$H$7:H10,H10,$AH$7:AH10,"yes"),"")</f>
        <v>4</v>
      </c>
      <c r="AG10" s="110" t="n">
        <f aca="false">IF(ISNUMBER(I10),COUNTIFS($B$7:$B$3000,B10,$C$7:$C$3000,C10,$I$7:$I$3000,"&lt;"&amp;I10,$AI$7:$AI$3000,"yes")+COUNTIFS($B$7:B10,B10,$C$7:C10,C10,$I$7:I10,I10,$AI$7:AI10,"yes"),"")</f>
        <v>4</v>
      </c>
      <c r="AH10" s="110" t="str">
        <f aca="false">IF(ISNUMBER(H10),"yes","no")</f>
        <v>yes</v>
      </c>
      <c r="AI10" s="110" t="str">
        <f aca="false">IF(ISNUMBER(I10),"yes","no")</f>
        <v>yes</v>
      </c>
      <c r="AJ10" s="120" t="n">
        <v>46181</v>
      </c>
      <c r="AK10" s="110"/>
    </row>
    <row r="11" customFormat="false" ht="42" hidden="false" customHeight="true" outlineLevel="0" collapsed="false">
      <c r="A11" s="3"/>
      <c r="B11" s="31" t="s">
        <v>9</v>
      </c>
      <c r="C11" s="91" t="s">
        <v>13</v>
      </c>
      <c r="D11" s="91" t="s">
        <v>548</v>
      </c>
      <c r="E11" s="109" t="s">
        <v>529</v>
      </c>
      <c r="F11" s="92" t="n">
        <v>6872</v>
      </c>
      <c r="G11" s="91" t="s">
        <v>490</v>
      </c>
      <c r="H11" s="112" t="n">
        <f aca="false">IF(AND(AE11="yes",ISNUMBER(AD11)),AD11,"")</f>
        <v>6872</v>
      </c>
      <c r="I11" s="95" t="n">
        <f aca="false">IF(AND(AE11="yes",ISNUMBER(AD11),ISNUMBER(INDEX(Sources!$G$7:$G$10,MATCH(AB11,Sources!$B$7:$B$10,0)))),ROUND(AD11/INDEX(Sources!$G$7:$G$10,MATCH(AB11,Sources!$B$7:$B$10,0)),6),"")</f>
        <v>18.770315</v>
      </c>
      <c r="J11" s="91" t="s">
        <v>530</v>
      </c>
      <c r="K11" s="91" t="s">
        <v>531</v>
      </c>
      <c r="L11" s="96"/>
      <c r="M11" s="109" t="s">
        <v>532</v>
      </c>
      <c r="N11" s="113" t="s">
        <v>549</v>
      </c>
      <c r="O11" s="109"/>
      <c r="P11" s="109"/>
      <c r="Q11" s="114"/>
      <c r="R11" s="109"/>
      <c r="S11" s="109"/>
      <c r="T11" s="109"/>
      <c r="U11" s="109" t="s">
        <v>534</v>
      </c>
      <c r="V11" s="115"/>
      <c r="W11" s="115" t="n">
        <v>6872</v>
      </c>
      <c r="X11" s="109" t="s">
        <v>535</v>
      </c>
      <c r="Y11" s="109"/>
      <c r="Z11" s="109"/>
      <c r="AA11" s="109" t="s">
        <v>537</v>
      </c>
      <c r="AB11" s="109" t="s">
        <v>490</v>
      </c>
      <c r="AC11" s="109" t="s">
        <v>538</v>
      </c>
      <c r="AD11" s="115" t="n">
        <f aca="false">IF(ISNUMBER(F11),IF(G11=AB11,F11,IF(AND(ISNUMBER(INDEX(Sources!$G$7:$G$10,MATCH(G11,Sources!$B$7:$B$10,0))),ISNUMBER(INDEX(Sources!$G$7:$G$10,MATCH(AB11,Sources!$B$7:$B$10,0)))),F11/INDEX(Sources!$G$7:$G$10,MATCH(G11,Sources!$B$7:$B$10,0))*INDEX(Sources!$G$7:$G$10,MATCH(AB11,Sources!$B$7:$B$10,0)),"")),"")</f>
        <v>6872</v>
      </c>
      <c r="AE11" s="109" t="str">
        <f aca="false">IF(AND(AC11="yes",ISNUMBER(F11),IF(Compare!$H$5="All mapped",TRUE(),IF(Compare!$H$5="EXACT only",J11="EXACT",OR(J11="EXACT",J11="CLOSE")))),"yes","no")</f>
        <v>yes</v>
      </c>
      <c r="AF11" s="109" t="n">
        <f aca="false">IF(ISNUMBER(H11),COUNTIFS($B$7:$B$3000,B11,$C$7:$C$3000,C11,$H$7:$H$3000,"&lt;"&amp;H11,$AH$7:$AH$3000,"yes")+COUNTIFS($B$7:B11,B11,$C$7:C11,C11,$H$7:H11,H11,$AH$7:AH11,"yes"),"")</f>
        <v>5</v>
      </c>
      <c r="AG11" s="109" t="n">
        <f aca="false">IF(ISNUMBER(I11),COUNTIFS($B$7:$B$3000,B11,$C$7:$C$3000,C11,$I$7:$I$3000,"&lt;"&amp;I11,$AI$7:$AI$3000,"yes")+COUNTIFS($B$7:B11,B11,$C$7:C11,C11,$I$7:I11,I11,$AI$7:AI11,"yes"),"")</f>
        <v>5</v>
      </c>
      <c r="AH11" s="109" t="str">
        <f aca="false">IF(ISNUMBER(H11),"yes","no")</f>
        <v>yes</v>
      </c>
      <c r="AI11" s="109" t="str">
        <f aca="false">IF(ISNUMBER(I11),"yes","no")</f>
        <v>yes</v>
      </c>
      <c r="AJ11" s="116" t="n">
        <v>46181</v>
      </c>
      <c r="AK11" s="109"/>
    </row>
    <row r="12" customFormat="false" ht="42" hidden="false" customHeight="true" outlineLevel="0" collapsed="false">
      <c r="A12" s="3"/>
      <c r="B12" s="36" t="s">
        <v>9</v>
      </c>
      <c r="C12" s="98" t="s">
        <v>13</v>
      </c>
      <c r="D12" s="98" t="s">
        <v>550</v>
      </c>
      <c r="E12" s="110" t="s">
        <v>529</v>
      </c>
      <c r="F12" s="99" t="n">
        <v>3700</v>
      </c>
      <c r="G12" s="98" t="s">
        <v>490</v>
      </c>
      <c r="H12" s="112" t="n">
        <f aca="false">IF(AND(AE12="yes",ISNUMBER(AD12)),AD12,"")</f>
        <v>3700</v>
      </c>
      <c r="I12" s="95" t="n">
        <f aca="false">IF(AND(AE12="yes",ISNUMBER(AD12),ISNUMBER(INDEX(Sources!$G$7:$G$10,MATCH(AB12,Sources!$B$7:$B$10,0)))),ROUND(AD12/INDEX(Sources!$G$7:$G$10,MATCH(AB12,Sources!$B$7:$B$10,0)),6),"")</f>
        <v>10.106252</v>
      </c>
      <c r="J12" s="98" t="s">
        <v>530</v>
      </c>
      <c r="K12" s="98" t="s">
        <v>531</v>
      </c>
      <c r="L12" s="96"/>
      <c r="M12" s="110" t="s">
        <v>532</v>
      </c>
      <c r="N12" s="117" t="s">
        <v>551</v>
      </c>
      <c r="O12" s="110"/>
      <c r="P12" s="110"/>
      <c r="Q12" s="118"/>
      <c r="R12" s="110"/>
      <c r="S12" s="110"/>
      <c r="T12" s="110"/>
      <c r="U12" s="110" t="s">
        <v>534</v>
      </c>
      <c r="V12" s="119"/>
      <c r="W12" s="119" t="n">
        <v>3700</v>
      </c>
      <c r="X12" s="110" t="s">
        <v>535</v>
      </c>
      <c r="Y12" s="110"/>
      <c r="Z12" s="110"/>
      <c r="AA12" s="110" t="s">
        <v>537</v>
      </c>
      <c r="AB12" s="110" t="s">
        <v>490</v>
      </c>
      <c r="AC12" s="110" t="s">
        <v>538</v>
      </c>
      <c r="AD12" s="119" t="n">
        <f aca="false">IF(ISNUMBER(F12),IF(G12=AB12,F12,IF(AND(ISNUMBER(INDEX(Sources!$G$7:$G$10,MATCH(G12,Sources!$B$7:$B$10,0))),ISNUMBER(INDEX(Sources!$G$7:$G$10,MATCH(AB12,Sources!$B$7:$B$10,0)))),F12/INDEX(Sources!$G$7:$G$10,MATCH(G12,Sources!$B$7:$B$10,0))*INDEX(Sources!$G$7:$G$10,MATCH(AB12,Sources!$B$7:$B$10,0)),"")),"")</f>
        <v>3700</v>
      </c>
      <c r="AE12" s="110" t="str">
        <f aca="false">IF(AND(AC12="yes",ISNUMBER(F12),IF(Compare!$H$5="All mapped",TRUE(),IF(Compare!$H$5="EXACT only",J12="EXACT",OR(J12="EXACT",J12="CLOSE")))),"yes","no")</f>
        <v>yes</v>
      </c>
      <c r="AF12" s="110" t="n">
        <f aca="false">IF(ISNUMBER(H12),COUNTIFS($B$7:$B$3000,B12,$C$7:$C$3000,C12,$H$7:$H$3000,"&lt;"&amp;H12,$AH$7:$AH$3000,"yes")+COUNTIFS($B$7:B12,B12,$C$7:C12,C12,$H$7:H12,H12,$AH$7:AH12,"yes"),"")</f>
        <v>2</v>
      </c>
      <c r="AG12" s="110" t="n">
        <f aca="false">IF(ISNUMBER(I12),COUNTIFS($B$7:$B$3000,B12,$C$7:$C$3000,C12,$I$7:$I$3000,"&lt;"&amp;I12,$AI$7:$AI$3000,"yes")+COUNTIFS($B$7:B12,B12,$C$7:C12,C12,$I$7:I12,I12,$AI$7:AI12,"yes"),"")</f>
        <v>2</v>
      </c>
      <c r="AH12" s="110" t="str">
        <f aca="false">IF(ISNUMBER(H12),"yes","no")</f>
        <v>yes</v>
      </c>
      <c r="AI12" s="110" t="str">
        <f aca="false">IF(ISNUMBER(I12),"yes","no")</f>
        <v>yes</v>
      </c>
      <c r="AJ12" s="120" t="n">
        <v>46181</v>
      </c>
      <c r="AK12" s="110"/>
    </row>
    <row r="13" customFormat="false" ht="42" hidden="false" customHeight="true" outlineLevel="0" collapsed="false">
      <c r="A13" s="3"/>
      <c r="B13" s="31" t="s">
        <v>9</v>
      </c>
      <c r="C13" s="91" t="s">
        <v>14</v>
      </c>
      <c r="D13" s="91" t="s">
        <v>378</v>
      </c>
      <c r="E13" s="109" t="s">
        <v>552</v>
      </c>
      <c r="F13" s="92" t="n">
        <v>67.56</v>
      </c>
      <c r="G13" s="91" t="s">
        <v>374</v>
      </c>
      <c r="H13" s="112" t="n">
        <f aca="false">IF(AND(AE13="yes",ISNUMBER(AD13)),AD13,"")</f>
        <v>67.56</v>
      </c>
      <c r="I13" s="95" t="n">
        <f aca="false">IF(AND(AE13="yes",ISNUMBER(AD13),ISNUMBER(INDEX(Sources!$G$7:$G$10,MATCH(AB13,Sources!$B$7:$B$10,0)))),ROUND(AD13/INDEX(Sources!$G$7:$G$10,MATCH(AB13,Sources!$B$7:$B$10,0)),6),"")</f>
        <v>12.801172</v>
      </c>
      <c r="J13" s="91" t="s">
        <v>530</v>
      </c>
      <c r="K13" s="91" t="s">
        <v>553</v>
      </c>
      <c r="L13" s="96"/>
      <c r="M13" s="109" t="s">
        <v>554</v>
      </c>
      <c r="N13" s="113" t="s">
        <v>555</v>
      </c>
      <c r="O13" s="109"/>
      <c r="P13" s="109"/>
      <c r="Q13" s="114"/>
      <c r="R13" s="109"/>
      <c r="S13" s="109"/>
      <c r="T13" s="109"/>
      <c r="U13" s="109" t="s">
        <v>534</v>
      </c>
      <c r="V13" s="115"/>
      <c r="W13" s="115" t="n">
        <v>13.512</v>
      </c>
      <c r="X13" s="109" t="s">
        <v>556</v>
      </c>
      <c r="Y13" s="109" t="s">
        <v>557</v>
      </c>
      <c r="Z13" s="109"/>
      <c r="AA13" s="109"/>
      <c r="AB13" s="109" t="s">
        <v>374</v>
      </c>
      <c r="AC13" s="109" t="s">
        <v>538</v>
      </c>
      <c r="AD13" s="115" t="n">
        <f aca="false">IF(ISNUMBER(F13),IF(G13=AB13,F13,IF(AND(ISNUMBER(INDEX(Sources!$G$7:$G$10,MATCH(G13,Sources!$B$7:$B$10,0))),ISNUMBER(INDEX(Sources!$G$7:$G$10,MATCH(AB13,Sources!$B$7:$B$10,0)))),F13/INDEX(Sources!$G$7:$G$10,MATCH(G13,Sources!$B$7:$B$10,0))*INDEX(Sources!$G$7:$G$10,MATCH(AB13,Sources!$B$7:$B$10,0)),"")),"")</f>
        <v>67.56</v>
      </c>
      <c r="AE13" s="109" t="str">
        <f aca="false">IF(AND(AC13="yes",ISNUMBER(F13),IF(Compare!$H$5="All mapped",TRUE(),IF(Compare!$H$5="EXACT only",J13="EXACT",OR(J13="EXACT",J13="CLOSE")))),"yes","no")</f>
        <v>yes</v>
      </c>
      <c r="AF13" s="109" t="n">
        <f aca="false">IF(ISNUMBER(H13),COUNTIFS($B$7:$B$3000,B13,$C$7:$C$3000,C13,$H$7:$H$3000,"&lt;"&amp;H13,$AH$7:$AH$3000,"yes")+COUNTIFS($B$7:B13,B13,$C$7:C13,C13,$H$7:H13,H13,$AH$7:AH13,"yes"),"")</f>
        <v>9</v>
      </c>
      <c r="AG13" s="109" t="n">
        <f aca="false">IF(ISNUMBER(I13),COUNTIFS($B$7:$B$3000,B13,$C$7:$C$3000,C13,$I$7:$I$3000,"&lt;"&amp;I13,$AI$7:$AI$3000,"yes")+COUNTIFS($B$7:B13,B13,$C$7:C13,C13,$I$7:I13,I13,$AI$7:AI13,"yes"),"")</f>
        <v>9</v>
      </c>
      <c r="AH13" s="109" t="str">
        <f aca="false">IF(ISNUMBER(H13),"yes","no")</f>
        <v>yes</v>
      </c>
      <c r="AI13" s="109" t="str">
        <f aca="false">IF(ISNUMBER(I13),"yes","no")</f>
        <v>yes</v>
      </c>
      <c r="AJ13" s="116" t="n">
        <v>46204</v>
      </c>
      <c r="AK13" s="109"/>
    </row>
    <row r="14" customFormat="false" ht="42" hidden="false" customHeight="true" outlineLevel="0" collapsed="false">
      <c r="A14" s="3"/>
      <c r="B14" s="36" t="s">
        <v>9</v>
      </c>
      <c r="C14" s="98" t="s">
        <v>14</v>
      </c>
      <c r="D14" s="98" t="s">
        <v>378</v>
      </c>
      <c r="E14" s="110" t="s">
        <v>558</v>
      </c>
      <c r="F14" s="99" t="n">
        <v>62.43</v>
      </c>
      <c r="G14" s="98" t="s">
        <v>374</v>
      </c>
      <c r="H14" s="112" t="n">
        <f aca="false">IF(AND(AE14="yes",ISNUMBER(AD14)),AD14,"")</f>
        <v>62.43</v>
      </c>
      <c r="I14" s="95" t="n">
        <f aca="false">IF(AND(AE14="yes",ISNUMBER(AD14),ISNUMBER(INDEX(Sources!$G$7:$G$10,MATCH(AB14,Sources!$B$7:$B$10,0)))),ROUND(AD14/INDEX(Sources!$G$7:$G$10,MATCH(AB14,Sources!$B$7:$B$10,0)),6),"")</f>
        <v>11.829147</v>
      </c>
      <c r="J14" s="98" t="s">
        <v>530</v>
      </c>
      <c r="K14" s="98" t="s">
        <v>559</v>
      </c>
      <c r="L14" s="96"/>
      <c r="M14" s="110" t="s">
        <v>554</v>
      </c>
      <c r="N14" s="117" t="s">
        <v>560</v>
      </c>
      <c r="O14" s="110"/>
      <c r="P14" s="110"/>
      <c r="Q14" s="118"/>
      <c r="R14" s="110"/>
      <c r="S14" s="110"/>
      <c r="T14" s="110"/>
      <c r="U14" s="110" t="s">
        <v>534</v>
      </c>
      <c r="V14" s="119"/>
      <c r="W14" s="119" t="n">
        <v>12.486</v>
      </c>
      <c r="X14" s="110" t="s">
        <v>556</v>
      </c>
      <c r="Y14" s="110" t="s">
        <v>557</v>
      </c>
      <c r="Z14" s="110"/>
      <c r="AA14" s="110"/>
      <c r="AB14" s="110" t="s">
        <v>374</v>
      </c>
      <c r="AC14" s="110" t="s">
        <v>538</v>
      </c>
      <c r="AD14" s="119" t="n">
        <f aca="false">IF(ISNUMBER(F14),IF(G14=AB14,F14,IF(AND(ISNUMBER(INDEX(Sources!$G$7:$G$10,MATCH(G14,Sources!$B$7:$B$10,0))),ISNUMBER(INDEX(Sources!$G$7:$G$10,MATCH(AB14,Sources!$B$7:$B$10,0)))),F14/INDEX(Sources!$G$7:$G$10,MATCH(G14,Sources!$B$7:$B$10,0))*INDEX(Sources!$G$7:$G$10,MATCH(AB14,Sources!$B$7:$B$10,0)),"")),"")</f>
        <v>62.43</v>
      </c>
      <c r="AE14" s="110" t="str">
        <f aca="false">IF(AND(AC14="yes",ISNUMBER(F14),IF(Compare!$H$5="All mapped",TRUE(),IF(Compare!$H$5="EXACT only",J14="EXACT",OR(J14="EXACT",J14="CLOSE")))),"yes","no")</f>
        <v>yes</v>
      </c>
      <c r="AF14" s="110" t="n">
        <f aca="false">IF(ISNUMBER(H14),COUNTIFS($B$7:$B$3000,B14,$C$7:$C$3000,C14,$H$7:$H$3000,"&lt;"&amp;H14,$AH$7:$AH$3000,"yes")+COUNTIFS($B$7:B14,B14,$C$7:C14,C14,$H$7:H14,H14,$AH$7:AH14,"yes"),"")</f>
        <v>7</v>
      </c>
      <c r="AG14" s="110" t="n">
        <f aca="false">IF(ISNUMBER(I14),COUNTIFS($B$7:$B$3000,B14,$C$7:$C$3000,C14,$I$7:$I$3000,"&lt;"&amp;I14,$AI$7:$AI$3000,"yes")+COUNTIFS($B$7:B14,B14,$C$7:C14,C14,$I$7:I14,I14,$AI$7:AI14,"yes"),"")</f>
        <v>7</v>
      </c>
      <c r="AH14" s="110" t="str">
        <f aca="false">IF(ISNUMBER(H14),"yes","no")</f>
        <v>yes</v>
      </c>
      <c r="AI14" s="110" t="str">
        <f aca="false">IF(ISNUMBER(I14),"yes","no")</f>
        <v>yes</v>
      </c>
      <c r="AJ14" s="120" t="n">
        <v>46207</v>
      </c>
      <c r="AK14" s="110"/>
    </row>
    <row r="15" customFormat="false" ht="48.75" hidden="false" customHeight="true" outlineLevel="0" collapsed="false">
      <c r="A15" s="3"/>
      <c r="B15" s="31" t="s">
        <v>9</v>
      </c>
      <c r="C15" s="91" t="s">
        <v>14</v>
      </c>
      <c r="D15" s="91" t="s">
        <v>346</v>
      </c>
      <c r="E15" s="109" t="s">
        <v>561</v>
      </c>
      <c r="F15" s="92" t="n">
        <v>91.9</v>
      </c>
      <c r="G15" s="91" t="s">
        <v>374</v>
      </c>
      <c r="H15" s="112" t="n">
        <f aca="false">IF(AND(AE15="yes",ISNUMBER(AD15)),AD15,"")</f>
        <v>91.9</v>
      </c>
      <c r="I15" s="95" t="n">
        <f aca="false">IF(AND(AE15="yes",ISNUMBER(AD15),ISNUMBER(INDEX(Sources!$G$7:$G$10,MATCH(AB15,Sources!$B$7:$B$10,0)))),ROUND(AD15/INDEX(Sources!$G$7:$G$10,MATCH(AB15,Sources!$B$7:$B$10,0)),6),"")</f>
        <v>17.413081</v>
      </c>
      <c r="J15" s="91" t="s">
        <v>530</v>
      </c>
      <c r="K15" s="91" t="s">
        <v>562</v>
      </c>
      <c r="L15" s="96"/>
      <c r="M15" s="109" t="s">
        <v>563</v>
      </c>
      <c r="N15" s="113" t="s">
        <v>564</v>
      </c>
      <c r="O15" s="109" t="s">
        <v>565</v>
      </c>
      <c r="P15" s="109"/>
      <c r="Q15" s="114"/>
      <c r="R15" s="109"/>
      <c r="S15" s="109"/>
      <c r="T15" s="109"/>
      <c r="U15" s="109" t="s">
        <v>534</v>
      </c>
      <c r="V15" s="115"/>
      <c r="W15" s="115" t="n">
        <v>26.596</v>
      </c>
      <c r="X15" s="109" t="s">
        <v>556</v>
      </c>
      <c r="Y15" s="109" t="s">
        <v>557</v>
      </c>
      <c r="Z15" s="109"/>
      <c r="AA15" s="109"/>
      <c r="AB15" s="109" t="s">
        <v>374</v>
      </c>
      <c r="AC15" s="109" t="s">
        <v>538</v>
      </c>
      <c r="AD15" s="115" t="n">
        <f aca="false">IF(ISNUMBER(F15),IF(G15=AB15,F15,IF(AND(ISNUMBER(INDEX(Sources!$G$7:$G$10,MATCH(G15,Sources!$B$7:$B$10,0))),ISNUMBER(INDEX(Sources!$G$7:$G$10,MATCH(AB15,Sources!$B$7:$B$10,0)))),F15/INDEX(Sources!$G$7:$G$10,MATCH(G15,Sources!$B$7:$B$10,0))*INDEX(Sources!$G$7:$G$10,MATCH(AB15,Sources!$B$7:$B$10,0)),"")),"")</f>
        <v>91.9</v>
      </c>
      <c r="AE15" s="109" t="str">
        <f aca="false">IF(AND(AC15="yes",ISNUMBER(F15),IF(Compare!$H$5="All mapped",TRUE(),IF(Compare!$H$5="EXACT only",J15="EXACT",OR(J15="EXACT",J15="CLOSE")))),"yes","no")</f>
        <v>yes</v>
      </c>
      <c r="AF15" s="109" t="n">
        <f aca="false">IF(ISNUMBER(H15),COUNTIFS($B$7:$B$3000,B15,$C$7:$C$3000,C15,$H$7:$H$3000,"&lt;"&amp;H15,$AH$7:$AH$3000,"yes")+COUNTIFS($B$7:B15,B15,$C$7:C15,C15,$H$7:H15,H15,$AH$7:AH15,"yes"),"")</f>
        <v>11</v>
      </c>
      <c r="AG15" s="109" t="n">
        <f aca="false">IF(ISNUMBER(I15),COUNTIFS($B$7:$B$3000,B15,$C$7:$C$3000,C15,$I$7:$I$3000,"&lt;"&amp;I15,$AI$7:$AI$3000,"yes")+COUNTIFS($B$7:B15,B15,$C$7:C15,C15,$I$7:I15,I15,$AI$7:AI15,"yes"),"")</f>
        <v>11</v>
      </c>
      <c r="AH15" s="109" t="str">
        <f aca="false">IF(ISNUMBER(H15),"yes","no")</f>
        <v>yes</v>
      </c>
      <c r="AI15" s="109" t="str">
        <f aca="false">IF(ISNUMBER(I15),"yes","no")</f>
        <v>yes</v>
      </c>
      <c r="AJ15" s="116" t="n">
        <v>46295</v>
      </c>
      <c r="AK15" s="109"/>
    </row>
    <row r="16" customFormat="false" ht="42" hidden="false" customHeight="true" outlineLevel="0" collapsed="false">
      <c r="A16" s="3"/>
      <c r="B16" s="36" t="s">
        <v>9</v>
      </c>
      <c r="C16" s="98" t="s">
        <v>14</v>
      </c>
      <c r="D16" s="98" t="s">
        <v>388</v>
      </c>
      <c r="E16" s="110" t="s">
        <v>561</v>
      </c>
      <c r="F16" s="99" t="n">
        <v>52.68</v>
      </c>
      <c r="G16" s="98" t="s">
        <v>374</v>
      </c>
      <c r="H16" s="112" t="n">
        <f aca="false">IF(AND(AE16="yes",ISNUMBER(AD16)),AD16,"")</f>
        <v>52.68</v>
      </c>
      <c r="I16" s="95" t="n">
        <f aca="false">IF(AND(AE16="yes",ISNUMBER(AD16),ISNUMBER(INDEX(Sources!$G$7:$G$10,MATCH(AB16,Sources!$B$7:$B$10,0)))),ROUND(AD16/INDEX(Sources!$G$7:$G$10,MATCH(AB16,Sources!$B$7:$B$10,0)),6),"")</f>
        <v>9.981731</v>
      </c>
      <c r="J16" s="98" t="s">
        <v>530</v>
      </c>
      <c r="K16" s="98" t="s">
        <v>566</v>
      </c>
      <c r="L16" s="96"/>
      <c r="M16" s="110" t="s">
        <v>554</v>
      </c>
      <c r="N16" s="117" t="s">
        <v>567</v>
      </c>
      <c r="O16" s="110" t="s">
        <v>388</v>
      </c>
      <c r="P16" s="110"/>
      <c r="Q16" s="118"/>
      <c r="R16" s="110"/>
      <c r="S16" s="110"/>
      <c r="T16" s="110"/>
      <c r="U16" s="110" t="s">
        <v>568</v>
      </c>
      <c r="V16" s="119"/>
      <c r="W16" s="119" t="n">
        <v>10.536</v>
      </c>
      <c r="X16" s="110" t="s">
        <v>556</v>
      </c>
      <c r="Y16" s="110" t="s">
        <v>557</v>
      </c>
      <c r="Z16" s="110"/>
      <c r="AA16" s="110"/>
      <c r="AB16" s="110" t="s">
        <v>374</v>
      </c>
      <c r="AC16" s="110" t="s">
        <v>538</v>
      </c>
      <c r="AD16" s="119" t="n">
        <f aca="false">IF(ISNUMBER(F16),IF(G16=AB16,F16,IF(AND(ISNUMBER(INDEX(Sources!$G$7:$G$10,MATCH(G16,Sources!$B$7:$B$10,0))),ISNUMBER(INDEX(Sources!$G$7:$G$10,MATCH(AB16,Sources!$B$7:$B$10,0)))),F16/INDEX(Sources!$G$7:$G$10,MATCH(G16,Sources!$B$7:$B$10,0))*INDEX(Sources!$G$7:$G$10,MATCH(AB16,Sources!$B$7:$B$10,0)),"")),"")</f>
        <v>52.68</v>
      </c>
      <c r="AE16" s="110" t="str">
        <f aca="false">IF(AND(AC16="yes",ISNUMBER(F16),IF(Compare!$H$5="All mapped",TRUE(),IF(Compare!$H$5="EXACT only",J16="EXACT",OR(J16="EXACT",J16="CLOSE")))),"yes","no")</f>
        <v>yes</v>
      </c>
      <c r="AF16" s="110" t="n">
        <f aca="false">IF(ISNUMBER(H16),COUNTIFS($B$7:$B$3000,B16,$C$7:$C$3000,C16,$H$7:$H$3000,"&lt;"&amp;H16,$AH$7:$AH$3000,"yes")+COUNTIFS($B$7:B16,B16,$C$7:C16,C16,$H$7:H16,H16,$AH$7:AH16,"yes"),"")</f>
        <v>5</v>
      </c>
      <c r="AG16" s="110" t="n">
        <f aca="false">IF(ISNUMBER(I16),COUNTIFS($B$7:$B$3000,B16,$C$7:$C$3000,C16,$I$7:$I$3000,"&lt;"&amp;I16,$AI$7:$AI$3000,"yes")+COUNTIFS($B$7:B16,B16,$C$7:C16,C16,$I$7:I16,I16,$AI$7:AI16,"yes"),"")</f>
        <v>5</v>
      </c>
      <c r="AH16" s="110" t="str">
        <f aca="false">IF(ISNUMBER(H16),"yes","no")</f>
        <v>yes</v>
      </c>
      <c r="AI16" s="110" t="str">
        <f aca="false">IF(ISNUMBER(I16),"yes","no")</f>
        <v>yes</v>
      </c>
      <c r="AJ16" s="120" t="n">
        <v>46203</v>
      </c>
      <c r="AK16" s="110"/>
    </row>
    <row r="17" customFormat="false" ht="42" hidden="false" customHeight="true" outlineLevel="0" collapsed="false">
      <c r="A17" s="3"/>
      <c r="B17" s="31" t="s">
        <v>9</v>
      </c>
      <c r="C17" s="91" t="s">
        <v>14</v>
      </c>
      <c r="D17" s="91" t="s">
        <v>388</v>
      </c>
      <c r="E17" s="109" t="s">
        <v>558</v>
      </c>
      <c r="F17" s="92" t="n">
        <v>68.9</v>
      </c>
      <c r="G17" s="91" t="s">
        <v>374</v>
      </c>
      <c r="H17" s="112" t="n">
        <f aca="false">IF(AND(AE17="yes",ISNUMBER(AD17)),AD17,"")</f>
        <v>68.9</v>
      </c>
      <c r="I17" s="95" t="n">
        <f aca="false">IF(AND(AE17="yes",ISNUMBER(AD17),ISNUMBER(INDEX(Sources!$G$7:$G$10,MATCH(AB17,Sources!$B$7:$B$10,0)))),ROUND(AD17/INDEX(Sources!$G$7:$G$10,MATCH(AB17,Sources!$B$7:$B$10,0)),6),"")</f>
        <v>13.055074</v>
      </c>
      <c r="J17" s="91" t="s">
        <v>530</v>
      </c>
      <c r="K17" s="91" t="s">
        <v>559</v>
      </c>
      <c r="L17" s="96"/>
      <c r="M17" s="109" t="s">
        <v>554</v>
      </c>
      <c r="N17" s="113" t="s">
        <v>567</v>
      </c>
      <c r="O17" s="109" t="s">
        <v>388</v>
      </c>
      <c r="P17" s="109"/>
      <c r="Q17" s="114"/>
      <c r="R17" s="109"/>
      <c r="S17" s="109"/>
      <c r="T17" s="109"/>
      <c r="U17" s="109" t="s">
        <v>534</v>
      </c>
      <c r="V17" s="115"/>
      <c r="W17" s="115" t="n">
        <v>13.78</v>
      </c>
      <c r="X17" s="109" t="s">
        <v>556</v>
      </c>
      <c r="Y17" s="109" t="s">
        <v>557</v>
      </c>
      <c r="Z17" s="109"/>
      <c r="AA17" s="109"/>
      <c r="AB17" s="109" t="s">
        <v>374</v>
      </c>
      <c r="AC17" s="109" t="s">
        <v>538</v>
      </c>
      <c r="AD17" s="115" t="n">
        <f aca="false">IF(ISNUMBER(F17),IF(G17=AB17,F17,IF(AND(ISNUMBER(INDEX(Sources!$G$7:$G$10,MATCH(G17,Sources!$B$7:$B$10,0))),ISNUMBER(INDEX(Sources!$G$7:$G$10,MATCH(AB17,Sources!$B$7:$B$10,0)))),F17/INDEX(Sources!$G$7:$G$10,MATCH(G17,Sources!$B$7:$B$10,0))*INDEX(Sources!$G$7:$G$10,MATCH(AB17,Sources!$B$7:$B$10,0)),"")),"")</f>
        <v>68.9</v>
      </c>
      <c r="AE17" s="109" t="str">
        <f aca="false">IF(AND(AC17="yes",ISNUMBER(F17),IF(Compare!$H$5="All mapped",TRUE(),IF(Compare!$H$5="EXACT only",J17="EXACT",OR(J17="EXACT",J17="CLOSE")))),"yes","no")</f>
        <v>yes</v>
      </c>
      <c r="AF17" s="109" t="n">
        <f aca="false">IF(ISNUMBER(H17),COUNTIFS($B$7:$B$3000,B17,$C$7:$C$3000,C17,$H$7:$H$3000,"&lt;"&amp;H17,$AH$7:$AH$3000,"yes")+COUNTIFS($B$7:B17,B17,$C$7:C17,C17,$H$7:H17,H17,$AH$7:AH17,"yes"),"")</f>
        <v>10</v>
      </c>
      <c r="AG17" s="109" t="n">
        <f aca="false">IF(ISNUMBER(I17),COUNTIFS($B$7:$B$3000,B17,$C$7:$C$3000,C17,$I$7:$I$3000,"&lt;"&amp;I17,$AI$7:$AI$3000,"yes")+COUNTIFS($B$7:B17,B17,$C$7:C17,C17,$I$7:I17,I17,$AI$7:AI17,"yes"),"")</f>
        <v>10</v>
      </c>
      <c r="AH17" s="109" t="str">
        <f aca="false">IF(ISNUMBER(H17),"yes","no")</f>
        <v>yes</v>
      </c>
      <c r="AI17" s="109" t="str">
        <f aca="false">IF(ISNUMBER(I17),"yes","no")</f>
        <v>yes</v>
      </c>
      <c r="AJ17" s="116" t="n">
        <v>46207</v>
      </c>
      <c r="AK17" s="109"/>
    </row>
    <row r="18" customFormat="false" ht="48.75" hidden="false" customHeight="true" outlineLevel="0" collapsed="false">
      <c r="A18" s="3"/>
      <c r="B18" s="36" t="s">
        <v>9</v>
      </c>
      <c r="C18" s="98" t="s">
        <v>14</v>
      </c>
      <c r="D18" s="98" t="s">
        <v>395</v>
      </c>
      <c r="E18" s="110" t="s">
        <v>529</v>
      </c>
      <c r="F18" s="99" t="n">
        <v>8</v>
      </c>
      <c r="G18" s="98" t="s">
        <v>244</v>
      </c>
      <c r="H18" s="112" t="n">
        <f aca="false">IF(AND(AE18="yes",ISNUMBER(AD18)),AD18,"")</f>
        <v>42.2211330546346</v>
      </c>
      <c r="I18" s="95" t="n">
        <f aca="false">IF(AND(AE18="yes",ISNUMBER(AD18),ISNUMBER(INDEX(Sources!$G$7:$G$10,MATCH(AB18,Sources!$B$7:$B$10,0)))),ROUND(AD18/INDEX(Sources!$G$7:$G$10,MATCH(AB18,Sources!$B$7:$B$10,0)),6),"")</f>
        <v>8</v>
      </c>
      <c r="J18" s="98" t="s">
        <v>530</v>
      </c>
      <c r="K18" s="98" t="s">
        <v>569</v>
      </c>
      <c r="L18" s="96"/>
      <c r="M18" s="110" t="s">
        <v>570</v>
      </c>
      <c r="N18" s="117" t="s">
        <v>571</v>
      </c>
      <c r="O18" s="110" t="s">
        <v>572</v>
      </c>
      <c r="P18" s="110"/>
      <c r="Q18" s="118"/>
      <c r="R18" s="110"/>
      <c r="S18" s="110"/>
      <c r="T18" s="110"/>
      <c r="U18" s="110" t="s">
        <v>534</v>
      </c>
      <c r="V18" s="119"/>
      <c r="W18" s="119" t="n">
        <v>8.41</v>
      </c>
      <c r="X18" s="110" t="s">
        <v>556</v>
      </c>
      <c r="Y18" s="110" t="s">
        <v>557</v>
      </c>
      <c r="Z18" s="110"/>
      <c r="AA18" s="110"/>
      <c r="AB18" s="110" t="s">
        <v>374</v>
      </c>
      <c r="AC18" s="110" t="s">
        <v>538</v>
      </c>
      <c r="AD18" s="110" t="n">
        <f aca="false">IF(ISNUMBER(F18),IF(G18=AB18,F18,IF(AND(ISNUMBER(INDEX(Sources!$G$7:$G$10,MATCH(G18,Sources!$B$7:$B$10,0))),ISNUMBER(INDEX(Sources!$G$7:$G$10,MATCH(AB18,Sources!$B$7:$B$10,0)))),F18/INDEX(Sources!$G$7:$G$10,MATCH(G18,Sources!$B$7:$B$10,0))*INDEX(Sources!$G$7:$G$10,MATCH(AB18,Sources!$B$7:$B$10,0)),"")),"")</f>
        <v>42.2211330546346</v>
      </c>
      <c r="AE18" s="110" t="str">
        <f aca="false">IF(AND(AC18="yes",ISNUMBER(F18),IF(Compare!$H$5="All mapped",TRUE(),IF(Compare!$H$5="EXACT only",J18="EXACT",OR(J18="EXACT",J18="CLOSE")))),"yes","no")</f>
        <v>yes</v>
      </c>
      <c r="AF18" s="110" t="n">
        <f aca="false">IF(ISNUMBER(H18),COUNTIFS($B$7:$B$3000,B18,$C$7:$C$3000,C18,$H$7:$H$3000,"&lt;"&amp;H18,$AH$7:$AH$3000,"yes")+COUNTIFS($B$7:B18,B18,$C$7:C18,C18,$H$7:H18,H18,$AH$7:AH18,"yes"),"")</f>
        <v>1</v>
      </c>
      <c r="AG18" s="110" t="n">
        <f aca="false">IF(ISNUMBER(I18),COUNTIFS($B$7:$B$3000,B18,$C$7:$C$3000,C18,$I$7:$I$3000,"&lt;"&amp;I18,$AI$7:$AI$3000,"yes")+COUNTIFS($B$7:B18,B18,$C$7:C18,C18,$I$7:I18,I18,$AI$7:AI18,"yes"),"")</f>
        <v>1</v>
      </c>
      <c r="AH18" s="110" t="str">
        <f aca="false">IF(ISNUMBER(H18),"yes","no")</f>
        <v>yes</v>
      </c>
      <c r="AI18" s="110" t="str">
        <f aca="false">IF(ISNUMBER(I18),"yes","no")</f>
        <v>yes</v>
      </c>
      <c r="AJ18" s="120" t="n">
        <v>46277</v>
      </c>
      <c r="AK18" s="110"/>
    </row>
    <row r="19" customFormat="false" ht="48.75" hidden="false" customHeight="true" outlineLevel="0" collapsed="false">
      <c r="A19" s="3"/>
      <c r="B19" s="31" t="s">
        <v>9</v>
      </c>
      <c r="C19" s="91" t="s">
        <v>14</v>
      </c>
      <c r="D19" s="91" t="s">
        <v>395</v>
      </c>
      <c r="E19" s="109" t="s">
        <v>573</v>
      </c>
      <c r="F19" s="92" t="n">
        <v>8</v>
      </c>
      <c r="G19" s="91" t="s">
        <v>244</v>
      </c>
      <c r="H19" s="112" t="n">
        <f aca="false">IF(AND(AE19="yes",ISNUMBER(AD19)),AD19,"")</f>
        <v>42.2211330546346</v>
      </c>
      <c r="I19" s="95" t="n">
        <f aca="false">IF(AND(AE19="yes",ISNUMBER(AD19),ISNUMBER(INDEX(Sources!$G$7:$G$10,MATCH(AB19,Sources!$B$7:$B$10,0)))),ROUND(AD19/INDEX(Sources!$G$7:$G$10,MATCH(AB19,Sources!$B$7:$B$10,0)),6),"")</f>
        <v>8</v>
      </c>
      <c r="J19" s="91" t="s">
        <v>530</v>
      </c>
      <c r="K19" s="91" t="s">
        <v>569</v>
      </c>
      <c r="L19" s="96"/>
      <c r="M19" s="109" t="s">
        <v>570</v>
      </c>
      <c r="N19" s="113" t="s">
        <v>574</v>
      </c>
      <c r="O19" s="109" t="s">
        <v>572</v>
      </c>
      <c r="P19" s="109"/>
      <c r="Q19" s="114"/>
      <c r="R19" s="109"/>
      <c r="S19" s="109"/>
      <c r="T19" s="109"/>
      <c r="U19" s="109" t="s">
        <v>534</v>
      </c>
      <c r="V19" s="115"/>
      <c r="W19" s="115" t="n">
        <v>8.41</v>
      </c>
      <c r="X19" s="109" t="s">
        <v>556</v>
      </c>
      <c r="Y19" s="109" t="s">
        <v>557</v>
      </c>
      <c r="Z19" s="109"/>
      <c r="AA19" s="109"/>
      <c r="AB19" s="109" t="s">
        <v>374</v>
      </c>
      <c r="AC19" s="109" t="s">
        <v>538</v>
      </c>
      <c r="AD19" s="109" t="n">
        <f aca="false">IF(ISNUMBER(F19),IF(G19=AB19,F19,IF(AND(ISNUMBER(INDEX(Sources!$G$7:$G$10,MATCH(G19,Sources!$B$7:$B$10,0))),ISNUMBER(INDEX(Sources!$G$7:$G$10,MATCH(AB19,Sources!$B$7:$B$10,0)))),F19/INDEX(Sources!$G$7:$G$10,MATCH(G19,Sources!$B$7:$B$10,0))*INDEX(Sources!$G$7:$G$10,MATCH(AB19,Sources!$B$7:$B$10,0)),"")),"")</f>
        <v>42.2211330546346</v>
      </c>
      <c r="AE19" s="109" t="str">
        <f aca="false">IF(AND(AC19="yes",ISNUMBER(F19),IF(Compare!$H$5="All mapped",TRUE(),IF(Compare!$H$5="EXACT only",J19="EXACT",OR(J19="EXACT",J19="CLOSE")))),"yes","no")</f>
        <v>yes</v>
      </c>
      <c r="AF19" s="109" t="n">
        <f aca="false">IF(ISNUMBER(H19),COUNTIFS($B$7:$B$3000,B19,$C$7:$C$3000,C19,$H$7:$H$3000,"&lt;"&amp;H19,$AH$7:$AH$3000,"yes")+COUNTIFS($B$7:B19,B19,$C$7:C19,C19,$H$7:H19,H19,$AH$7:AH19,"yes"),"")</f>
        <v>2</v>
      </c>
      <c r="AG19" s="109" t="n">
        <f aca="false">IF(ISNUMBER(I19),COUNTIFS($B$7:$B$3000,B19,$C$7:$C$3000,C19,$I$7:$I$3000,"&lt;"&amp;I19,$AI$7:$AI$3000,"yes")+COUNTIFS($B$7:B19,B19,$C$7:C19,C19,$I$7:I19,I19,$AI$7:AI19,"yes"),"")</f>
        <v>2</v>
      </c>
      <c r="AH19" s="109" t="str">
        <f aca="false">IF(ISNUMBER(H19),"yes","no")</f>
        <v>yes</v>
      </c>
      <c r="AI19" s="109" t="str">
        <f aca="false">IF(ISNUMBER(I19),"yes","no")</f>
        <v>yes</v>
      </c>
      <c r="AJ19" s="116" t="n">
        <v>46277</v>
      </c>
      <c r="AK19" s="109"/>
    </row>
    <row r="20" customFormat="false" ht="42" hidden="false" customHeight="true" outlineLevel="0" collapsed="false">
      <c r="A20" s="3"/>
      <c r="B20" s="36" t="s">
        <v>9</v>
      </c>
      <c r="C20" s="98" t="s">
        <v>14</v>
      </c>
      <c r="D20" s="98" t="s">
        <v>415</v>
      </c>
      <c r="E20" s="110" t="s">
        <v>558</v>
      </c>
      <c r="F20" s="99" t="n">
        <v>8</v>
      </c>
      <c r="G20" s="98" t="s">
        <v>244</v>
      </c>
      <c r="H20" s="112" t="str">
        <f aca="false">IF(AND(AE20="yes",ISNUMBER(AD20)),AD20,"")</f>
        <v/>
      </c>
      <c r="I20" s="95" t="str">
        <f aca="false">IF(AND(AE20="yes",ISNUMBER(AD20),ISNUMBER(INDEX(Sources!$G$7:$G$10,MATCH(AB20,Sources!$B$7:$B$10,0)))),ROUND(AD20/INDEX(Sources!$G$7:$G$10,MATCH(AB20,Sources!$B$7:$B$10,0)),6),"")</f>
        <v/>
      </c>
      <c r="J20" s="98" t="s">
        <v>530</v>
      </c>
      <c r="K20" s="98" t="s">
        <v>559</v>
      </c>
      <c r="L20" s="96"/>
      <c r="M20" s="110" t="s">
        <v>554</v>
      </c>
      <c r="N20" s="117" t="s">
        <v>575</v>
      </c>
      <c r="O20" s="110"/>
      <c r="P20" s="110"/>
      <c r="Q20" s="118"/>
      <c r="R20" s="110"/>
      <c r="S20" s="110"/>
      <c r="T20" s="110"/>
      <c r="U20" s="110" t="s">
        <v>576</v>
      </c>
      <c r="V20" s="119"/>
      <c r="W20" s="119" t="n">
        <v>8</v>
      </c>
      <c r="X20" s="110" t="s">
        <v>556</v>
      </c>
      <c r="Y20" s="110" t="s">
        <v>557</v>
      </c>
      <c r="Z20" s="110"/>
      <c r="AA20" s="110"/>
      <c r="AB20" s="110" t="s">
        <v>374</v>
      </c>
      <c r="AC20" s="110" t="s">
        <v>577</v>
      </c>
      <c r="AD20" s="110" t="n">
        <f aca="false">IF(ISNUMBER(F20),IF(G20=AB20,F20,IF(AND(ISNUMBER(INDEX(Sources!$G$7:$G$10,MATCH(G20,Sources!$B$7:$B$10,0))),ISNUMBER(INDEX(Sources!$G$7:$G$10,MATCH(AB20,Sources!$B$7:$B$10,0)))),F20/INDEX(Sources!$G$7:$G$10,MATCH(G20,Sources!$B$7:$B$10,0))*INDEX(Sources!$G$7:$G$10,MATCH(AB20,Sources!$B$7:$B$10,0)),"")),"")</f>
        <v>42.2211330546346</v>
      </c>
      <c r="AE20" s="110" t="str">
        <f aca="false">IF(AND(AC20="yes",ISNUMBER(F20),IF(Compare!$H$5="All mapped",TRUE(),IF(Compare!$H$5="EXACT only",J20="EXACT",OR(J20="EXACT",J20="CLOSE")))),"yes","no")</f>
        <v>no</v>
      </c>
      <c r="AF20" s="110" t="str">
        <f aca="false">IF(ISNUMBER(H20),COUNTIFS($B$7:$B$3000,B20,$C$7:$C$3000,C20,$H$7:$H$3000,"&lt;"&amp;H20,$AH$7:$AH$3000,"yes")+COUNTIFS($B$7:B20,B20,$C$7:C20,C20,$H$7:H20,H20,$AH$7:AH20,"yes"),"")</f>
        <v/>
      </c>
      <c r="AG20" s="110" t="str">
        <f aca="false">IF(ISNUMBER(I20),COUNTIFS($B$7:$B$3000,B20,$C$7:$C$3000,C20,$I$7:$I$3000,"&lt;"&amp;I20,$AI$7:$AI$3000,"yes")+COUNTIFS($B$7:B20,B20,$C$7:C20,C20,$I$7:I20,I20,$AI$7:AI20,"yes"),"")</f>
        <v/>
      </c>
      <c r="AH20" s="110" t="str">
        <f aca="false">IF(ISNUMBER(H20),"yes","no")</f>
        <v>no</v>
      </c>
      <c r="AI20" s="110" t="str">
        <f aca="false">IF(ISNUMBER(I20),"yes","no")</f>
        <v>no</v>
      </c>
      <c r="AJ20" s="120" t="n">
        <v>46207</v>
      </c>
      <c r="AK20" s="110"/>
    </row>
    <row r="21" customFormat="false" ht="42" hidden="false" customHeight="true" outlineLevel="0" collapsed="false">
      <c r="A21" s="3"/>
      <c r="B21" s="31" t="s">
        <v>9</v>
      </c>
      <c r="C21" s="91" t="s">
        <v>14</v>
      </c>
      <c r="D21" s="91" t="s">
        <v>381</v>
      </c>
      <c r="E21" s="109" t="s">
        <v>573</v>
      </c>
      <c r="F21" s="92" t="n">
        <v>52.93</v>
      </c>
      <c r="G21" s="91" t="s">
        <v>374</v>
      </c>
      <c r="H21" s="112" t="n">
        <f aca="false">IF(AND(AE21="yes",ISNUMBER(AD21)),AD21,"")</f>
        <v>52.93</v>
      </c>
      <c r="I21" s="95" t="n">
        <f aca="false">IF(AND(AE21="yes",ISNUMBER(AD21),ISNUMBER(INDEX(Sources!$G$7:$G$10,MATCH(AB21,Sources!$B$7:$B$10,0)))),ROUND(AD21/INDEX(Sources!$G$7:$G$10,MATCH(AB21,Sources!$B$7:$B$10,0)),6),"")</f>
        <v>10.029101</v>
      </c>
      <c r="J21" s="91" t="s">
        <v>530</v>
      </c>
      <c r="K21" s="91" t="s">
        <v>578</v>
      </c>
      <c r="L21" s="96"/>
      <c r="M21" s="109" t="s">
        <v>554</v>
      </c>
      <c r="N21" s="113" t="s">
        <v>579</v>
      </c>
      <c r="O21" s="109"/>
      <c r="P21" s="109"/>
      <c r="Q21" s="114"/>
      <c r="R21" s="109"/>
      <c r="S21" s="109"/>
      <c r="T21" s="109"/>
      <c r="U21" s="109" t="s">
        <v>534</v>
      </c>
      <c r="V21" s="115"/>
      <c r="W21" s="115" t="n">
        <v>10.586</v>
      </c>
      <c r="X21" s="109" t="s">
        <v>556</v>
      </c>
      <c r="Y21" s="109" t="s">
        <v>557</v>
      </c>
      <c r="Z21" s="109"/>
      <c r="AA21" s="109"/>
      <c r="AB21" s="109" t="s">
        <v>374</v>
      </c>
      <c r="AC21" s="109" t="s">
        <v>538</v>
      </c>
      <c r="AD21" s="115" t="n">
        <f aca="false">IF(ISNUMBER(F21),IF(G21=AB21,F21,IF(AND(ISNUMBER(INDEX(Sources!$G$7:$G$10,MATCH(G21,Sources!$B$7:$B$10,0))),ISNUMBER(INDEX(Sources!$G$7:$G$10,MATCH(AB21,Sources!$B$7:$B$10,0)))),F21/INDEX(Sources!$G$7:$G$10,MATCH(G21,Sources!$B$7:$B$10,0))*INDEX(Sources!$G$7:$G$10,MATCH(AB21,Sources!$B$7:$B$10,0)),"")),"")</f>
        <v>52.93</v>
      </c>
      <c r="AE21" s="109" t="str">
        <f aca="false">IF(AND(AC21="yes",ISNUMBER(F21),IF(Compare!$H$5="All mapped",TRUE(),IF(Compare!$H$5="EXACT only",J21="EXACT",OR(J21="EXACT",J21="CLOSE")))),"yes","no")</f>
        <v>yes</v>
      </c>
      <c r="AF21" s="109" t="n">
        <f aca="false">IF(ISNUMBER(H21),COUNTIFS($B$7:$B$3000,B21,$C$7:$C$3000,C21,$H$7:$H$3000,"&lt;"&amp;H21,$AH$7:$AH$3000,"yes")+COUNTIFS($B$7:B21,B21,$C$7:C21,C21,$H$7:H21,H21,$AH$7:AH21,"yes"),"")</f>
        <v>6</v>
      </c>
      <c r="AG21" s="109" t="n">
        <f aca="false">IF(ISNUMBER(I21),COUNTIFS($B$7:$B$3000,B21,$C$7:$C$3000,C21,$I$7:$I$3000,"&lt;"&amp;I21,$AI$7:$AI$3000,"yes")+COUNTIFS($B$7:B21,B21,$C$7:C21,C21,$I$7:I21,I21,$AI$7:AI21,"yes"),"")</f>
        <v>6</v>
      </c>
      <c r="AH21" s="109" t="str">
        <f aca="false">IF(ISNUMBER(H21),"yes","no")</f>
        <v>yes</v>
      </c>
      <c r="AI21" s="109" t="str">
        <f aca="false">IF(ISNUMBER(I21),"yes","no")</f>
        <v>yes</v>
      </c>
      <c r="AJ21" s="116" t="n">
        <v>46205</v>
      </c>
      <c r="AK21" s="109"/>
    </row>
    <row r="22" customFormat="false" ht="42" hidden="false" customHeight="true" outlineLevel="0" collapsed="false">
      <c r="A22" s="3"/>
      <c r="B22" s="36" t="s">
        <v>9</v>
      </c>
      <c r="C22" s="98" t="s">
        <v>14</v>
      </c>
      <c r="D22" s="98" t="s">
        <v>403</v>
      </c>
      <c r="E22" s="110" t="s">
        <v>529</v>
      </c>
      <c r="F22" s="99" t="n">
        <v>42.98</v>
      </c>
      <c r="G22" s="98" t="s">
        <v>374</v>
      </c>
      <c r="H22" s="112" t="n">
        <f aca="false">IF(AND(AE22="yes",ISNUMBER(AD22)),AD22,"")</f>
        <v>42.98</v>
      </c>
      <c r="I22" s="95" t="n">
        <f aca="false">IF(AND(AE22="yes",ISNUMBER(AD22),ISNUMBER(INDEX(Sources!$G$7:$G$10,MATCH(AB22,Sources!$B$7:$B$10,0)))),ROUND(AD22/INDEX(Sources!$G$7:$G$10,MATCH(AB22,Sources!$B$7:$B$10,0)),6),"")</f>
        <v>8.143789</v>
      </c>
      <c r="J22" s="98" t="s">
        <v>530</v>
      </c>
      <c r="K22" s="98" t="s">
        <v>553</v>
      </c>
      <c r="L22" s="96"/>
      <c r="M22" s="110" t="s">
        <v>554</v>
      </c>
      <c r="N22" s="117" t="s">
        <v>580</v>
      </c>
      <c r="O22" s="110" t="s">
        <v>581</v>
      </c>
      <c r="P22" s="110"/>
      <c r="Q22" s="118"/>
      <c r="R22" s="110"/>
      <c r="S22" s="110"/>
      <c r="T22" s="110"/>
      <c r="U22" s="110" t="s">
        <v>534</v>
      </c>
      <c r="V22" s="119"/>
      <c r="W22" s="119" t="n">
        <v>8.596</v>
      </c>
      <c r="X22" s="110" t="s">
        <v>556</v>
      </c>
      <c r="Y22" s="110" t="s">
        <v>557</v>
      </c>
      <c r="Z22" s="110"/>
      <c r="AA22" s="110"/>
      <c r="AB22" s="110" t="s">
        <v>374</v>
      </c>
      <c r="AC22" s="110" t="s">
        <v>538</v>
      </c>
      <c r="AD22" s="119" t="n">
        <f aca="false">IF(ISNUMBER(F22),IF(G22=AB22,F22,IF(AND(ISNUMBER(INDEX(Sources!$G$7:$G$10,MATCH(G22,Sources!$B$7:$B$10,0))),ISNUMBER(INDEX(Sources!$G$7:$G$10,MATCH(AB22,Sources!$B$7:$B$10,0)))),F22/INDEX(Sources!$G$7:$G$10,MATCH(G22,Sources!$B$7:$B$10,0))*INDEX(Sources!$G$7:$G$10,MATCH(AB22,Sources!$B$7:$B$10,0)),"")),"")</f>
        <v>42.98</v>
      </c>
      <c r="AE22" s="110" t="str">
        <f aca="false">IF(AND(AC22="yes",ISNUMBER(F22),IF(Compare!$H$5="All mapped",TRUE(),IF(Compare!$H$5="EXACT only",J22="EXACT",OR(J22="EXACT",J22="CLOSE")))),"yes","no")</f>
        <v>yes</v>
      </c>
      <c r="AF22" s="110" t="n">
        <f aca="false">IF(ISNUMBER(H22),COUNTIFS($B$7:$B$3000,B22,$C$7:$C$3000,C22,$H$7:$H$3000,"&lt;"&amp;H22,$AH$7:$AH$3000,"yes")+COUNTIFS($B$7:B22,B22,$C$7:C22,C22,$H$7:H22,H22,$AH$7:AH22,"yes"),"")</f>
        <v>4</v>
      </c>
      <c r="AG22" s="110" t="n">
        <f aca="false">IF(ISNUMBER(I22),COUNTIFS($B$7:$B$3000,B22,$C$7:$C$3000,C22,$I$7:$I$3000,"&lt;"&amp;I22,$AI$7:$AI$3000,"yes")+COUNTIFS($B$7:B22,B22,$C$7:C22,C22,$I$7:I22,I22,$AI$7:AI22,"yes"),"")</f>
        <v>4</v>
      </c>
      <c r="AH22" s="110" t="str">
        <f aca="false">IF(ISNUMBER(H22),"yes","no")</f>
        <v>yes</v>
      </c>
      <c r="AI22" s="110" t="str">
        <f aca="false">IF(ISNUMBER(I22),"yes","no")</f>
        <v>yes</v>
      </c>
      <c r="AJ22" s="120" t="n">
        <v>46204</v>
      </c>
      <c r="AK22" s="110"/>
    </row>
    <row r="23" customFormat="false" ht="61.5" hidden="false" customHeight="true" outlineLevel="0" collapsed="false">
      <c r="A23" s="3"/>
      <c r="B23" s="31" t="s">
        <v>9</v>
      </c>
      <c r="C23" s="91" t="s">
        <v>14</v>
      </c>
      <c r="D23" s="91" t="s">
        <v>403</v>
      </c>
      <c r="E23" s="109" t="s">
        <v>558</v>
      </c>
      <c r="F23" s="92" t="n">
        <v>63.38</v>
      </c>
      <c r="G23" s="91" t="s">
        <v>374</v>
      </c>
      <c r="H23" s="112" t="n">
        <f aca="false">IF(AND(AE23="yes",ISNUMBER(AD23)),AD23,"")</f>
        <v>63.38</v>
      </c>
      <c r="I23" s="95" t="n">
        <f aca="false">IF(AND(AE23="yes",ISNUMBER(AD23),ISNUMBER(INDEX(Sources!$G$7:$G$10,MATCH(AB23,Sources!$B$7:$B$10,0)))),ROUND(AD23/INDEX(Sources!$G$7:$G$10,MATCH(AB23,Sources!$B$7:$B$10,0)),6),"")</f>
        <v>12.009152</v>
      </c>
      <c r="J23" s="91" t="s">
        <v>530</v>
      </c>
      <c r="K23" s="91" t="s">
        <v>559</v>
      </c>
      <c r="L23" s="96"/>
      <c r="M23" s="109" t="s">
        <v>554</v>
      </c>
      <c r="N23" s="113" t="s">
        <v>582</v>
      </c>
      <c r="O23" s="109" t="s">
        <v>388</v>
      </c>
      <c r="P23" s="109"/>
      <c r="Q23" s="114"/>
      <c r="R23" s="109"/>
      <c r="S23" s="109"/>
      <c r="T23" s="109"/>
      <c r="U23" s="109" t="s">
        <v>534</v>
      </c>
      <c r="V23" s="115"/>
      <c r="W23" s="115" t="n">
        <v>12.676</v>
      </c>
      <c r="X23" s="109" t="s">
        <v>556</v>
      </c>
      <c r="Y23" s="109" t="s">
        <v>557</v>
      </c>
      <c r="Z23" s="109"/>
      <c r="AA23" s="109"/>
      <c r="AB23" s="109" t="s">
        <v>374</v>
      </c>
      <c r="AC23" s="109" t="s">
        <v>538</v>
      </c>
      <c r="AD23" s="115" t="n">
        <f aca="false">IF(ISNUMBER(F23),IF(G23=AB23,F23,IF(AND(ISNUMBER(INDEX(Sources!$G$7:$G$10,MATCH(G23,Sources!$B$7:$B$10,0))),ISNUMBER(INDEX(Sources!$G$7:$G$10,MATCH(AB23,Sources!$B$7:$B$10,0)))),F23/INDEX(Sources!$G$7:$G$10,MATCH(G23,Sources!$B$7:$B$10,0))*INDEX(Sources!$G$7:$G$10,MATCH(AB23,Sources!$B$7:$B$10,0)),"")),"")</f>
        <v>63.38</v>
      </c>
      <c r="AE23" s="109" t="str">
        <f aca="false">IF(AND(AC23="yes",ISNUMBER(F23),IF(Compare!$H$5="All mapped",TRUE(),IF(Compare!$H$5="EXACT only",J23="EXACT",OR(J23="EXACT",J23="CLOSE")))),"yes","no")</f>
        <v>yes</v>
      </c>
      <c r="AF23" s="109" t="n">
        <f aca="false">IF(ISNUMBER(H23),COUNTIFS($B$7:$B$3000,B23,$C$7:$C$3000,C23,$H$7:$H$3000,"&lt;"&amp;H23,$AH$7:$AH$3000,"yes")+COUNTIFS($B$7:B23,B23,$C$7:C23,C23,$H$7:H23,H23,$AH$7:AH23,"yes"),"")</f>
        <v>8</v>
      </c>
      <c r="AG23" s="109" t="n">
        <f aca="false">IF(ISNUMBER(I23),COUNTIFS($B$7:$B$3000,B23,$C$7:$C$3000,C23,$I$7:$I$3000,"&lt;"&amp;I23,$AI$7:$AI$3000,"yes")+COUNTIFS($B$7:B23,B23,$C$7:C23,C23,$I$7:I23,I23,$AI$7:AI23,"yes"),"")</f>
        <v>8</v>
      </c>
      <c r="AH23" s="109" t="str">
        <f aca="false">IF(ISNUMBER(H23),"yes","no")</f>
        <v>yes</v>
      </c>
      <c r="AI23" s="109" t="str">
        <f aca="false">IF(ISNUMBER(I23),"yes","no")</f>
        <v>yes</v>
      </c>
      <c r="AJ23" s="116" t="n">
        <v>46207</v>
      </c>
      <c r="AK23" s="109"/>
    </row>
    <row r="24" customFormat="false" ht="42" hidden="false" customHeight="true" outlineLevel="0" collapsed="false">
      <c r="A24" s="3"/>
      <c r="B24" s="36" t="s">
        <v>9</v>
      </c>
      <c r="C24" s="98" t="s">
        <v>14</v>
      </c>
      <c r="D24" s="98" t="s">
        <v>583</v>
      </c>
      <c r="E24" s="110" t="s">
        <v>529</v>
      </c>
      <c r="F24" s="99" t="n">
        <v>8</v>
      </c>
      <c r="G24" s="98" t="s">
        <v>244</v>
      </c>
      <c r="H24" s="112" t="n">
        <f aca="false">IF(AND(AE24="yes",ISNUMBER(AD24)),AD24,"")</f>
        <v>42.2211330546346</v>
      </c>
      <c r="I24" s="95" t="n">
        <f aca="false">IF(AND(AE24="yes",ISNUMBER(AD24),ISNUMBER(INDEX(Sources!$G$7:$G$10,MATCH(AB24,Sources!$B$7:$B$10,0)))),ROUND(AD24/INDEX(Sources!$G$7:$G$10,MATCH(AB24,Sources!$B$7:$B$10,0)),6),"")</f>
        <v>8</v>
      </c>
      <c r="J24" s="98" t="s">
        <v>530</v>
      </c>
      <c r="K24" s="98" t="s">
        <v>553</v>
      </c>
      <c r="L24" s="96"/>
      <c r="M24" s="110" t="s">
        <v>554</v>
      </c>
      <c r="N24" s="117" t="s">
        <v>584</v>
      </c>
      <c r="O24" s="110"/>
      <c r="P24" s="110"/>
      <c r="Q24" s="118"/>
      <c r="R24" s="110"/>
      <c r="S24" s="110"/>
      <c r="T24" s="110"/>
      <c r="U24" s="110" t="s">
        <v>534</v>
      </c>
      <c r="V24" s="119"/>
      <c r="W24" s="119" t="n">
        <v>8</v>
      </c>
      <c r="X24" s="110" t="s">
        <v>556</v>
      </c>
      <c r="Y24" s="110" t="s">
        <v>557</v>
      </c>
      <c r="Z24" s="110"/>
      <c r="AA24" s="110"/>
      <c r="AB24" s="110" t="s">
        <v>374</v>
      </c>
      <c r="AC24" s="110" t="s">
        <v>538</v>
      </c>
      <c r="AD24" s="110" t="n">
        <f aca="false">IF(ISNUMBER(F24),IF(G24=AB24,F24,IF(AND(ISNUMBER(INDEX(Sources!$G$7:$G$10,MATCH(G24,Sources!$B$7:$B$10,0))),ISNUMBER(INDEX(Sources!$G$7:$G$10,MATCH(AB24,Sources!$B$7:$B$10,0)))),F24/INDEX(Sources!$G$7:$G$10,MATCH(G24,Sources!$B$7:$B$10,0))*INDEX(Sources!$G$7:$G$10,MATCH(AB24,Sources!$B$7:$B$10,0)),"")),"")</f>
        <v>42.2211330546346</v>
      </c>
      <c r="AE24" s="110" t="str">
        <f aca="false">IF(AND(AC24="yes",ISNUMBER(F24),IF(Compare!$H$5="All mapped",TRUE(),IF(Compare!$H$5="EXACT only",J24="EXACT",OR(J24="EXACT",J24="CLOSE")))),"yes","no")</f>
        <v>yes</v>
      </c>
      <c r="AF24" s="110" t="n">
        <f aca="false">IF(ISNUMBER(H24),COUNTIFS($B$7:$B$3000,B24,$C$7:$C$3000,C24,$H$7:$H$3000,"&lt;"&amp;H24,$AH$7:$AH$3000,"yes")+COUNTIFS($B$7:B24,B24,$C$7:C24,C24,$H$7:H24,H24,$AH$7:AH24,"yes"),"")</f>
        <v>3</v>
      </c>
      <c r="AG24" s="110" t="n">
        <f aca="false">IF(ISNUMBER(I24),COUNTIFS($B$7:$B$3000,B24,$C$7:$C$3000,C24,$I$7:$I$3000,"&lt;"&amp;I24,$AI$7:$AI$3000,"yes")+COUNTIFS($B$7:B24,B24,$C$7:C24,C24,$I$7:I24,I24,$AI$7:AI24,"yes"),"")</f>
        <v>3</v>
      </c>
      <c r="AH24" s="110" t="str">
        <f aca="false">IF(ISNUMBER(H24),"yes","no")</f>
        <v>yes</v>
      </c>
      <c r="AI24" s="110" t="str">
        <f aca="false">IF(ISNUMBER(I24),"yes","no")</f>
        <v>yes</v>
      </c>
      <c r="AJ24" s="120" t="n">
        <v>46204</v>
      </c>
      <c r="AK24" s="110"/>
    </row>
    <row r="25" customFormat="false" ht="42" hidden="false" customHeight="true" outlineLevel="0" collapsed="false">
      <c r="A25" s="3"/>
      <c r="B25" s="31" t="s">
        <v>9</v>
      </c>
      <c r="C25" s="91" t="s">
        <v>15</v>
      </c>
      <c r="D25" s="91" t="s">
        <v>269</v>
      </c>
      <c r="E25" s="109" t="s">
        <v>585</v>
      </c>
      <c r="F25" s="92" t="n">
        <v>20.69</v>
      </c>
      <c r="G25" s="91" t="s">
        <v>244</v>
      </c>
      <c r="H25" s="112" t="n">
        <f aca="false">IF(AND(AE25="yes",ISNUMBER(AD25)),AD25,"")</f>
        <v>20.69</v>
      </c>
      <c r="I25" s="95" t="n">
        <f aca="false">IF(AND(AE25="yes",ISNUMBER(AD25),ISNUMBER(INDEX(Sources!$G$7:$G$10,MATCH(AB25,Sources!$B$7:$B$10,0)))),ROUND(AD25/INDEX(Sources!$G$7:$G$10,MATCH(AB25,Sources!$B$7:$B$10,0)),6),"")</f>
        <v>20.69</v>
      </c>
      <c r="J25" s="91" t="s">
        <v>530</v>
      </c>
      <c r="K25" s="91" t="s">
        <v>586</v>
      </c>
      <c r="L25" s="96"/>
      <c r="M25" s="109" t="s">
        <v>587</v>
      </c>
      <c r="N25" s="113" t="s">
        <v>588</v>
      </c>
      <c r="O25" s="109" t="s">
        <v>589</v>
      </c>
      <c r="P25" s="109" t="s">
        <v>590</v>
      </c>
      <c r="Q25" s="114"/>
      <c r="R25" s="109" t="n">
        <v>1</v>
      </c>
      <c r="S25" s="109"/>
      <c r="T25" s="109" t="s">
        <v>530</v>
      </c>
      <c r="U25" s="109" t="s">
        <v>591</v>
      </c>
      <c r="V25" s="115" t="n">
        <v>20.69</v>
      </c>
      <c r="W25" s="115"/>
      <c r="X25" s="109" t="s">
        <v>592</v>
      </c>
      <c r="Y25" s="109"/>
      <c r="Z25" s="109"/>
      <c r="AA25" s="109"/>
      <c r="AB25" s="109" t="s">
        <v>244</v>
      </c>
      <c r="AC25" s="109" t="s">
        <v>538</v>
      </c>
      <c r="AD25" s="109" t="n">
        <f aca="false">IF(ISNUMBER(V25),ROUND(V25,6),"")</f>
        <v>20.69</v>
      </c>
      <c r="AE25" s="109" t="str">
        <f aca="false">IF(AND(AC25="yes",ISNUMBER(F25),IF(Compare!$H$5="All mapped",TRUE(),IF(Compare!$H$5="EXACT only",J25="EXACT",OR(J25="EXACT",J25="CLOSE")))),"yes","no")</f>
        <v>yes</v>
      </c>
      <c r="AF25" s="109" t="n">
        <f aca="false">IF(ISNUMBER(H25),COUNTIFS($B$7:$B$3000,B25,$C$7:$C$3000,C25,$H$7:$H$3000,"&lt;"&amp;H25,$AH$7:$AH$3000,"yes")+COUNTIFS($B$7:B25,B25,$C$7:C25,C25,$H$7:H25,H25,$AH$7:AH25,"yes"),"")</f>
        <v>7</v>
      </c>
      <c r="AG25" s="109" t="n">
        <f aca="false">IF(ISNUMBER(I25),COUNTIFS($B$7:$B$3000,B25,$C$7:$C$3000,C25,$I$7:$I$3000,"&lt;"&amp;I25,$AI$7:$AI$3000,"yes")+COUNTIFS($B$7:B25,B25,$C$7:C25,C25,$I$7:I25,I25,$AI$7:AI25,"yes"),"")</f>
        <v>7</v>
      </c>
      <c r="AH25" s="109" t="str">
        <f aca="false">IF(ISNUMBER(H25),"yes","no")</f>
        <v>yes</v>
      </c>
      <c r="AI25" s="109" t="str">
        <f aca="false">IF(ISNUMBER(I25),"yes","no")</f>
        <v>yes</v>
      </c>
      <c r="AJ25" s="116" t="n">
        <v>46295</v>
      </c>
      <c r="AK25" s="109"/>
    </row>
    <row r="26" customFormat="false" ht="42" hidden="false" customHeight="true" outlineLevel="0" collapsed="false">
      <c r="A26" s="3"/>
      <c r="B26" s="36" t="s">
        <v>9</v>
      </c>
      <c r="C26" s="98" t="s">
        <v>15</v>
      </c>
      <c r="D26" s="98" t="s">
        <v>264</v>
      </c>
      <c r="E26" s="110" t="s">
        <v>593</v>
      </c>
      <c r="F26" s="99" t="n">
        <v>22.43</v>
      </c>
      <c r="G26" s="98" t="s">
        <v>244</v>
      </c>
      <c r="H26" s="112" t="n">
        <f aca="false">IF(AND(AE26="yes",ISNUMBER(AD26)),AD26,"")</f>
        <v>22.43</v>
      </c>
      <c r="I26" s="95" t="n">
        <f aca="false">IF(AND(AE26="yes",ISNUMBER(AD26),ISNUMBER(INDEX(Sources!$G$7:$G$10,MATCH(AB26,Sources!$B$7:$B$10,0)))),ROUND(AD26/INDEX(Sources!$G$7:$G$10,MATCH(AB26,Sources!$B$7:$B$10,0)),6),"")</f>
        <v>22.43</v>
      </c>
      <c r="J26" s="98" t="s">
        <v>530</v>
      </c>
      <c r="K26" s="98" t="s">
        <v>586</v>
      </c>
      <c r="L26" s="96"/>
      <c r="M26" s="110"/>
      <c r="N26" s="117" t="s">
        <v>594</v>
      </c>
      <c r="O26" s="110" t="s">
        <v>388</v>
      </c>
      <c r="P26" s="110" t="s">
        <v>590</v>
      </c>
      <c r="Q26" s="118"/>
      <c r="R26" s="110" t="n">
        <v>1</v>
      </c>
      <c r="S26" s="110"/>
      <c r="T26" s="110" t="s">
        <v>530</v>
      </c>
      <c r="U26" s="110" t="s">
        <v>591</v>
      </c>
      <c r="V26" s="119" t="n">
        <v>22.43</v>
      </c>
      <c r="W26" s="119"/>
      <c r="X26" s="110" t="s">
        <v>592</v>
      </c>
      <c r="Y26" s="110"/>
      <c r="Z26" s="110"/>
      <c r="AA26" s="110"/>
      <c r="AB26" s="110" t="s">
        <v>244</v>
      </c>
      <c r="AC26" s="110" t="s">
        <v>538</v>
      </c>
      <c r="AD26" s="110" t="n">
        <f aca="false">IF(ISNUMBER(V26),ROUND(V26,6),"")</f>
        <v>22.43</v>
      </c>
      <c r="AE26" s="110" t="str">
        <f aca="false">IF(AND(AC26="yes",ISNUMBER(F26),IF(Compare!$H$5="All mapped",TRUE(),IF(Compare!$H$5="EXACT only",J26="EXACT",OR(J26="EXACT",J26="CLOSE")))),"yes","no")</f>
        <v>yes</v>
      </c>
      <c r="AF26" s="110" t="n">
        <f aca="false">IF(ISNUMBER(H26),COUNTIFS($B$7:$B$3000,B26,$C$7:$C$3000,C26,$H$7:$H$3000,"&lt;"&amp;H26,$AH$7:$AH$3000,"yes")+COUNTIFS($B$7:B26,B26,$C$7:C26,C26,$H$7:H26,H26,$AH$7:AH26,"yes"),"")</f>
        <v>8</v>
      </c>
      <c r="AG26" s="110" t="n">
        <f aca="false">IF(ISNUMBER(I26),COUNTIFS($B$7:$B$3000,B26,$C$7:$C$3000,C26,$I$7:$I$3000,"&lt;"&amp;I26,$AI$7:$AI$3000,"yes")+COUNTIFS($B$7:B26,B26,$C$7:C26,C26,$I$7:I26,I26,$AI$7:AI26,"yes"),"")</f>
        <v>8</v>
      </c>
      <c r="AH26" s="110" t="str">
        <f aca="false">IF(ISNUMBER(H26),"yes","no")</f>
        <v>yes</v>
      </c>
      <c r="AI26" s="110" t="str">
        <f aca="false">IF(ISNUMBER(I26),"yes","no")</f>
        <v>yes</v>
      </c>
      <c r="AJ26" s="120" t="n">
        <v>46295</v>
      </c>
      <c r="AK26" s="110"/>
    </row>
    <row r="27" customFormat="false" ht="42" hidden="false" customHeight="true" outlineLevel="0" collapsed="false">
      <c r="A27" s="3"/>
      <c r="B27" s="31" t="s">
        <v>9</v>
      </c>
      <c r="C27" s="91" t="s">
        <v>15</v>
      </c>
      <c r="D27" s="91" t="s">
        <v>273</v>
      </c>
      <c r="E27" s="109" t="s">
        <v>595</v>
      </c>
      <c r="F27" s="92" t="n">
        <v>12.49</v>
      </c>
      <c r="G27" s="91" t="s">
        <v>244</v>
      </c>
      <c r="H27" s="112" t="n">
        <f aca="false">IF(AND(AE27="yes",ISNUMBER(AD27)),AD27,"")</f>
        <v>10.41</v>
      </c>
      <c r="I27" s="95" t="n">
        <f aca="false">IF(AND(AE27="yes",ISNUMBER(AD27),ISNUMBER(INDEX(Sources!$G$7:$G$10,MATCH(AB27,Sources!$B$7:$B$10,0)))),ROUND(AD27/INDEX(Sources!$G$7:$G$10,MATCH(AB27,Sources!$B$7:$B$10,0)),6),"")</f>
        <v>10.41</v>
      </c>
      <c r="J27" s="91" t="s">
        <v>530</v>
      </c>
      <c r="K27" s="91" t="s">
        <v>586</v>
      </c>
      <c r="L27" s="96"/>
      <c r="M27" s="109" t="s">
        <v>596</v>
      </c>
      <c r="N27" s="113" t="s">
        <v>597</v>
      </c>
      <c r="O27" s="109" t="s">
        <v>598</v>
      </c>
      <c r="P27" s="109" t="s">
        <v>265</v>
      </c>
      <c r="Q27" s="114"/>
      <c r="R27" s="109" t="n">
        <v>1</v>
      </c>
      <c r="S27" s="109"/>
      <c r="T27" s="109" t="s">
        <v>530</v>
      </c>
      <c r="U27" s="109" t="s">
        <v>591</v>
      </c>
      <c r="V27" s="115" t="n">
        <v>10.41</v>
      </c>
      <c r="W27" s="115"/>
      <c r="X27" s="109" t="s">
        <v>592</v>
      </c>
      <c r="Y27" s="109"/>
      <c r="Z27" s="109" t="s">
        <v>599</v>
      </c>
      <c r="AA27" s="109"/>
      <c r="AB27" s="109" t="s">
        <v>244</v>
      </c>
      <c r="AC27" s="109" t="s">
        <v>538</v>
      </c>
      <c r="AD27" s="109" t="n">
        <f aca="false">IF(ISNUMBER(V27),ROUND(V27,6),"")</f>
        <v>10.41</v>
      </c>
      <c r="AE27" s="109" t="str">
        <f aca="false">IF(AND(AC27="yes",ISNUMBER(F27),IF(Compare!$H$5="All mapped",TRUE(),IF(Compare!$H$5="EXACT only",J27="EXACT",OR(J27="EXACT",J27="CLOSE")))),"yes","no")</f>
        <v>yes</v>
      </c>
      <c r="AF27" s="109" t="n">
        <f aca="false">IF(ISNUMBER(H27),COUNTIFS($B$7:$B$3000,B27,$C$7:$C$3000,C27,$H$7:$H$3000,"&lt;"&amp;H27,$AH$7:$AH$3000,"yes")+COUNTIFS($B$7:B27,B27,$C$7:C27,C27,$H$7:H27,H27,$AH$7:AH27,"yes"),"")</f>
        <v>3</v>
      </c>
      <c r="AG27" s="109" t="n">
        <f aca="false">IF(ISNUMBER(I27),COUNTIFS($B$7:$B$3000,B27,$C$7:$C$3000,C27,$I$7:$I$3000,"&lt;"&amp;I27,$AI$7:$AI$3000,"yes")+COUNTIFS($B$7:B27,B27,$C$7:C27,C27,$I$7:I27,I27,$AI$7:AI27,"yes"),"")</f>
        <v>3</v>
      </c>
      <c r="AH27" s="109" t="str">
        <f aca="false">IF(ISNUMBER(H27),"yes","no")</f>
        <v>yes</v>
      </c>
      <c r="AI27" s="109" t="str">
        <f aca="false">IF(ISNUMBER(I27),"yes","no")</f>
        <v>yes</v>
      </c>
      <c r="AJ27" s="116" t="n">
        <v>46295</v>
      </c>
      <c r="AK27" s="109"/>
    </row>
    <row r="28" customFormat="false" ht="42" hidden="false" customHeight="true" outlineLevel="0" collapsed="false">
      <c r="A28" s="3"/>
      <c r="B28" s="36" t="s">
        <v>9</v>
      </c>
      <c r="C28" s="98" t="s">
        <v>15</v>
      </c>
      <c r="D28" s="98" t="s">
        <v>281</v>
      </c>
      <c r="E28" s="110" t="s">
        <v>600</v>
      </c>
      <c r="F28" s="99" t="n">
        <v>14.07</v>
      </c>
      <c r="G28" s="98" t="s">
        <v>244</v>
      </c>
      <c r="H28" s="112" t="n">
        <f aca="false">IF(AND(AE28="yes",ISNUMBER(AD28)),AD28,"")</f>
        <v>14.07</v>
      </c>
      <c r="I28" s="95" t="n">
        <f aca="false">IF(AND(AE28="yes",ISNUMBER(AD28),ISNUMBER(INDEX(Sources!$G$7:$G$10,MATCH(AB28,Sources!$B$7:$B$10,0)))),ROUND(AD28/INDEX(Sources!$G$7:$G$10,MATCH(AB28,Sources!$B$7:$B$10,0)),6),"")</f>
        <v>14.07</v>
      </c>
      <c r="J28" s="98" t="s">
        <v>530</v>
      </c>
      <c r="K28" s="98" t="s">
        <v>586</v>
      </c>
      <c r="L28" s="96"/>
      <c r="M28" s="110" t="s">
        <v>601</v>
      </c>
      <c r="N28" s="117" t="s">
        <v>602</v>
      </c>
      <c r="O28" s="110" t="s">
        <v>603</v>
      </c>
      <c r="P28" s="110" t="s">
        <v>590</v>
      </c>
      <c r="Q28" s="118"/>
      <c r="R28" s="110" t="n">
        <v>1</v>
      </c>
      <c r="S28" s="110"/>
      <c r="T28" s="110" t="s">
        <v>530</v>
      </c>
      <c r="U28" s="110" t="s">
        <v>591</v>
      </c>
      <c r="V28" s="119" t="n">
        <v>14.07</v>
      </c>
      <c r="W28" s="119"/>
      <c r="X28" s="110" t="s">
        <v>592</v>
      </c>
      <c r="Y28" s="110"/>
      <c r="Z28" s="110"/>
      <c r="AA28" s="110"/>
      <c r="AB28" s="110" t="s">
        <v>244</v>
      </c>
      <c r="AC28" s="110" t="s">
        <v>538</v>
      </c>
      <c r="AD28" s="110" t="n">
        <f aca="false">IF(ISNUMBER(V28),ROUND(V28,6),"")</f>
        <v>14.07</v>
      </c>
      <c r="AE28" s="110" t="str">
        <f aca="false">IF(AND(AC28="yes",ISNUMBER(F28),IF(Compare!$H$5="All mapped",TRUE(),IF(Compare!$H$5="EXACT only",J28="EXACT",OR(J28="EXACT",J28="CLOSE")))),"yes","no")</f>
        <v>yes</v>
      </c>
      <c r="AF28" s="110" t="n">
        <f aca="false">IF(ISNUMBER(H28),COUNTIFS($B$7:$B$3000,B28,$C$7:$C$3000,C28,$H$7:$H$3000,"&lt;"&amp;H28,$AH$7:$AH$3000,"yes")+COUNTIFS($B$7:B28,B28,$C$7:C28,C28,$H$7:H28,H28,$AH$7:AH28,"yes"),"")</f>
        <v>5</v>
      </c>
      <c r="AG28" s="110" t="n">
        <f aca="false">IF(ISNUMBER(I28),COUNTIFS($B$7:$B$3000,B28,$C$7:$C$3000,C28,$I$7:$I$3000,"&lt;"&amp;I28,$AI$7:$AI$3000,"yes")+COUNTIFS($B$7:B28,B28,$C$7:C28,C28,$I$7:I28,I28,$AI$7:AI28,"yes"),"")</f>
        <v>5</v>
      </c>
      <c r="AH28" s="110" t="str">
        <f aca="false">IF(ISNUMBER(H28),"yes","no")</f>
        <v>yes</v>
      </c>
      <c r="AI28" s="110" t="str">
        <f aca="false">IF(ISNUMBER(I28),"yes","no")</f>
        <v>yes</v>
      </c>
      <c r="AJ28" s="120" t="n">
        <v>46295</v>
      </c>
      <c r="AK28" s="110"/>
    </row>
    <row r="29" customFormat="false" ht="42" hidden="false" customHeight="true" outlineLevel="0" collapsed="false">
      <c r="A29" s="3"/>
      <c r="B29" s="31" t="s">
        <v>9</v>
      </c>
      <c r="C29" s="91" t="s">
        <v>15</v>
      </c>
      <c r="D29" s="91" t="s">
        <v>293</v>
      </c>
      <c r="E29" s="109" t="s">
        <v>604</v>
      </c>
      <c r="F29" s="92" t="n">
        <v>13.9</v>
      </c>
      <c r="G29" s="91" t="s">
        <v>244</v>
      </c>
      <c r="H29" s="112" t="n">
        <f aca="false">IF(AND(AE29="yes",ISNUMBER(AD29)),AD29,"")</f>
        <v>13.9</v>
      </c>
      <c r="I29" s="95" t="n">
        <f aca="false">IF(AND(AE29="yes",ISNUMBER(AD29),ISNUMBER(INDEX(Sources!$G$7:$G$10,MATCH(AB29,Sources!$B$7:$B$10,0)))),ROUND(AD29/INDEX(Sources!$G$7:$G$10,MATCH(AB29,Sources!$B$7:$B$10,0)),6),"")</f>
        <v>13.9</v>
      </c>
      <c r="J29" s="91" t="s">
        <v>530</v>
      </c>
      <c r="K29" s="91" t="s">
        <v>586</v>
      </c>
      <c r="L29" s="96"/>
      <c r="M29" s="109" t="s">
        <v>605</v>
      </c>
      <c r="N29" s="113" t="s">
        <v>606</v>
      </c>
      <c r="O29" s="109" t="s">
        <v>589</v>
      </c>
      <c r="P29" s="109" t="s">
        <v>590</v>
      </c>
      <c r="Q29" s="114"/>
      <c r="R29" s="109" t="n">
        <v>1</v>
      </c>
      <c r="S29" s="109"/>
      <c r="T29" s="109" t="s">
        <v>530</v>
      </c>
      <c r="U29" s="109" t="s">
        <v>591</v>
      </c>
      <c r="V29" s="115" t="n">
        <v>13.9</v>
      </c>
      <c r="W29" s="115"/>
      <c r="X29" s="109" t="s">
        <v>592</v>
      </c>
      <c r="Y29" s="109"/>
      <c r="Z29" s="109"/>
      <c r="AA29" s="109"/>
      <c r="AB29" s="109" t="s">
        <v>244</v>
      </c>
      <c r="AC29" s="109" t="s">
        <v>538</v>
      </c>
      <c r="AD29" s="109" t="n">
        <f aca="false">IF(ISNUMBER(V29),ROUND(V29,6),"")</f>
        <v>13.9</v>
      </c>
      <c r="AE29" s="109" t="str">
        <f aca="false">IF(AND(AC29="yes",ISNUMBER(F29),IF(Compare!$H$5="All mapped",TRUE(),IF(Compare!$H$5="EXACT only",J29="EXACT",OR(J29="EXACT",J29="CLOSE")))),"yes","no")</f>
        <v>yes</v>
      </c>
      <c r="AF29" s="109" t="n">
        <f aca="false">IF(ISNUMBER(H29),COUNTIFS($B$7:$B$3000,B29,$C$7:$C$3000,C29,$H$7:$H$3000,"&lt;"&amp;H29,$AH$7:$AH$3000,"yes")+COUNTIFS($B$7:B29,B29,$C$7:C29,C29,$H$7:H29,H29,$AH$7:AH29,"yes"),"")</f>
        <v>4</v>
      </c>
      <c r="AG29" s="109" t="n">
        <f aca="false">IF(ISNUMBER(I29),COUNTIFS($B$7:$B$3000,B29,$C$7:$C$3000,C29,$I$7:$I$3000,"&lt;"&amp;I29,$AI$7:$AI$3000,"yes")+COUNTIFS($B$7:B29,B29,$C$7:C29,C29,$I$7:I29,I29,$AI$7:AI29,"yes"),"")</f>
        <v>4</v>
      </c>
      <c r="AH29" s="109" t="str">
        <f aca="false">IF(ISNUMBER(H29),"yes","no")</f>
        <v>yes</v>
      </c>
      <c r="AI29" s="109" t="str">
        <f aca="false">IF(ISNUMBER(I29),"yes","no")</f>
        <v>yes</v>
      </c>
      <c r="AJ29" s="116" t="n">
        <v>46295</v>
      </c>
      <c r="AK29" s="109"/>
    </row>
    <row r="30" customFormat="false" ht="42" hidden="false" customHeight="true" outlineLevel="0" collapsed="false">
      <c r="A30" s="3"/>
      <c r="B30" s="36" t="s">
        <v>9</v>
      </c>
      <c r="C30" s="98" t="s">
        <v>16</v>
      </c>
      <c r="D30" s="98" t="s">
        <v>317</v>
      </c>
      <c r="E30" s="110" t="s">
        <v>607</v>
      </c>
      <c r="F30" s="99" t="n">
        <v>44.99</v>
      </c>
      <c r="G30" s="98" t="s">
        <v>244</v>
      </c>
      <c r="H30" s="112" t="n">
        <f aca="false">IF(AND(AE30="yes",ISNUMBER(AD30)),AD30,"")</f>
        <v>7.5</v>
      </c>
      <c r="I30" s="95" t="n">
        <f aca="false">IF(AND(AE30="yes",ISNUMBER(AD30),ISNUMBER(INDEX(Sources!$G$7:$G$10,MATCH(AB30,Sources!$B$7:$B$10,0)))),ROUND(AD30/INDEX(Sources!$G$7:$G$10,MATCH(AB30,Sources!$B$7:$B$10,0)),6),"")</f>
        <v>7.5</v>
      </c>
      <c r="J30" s="98" t="s">
        <v>530</v>
      </c>
      <c r="K30" s="98" t="s">
        <v>586</v>
      </c>
      <c r="L30" s="96"/>
      <c r="M30" s="110" t="s">
        <v>608</v>
      </c>
      <c r="N30" s="117" t="s">
        <v>609</v>
      </c>
      <c r="O30" s="110" t="s">
        <v>610</v>
      </c>
      <c r="P30" s="110" t="s">
        <v>590</v>
      </c>
      <c r="Q30" s="118"/>
      <c r="R30" s="110" t="n">
        <v>6</v>
      </c>
      <c r="S30" s="110" t="s">
        <v>611</v>
      </c>
      <c r="T30" s="110" t="s">
        <v>530</v>
      </c>
      <c r="U30" s="110" t="s">
        <v>591</v>
      </c>
      <c r="V30" s="119" t="n">
        <v>7.5</v>
      </c>
      <c r="W30" s="119"/>
      <c r="X30" s="110" t="s">
        <v>612</v>
      </c>
      <c r="Y30" s="110"/>
      <c r="Z30" s="110" t="s">
        <v>613</v>
      </c>
      <c r="AA30" s="110"/>
      <c r="AB30" s="110" t="s">
        <v>244</v>
      </c>
      <c r="AC30" s="110" t="s">
        <v>538</v>
      </c>
      <c r="AD30" s="110" t="n">
        <f aca="false">IF(ISNUMBER(V30),ROUND(V30,6),"")</f>
        <v>7.5</v>
      </c>
      <c r="AE30" s="110" t="str">
        <f aca="false">IF(AND(AC30="yes",ISNUMBER(F30),IF(Compare!$H$5="All mapped",TRUE(),IF(Compare!$H$5="EXACT only",J30="EXACT",OR(J30="EXACT",J30="CLOSE")))),"yes","no")</f>
        <v>yes</v>
      </c>
      <c r="AF30" s="110" t="n">
        <f aca="false">IF(ISNUMBER(H30),COUNTIFS($B$7:$B$3000,B30,$C$7:$C$3000,C30,$H$7:$H$3000,"&lt;"&amp;H30,$AH$7:$AH$3000,"yes")+COUNTIFS($B$7:B30,B30,$C$7:C30,C30,$H$7:H30,H30,$AH$7:AH30,"yes"),"")</f>
        <v>2</v>
      </c>
      <c r="AG30" s="110" t="n">
        <f aca="false">IF(ISNUMBER(I30),COUNTIFS($B$7:$B$3000,B30,$C$7:$C$3000,C30,$I$7:$I$3000,"&lt;"&amp;I30,$AI$7:$AI$3000,"yes")+COUNTIFS($B$7:B30,B30,$C$7:C30,C30,$I$7:I30,I30,$AI$7:AI30,"yes"),"")</f>
        <v>2</v>
      </c>
      <c r="AH30" s="110" t="str">
        <f aca="false">IF(ISNUMBER(H30),"yes","no")</f>
        <v>yes</v>
      </c>
      <c r="AI30" s="110" t="str">
        <f aca="false">IF(ISNUMBER(I30),"yes","no")</f>
        <v>yes</v>
      </c>
      <c r="AJ30" s="120" t="n">
        <v>46295</v>
      </c>
      <c r="AK30" s="110"/>
    </row>
    <row r="31" customFormat="false" ht="42" hidden="false" customHeight="true" outlineLevel="0" collapsed="false">
      <c r="A31" s="3"/>
      <c r="B31" s="31" t="s">
        <v>9</v>
      </c>
      <c r="C31" s="91" t="s">
        <v>16</v>
      </c>
      <c r="D31" s="91" t="s">
        <v>311</v>
      </c>
      <c r="E31" s="109" t="s">
        <v>585</v>
      </c>
      <c r="F31" s="92" t="n">
        <v>14.29</v>
      </c>
      <c r="G31" s="91" t="s">
        <v>244</v>
      </c>
      <c r="H31" s="112" t="n">
        <f aca="false">IF(AND(AE31="yes",ISNUMBER(AD31)),AD31,"")</f>
        <v>14.29</v>
      </c>
      <c r="I31" s="95" t="n">
        <f aca="false">IF(AND(AE31="yes",ISNUMBER(AD31),ISNUMBER(INDEX(Sources!$G$7:$G$10,MATCH(AB31,Sources!$B$7:$B$10,0)))),ROUND(AD31/INDEX(Sources!$G$7:$G$10,MATCH(AB31,Sources!$B$7:$B$10,0)),6),"")</f>
        <v>14.29</v>
      </c>
      <c r="J31" s="91" t="s">
        <v>530</v>
      </c>
      <c r="K31" s="91" t="s">
        <v>586</v>
      </c>
      <c r="L31" s="96"/>
      <c r="M31" s="109" t="s">
        <v>614</v>
      </c>
      <c r="N31" s="113" t="s">
        <v>615</v>
      </c>
      <c r="O31" s="109" t="s">
        <v>589</v>
      </c>
      <c r="P31" s="109" t="s">
        <v>590</v>
      </c>
      <c r="Q31" s="114"/>
      <c r="R31" s="109" t="n">
        <v>1</v>
      </c>
      <c r="S31" s="109"/>
      <c r="T31" s="109" t="s">
        <v>530</v>
      </c>
      <c r="U31" s="109" t="s">
        <v>591</v>
      </c>
      <c r="V31" s="115" t="n">
        <v>14.29</v>
      </c>
      <c r="W31" s="115"/>
      <c r="X31" s="109" t="s">
        <v>612</v>
      </c>
      <c r="Y31" s="109"/>
      <c r="Z31" s="109"/>
      <c r="AA31" s="109"/>
      <c r="AB31" s="109" t="s">
        <v>244</v>
      </c>
      <c r="AC31" s="109" t="s">
        <v>538</v>
      </c>
      <c r="AD31" s="109" t="n">
        <f aca="false">IF(ISNUMBER(V31),ROUND(V31,6),"")</f>
        <v>14.29</v>
      </c>
      <c r="AE31" s="109" t="str">
        <f aca="false">IF(AND(AC31="yes",ISNUMBER(F31),IF(Compare!$H$5="All mapped",TRUE(),IF(Compare!$H$5="EXACT only",J31="EXACT",OR(J31="EXACT",J31="CLOSE")))),"yes","no")</f>
        <v>yes</v>
      </c>
      <c r="AF31" s="109" t="n">
        <f aca="false">IF(ISNUMBER(H31),COUNTIFS($B$7:$B$3000,B31,$C$7:$C$3000,C31,$H$7:$H$3000,"&lt;"&amp;H31,$AH$7:$AH$3000,"yes")+COUNTIFS($B$7:B31,B31,$C$7:C31,C31,$H$7:H31,H31,$AH$7:AH31,"yes"),"")</f>
        <v>6</v>
      </c>
      <c r="AG31" s="109" t="n">
        <f aca="false">IF(ISNUMBER(I31),COUNTIFS($B$7:$B$3000,B31,$C$7:$C$3000,C31,$I$7:$I$3000,"&lt;"&amp;I31,$AI$7:$AI$3000,"yes")+COUNTIFS($B$7:B31,B31,$C$7:C31,C31,$I$7:I31,I31,$AI$7:AI31,"yes"),"")</f>
        <v>6</v>
      </c>
      <c r="AH31" s="109" t="str">
        <f aca="false">IF(ISNUMBER(H31),"yes","no")</f>
        <v>yes</v>
      </c>
      <c r="AI31" s="109" t="str">
        <f aca="false">IF(ISNUMBER(I31),"yes","no")</f>
        <v>yes</v>
      </c>
      <c r="AJ31" s="116" t="n">
        <v>46295</v>
      </c>
      <c r="AK31" s="109"/>
    </row>
    <row r="32" customFormat="false" ht="42" hidden="false" customHeight="true" outlineLevel="0" collapsed="false">
      <c r="A32" s="3"/>
      <c r="B32" s="36" t="s">
        <v>9</v>
      </c>
      <c r="C32" s="98" t="s">
        <v>16</v>
      </c>
      <c r="D32" s="98" t="s">
        <v>309</v>
      </c>
      <c r="E32" s="110" t="s">
        <v>593</v>
      </c>
      <c r="F32" s="99" t="n">
        <v>22.43</v>
      </c>
      <c r="G32" s="98" t="s">
        <v>244</v>
      </c>
      <c r="H32" s="112" t="n">
        <f aca="false">IF(AND(AE32="yes",ISNUMBER(AD32)),AD32,"")</f>
        <v>22.43</v>
      </c>
      <c r="I32" s="95" t="n">
        <f aca="false">IF(AND(AE32="yes",ISNUMBER(AD32),ISNUMBER(INDEX(Sources!$G$7:$G$10,MATCH(AB32,Sources!$B$7:$B$10,0)))),ROUND(AD32/INDEX(Sources!$G$7:$G$10,MATCH(AB32,Sources!$B$7:$B$10,0)),6),"")</f>
        <v>22.43</v>
      </c>
      <c r="J32" s="98" t="s">
        <v>530</v>
      </c>
      <c r="K32" s="98" t="s">
        <v>586</v>
      </c>
      <c r="L32" s="96"/>
      <c r="M32" s="110"/>
      <c r="N32" s="117" t="s">
        <v>594</v>
      </c>
      <c r="O32" s="110" t="s">
        <v>388</v>
      </c>
      <c r="P32" s="110" t="s">
        <v>590</v>
      </c>
      <c r="Q32" s="118"/>
      <c r="R32" s="110" t="n">
        <v>1</v>
      </c>
      <c r="S32" s="110"/>
      <c r="T32" s="110" t="s">
        <v>530</v>
      </c>
      <c r="U32" s="110" t="s">
        <v>591</v>
      </c>
      <c r="V32" s="119" t="n">
        <v>22.43</v>
      </c>
      <c r="W32" s="119"/>
      <c r="X32" s="110" t="s">
        <v>612</v>
      </c>
      <c r="Y32" s="110"/>
      <c r="Z32" s="110"/>
      <c r="AA32" s="110"/>
      <c r="AB32" s="110" t="s">
        <v>244</v>
      </c>
      <c r="AC32" s="110" t="s">
        <v>538</v>
      </c>
      <c r="AD32" s="110" t="n">
        <f aca="false">IF(ISNUMBER(V32),ROUND(V32,6),"")</f>
        <v>22.43</v>
      </c>
      <c r="AE32" s="110" t="str">
        <f aca="false">IF(AND(AC32="yes",ISNUMBER(F32),IF(Compare!$H$5="All mapped",TRUE(),IF(Compare!$H$5="EXACT only",J32="EXACT",OR(J32="EXACT",J32="CLOSE")))),"yes","no")</f>
        <v>yes</v>
      </c>
      <c r="AF32" s="110" t="n">
        <f aca="false">IF(ISNUMBER(H32),COUNTIFS($B$7:$B$3000,B32,$C$7:$C$3000,C32,$H$7:$H$3000,"&lt;"&amp;H32,$AH$7:$AH$3000,"yes")+COUNTIFS($B$7:B32,B32,$C$7:C32,C32,$H$7:H32,H32,$AH$7:AH32,"yes"),"")</f>
        <v>8</v>
      </c>
      <c r="AG32" s="110" t="n">
        <f aca="false">IF(ISNUMBER(I32),COUNTIFS($B$7:$B$3000,B32,$C$7:$C$3000,C32,$I$7:$I$3000,"&lt;"&amp;I32,$AI$7:$AI$3000,"yes")+COUNTIFS($B$7:B32,B32,$C$7:C32,C32,$I$7:I32,I32,$AI$7:AI32,"yes"),"")</f>
        <v>8</v>
      </c>
      <c r="AH32" s="110" t="str">
        <f aca="false">IF(ISNUMBER(H32),"yes","no")</f>
        <v>yes</v>
      </c>
      <c r="AI32" s="110" t="str">
        <f aca="false">IF(ISNUMBER(I32),"yes","no")</f>
        <v>yes</v>
      </c>
      <c r="AJ32" s="120" t="n">
        <v>46295</v>
      </c>
      <c r="AK32" s="110"/>
    </row>
    <row r="33" customFormat="false" ht="42" hidden="false" customHeight="true" outlineLevel="0" collapsed="false">
      <c r="A33" s="3"/>
      <c r="B33" s="31" t="s">
        <v>9</v>
      </c>
      <c r="C33" s="91" t="s">
        <v>16</v>
      </c>
      <c r="D33" s="91" t="s">
        <v>313</v>
      </c>
      <c r="E33" s="109" t="s">
        <v>595</v>
      </c>
      <c r="F33" s="92" t="n">
        <v>12.39</v>
      </c>
      <c r="G33" s="91" t="s">
        <v>244</v>
      </c>
      <c r="H33" s="112" t="n">
        <f aca="false">IF(AND(AE33="yes",ISNUMBER(AD33)),AD33,"")</f>
        <v>10.41</v>
      </c>
      <c r="I33" s="95" t="n">
        <f aca="false">IF(AND(AE33="yes",ISNUMBER(AD33),ISNUMBER(INDEX(Sources!$G$7:$G$10,MATCH(AB33,Sources!$B$7:$B$10,0)))),ROUND(AD33/INDEX(Sources!$G$7:$G$10,MATCH(AB33,Sources!$B$7:$B$10,0)),6),"")</f>
        <v>10.41</v>
      </c>
      <c r="J33" s="91" t="s">
        <v>530</v>
      </c>
      <c r="K33" s="91" t="s">
        <v>586</v>
      </c>
      <c r="L33" s="96"/>
      <c r="M33" s="109"/>
      <c r="N33" s="113" t="s">
        <v>616</v>
      </c>
      <c r="O33" s="109" t="s">
        <v>598</v>
      </c>
      <c r="P33" s="109" t="s">
        <v>265</v>
      </c>
      <c r="Q33" s="114"/>
      <c r="R33" s="109" t="n">
        <v>1</v>
      </c>
      <c r="S33" s="109"/>
      <c r="T33" s="109" t="s">
        <v>530</v>
      </c>
      <c r="U33" s="109" t="s">
        <v>591</v>
      </c>
      <c r="V33" s="115" t="n">
        <v>10.41</v>
      </c>
      <c r="W33" s="115"/>
      <c r="X33" s="109" t="s">
        <v>612</v>
      </c>
      <c r="Y33" s="109"/>
      <c r="Z33" s="109" t="s">
        <v>599</v>
      </c>
      <c r="AA33" s="109"/>
      <c r="AB33" s="109" t="s">
        <v>244</v>
      </c>
      <c r="AC33" s="109" t="s">
        <v>538</v>
      </c>
      <c r="AD33" s="109" t="n">
        <f aca="false">IF(ISNUMBER(V33),ROUND(V33,6),"")</f>
        <v>10.41</v>
      </c>
      <c r="AE33" s="109" t="str">
        <f aca="false">IF(AND(AC33="yes",ISNUMBER(F33),IF(Compare!$H$5="All mapped",TRUE(),IF(Compare!$H$5="EXACT only",J33="EXACT",OR(J33="EXACT",J33="CLOSE")))),"yes","no")</f>
        <v>yes</v>
      </c>
      <c r="AF33" s="109" t="n">
        <f aca="false">IF(ISNUMBER(H33),COUNTIFS($B$7:$B$3000,B33,$C$7:$C$3000,C33,$H$7:$H$3000,"&lt;"&amp;H33,$AH$7:$AH$3000,"yes")+COUNTIFS($B$7:B33,B33,$C$7:C33,C33,$H$7:H33,H33,$AH$7:AH33,"yes"),"")</f>
        <v>3</v>
      </c>
      <c r="AG33" s="109" t="n">
        <f aca="false">IF(ISNUMBER(I33),COUNTIFS($B$7:$B$3000,B33,$C$7:$C$3000,C33,$I$7:$I$3000,"&lt;"&amp;I33,$AI$7:$AI$3000,"yes")+COUNTIFS($B$7:B33,B33,$C$7:C33,C33,$I$7:I33,I33,$AI$7:AI33,"yes"),"")</f>
        <v>3</v>
      </c>
      <c r="AH33" s="109" t="str">
        <f aca="false">IF(ISNUMBER(H33),"yes","no")</f>
        <v>yes</v>
      </c>
      <c r="AI33" s="109" t="str">
        <f aca="false">IF(ISNUMBER(I33),"yes","no")</f>
        <v>yes</v>
      </c>
      <c r="AJ33" s="116" t="n">
        <v>46295</v>
      </c>
      <c r="AK33" s="109"/>
    </row>
    <row r="34" customFormat="false" ht="42" hidden="false" customHeight="true" outlineLevel="0" collapsed="false">
      <c r="A34" s="3"/>
      <c r="B34" s="36" t="s">
        <v>9</v>
      </c>
      <c r="C34" s="98" t="s">
        <v>16</v>
      </c>
      <c r="D34" s="98" t="s">
        <v>321</v>
      </c>
      <c r="E34" s="110" t="s">
        <v>600</v>
      </c>
      <c r="F34" s="99" t="n">
        <v>14.07</v>
      </c>
      <c r="G34" s="98" t="s">
        <v>244</v>
      </c>
      <c r="H34" s="112" t="n">
        <f aca="false">IF(AND(AE34="yes",ISNUMBER(AD34)),AD34,"")</f>
        <v>14.07</v>
      </c>
      <c r="I34" s="95" t="n">
        <f aca="false">IF(AND(AE34="yes",ISNUMBER(AD34),ISNUMBER(INDEX(Sources!$G$7:$G$10,MATCH(AB34,Sources!$B$7:$B$10,0)))),ROUND(AD34/INDEX(Sources!$G$7:$G$10,MATCH(AB34,Sources!$B$7:$B$10,0)),6),"")</f>
        <v>14.07</v>
      </c>
      <c r="J34" s="98" t="s">
        <v>530</v>
      </c>
      <c r="K34" s="98" t="s">
        <v>586</v>
      </c>
      <c r="L34" s="96"/>
      <c r="M34" s="110" t="s">
        <v>617</v>
      </c>
      <c r="N34" s="117" t="s">
        <v>618</v>
      </c>
      <c r="O34" s="110" t="s">
        <v>603</v>
      </c>
      <c r="P34" s="110" t="s">
        <v>590</v>
      </c>
      <c r="Q34" s="118"/>
      <c r="R34" s="110" t="n">
        <v>1</v>
      </c>
      <c r="S34" s="110"/>
      <c r="T34" s="110" t="s">
        <v>530</v>
      </c>
      <c r="U34" s="110" t="s">
        <v>591</v>
      </c>
      <c r="V34" s="119" t="n">
        <v>14.07</v>
      </c>
      <c r="W34" s="119"/>
      <c r="X34" s="110" t="s">
        <v>612</v>
      </c>
      <c r="Y34" s="110"/>
      <c r="Z34" s="110"/>
      <c r="AA34" s="110"/>
      <c r="AB34" s="110" t="s">
        <v>244</v>
      </c>
      <c r="AC34" s="110" t="s">
        <v>538</v>
      </c>
      <c r="AD34" s="110" t="n">
        <f aca="false">IF(ISNUMBER(V34),ROUND(V34,6),"")</f>
        <v>14.07</v>
      </c>
      <c r="AE34" s="110" t="str">
        <f aca="false">IF(AND(AC34="yes",ISNUMBER(F34),IF(Compare!$H$5="All mapped",TRUE(),IF(Compare!$H$5="EXACT only",J34="EXACT",OR(J34="EXACT",J34="CLOSE")))),"yes","no")</f>
        <v>yes</v>
      </c>
      <c r="AF34" s="110" t="n">
        <f aca="false">IF(ISNUMBER(H34),COUNTIFS($B$7:$B$3000,B34,$C$7:$C$3000,C34,$H$7:$H$3000,"&lt;"&amp;H34,$AH$7:$AH$3000,"yes")+COUNTIFS($B$7:B34,B34,$C$7:C34,C34,$H$7:H34,H34,$AH$7:AH34,"yes"),"")</f>
        <v>5</v>
      </c>
      <c r="AG34" s="110" t="n">
        <f aca="false">IF(ISNUMBER(I34),COUNTIFS($B$7:$B$3000,B34,$C$7:$C$3000,C34,$I$7:$I$3000,"&lt;"&amp;I34,$AI$7:$AI$3000,"yes")+COUNTIFS($B$7:B34,B34,$C$7:C34,C34,$I$7:I34,I34,$AI$7:AI34,"yes"),"")</f>
        <v>5</v>
      </c>
      <c r="AH34" s="110" t="str">
        <f aca="false">IF(ISNUMBER(H34),"yes","no")</f>
        <v>yes</v>
      </c>
      <c r="AI34" s="110" t="str">
        <f aca="false">IF(ISNUMBER(I34),"yes","no")</f>
        <v>yes</v>
      </c>
      <c r="AJ34" s="120" t="n">
        <v>46295</v>
      </c>
      <c r="AK34" s="110"/>
    </row>
    <row r="35" customFormat="false" ht="42" hidden="false" customHeight="true" outlineLevel="0" collapsed="false">
      <c r="A35" s="3"/>
      <c r="B35" s="31" t="s">
        <v>9</v>
      </c>
      <c r="C35" s="91" t="s">
        <v>16</v>
      </c>
      <c r="D35" s="91" t="s">
        <v>329</v>
      </c>
      <c r="E35" s="109" t="s">
        <v>595</v>
      </c>
      <c r="F35" s="92" t="n">
        <v>7.26</v>
      </c>
      <c r="G35" s="91" t="s">
        <v>244</v>
      </c>
      <c r="H35" s="112" t="n">
        <f aca="false">IF(AND(AE35="yes",ISNUMBER(AD35)),AD35,"")</f>
        <v>7.26</v>
      </c>
      <c r="I35" s="95" t="n">
        <f aca="false">IF(AND(AE35="yes",ISNUMBER(AD35),ISNUMBER(INDEX(Sources!$G$7:$G$10,MATCH(AB35,Sources!$B$7:$B$10,0)))),ROUND(AD35/INDEX(Sources!$G$7:$G$10,MATCH(AB35,Sources!$B$7:$B$10,0)),6),"")</f>
        <v>7.26</v>
      </c>
      <c r="J35" s="91" t="s">
        <v>530</v>
      </c>
      <c r="K35" s="91" t="s">
        <v>586</v>
      </c>
      <c r="L35" s="96"/>
      <c r="M35" s="109" t="s">
        <v>619</v>
      </c>
      <c r="N35" s="113" t="s">
        <v>620</v>
      </c>
      <c r="O35" s="109" t="s">
        <v>598</v>
      </c>
      <c r="P35" s="109" t="s">
        <v>590</v>
      </c>
      <c r="Q35" s="114"/>
      <c r="R35" s="109" t="n">
        <v>1</v>
      </c>
      <c r="S35" s="109"/>
      <c r="T35" s="109" t="s">
        <v>530</v>
      </c>
      <c r="U35" s="109" t="s">
        <v>591</v>
      </c>
      <c r="V35" s="115" t="n">
        <v>7.26</v>
      </c>
      <c r="W35" s="115"/>
      <c r="X35" s="109" t="s">
        <v>612</v>
      </c>
      <c r="Y35" s="109"/>
      <c r="Z35" s="109" t="s">
        <v>621</v>
      </c>
      <c r="AA35" s="109"/>
      <c r="AB35" s="109" t="s">
        <v>244</v>
      </c>
      <c r="AC35" s="109" t="s">
        <v>538</v>
      </c>
      <c r="AD35" s="109" t="n">
        <f aca="false">IF(ISNUMBER(V35),ROUND(V35,6),"")</f>
        <v>7.26</v>
      </c>
      <c r="AE35" s="109" t="str">
        <f aca="false">IF(AND(AC35="yes",ISNUMBER(F35),IF(Compare!$H$5="All mapped",TRUE(),IF(Compare!$H$5="EXACT only",J35="EXACT",OR(J35="EXACT",J35="CLOSE")))),"yes","no")</f>
        <v>yes</v>
      </c>
      <c r="AF35" s="109" t="n">
        <f aca="false">IF(ISNUMBER(H35),COUNTIFS($B$7:$B$3000,B35,$C$7:$C$3000,C35,$H$7:$H$3000,"&lt;"&amp;H35,$AH$7:$AH$3000,"yes")+COUNTIFS($B$7:B35,B35,$C$7:C35,C35,$H$7:H35,H35,$AH$7:AH35,"yes"),"")</f>
        <v>1</v>
      </c>
      <c r="AG35" s="109" t="n">
        <f aca="false">IF(ISNUMBER(I35),COUNTIFS($B$7:$B$3000,B35,$C$7:$C$3000,C35,$I$7:$I$3000,"&lt;"&amp;I35,$AI$7:$AI$3000,"yes")+COUNTIFS($B$7:B35,B35,$C$7:C35,C35,$I$7:I35,I35,$AI$7:AI35,"yes"),"")</f>
        <v>1</v>
      </c>
      <c r="AH35" s="109" t="str">
        <f aca="false">IF(ISNUMBER(H35),"yes","no")</f>
        <v>yes</v>
      </c>
      <c r="AI35" s="109" t="str">
        <f aca="false">IF(ISNUMBER(I35),"yes","no")</f>
        <v>yes</v>
      </c>
      <c r="AJ35" s="116" t="n">
        <v>46295</v>
      </c>
      <c r="AK35" s="109"/>
    </row>
    <row r="36" customFormat="false" ht="48.75" hidden="false" customHeight="true" outlineLevel="0" collapsed="false">
      <c r="A36" s="3"/>
      <c r="B36" s="36" t="s">
        <v>9</v>
      </c>
      <c r="C36" s="98" t="s">
        <v>17</v>
      </c>
      <c r="D36" s="98" t="s">
        <v>354</v>
      </c>
      <c r="E36" s="110" t="s">
        <v>622</v>
      </c>
      <c r="F36" s="99" t="n">
        <v>1143.69</v>
      </c>
      <c r="G36" s="98" t="s">
        <v>333</v>
      </c>
      <c r="H36" s="112" t="n">
        <f aca="false">IF(AND(AE36="yes",ISNUMBER(AD36)),AD36,"")</f>
        <v>190.62</v>
      </c>
      <c r="I36" s="95" t="n">
        <f aca="false">IF(AND(AE36="yes",ISNUMBER(AD36),ISNUMBER(INDEX(Sources!$G$7:$G$10,MATCH(AB36,Sources!$B$7:$B$10,0)))),ROUND(AD36/INDEX(Sources!$G$7:$G$10,MATCH(AB36,Sources!$B$7:$B$10,0)),6),"")</f>
        <v>7.804741</v>
      </c>
      <c r="J36" s="98" t="s">
        <v>530</v>
      </c>
      <c r="K36" s="98" t="s">
        <v>586</v>
      </c>
      <c r="L36" s="96"/>
      <c r="M36" s="110" t="s">
        <v>623</v>
      </c>
      <c r="N36" s="117" t="s">
        <v>624</v>
      </c>
      <c r="O36" s="110" t="s">
        <v>610</v>
      </c>
      <c r="P36" s="110" t="s">
        <v>590</v>
      </c>
      <c r="Q36" s="118" t="n">
        <v>0.19</v>
      </c>
      <c r="R36" s="110" t="n">
        <v>6</v>
      </c>
      <c r="S36" s="110" t="s">
        <v>625</v>
      </c>
      <c r="T36" s="110" t="s">
        <v>530</v>
      </c>
      <c r="U36" s="110" t="s">
        <v>591</v>
      </c>
      <c r="V36" s="119"/>
      <c r="W36" s="119"/>
      <c r="X36" s="110" t="s">
        <v>626</v>
      </c>
      <c r="Y36" s="110"/>
      <c r="Z36" s="110" t="s">
        <v>627</v>
      </c>
      <c r="AA36" s="110"/>
      <c r="AB36" s="110" t="s">
        <v>333</v>
      </c>
      <c r="AC36" s="110" t="s">
        <v>538</v>
      </c>
      <c r="AD36" s="110" t="n">
        <f aca="false">IF(OR(F36="",Q36="",R36=""),"",ROUND(IF(P36="incl.",F36/(1+Q36),F36)/IF(S36="per pack",R36,1),2))</f>
        <v>190.62</v>
      </c>
      <c r="AE36" s="110" t="str">
        <f aca="false">IF(AND(AC36="yes",ISNUMBER(F36),IF(Compare!$H$5="All mapped",TRUE(),IF(Compare!$H$5="EXACT only",J36="EXACT",OR(J36="EXACT",J36="CLOSE")))),"yes","no")</f>
        <v>yes</v>
      </c>
      <c r="AF36" s="110" t="n">
        <f aca="false">IF(ISNUMBER(H36),COUNTIFS($B$7:$B$3000,B36,$C$7:$C$3000,C36,$H$7:$H$3000,"&lt;"&amp;H36,$AH$7:$AH$3000,"yes")+COUNTIFS($B$7:B36,B36,$C$7:C36,C36,$H$7:H36,H36,$AH$7:AH36,"yes"),"")</f>
        <v>1</v>
      </c>
      <c r="AG36" s="110" t="n">
        <f aca="false">IF(ISNUMBER(I36),COUNTIFS($B$7:$B$3000,B36,$C$7:$C$3000,C36,$I$7:$I$3000,"&lt;"&amp;I36,$AI$7:$AI$3000,"yes")+COUNTIFS($B$7:B36,B36,$C$7:C36,C36,$I$7:I36,I36,$AI$7:AI36,"yes"),"")</f>
        <v>1</v>
      </c>
      <c r="AH36" s="110" t="str">
        <f aca="false">IF(ISNUMBER(H36),"yes","no")</f>
        <v>yes</v>
      </c>
      <c r="AI36" s="110" t="str">
        <f aca="false">IF(ISNUMBER(I36),"yes","no")</f>
        <v>yes</v>
      </c>
      <c r="AJ36" s="120" t="n">
        <v>46295</v>
      </c>
      <c r="AK36" s="110"/>
    </row>
    <row r="37" customFormat="false" ht="42" hidden="false" customHeight="true" outlineLevel="0" collapsed="false">
      <c r="A37" s="3"/>
      <c r="B37" s="31" t="s">
        <v>9</v>
      </c>
      <c r="C37" s="91" t="s">
        <v>17</v>
      </c>
      <c r="D37" s="91" t="s">
        <v>332</v>
      </c>
      <c r="E37" s="109" t="s">
        <v>628</v>
      </c>
      <c r="F37" s="92" t="n">
        <v>289</v>
      </c>
      <c r="G37" s="91" t="s">
        <v>333</v>
      </c>
      <c r="H37" s="112" t="str">
        <f aca="false">IF(AND(AE37="yes",ISNUMBER(AD37)),AD37,"")</f>
        <v/>
      </c>
      <c r="I37" s="95" t="str">
        <f aca="false">IF(AND(AE37="yes",ISNUMBER(AD37),ISNUMBER(INDEX(Sources!$G$7:$G$10,MATCH(AB37,Sources!$B$7:$B$10,0)))),ROUND(AD37/INDEX(Sources!$G$7:$G$10,MATCH(AB37,Sources!$B$7:$B$10,0)),6),"")</f>
        <v/>
      </c>
      <c r="J37" s="91" t="s">
        <v>629</v>
      </c>
      <c r="K37" s="91" t="s">
        <v>586</v>
      </c>
      <c r="L37" s="96"/>
      <c r="M37" s="109" t="s">
        <v>630</v>
      </c>
      <c r="N37" s="113" t="s">
        <v>631</v>
      </c>
      <c r="O37" s="109"/>
      <c r="P37" s="109" t="s">
        <v>590</v>
      </c>
      <c r="Q37" s="114" t="n">
        <v>0.21</v>
      </c>
      <c r="R37" s="109" t="n">
        <v>1</v>
      </c>
      <c r="S37" s="109" t="s">
        <v>632</v>
      </c>
      <c r="T37" s="109" t="s">
        <v>629</v>
      </c>
      <c r="U37" s="109" t="s">
        <v>591</v>
      </c>
      <c r="V37" s="115"/>
      <c r="W37" s="115"/>
      <c r="X37" s="109" t="s">
        <v>626</v>
      </c>
      <c r="Y37" s="109"/>
      <c r="Z37" s="109"/>
      <c r="AA37" s="109"/>
      <c r="AB37" s="109" t="s">
        <v>333</v>
      </c>
      <c r="AC37" s="109" t="s">
        <v>538</v>
      </c>
      <c r="AD37" s="109" t="n">
        <f aca="false">IF(OR(F37="",Q37="",R37=""),"",ROUND(IF(P37="incl.",F37/(1+Q37),F37)/IF(S37="per pack",R37,1),2))</f>
        <v>289</v>
      </c>
      <c r="AE37" s="109" t="str">
        <f aca="false">IF(AND(AC37="yes",ISNUMBER(F37),IF(Compare!$H$5="All mapped",TRUE(),IF(Compare!$H$5="EXACT only",J37="EXACT",OR(J37="EXACT",J37="CLOSE")))),"yes","no")</f>
        <v>no</v>
      </c>
      <c r="AF37" s="109" t="str">
        <f aca="false">IF(ISNUMBER(H37),COUNTIFS($B$7:$B$3000,B37,$C$7:$C$3000,C37,$H$7:$H$3000,"&lt;"&amp;H37,$AH$7:$AH$3000,"yes")+COUNTIFS($B$7:B37,B37,$C$7:C37,C37,$H$7:H37,H37,$AH$7:AH37,"yes"),"")</f>
        <v/>
      </c>
      <c r="AG37" s="109" t="str">
        <f aca="false">IF(ISNUMBER(I37),COUNTIFS($B$7:$B$3000,B37,$C$7:$C$3000,C37,$I$7:$I$3000,"&lt;"&amp;I37,$AI$7:$AI$3000,"yes")+COUNTIFS($B$7:B37,B37,$C$7:C37,C37,$I$7:I37,I37,$AI$7:AI37,"yes"),"")</f>
        <v/>
      </c>
      <c r="AH37" s="109" t="str">
        <f aca="false">IF(ISNUMBER(H37),"yes","no")</f>
        <v>no</v>
      </c>
      <c r="AI37" s="109" t="str">
        <f aca="false">IF(ISNUMBER(I37),"yes","no")</f>
        <v>no</v>
      </c>
      <c r="AJ37" s="116" t="n">
        <v>46295</v>
      </c>
      <c r="AK37" s="109"/>
    </row>
    <row r="38" customFormat="false" ht="48.75" hidden="false" customHeight="true" outlineLevel="0" collapsed="false">
      <c r="A38" s="3"/>
      <c r="B38" s="36" t="s">
        <v>9</v>
      </c>
      <c r="C38" s="98" t="s">
        <v>17</v>
      </c>
      <c r="D38" s="98" t="s">
        <v>342</v>
      </c>
      <c r="E38" s="110" t="s">
        <v>633</v>
      </c>
      <c r="F38" s="99" t="n">
        <v>262</v>
      </c>
      <c r="G38" s="98" t="s">
        <v>333</v>
      </c>
      <c r="H38" s="112" t="n">
        <f aca="false">IF(AND(AE38="yes",ISNUMBER(AD38)),AD38,"")</f>
        <v>262</v>
      </c>
      <c r="I38" s="95" t="n">
        <f aca="false">IF(AND(AE38="yes",ISNUMBER(AD38),ISNUMBER(INDEX(Sources!$G$7:$G$10,MATCH(AB38,Sources!$B$7:$B$10,0)))),ROUND(AD38/INDEX(Sources!$G$7:$G$10,MATCH(AB38,Sources!$B$7:$B$10,0)),6),"")</f>
        <v>10.727322</v>
      </c>
      <c r="J38" s="98" t="s">
        <v>530</v>
      </c>
      <c r="K38" s="98" t="s">
        <v>586</v>
      </c>
      <c r="L38" s="96"/>
      <c r="M38" s="110" t="s">
        <v>634</v>
      </c>
      <c r="N38" s="117" t="s">
        <v>635</v>
      </c>
      <c r="O38" s="110" t="s">
        <v>388</v>
      </c>
      <c r="P38" s="110" t="s">
        <v>590</v>
      </c>
      <c r="Q38" s="118" t="n">
        <v>0.21</v>
      </c>
      <c r="R38" s="110" t="n">
        <v>1</v>
      </c>
      <c r="S38" s="110" t="s">
        <v>632</v>
      </c>
      <c r="T38" s="110" t="s">
        <v>530</v>
      </c>
      <c r="U38" s="110" t="s">
        <v>591</v>
      </c>
      <c r="V38" s="119"/>
      <c r="W38" s="119"/>
      <c r="X38" s="110" t="s">
        <v>626</v>
      </c>
      <c r="Y38" s="110"/>
      <c r="Z38" s="110"/>
      <c r="AA38" s="110"/>
      <c r="AB38" s="110" t="s">
        <v>333</v>
      </c>
      <c r="AC38" s="110" t="s">
        <v>538</v>
      </c>
      <c r="AD38" s="110" t="n">
        <f aca="false">IF(OR(F38="",Q38="",R38=""),"",ROUND(IF(P38="incl.",F38/(1+Q38),F38)/IF(S38="per pack",R38,1),2))</f>
        <v>262</v>
      </c>
      <c r="AE38" s="110" t="str">
        <f aca="false">IF(AND(AC38="yes",ISNUMBER(F38),IF(Compare!$H$5="All mapped",TRUE(),IF(Compare!$H$5="EXACT only",J38="EXACT",OR(J38="EXACT",J38="CLOSE")))),"yes","no")</f>
        <v>yes</v>
      </c>
      <c r="AF38" s="110" t="n">
        <f aca="false">IF(ISNUMBER(H38),COUNTIFS($B$7:$B$3000,B38,$C$7:$C$3000,C38,$H$7:$H$3000,"&lt;"&amp;H38,$AH$7:$AH$3000,"yes")+COUNTIFS($B$7:B38,B38,$C$7:C38,C38,$H$7:H38,H38,$AH$7:AH38,"yes"),"")</f>
        <v>3</v>
      </c>
      <c r="AG38" s="110" t="n">
        <f aca="false">IF(ISNUMBER(I38),COUNTIFS($B$7:$B$3000,B38,$C$7:$C$3000,C38,$I$7:$I$3000,"&lt;"&amp;I38,$AI$7:$AI$3000,"yes")+COUNTIFS($B$7:B38,B38,$C$7:C38,C38,$I$7:I38,I38,$AI$7:AI38,"yes"),"")</f>
        <v>3</v>
      </c>
      <c r="AH38" s="110" t="str">
        <f aca="false">IF(ISNUMBER(H38),"yes","no")</f>
        <v>yes</v>
      </c>
      <c r="AI38" s="110" t="str">
        <f aca="false">IF(ISNUMBER(I38),"yes","no")</f>
        <v>yes</v>
      </c>
      <c r="AJ38" s="120" t="n">
        <v>46295</v>
      </c>
      <c r="AK38" s="110"/>
    </row>
    <row r="39" customFormat="false" ht="42" hidden="false" customHeight="true" outlineLevel="0" collapsed="false">
      <c r="A39" s="3"/>
      <c r="B39" s="31" t="s">
        <v>9</v>
      </c>
      <c r="C39" s="91" t="s">
        <v>17</v>
      </c>
      <c r="D39" s="91" t="s">
        <v>346</v>
      </c>
      <c r="E39" s="109" t="s">
        <v>636</v>
      </c>
      <c r="F39" s="92" t="n">
        <v>502</v>
      </c>
      <c r="G39" s="91" t="s">
        <v>333</v>
      </c>
      <c r="H39" s="112" t="n">
        <f aca="false">IF(AND(AE39="yes",ISNUMBER(AD39)),AD39,"")</f>
        <v>414.88</v>
      </c>
      <c r="I39" s="95" t="n">
        <f aca="false">IF(AND(AE39="yes",ISNUMBER(AD39),ISNUMBER(INDEX(Sources!$G$7:$G$10,MATCH(AB39,Sources!$B$7:$B$10,0)))),ROUND(AD39/INDEX(Sources!$G$7:$G$10,MATCH(AB39,Sources!$B$7:$B$10,0)),6),"")</f>
        <v>16.986838</v>
      </c>
      <c r="J39" s="91" t="s">
        <v>530</v>
      </c>
      <c r="K39" s="91" t="s">
        <v>586</v>
      </c>
      <c r="L39" s="96"/>
      <c r="M39" s="109" t="s">
        <v>637</v>
      </c>
      <c r="N39" s="113" t="s">
        <v>638</v>
      </c>
      <c r="O39" s="109" t="s">
        <v>565</v>
      </c>
      <c r="P39" s="109" t="s">
        <v>265</v>
      </c>
      <c r="Q39" s="114" t="n">
        <v>0.21</v>
      </c>
      <c r="R39" s="109" t="n">
        <v>1</v>
      </c>
      <c r="S39" s="109" t="s">
        <v>632</v>
      </c>
      <c r="T39" s="109" t="s">
        <v>530</v>
      </c>
      <c r="U39" s="109" t="s">
        <v>591</v>
      </c>
      <c r="V39" s="115"/>
      <c r="W39" s="115"/>
      <c r="X39" s="109" t="s">
        <v>626</v>
      </c>
      <c r="Y39" s="109"/>
      <c r="Z39" s="109"/>
      <c r="AA39" s="109"/>
      <c r="AB39" s="109" t="s">
        <v>333</v>
      </c>
      <c r="AC39" s="109" t="s">
        <v>538</v>
      </c>
      <c r="AD39" s="109" t="n">
        <f aca="false">IF(OR(F39="",Q39="",R39=""),"",ROUND(IF(P39="incl.",F39/(1+Q39),F39)/IF(S39="per pack",R39,1),2))</f>
        <v>414.88</v>
      </c>
      <c r="AE39" s="109" t="str">
        <f aca="false">IF(AND(AC39="yes",ISNUMBER(F39),IF(Compare!$H$5="All mapped",TRUE(),IF(Compare!$H$5="EXACT only",J39="EXACT",OR(J39="EXACT",J39="CLOSE")))),"yes","no")</f>
        <v>yes</v>
      </c>
      <c r="AF39" s="109" t="n">
        <f aca="false">IF(ISNUMBER(H39),COUNTIFS($B$7:$B$3000,B39,$C$7:$C$3000,C39,$H$7:$H$3000,"&lt;"&amp;H39,$AH$7:$AH$3000,"yes")+COUNTIFS($B$7:B39,B39,$C$7:C39,C39,$H$7:H39,H39,$AH$7:AH39,"yes"),"")</f>
        <v>6</v>
      </c>
      <c r="AG39" s="109" t="n">
        <f aca="false">IF(ISNUMBER(I39),COUNTIFS($B$7:$B$3000,B39,$C$7:$C$3000,C39,$I$7:$I$3000,"&lt;"&amp;I39,$AI$7:$AI$3000,"yes")+COUNTIFS($B$7:B39,B39,$C$7:C39,C39,$I$7:I39,I39,$AI$7:AI39,"yes"),"")</f>
        <v>6</v>
      </c>
      <c r="AH39" s="109" t="str">
        <f aca="false">IF(ISNUMBER(H39),"yes","no")</f>
        <v>yes</v>
      </c>
      <c r="AI39" s="109" t="str">
        <f aca="false">IF(ISNUMBER(I39),"yes","no")</f>
        <v>yes</v>
      </c>
      <c r="AJ39" s="116" t="n">
        <v>46295</v>
      </c>
      <c r="AK39" s="109"/>
    </row>
    <row r="40" customFormat="false" ht="42" hidden="false" customHeight="true" outlineLevel="0" collapsed="false">
      <c r="A40" s="3"/>
      <c r="B40" s="36" t="s">
        <v>9</v>
      </c>
      <c r="C40" s="98" t="s">
        <v>17</v>
      </c>
      <c r="D40" s="98" t="s">
        <v>361</v>
      </c>
      <c r="E40" s="110" t="s">
        <v>639</v>
      </c>
      <c r="F40" s="99" t="n">
        <v>401</v>
      </c>
      <c r="G40" s="98" t="s">
        <v>333</v>
      </c>
      <c r="H40" s="112" t="n">
        <f aca="false">IF(AND(AE40="yes",ISNUMBER(AD40)),AD40,"")</f>
        <v>331.4</v>
      </c>
      <c r="I40" s="95" t="n">
        <f aca="false">IF(AND(AE40="yes",ISNUMBER(AD40),ISNUMBER(INDEX(Sources!$G$7:$G$10,MATCH(AB40,Sources!$B$7:$B$10,0)))),ROUND(AD40/INDEX(Sources!$G$7:$G$10,MATCH(AB40,Sources!$B$7:$B$10,0)),6),"")</f>
        <v>13.568835</v>
      </c>
      <c r="J40" s="98" t="s">
        <v>530</v>
      </c>
      <c r="K40" s="98" t="s">
        <v>586</v>
      </c>
      <c r="L40" s="96"/>
      <c r="M40" s="110" t="s">
        <v>640</v>
      </c>
      <c r="N40" s="117" t="s">
        <v>641</v>
      </c>
      <c r="O40" s="110" t="s">
        <v>642</v>
      </c>
      <c r="P40" s="110" t="s">
        <v>265</v>
      </c>
      <c r="Q40" s="118" t="n">
        <v>0.21</v>
      </c>
      <c r="R40" s="110" t="n">
        <v>1</v>
      </c>
      <c r="S40" s="110" t="s">
        <v>632</v>
      </c>
      <c r="T40" s="110" t="s">
        <v>530</v>
      </c>
      <c r="U40" s="110" t="s">
        <v>591</v>
      </c>
      <c r="V40" s="119"/>
      <c r="W40" s="119"/>
      <c r="X40" s="110" t="s">
        <v>626</v>
      </c>
      <c r="Y40" s="110"/>
      <c r="Z40" s="110"/>
      <c r="AA40" s="110"/>
      <c r="AB40" s="110" t="s">
        <v>333</v>
      </c>
      <c r="AC40" s="110" t="s">
        <v>538</v>
      </c>
      <c r="AD40" s="110" t="n">
        <f aca="false">IF(OR(F40="",Q40="",R40=""),"",ROUND(IF(P40="incl.",F40/(1+Q40),F40)/IF(S40="per pack",R40,1),2))</f>
        <v>331.4</v>
      </c>
      <c r="AE40" s="110" t="str">
        <f aca="false">IF(AND(AC40="yes",ISNUMBER(F40),IF(Compare!$H$5="All mapped",TRUE(),IF(Compare!$H$5="EXACT only",J40="EXACT",OR(J40="EXACT",J40="CLOSE")))),"yes","no")</f>
        <v>yes</v>
      </c>
      <c r="AF40" s="110" t="n">
        <f aca="false">IF(ISNUMBER(H40),COUNTIFS($B$7:$B$3000,B40,$C$7:$C$3000,C40,$H$7:$H$3000,"&lt;"&amp;H40,$AH$7:$AH$3000,"yes")+COUNTIFS($B$7:B40,B40,$C$7:C40,C40,$H$7:H40,H40,$AH$7:AH40,"yes"),"")</f>
        <v>4</v>
      </c>
      <c r="AG40" s="110" t="n">
        <f aca="false">IF(ISNUMBER(I40),COUNTIFS($B$7:$B$3000,B40,$C$7:$C$3000,C40,$I$7:$I$3000,"&lt;"&amp;I40,$AI$7:$AI$3000,"yes")+COUNTIFS($B$7:B40,B40,$C$7:C40,C40,$I$7:I40,I40,$AI$7:AI40,"yes"),"")</f>
        <v>4</v>
      </c>
      <c r="AH40" s="110" t="str">
        <f aca="false">IF(ISNUMBER(H40),"yes","no")</f>
        <v>yes</v>
      </c>
      <c r="AI40" s="110" t="str">
        <f aca="false">IF(ISNUMBER(I40),"yes","no")</f>
        <v>yes</v>
      </c>
      <c r="AJ40" s="120" t="n">
        <v>46295</v>
      </c>
      <c r="AK40" s="110"/>
    </row>
    <row r="41" customFormat="false" ht="42" hidden="false" customHeight="true" outlineLevel="0" collapsed="false">
      <c r="A41" s="3"/>
      <c r="B41" s="31" t="s">
        <v>9</v>
      </c>
      <c r="C41" s="91" t="s">
        <v>18</v>
      </c>
      <c r="D41" s="91" t="s">
        <v>365</v>
      </c>
      <c r="E41" s="109" t="s">
        <v>643</v>
      </c>
      <c r="F41" s="92" t="n">
        <v>20.48</v>
      </c>
      <c r="G41" s="91" t="s">
        <v>244</v>
      </c>
      <c r="H41" s="112" t="n">
        <f aca="false">IF(AND(AE41="yes",ISNUMBER(AD41)),AD41,"")</f>
        <v>20.48</v>
      </c>
      <c r="I41" s="95" t="n">
        <f aca="false">IF(AND(AE41="yes",ISNUMBER(AD41),ISNUMBER(INDEX(Sources!$G$7:$G$10,MATCH(AB41,Sources!$B$7:$B$10,0)))),ROUND(AD41/INDEX(Sources!$G$7:$G$10,MATCH(AB41,Sources!$B$7:$B$10,0)),6),"")</f>
        <v>20.48</v>
      </c>
      <c r="J41" s="91" t="s">
        <v>530</v>
      </c>
      <c r="K41" s="91" t="s">
        <v>586</v>
      </c>
      <c r="L41" s="96"/>
      <c r="M41" s="109" t="s">
        <v>644</v>
      </c>
      <c r="N41" s="113" t="s">
        <v>645</v>
      </c>
      <c r="O41" s="109" t="s">
        <v>646</v>
      </c>
      <c r="P41" s="109" t="s">
        <v>590</v>
      </c>
      <c r="Q41" s="114" t="s">
        <v>647</v>
      </c>
      <c r="R41" s="109" t="n">
        <v>1</v>
      </c>
      <c r="S41" s="109" t="s">
        <v>632</v>
      </c>
      <c r="T41" s="109" t="s">
        <v>530</v>
      </c>
      <c r="U41" s="109" t="s">
        <v>591</v>
      </c>
      <c r="V41" s="115" t="n">
        <v>20.48</v>
      </c>
      <c r="W41" s="115"/>
      <c r="X41" s="109" t="s">
        <v>648</v>
      </c>
      <c r="Y41" s="109"/>
      <c r="Z41" s="109"/>
      <c r="AA41" s="109"/>
      <c r="AB41" s="109" t="s">
        <v>244</v>
      </c>
      <c r="AC41" s="109" t="s">
        <v>538</v>
      </c>
      <c r="AD41" s="109" t="n">
        <f aca="false">IF(ISNUMBER(V41),ROUND(V41,6),"")</f>
        <v>20.48</v>
      </c>
      <c r="AE41" s="109" t="str">
        <f aca="false">IF(AND(AC41="yes",ISNUMBER(F41),IF(Compare!$H$5="All mapped",TRUE(),IF(Compare!$H$5="EXACT only",J41="EXACT",OR(J41="EXACT",J41="CLOSE")))),"yes","no")</f>
        <v>yes</v>
      </c>
      <c r="AF41" s="109" t="n">
        <f aca="false">IF(ISNUMBER(H41),COUNTIFS($B$7:$B$3000,B41,$C$7:$C$3000,C41,$H$7:$H$3000,"&lt;"&amp;H41,$AH$7:$AH$3000,"yes")+COUNTIFS($B$7:B41,B41,$C$7:C41,C41,$H$7:H41,H41,$AH$7:AH41,"yes"),"")</f>
        <v>2</v>
      </c>
      <c r="AG41" s="109" t="n">
        <f aca="false">IF(ISNUMBER(I41),COUNTIFS($B$7:$B$3000,B41,$C$7:$C$3000,C41,$I$7:$I$3000,"&lt;"&amp;I41,$AI$7:$AI$3000,"yes")+COUNTIFS($B$7:B41,B41,$C$7:C41,C41,$I$7:I41,I41,$AI$7:AI41,"yes"),"")</f>
        <v>2</v>
      </c>
      <c r="AH41" s="109" t="str">
        <f aca="false">IF(ISNUMBER(H41),"yes","no")</f>
        <v>yes</v>
      </c>
      <c r="AI41" s="109" t="str">
        <f aca="false">IF(ISNUMBER(I41),"yes","no")</f>
        <v>yes</v>
      </c>
      <c r="AJ41" s="116" t="n">
        <v>46295</v>
      </c>
      <c r="AK41" s="109"/>
    </row>
    <row r="42" customFormat="false" ht="42" hidden="false" customHeight="true" outlineLevel="0" collapsed="false">
      <c r="A42" s="3"/>
      <c r="B42" s="36" t="s">
        <v>9</v>
      </c>
      <c r="C42" s="98" t="s">
        <v>18</v>
      </c>
      <c r="D42" s="98" t="s">
        <v>369</v>
      </c>
      <c r="E42" s="110" t="s">
        <v>649</v>
      </c>
      <c r="F42" s="99" t="n">
        <v>20.24</v>
      </c>
      <c r="G42" s="98" t="s">
        <v>244</v>
      </c>
      <c r="H42" s="112" t="n">
        <f aca="false">IF(AND(AE42="yes",ISNUMBER(AD42)),AD42,"")</f>
        <v>16.455285</v>
      </c>
      <c r="I42" s="95" t="n">
        <f aca="false">IF(AND(AE42="yes",ISNUMBER(AD42),ISNUMBER(INDEX(Sources!$G$7:$G$10,MATCH(AB42,Sources!$B$7:$B$10,0)))),ROUND(AD42/INDEX(Sources!$G$7:$G$10,MATCH(AB42,Sources!$B$7:$B$10,0)),6),"")</f>
        <v>16.455285</v>
      </c>
      <c r="J42" s="98" t="s">
        <v>530</v>
      </c>
      <c r="K42" s="98" t="s">
        <v>586</v>
      </c>
      <c r="L42" s="96"/>
      <c r="M42" s="110" t="s">
        <v>650</v>
      </c>
      <c r="N42" s="117" t="s">
        <v>651</v>
      </c>
      <c r="O42" s="110" t="s">
        <v>565</v>
      </c>
      <c r="P42" s="110" t="s">
        <v>265</v>
      </c>
      <c r="Q42" s="118" t="n">
        <v>0.23</v>
      </c>
      <c r="R42" s="110" t="n">
        <v>1</v>
      </c>
      <c r="S42" s="110" t="s">
        <v>632</v>
      </c>
      <c r="T42" s="110" t="s">
        <v>530</v>
      </c>
      <c r="U42" s="110" t="s">
        <v>591</v>
      </c>
      <c r="V42" s="119" t="n">
        <v>16.4552845528455</v>
      </c>
      <c r="W42" s="119"/>
      <c r="X42" s="110" t="s">
        <v>648</v>
      </c>
      <c r="Y42" s="110"/>
      <c r="Z42" s="110"/>
      <c r="AA42" s="110"/>
      <c r="AB42" s="110" t="s">
        <v>244</v>
      </c>
      <c r="AC42" s="110" t="s">
        <v>538</v>
      </c>
      <c r="AD42" s="110" t="n">
        <f aca="false">IF(ISNUMBER(V42),ROUND(V42,6),"")</f>
        <v>16.455285</v>
      </c>
      <c r="AE42" s="110" t="str">
        <f aca="false">IF(AND(AC42="yes",ISNUMBER(F42),IF(Compare!$H$5="All mapped",TRUE(),IF(Compare!$H$5="EXACT only",J42="EXACT",OR(J42="EXACT",J42="CLOSE")))),"yes","no")</f>
        <v>yes</v>
      </c>
      <c r="AF42" s="110" t="n">
        <f aca="false">IF(ISNUMBER(H42),COUNTIFS($B$7:$B$3000,B42,$C$7:$C$3000,C42,$H$7:$H$3000,"&lt;"&amp;H42,$AH$7:$AH$3000,"yes")+COUNTIFS($B$7:B42,B42,$C$7:C42,C42,$H$7:H42,H42,$AH$7:AH42,"yes"),"")</f>
        <v>1</v>
      </c>
      <c r="AG42" s="110" t="n">
        <f aca="false">IF(ISNUMBER(I42),COUNTIFS($B$7:$B$3000,B42,$C$7:$C$3000,C42,$I$7:$I$3000,"&lt;"&amp;I42,$AI$7:$AI$3000,"yes")+COUNTIFS($B$7:B42,B42,$C$7:C42,C42,$I$7:I42,I42,$AI$7:AI42,"yes"),"")</f>
        <v>1</v>
      </c>
      <c r="AH42" s="110" t="str">
        <f aca="false">IF(ISNUMBER(H42),"yes","no")</f>
        <v>yes</v>
      </c>
      <c r="AI42" s="110" t="str">
        <f aca="false">IF(ISNUMBER(I42),"yes","no")</f>
        <v>yes</v>
      </c>
      <c r="AJ42" s="120" t="n">
        <v>46295</v>
      </c>
      <c r="AK42" s="110"/>
    </row>
    <row r="43" customFormat="false" ht="42" hidden="false" customHeight="true" outlineLevel="0" collapsed="false">
      <c r="A43" s="3"/>
      <c r="B43" s="31" t="s">
        <v>22</v>
      </c>
      <c r="C43" s="91" t="s">
        <v>13</v>
      </c>
      <c r="D43" s="91" t="s">
        <v>528</v>
      </c>
      <c r="E43" s="109" t="s">
        <v>652</v>
      </c>
      <c r="F43" s="92" t="n">
        <v>3129</v>
      </c>
      <c r="G43" s="91" t="s">
        <v>490</v>
      </c>
      <c r="H43" s="112" t="n">
        <f aca="false">IF(AND(AE43="yes",ISNUMBER(AD43)),AD43,"")</f>
        <v>3129</v>
      </c>
      <c r="I43" s="95" t="n">
        <f aca="false">IF(AND(AE43="yes",ISNUMBER(AD43),ISNUMBER(INDEX(Sources!$G$7:$G$10,MATCH(AB43,Sources!$B$7:$B$10,0)))),ROUND(AD43/INDEX(Sources!$G$7:$G$10,MATCH(AB43,Sources!$B$7:$B$10,0)),6),"")</f>
        <v>8.546612</v>
      </c>
      <c r="J43" s="91" t="s">
        <v>530</v>
      </c>
      <c r="K43" s="91" t="s">
        <v>531</v>
      </c>
      <c r="L43" s="96"/>
      <c r="M43" s="109" t="s">
        <v>653</v>
      </c>
      <c r="N43" s="113" t="s">
        <v>533</v>
      </c>
      <c r="O43" s="109"/>
      <c r="P43" s="109"/>
      <c r="Q43" s="114"/>
      <c r="R43" s="109"/>
      <c r="S43" s="109"/>
      <c r="T43" s="109"/>
      <c r="U43" s="109" t="s">
        <v>534</v>
      </c>
      <c r="V43" s="115"/>
      <c r="W43" s="115" t="n">
        <v>3129</v>
      </c>
      <c r="X43" s="109" t="s">
        <v>535</v>
      </c>
      <c r="Y43" s="109"/>
      <c r="Z43" s="109" t="s">
        <v>536</v>
      </c>
      <c r="AA43" s="109" t="s">
        <v>537</v>
      </c>
      <c r="AB43" s="109" t="s">
        <v>490</v>
      </c>
      <c r="AC43" s="109" t="s">
        <v>538</v>
      </c>
      <c r="AD43" s="115" t="n">
        <f aca="false">IF(ISNUMBER(F43),IF(G43=AB43,F43,IF(AND(ISNUMBER(INDEX(Sources!$G$7:$G$10,MATCH(G43,Sources!$B$7:$B$10,0))),ISNUMBER(INDEX(Sources!$G$7:$G$10,MATCH(AB43,Sources!$B$7:$B$10,0)))),F43/INDEX(Sources!$G$7:$G$10,MATCH(G43,Sources!$B$7:$B$10,0))*INDEX(Sources!$G$7:$G$10,MATCH(AB43,Sources!$B$7:$B$10,0)),"")),"")</f>
        <v>3129</v>
      </c>
      <c r="AE43" s="109" t="str">
        <f aca="false">IF(AND(AC43="yes",ISNUMBER(F43),IF(Compare!$H$5="All mapped",TRUE(),IF(Compare!$H$5="EXACT only",J43="EXACT",OR(J43="EXACT",J43="CLOSE")))),"yes","no")</f>
        <v>yes</v>
      </c>
      <c r="AF43" s="109" t="n">
        <f aca="false">IF(ISNUMBER(H43),COUNTIFS($B$7:$B$3000,B43,$C$7:$C$3000,C43,$H$7:$H$3000,"&lt;"&amp;H43,$AH$7:$AH$3000,"yes")+COUNTIFS($B$7:B43,B43,$C$7:C43,C43,$H$7:H43,H43,$AH$7:AH43,"yes"),"")</f>
        <v>2</v>
      </c>
      <c r="AG43" s="109" t="n">
        <f aca="false">IF(ISNUMBER(I43),COUNTIFS($B$7:$B$3000,B43,$C$7:$C$3000,C43,$I$7:$I$3000,"&lt;"&amp;I43,$AI$7:$AI$3000,"yes")+COUNTIFS($B$7:B43,B43,$C$7:C43,C43,$I$7:I43,I43,$AI$7:AI43,"yes"),"")</f>
        <v>2</v>
      </c>
      <c r="AH43" s="109" t="str">
        <f aca="false">IF(ISNUMBER(H43),"yes","no")</f>
        <v>yes</v>
      </c>
      <c r="AI43" s="109" t="str">
        <f aca="false">IF(ISNUMBER(I43),"yes","no")</f>
        <v>yes</v>
      </c>
      <c r="AJ43" s="116" t="n">
        <v>46181</v>
      </c>
      <c r="AK43" s="109"/>
    </row>
    <row r="44" customFormat="false" ht="42" hidden="false" customHeight="true" outlineLevel="0" collapsed="false">
      <c r="A44" s="3"/>
      <c r="B44" s="36" t="s">
        <v>22</v>
      </c>
      <c r="C44" s="98" t="s">
        <v>13</v>
      </c>
      <c r="D44" s="98" t="s">
        <v>539</v>
      </c>
      <c r="E44" s="110" t="s">
        <v>652</v>
      </c>
      <c r="F44" s="99" t="n">
        <v>2340</v>
      </c>
      <c r="G44" s="98" t="s">
        <v>490</v>
      </c>
      <c r="H44" s="112" t="n">
        <f aca="false">IF(AND(AE44="yes",ISNUMBER(AD44)),AD44,"")</f>
        <v>2340</v>
      </c>
      <c r="I44" s="95" t="n">
        <f aca="false">IF(AND(AE44="yes",ISNUMBER(AD44),ISNUMBER(INDEX(Sources!$G$7:$G$10,MATCH(AB44,Sources!$B$7:$B$10,0)))),ROUND(AD44/INDEX(Sources!$G$7:$G$10,MATCH(AB44,Sources!$B$7:$B$10,0)),6),"")</f>
        <v>6.391522</v>
      </c>
      <c r="J44" s="98" t="s">
        <v>530</v>
      </c>
      <c r="K44" s="98" t="s">
        <v>531</v>
      </c>
      <c r="L44" s="96"/>
      <c r="M44" s="110" t="s">
        <v>653</v>
      </c>
      <c r="N44" s="117" t="s">
        <v>540</v>
      </c>
      <c r="O44" s="110"/>
      <c r="P44" s="110"/>
      <c r="Q44" s="118"/>
      <c r="R44" s="110"/>
      <c r="S44" s="110"/>
      <c r="T44" s="110"/>
      <c r="U44" s="110" t="s">
        <v>534</v>
      </c>
      <c r="V44" s="119"/>
      <c r="W44" s="119" t="n">
        <v>2340</v>
      </c>
      <c r="X44" s="110" t="s">
        <v>535</v>
      </c>
      <c r="Y44" s="110"/>
      <c r="Z44" s="110"/>
      <c r="AA44" s="110" t="s">
        <v>537</v>
      </c>
      <c r="AB44" s="110" t="s">
        <v>490</v>
      </c>
      <c r="AC44" s="110" t="s">
        <v>538</v>
      </c>
      <c r="AD44" s="119" t="n">
        <f aca="false">IF(ISNUMBER(F44),IF(G44=AB44,F44,IF(AND(ISNUMBER(INDEX(Sources!$G$7:$G$10,MATCH(G44,Sources!$B$7:$B$10,0))),ISNUMBER(INDEX(Sources!$G$7:$G$10,MATCH(AB44,Sources!$B$7:$B$10,0)))),F44/INDEX(Sources!$G$7:$G$10,MATCH(G44,Sources!$B$7:$B$10,0))*INDEX(Sources!$G$7:$G$10,MATCH(AB44,Sources!$B$7:$B$10,0)),"")),"")</f>
        <v>2340</v>
      </c>
      <c r="AE44" s="110" t="str">
        <f aca="false">IF(AND(AC44="yes",ISNUMBER(F44),IF(Compare!$H$5="All mapped",TRUE(),IF(Compare!$H$5="EXACT only",J44="EXACT",OR(J44="EXACT",J44="CLOSE")))),"yes","no")</f>
        <v>yes</v>
      </c>
      <c r="AF44" s="110" t="n">
        <f aca="false">IF(ISNUMBER(H44),COUNTIFS($B$7:$B$3000,B44,$C$7:$C$3000,C44,$H$7:$H$3000,"&lt;"&amp;H44,$AH$7:$AH$3000,"yes")+COUNTIFS($B$7:B44,B44,$C$7:C44,C44,$H$7:H44,H44,$AH$7:AH44,"yes"),"")</f>
        <v>1</v>
      </c>
      <c r="AG44" s="110" t="n">
        <f aca="false">IF(ISNUMBER(I44),COUNTIFS($B$7:$B$3000,B44,$C$7:$C$3000,C44,$I$7:$I$3000,"&lt;"&amp;I44,$AI$7:$AI$3000,"yes")+COUNTIFS($B$7:B44,B44,$C$7:C44,C44,$I$7:I44,I44,$AI$7:AI44,"yes"),"")</f>
        <v>1</v>
      </c>
      <c r="AH44" s="110" t="str">
        <f aca="false">IF(ISNUMBER(H44),"yes","no")</f>
        <v>yes</v>
      </c>
      <c r="AI44" s="110" t="str">
        <f aca="false">IF(ISNUMBER(I44),"yes","no")</f>
        <v>yes</v>
      </c>
      <c r="AJ44" s="120" t="n">
        <v>46181</v>
      </c>
      <c r="AK44" s="110"/>
    </row>
    <row r="45" customFormat="false" ht="42" hidden="false" customHeight="true" outlineLevel="0" collapsed="false">
      <c r="A45" s="3"/>
      <c r="B45" s="31" t="s">
        <v>22</v>
      </c>
      <c r="C45" s="91" t="s">
        <v>13</v>
      </c>
      <c r="D45" s="91" t="s">
        <v>541</v>
      </c>
      <c r="E45" s="109" t="s">
        <v>652</v>
      </c>
      <c r="F45" s="92" t="n">
        <v>5740</v>
      </c>
      <c r="G45" s="91" t="s">
        <v>490</v>
      </c>
      <c r="H45" s="112" t="n">
        <f aca="false">IF(AND(AE45="yes",ISNUMBER(AD45)),AD45,"")</f>
        <v>5740</v>
      </c>
      <c r="I45" s="95" t="n">
        <f aca="false">IF(AND(AE45="yes",ISNUMBER(AD45),ISNUMBER(INDEX(Sources!$G$7:$G$10,MATCH(AB45,Sources!$B$7:$B$10,0)))),ROUND(AD45/INDEX(Sources!$G$7:$G$10,MATCH(AB45,Sources!$B$7:$B$10,0)),6),"")</f>
        <v>15.678348</v>
      </c>
      <c r="J45" s="91" t="s">
        <v>530</v>
      </c>
      <c r="K45" s="91" t="s">
        <v>531</v>
      </c>
      <c r="L45" s="96"/>
      <c r="M45" s="109" t="s">
        <v>653</v>
      </c>
      <c r="N45" s="113" t="s">
        <v>654</v>
      </c>
      <c r="O45" s="109"/>
      <c r="P45" s="109"/>
      <c r="Q45" s="114"/>
      <c r="R45" s="109"/>
      <c r="S45" s="109"/>
      <c r="T45" s="109"/>
      <c r="U45" s="109" t="s">
        <v>534</v>
      </c>
      <c r="V45" s="115"/>
      <c r="W45" s="115" t="n">
        <v>5740</v>
      </c>
      <c r="X45" s="109" t="s">
        <v>535</v>
      </c>
      <c r="Y45" s="109"/>
      <c r="Z45" s="109"/>
      <c r="AA45" s="109" t="s">
        <v>537</v>
      </c>
      <c r="AB45" s="109" t="s">
        <v>490</v>
      </c>
      <c r="AC45" s="109" t="s">
        <v>538</v>
      </c>
      <c r="AD45" s="115" t="n">
        <f aca="false">IF(ISNUMBER(F45),IF(G45=AB45,F45,IF(AND(ISNUMBER(INDEX(Sources!$G$7:$G$10,MATCH(G45,Sources!$B$7:$B$10,0))),ISNUMBER(INDEX(Sources!$G$7:$G$10,MATCH(AB45,Sources!$B$7:$B$10,0)))),F45/INDEX(Sources!$G$7:$G$10,MATCH(G45,Sources!$B$7:$B$10,0))*INDEX(Sources!$G$7:$G$10,MATCH(AB45,Sources!$B$7:$B$10,0)),"")),"")</f>
        <v>5740</v>
      </c>
      <c r="AE45" s="109" t="str">
        <f aca="false">IF(AND(AC45="yes",ISNUMBER(F45),IF(Compare!$H$5="All mapped",TRUE(),IF(Compare!$H$5="EXACT only",J45="EXACT",OR(J45="EXACT",J45="CLOSE")))),"yes","no")</f>
        <v>yes</v>
      </c>
      <c r="AF45" s="109" t="n">
        <f aca="false">IF(ISNUMBER(H45),COUNTIFS($B$7:$B$3000,B45,$C$7:$C$3000,C45,$H$7:$H$3000,"&lt;"&amp;H45,$AH$7:$AH$3000,"yes")+COUNTIFS($B$7:B45,B45,$C$7:C45,C45,$H$7:H45,H45,$AH$7:AH45,"yes"),"")</f>
        <v>6</v>
      </c>
      <c r="AG45" s="109" t="n">
        <f aca="false">IF(ISNUMBER(I45),COUNTIFS($B$7:$B$3000,B45,$C$7:$C$3000,C45,$I$7:$I$3000,"&lt;"&amp;I45,$AI$7:$AI$3000,"yes")+COUNTIFS($B$7:B45,B45,$C$7:C45,C45,$I$7:I45,I45,$AI$7:AI45,"yes"),"")</f>
        <v>6</v>
      </c>
      <c r="AH45" s="109" t="str">
        <f aca="false">IF(ISNUMBER(H45),"yes","no")</f>
        <v>yes</v>
      </c>
      <c r="AI45" s="109" t="str">
        <f aca="false">IF(ISNUMBER(I45),"yes","no")</f>
        <v>yes</v>
      </c>
      <c r="AJ45" s="116" t="n">
        <v>46181</v>
      </c>
      <c r="AK45" s="109"/>
    </row>
    <row r="46" customFormat="false" ht="42" hidden="false" customHeight="true" outlineLevel="0" collapsed="false">
      <c r="A46" s="3"/>
      <c r="B46" s="36" t="s">
        <v>22</v>
      </c>
      <c r="C46" s="98" t="s">
        <v>13</v>
      </c>
      <c r="D46" s="98" t="s">
        <v>546</v>
      </c>
      <c r="E46" s="110" t="s">
        <v>652</v>
      </c>
      <c r="F46" s="99" t="n">
        <v>3535</v>
      </c>
      <c r="G46" s="98" t="s">
        <v>490</v>
      </c>
      <c r="H46" s="112" t="n">
        <f aca="false">IF(AND(AE46="yes",ISNUMBER(AD46)),AD46,"")</f>
        <v>3535</v>
      </c>
      <c r="I46" s="95" t="n">
        <f aca="false">IF(AND(AE46="yes",ISNUMBER(AD46),ISNUMBER(INDEX(Sources!$G$7:$G$10,MATCH(AB46,Sources!$B$7:$B$10,0)))),ROUND(AD46/INDEX(Sources!$G$7:$G$10,MATCH(AB46,Sources!$B$7:$B$10,0)),6),"")</f>
        <v>9.655568</v>
      </c>
      <c r="J46" s="98" t="s">
        <v>530</v>
      </c>
      <c r="K46" s="98" t="s">
        <v>531</v>
      </c>
      <c r="L46" s="96"/>
      <c r="M46" s="110" t="s">
        <v>653</v>
      </c>
      <c r="N46" s="117" t="s">
        <v>547</v>
      </c>
      <c r="O46" s="110"/>
      <c r="P46" s="110"/>
      <c r="Q46" s="118"/>
      <c r="R46" s="110"/>
      <c r="S46" s="110"/>
      <c r="T46" s="110"/>
      <c r="U46" s="110" t="s">
        <v>534</v>
      </c>
      <c r="V46" s="119"/>
      <c r="W46" s="119" t="n">
        <v>3535</v>
      </c>
      <c r="X46" s="110" t="s">
        <v>535</v>
      </c>
      <c r="Y46" s="110"/>
      <c r="Z46" s="110"/>
      <c r="AA46" s="110" t="s">
        <v>537</v>
      </c>
      <c r="AB46" s="110" t="s">
        <v>490</v>
      </c>
      <c r="AC46" s="110" t="s">
        <v>538</v>
      </c>
      <c r="AD46" s="119" t="n">
        <f aca="false">IF(ISNUMBER(F46),IF(G46=AB46,F46,IF(AND(ISNUMBER(INDEX(Sources!$G$7:$G$10,MATCH(G46,Sources!$B$7:$B$10,0))),ISNUMBER(INDEX(Sources!$G$7:$G$10,MATCH(AB46,Sources!$B$7:$B$10,0)))),F46/INDEX(Sources!$G$7:$G$10,MATCH(G46,Sources!$B$7:$B$10,0))*INDEX(Sources!$G$7:$G$10,MATCH(AB46,Sources!$B$7:$B$10,0)),"")),"")</f>
        <v>3535</v>
      </c>
      <c r="AE46" s="110" t="str">
        <f aca="false">IF(AND(AC46="yes",ISNUMBER(F46),IF(Compare!$H$5="All mapped",TRUE(),IF(Compare!$H$5="EXACT only",J46="EXACT",OR(J46="EXACT",J46="CLOSE")))),"yes","no")</f>
        <v>yes</v>
      </c>
      <c r="AF46" s="110" t="n">
        <f aca="false">IF(ISNUMBER(H46),COUNTIFS($B$7:$B$3000,B46,$C$7:$C$3000,C46,$H$7:$H$3000,"&lt;"&amp;H46,$AH$7:$AH$3000,"yes")+COUNTIFS($B$7:B46,B46,$C$7:C46,C46,$H$7:H46,H46,$AH$7:AH46,"yes"),"")</f>
        <v>4</v>
      </c>
      <c r="AG46" s="110" t="n">
        <f aca="false">IF(ISNUMBER(I46),COUNTIFS($B$7:$B$3000,B46,$C$7:$C$3000,C46,$I$7:$I$3000,"&lt;"&amp;I46,$AI$7:$AI$3000,"yes")+COUNTIFS($B$7:B46,B46,$C$7:C46,C46,$I$7:I46,I46,$AI$7:AI46,"yes"),"")</f>
        <v>4</v>
      </c>
      <c r="AH46" s="110" t="str">
        <f aca="false">IF(ISNUMBER(H46),"yes","no")</f>
        <v>yes</v>
      </c>
      <c r="AI46" s="110" t="str">
        <f aca="false">IF(ISNUMBER(I46),"yes","no")</f>
        <v>yes</v>
      </c>
      <c r="AJ46" s="120" t="n">
        <v>46181</v>
      </c>
      <c r="AK46" s="110"/>
    </row>
    <row r="47" customFormat="false" ht="42" hidden="false" customHeight="true" outlineLevel="0" collapsed="false">
      <c r="A47" s="3"/>
      <c r="B47" s="31" t="s">
        <v>22</v>
      </c>
      <c r="C47" s="91" t="s">
        <v>13</v>
      </c>
      <c r="D47" s="91" t="s">
        <v>548</v>
      </c>
      <c r="E47" s="109" t="s">
        <v>652</v>
      </c>
      <c r="F47" s="92" t="n">
        <v>5419</v>
      </c>
      <c r="G47" s="91" t="s">
        <v>490</v>
      </c>
      <c r="H47" s="112" t="n">
        <f aca="false">IF(AND(AE47="yes",ISNUMBER(AD47)),AD47,"")</f>
        <v>5419</v>
      </c>
      <c r="I47" s="95" t="n">
        <f aca="false">IF(AND(AE47="yes",ISNUMBER(AD47),ISNUMBER(INDEX(Sources!$G$7:$G$10,MATCH(AB47,Sources!$B$7:$B$10,0)))),ROUND(AD47/INDEX(Sources!$G$7:$G$10,MATCH(AB47,Sources!$B$7:$B$10,0)),6),"")</f>
        <v>14.801562</v>
      </c>
      <c r="J47" s="91" t="s">
        <v>530</v>
      </c>
      <c r="K47" s="91" t="s">
        <v>531</v>
      </c>
      <c r="L47" s="96"/>
      <c r="M47" s="109" t="s">
        <v>653</v>
      </c>
      <c r="N47" s="113" t="s">
        <v>549</v>
      </c>
      <c r="O47" s="109"/>
      <c r="P47" s="109"/>
      <c r="Q47" s="114"/>
      <c r="R47" s="109"/>
      <c r="S47" s="109"/>
      <c r="T47" s="109"/>
      <c r="U47" s="109" t="s">
        <v>534</v>
      </c>
      <c r="V47" s="115"/>
      <c r="W47" s="115" t="n">
        <v>5419</v>
      </c>
      <c r="X47" s="109" t="s">
        <v>535</v>
      </c>
      <c r="Y47" s="109"/>
      <c r="Z47" s="109"/>
      <c r="AA47" s="109" t="s">
        <v>537</v>
      </c>
      <c r="AB47" s="109" t="s">
        <v>490</v>
      </c>
      <c r="AC47" s="109" t="s">
        <v>538</v>
      </c>
      <c r="AD47" s="115" t="n">
        <f aca="false">IF(ISNUMBER(F47),IF(G47=AB47,F47,IF(AND(ISNUMBER(INDEX(Sources!$G$7:$G$10,MATCH(G47,Sources!$B$7:$B$10,0))),ISNUMBER(INDEX(Sources!$G$7:$G$10,MATCH(AB47,Sources!$B$7:$B$10,0)))),F47/INDEX(Sources!$G$7:$G$10,MATCH(G47,Sources!$B$7:$B$10,0))*INDEX(Sources!$G$7:$G$10,MATCH(AB47,Sources!$B$7:$B$10,0)),"")),"")</f>
        <v>5419</v>
      </c>
      <c r="AE47" s="109" t="str">
        <f aca="false">IF(AND(AC47="yes",ISNUMBER(F47),IF(Compare!$H$5="All mapped",TRUE(),IF(Compare!$H$5="EXACT only",J47="EXACT",OR(J47="EXACT",J47="CLOSE")))),"yes","no")</f>
        <v>yes</v>
      </c>
      <c r="AF47" s="109" t="n">
        <f aca="false">IF(ISNUMBER(H47),COUNTIFS($B$7:$B$3000,B47,$C$7:$C$3000,C47,$H$7:$H$3000,"&lt;"&amp;H47,$AH$7:$AH$3000,"yes")+COUNTIFS($B$7:B47,B47,$C$7:C47,C47,$H$7:H47,H47,$AH$7:AH47,"yes"),"")</f>
        <v>5</v>
      </c>
      <c r="AG47" s="109" t="n">
        <f aca="false">IF(ISNUMBER(I47),COUNTIFS($B$7:$B$3000,B47,$C$7:$C$3000,C47,$I$7:$I$3000,"&lt;"&amp;I47,$AI$7:$AI$3000,"yes")+COUNTIFS($B$7:B47,B47,$C$7:C47,C47,$I$7:I47,I47,$AI$7:AI47,"yes"),"")</f>
        <v>5</v>
      </c>
      <c r="AH47" s="109" t="str">
        <f aca="false">IF(ISNUMBER(H47),"yes","no")</f>
        <v>yes</v>
      </c>
      <c r="AI47" s="109" t="str">
        <f aca="false">IF(ISNUMBER(I47),"yes","no")</f>
        <v>yes</v>
      </c>
      <c r="AJ47" s="116" t="n">
        <v>46181</v>
      </c>
      <c r="AK47" s="109"/>
    </row>
    <row r="48" customFormat="false" ht="42" hidden="false" customHeight="true" outlineLevel="0" collapsed="false">
      <c r="A48" s="3"/>
      <c r="B48" s="36" t="s">
        <v>22</v>
      </c>
      <c r="C48" s="98" t="s">
        <v>13</v>
      </c>
      <c r="D48" s="98" t="s">
        <v>550</v>
      </c>
      <c r="E48" s="110" t="s">
        <v>652</v>
      </c>
      <c r="F48" s="99" t="n">
        <v>3500</v>
      </c>
      <c r="G48" s="98" t="s">
        <v>490</v>
      </c>
      <c r="H48" s="112" t="n">
        <f aca="false">IF(AND(AE48="yes",ISNUMBER(AD48)),AD48,"")</f>
        <v>3500</v>
      </c>
      <c r="I48" s="95" t="n">
        <f aca="false">IF(AND(AE48="yes",ISNUMBER(AD48),ISNUMBER(INDEX(Sources!$G$7:$G$10,MATCH(AB48,Sources!$B$7:$B$10,0)))),ROUND(AD48/INDEX(Sources!$G$7:$G$10,MATCH(AB48,Sources!$B$7:$B$10,0)),6),"")</f>
        <v>9.559968</v>
      </c>
      <c r="J48" s="98" t="s">
        <v>530</v>
      </c>
      <c r="K48" s="98" t="s">
        <v>531</v>
      </c>
      <c r="L48" s="96"/>
      <c r="M48" s="110" t="s">
        <v>653</v>
      </c>
      <c r="N48" s="117" t="s">
        <v>551</v>
      </c>
      <c r="O48" s="110"/>
      <c r="P48" s="110"/>
      <c r="Q48" s="118"/>
      <c r="R48" s="110"/>
      <c r="S48" s="110"/>
      <c r="T48" s="110"/>
      <c r="U48" s="110" t="s">
        <v>534</v>
      </c>
      <c r="V48" s="119"/>
      <c r="W48" s="119" t="n">
        <v>3500</v>
      </c>
      <c r="X48" s="110" t="s">
        <v>535</v>
      </c>
      <c r="Y48" s="110"/>
      <c r="Z48" s="110"/>
      <c r="AA48" s="110" t="s">
        <v>537</v>
      </c>
      <c r="AB48" s="110" t="s">
        <v>490</v>
      </c>
      <c r="AC48" s="110" t="s">
        <v>538</v>
      </c>
      <c r="AD48" s="119" t="n">
        <f aca="false">IF(ISNUMBER(F48),IF(G48=AB48,F48,IF(AND(ISNUMBER(INDEX(Sources!$G$7:$G$10,MATCH(G48,Sources!$B$7:$B$10,0))),ISNUMBER(INDEX(Sources!$G$7:$G$10,MATCH(AB48,Sources!$B$7:$B$10,0)))),F48/INDEX(Sources!$G$7:$G$10,MATCH(G48,Sources!$B$7:$B$10,0))*INDEX(Sources!$G$7:$G$10,MATCH(AB48,Sources!$B$7:$B$10,0)),"")),"")</f>
        <v>3500</v>
      </c>
      <c r="AE48" s="110" t="str">
        <f aca="false">IF(AND(AC48="yes",ISNUMBER(F48),IF(Compare!$H$5="All mapped",TRUE(),IF(Compare!$H$5="EXACT only",J48="EXACT",OR(J48="EXACT",J48="CLOSE")))),"yes","no")</f>
        <v>yes</v>
      </c>
      <c r="AF48" s="110" t="n">
        <f aca="false">IF(ISNUMBER(H48),COUNTIFS($B$7:$B$3000,B48,$C$7:$C$3000,C48,$H$7:$H$3000,"&lt;"&amp;H48,$AH$7:$AH$3000,"yes")+COUNTIFS($B$7:B48,B48,$C$7:C48,C48,$H$7:H48,H48,$AH$7:AH48,"yes"),"")</f>
        <v>3</v>
      </c>
      <c r="AG48" s="110" t="n">
        <f aca="false">IF(ISNUMBER(I48),COUNTIFS($B$7:$B$3000,B48,$C$7:$C$3000,C48,$I$7:$I$3000,"&lt;"&amp;I48,$AI$7:$AI$3000,"yes")+COUNTIFS($B$7:B48,B48,$C$7:C48,C48,$I$7:I48,I48,$AI$7:AI48,"yes"),"")</f>
        <v>3</v>
      </c>
      <c r="AH48" s="110" t="str">
        <f aca="false">IF(ISNUMBER(H48),"yes","no")</f>
        <v>yes</v>
      </c>
      <c r="AI48" s="110" t="str">
        <f aca="false">IF(ISNUMBER(I48),"yes","no")</f>
        <v>yes</v>
      </c>
      <c r="AJ48" s="120" t="n">
        <v>46181</v>
      </c>
      <c r="AK48" s="110"/>
    </row>
    <row r="49" customFormat="false" ht="42" hidden="false" customHeight="true" outlineLevel="0" collapsed="false">
      <c r="A49" s="3"/>
      <c r="B49" s="31" t="s">
        <v>22</v>
      </c>
      <c r="C49" s="91" t="s">
        <v>14</v>
      </c>
      <c r="D49" s="91" t="s">
        <v>378</v>
      </c>
      <c r="E49" s="109" t="s">
        <v>655</v>
      </c>
      <c r="F49" s="92" t="n">
        <v>57.38</v>
      </c>
      <c r="G49" s="91" t="s">
        <v>374</v>
      </c>
      <c r="H49" s="112" t="n">
        <f aca="false">IF(AND(AE49="yes",ISNUMBER(AD49)),AD49,"")</f>
        <v>57.38</v>
      </c>
      <c r="I49" s="95" t="n">
        <f aca="false">IF(AND(AE49="yes",ISNUMBER(AD49),ISNUMBER(INDEX(Sources!$G$7:$G$10,MATCH(AB49,Sources!$B$7:$B$10,0)))),ROUND(AD49/INDEX(Sources!$G$7:$G$10,MATCH(AB49,Sources!$B$7:$B$10,0)),6),"")</f>
        <v>10.87228</v>
      </c>
      <c r="J49" s="91" t="s">
        <v>530</v>
      </c>
      <c r="K49" s="91" t="s">
        <v>578</v>
      </c>
      <c r="L49" s="96"/>
      <c r="M49" s="109" t="s">
        <v>554</v>
      </c>
      <c r="N49" s="113" t="s">
        <v>555</v>
      </c>
      <c r="O49" s="109"/>
      <c r="P49" s="109"/>
      <c r="Q49" s="114"/>
      <c r="R49" s="109"/>
      <c r="S49" s="109"/>
      <c r="T49" s="109"/>
      <c r="U49" s="109" t="s">
        <v>534</v>
      </c>
      <c r="V49" s="115"/>
      <c r="W49" s="115" t="n">
        <v>11.476</v>
      </c>
      <c r="X49" s="109" t="s">
        <v>556</v>
      </c>
      <c r="Y49" s="109" t="s">
        <v>557</v>
      </c>
      <c r="Z49" s="109"/>
      <c r="AA49" s="109"/>
      <c r="AB49" s="109" t="s">
        <v>374</v>
      </c>
      <c r="AC49" s="109" t="s">
        <v>538</v>
      </c>
      <c r="AD49" s="115" t="n">
        <f aca="false">IF(ISNUMBER(F49),IF(G49=AB49,F49,IF(AND(ISNUMBER(INDEX(Sources!$G$7:$G$10,MATCH(G49,Sources!$B$7:$B$10,0))),ISNUMBER(INDEX(Sources!$G$7:$G$10,MATCH(AB49,Sources!$B$7:$B$10,0)))),F49/INDEX(Sources!$G$7:$G$10,MATCH(G49,Sources!$B$7:$B$10,0))*INDEX(Sources!$G$7:$G$10,MATCH(AB49,Sources!$B$7:$B$10,0)),"")),"")</f>
        <v>57.38</v>
      </c>
      <c r="AE49" s="109" t="str">
        <f aca="false">IF(AND(AC49="yes",ISNUMBER(F49),IF(Compare!$H$5="All mapped",TRUE(),IF(Compare!$H$5="EXACT only",J49="EXACT",OR(J49="EXACT",J49="CLOSE")))),"yes","no")</f>
        <v>yes</v>
      </c>
      <c r="AF49" s="109" t="n">
        <f aca="false">IF(ISNUMBER(H49),COUNTIFS($B$7:$B$3000,B49,$C$7:$C$3000,C49,$H$7:$H$3000,"&lt;"&amp;H49,$AH$7:$AH$3000,"yes")+COUNTIFS($B$7:B49,B49,$C$7:C49,C49,$H$7:H49,H49,$AH$7:AH49,"yes"),"")</f>
        <v>5</v>
      </c>
      <c r="AG49" s="109" t="n">
        <f aca="false">IF(ISNUMBER(I49),COUNTIFS($B$7:$B$3000,B49,$C$7:$C$3000,C49,$I$7:$I$3000,"&lt;"&amp;I49,$AI$7:$AI$3000,"yes")+COUNTIFS($B$7:B49,B49,$C$7:C49,C49,$I$7:I49,I49,$AI$7:AI49,"yes"),"")</f>
        <v>5</v>
      </c>
      <c r="AH49" s="109" t="str">
        <f aca="false">IF(ISNUMBER(H49),"yes","no")</f>
        <v>yes</v>
      </c>
      <c r="AI49" s="109" t="str">
        <f aca="false">IF(ISNUMBER(I49),"yes","no")</f>
        <v>yes</v>
      </c>
      <c r="AJ49" s="116" t="n">
        <v>46205</v>
      </c>
      <c r="AK49" s="109"/>
    </row>
    <row r="50" customFormat="false" ht="42" hidden="false" customHeight="true" outlineLevel="0" collapsed="false">
      <c r="A50" s="3"/>
      <c r="B50" s="36" t="s">
        <v>22</v>
      </c>
      <c r="C50" s="98" t="s">
        <v>14</v>
      </c>
      <c r="D50" s="98" t="s">
        <v>378</v>
      </c>
      <c r="E50" s="110" t="s">
        <v>656</v>
      </c>
      <c r="F50" s="99" t="n">
        <v>58.52</v>
      </c>
      <c r="G50" s="98" t="s">
        <v>374</v>
      </c>
      <c r="H50" s="112" t="n">
        <f aca="false">IF(AND(AE50="yes",ISNUMBER(AD50)),AD50,"")</f>
        <v>58.52</v>
      </c>
      <c r="I50" s="95" t="n">
        <f aca="false">IF(AND(AE50="yes",ISNUMBER(AD50),ISNUMBER(INDEX(Sources!$G$7:$G$10,MATCH(AB50,Sources!$B$7:$B$10,0)))),ROUND(AD50/INDEX(Sources!$G$7:$G$10,MATCH(AB50,Sources!$B$7:$B$10,0)),6),"")</f>
        <v>11.088286</v>
      </c>
      <c r="J50" s="98" t="s">
        <v>530</v>
      </c>
      <c r="K50" s="98" t="s">
        <v>657</v>
      </c>
      <c r="L50" s="96"/>
      <c r="M50" s="110" t="s">
        <v>554</v>
      </c>
      <c r="N50" s="117" t="s">
        <v>560</v>
      </c>
      <c r="O50" s="110"/>
      <c r="P50" s="110"/>
      <c r="Q50" s="118"/>
      <c r="R50" s="110"/>
      <c r="S50" s="110"/>
      <c r="T50" s="110"/>
      <c r="U50" s="110" t="s">
        <v>534</v>
      </c>
      <c r="V50" s="119"/>
      <c r="W50" s="119" t="n">
        <v>11.704</v>
      </c>
      <c r="X50" s="110" t="s">
        <v>556</v>
      </c>
      <c r="Y50" s="110" t="s">
        <v>557</v>
      </c>
      <c r="Z50" s="110"/>
      <c r="AA50" s="110"/>
      <c r="AB50" s="110" t="s">
        <v>374</v>
      </c>
      <c r="AC50" s="110" t="s">
        <v>538</v>
      </c>
      <c r="AD50" s="119" t="n">
        <f aca="false">IF(ISNUMBER(F50),IF(G50=AB50,F50,IF(AND(ISNUMBER(INDEX(Sources!$G$7:$G$10,MATCH(G50,Sources!$B$7:$B$10,0))),ISNUMBER(INDEX(Sources!$G$7:$G$10,MATCH(AB50,Sources!$B$7:$B$10,0)))),F50/INDEX(Sources!$G$7:$G$10,MATCH(G50,Sources!$B$7:$B$10,0))*INDEX(Sources!$G$7:$G$10,MATCH(AB50,Sources!$B$7:$B$10,0)),"")),"")</f>
        <v>58.52</v>
      </c>
      <c r="AE50" s="110" t="str">
        <f aca="false">IF(AND(AC50="yes",ISNUMBER(F50),IF(Compare!$H$5="All mapped",TRUE(),IF(Compare!$H$5="EXACT only",J50="EXACT",OR(J50="EXACT",J50="CLOSE")))),"yes","no")</f>
        <v>yes</v>
      </c>
      <c r="AF50" s="110" t="n">
        <f aca="false">IF(ISNUMBER(H50),COUNTIFS($B$7:$B$3000,B50,$C$7:$C$3000,C50,$H$7:$H$3000,"&lt;"&amp;H50,$AH$7:$AH$3000,"yes")+COUNTIFS($B$7:B50,B50,$C$7:C50,C50,$H$7:H50,H50,$AH$7:AH50,"yes"),"")</f>
        <v>6</v>
      </c>
      <c r="AG50" s="110" t="n">
        <f aca="false">IF(ISNUMBER(I50),COUNTIFS($B$7:$B$3000,B50,$C$7:$C$3000,C50,$I$7:$I$3000,"&lt;"&amp;I50,$AI$7:$AI$3000,"yes")+COUNTIFS($B$7:B50,B50,$C$7:C50,C50,$I$7:I50,I50,$AI$7:AI50,"yes"),"")</f>
        <v>6</v>
      </c>
      <c r="AH50" s="110" t="str">
        <f aca="false">IF(ISNUMBER(H50),"yes","no")</f>
        <v>yes</v>
      </c>
      <c r="AI50" s="110" t="str">
        <f aca="false">IF(ISNUMBER(I50),"yes","no")</f>
        <v>yes</v>
      </c>
      <c r="AJ50" s="120" t="n">
        <v>46208</v>
      </c>
      <c r="AK50" s="110"/>
    </row>
    <row r="51" customFormat="false" ht="48.75" hidden="false" customHeight="true" outlineLevel="0" collapsed="false">
      <c r="A51" s="3"/>
      <c r="B51" s="31" t="s">
        <v>22</v>
      </c>
      <c r="C51" s="91" t="s">
        <v>14</v>
      </c>
      <c r="D51" s="91" t="s">
        <v>346</v>
      </c>
      <c r="E51" s="109" t="s">
        <v>658</v>
      </c>
      <c r="F51" s="92" t="n">
        <v>85.04</v>
      </c>
      <c r="G51" s="91" t="s">
        <v>374</v>
      </c>
      <c r="H51" s="112" t="n">
        <f aca="false">IF(AND(AE51="yes",ISNUMBER(AD51)),AD51,"")</f>
        <v>85.04</v>
      </c>
      <c r="I51" s="95" t="n">
        <f aca="false">IF(AND(AE51="yes",ISNUMBER(AD51),ISNUMBER(INDEX(Sources!$G$7:$G$10,MATCH(AB51,Sources!$B$7:$B$10,0)))),ROUND(AD51/INDEX(Sources!$G$7:$G$10,MATCH(AB51,Sources!$B$7:$B$10,0)),6),"")</f>
        <v>16.113258</v>
      </c>
      <c r="J51" s="91" t="s">
        <v>530</v>
      </c>
      <c r="K51" s="91" t="s">
        <v>562</v>
      </c>
      <c r="L51" s="96"/>
      <c r="M51" s="109" t="s">
        <v>659</v>
      </c>
      <c r="N51" s="113" t="s">
        <v>660</v>
      </c>
      <c r="O51" s="109" t="s">
        <v>565</v>
      </c>
      <c r="P51" s="109"/>
      <c r="Q51" s="114"/>
      <c r="R51" s="109"/>
      <c r="S51" s="109"/>
      <c r="T51" s="109"/>
      <c r="U51" s="109" t="s">
        <v>534</v>
      </c>
      <c r="V51" s="115"/>
      <c r="W51" s="115" t="n">
        <v>17.054</v>
      </c>
      <c r="X51" s="109" t="s">
        <v>556</v>
      </c>
      <c r="Y51" s="109" t="s">
        <v>557</v>
      </c>
      <c r="Z51" s="109"/>
      <c r="AA51" s="109"/>
      <c r="AB51" s="109" t="s">
        <v>374</v>
      </c>
      <c r="AC51" s="109" t="s">
        <v>538</v>
      </c>
      <c r="AD51" s="115" t="n">
        <f aca="false">IF(ISNUMBER(F51),IF(G51=AB51,F51,IF(AND(ISNUMBER(INDEX(Sources!$G$7:$G$10,MATCH(G51,Sources!$B$7:$B$10,0))),ISNUMBER(INDEX(Sources!$G$7:$G$10,MATCH(AB51,Sources!$B$7:$B$10,0)))),F51/INDEX(Sources!$G$7:$G$10,MATCH(G51,Sources!$B$7:$B$10,0))*INDEX(Sources!$G$7:$G$10,MATCH(AB51,Sources!$B$7:$B$10,0)),"")),"")</f>
        <v>85.04</v>
      </c>
      <c r="AE51" s="109" t="str">
        <f aca="false">IF(AND(AC51="yes",ISNUMBER(F51),IF(Compare!$H$5="All mapped",TRUE(),IF(Compare!$H$5="EXACT only",J51="EXACT",OR(J51="EXACT",J51="CLOSE")))),"yes","no")</f>
        <v>yes</v>
      </c>
      <c r="AF51" s="109" t="n">
        <f aca="false">IF(ISNUMBER(H51),COUNTIFS($B$7:$B$3000,B51,$C$7:$C$3000,C51,$H$7:$H$3000,"&lt;"&amp;H51,$AH$7:$AH$3000,"yes")+COUNTIFS($B$7:B51,B51,$C$7:C51,C51,$H$7:H51,H51,$AH$7:AH51,"yes"),"")</f>
        <v>8</v>
      </c>
      <c r="AG51" s="109" t="n">
        <f aca="false">IF(ISNUMBER(I51),COUNTIFS($B$7:$B$3000,B51,$C$7:$C$3000,C51,$I$7:$I$3000,"&lt;"&amp;I51,$AI$7:$AI$3000,"yes")+COUNTIFS($B$7:B51,B51,$C$7:C51,C51,$I$7:I51,I51,$AI$7:AI51,"yes"),"")</f>
        <v>8</v>
      </c>
      <c r="AH51" s="109" t="str">
        <f aca="false">IF(ISNUMBER(H51),"yes","no")</f>
        <v>yes</v>
      </c>
      <c r="AI51" s="109" t="str">
        <f aca="false">IF(ISNUMBER(I51),"yes","no")</f>
        <v>yes</v>
      </c>
      <c r="AJ51" s="116" t="n">
        <v>46295</v>
      </c>
      <c r="AK51" s="109"/>
    </row>
    <row r="52" customFormat="false" ht="42" hidden="false" customHeight="true" outlineLevel="0" collapsed="false">
      <c r="A52" s="3"/>
      <c r="B52" s="36" t="s">
        <v>22</v>
      </c>
      <c r="C52" s="98" t="s">
        <v>14</v>
      </c>
      <c r="D52" s="98" t="s">
        <v>346</v>
      </c>
      <c r="E52" s="110" t="s">
        <v>656</v>
      </c>
      <c r="F52" s="99" t="n">
        <v>79.52</v>
      </c>
      <c r="G52" s="98" t="s">
        <v>374</v>
      </c>
      <c r="H52" s="112" t="n">
        <f aca="false">IF(AND(AE52="yes",ISNUMBER(AD52)),AD52,"")</f>
        <v>79.52</v>
      </c>
      <c r="I52" s="95" t="n">
        <f aca="false">IF(AND(AE52="yes",ISNUMBER(AD52),ISNUMBER(INDEX(Sources!$G$7:$G$10,MATCH(AB52,Sources!$B$7:$B$10,0)))),ROUND(AD52/INDEX(Sources!$G$7:$G$10,MATCH(AB52,Sources!$B$7:$B$10,0)),6),"")</f>
        <v>15.067336</v>
      </c>
      <c r="J52" s="98" t="s">
        <v>530</v>
      </c>
      <c r="K52" s="98" t="s">
        <v>657</v>
      </c>
      <c r="L52" s="96"/>
      <c r="M52" s="110" t="s">
        <v>554</v>
      </c>
      <c r="N52" s="117" t="s">
        <v>661</v>
      </c>
      <c r="O52" s="110" t="s">
        <v>662</v>
      </c>
      <c r="P52" s="110"/>
      <c r="Q52" s="118"/>
      <c r="R52" s="110"/>
      <c r="S52" s="110"/>
      <c r="T52" s="110"/>
      <c r="U52" s="110" t="s">
        <v>534</v>
      </c>
      <c r="V52" s="119"/>
      <c r="W52" s="119" t="n">
        <v>15.904</v>
      </c>
      <c r="X52" s="110" t="s">
        <v>556</v>
      </c>
      <c r="Y52" s="110" t="s">
        <v>557</v>
      </c>
      <c r="Z52" s="110"/>
      <c r="AA52" s="110"/>
      <c r="AB52" s="110" t="s">
        <v>374</v>
      </c>
      <c r="AC52" s="110" t="s">
        <v>538</v>
      </c>
      <c r="AD52" s="119" t="n">
        <f aca="false">IF(ISNUMBER(F52),IF(G52=AB52,F52,IF(AND(ISNUMBER(INDEX(Sources!$G$7:$G$10,MATCH(G52,Sources!$B$7:$B$10,0))),ISNUMBER(INDEX(Sources!$G$7:$G$10,MATCH(AB52,Sources!$B$7:$B$10,0)))),F52/INDEX(Sources!$G$7:$G$10,MATCH(G52,Sources!$B$7:$B$10,0))*INDEX(Sources!$G$7:$G$10,MATCH(AB52,Sources!$B$7:$B$10,0)),"")),"")</f>
        <v>79.52</v>
      </c>
      <c r="AE52" s="110" t="str">
        <f aca="false">IF(AND(AC52="yes",ISNUMBER(F52),IF(Compare!$H$5="All mapped",TRUE(),IF(Compare!$H$5="EXACT only",J52="EXACT",OR(J52="EXACT",J52="CLOSE")))),"yes","no")</f>
        <v>yes</v>
      </c>
      <c r="AF52" s="110" t="n">
        <f aca="false">IF(ISNUMBER(H52),COUNTIFS($B$7:$B$3000,B52,$C$7:$C$3000,C52,$H$7:$H$3000,"&lt;"&amp;H52,$AH$7:$AH$3000,"yes")+COUNTIFS($B$7:B52,B52,$C$7:C52,C52,$H$7:H52,H52,$AH$7:AH52,"yes"),"")</f>
        <v>7</v>
      </c>
      <c r="AG52" s="110" t="n">
        <f aca="false">IF(ISNUMBER(I52),COUNTIFS($B$7:$B$3000,B52,$C$7:$C$3000,C52,$I$7:$I$3000,"&lt;"&amp;I52,$AI$7:$AI$3000,"yes")+COUNTIFS($B$7:B52,B52,$C$7:C52,C52,$I$7:I52,I52,$AI$7:AI52,"yes"),"")</f>
        <v>7</v>
      </c>
      <c r="AH52" s="110" t="str">
        <f aca="false">IF(ISNUMBER(H52),"yes","no")</f>
        <v>yes</v>
      </c>
      <c r="AI52" s="110" t="str">
        <f aca="false">IF(ISNUMBER(I52),"yes","no")</f>
        <v>yes</v>
      </c>
      <c r="AJ52" s="120" t="n">
        <v>46208</v>
      </c>
      <c r="AK52" s="110"/>
    </row>
    <row r="53" customFormat="false" ht="42" hidden="false" customHeight="true" outlineLevel="0" collapsed="false">
      <c r="A53" s="3"/>
      <c r="B53" s="31" t="s">
        <v>22</v>
      </c>
      <c r="C53" s="91" t="s">
        <v>14</v>
      </c>
      <c r="D53" s="91" t="s">
        <v>388</v>
      </c>
      <c r="E53" s="109" t="s">
        <v>658</v>
      </c>
      <c r="F53" s="92" t="n">
        <v>89.26</v>
      </c>
      <c r="G53" s="91" t="s">
        <v>374</v>
      </c>
      <c r="H53" s="112" t="n">
        <f aca="false">IF(AND(AE53="yes",ISNUMBER(AD53)),AD53,"")</f>
        <v>89.26</v>
      </c>
      <c r="I53" s="95" t="n">
        <f aca="false">IF(AND(AE53="yes",ISNUMBER(AD53),ISNUMBER(INDEX(Sources!$G$7:$G$10,MATCH(AB53,Sources!$B$7:$B$10,0)))),ROUND(AD53/INDEX(Sources!$G$7:$G$10,MATCH(AB53,Sources!$B$7:$B$10,0)),6),"")</f>
        <v>16.912857</v>
      </c>
      <c r="J53" s="91" t="s">
        <v>530</v>
      </c>
      <c r="K53" s="91" t="s">
        <v>566</v>
      </c>
      <c r="L53" s="96"/>
      <c r="M53" s="109" t="s">
        <v>554</v>
      </c>
      <c r="N53" s="113" t="s">
        <v>663</v>
      </c>
      <c r="O53" s="109" t="s">
        <v>388</v>
      </c>
      <c r="P53" s="109"/>
      <c r="Q53" s="114"/>
      <c r="R53" s="109"/>
      <c r="S53" s="109"/>
      <c r="T53" s="109"/>
      <c r="U53" s="109" t="s">
        <v>534</v>
      </c>
      <c r="V53" s="115"/>
      <c r="W53" s="115" t="n">
        <v>17.852</v>
      </c>
      <c r="X53" s="109" t="s">
        <v>556</v>
      </c>
      <c r="Y53" s="109" t="s">
        <v>557</v>
      </c>
      <c r="Z53" s="109"/>
      <c r="AA53" s="109"/>
      <c r="AB53" s="109" t="s">
        <v>374</v>
      </c>
      <c r="AC53" s="109" t="s">
        <v>538</v>
      </c>
      <c r="AD53" s="115" t="n">
        <f aca="false">IF(ISNUMBER(F53),IF(G53=AB53,F53,IF(AND(ISNUMBER(INDEX(Sources!$G$7:$G$10,MATCH(G53,Sources!$B$7:$B$10,0))),ISNUMBER(INDEX(Sources!$G$7:$G$10,MATCH(AB53,Sources!$B$7:$B$10,0)))),F53/INDEX(Sources!$G$7:$G$10,MATCH(G53,Sources!$B$7:$B$10,0))*INDEX(Sources!$G$7:$G$10,MATCH(AB53,Sources!$B$7:$B$10,0)),"")),"")</f>
        <v>89.26</v>
      </c>
      <c r="AE53" s="109" t="str">
        <f aca="false">IF(AND(AC53="yes",ISNUMBER(F53),IF(Compare!$H$5="All mapped",TRUE(),IF(Compare!$H$5="EXACT only",J53="EXACT",OR(J53="EXACT",J53="CLOSE")))),"yes","no")</f>
        <v>yes</v>
      </c>
      <c r="AF53" s="109" t="n">
        <f aca="false">IF(ISNUMBER(H53),COUNTIFS($B$7:$B$3000,B53,$C$7:$C$3000,C53,$H$7:$H$3000,"&lt;"&amp;H53,$AH$7:$AH$3000,"yes")+COUNTIFS($B$7:B53,B53,$C$7:C53,C53,$H$7:H53,H53,$AH$7:AH53,"yes"),"")</f>
        <v>9</v>
      </c>
      <c r="AG53" s="109" t="n">
        <f aca="false">IF(ISNUMBER(I53),COUNTIFS($B$7:$B$3000,B53,$C$7:$C$3000,C53,$I$7:$I$3000,"&lt;"&amp;I53,$AI$7:$AI$3000,"yes")+COUNTIFS($B$7:B53,B53,$C$7:C53,C53,$I$7:I53,I53,$AI$7:AI53,"yes"),"")</f>
        <v>9</v>
      </c>
      <c r="AH53" s="109" t="str">
        <f aca="false">IF(ISNUMBER(H53),"yes","no")</f>
        <v>yes</v>
      </c>
      <c r="AI53" s="109" t="str">
        <f aca="false">IF(ISNUMBER(I53),"yes","no")</f>
        <v>yes</v>
      </c>
      <c r="AJ53" s="116" t="n">
        <v>46203</v>
      </c>
      <c r="AK53" s="109"/>
    </row>
    <row r="54" customFormat="false" ht="42" hidden="false" customHeight="true" outlineLevel="0" collapsed="false">
      <c r="A54" s="3"/>
      <c r="B54" s="36" t="s">
        <v>22</v>
      </c>
      <c r="C54" s="98" t="s">
        <v>14</v>
      </c>
      <c r="D54" s="98" t="s">
        <v>388</v>
      </c>
      <c r="E54" s="110" t="s">
        <v>656</v>
      </c>
      <c r="F54" s="99" t="n">
        <v>54.9</v>
      </c>
      <c r="G54" s="98" t="s">
        <v>374</v>
      </c>
      <c r="H54" s="112" t="n">
        <f aca="false">IF(AND(AE54="yes",ISNUMBER(AD54)),AD54,"")</f>
        <v>54.9</v>
      </c>
      <c r="I54" s="95" t="n">
        <f aca="false">IF(AND(AE54="yes",ISNUMBER(AD54),ISNUMBER(INDEX(Sources!$G$7:$G$10,MATCH(AB54,Sources!$B$7:$B$10,0)))),ROUND(AD54/INDEX(Sources!$G$7:$G$10,MATCH(AB54,Sources!$B$7:$B$10,0)),6),"")</f>
        <v>10.402374</v>
      </c>
      <c r="J54" s="98" t="s">
        <v>530</v>
      </c>
      <c r="K54" s="98" t="s">
        <v>657</v>
      </c>
      <c r="L54" s="96"/>
      <c r="M54" s="110" t="s">
        <v>554</v>
      </c>
      <c r="N54" s="117" t="s">
        <v>664</v>
      </c>
      <c r="O54" s="110" t="s">
        <v>388</v>
      </c>
      <c r="P54" s="110"/>
      <c r="Q54" s="118"/>
      <c r="R54" s="110"/>
      <c r="S54" s="110"/>
      <c r="T54" s="110"/>
      <c r="U54" s="110" t="s">
        <v>534</v>
      </c>
      <c r="V54" s="119"/>
      <c r="W54" s="119" t="n">
        <v>10.98</v>
      </c>
      <c r="X54" s="110" t="s">
        <v>556</v>
      </c>
      <c r="Y54" s="110" t="s">
        <v>557</v>
      </c>
      <c r="Z54" s="110"/>
      <c r="AA54" s="110"/>
      <c r="AB54" s="110" t="s">
        <v>374</v>
      </c>
      <c r="AC54" s="110" t="s">
        <v>538</v>
      </c>
      <c r="AD54" s="119" t="n">
        <f aca="false">IF(ISNUMBER(F54),IF(G54=AB54,F54,IF(AND(ISNUMBER(INDEX(Sources!$G$7:$G$10,MATCH(G54,Sources!$B$7:$B$10,0))),ISNUMBER(INDEX(Sources!$G$7:$G$10,MATCH(AB54,Sources!$B$7:$B$10,0)))),F54/INDEX(Sources!$G$7:$G$10,MATCH(G54,Sources!$B$7:$B$10,0))*INDEX(Sources!$G$7:$G$10,MATCH(AB54,Sources!$B$7:$B$10,0)),"")),"")</f>
        <v>54.9</v>
      </c>
      <c r="AE54" s="110" t="str">
        <f aca="false">IF(AND(AC54="yes",ISNUMBER(F54),IF(Compare!$H$5="All mapped",TRUE(),IF(Compare!$H$5="EXACT only",J54="EXACT",OR(J54="EXACT",J54="CLOSE")))),"yes","no")</f>
        <v>yes</v>
      </c>
      <c r="AF54" s="110" t="n">
        <f aca="false">IF(ISNUMBER(H54),COUNTIFS($B$7:$B$3000,B54,$C$7:$C$3000,C54,$H$7:$H$3000,"&lt;"&amp;H54,$AH$7:$AH$3000,"yes")+COUNTIFS($B$7:B54,B54,$C$7:C54,C54,$H$7:H54,H54,$AH$7:AH54,"yes"),"")</f>
        <v>4</v>
      </c>
      <c r="AG54" s="110" t="n">
        <f aca="false">IF(ISNUMBER(I54),COUNTIFS($B$7:$B$3000,B54,$C$7:$C$3000,C54,$I$7:$I$3000,"&lt;"&amp;I54,$AI$7:$AI$3000,"yes")+COUNTIFS($B$7:B54,B54,$C$7:C54,C54,$I$7:I54,I54,$AI$7:AI54,"yes"),"")</f>
        <v>4</v>
      </c>
      <c r="AH54" s="110" t="str">
        <f aca="false">IF(ISNUMBER(H54),"yes","no")</f>
        <v>yes</v>
      </c>
      <c r="AI54" s="110" t="str">
        <f aca="false">IF(ISNUMBER(I54),"yes","no")</f>
        <v>yes</v>
      </c>
      <c r="AJ54" s="120" t="n">
        <v>46208</v>
      </c>
      <c r="AK54" s="110"/>
    </row>
    <row r="55" customFormat="false" ht="48.75" hidden="false" customHeight="true" outlineLevel="0" collapsed="false">
      <c r="A55" s="3"/>
      <c r="B55" s="31" t="s">
        <v>22</v>
      </c>
      <c r="C55" s="91" t="s">
        <v>14</v>
      </c>
      <c r="D55" s="91" t="s">
        <v>395</v>
      </c>
      <c r="E55" s="109" t="s">
        <v>655</v>
      </c>
      <c r="F55" s="92" t="n">
        <v>5</v>
      </c>
      <c r="G55" s="91" t="s">
        <v>244</v>
      </c>
      <c r="H55" s="112" t="n">
        <f aca="false">IF(AND(AE55="yes",ISNUMBER(AD55)),AD55,"")</f>
        <v>26.3882081591466</v>
      </c>
      <c r="I55" s="95" t="n">
        <f aca="false">IF(AND(AE55="yes",ISNUMBER(AD55),ISNUMBER(INDEX(Sources!$G$7:$G$10,MATCH(AB55,Sources!$B$7:$B$10,0)))),ROUND(AD55/INDEX(Sources!$G$7:$G$10,MATCH(AB55,Sources!$B$7:$B$10,0)),6),"")</f>
        <v>5</v>
      </c>
      <c r="J55" s="91" t="s">
        <v>530</v>
      </c>
      <c r="K55" s="91" t="s">
        <v>569</v>
      </c>
      <c r="L55" s="96"/>
      <c r="M55" s="109" t="s">
        <v>665</v>
      </c>
      <c r="N55" s="113" t="s">
        <v>666</v>
      </c>
      <c r="O55" s="109" t="s">
        <v>572</v>
      </c>
      <c r="P55" s="109"/>
      <c r="Q55" s="114"/>
      <c r="R55" s="109"/>
      <c r="S55" s="109"/>
      <c r="T55" s="109"/>
      <c r="U55" s="109" t="s">
        <v>534</v>
      </c>
      <c r="V55" s="115"/>
      <c r="W55" s="115" t="n">
        <v>5.256</v>
      </c>
      <c r="X55" s="109" t="s">
        <v>556</v>
      </c>
      <c r="Y55" s="109" t="s">
        <v>557</v>
      </c>
      <c r="Z55" s="109"/>
      <c r="AA55" s="109"/>
      <c r="AB55" s="109" t="s">
        <v>374</v>
      </c>
      <c r="AC55" s="109" t="s">
        <v>538</v>
      </c>
      <c r="AD55" s="109" t="n">
        <f aca="false">IF(ISNUMBER(F55),IF(G55=AB55,F55,IF(AND(ISNUMBER(INDEX(Sources!$G$7:$G$10,MATCH(G55,Sources!$B$7:$B$10,0))),ISNUMBER(INDEX(Sources!$G$7:$G$10,MATCH(AB55,Sources!$B$7:$B$10,0)))),F55/INDEX(Sources!$G$7:$G$10,MATCH(G55,Sources!$B$7:$B$10,0))*INDEX(Sources!$G$7:$G$10,MATCH(AB55,Sources!$B$7:$B$10,0)),"")),"")</f>
        <v>26.3882081591466</v>
      </c>
      <c r="AE55" s="109" t="str">
        <f aca="false">IF(AND(AC55="yes",ISNUMBER(F55),IF(Compare!$H$5="All mapped",TRUE(),IF(Compare!$H$5="EXACT only",J55="EXACT",OR(J55="EXACT",J55="CLOSE")))),"yes","no")</f>
        <v>yes</v>
      </c>
      <c r="AF55" s="109" t="n">
        <f aca="false">IF(ISNUMBER(H55),COUNTIFS($B$7:$B$3000,B55,$C$7:$C$3000,C55,$H$7:$H$3000,"&lt;"&amp;H55,$AH$7:$AH$3000,"yes")+COUNTIFS($B$7:B55,B55,$C$7:C55,C55,$H$7:H55,H55,$AH$7:AH55,"yes"),"")</f>
        <v>1</v>
      </c>
      <c r="AG55" s="109" t="n">
        <f aca="false">IF(ISNUMBER(I55),COUNTIFS($B$7:$B$3000,B55,$C$7:$C$3000,C55,$I$7:$I$3000,"&lt;"&amp;I55,$AI$7:$AI$3000,"yes")+COUNTIFS($B$7:B55,B55,$C$7:C55,C55,$I$7:I55,I55,$AI$7:AI55,"yes"),"")</f>
        <v>1</v>
      </c>
      <c r="AH55" s="109" t="str">
        <f aca="false">IF(ISNUMBER(H55),"yes","no")</f>
        <v>yes</v>
      </c>
      <c r="AI55" s="109" t="str">
        <f aca="false">IF(ISNUMBER(I55),"yes","no")</f>
        <v>yes</v>
      </c>
      <c r="AJ55" s="116" t="n">
        <v>46277</v>
      </c>
      <c r="AK55" s="109"/>
    </row>
    <row r="56" customFormat="false" ht="42" hidden="false" customHeight="true" outlineLevel="0" collapsed="false">
      <c r="A56" s="3"/>
      <c r="B56" s="36" t="s">
        <v>22</v>
      </c>
      <c r="C56" s="98" t="s">
        <v>14</v>
      </c>
      <c r="D56" s="98" t="s">
        <v>415</v>
      </c>
      <c r="E56" s="110" t="s">
        <v>655</v>
      </c>
      <c r="F56" s="99" t="n">
        <v>6</v>
      </c>
      <c r="G56" s="98" t="s">
        <v>244</v>
      </c>
      <c r="H56" s="112" t="n">
        <f aca="false">IF(AND(AE56="yes",ISNUMBER(AD56)),AD56,"")</f>
        <v>31.6658497909759</v>
      </c>
      <c r="I56" s="95" t="n">
        <f aca="false">IF(AND(AE56="yes",ISNUMBER(AD56),ISNUMBER(INDEX(Sources!$G$7:$G$10,MATCH(AB56,Sources!$B$7:$B$10,0)))),ROUND(AD56/INDEX(Sources!$G$7:$G$10,MATCH(AB56,Sources!$B$7:$B$10,0)),6),"")</f>
        <v>6</v>
      </c>
      <c r="J56" s="98" t="s">
        <v>530</v>
      </c>
      <c r="K56" s="98" t="s">
        <v>578</v>
      </c>
      <c r="L56" s="96"/>
      <c r="M56" s="110" t="s">
        <v>554</v>
      </c>
      <c r="N56" s="117" t="s">
        <v>575</v>
      </c>
      <c r="O56" s="110"/>
      <c r="P56" s="110"/>
      <c r="Q56" s="118"/>
      <c r="R56" s="110"/>
      <c r="S56" s="110"/>
      <c r="T56" s="110"/>
      <c r="U56" s="110" t="s">
        <v>534</v>
      </c>
      <c r="V56" s="119"/>
      <c r="W56" s="119" t="n">
        <v>6</v>
      </c>
      <c r="X56" s="110" t="s">
        <v>556</v>
      </c>
      <c r="Y56" s="110" t="s">
        <v>557</v>
      </c>
      <c r="Z56" s="110"/>
      <c r="AA56" s="110"/>
      <c r="AB56" s="110" t="s">
        <v>374</v>
      </c>
      <c r="AC56" s="110" t="s">
        <v>538</v>
      </c>
      <c r="AD56" s="110" t="n">
        <f aca="false">IF(ISNUMBER(F56),IF(G56=AB56,F56,IF(AND(ISNUMBER(INDEX(Sources!$G$7:$G$10,MATCH(G56,Sources!$B$7:$B$10,0))),ISNUMBER(INDEX(Sources!$G$7:$G$10,MATCH(AB56,Sources!$B$7:$B$10,0)))),F56/INDEX(Sources!$G$7:$G$10,MATCH(G56,Sources!$B$7:$B$10,0))*INDEX(Sources!$G$7:$G$10,MATCH(AB56,Sources!$B$7:$B$10,0)),"")),"")</f>
        <v>31.6658497909759</v>
      </c>
      <c r="AE56" s="110" t="str">
        <f aca="false">IF(AND(AC56="yes",ISNUMBER(F56),IF(Compare!$H$5="All mapped",TRUE(),IF(Compare!$H$5="EXACT only",J56="EXACT",OR(J56="EXACT",J56="CLOSE")))),"yes","no")</f>
        <v>yes</v>
      </c>
      <c r="AF56" s="110" t="n">
        <f aca="false">IF(ISNUMBER(H56),COUNTIFS($B$7:$B$3000,B56,$C$7:$C$3000,C56,$H$7:$H$3000,"&lt;"&amp;H56,$AH$7:$AH$3000,"yes")+COUNTIFS($B$7:B56,B56,$C$7:C56,C56,$H$7:H56,H56,$AH$7:AH56,"yes"),"")</f>
        <v>2</v>
      </c>
      <c r="AG56" s="110" t="n">
        <f aca="false">IF(ISNUMBER(I56),COUNTIFS($B$7:$B$3000,B56,$C$7:$C$3000,C56,$I$7:$I$3000,"&lt;"&amp;I56,$AI$7:$AI$3000,"yes")+COUNTIFS($B$7:B56,B56,$C$7:C56,C56,$I$7:I56,I56,$AI$7:AI56,"yes"),"")</f>
        <v>2</v>
      </c>
      <c r="AH56" s="110" t="str">
        <f aca="false">IF(ISNUMBER(H56),"yes","no")</f>
        <v>yes</v>
      </c>
      <c r="AI56" s="110" t="str">
        <f aca="false">IF(ISNUMBER(I56),"yes","no")</f>
        <v>yes</v>
      </c>
      <c r="AJ56" s="120" t="n">
        <v>46205</v>
      </c>
      <c r="AK56" s="110"/>
    </row>
    <row r="57" customFormat="false" ht="61.5" hidden="false" customHeight="true" outlineLevel="0" collapsed="false">
      <c r="A57" s="3"/>
      <c r="B57" s="31" t="s">
        <v>22</v>
      </c>
      <c r="C57" s="91" t="s">
        <v>14</v>
      </c>
      <c r="D57" s="91" t="s">
        <v>403</v>
      </c>
      <c r="E57" s="109" t="s">
        <v>655</v>
      </c>
      <c r="F57" s="92" t="n">
        <v>35.79</v>
      </c>
      <c r="G57" s="91" t="s">
        <v>374</v>
      </c>
      <c r="H57" s="112" t="n">
        <f aca="false">IF(AND(AE57="yes",ISNUMBER(AD57)),AD57,"")</f>
        <v>35.79</v>
      </c>
      <c r="I57" s="95" t="n">
        <f aca="false">IF(AND(AE57="yes",ISNUMBER(AD57),ISNUMBER(INDEX(Sources!$G$7:$G$10,MATCH(AB57,Sources!$B$7:$B$10,0)))),ROUND(AD57/INDEX(Sources!$G$7:$G$10,MATCH(AB57,Sources!$B$7:$B$10,0)),6),"")</f>
        <v>6.781438</v>
      </c>
      <c r="J57" s="91" t="s">
        <v>530</v>
      </c>
      <c r="K57" s="91" t="s">
        <v>578</v>
      </c>
      <c r="L57" s="96"/>
      <c r="M57" s="109" t="s">
        <v>554</v>
      </c>
      <c r="N57" s="113" t="s">
        <v>667</v>
      </c>
      <c r="O57" s="109" t="s">
        <v>668</v>
      </c>
      <c r="P57" s="109"/>
      <c r="Q57" s="114"/>
      <c r="R57" s="109"/>
      <c r="S57" s="109"/>
      <c r="T57" s="109"/>
      <c r="U57" s="109" t="s">
        <v>534</v>
      </c>
      <c r="V57" s="115"/>
      <c r="W57" s="115" t="n">
        <v>7.158</v>
      </c>
      <c r="X57" s="109" t="s">
        <v>556</v>
      </c>
      <c r="Y57" s="109" t="s">
        <v>557</v>
      </c>
      <c r="Z57" s="109"/>
      <c r="AA57" s="109"/>
      <c r="AB57" s="109" t="s">
        <v>374</v>
      </c>
      <c r="AC57" s="109" t="s">
        <v>538</v>
      </c>
      <c r="AD57" s="115" t="n">
        <f aca="false">IF(ISNUMBER(F57),IF(G57=AB57,F57,IF(AND(ISNUMBER(INDEX(Sources!$G$7:$G$10,MATCH(G57,Sources!$B$7:$B$10,0))),ISNUMBER(INDEX(Sources!$G$7:$G$10,MATCH(AB57,Sources!$B$7:$B$10,0)))),F57/INDEX(Sources!$G$7:$G$10,MATCH(G57,Sources!$B$7:$B$10,0))*INDEX(Sources!$G$7:$G$10,MATCH(AB57,Sources!$B$7:$B$10,0)),"")),"")</f>
        <v>35.79</v>
      </c>
      <c r="AE57" s="109" t="str">
        <f aca="false">IF(AND(AC57="yes",ISNUMBER(F57),IF(Compare!$H$5="All mapped",TRUE(),IF(Compare!$H$5="EXACT only",J57="EXACT",OR(J57="EXACT",J57="CLOSE")))),"yes","no")</f>
        <v>yes</v>
      </c>
      <c r="AF57" s="109" t="n">
        <f aca="false">IF(ISNUMBER(H57),COUNTIFS($B$7:$B$3000,B57,$C$7:$C$3000,C57,$H$7:$H$3000,"&lt;"&amp;H57,$AH$7:$AH$3000,"yes")+COUNTIFS($B$7:B57,B57,$C$7:C57,C57,$H$7:H57,H57,$AH$7:AH57,"yes"),"")</f>
        <v>3</v>
      </c>
      <c r="AG57" s="109" t="n">
        <f aca="false">IF(ISNUMBER(I57),COUNTIFS($B$7:$B$3000,B57,$C$7:$C$3000,C57,$I$7:$I$3000,"&lt;"&amp;I57,$AI$7:$AI$3000,"yes")+COUNTIFS($B$7:B57,B57,$C$7:C57,C57,$I$7:I57,I57,$AI$7:AI57,"yes"),"")</f>
        <v>3</v>
      </c>
      <c r="AH57" s="109" t="str">
        <f aca="false">IF(ISNUMBER(H57),"yes","no")</f>
        <v>yes</v>
      </c>
      <c r="AI57" s="109" t="str">
        <f aca="false">IF(ISNUMBER(I57),"yes","no")</f>
        <v>yes</v>
      </c>
      <c r="AJ57" s="116" t="n">
        <v>46205</v>
      </c>
      <c r="AK57" s="109"/>
    </row>
    <row r="58" customFormat="false" ht="42" hidden="false" customHeight="true" outlineLevel="0" collapsed="false">
      <c r="A58" s="3"/>
      <c r="B58" s="36" t="s">
        <v>22</v>
      </c>
      <c r="C58" s="98" t="s">
        <v>15</v>
      </c>
      <c r="D58" s="98" t="s">
        <v>243</v>
      </c>
      <c r="E58" s="110" t="s">
        <v>669</v>
      </c>
      <c r="F58" s="99" t="n">
        <v>7.29</v>
      </c>
      <c r="G58" s="98" t="s">
        <v>244</v>
      </c>
      <c r="H58" s="112" t="n">
        <f aca="false">IF(AND(AE58="yes",ISNUMBER(AD58)),AD58,"")</f>
        <v>7.29</v>
      </c>
      <c r="I58" s="95" t="n">
        <f aca="false">IF(AND(AE58="yes",ISNUMBER(AD58),ISNUMBER(INDEX(Sources!$G$7:$G$10,MATCH(AB58,Sources!$B$7:$B$10,0)))),ROUND(AD58/INDEX(Sources!$G$7:$G$10,MATCH(AB58,Sources!$B$7:$B$10,0)),6),"")</f>
        <v>7.29</v>
      </c>
      <c r="J58" s="98" t="s">
        <v>530</v>
      </c>
      <c r="K58" s="98" t="s">
        <v>586</v>
      </c>
      <c r="L58" s="96"/>
      <c r="M58" s="110" t="s">
        <v>670</v>
      </c>
      <c r="N58" s="117" t="s">
        <v>671</v>
      </c>
      <c r="O58" s="110"/>
      <c r="P58" s="110" t="s">
        <v>590</v>
      </c>
      <c r="Q58" s="118"/>
      <c r="R58" s="110" t="n">
        <v>1</v>
      </c>
      <c r="S58" s="110"/>
      <c r="T58" s="110" t="s">
        <v>530</v>
      </c>
      <c r="U58" s="110" t="s">
        <v>591</v>
      </c>
      <c r="V58" s="119" t="n">
        <v>7.29</v>
      </c>
      <c r="W58" s="119"/>
      <c r="X58" s="110" t="s">
        <v>592</v>
      </c>
      <c r="Y58" s="110"/>
      <c r="Z58" s="110"/>
      <c r="AA58" s="110"/>
      <c r="AB58" s="110" t="s">
        <v>244</v>
      </c>
      <c r="AC58" s="110" t="s">
        <v>538</v>
      </c>
      <c r="AD58" s="110" t="n">
        <f aca="false">IF(ISNUMBER(V58),ROUND(V58,6),"")</f>
        <v>7.29</v>
      </c>
      <c r="AE58" s="110" t="str">
        <f aca="false">IF(AND(AC58="yes",ISNUMBER(F58),IF(Compare!$H$5="All mapped",TRUE(),IF(Compare!$H$5="EXACT only",J58="EXACT",OR(J58="EXACT",J58="CLOSE")))),"yes","no")</f>
        <v>yes</v>
      </c>
      <c r="AF58" s="110" t="n">
        <f aca="false">IF(ISNUMBER(H58),COUNTIFS($B$7:$B$3000,B58,$C$7:$C$3000,C58,$H$7:$H$3000,"&lt;"&amp;H58,$AH$7:$AH$3000,"yes")+COUNTIFS($B$7:B58,B58,$C$7:C58,C58,$H$7:H58,H58,$AH$7:AH58,"yes"),"")</f>
        <v>1</v>
      </c>
      <c r="AG58" s="110" t="n">
        <f aca="false">IF(ISNUMBER(I58),COUNTIFS($B$7:$B$3000,B58,$C$7:$C$3000,C58,$I$7:$I$3000,"&lt;"&amp;I58,$AI$7:$AI$3000,"yes")+COUNTIFS($B$7:B58,B58,$C$7:C58,C58,$I$7:I58,I58,$AI$7:AI58,"yes"),"")</f>
        <v>1</v>
      </c>
      <c r="AH58" s="110" t="str">
        <f aca="false">IF(ISNUMBER(H58),"yes","no")</f>
        <v>yes</v>
      </c>
      <c r="AI58" s="110" t="str">
        <f aca="false">IF(ISNUMBER(I58),"yes","no")</f>
        <v>yes</v>
      </c>
      <c r="AJ58" s="120" t="n">
        <v>46295</v>
      </c>
      <c r="AK58" s="110"/>
    </row>
    <row r="59" customFormat="false" ht="42" hidden="false" customHeight="true" outlineLevel="0" collapsed="false">
      <c r="A59" s="3"/>
      <c r="B59" s="31" t="s">
        <v>22</v>
      </c>
      <c r="C59" s="91" t="s">
        <v>15</v>
      </c>
      <c r="D59" s="91" t="s">
        <v>269</v>
      </c>
      <c r="E59" s="109" t="s">
        <v>672</v>
      </c>
      <c r="F59" s="92" t="n">
        <v>9.99</v>
      </c>
      <c r="G59" s="91" t="s">
        <v>244</v>
      </c>
      <c r="H59" s="112" t="n">
        <f aca="false">IF(AND(AE59="yes",ISNUMBER(AD59)),AD59,"")</f>
        <v>9.99</v>
      </c>
      <c r="I59" s="95" t="n">
        <f aca="false">IF(AND(AE59="yes",ISNUMBER(AD59),ISNUMBER(INDEX(Sources!$G$7:$G$10,MATCH(AB59,Sources!$B$7:$B$10,0)))),ROUND(AD59/INDEX(Sources!$G$7:$G$10,MATCH(AB59,Sources!$B$7:$B$10,0)),6),"")</f>
        <v>9.99</v>
      </c>
      <c r="J59" s="91" t="s">
        <v>530</v>
      </c>
      <c r="K59" s="91" t="s">
        <v>586</v>
      </c>
      <c r="L59" s="96"/>
      <c r="M59" s="109" t="s">
        <v>673</v>
      </c>
      <c r="N59" s="113" t="s">
        <v>674</v>
      </c>
      <c r="O59" s="109" t="s">
        <v>598</v>
      </c>
      <c r="P59" s="109" t="s">
        <v>590</v>
      </c>
      <c r="Q59" s="114"/>
      <c r="R59" s="109" t="n">
        <v>1</v>
      </c>
      <c r="S59" s="109"/>
      <c r="T59" s="109" t="s">
        <v>530</v>
      </c>
      <c r="U59" s="109" t="s">
        <v>591</v>
      </c>
      <c r="V59" s="115" t="n">
        <v>9.99</v>
      </c>
      <c r="W59" s="115"/>
      <c r="X59" s="109" t="s">
        <v>592</v>
      </c>
      <c r="Y59" s="109"/>
      <c r="Z59" s="109"/>
      <c r="AA59" s="109"/>
      <c r="AB59" s="109" t="s">
        <v>244</v>
      </c>
      <c r="AC59" s="109" t="s">
        <v>538</v>
      </c>
      <c r="AD59" s="109" t="n">
        <f aca="false">IF(ISNUMBER(V59),ROUND(V59,6),"")</f>
        <v>9.99</v>
      </c>
      <c r="AE59" s="109" t="str">
        <f aca="false">IF(AND(AC59="yes",ISNUMBER(F59),IF(Compare!$H$5="All mapped",TRUE(),IF(Compare!$H$5="EXACT only",J59="EXACT",OR(J59="EXACT",J59="CLOSE")))),"yes","no")</f>
        <v>yes</v>
      </c>
      <c r="AF59" s="109" t="n">
        <f aca="false">IF(ISNUMBER(H59),COUNTIFS($B$7:$B$3000,B59,$C$7:$C$3000,C59,$H$7:$H$3000,"&lt;"&amp;H59,$AH$7:$AH$3000,"yes")+COUNTIFS($B$7:B59,B59,$C$7:C59,C59,$H$7:H59,H59,$AH$7:AH59,"yes"),"")</f>
        <v>3</v>
      </c>
      <c r="AG59" s="109" t="n">
        <f aca="false">IF(ISNUMBER(I59),COUNTIFS($B$7:$B$3000,B59,$C$7:$C$3000,C59,$I$7:$I$3000,"&lt;"&amp;I59,$AI$7:$AI$3000,"yes")+COUNTIFS($B$7:B59,B59,$C$7:C59,C59,$I$7:I59,I59,$AI$7:AI59,"yes"),"")</f>
        <v>3</v>
      </c>
      <c r="AH59" s="109" t="str">
        <f aca="false">IF(ISNUMBER(H59),"yes","no")</f>
        <v>yes</v>
      </c>
      <c r="AI59" s="109" t="str">
        <f aca="false">IF(ISNUMBER(I59),"yes","no")</f>
        <v>yes</v>
      </c>
      <c r="AJ59" s="116" t="n">
        <v>46295</v>
      </c>
      <c r="AK59" s="109"/>
    </row>
    <row r="60" customFormat="false" ht="42" hidden="false" customHeight="true" outlineLevel="0" collapsed="false">
      <c r="A60" s="3"/>
      <c r="B60" s="36" t="s">
        <v>22</v>
      </c>
      <c r="C60" s="98" t="s">
        <v>15</v>
      </c>
      <c r="D60" s="98" t="s">
        <v>264</v>
      </c>
      <c r="E60" s="110" t="s">
        <v>675</v>
      </c>
      <c r="F60" s="99" t="n">
        <v>18.75</v>
      </c>
      <c r="G60" s="98" t="s">
        <v>244</v>
      </c>
      <c r="H60" s="112" t="n">
        <f aca="false">IF(AND(AE60="yes",ISNUMBER(AD60)),AD60,"")</f>
        <v>18.75</v>
      </c>
      <c r="I60" s="95" t="n">
        <f aca="false">IF(AND(AE60="yes",ISNUMBER(AD60),ISNUMBER(INDEX(Sources!$G$7:$G$10,MATCH(AB60,Sources!$B$7:$B$10,0)))),ROUND(AD60/INDEX(Sources!$G$7:$G$10,MATCH(AB60,Sources!$B$7:$B$10,0)),6),"")</f>
        <v>18.75</v>
      </c>
      <c r="J60" s="98" t="s">
        <v>530</v>
      </c>
      <c r="K60" s="98" t="s">
        <v>586</v>
      </c>
      <c r="L60" s="96"/>
      <c r="M60" s="110"/>
      <c r="N60" s="117" t="s">
        <v>676</v>
      </c>
      <c r="O60" s="110" t="s">
        <v>388</v>
      </c>
      <c r="P60" s="110" t="s">
        <v>590</v>
      </c>
      <c r="Q60" s="118"/>
      <c r="R60" s="110" t="n">
        <v>1</v>
      </c>
      <c r="S60" s="110"/>
      <c r="T60" s="110" t="s">
        <v>530</v>
      </c>
      <c r="U60" s="110" t="s">
        <v>591</v>
      </c>
      <c r="V60" s="119" t="n">
        <v>18.75</v>
      </c>
      <c r="W60" s="119"/>
      <c r="X60" s="110" t="s">
        <v>592</v>
      </c>
      <c r="Y60" s="110"/>
      <c r="Z60" s="110"/>
      <c r="AA60" s="110"/>
      <c r="AB60" s="110" t="s">
        <v>244</v>
      </c>
      <c r="AC60" s="110" t="s">
        <v>538</v>
      </c>
      <c r="AD60" s="110" t="n">
        <f aca="false">IF(ISNUMBER(V60),ROUND(V60,6),"")</f>
        <v>18.75</v>
      </c>
      <c r="AE60" s="110" t="str">
        <f aca="false">IF(AND(AC60="yes",ISNUMBER(F60),IF(Compare!$H$5="All mapped",TRUE(),IF(Compare!$H$5="EXACT only",J60="EXACT",OR(J60="EXACT",J60="CLOSE")))),"yes","no")</f>
        <v>yes</v>
      </c>
      <c r="AF60" s="110" t="n">
        <f aca="false">IF(ISNUMBER(H60),COUNTIFS($B$7:$B$3000,B60,$C$7:$C$3000,C60,$H$7:$H$3000,"&lt;"&amp;H60,$AH$7:$AH$3000,"yes")+COUNTIFS($B$7:B60,B60,$C$7:C60,C60,$H$7:H60,H60,$AH$7:AH60,"yes"),"")</f>
        <v>8</v>
      </c>
      <c r="AG60" s="110" t="n">
        <f aca="false">IF(ISNUMBER(I60),COUNTIFS($B$7:$B$3000,B60,$C$7:$C$3000,C60,$I$7:$I$3000,"&lt;"&amp;I60,$AI$7:$AI$3000,"yes")+COUNTIFS($B$7:B60,B60,$C$7:C60,C60,$I$7:I60,I60,$AI$7:AI60,"yes"),"")</f>
        <v>8</v>
      </c>
      <c r="AH60" s="110" t="str">
        <f aca="false">IF(ISNUMBER(H60),"yes","no")</f>
        <v>yes</v>
      </c>
      <c r="AI60" s="110" t="str">
        <f aca="false">IF(ISNUMBER(I60),"yes","no")</f>
        <v>yes</v>
      </c>
      <c r="AJ60" s="120" t="n">
        <v>46295</v>
      </c>
      <c r="AK60" s="110"/>
    </row>
    <row r="61" customFormat="false" ht="42" hidden="false" customHeight="true" outlineLevel="0" collapsed="false">
      <c r="A61" s="3"/>
      <c r="B61" s="31" t="s">
        <v>22</v>
      </c>
      <c r="C61" s="91" t="s">
        <v>15</v>
      </c>
      <c r="D61" s="91" t="s">
        <v>273</v>
      </c>
      <c r="E61" s="109" t="s">
        <v>677</v>
      </c>
      <c r="F61" s="92" t="n">
        <v>10.09</v>
      </c>
      <c r="G61" s="91" t="s">
        <v>244</v>
      </c>
      <c r="H61" s="112" t="n">
        <f aca="false">IF(AND(AE61="yes",ISNUMBER(AD61)),AD61,"")</f>
        <v>8.41</v>
      </c>
      <c r="I61" s="95" t="n">
        <f aca="false">IF(AND(AE61="yes",ISNUMBER(AD61),ISNUMBER(INDEX(Sources!$G$7:$G$10,MATCH(AB61,Sources!$B$7:$B$10,0)))),ROUND(AD61/INDEX(Sources!$G$7:$G$10,MATCH(AB61,Sources!$B$7:$B$10,0)),6),"")</f>
        <v>8.41</v>
      </c>
      <c r="J61" s="91" t="s">
        <v>530</v>
      </c>
      <c r="K61" s="91" t="s">
        <v>586</v>
      </c>
      <c r="L61" s="96"/>
      <c r="M61" s="109"/>
      <c r="N61" s="113" t="s">
        <v>678</v>
      </c>
      <c r="O61" s="109" t="s">
        <v>598</v>
      </c>
      <c r="P61" s="109" t="s">
        <v>265</v>
      </c>
      <c r="Q61" s="114"/>
      <c r="R61" s="109" t="n">
        <v>1</v>
      </c>
      <c r="S61" s="109"/>
      <c r="T61" s="109" t="s">
        <v>530</v>
      </c>
      <c r="U61" s="109" t="s">
        <v>591</v>
      </c>
      <c r="V61" s="115" t="n">
        <v>8.41</v>
      </c>
      <c r="W61" s="115"/>
      <c r="X61" s="109" t="s">
        <v>592</v>
      </c>
      <c r="Y61" s="109"/>
      <c r="Z61" s="109"/>
      <c r="AA61" s="109"/>
      <c r="AB61" s="109" t="s">
        <v>244</v>
      </c>
      <c r="AC61" s="109" t="s">
        <v>538</v>
      </c>
      <c r="AD61" s="109" t="n">
        <f aca="false">IF(ISNUMBER(V61),ROUND(V61,6),"")</f>
        <v>8.41</v>
      </c>
      <c r="AE61" s="109" t="str">
        <f aca="false">IF(AND(AC61="yes",ISNUMBER(F61),IF(Compare!$H$5="All mapped",TRUE(),IF(Compare!$H$5="EXACT only",J61="EXACT",OR(J61="EXACT",J61="CLOSE")))),"yes","no")</f>
        <v>yes</v>
      </c>
      <c r="AF61" s="109" t="n">
        <f aca="false">IF(ISNUMBER(H61),COUNTIFS($B$7:$B$3000,B61,$C$7:$C$3000,C61,$H$7:$H$3000,"&lt;"&amp;H61,$AH$7:$AH$3000,"yes")+COUNTIFS($B$7:B61,B61,$C$7:C61,C61,$H$7:H61,H61,$AH$7:AH61,"yes"),"")</f>
        <v>2</v>
      </c>
      <c r="AG61" s="109" t="n">
        <f aca="false">IF(ISNUMBER(I61),COUNTIFS($B$7:$B$3000,B61,$C$7:$C$3000,C61,$I$7:$I$3000,"&lt;"&amp;I61,$AI$7:$AI$3000,"yes")+COUNTIFS($B$7:B61,B61,$C$7:C61,C61,$I$7:I61,I61,$AI$7:AI61,"yes"),"")</f>
        <v>2</v>
      </c>
      <c r="AH61" s="109" t="str">
        <f aca="false">IF(ISNUMBER(H61),"yes","no")</f>
        <v>yes</v>
      </c>
      <c r="AI61" s="109" t="str">
        <f aca="false">IF(ISNUMBER(I61),"yes","no")</f>
        <v>yes</v>
      </c>
      <c r="AJ61" s="116" t="n">
        <v>46295</v>
      </c>
      <c r="AK61" s="109"/>
    </row>
    <row r="62" customFormat="false" ht="42" hidden="false" customHeight="true" outlineLevel="0" collapsed="false">
      <c r="A62" s="3"/>
      <c r="B62" s="36" t="s">
        <v>22</v>
      </c>
      <c r="C62" s="98" t="s">
        <v>15</v>
      </c>
      <c r="D62" s="98" t="s">
        <v>281</v>
      </c>
      <c r="E62" s="110" t="s">
        <v>679</v>
      </c>
      <c r="F62" s="99" t="n">
        <v>10.17</v>
      </c>
      <c r="G62" s="98" t="s">
        <v>244</v>
      </c>
      <c r="H62" s="112" t="n">
        <f aca="false">IF(AND(AE62="yes",ISNUMBER(AD62)),AD62,"")</f>
        <v>10.17</v>
      </c>
      <c r="I62" s="95" t="n">
        <f aca="false">IF(AND(AE62="yes",ISNUMBER(AD62),ISNUMBER(INDEX(Sources!$G$7:$G$10,MATCH(AB62,Sources!$B$7:$B$10,0)))),ROUND(AD62/INDEX(Sources!$G$7:$G$10,MATCH(AB62,Sources!$B$7:$B$10,0)),6),"")</f>
        <v>10.17</v>
      </c>
      <c r="J62" s="98" t="s">
        <v>530</v>
      </c>
      <c r="K62" s="98" t="s">
        <v>586</v>
      </c>
      <c r="L62" s="96"/>
      <c r="M62" s="110" t="s">
        <v>680</v>
      </c>
      <c r="N62" s="117" t="s">
        <v>681</v>
      </c>
      <c r="O62" s="110" t="s">
        <v>603</v>
      </c>
      <c r="P62" s="110" t="s">
        <v>590</v>
      </c>
      <c r="Q62" s="118"/>
      <c r="R62" s="110" t="n">
        <v>1</v>
      </c>
      <c r="S62" s="110"/>
      <c r="T62" s="110" t="s">
        <v>530</v>
      </c>
      <c r="U62" s="110" t="s">
        <v>591</v>
      </c>
      <c r="V62" s="119" t="n">
        <v>10.17</v>
      </c>
      <c r="W62" s="119"/>
      <c r="X62" s="110" t="s">
        <v>592</v>
      </c>
      <c r="Y62" s="110"/>
      <c r="Z62" s="110"/>
      <c r="AA62" s="110"/>
      <c r="AB62" s="110" t="s">
        <v>244</v>
      </c>
      <c r="AC62" s="110" t="s">
        <v>538</v>
      </c>
      <c r="AD62" s="110" t="n">
        <f aca="false">IF(ISNUMBER(V62),ROUND(V62,6),"")</f>
        <v>10.17</v>
      </c>
      <c r="AE62" s="110" t="str">
        <f aca="false">IF(AND(AC62="yes",ISNUMBER(F62),IF(Compare!$H$5="All mapped",TRUE(),IF(Compare!$H$5="EXACT only",J62="EXACT",OR(J62="EXACT",J62="CLOSE")))),"yes","no")</f>
        <v>yes</v>
      </c>
      <c r="AF62" s="110" t="n">
        <f aca="false">IF(ISNUMBER(H62),COUNTIFS($B$7:$B$3000,B62,$C$7:$C$3000,C62,$H$7:$H$3000,"&lt;"&amp;H62,$AH$7:$AH$3000,"yes")+COUNTIFS($B$7:B62,B62,$C$7:C62,C62,$H$7:H62,H62,$AH$7:AH62,"yes"),"")</f>
        <v>4</v>
      </c>
      <c r="AG62" s="110" t="n">
        <f aca="false">IF(ISNUMBER(I62),COUNTIFS($B$7:$B$3000,B62,$C$7:$C$3000,C62,$I$7:$I$3000,"&lt;"&amp;I62,$AI$7:$AI$3000,"yes")+COUNTIFS($B$7:B62,B62,$C$7:C62,C62,$I$7:I62,I62,$AI$7:AI62,"yes"),"")</f>
        <v>4</v>
      </c>
      <c r="AH62" s="110" t="str">
        <f aca="false">IF(ISNUMBER(H62),"yes","no")</f>
        <v>yes</v>
      </c>
      <c r="AI62" s="110" t="str">
        <f aca="false">IF(ISNUMBER(I62),"yes","no")</f>
        <v>yes</v>
      </c>
      <c r="AJ62" s="120" t="n">
        <v>46295</v>
      </c>
      <c r="AK62" s="110"/>
    </row>
    <row r="63" customFormat="false" ht="42" hidden="false" customHeight="true" outlineLevel="0" collapsed="false">
      <c r="A63" s="3"/>
      <c r="B63" s="31" t="s">
        <v>22</v>
      </c>
      <c r="C63" s="91" t="s">
        <v>15</v>
      </c>
      <c r="D63" s="91" t="s">
        <v>285</v>
      </c>
      <c r="E63" s="109" t="s">
        <v>682</v>
      </c>
      <c r="F63" s="92" t="n">
        <v>37.9</v>
      </c>
      <c r="G63" s="91" t="s">
        <v>244</v>
      </c>
      <c r="H63" s="112" t="str">
        <f aca="false">IF(AND(AE63="yes",ISNUMBER(AD63)),AD63,"")</f>
        <v/>
      </c>
      <c r="I63" s="95" t="str">
        <f aca="false">IF(AND(AE63="yes",ISNUMBER(AD63),ISNUMBER(INDEX(Sources!$G$7:$G$10,MATCH(AB63,Sources!$B$7:$B$10,0)))),ROUND(AD63/INDEX(Sources!$G$7:$G$10,MATCH(AB63,Sources!$B$7:$B$10,0)),6),"")</f>
        <v/>
      </c>
      <c r="J63" s="91" t="s">
        <v>629</v>
      </c>
      <c r="K63" s="91" t="s">
        <v>586</v>
      </c>
      <c r="L63" s="96"/>
      <c r="M63" s="109" t="s">
        <v>683</v>
      </c>
      <c r="N63" s="113" t="s">
        <v>684</v>
      </c>
      <c r="O63" s="109" t="s">
        <v>685</v>
      </c>
      <c r="P63" s="109" t="s">
        <v>590</v>
      </c>
      <c r="Q63" s="114"/>
      <c r="R63" s="109" t="n">
        <v>1</v>
      </c>
      <c r="S63" s="109"/>
      <c r="T63" s="109" t="s">
        <v>629</v>
      </c>
      <c r="U63" s="109" t="s">
        <v>591</v>
      </c>
      <c r="V63" s="115" t="n">
        <v>37.9</v>
      </c>
      <c r="W63" s="115"/>
      <c r="X63" s="109" t="s">
        <v>592</v>
      </c>
      <c r="Y63" s="109"/>
      <c r="Z63" s="109"/>
      <c r="AA63" s="109"/>
      <c r="AB63" s="109" t="s">
        <v>244</v>
      </c>
      <c r="AC63" s="109" t="s">
        <v>538</v>
      </c>
      <c r="AD63" s="109" t="n">
        <f aca="false">IF(ISNUMBER(V63),ROUND(V63,6),"")</f>
        <v>37.9</v>
      </c>
      <c r="AE63" s="109" t="str">
        <f aca="false">IF(AND(AC63="yes",ISNUMBER(F63),IF(Compare!$H$5="All mapped",TRUE(),IF(Compare!$H$5="EXACT only",J63="EXACT",OR(J63="EXACT",J63="CLOSE")))),"yes","no")</f>
        <v>no</v>
      </c>
      <c r="AF63" s="109" t="str">
        <f aca="false">IF(ISNUMBER(H63),COUNTIFS($B$7:$B$3000,B63,$C$7:$C$3000,C63,$H$7:$H$3000,"&lt;"&amp;H63,$AH$7:$AH$3000,"yes")+COUNTIFS($B$7:B63,B63,$C$7:C63,C63,$H$7:H63,H63,$AH$7:AH63,"yes"),"")</f>
        <v/>
      </c>
      <c r="AG63" s="109" t="str">
        <f aca="false">IF(ISNUMBER(I63),COUNTIFS($B$7:$B$3000,B63,$C$7:$C$3000,C63,$I$7:$I$3000,"&lt;"&amp;I63,$AI$7:$AI$3000,"yes")+COUNTIFS($B$7:B63,B63,$C$7:C63,C63,$I$7:I63,I63,$AI$7:AI63,"yes"),"")</f>
        <v/>
      </c>
      <c r="AH63" s="109" t="str">
        <f aca="false">IF(ISNUMBER(H63),"yes","no")</f>
        <v>no</v>
      </c>
      <c r="AI63" s="109" t="str">
        <f aca="false">IF(ISNUMBER(I63),"yes","no")</f>
        <v>no</v>
      </c>
      <c r="AJ63" s="116" t="n">
        <v>46295</v>
      </c>
      <c r="AK63" s="109"/>
    </row>
    <row r="64" customFormat="false" ht="42" hidden="false" customHeight="true" outlineLevel="0" collapsed="false">
      <c r="A64" s="3"/>
      <c r="B64" s="36" t="s">
        <v>22</v>
      </c>
      <c r="C64" s="98" t="s">
        <v>15</v>
      </c>
      <c r="D64" s="98" t="s">
        <v>293</v>
      </c>
      <c r="E64" s="110" t="s">
        <v>686</v>
      </c>
      <c r="F64" s="99" t="n">
        <v>10.9</v>
      </c>
      <c r="G64" s="98" t="s">
        <v>244</v>
      </c>
      <c r="H64" s="112" t="n">
        <f aca="false">IF(AND(AE64="yes",ISNUMBER(AD64)),AD64,"")</f>
        <v>10.9</v>
      </c>
      <c r="I64" s="95" t="n">
        <f aca="false">IF(AND(AE64="yes",ISNUMBER(AD64),ISNUMBER(INDEX(Sources!$G$7:$G$10,MATCH(AB64,Sources!$B$7:$B$10,0)))),ROUND(AD64/INDEX(Sources!$G$7:$G$10,MATCH(AB64,Sources!$B$7:$B$10,0)),6),"")</f>
        <v>10.9</v>
      </c>
      <c r="J64" s="98" t="s">
        <v>530</v>
      </c>
      <c r="K64" s="98" t="s">
        <v>586</v>
      </c>
      <c r="L64" s="96"/>
      <c r="M64" s="110" t="s">
        <v>687</v>
      </c>
      <c r="N64" s="117" t="s">
        <v>688</v>
      </c>
      <c r="O64" s="110" t="s">
        <v>589</v>
      </c>
      <c r="P64" s="110" t="s">
        <v>590</v>
      </c>
      <c r="Q64" s="118"/>
      <c r="R64" s="110" t="n">
        <v>1</v>
      </c>
      <c r="S64" s="110"/>
      <c r="T64" s="110" t="s">
        <v>530</v>
      </c>
      <c r="U64" s="110" t="s">
        <v>591</v>
      </c>
      <c r="V64" s="119" t="n">
        <v>10.9</v>
      </c>
      <c r="W64" s="119"/>
      <c r="X64" s="110" t="s">
        <v>592</v>
      </c>
      <c r="Y64" s="110"/>
      <c r="Z64" s="110"/>
      <c r="AA64" s="110"/>
      <c r="AB64" s="110" t="s">
        <v>244</v>
      </c>
      <c r="AC64" s="110" t="s">
        <v>538</v>
      </c>
      <c r="AD64" s="110" t="n">
        <f aca="false">IF(ISNUMBER(V64),ROUND(V64,6),"")</f>
        <v>10.9</v>
      </c>
      <c r="AE64" s="110" t="str">
        <f aca="false">IF(AND(AC64="yes",ISNUMBER(F64),IF(Compare!$H$5="All mapped",TRUE(),IF(Compare!$H$5="EXACT only",J64="EXACT",OR(J64="EXACT",J64="CLOSE")))),"yes","no")</f>
        <v>yes</v>
      </c>
      <c r="AF64" s="110" t="n">
        <f aca="false">IF(ISNUMBER(H64),COUNTIFS($B$7:$B$3000,B64,$C$7:$C$3000,C64,$H$7:$H$3000,"&lt;"&amp;H64,$AH$7:$AH$3000,"yes")+COUNTIFS($B$7:B64,B64,$C$7:C64,C64,$H$7:H64,H64,$AH$7:AH64,"yes"),"")</f>
        <v>5</v>
      </c>
      <c r="AG64" s="110" t="n">
        <f aca="false">IF(ISNUMBER(I64),COUNTIFS($B$7:$B$3000,B64,$C$7:$C$3000,C64,$I$7:$I$3000,"&lt;"&amp;I64,$AI$7:$AI$3000,"yes")+COUNTIFS($B$7:B64,B64,$C$7:C64,C64,$I$7:I64,I64,$AI$7:AI64,"yes"),"")</f>
        <v>5</v>
      </c>
      <c r="AH64" s="110" t="str">
        <f aca="false">IF(ISNUMBER(H64),"yes","no")</f>
        <v>yes</v>
      </c>
      <c r="AI64" s="110" t="str">
        <f aca="false">IF(ISNUMBER(I64),"yes","no")</f>
        <v>yes</v>
      </c>
      <c r="AJ64" s="120" t="n">
        <v>46295</v>
      </c>
      <c r="AK64" s="110"/>
    </row>
    <row r="65" customFormat="false" ht="42" hidden="false" customHeight="true" outlineLevel="0" collapsed="false">
      <c r="A65" s="3"/>
      <c r="B65" s="31" t="s">
        <v>22</v>
      </c>
      <c r="C65" s="91" t="s">
        <v>16</v>
      </c>
      <c r="D65" s="91" t="s">
        <v>296</v>
      </c>
      <c r="E65" s="109" t="s">
        <v>669</v>
      </c>
      <c r="F65" s="92" t="n">
        <v>7.29</v>
      </c>
      <c r="G65" s="91" t="s">
        <v>244</v>
      </c>
      <c r="H65" s="112" t="n">
        <f aca="false">IF(AND(AE65="yes",ISNUMBER(AD65)),AD65,"")</f>
        <v>7.29</v>
      </c>
      <c r="I65" s="95" t="n">
        <f aca="false">IF(AND(AE65="yes",ISNUMBER(AD65),ISNUMBER(INDEX(Sources!$G$7:$G$10,MATCH(AB65,Sources!$B$7:$B$10,0)))),ROUND(AD65/INDEX(Sources!$G$7:$G$10,MATCH(AB65,Sources!$B$7:$B$10,0)),6),"")</f>
        <v>7.29</v>
      </c>
      <c r="J65" s="91" t="s">
        <v>530</v>
      </c>
      <c r="K65" s="91" t="s">
        <v>586</v>
      </c>
      <c r="L65" s="96"/>
      <c r="M65" s="109" t="s">
        <v>670</v>
      </c>
      <c r="N65" s="113" t="s">
        <v>689</v>
      </c>
      <c r="O65" s="109"/>
      <c r="P65" s="109" t="s">
        <v>590</v>
      </c>
      <c r="Q65" s="114"/>
      <c r="R65" s="109" t="n">
        <v>1</v>
      </c>
      <c r="S65" s="109"/>
      <c r="T65" s="109" t="s">
        <v>530</v>
      </c>
      <c r="U65" s="109" t="s">
        <v>591</v>
      </c>
      <c r="V65" s="115" t="n">
        <v>7.29</v>
      </c>
      <c r="W65" s="115"/>
      <c r="X65" s="109" t="s">
        <v>612</v>
      </c>
      <c r="Y65" s="109"/>
      <c r="Z65" s="109"/>
      <c r="AA65" s="109"/>
      <c r="AB65" s="109" t="s">
        <v>244</v>
      </c>
      <c r="AC65" s="109" t="s">
        <v>538</v>
      </c>
      <c r="AD65" s="109" t="n">
        <f aca="false">IF(ISNUMBER(V65),ROUND(V65,6),"")</f>
        <v>7.29</v>
      </c>
      <c r="AE65" s="109" t="str">
        <f aca="false">IF(AND(AC65="yes",ISNUMBER(F65),IF(Compare!$H$5="All mapped",TRUE(),IF(Compare!$H$5="EXACT only",J65="EXACT",OR(J65="EXACT",J65="CLOSE")))),"yes","no")</f>
        <v>yes</v>
      </c>
      <c r="AF65" s="109" t="n">
        <f aca="false">IF(ISNUMBER(H65),COUNTIFS($B$7:$B$3000,B65,$C$7:$C$3000,C65,$H$7:$H$3000,"&lt;"&amp;H65,$AH$7:$AH$3000,"yes")+COUNTIFS($B$7:B65,B65,$C$7:C65,C65,$H$7:H65,H65,$AH$7:AH65,"yes"),"")</f>
        <v>2</v>
      </c>
      <c r="AG65" s="109" t="n">
        <f aca="false">IF(ISNUMBER(I65),COUNTIFS($B$7:$B$3000,B65,$C$7:$C$3000,C65,$I$7:$I$3000,"&lt;"&amp;I65,$AI$7:$AI$3000,"yes")+COUNTIFS($B$7:B65,B65,$C$7:C65,C65,$I$7:I65,I65,$AI$7:AI65,"yes"),"")</f>
        <v>2</v>
      </c>
      <c r="AH65" s="109" t="str">
        <f aca="false">IF(ISNUMBER(H65),"yes","no")</f>
        <v>yes</v>
      </c>
      <c r="AI65" s="109" t="str">
        <f aca="false">IF(ISNUMBER(I65),"yes","no")</f>
        <v>yes</v>
      </c>
      <c r="AJ65" s="116" t="n">
        <v>46295</v>
      </c>
      <c r="AK65" s="109"/>
    </row>
    <row r="66" customFormat="false" ht="42" hidden="false" customHeight="true" outlineLevel="0" collapsed="false">
      <c r="A66" s="3"/>
      <c r="B66" s="36" t="s">
        <v>22</v>
      </c>
      <c r="C66" s="98" t="s">
        <v>16</v>
      </c>
      <c r="D66" s="98" t="s">
        <v>317</v>
      </c>
      <c r="E66" s="110" t="s">
        <v>690</v>
      </c>
      <c r="F66" s="99" t="n">
        <v>56.99</v>
      </c>
      <c r="G66" s="98" t="s">
        <v>244</v>
      </c>
      <c r="H66" s="112" t="str">
        <f aca="false">IF(AND(AE66="yes",ISNUMBER(AD66)),AD66,"")</f>
        <v/>
      </c>
      <c r="I66" s="95" t="str">
        <f aca="false">IF(AND(AE66="yes",ISNUMBER(AD66),ISNUMBER(INDEX(Sources!$G$7:$G$10,MATCH(AB66,Sources!$B$7:$B$10,0)))),ROUND(AD66/INDEX(Sources!$G$7:$G$10,MATCH(AB66,Sources!$B$7:$B$10,0)),6),"")</f>
        <v/>
      </c>
      <c r="J66" s="98" t="s">
        <v>629</v>
      </c>
      <c r="K66" s="98" t="s">
        <v>586</v>
      </c>
      <c r="L66" s="96"/>
      <c r="M66" s="110" t="s">
        <v>691</v>
      </c>
      <c r="N66" s="117" t="s">
        <v>692</v>
      </c>
      <c r="O66" s="110" t="s">
        <v>642</v>
      </c>
      <c r="P66" s="110" t="s">
        <v>590</v>
      </c>
      <c r="Q66" s="118"/>
      <c r="R66" s="110" t="n">
        <v>6</v>
      </c>
      <c r="S66" s="110" t="s">
        <v>611</v>
      </c>
      <c r="T66" s="110" t="s">
        <v>629</v>
      </c>
      <c r="U66" s="110" t="s">
        <v>591</v>
      </c>
      <c r="V66" s="119" t="n">
        <v>9.5</v>
      </c>
      <c r="W66" s="119"/>
      <c r="X66" s="110" t="s">
        <v>612</v>
      </c>
      <c r="Y66" s="110"/>
      <c r="Z66" s="110"/>
      <c r="AA66" s="110"/>
      <c r="AB66" s="110" t="s">
        <v>244</v>
      </c>
      <c r="AC66" s="110" t="s">
        <v>538</v>
      </c>
      <c r="AD66" s="110" t="n">
        <f aca="false">IF(ISNUMBER(V66),ROUND(V66,6),"")</f>
        <v>9.5</v>
      </c>
      <c r="AE66" s="110" t="str">
        <f aca="false">IF(AND(AC66="yes",ISNUMBER(F66),IF(Compare!$H$5="All mapped",TRUE(),IF(Compare!$H$5="EXACT only",J66="EXACT",OR(J66="EXACT",J66="CLOSE")))),"yes","no")</f>
        <v>no</v>
      </c>
      <c r="AF66" s="110" t="str">
        <f aca="false">IF(ISNUMBER(H66),COUNTIFS($B$7:$B$3000,B66,$C$7:$C$3000,C66,$H$7:$H$3000,"&lt;"&amp;H66,$AH$7:$AH$3000,"yes")+COUNTIFS($B$7:B66,B66,$C$7:C66,C66,$H$7:H66,H66,$AH$7:AH66,"yes"),"")</f>
        <v/>
      </c>
      <c r="AG66" s="110" t="str">
        <f aca="false">IF(ISNUMBER(I66),COUNTIFS($B$7:$B$3000,B66,$C$7:$C$3000,C66,$I$7:$I$3000,"&lt;"&amp;I66,$AI$7:$AI$3000,"yes")+COUNTIFS($B$7:B66,B66,$C$7:C66,C66,$I$7:I66,I66,$AI$7:AI66,"yes"),"")</f>
        <v/>
      </c>
      <c r="AH66" s="110" t="str">
        <f aca="false">IF(ISNUMBER(H66),"yes","no")</f>
        <v>no</v>
      </c>
      <c r="AI66" s="110" t="str">
        <f aca="false">IF(ISNUMBER(I66),"yes","no")</f>
        <v>no</v>
      </c>
      <c r="AJ66" s="120" t="n">
        <v>46295</v>
      </c>
      <c r="AK66" s="110"/>
    </row>
    <row r="67" customFormat="false" ht="42" hidden="false" customHeight="true" outlineLevel="0" collapsed="false">
      <c r="A67" s="3"/>
      <c r="B67" s="31" t="s">
        <v>22</v>
      </c>
      <c r="C67" s="91" t="s">
        <v>16</v>
      </c>
      <c r="D67" s="91" t="s">
        <v>311</v>
      </c>
      <c r="E67" s="109" t="s">
        <v>672</v>
      </c>
      <c r="F67" s="92" t="n">
        <v>9.59</v>
      </c>
      <c r="G67" s="91" t="s">
        <v>244</v>
      </c>
      <c r="H67" s="112" t="n">
        <f aca="false">IF(AND(AE67="yes",ISNUMBER(AD67)),AD67,"")</f>
        <v>9.59</v>
      </c>
      <c r="I67" s="95" t="n">
        <f aca="false">IF(AND(AE67="yes",ISNUMBER(AD67),ISNUMBER(INDEX(Sources!$G$7:$G$10,MATCH(AB67,Sources!$B$7:$B$10,0)))),ROUND(AD67/INDEX(Sources!$G$7:$G$10,MATCH(AB67,Sources!$B$7:$B$10,0)),6),"")</f>
        <v>9.59</v>
      </c>
      <c r="J67" s="91" t="s">
        <v>530</v>
      </c>
      <c r="K67" s="91" t="s">
        <v>586</v>
      </c>
      <c r="L67" s="96"/>
      <c r="M67" s="109" t="s">
        <v>693</v>
      </c>
      <c r="N67" s="113" t="s">
        <v>694</v>
      </c>
      <c r="O67" s="109" t="s">
        <v>598</v>
      </c>
      <c r="P67" s="109" t="s">
        <v>590</v>
      </c>
      <c r="Q67" s="114"/>
      <c r="R67" s="109" t="n">
        <v>1</v>
      </c>
      <c r="S67" s="109"/>
      <c r="T67" s="109" t="s">
        <v>530</v>
      </c>
      <c r="U67" s="109" t="s">
        <v>591</v>
      </c>
      <c r="V67" s="115" t="n">
        <v>9.59</v>
      </c>
      <c r="W67" s="115"/>
      <c r="X67" s="109" t="s">
        <v>612</v>
      </c>
      <c r="Y67" s="109"/>
      <c r="Z67" s="109"/>
      <c r="AA67" s="109"/>
      <c r="AB67" s="109" t="s">
        <v>244</v>
      </c>
      <c r="AC67" s="109" t="s">
        <v>538</v>
      </c>
      <c r="AD67" s="109" t="n">
        <f aca="false">IF(ISNUMBER(V67),ROUND(V67,6),"")</f>
        <v>9.59</v>
      </c>
      <c r="AE67" s="109" t="str">
        <f aca="false">IF(AND(AC67="yes",ISNUMBER(F67),IF(Compare!$H$5="All mapped",TRUE(),IF(Compare!$H$5="EXACT only",J67="EXACT",OR(J67="EXACT",J67="CLOSE")))),"yes","no")</f>
        <v>yes</v>
      </c>
      <c r="AF67" s="109" t="n">
        <f aca="false">IF(ISNUMBER(H67),COUNTIFS($B$7:$B$3000,B67,$C$7:$C$3000,C67,$H$7:$H$3000,"&lt;"&amp;H67,$AH$7:$AH$3000,"yes")+COUNTIFS($B$7:B67,B67,$C$7:C67,C67,$H$7:H67,H67,$AH$7:AH67,"yes"),"")</f>
        <v>5</v>
      </c>
      <c r="AG67" s="109" t="n">
        <f aca="false">IF(ISNUMBER(I67),COUNTIFS($B$7:$B$3000,B67,$C$7:$C$3000,C67,$I$7:$I$3000,"&lt;"&amp;I67,$AI$7:$AI$3000,"yes")+COUNTIFS($B$7:B67,B67,$C$7:C67,C67,$I$7:I67,I67,$AI$7:AI67,"yes"),"")</f>
        <v>5</v>
      </c>
      <c r="AH67" s="109" t="str">
        <f aca="false">IF(ISNUMBER(H67),"yes","no")</f>
        <v>yes</v>
      </c>
      <c r="AI67" s="109" t="str">
        <f aca="false">IF(ISNUMBER(I67),"yes","no")</f>
        <v>yes</v>
      </c>
      <c r="AJ67" s="116" t="n">
        <v>46295</v>
      </c>
      <c r="AK67" s="109"/>
    </row>
    <row r="68" customFormat="false" ht="42" hidden="false" customHeight="true" outlineLevel="0" collapsed="false">
      <c r="A68" s="3"/>
      <c r="B68" s="36" t="s">
        <v>22</v>
      </c>
      <c r="C68" s="98" t="s">
        <v>16</v>
      </c>
      <c r="D68" s="98" t="s">
        <v>309</v>
      </c>
      <c r="E68" s="110" t="s">
        <v>675</v>
      </c>
      <c r="F68" s="99" t="n">
        <v>18.75</v>
      </c>
      <c r="G68" s="98" t="s">
        <v>244</v>
      </c>
      <c r="H68" s="112" t="n">
        <f aca="false">IF(AND(AE68="yes",ISNUMBER(AD68)),AD68,"")</f>
        <v>18.75</v>
      </c>
      <c r="I68" s="95" t="n">
        <f aca="false">IF(AND(AE68="yes",ISNUMBER(AD68),ISNUMBER(INDEX(Sources!$G$7:$G$10,MATCH(AB68,Sources!$B$7:$B$10,0)))),ROUND(AD68/INDEX(Sources!$G$7:$G$10,MATCH(AB68,Sources!$B$7:$B$10,0)),6),"")</f>
        <v>18.75</v>
      </c>
      <c r="J68" s="98" t="s">
        <v>530</v>
      </c>
      <c r="K68" s="98" t="s">
        <v>586</v>
      </c>
      <c r="L68" s="96"/>
      <c r="M68" s="110"/>
      <c r="N68" s="117" t="s">
        <v>676</v>
      </c>
      <c r="O68" s="110" t="s">
        <v>388</v>
      </c>
      <c r="P68" s="110" t="s">
        <v>590</v>
      </c>
      <c r="Q68" s="118"/>
      <c r="R68" s="110" t="n">
        <v>1</v>
      </c>
      <c r="S68" s="110"/>
      <c r="T68" s="110" t="s">
        <v>530</v>
      </c>
      <c r="U68" s="110" t="s">
        <v>591</v>
      </c>
      <c r="V68" s="119" t="n">
        <v>18.75</v>
      </c>
      <c r="W68" s="119"/>
      <c r="X68" s="110" t="s">
        <v>612</v>
      </c>
      <c r="Y68" s="110"/>
      <c r="Z68" s="110"/>
      <c r="AA68" s="110"/>
      <c r="AB68" s="110" t="s">
        <v>244</v>
      </c>
      <c r="AC68" s="110" t="s">
        <v>538</v>
      </c>
      <c r="AD68" s="110" t="n">
        <f aca="false">IF(ISNUMBER(V68),ROUND(V68,6),"")</f>
        <v>18.75</v>
      </c>
      <c r="AE68" s="110" t="str">
        <f aca="false">IF(AND(AC68="yes",ISNUMBER(F68),IF(Compare!$H$5="All mapped",TRUE(),IF(Compare!$H$5="EXACT only",J68="EXACT",OR(J68="EXACT",J68="CLOSE")))),"yes","no")</f>
        <v>yes</v>
      </c>
      <c r="AF68" s="110" t="n">
        <f aca="false">IF(ISNUMBER(H68),COUNTIFS($B$7:$B$3000,B68,$C$7:$C$3000,C68,$H$7:$H$3000,"&lt;"&amp;H68,$AH$7:$AH$3000,"yes")+COUNTIFS($B$7:B68,B68,$C$7:C68,C68,$H$7:H68,H68,$AH$7:AH68,"yes"),"")</f>
        <v>8</v>
      </c>
      <c r="AG68" s="110" t="n">
        <f aca="false">IF(ISNUMBER(I68),COUNTIFS($B$7:$B$3000,B68,$C$7:$C$3000,C68,$I$7:$I$3000,"&lt;"&amp;I68,$AI$7:$AI$3000,"yes")+COUNTIFS($B$7:B68,B68,$C$7:C68,C68,$I$7:I68,I68,$AI$7:AI68,"yes"),"")</f>
        <v>8</v>
      </c>
      <c r="AH68" s="110" t="str">
        <f aca="false">IF(ISNUMBER(H68),"yes","no")</f>
        <v>yes</v>
      </c>
      <c r="AI68" s="110" t="str">
        <f aca="false">IF(ISNUMBER(I68),"yes","no")</f>
        <v>yes</v>
      </c>
      <c r="AJ68" s="120" t="n">
        <v>46295</v>
      </c>
      <c r="AK68" s="110"/>
    </row>
    <row r="69" customFormat="false" ht="42" hidden="false" customHeight="true" outlineLevel="0" collapsed="false">
      <c r="A69" s="3"/>
      <c r="B69" s="31" t="s">
        <v>22</v>
      </c>
      <c r="C69" s="91" t="s">
        <v>16</v>
      </c>
      <c r="D69" s="91" t="s">
        <v>313</v>
      </c>
      <c r="E69" s="109" t="s">
        <v>677</v>
      </c>
      <c r="F69" s="92" t="n">
        <v>10.09</v>
      </c>
      <c r="G69" s="91" t="s">
        <v>244</v>
      </c>
      <c r="H69" s="112" t="n">
        <f aca="false">IF(AND(AE69="yes",ISNUMBER(AD69)),AD69,"")</f>
        <v>8.48</v>
      </c>
      <c r="I69" s="95" t="n">
        <f aca="false">IF(AND(AE69="yes",ISNUMBER(AD69),ISNUMBER(INDEX(Sources!$G$7:$G$10,MATCH(AB69,Sources!$B$7:$B$10,0)))),ROUND(AD69/INDEX(Sources!$G$7:$G$10,MATCH(AB69,Sources!$B$7:$B$10,0)),6),"")</f>
        <v>8.48</v>
      </c>
      <c r="J69" s="91" t="s">
        <v>530</v>
      </c>
      <c r="K69" s="91" t="s">
        <v>586</v>
      </c>
      <c r="L69" s="96"/>
      <c r="M69" s="109"/>
      <c r="N69" s="113" t="s">
        <v>695</v>
      </c>
      <c r="O69" s="109" t="s">
        <v>598</v>
      </c>
      <c r="P69" s="109" t="s">
        <v>265</v>
      </c>
      <c r="Q69" s="114"/>
      <c r="R69" s="109" t="n">
        <v>1</v>
      </c>
      <c r="S69" s="109"/>
      <c r="T69" s="109" t="s">
        <v>530</v>
      </c>
      <c r="U69" s="109" t="s">
        <v>591</v>
      </c>
      <c r="V69" s="115" t="n">
        <v>8.48</v>
      </c>
      <c r="W69" s="115"/>
      <c r="X69" s="109" t="s">
        <v>612</v>
      </c>
      <c r="Y69" s="109"/>
      <c r="Z69" s="109"/>
      <c r="AA69" s="109"/>
      <c r="AB69" s="109" t="s">
        <v>244</v>
      </c>
      <c r="AC69" s="109" t="s">
        <v>538</v>
      </c>
      <c r="AD69" s="109" t="n">
        <f aca="false">IF(ISNUMBER(V69),ROUND(V69,6),"")</f>
        <v>8.48</v>
      </c>
      <c r="AE69" s="109" t="str">
        <f aca="false">IF(AND(AC69="yes",ISNUMBER(F69),IF(Compare!$H$5="All mapped",TRUE(),IF(Compare!$H$5="EXACT only",J69="EXACT",OR(J69="EXACT",J69="CLOSE")))),"yes","no")</f>
        <v>yes</v>
      </c>
      <c r="AF69" s="109" t="n">
        <f aca="false">IF(ISNUMBER(H69),COUNTIFS($B$7:$B$3000,B69,$C$7:$C$3000,C69,$H$7:$H$3000,"&lt;"&amp;H69,$AH$7:$AH$3000,"yes")+COUNTIFS($B$7:B69,B69,$C$7:C69,C69,$H$7:H69,H69,$AH$7:AH69,"yes"),"")</f>
        <v>3</v>
      </c>
      <c r="AG69" s="109" t="n">
        <f aca="false">IF(ISNUMBER(I69),COUNTIFS($B$7:$B$3000,B69,$C$7:$C$3000,C69,$I$7:$I$3000,"&lt;"&amp;I69,$AI$7:$AI$3000,"yes")+COUNTIFS($B$7:B69,B69,$C$7:C69,C69,$I$7:I69,I69,$AI$7:AI69,"yes"),"")</f>
        <v>3</v>
      </c>
      <c r="AH69" s="109" t="str">
        <f aca="false">IF(ISNUMBER(H69),"yes","no")</f>
        <v>yes</v>
      </c>
      <c r="AI69" s="109" t="str">
        <f aca="false">IF(ISNUMBER(I69),"yes","no")</f>
        <v>yes</v>
      </c>
      <c r="AJ69" s="116" t="n">
        <v>46295</v>
      </c>
      <c r="AK69" s="109"/>
    </row>
    <row r="70" customFormat="false" ht="42" hidden="false" customHeight="true" outlineLevel="0" collapsed="false">
      <c r="A70" s="3"/>
      <c r="B70" s="36" t="s">
        <v>22</v>
      </c>
      <c r="C70" s="98" t="s">
        <v>16</v>
      </c>
      <c r="D70" s="98" t="s">
        <v>321</v>
      </c>
      <c r="E70" s="110" t="s">
        <v>679</v>
      </c>
      <c r="F70" s="99" t="n">
        <v>10.17</v>
      </c>
      <c r="G70" s="98" t="s">
        <v>244</v>
      </c>
      <c r="H70" s="112" t="n">
        <f aca="false">IF(AND(AE70="yes",ISNUMBER(AD70)),AD70,"")</f>
        <v>10.17</v>
      </c>
      <c r="I70" s="95" t="n">
        <f aca="false">IF(AND(AE70="yes",ISNUMBER(AD70),ISNUMBER(INDEX(Sources!$G$7:$G$10,MATCH(AB70,Sources!$B$7:$B$10,0)))),ROUND(AD70/INDEX(Sources!$G$7:$G$10,MATCH(AB70,Sources!$B$7:$B$10,0)),6),"")</f>
        <v>10.17</v>
      </c>
      <c r="J70" s="98" t="s">
        <v>530</v>
      </c>
      <c r="K70" s="98" t="s">
        <v>586</v>
      </c>
      <c r="L70" s="96"/>
      <c r="M70" s="110" t="s">
        <v>696</v>
      </c>
      <c r="N70" s="117" t="s">
        <v>697</v>
      </c>
      <c r="O70" s="110" t="s">
        <v>603</v>
      </c>
      <c r="P70" s="110" t="s">
        <v>590</v>
      </c>
      <c r="Q70" s="118"/>
      <c r="R70" s="110" t="n">
        <v>1</v>
      </c>
      <c r="S70" s="110"/>
      <c r="T70" s="110" t="s">
        <v>530</v>
      </c>
      <c r="U70" s="110" t="s">
        <v>591</v>
      </c>
      <c r="V70" s="119" t="n">
        <v>10.17</v>
      </c>
      <c r="W70" s="119"/>
      <c r="X70" s="110" t="s">
        <v>612</v>
      </c>
      <c r="Y70" s="110"/>
      <c r="Z70" s="110"/>
      <c r="AA70" s="110"/>
      <c r="AB70" s="110" t="s">
        <v>244</v>
      </c>
      <c r="AC70" s="110" t="s">
        <v>538</v>
      </c>
      <c r="AD70" s="110" t="n">
        <f aca="false">IF(ISNUMBER(V70),ROUND(V70,6),"")</f>
        <v>10.17</v>
      </c>
      <c r="AE70" s="110" t="str">
        <f aca="false">IF(AND(AC70="yes",ISNUMBER(F70),IF(Compare!$H$5="All mapped",TRUE(),IF(Compare!$H$5="EXACT only",J70="EXACT",OR(J70="EXACT",J70="CLOSE")))),"yes","no")</f>
        <v>yes</v>
      </c>
      <c r="AF70" s="110" t="n">
        <f aca="false">IF(ISNUMBER(H70),COUNTIFS($B$7:$B$3000,B70,$C$7:$C$3000,C70,$H$7:$H$3000,"&lt;"&amp;H70,$AH$7:$AH$3000,"yes")+COUNTIFS($B$7:B70,B70,$C$7:C70,C70,$H$7:H70,H70,$AH$7:AH70,"yes"),"")</f>
        <v>6</v>
      </c>
      <c r="AG70" s="110" t="n">
        <f aca="false">IF(ISNUMBER(I70),COUNTIFS($B$7:$B$3000,B70,$C$7:$C$3000,C70,$I$7:$I$3000,"&lt;"&amp;I70,$AI$7:$AI$3000,"yes")+COUNTIFS($B$7:B70,B70,$C$7:C70,C70,$I$7:I70,I70,$AI$7:AI70,"yes"),"")</f>
        <v>6</v>
      </c>
      <c r="AH70" s="110" t="str">
        <f aca="false">IF(ISNUMBER(H70),"yes","no")</f>
        <v>yes</v>
      </c>
      <c r="AI70" s="110" t="str">
        <f aca="false">IF(ISNUMBER(I70),"yes","no")</f>
        <v>yes</v>
      </c>
      <c r="AJ70" s="120" t="n">
        <v>46295</v>
      </c>
      <c r="AK70" s="110"/>
    </row>
    <row r="71" customFormat="false" ht="42" hidden="false" customHeight="true" outlineLevel="0" collapsed="false">
      <c r="A71" s="3"/>
      <c r="B71" s="31" t="s">
        <v>22</v>
      </c>
      <c r="C71" s="91" t="s">
        <v>16</v>
      </c>
      <c r="D71" s="91" t="s">
        <v>329</v>
      </c>
      <c r="E71" s="109" t="s">
        <v>698</v>
      </c>
      <c r="F71" s="92" t="n">
        <v>5.82</v>
      </c>
      <c r="G71" s="91" t="s">
        <v>244</v>
      </c>
      <c r="H71" s="112" t="n">
        <f aca="false">IF(AND(AE71="yes",ISNUMBER(AD71)),AD71,"")</f>
        <v>5.82</v>
      </c>
      <c r="I71" s="95" t="n">
        <f aca="false">IF(AND(AE71="yes",ISNUMBER(AD71),ISNUMBER(INDEX(Sources!$G$7:$G$10,MATCH(AB71,Sources!$B$7:$B$10,0)))),ROUND(AD71/INDEX(Sources!$G$7:$G$10,MATCH(AB71,Sources!$B$7:$B$10,0)),6),"")</f>
        <v>5.82</v>
      </c>
      <c r="J71" s="91" t="s">
        <v>530</v>
      </c>
      <c r="K71" s="91" t="s">
        <v>586</v>
      </c>
      <c r="L71" s="96"/>
      <c r="M71" s="109" t="s">
        <v>699</v>
      </c>
      <c r="N71" s="113" t="s">
        <v>700</v>
      </c>
      <c r="O71" s="109" t="s">
        <v>598</v>
      </c>
      <c r="P71" s="109" t="s">
        <v>590</v>
      </c>
      <c r="Q71" s="114"/>
      <c r="R71" s="109" t="n">
        <v>1</v>
      </c>
      <c r="S71" s="109"/>
      <c r="T71" s="109" t="s">
        <v>530</v>
      </c>
      <c r="U71" s="109" t="s">
        <v>591</v>
      </c>
      <c r="V71" s="115" t="n">
        <v>5.82</v>
      </c>
      <c r="W71" s="115"/>
      <c r="X71" s="109" t="s">
        <v>612</v>
      </c>
      <c r="Y71" s="109"/>
      <c r="Z71" s="109"/>
      <c r="AA71" s="109"/>
      <c r="AB71" s="109" t="s">
        <v>244</v>
      </c>
      <c r="AC71" s="109" t="s">
        <v>538</v>
      </c>
      <c r="AD71" s="109" t="n">
        <f aca="false">IF(ISNUMBER(V71),ROUND(V71,6),"")</f>
        <v>5.82</v>
      </c>
      <c r="AE71" s="109" t="str">
        <f aca="false">IF(AND(AC71="yes",ISNUMBER(F71),IF(Compare!$H$5="All mapped",TRUE(),IF(Compare!$H$5="EXACT only",J71="EXACT",OR(J71="EXACT",J71="CLOSE")))),"yes","no")</f>
        <v>yes</v>
      </c>
      <c r="AF71" s="109" t="n">
        <f aca="false">IF(ISNUMBER(H71),COUNTIFS($B$7:$B$3000,B71,$C$7:$C$3000,C71,$H$7:$H$3000,"&lt;"&amp;H71,$AH$7:$AH$3000,"yes")+COUNTIFS($B$7:B71,B71,$C$7:C71,C71,$H$7:H71,H71,$AH$7:AH71,"yes"),"")</f>
        <v>1</v>
      </c>
      <c r="AG71" s="109" t="n">
        <f aca="false">IF(ISNUMBER(I71),COUNTIFS($B$7:$B$3000,B71,$C$7:$C$3000,C71,$I$7:$I$3000,"&lt;"&amp;I71,$AI$7:$AI$3000,"yes")+COUNTIFS($B$7:B71,B71,$C$7:C71,C71,$I$7:I71,I71,$AI$7:AI71,"yes"),"")</f>
        <v>1</v>
      </c>
      <c r="AH71" s="109" t="str">
        <f aca="false">IF(ISNUMBER(H71),"yes","no")</f>
        <v>yes</v>
      </c>
      <c r="AI71" s="109" t="str">
        <f aca="false">IF(ISNUMBER(I71),"yes","no")</f>
        <v>yes</v>
      </c>
      <c r="AJ71" s="116" t="n">
        <v>46295</v>
      </c>
      <c r="AK71" s="109"/>
    </row>
    <row r="72" customFormat="false" ht="61.5" hidden="false" customHeight="true" outlineLevel="0" collapsed="false">
      <c r="A72" s="3"/>
      <c r="B72" s="36" t="s">
        <v>22</v>
      </c>
      <c r="C72" s="98" t="s">
        <v>17</v>
      </c>
      <c r="D72" s="98" t="s">
        <v>354</v>
      </c>
      <c r="E72" s="110" t="s">
        <v>701</v>
      </c>
      <c r="F72" s="99" t="n">
        <v>1460.1</v>
      </c>
      <c r="G72" s="98" t="s">
        <v>333</v>
      </c>
      <c r="H72" s="112" t="n">
        <f aca="false">IF(AND(AE72="yes",ISNUMBER(AD72)),AD72,"")</f>
        <v>243.35</v>
      </c>
      <c r="I72" s="95" t="n">
        <f aca="false">IF(AND(AE72="yes",ISNUMBER(AD72),ISNUMBER(INDEX(Sources!$G$7:$G$10,MATCH(AB72,Sources!$B$7:$B$10,0)))),ROUND(AD72/INDEX(Sources!$G$7:$G$10,MATCH(AB72,Sources!$B$7:$B$10,0)),6),"")</f>
        <v>9.963717</v>
      </c>
      <c r="J72" s="98" t="s">
        <v>702</v>
      </c>
      <c r="K72" s="98" t="s">
        <v>586</v>
      </c>
      <c r="L72" s="96"/>
      <c r="M72" s="110" t="s">
        <v>703</v>
      </c>
      <c r="N72" s="117" t="s">
        <v>704</v>
      </c>
      <c r="O72" s="110" t="s">
        <v>642</v>
      </c>
      <c r="P72" s="110" t="s">
        <v>590</v>
      </c>
      <c r="Q72" s="118" t="n">
        <v>0.19</v>
      </c>
      <c r="R72" s="110" t="n">
        <v>6</v>
      </c>
      <c r="S72" s="110" t="s">
        <v>625</v>
      </c>
      <c r="T72" s="110" t="s">
        <v>702</v>
      </c>
      <c r="U72" s="110" t="s">
        <v>591</v>
      </c>
      <c r="V72" s="119"/>
      <c r="W72" s="119"/>
      <c r="X72" s="110" t="s">
        <v>626</v>
      </c>
      <c r="Y72" s="110"/>
      <c r="Z72" s="110"/>
      <c r="AA72" s="110"/>
      <c r="AB72" s="110" t="s">
        <v>333</v>
      </c>
      <c r="AC72" s="110" t="s">
        <v>538</v>
      </c>
      <c r="AD72" s="110" t="n">
        <f aca="false">IF(OR(F72="",Q72="",R72=""),"",ROUND(IF(P72="incl.",F72/(1+Q72),F72)/IF(S72="per pack",R72,1),2))</f>
        <v>243.35</v>
      </c>
      <c r="AE72" s="110" t="str">
        <f aca="false">IF(AND(AC72="yes",ISNUMBER(F72),IF(Compare!$H$5="All mapped",TRUE(),IF(Compare!$H$5="EXACT only",J72="EXACT",OR(J72="EXACT",J72="CLOSE")))),"yes","no")</f>
        <v>yes</v>
      </c>
      <c r="AF72" s="110" t="n">
        <f aca="false">IF(ISNUMBER(H72),COUNTIFS($B$7:$B$3000,B72,$C$7:$C$3000,C72,$H$7:$H$3000,"&lt;"&amp;H72,$AH$7:$AH$3000,"yes")+COUNTIFS($B$7:B72,B72,$C$7:C72,C72,$H$7:H72,H72,$AH$7:AH72,"yes"),"")</f>
        <v>3</v>
      </c>
      <c r="AG72" s="110" t="n">
        <f aca="false">IF(ISNUMBER(I72),COUNTIFS($B$7:$B$3000,B72,$C$7:$C$3000,C72,$I$7:$I$3000,"&lt;"&amp;I72,$AI$7:$AI$3000,"yes")+COUNTIFS($B$7:B72,B72,$C$7:C72,C72,$I$7:I72,I72,$AI$7:AI72,"yes"),"")</f>
        <v>3</v>
      </c>
      <c r="AH72" s="110" t="str">
        <f aca="false">IF(ISNUMBER(H72),"yes","no")</f>
        <v>yes</v>
      </c>
      <c r="AI72" s="110" t="str">
        <f aca="false">IF(ISNUMBER(I72),"yes","no")</f>
        <v>yes</v>
      </c>
      <c r="AJ72" s="120" t="n">
        <v>46295</v>
      </c>
      <c r="AK72" s="110"/>
    </row>
    <row r="73" customFormat="false" ht="42" hidden="false" customHeight="true" outlineLevel="0" collapsed="false">
      <c r="A73" s="3"/>
      <c r="B73" s="31" t="s">
        <v>22</v>
      </c>
      <c r="C73" s="91" t="s">
        <v>17</v>
      </c>
      <c r="D73" s="91" t="s">
        <v>332</v>
      </c>
      <c r="E73" s="109" t="s">
        <v>705</v>
      </c>
      <c r="F73" s="92" t="n">
        <v>270</v>
      </c>
      <c r="G73" s="91" t="s">
        <v>333</v>
      </c>
      <c r="H73" s="112" t="n">
        <f aca="false">IF(AND(AE73="yes",ISNUMBER(AD73)),AD73,"")</f>
        <v>270</v>
      </c>
      <c r="I73" s="95" t="n">
        <f aca="false">IF(AND(AE73="yes",ISNUMBER(AD73),ISNUMBER(INDEX(Sources!$G$7:$G$10,MATCH(AB73,Sources!$B$7:$B$10,0)))),ROUND(AD73/INDEX(Sources!$G$7:$G$10,MATCH(AB73,Sources!$B$7:$B$10,0)),6),"")</f>
        <v>11.054874</v>
      </c>
      <c r="J73" s="91" t="s">
        <v>530</v>
      </c>
      <c r="K73" s="91" t="s">
        <v>586</v>
      </c>
      <c r="L73" s="96"/>
      <c r="M73" s="109" t="s">
        <v>706</v>
      </c>
      <c r="N73" s="113" t="s">
        <v>707</v>
      </c>
      <c r="O73" s="109"/>
      <c r="P73" s="109" t="s">
        <v>590</v>
      </c>
      <c r="Q73" s="114" t="n">
        <v>0.21</v>
      </c>
      <c r="R73" s="109" t="n">
        <v>1</v>
      </c>
      <c r="S73" s="109" t="s">
        <v>632</v>
      </c>
      <c r="T73" s="109" t="s">
        <v>530</v>
      </c>
      <c r="U73" s="109" t="s">
        <v>591</v>
      </c>
      <c r="V73" s="115"/>
      <c r="W73" s="115"/>
      <c r="X73" s="109" t="s">
        <v>626</v>
      </c>
      <c r="Y73" s="109"/>
      <c r="Z73" s="109"/>
      <c r="AA73" s="109"/>
      <c r="AB73" s="109" t="s">
        <v>333</v>
      </c>
      <c r="AC73" s="109" t="s">
        <v>538</v>
      </c>
      <c r="AD73" s="109" t="n">
        <f aca="false">IF(OR(F73="",Q73="",R73=""),"",ROUND(IF(P73="incl.",F73/(1+Q73),F73)/IF(S73="per pack",R73,1),2))</f>
        <v>270</v>
      </c>
      <c r="AE73" s="109" t="str">
        <f aca="false">IF(AND(AC73="yes",ISNUMBER(F73),IF(Compare!$H$5="All mapped",TRUE(),IF(Compare!$H$5="EXACT only",J73="EXACT",OR(J73="EXACT",J73="CLOSE")))),"yes","no")</f>
        <v>yes</v>
      </c>
      <c r="AF73" s="109" t="n">
        <f aca="false">IF(ISNUMBER(H73),COUNTIFS($B$7:$B$3000,B73,$C$7:$C$3000,C73,$H$7:$H$3000,"&lt;"&amp;H73,$AH$7:$AH$3000,"yes")+COUNTIFS($B$7:B73,B73,$C$7:C73,C73,$H$7:H73,H73,$AH$7:AH73,"yes"),"")</f>
        <v>4</v>
      </c>
      <c r="AG73" s="109" t="n">
        <f aca="false">IF(ISNUMBER(I73),COUNTIFS($B$7:$B$3000,B73,$C$7:$C$3000,C73,$I$7:$I$3000,"&lt;"&amp;I73,$AI$7:$AI$3000,"yes")+COUNTIFS($B$7:B73,B73,$C$7:C73,C73,$I$7:I73,I73,$AI$7:AI73,"yes"),"")</f>
        <v>4</v>
      </c>
      <c r="AH73" s="109" t="str">
        <f aca="false">IF(ISNUMBER(H73),"yes","no")</f>
        <v>yes</v>
      </c>
      <c r="AI73" s="109" t="str">
        <f aca="false">IF(ISNUMBER(I73),"yes","no")</f>
        <v>yes</v>
      </c>
      <c r="AJ73" s="116" t="n">
        <v>46295</v>
      </c>
      <c r="AK73" s="109"/>
    </row>
    <row r="74" customFormat="false" ht="42" hidden="false" customHeight="true" outlineLevel="0" collapsed="false">
      <c r="A74" s="3"/>
      <c r="B74" s="36" t="s">
        <v>22</v>
      </c>
      <c r="C74" s="98" t="s">
        <v>17</v>
      </c>
      <c r="D74" s="98" t="s">
        <v>342</v>
      </c>
      <c r="E74" s="110" t="s">
        <v>708</v>
      </c>
      <c r="F74" s="99" t="n">
        <v>239</v>
      </c>
      <c r="G74" s="98" t="s">
        <v>333</v>
      </c>
      <c r="H74" s="112" t="n">
        <f aca="false">IF(AND(AE74="yes",ISNUMBER(AD74)),AD74,"")</f>
        <v>239</v>
      </c>
      <c r="I74" s="95" t="n">
        <f aca="false">IF(AND(AE74="yes",ISNUMBER(AD74),ISNUMBER(INDEX(Sources!$G$7:$G$10,MATCH(AB74,Sources!$B$7:$B$10,0)))),ROUND(AD74/INDEX(Sources!$G$7:$G$10,MATCH(AB74,Sources!$B$7:$B$10,0)),6),"")</f>
        <v>9.785611</v>
      </c>
      <c r="J74" s="98" t="s">
        <v>530</v>
      </c>
      <c r="K74" s="98" t="s">
        <v>586</v>
      </c>
      <c r="L74" s="96"/>
      <c r="M74" s="110" t="s">
        <v>709</v>
      </c>
      <c r="N74" s="117" t="s">
        <v>710</v>
      </c>
      <c r="O74" s="110" t="s">
        <v>711</v>
      </c>
      <c r="P74" s="110" t="s">
        <v>590</v>
      </c>
      <c r="Q74" s="118" t="n">
        <v>0.21</v>
      </c>
      <c r="R74" s="110" t="n">
        <v>1</v>
      </c>
      <c r="S74" s="110" t="s">
        <v>632</v>
      </c>
      <c r="T74" s="110" t="s">
        <v>530</v>
      </c>
      <c r="U74" s="110" t="s">
        <v>591</v>
      </c>
      <c r="V74" s="119"/>
      <c r="W74" s="119"/>
      <c r="X74" s="110" t="s">
        <v>626</v>
      </c>
      <c r="Y74" s="110"/>
      <c r="Z74" s="110"/>
      <c r="AA74" s="110"/>
      <c r="AB74" s="110" t="s">
        <v>333</v>
      </c>
      <c r="AC74" s="110" t="s">
        <v>538</v>
      </c>
      <c r="AD74" s="110" t="n">
        <f aca="false">IF(OR(F74="",Q74="",R74=""),"",ROUND(IF(P74="incl.",F74/(1+Q74),F74)/IF(S74="per pack",R74,1),2))</f>
        <v>239</v>
      </c>
      <c r="AE74" s="110" t="str">
        <f aca="false">IF(AND(AC74="yes",ISNUMBER(F74),IF(Compare!$H$5="All mapped",TRUE(),IF(Compare!$H$5="EXACT only",J74="EXACT",OR(J74="EXACT",J74="CLOSE")))),"yes","no")</f>
        <v>yes</v>
      </c>
      <c r="AF74" s="110" t="n">
        <f aca="false">IF(ISNUMBER(H74),COUNTIFS($B$7:$B$3000,B74,$C$7:$C$3000,C74,$H$7:$H$3000,"&lt;"&amp;H74,$AH$7:$AH$3000,"yes")+COUNTIFS($B$7:B74,B74,$C$7:C74,C74,$H$7:H74,H74,$AH$7:AH74,"yes"),"")</f>
        <v>2</v>
      </c>
      <c r="AG74" s="110" t="n">
        <f aca="false">IF(ISNUMBER(I74),COUNTIFS($B$7:$B$3000,B74,$C$7:$C$3000,C74,$I$7:$I$3000,"&lt;"&amp;I74,$AI$7:$AI$3000,"yes")+COUNTIFS($B$7:B74,B74,$C$7:C74,C74,$I$7:I74,I74,$AI$7:AI74,"yes"),"")</f>
        <v>2</v>
      </c>
      <c r="AH74" s="110" t="str">
        <f aca="false">IF(ISNUMBER(H74),"yes","no")</f>
        <v>yes</v>
      </c>
      <c r="AI74" s="110" t="str">
        <f aca="false">IF(ISNUMBER(I74),"yes","no")</f>
        <v>yes</v>
      </c>
      <c r="AJ74" s="120" t="n">
        <v>46295</v>
      </c>
      <c r="AK74" s="110"/>
    </row>
    <row r="75" customFormat="false" ht="42" hidden="false" customHeight="true" outlineLevel="0" collapsed="false">
      <c r="A75" s="3"/>
      <c r="B75" s="31" t="s">
        <v>22</v>
      </c>
      <c r="C75" s="91" t="s">
        <v>17</v>
      </c>
      <c r="D75" s="91" t="s">
        <v>346</v>
      </c>
      <c r="E75" s="109" t="s">
        <v>712</v>
      </c>
      <c r="F75" s="92" t="n">
        <v>464</v>
      </c>
      <c r="G75" s="91" t="s">
        <v>333</v>
      </c>
      <c r="H75" s="112" t="n">
        <f aca="false">IF(AND(AE75="yes",ISNUMBER(AD75)),AD75,"")</f>
        <v>383.47</v>
      </c>
      <c r="I75" s="95" t="n">
        <f aca="false">IF(AND(AE75="yes",ISNUMBER(AD75),ISNUMBER(INDEX(Sources!$G$7:$G$10,MATCH(AB75,Sources!$B$7:$B$10,0)))),ROUND(AD75/INDEX(Sources!$G$7:$G$10,MATCH(AB75,Sources!$B$7:$B$10,0)),6),"")</f>
        <v>15.700787</v>
      </c>
      <c r="J75" s="91" t="s">
        <v>530</v>
      </c>
      <c r="K75" s="91" t="s">
        <v>586</v>
      </c>
      <c r="L75" s="96"/>
      <c r="M75" s="109" t="s">
        <v>713</v>
      </c>
      <c r="N75" s="113" t="s">
        <v>714</v>
      </c>
      <c r="O75" s="109" t="s">
        <v>565</v>
      </c>
      <c r="P75" s="109" t="s">
        <v>265</v>
      </c>
      <c r="Q75" s="114" t="n">
        <v>0.21</v>
      </c>
      <c r="R75" s="109" t="n">
        <v>1</v>
      </c>
      <c r="S75" s="109" t="s">
        <v>632</v>
      </c>
      <c r="T75" s="109" t="s">
        <v>530</v>
      </c>
      <c r="U75" s="109" t="s">
        <v>591</v>
      </c>
      <c r="V75" s="115"/>
      <c r="W75" s="115"/>
      <c r="X75" s="109" t="s">
        <v>626</v>
      </c>
      <c r="Y75" s="109"/>
      <c r="Z75" s="109"/>
      <c r="AA75" s="109"/>
      <c r="AB75" s="109" t="s">
        <v>333</v>
      </c>
      <c r="AC75" s="109" t="s">
        <v>538</v>
      </c>
      <c r="AD75" s="109" t="n">
        <f aca="false">IF(OR(F75="",Q75="",R75=""),"",ROUND(IF(P75="incl.",F75/(1+Q75),F75)/IF(S75="per pack",R75,1),2))</f>
        <v>383.47</v>
      </c>
      <c r="AE75" s="109" t="str">
        <f aca="false">IF(AND(AC75="yes",ISNUMBER(F75),IF(Compare!$H$5="All mapped",TRUE(),IF(Compare!$H$5="EXACT only",J75="EXACT",OR(J75="EXACT",J75="CLOSE")))),"yes","no")</f>
        <v>yes</v>
      </c>
      <c r="AF75" s="109" t="n">
        <f aca="false">IF(ISNUMBER(H75),COUNTIFS($B$7:$B$3000,B75,$C$7:$C$3000,C75,$H$7:$H$3000,"&lt;"&amp;H75,$AH$7:$AH$3000,"yes")+COUNTIFS($B$7:B75,B75,$C$7:C75,C75,$H$7:H75,H75,$AH$7:AH75,"yes"),"")</f>
        <v>6</v>
      </c>
      <c r="AG75" s="109" t="n">
        <f aca="false">IF(ISNUMBER(I75),COUNTIFS($B$7:$B$3000,B75,$C$7:$C$3000,C75,$I$7:$I$3000,"&lt;"&amp;I75,$AI$7:$AI$3000,"yes")+COUNTIFS($B$7:B75,B75,$C$7:C75,C75,$I$7:I75,I75,$AI$7:AI75,"yes"),"")</f>
        <v>6</v>
      </c>
      <c r="AH75" s="109" t="str">
        <f aca="false">IF(ISNUMBER(H75),"yes","no")</f>
        <v>yes</v>
      </c>
      <c r="AI75" s="109" t="str">
        <f aca="false">IF(ISNUMBER(I75),"yes","no")</f>
        <v>yes</v>
      </c>
      <c r="AJ75" s="116" t="n">
        <v>46295</v>
      </c>
      <c r="AK75" s="109"/>
    </row>
    <row r="76" customFormat="false" ht="42" hidden="false" customHeight="true" outlineLevel="0" collapsed="false">
      <c r="A76" s="3"/>
      <c r="B76" s="36" t="s">
        <v>22</v>
      </c>
      <c r="C76" s="98" t="s">
        <v>17</v>
      </c>
      <c r="D76" s="98" t="s">
        <v>361</v>
      </c>
      <c r="E76" s="110" t="s">
        <v>715</v>
      </c>
      <c r="F76" s="99" t="n">
        <v>356</v>
      </c>
      <c r="G76" s="98" t="s">
        <v>333</v>
      </c>
      <c r="H76" s="112" t="n">
        <f aca="false">IF(AND(AE76="yes",ISNUMBER(AD76)),AD76,"")</f>
        <v>294.21</v>
      </c>
      <c r="I76" s="95" t="n">
        <f aca="false">IF(AND(AE76="yes",ISNUMBER(AD76),ISNUMBER(INDEX(Sources!$G$7:$G$10,MATCH(AB76,Sources!$B$7:$B$10,0)))),ROUND(AD76/INDEX(Sources!$G$7:$G$10,MATCH(AB76,Sources!$B$7:$B$10,0)),6),"")</f>
        <v>12.046128</v>
      </c>
      <c r="J76" s="98" t="s">
        <v>530</v>
      </c>
      <c r="K76" s="98" t="s">
        <v>586</v>
      </c>
      <c r="L76" s="96"/>
      <c r="M76" s="110" t="s">
        <v>716</v>
      </c>
      <c r="N76" s="117" t="s">
        <v>717</v>
      </c>
      <c r="O76" s="110" t="s">
        <v>642</v>
      </c>
      <c r="P76" s="110" t="s">
        <v>265</v>
      </c>
      <c r="Q76" s="118" t="n">
        <v>0.21</v>
      </c>
      <c r="R76" s="110" t="n">
        <v>1</v>
      </c>
      <c r="S76" s="110" t="s">
        <v>632</v>
      </c>
      <c r="T76" s="110" t="s">
        <v>530</v>
      </c>
      <c r="U76" s="110" t="s">
        <v>591</v>
      </c>
      <c r="V76" s="119"/>
      <c r="W76" s="119"/>
      <c r="X76" s="110" t="s">
        <v>626</v>
      </c>
      <c r="Y76" s="110"/>
      <c r="Z76" s="110"/>
      <c r="AA76" s="110"/>
      <c r="AB76" s="110" t="s">
        <v>333</v>
      </c>
      <c r="AC76" s="110" t="s">
        <v>538</v>
      </c>
      <c r="AD76" s="110" t="n">
        <f aca="false">IF(OR(F76="",Q76="",R76=""),"",ROUND(IF(P76="incl.",F76/(1+Q76),F76)/IF(S76="per pack",R76,1),2))</f>
        <v>294.21</v>
      </c>
      <c r="AE76" s="110" t="str">
        <f aca="false">IF(AND(AC76="yes",ISNUMBER(F76),IF(Compare!$H$5="All mapped",TRUE(),IF(Compare!$H$5="EXACT only",J76="EXACT",OR(J76="EXACT",J76="CLOSE")))),"yes","no")</f>
        <v>yes</v>
      </c>
      <c r="AF76" s="110" t="n">
        <f aca="false">IF(ISNUMBER(H76),COUNTIFS($B$7:$B$3000,B76,$C$7:$C$3000,C76,$H$7:$H$3000,"&lt;"&amp;H76,$AH$7:$AH$3000,"yes")+COUNTIFS($B$7:B76,B76,$C$7:C76,C76,$H$7:H76,H76,$AH$7:AH76,"yes"),"")</f>
        <v>5</v>
      </c>
      <c r="AG76" s="110" t="n">
        <f aca="false">IF(ISNUMBER(I76),COUNTIFS($B$7:$B$3000,B76,$C$7:$C$3000,C76,$I$7:$I$3000,"&lt;"&amp;I76,$AI$7:$AI$3000,"yes")+COUNTIFS($B$7:B76,B76,$C$7:C76,C76,$I$7:I76,I76,$AI$7:AI76,"yes"),"")</f>
        <v>5</v>
      </c>
      <c r="AH76" s="110" t="str">
        <f aca="false">IF(ISNUMBER(H76),"yes","no")</f>
        <v>yes</v>
      </c>
      <c r="AI76" s="110" t="str">
        <f aca="false">IF(ISNUMBER(I76),"yes","no")</f>
        <v>yes</v>
      </c>
      <c r="AJ76" s="120" t="n">
        <v>46295</v>
      </c>
      <c r="AK76" s="110"/>
    </row>
    <row r="77" customFormat="false" ht="42" hidden="false" customHeight="true" outlineLevel="0" collapsed="false">
      <c r="A77" s="3"/>
      <c r="B77" s="31" t="s">
        <v>22</v>
      </c>
      <c r="C77" s="91" t="s">
        <v>18</v>
      </c>
      <c r="D77" s="91" t="s">
        <v>365</v>
      </c>
      <c r="E77" s="109" t="s">
        <v>718</v>
      </c>
      <c r="F77" s="92" t="n">
        <v>16.15</v>
      </c>
      <c r="G77" s="91" t="s">
        <v>244</v>
      </c>
      <c r="H77" s="112" t="n">
        <f aca="false">IF(AND(AE77="yes",ISNUMBER(AD77)),AD77,"")</f>
        <v>16.15</v>
      </c>
      <c r="I77" s="95" t="n">
        <f aca="false">IF(AND(AE77="yes",ISNUMBER(AD77),ISNUMBER(INDEX(Sources!$G$7:$G$10,MATCH(AB77,Sources!$B$7:$B$10,0)))),ROUND(AD77/INDEX(Sources!$G$7:$G$10,MATCH(AB77,Sources!$B$7:$B$10,0)),6),"")</f>
        <v>16.15</v>
      </c>
      <c r="J77" s="91" t="s">
        <v>530</v>
      </c>
      <c r="K77" s="91" t="s">
        <v>586</v>
      </c>
      <c r="L77" s="96"/>
      <c r="M77" s="109" t="s">
        <v>719</v>
      </c>
      <c r="N77" s="113" t="s">
        <v>720</v>
      </c>
      <c r="O77" s="109" t="s">
        <v>646</v>
      </c>
      <c r="P77" s="109" t="s">
        <v>590</v>
      </c>
      <c r="Q77" s="114" t="s">
        <v>647</v>
      </c>
      <c r="R77" s="109" t="n">
        <v>1</v>
      </c>
      <c r="S77" s="109" t="s">
        <v>632</v>
      </c>
      <c r="T77" s="109" t="s">
        <v>530</v>
      </c>
      <c r="U77" s="109" t="s">
        <v>591</v>
      </c>
      <c r="V77" s="115" t="n">
        <v>16.15</v>
      </c>
      <c r="W77" s="115"/>
      <c r="X77" s="109" t="s">
        <v>648</v>
      </c>
      <c r="Y77" s="109"/>
      <c r="Z77" s="109"/>
      <c r="AA77" s="109"/>
      <c r="AB77" s="109" t="s">
        <v>244</v>
      </c>
      <c r="AC77" s="109" t="s">
        <v>538</v>
      </c>
      <c r="AD77" s="109" t="n">
        <f aca="false">IF(ISNUMBER(V77),ROUND(V77,6),"")</f>
        <v>16.15</v>
      </c>
      <c r="AE77" s="109" t="str">
        <f aca="false">IF(AND(AC77="yes",ISNUMBER(F77),IF(Compare!$H$5="All mapped",TRUE(),IF(Compare!$H$5="EXACT only",J77="EXACT",OR(J77="EXACT",J77="CLOSE")))),"yes","no")</f>
        <v>yes</v>
      </c>
      <c r="AF77" s="109" t="n">
        <f aca="false">IF(ISNUMBER(H77),COUNTIFS($B$7:$B$3000,B77,$C$7:$C$3000,C77,$H$7:$H$3000,"&lt;"&amp;H77,$AH$7:$AH$3000,"yes")+COUNTIFS($B$7:B77,B77,$C$7:C77,C77,$H$7:H77,H77,$AH$7:AH77,"yes"),"")</f>
        <v>2</v>
      </c>
      <c r="AG77" s="109" t="n">
        <f aca="false">IF(ISNUMBER(I77),COUNTIFS($B$7:$B$3000,B77,$C$7:$C$3000,C77,$I$7:$I$3000,"&lt;"&amp;I77,$AI$7:$AI$3000,"yes")+COUNTIFS($B$7:B77,B77,$C$7:C77,C77,$I$7:I77,I77,$AI$7:AI77,"yes"),"")</f>
        <v>2</v>
      </c>
      <c r="AH77" s="109" t="str">
        <f aca="false">IF(ISNUMBER(H77),"yes","no")</f>
        <v>yes</v>
      </c>
      <c r="AI77" s="109" t="str">
        <f aca="false">IF(ISNUMBER(I77),"yes","no")</f>
        <v>yes</v>
      </c>
      <c r="AJ77" s="116" t="n">
        <v>46295</v>
      </c>
      <c r="AK77" s="109"/>
    </row>
    <row r="78" customFormat="false" ht="42" hidden="false" customHeight="true" outlineLevel="0" collapsed="false">
      <c r="A78" s="3"/>
      <c r="B78" s="36" t="s">
        <v>22</v>
      </c>
      <c r="C78" s="98" t="s">
        <v>18</v>
      </c>
      <c r="D78" s="98" t="s">
        <v>369</v>
      </c>
      <c r="E78" s="110" t="s">
        <v>721</v>
      </c>
      <c r="F78" s="99" t="n">
        <v>18.73</v>
      </c>
      <c r="G78" s="98" t="s">
        <v>244</v>
      </c>
      <c r="H78" s="112" t="n">
        <f aca="false">IF(AND(AE78="yes",ISNUMBER(AD78)),AD78,"")</f>
        <v>15.227642</v>
      </c>
      <c r="I78" s="95" t="n">
        <f aca="false">IF(AND(AE78="yes",ISNUMBER(AD78),ISNUMBER(INDEX(Sources!$G$7:$G$10,MATCH(AB78,Sources!$B$7:$B$10,0)))),ROUND(AD78/INDEX(Sources!$G$7:$G$10,MATCH(AB78,Sources!$B$7:$B$10,0)),6),"")</f>
        <v>15.227642</v>
      </c>
      <c r="J78" s="98" t="s">
        <v>530</v>
      </c>
      <c r="K78" s="98" t="s">
        <v>586</v>
      </c>
      <c r="L78" s="96"/>
      <c r="M78" s="110" t="s">
        <v>722</v>
      </c>
      <c r="N78" s="117" t="s">
        <v>723</v>
      </c>
      <c r="O78" s="110" t="s">
        <v>565</v>
      </c>
      <c r="P78" s="110" t="s">
        <v>265</v>
      </c>
      <c r="Q78" s="118" t="n">
        <v>0.23</v>
      </c>
      <c r="R78" s="110" t="n">
        <v>1</v>
      </c>
      <c r="S78" s="110" t="s">
        <v>632</v>
      </c>
      <c r="T78" s="110" t="s">
        <v>530</v>
      </c>
      <c r="U78" s="110" t="s">
        <v>591</v>
      </c>
      <c r="V78" s="119" t="n">
        <v>15.2276422764228</v>
      </c>
      <c r="W78" s="119"/>
      <c r="X78" s="110" t="s">
        <v>648</v>
      </c>
      <c r="Y78" s="110"/>
      <c r="Z78" s="110"/>
      <c r="AA78" s="110"/>
      <c r="AB78" s="110" t="s">
        <v>244</v>
      </c>
      <c r="AC78" s="110" t="s">
        <v>538</v>
      </c>
      <c r="AD78" s="110" t="n">
        <f aca="false">IF(ISNUMBER(V78),ROUND(V78,6),"")</f>
        <v>15.227642</v>
      </c>
      <c r="AE78" s="110" t="str">
        <f aca="false">IF(AND(AC78="yes",ISNUMBER(F78),IF(Compare!$H$5="All mapped",TRUE(),IF(Compare!$H$5="EXACT only",J78="EXACT",OR(J78="EXACT",J78="CLOSE")))),"yes","no")</f>
        <v>yes</v>
      </c>
      <c r="AF78" s="110" t="n">
        <f aca="false">IF(ISNUMBER(H78),COUNTIFS($B$7:$B$3000,B78,$C$7:$C$3000,C78,$H$7:$H$3000,"&lt;"&amp;H78,$AH$7:$AH$3000,"yes")+COUNTIFS($B$7:B78,B78,$C$7:C78,C78,$H$7:H78,H78,$AH$7:AH78,"yes"),"")</f>
        <v>1</v>
      </c>
      <c r="AG78" s="110" t="n">
        <f aca="false">IF(ISNUMBER(I78),COUNTIFS($B$7:$B$3000,B78,$C$7:$C$3000,C78,$I$7:$I$3000,"&lt;"&amp;I78,$AI$7:$AI$3000,"yes")+COUNTIFS($B$7:B78,B78,$C$7:C78,C78,$I$7:I78,I78,$AI$7:AI78,"yes"),"")</f>
        <v>1</v>
      </c>
      <c r="AH78" s="110" t="str">
        <f aca="false">IF(ISNUMBER(H78),"yes","no")</f>
        <v>yes</v>
      </c>
      <c r="AI78" s="110" t="str">
        <f aca="false">IF(ISNUMBER(I78),"yes","no")</f>
        <v>yes</v>
      </c>
      <c r="AJ78" s="120" t="n">
        <v>46295</v>
      </c>
      <c r="AK78" s="110"/>
    </row>
    <row r="79" customFormat="false" ht="42" hidden="false" customHeight="true" outlineLevel="0" collapsed="false">
      <c r="A79" s="3"/>
      <c r="B79" s="31" t="s">
        <v>23</v>
      </c>
      <c r="C79" s="91" t="s">
        <v>13</v>
      </c>
      <c r="D79" s="91" t="s">
        <v>528</v>
      </c>
      <c r="E79" s="109" t="s">
        <v>724</v>
      </c>
      <c r="F79" s="92" t="n">
        <v>840</v>
      </c>
      <c r="G79" s="91" t="s">
        <v>490</v>
      </c>
      <c r="H79" s="112" t="n">
        <f aca="false">IF(AND(AE79="yes",ISNUMBER(AD79)),AD79,"")</f>
        <v>840</v>
      </c>
      <c r="I79" s="95" t="n">
        <f aca="false">IF(AND(AE79="yes",ISNUMBER(AD79),ISNUMBER(INDEX(Sources!$G$7:$G$10,MATCH(AB79,Sources!$B$7:$B$10,0)))),ROUND(AD79/INDEX(Sources!$G$7:$G$10,MATCH(AB79,Sources!$B$7:$B$10,0)),6),"")</f>
        <v>2.294392</v>
      </c>
      <c r="J79" s="91" t="s">
        <v>530</v>
      </c>
      <c r="K79" s="91" t="s">
        <v>531</v>
      </c>
      <c r="L79" s="96"/>
      <c r="M79" s="109" t="s">
        <v>725</v>
      </c>
      <c r="N79" s="113" t="s">
        <v>726</v>
      </c>
      <c r="O79" s="109"/>
      <c r="P79" s="109"/>
      <c r="Q79" s="114"/>
      <c r="R79" s="109"/>
      <c r="S79" s="109"/>
      <c r="T79" s="109"/>
      <c r="U79" s="109" t="s">
        <v>534</v>
      </c>
      <c r="V79" s="115"/>
      <c r="W79" s="115" t="n">
        <v>840</v>
      </c>
      <c r="X79" s="109" t="s">
        <v>535</v>
      </c>
      <c r="Y79" s="109"/>
      <c r="Z79" s="109"/>
      <c r="AA79" s="109" t="s">
        <v>537</v>
      </c>
      <c r="AB79" s="109" t="s">
        <v>490</v>
      </c>
      <c r="AC79" s="109" t="s">
        <v>538</v>
      </c>
      <c r="AD79" s="115" t="n">
        <f aca="false">IF(ISNUMBER(F79),IF(G79=AB79,F79,IF(AND(ISNUMBER(INDEX(Sources!$G$7:$G$10,MATCH(G79,Sources!$B$7:$B$10,0))),ISNUMBER(INDEX(Sources!$G$7:$G$10,MATCH(AB79,Sources!$B$7:$B$10,0)))),F79/INDEX(Sources!$G$7:$G$10,MATCH(G79,Sources!$B$7:$B$10,0))*INDEX(Sources!$G$7:$G$10,MATCH(AB79,Sources!$B$7:$B$10,0)),"")),"")</f>
        <v>840</v>
      </c>
      <c r="AE79" s="109" t="str">
        <f aca="false">IF(AND(AC79="yes",ISNUMBER(F79),IF(Compare!$H$5="All mapped",TRUE(),IF(Compare!$H$5="EXACT only",J79="EXACT",OR(J79="EXACT",J79="CLOSE")))),"yes","no")</f>
        <v>yes</v>
      </c>
      <c r="AF79" s="109" t="n">
        <f aca="false">IF(ISNUMBER(H79),COUNTIFS($B$7:$B$3000,B79,$C$7:$C$3000,C79,$H$7:$H$3000,"&lt;"&amp;H79,$AH$7:$AH$3000,"yes")+COUNTIFS($B$7:B79,B79,$C$7:C79,C79,$H$7:H79,H79,$AH$7:AH79,"yes"),"")</f>
        <v>1</v>
      </c>
      <c r="AG79" s="109" t="n">
        <f aca="false">IF(ISNUMBER(I79),COUNTIFS($B$7:$B$3000,B79,$C$7:$C$3000,C79,$I$7:$I$3000,"&lt;"&amp;I79,$AI$7:$AI$3000,"yes")+COUNTIFS($B$7:B79,B79,$C$7:C79,C79,$I$7:I79,I79,$AI$7:AI79,"yes"),"")</f>
        <v>1</v>
      </c>
      <c r="AH79" s="109" t="str">
        <f aca="false">IF(ISNUMBER(H79),"yes","no")</f>
        <v>yes</v>
      </c>
      <c r="AI79" s="109" t="str">
        <f aca="false">IF(ISNUMBER(I79),"yes","no")</f>
        <v>yes</v>
      </c>
      <c r="AJ79" s="116" t="n">
        <v>46181</v>
      </c>
      <c r="AK79" s="109"/>
    </row>
    <row r="80" customFormat="false" ht="42" hidden="false" customHeight="true" outlineLevel="0" collapsed="false">
      <c r="A80" s="3"/>
      <c r="B80" s="36" t="s">
        <v>23</v>
      </c>
      <c r="C80" s="98" t="s">
        <v>13</v>
      </c>
      <c r="D80" s="98" t="s">
        <v>541</v>
      </c>
      <c r="E80" s="110" t="s">
        <v>724</v>
      </c>
      <c r="F80" s="99" t="n">
        <v>1555</v>
      </c>
      <c r="G80" s="98" t="s">
        <v>490</v>
      </c>
      <c r="H80" s="112" t="n">
        <f aca="false">IF(AND(AE80="yes",ISNUMBER(AD80)),AD80,"")</f>
        <v>1555</v>
      </c>
      <c r="I80" s="95" t="n">
        <f aca="false">IF(AND(AE80="yes",ISNUMBER(AD80),ISNUMBER(INDEX(Sources!$G$7:$G$10,MATCH(AB80,Sources!$B$7:$B$10,0)))),ROUND(AD80/INDEX(Sources!$G$7:$G$10,MATCH(AB80,Sources!$B$7:$B$10,0)),6),"")</f>
        <v>4.247357</v>
      </c>
      <c r="J80" s="98" t="s">
        <v>530</v>
      </c>
      <c r="K80" s="98" t="s">
        <v>531</v>
      </c>
      <c r="L80" s="96"/>
      <c r="M80" s="110" t="s">
        <v>725</v>
      </c>
      <c r="N80" s="117" t="s">
        <v>654</v>
      </c>
      <c r="O80" s="110"/>
      <c r="P80" s="110"/>
      <c r="Q80" s="118"/>
      <c r="R80" s="110"/>
      <c r="S80" s="110"/>
      <c r="T80" s="110"/>
      <c r="U80" s="110" t="s">
        <v>534</v>
      </c>
      <c r="V80" s="119"/>
      <c r="W80" s="119" t="n">
        <v>1555</v>
      </c>
      <c r="X80" s="110" t="s">
        <v>535</v>
      </c>
      <c r="Y80" s="110"/>
      <c r="Z80" s="110"/>
      <c r="AA80" s="110" t="s">
        <v>537</v>
      </c>
      <c r="AB80" s="110" t="s">
        <v>490</v>
      </c>
      <c r="AC80" s="110" t="s">
        <v>538</v>
      </c>
      <c r="AD80" s="119" t="n">
        <f aca="false">IF(ISNUMBER(F80),IF(G80=AB80,F80,IF(AND(ISNUMBER(INDEX(Sources!$G$7:$G$10,MATCH(G80,Sources!$B$7:$B$10,0))),ISNUMBER(INDEX(Sources!$G$7:$G$10,MATCH(AB80,Sources!$B$7:$B$10,0)))),F80/INDEX(Sources!$G$7:$G$10,MATCH(G80,Sources!$B$7:$B$10,0))*INDEX(Sources!$G$7:$G$10,MATCH(AB80,Sources!$B$7:$B$10,0)),"")),"")</f>
        <v>1555</v>
      </c>
      <c r="AE80" s="110" t="str">
        <f aca="false">IF(AND(AC80="yes",ISNUMBER(F80),IF(Compare!$H$5="All mapped",TRUE(),IF(Compare!$H$5="EXACT only",J80="EXACT",OR(J80="EXACT",J80="CLOSE")))),"yes","no")</f>
        <v>yes</v>
      </c>
      <c r="AF80" s="110" t="n">
        <f aca="false">IF(ISNUMBER(H80),COUNTIFS($B$7:$B$3000,B80,$C$7:$C$3000,C80,$H$7:$H$3000,"&lt;"&amp;H80,$AH$7:$AH$3000,"yes")+COUNTIFS($B$7:B80,B80,$C$7:C80,C80,$H$7:H80,H80,$AH$7:AH80,"yes"),"")</f>
        <v>3</v>
      </c>
      <c r="AG80" s="110" t="n">
        <f aca="false">IF(ISNUMBER(I80),COUNTIFS($B$7:$B$3000,B80,$C$7:$C$3000,C80,$I$7:$I$3000,"&lt;"&amp;I80,$AI$7:$AI$3000,"yes")+COUNTIFS($B$7:B80,B80,$C$7:C80,C80,$I$7:I80,I80,$AI$7:AI80,"yes"),"")</f>
        <v>3</v>
      </c>
      <c r="AH80" s="110" t="str">
        <f aca="false">IF(ISNUMBER(H80),"yes","no")</f>
        <v>yes</v>
      </c>
      <c r="AI80" s="110" t="str">
        <f aca="false">IF(ISNUMBER(I80),"yes","no")</f>
        <v>yes</v>
      </c>
      <c r="AJ80" s="120" t="n">
        <v>46181</v>
      </c>
      <c r="AK80" s="110"/>
    </row>
    <row r="81" customFormat="false" ht="42" hidden="false" customHeight="true" outlineLevel="0" collapsed="false">
      <c r="A81" s="3"/>
      <c r="B81" s="31" t="s">
        <v>23</v>
      </c>
      <c r="C81" s="91" t="s">
        <v>13</v>
      </c>
      <c r="D81" s="91" t="s">
        <v>546</v>
      </c>
      <c r="E81" s="109" t="s">
        <v>724</v>
      </c>
      <c r="F81" s="92" t="n">
        <v>1370</v>
      </c>
      <c r="G81" s="91" t="s">
        <v>490</v>
      </c>
      <c r="H81" s="112" t="n">
        <f aca="false">IF(AND(AE81="yes",ISNUMBER(AD81)),AD81,"")</f>
        <v>1370</v>
      </c>
      <c r="I81" s="95" t="n">
        <f aca="false">IF(AND(AE81="yes",ISNUMBER(AD81),ISNUMBER(INDEX(Sources!$G$7:$G$10,MATCH(AB81,Sources!$B$7:$B$10,0)))),ROUND(AD81/INDEX(Sources!$G$7:$G$10,MATCH(AB81,Sources!$B$7:$B$10,0)),6),"")</f>
        <v>3.742045</v>
      </c>
      <c r="J81" s="91" t="s">
        <v>530</v>
      </c>
      <c r="K81" s="91" t="s">
        <v>531</v>
      </c>
      <c r="L81" s="96"/>
      <c r="M81" s="109" t="s">
        <v>725</v>
      </c>
      <c r="N81" s="113" t="s">
        <v>547</v>
      </c>
      <c r="O81" s="109"/>
      <c r="P81" s="109"/>
      <c r="Q81" s="114"/>
      <c r="R81" s="109"/>
      <c r="S81" s="109"/>
      <c r="T81" s="109"/>
      <c r="U81" s="109" t="s">
        <v>534</v>
      </c>
      <c r="V81" s="115"/>
      <c r="W81" s="115" t="n">
        <v>1370</v>
      </c>
      <c r="X81" s="109" t="s">
        <v>535</v>
      </c>
      <c r="Y81" s="109"/>
      <c r="Z81" s="109"/>
      <c r="AA81" s="109" t="s">
        <v>537</v>
      </c>
      <c r="AB81" s="109" t="s">
        <v>490</v>
      </c>
      <c r="AC81" s="109" t="s">
        <v>538</v>
      </c>
      <c r="AD81" s="115" t="n">
        <f aca="false">IF(ISNUMBER(F81),IF(G81=AB81,F81,IF(AND(ISNUMBER(INDEX(Sources!$G$7:$G$10,MATCH(G81,Sources!$B$7:$B$10,0))),ISNUMBER(INDEX(Sources!$G$7:$G$10,MATCH(AB81,Sources!$B$7:$B$10,0)))),F81/INDEX(Sources!$G$7:$G$10,MATCH(G81,Sources!$B$7:$B$10,0))*INDEX(Sources!$G$7:$G$10,MATCH(AB81,Sources!$B$7:$B$10,0)),"")),"")</f>
        <v>1370</v>
      </c>
      <c r="AE81" s="109" t="str">
        <f aca="false">IF(AND(AC81="yes",ISNUMBER(F81),IF(Compare!$H$5="All mapped",TRUE(),IF(Compare!$H$5="EXACT only",J81="EXACT",OR(J81="EXACT",J81="CLOSE")))),"yes","no")</f>
        <v>yes</v>
      </c>
      <c r="AF81" s="109" t="n">
        <f aca="false">IF(ISNUMBER(H81),COUNTIFS($B$7:$B$3000,B81,$C$7:$C$3000,C81,$H$7:$H$3000,"&lt;"&amp;H81,$AH$7:$AH$3000,"yes")+COUNTIFS($B$7:B81,B81,$C$7:C81,C81,$H$7:H81,H81,$AH$7:AH81,"yes"),"")</f>
        <v>2</v>
      </c>
      <c r="AG81" s="109" t="n">
        <f aca="false">IF(ISNUMBER(I81),COUNTIFS($B$7:$B$3000,B81,$C$7:$C$3000,C81,$I$7:$I$3000,"&lt;"&amp;I81,$AI$7:$AI$3000,"yes")+COUNTIFS($B$7:B81,B81,$C$7:C81,C81,$I$7:I81,I81,$AI$7:AI81,"yes"),"")</f>
        <v>2</v>
      </c>
      <c r="AH81" s="109" t="str">
        <f aca="false">IF(ISNUMBER(H81),"yes","no")</f>
        <v>yes</v>
      </c>
      <c r="AI81" s="109" t="str">
        <f aca="false">IF(ISNUMBER(I81),"yes","no")</f>
        <v>yes</v>
      </c>
      <c r="AJ81" s="116" t="n">
        <v>46181</v>
      </c>
      <c r="AK81" s="109"/>
    </row>
    <row r="82" customFormat="false" ht="42" hidden="false" customHeight="true" outlineLevel="0" collapsed="false">
      <c r="A82" s="3"/>
      <c r="B82" s="36" t="s">
        <v>23</v>
      </c>
      <c r="C82" s="98" t="s">
        <v>13</v>
      </c>
      <c r="D82" s="98" t="s">
        <v>548</v>
      </c>
      <c r="E82" s="110" t="s">
        <v>724</v>
      </c>
      <c r="F82" s="99" t="n">
        <v>2023</v>
      </c>
      <c r="G82" s="98" t="s">
        <v>490</v>
      </c>
      <c r="H82" s="112" t="n">
        <f aca="false">IF(AND(AE82="yes",ISNUMBER(AD82)),AD82,"")</f>
        <v>2023</v>
      </c>
      <c r="I82" s="95" t="n">
        <f aca="false">IF(AND(AE82="yes",ISNUMBER(AD82),ISNUMBER(INDEX(Sources!$G$7:$G$10,MATCH(AB82,Sources!$B$7:$B$10,0)))),ROUND(AD82/INDEX(Sources!$G$7:$G$10,MATCH(AB82,Sources!$B$7:$B$10,0)),6),"")</f>
        <v>5.525662</v>
      </c>
      <c r="J82" s="98" t="s">
        <v>530</v>
      </c>
      <c r="K82" s="98" t="s">
        <v>531</v>
      </c>
      <c r="L82" s="96"/>
      <c r="M82" s="110" t="s">
        <v>725</v>
      </c>
      <c r="N82" s="117" t="s">
        <v>727</v>
      </c>
      <c r="O82" s="110"/>
      <c r="P82" s="110"/>
      <c r="Q82" s="118"/>
      <c r="R82" s="110"/>
      <c r="S82" s="110"/>
      <c r="T82" s="110"/>
      <c r="U82" s="110" t="s">
        <v>534</v>
      </c>
      <c r="V82" s="119"/>
      <c r="W82" s="119" t="n">
        <v>2023</v>
      </c>
      <c r="X82" s="110" t="s">
        <v>535</v>
      </c>
      <c r="Y82" s="110"/>
      <c r="Z82" s="110"/>
      <c r="AA82" s="110" t="s">
        <v>537</v>
      </c>
      <c r="AB82" s="110" t="s">
        <v>490</v>
      </c>
      <c r="AC82" s="110" t="s">
        <v>538</v>
      </c>
      <c r="AD82" s="119" t="n">
        <f aca="false">IF(ISNUMBER(F82),IF(G82=AB82,F82,IF(AND(ISNUMBER(INDEX(Sources!$G$7:$G$10,MATCH(G82,Sources!$B$7:$B$10,0))),ISNUMBER(INDEX(Sources!$G$7:$G$10,MATCH(AB82,Sources!$B$7:$B$10,0)))),F82/INDEX(Sources!$G$7:$G$10,MATCH(G82,Sources!$B$7:$B$10,0))*INDEX(Sources!$G$7:$G$10,MATCH(AB82,Sources!$B$7:$B$10,0)),"")),"")</f>
        <v>2023</v>
      </c>
      <c r="AE82" s="110" t="str">
        <f aca="false">IF(AND(AC82="yes",ISNUMBER(F82),IF(Compare!$H$5="All mapped",TRUE(),IF(Compare!$H$5="EXACT only",J82="EXACT",OR(J82="EXACT",J82="CLOSE")))),"yes","no")</f>
        <v>yes</v>
      </c>
      <c r="AF82" s="110" t="n">
        <f aca="false">IF(ISNUMBER(H82),COUNTIFS($B$7:$B$3000,B82,$C$7:$C$3000,C82,$H$7:$H$3000,"&lt;"&amp;H82,$AH$7:$AH$3000,"yes")+COUNTIFS($B$7:B82,B82,$C$7:C82,C82,$H$7:H82,H82,$AH$7:AH82,"yes"),"")</f>
        <v>5</v>
      </c>
      <c r="AG82" s="110" t="n">
        <f aca="false">IF(ISNUMBER(I82),COUNTIFS($B$7:$B$3000,B82,$C$7:$C$3000,C82,$I$7:$I$3000,"&lt;"&amp;I82,$AI$7:$AI$3000,"yes")+COUNTIFS($B$7:B82,B82,$C$7:C82,C82,$I$7:I82,I82,$AI$7:AI82,"yes"),"")</f>
        <v>5</v>
      </c>
      <c r="AH82" s="110" t="str">
        <f aca="false">IF(ISNUMBER(H82),"yes","no")</f>
        <v>yes</v>
      </c>
      <c r="AI82" s="110" t="str">
        <f aca="false">IF(ISNUMBER(I82),"yes","no")</f>
        <v>yes</v>
      </c>
      <c r="AJ82" s="120" t="n">
        <v>46181</v>
      </c>
      <c r="AK82" s="110"/>
    </row>
    <row r="83" customFormat="false" ht="42" hidden="false" customHeight="true" outlineLevel="0" collapsed="false">
      <c r="A83" s="3"/>
      <c r="B83" s="31" t="s">
        <v>23</v>
      </c>
      <c r="C83" s="91" t="s">
        <v>13</v>
      </c>
      <c r="D83" s="91" t="s">
        <v>550</v>
      </c>
      <c r="E83" s="109" t="s">
        <v>724</v>
      </c>
      <c r="F83" s="92" t="n">
        <v>1700</v>
      </c>
      <c r="G83" s="91" t="s">
        <v>490</v>
      </c>
      <c r="H83" s="112" t="n">
        <f aca="false">IF(AND(AE83="yes",ISNUMBER(AD83)),AD83,"")</f>
        <v>1700</v>
      </c>
      <c r="I83" s="95" t="n">
        <f aca="false">IF(AND(AE83="yes",ISNUMBER(AD83),ISNUMBER(INDEX(Sources!$G$7:$G$10,MATCH(AB83,Sources!$B$7:$B$10,0)))),ROUND(AD83/INDEX(Sources!$G$7:$G$10,MATCH(AB83,Sources!$B$7:$B$10,0)),6),"")</f>
        <v>4.643413</v>
      </c>
      <c r="J83" s="91" t="s">
        <v>530</v>
      </c>
      <c r="K83" s="91" t="s">
        <v>531</v>
      </c>
      <c r="L83" s="96"/>
      <c r="M83" s="109" t="s">
        <v>725</v>
      </c>
      <c r="N83" s="113" t="s">
        <v>551</v>
      </c>
      <c r="O83" s="109"/>
      <c r="P83" s="109"/>
      <c r="Q83" s="114"/>
      <c r="R83" s="109"/>
      <c r="S83" s="109"/>
      <c r="T83" s="109"/>
      <c r="U83" s="109" t="s">
        <v>534</v>
      </c>
      <c r="V83" s="115"/>
      <c r="W83" s="115" t="n">
        <v>1700</v>
      </c>
      <c r="X83" s="109" t="s">
        <v>535</v>
      </c>
      <c r="Y83" s="109"/>
      <c r="Z83" s="109"/>
      <c r="AA83" s="109" t="s">
        <v>537</v>
      </c>
      <c r="AB83" s="109" t="s">
        <v>490</v>
      </c>
      <c r="AC83" s="109" t="s">
        <v>538</v>
      </c>
      <c r="AD83" s="115" t="n">
        <f aca="false">IF(ISNUMBER(F83),IF(G83=AB83,F83,IF(AND(ISNUMBER(INDEX(Sources!$G$7:$G$10,MATCH(G83,Sources!$B$7:$B$10,0))),ISNUMBER(INDEX(Sources!$G$7:$G$10,MATCH(AB83,Sources!$B$7:$B$10,0)))),F83/INDEX(Sources!$G$7:$G$10,MATCH(G83,Sources!$B$7:$B$10,0))*INDEX(Sources!$G$7:$G$10,MATCH(AB83,Sources!$B$7:$B$10,0)),"")),"")</f>
        <v>1700</v>
      </c>
      <c r="AE83" s="109" t="str">
        <f aca="false">IF(AND(AC83="yes",ISNUMBER(F83),IF(Compare!$H$5="All mapped",TRUE(),IF(Compare!$H$5="EXACT only",J83="EXACT",OR(J83="EXACT",J83="CLOSE")))),"yes","no")</f>
        <v>yes</v>
      </c>
      <c r="AF83" s="109" t="n">
        <f aca="false">IF(ISNUMBER(H83),COUNTIFS($B$7:$B$3000,B83,$C$7:$C$3000,C83,$H$7:$H$3000,"&lt;"&amp;H83,$AH$7:$AH$3000,"yes")+COUNTIFS($B$7:B83,B83,$C$7:C83,C83,$H$7:H83,H83,$AH$7:AH83,"yes"),"")</f>
        <v>4</v>
      </c>
      <c r="AG83" s="109" t="n">
        <f aca="false">IF(ISNUMBER(I83),COUNTIFS($B$7:$B$3000,B83,$C$7:$C$3000,C83,$I$7:$I$3000,"&lt;"&amp;I83,$AI$7:$AI$3000,"yes")+COUNTIFS($B$7:B83,B83,$C$7:C83,C83,$I$7:I83,I83,$AI$7:AI83,"yes"),"")</f>
        <v>4</v>
      </c>
      <c r="AH83" s="109" t="str">
        <f aca="false">IF(ISNUMBER(H83),"yes","no")</f>
        <v>yes</v>
      </c>
      <c r="AI83" s="109" t="str">
        <f aca="false">IF(ISNUMBER(I83),"yes","no")</f>
        <v>yes</v>
      </c>
      <c r="AJ83" s="116" t="n">
        <v>46181</v>
      </c>
      <c r="AK83" s="109"/>
    </row>
    <row r="84" customFormat="false" ht="42" hidden="false" customHeight="true" outlineLevel="0" collapsed="false">
      <c r="A84" s="3"/>
      <c r="B84" s="36" t="s">
        <v>23</v>
      </c>
      <c r="C84" s="98" t="s">
        <v>14</v>
      </c>
      <c r="D84" s="98" t="s">
        <v>346</v>
      </c>
      <c r="E84" s="110" t="s">
        <v>728</v>
      </c>
      <c r="F84" s="99" t="n">
        <v>35.63</v>
      </c>
      <c r="G84" s="98" t="s">
        <v>374</v>
      </c>
      <c r="H84" s="112" t="n">
        <f aca="false">IF(AND(AE84="yes",ISNUMBER(AD84)),AD84,"")</f>
        <v>35.63</v>
      </c>
      <c r="I84" s="95" t="n">
        <f aca="false">IF(AND(AE84="yes",ISNUMBER(AD84),ISNUMBER(INDEX(Sources!$G$7:$G$10,MATCH(AB84,Sources!$B$7:$B$10,0)))),ROUND(AD84/INDEX(Sources!$G$7:$G$10,MATCH(AB84,Sources!$B$7:$B$10,0)),6),"")</f>
        <v>6.751122</v>
      </c>
      <c r="J84" s="98" t="s">
        <v>530</v>
      </c>
      <c r="K84" s="98" t="s">
        <v>578</v>
      </c>
      <c r="L84" s="96"/>
      <c r="M84" s="110" t="s">
        <v>729</v>
      </c>
      <c r="N84" s="117" t="s">
        <v>730</v>
      </c>
      <c r="O84" s="110" t="s">
        <v>731</v>
      </c>
      <c r="P84" s="110"/>
      <c r="Q84" s="118"/>
      <c r="R84" s="110"/>
      <c r="S84" s="110"/>
      <c r="T84" s="110"/>
      <c r="U84" s="110" t="s">
        <v>534</v>
      </c>
      <c r="V84" s="119"/>
      <c r="W84" s="119" t="n">
        <v>7.126</v>
      </c>
      <c r="X84" s="110" t="s">
        <v>556</v>
      </c>
      <c r="Y84" s="110" t="s">
        <v>557</v>
      </c>
      <c r="Z84" s="110"/>
      <c r="AA84" s="110"/>
      <c r="AB84" s="110" t="s">
        <v>374</v>
      </c>
      <c r="AC84" s="110" t="s">
        <v>538</v>
      </c>
      <c r="AD84" s="119" t="n">
        <f aca="false">IF(ISNUMBER(F84),IF(G84=AB84,F84,IF(AND(ISNUMBER(INDEX(Sources!$G$7:$G$10,MATCH(G84,Sources!$B$7:$B$10,0))),ISNUMBER(INDEX(Sources!$G$7:$G$10,MATCH(AB84,Sources!$B$7:$B$10,0)))),F84/INDEX(Sources!$G$7:$G$10,MATCH(G84,Sources!$B$7:$B$10,0))*INDEX(Sources!$G$7:$G$10,MATCH(AB84,Sources!$B$7:$B$10,0)),"")),"")</f>
        <v>35.63</v>
      </c>
      <c r="AE84" s="110" t="str">
        <f aca="false">IF(AND(AC84="yes",ISNUMBER(F84),IF(Compare!$H$5="All mapped",TRUE(),IF(Compare!$H$5="EXACT only",J84="EXACT",OR(J84="EXACT",J84="CLOSE")))),"yes","no")</f>
        <v>yes</v>
      </c>
      <c r="AF84" s="110" t="n">
        <f aca="false">IF(ISNUMBER(H84),COUNTIFS($B$7:$B$3000,B84,$C$7:$C$3000,C84,$H$7:$H$3000,"&lt;"&amp;H84,$AH$7:$AH$3000,"yes")+COUNTIFS($B$7:B84,B84,$C$7:C84,C84,$H$7:H84,H84,$AH$7:AH84,"yes"),"")</f>
        <v>3</v>
      </c>
      <c r="AG84" s="110" t="n">
        <f aca="false">IF(ISNUMBER(I84),COUNTIFS($B$7:$B$3000,B84,$C$7:$C$3000,C84,$I$7:$I$3000,"&lt;"&amp;I84,$AI$7:$AI$3000,"yes")+COUNTIFS($B$7:B84,B84,$C$7:C84,C84,$I$7:I84,I84,$AI$7:AI84,"yes"),"")</f>
        <v>3</v>
      </c>
      <c r="AH84" s="110" t="str">
        <f aca="false">IF(ISNUMBER(H84),"yes","no")</f>
        <v>yes</v>
      </c>
      <c r="AI84" s="110" t="str">
        <f aca="false">IF(ISNUMBER(I84),"yes","no")</f>
        <v>yes</v>
      </c>
      <c r="AJ84" s="120" t="n">
        <v>46205</v>
      </c>
      <c r="AK84" s="110"/>
    </row>
    <row r="85" customFormat="false" ht="42" hidden="false" customHeight="true" outlineLevel="0" collapsed="false">
      <c r="A85" s="3"/>
      <c r="B85" s="31" t="s">
        <v>23</v>
      </c>
      <c r="C85" s="91" t="s">
        <v>14</v>
      </c>
      <c r="D85" s="91" t="s">
        <v>381</v>
      </c>
      <c r="E85" s="109" t="s">
        <v>728</v>
      </c>
      <c r="F85" s="92" t="n">
        <v>33.8</v>
      </c>
      <c r="G85" s="91" t="s">
        <v>374</v>
      </c>
      <c r="H85" s="112" t="n">
        <f aca="false">IF(AND(AE85="yes",ISNUMBER(AD85)),AD85,"")</f>
        <v>33.8</v>
      </c>
      <c r="I85" s="95" t="n">
        <f aca="false">IF(AND(AE85="yes",ISNUMBER(AD85),ISNUMBER(INDEX(Sources!$G$7:$G$10,MATCH(AB85,Sources!$B$7:$B$10,0)))),ROUND(AD85/INDEX(Sources!$G$7:$G$10,MATCH(AB85,Sources!$B$7:$B$10,0)),6),"")</f>
        <v>6.404376</v>
      </c>
      <c r="J85" s="91" t="s">
        <v>530</v>
      </c>
      <c r="K85" s="91" t="s">
        <v>578</v>
      </c>
      <c r="L85" s="96"/>
      <c r="M85" s="109" t="s">
        <v>729</v>
      </c>
      <c r="N85" s="113" t="s">
        <v>732</v>
      </c>
      <c r="O85" s="109" t="s">
        <v>733</v>
      </c>
      <c r="P85" s="109"/>
      <c r="Q85" s="114"/>
      <c r="R85" s="109"/>
      <c r="S85" s="109"/>
      <c r="T85" s="109"/>
      <c r="U85" s="109" t="s">
        <v>534</v>
      </c>
      <c r="V85" s="115"/>
      <c r="W85" s="115" t="n">
        <v>6.76</v>
      </c>
      <c r="X85" s="109" t="s">
        <v>556</v>
      </c>
      <c r="Y85" s="109" t="s">
        <v>557</v>
      </c>
      <c r="Z85" s="109"/>
      <c r="AA85" s="109"/>
      <c r="AB85" s="109" t="s">
        <v>374</v>
      </c>
      <c r="AC85" s="109" t="s">
        <v>538</v>
      </c>
      <c r="AD85" s="115" t="n">
        <f aca="false">IF(ISNUMBER(F85),IF(G85=AB85,F85,IF(AND(ISNUMBER(INDEX(Sources!$G$7:$G$10,MATCH(G85,Sources!$B$7:$B$10,0))),ISNUMBER(INDEX(Sources!$G$7:$G$10,MATCH(AB85,Sources!$B$7:$B$10,0)))),F85/INDEX(Sources!$G$7:$G$10,MATCH(G85,Sources!$B$7:$B$10,0))*INDEX(Sources!$G$7:$G$10,MATCH(AB85,Sources!$B$7:$B$10,0)),"")),"")</f>
        <v>33.8</v>
      </c>
      <c r="AE85" s="109" t="str">
        <f aca="false">IF(AND(AC85="yes",ISNUMBER(F85),IF(Compare!$H$5="All mapped",TRUE(),IF(Compare!$H$5="EXACT only",J85="EXACT",OR(J85="EXACT",J85="CLOSE")))),"yes","no")</f>
        <v>yes</v>
      </c>
      <c r="AF85" s="109" t="n">
        <f aca="false">IF(ISNUMBER(H85),COUNTIFS($B$7:$B$3000,B85,$C$7:$C$3000,C85,$H$7:$H$3000,"&lt;"&amp;H85,$AH$7:$AH$3000,"yes")+COUNTIFS($B$7:B85,B85,$C$7:C85,C85,$H$7:H85,H85,$AH$7:AH85,"yes"),"")</f>
        <v>2</v>
      </c>
      <c r="AG85" s="109" t="n">
        <f aca="false">IF(ISNUMBER(I85),COUNTIFS($B$7:$B$3000,B85,$C$7:$C$3000,C85,$I$7:$I$3000,"&lt;"&amp;I85,$AI$7:$AI$3000,"yes")+COUNTIFS($B$7:B85,B85,$C$7:C85,C85,$I$7:I85,I85,$AI$7:AI85,"yes"),"")</f>
        <v>2</v>
      </c>
      <c r="AH85" s="109" t="str">
        <f aca="false">IF(ISNUMBER(H85),"yes","no")</f>
        <v>yes</v>
      </c>
      <c r="AI85" s="109" t="str">
        <f aca="false">IF(ISNUMBER(I85),"yes","no")</f>
        <v>yes</v>
      </c>
      <c r="AJ85" s="116" t="n">
        <v>46205</v>
      </c>
      <c r="AK85" s="109"/>
    </row>
    <row r="86" customFormat="false" ht="61.5" hidden="false" customHeight="true" outlineLevel="0" collapsed="false">
      <c r="A86" s="3"/>
      <c r="B86" s="36" t="s">
        <v>23</v>
      </c>
      <c r="C86" s="98" t="s">
        <v>14</v>
      </c>
      <c r="D86" s="98" t="s">
        <v>403</v>
      </c>
      <c r="E86" s="110" t="s">
        <v>728</v>
      </c>
      <c r="F86" s="99" t="n">
        <v>31.69</v>
      </c>
      <c r="G86" s="98" t="s">
        <v>374</v>
      </c>
      <c r="H86" s="112" t="n">
        <f aca="false">IF(AND(AE86="yes",ISNUMBER(AD86)),AD86,"")</f>
        <v>31.69</v>
      </c>
      <c r="I86" s="95" t="n">
        <f aca="false">IF(AND(AE86="yes",ISNUMBER(AD86),ISNUMBER(INDEX(Sources!$G$7:$G$10,MATCH(AB86,Sources!$B$7:$B$10,0)))),ROUND(AD86/INDEX(Sources!$G$7:$G$10,MATCH(AB86,Sources!$B$7:$B$10,0)),6),"")</f>
        <v>6.004576</v>
      </c>
      <c r="J86" s="98" t="s">
        <v>530</v>
      </c>
      <c r="K86" s="98" t="s">
        <v>578</v>
      </c>
      <c r="L86" s="96"/>
      <c r="M86" s="110" t="s">
        <v>729</v>
      </c>
      <c r="N86" s="117" t="s">
        <v>734</v>
      </c>
      <c r="O86" s="110" t="s">
        <v>388</v>
      </c>
      <c r="P86" s="110"/>
      <c r="Q86" s="118"/>
      <c r="R86" s="110"/>
      <c r="S86" s="110"/>
      <c r="T86" s="110"/>
      <c r="U86" s="110" t="s">
        <v>534</v>
      </c>
      <c r="V86" s="119"/>
      <c r="W86" s="119" t="n">
        <v>6.338</v>
      </c>
      <c r="X86" s="110" t="s">
        <v>556</v>
      </c>
      <c r="Y86" s="110" t="s">
        <v>557</v>
      </c>
      <c r="Z86" s="110"/>
      <c r="AA86" s="110"/>
      <c r="AB86" s="110" t="s">
        <v>374</v>
      </c>
      <c r="AC86" s="110" t="s">
        <v>538</v>
      </c>
      <c r="AD86" s="119" t="n">
        <f aca="false">IF(ISNUMBER(F86),IF(G86=AB86,F86,IF(AND(ISNUMBER(INDEX(Sources!$G$7:$G$10,MATCH(G86,Sources!$B$7:$B$10,0))),ISNUMBER(INDEX(Sources!$G$7:$G$10,MATCH(AB86,Sources!$B$7:$B$10,0)))),F86/INDEX(Sources!$G$7:$G$10,MATCH(G86,Sources!$B$7:$B$10,0))*INDEX(Sources!$G$7:$G$10,MATCH(AB86,Sources!$B$7:$B$10,0)),"")),"")</f>
        <v>31.69</v>
      </c>
      <c r="AE86" s="110" t="str">
        <f aca="false">IF(AND(AC86="yes",ISNUMBER(F86),IF(Compare!$H$5="All mapped",TRUE(),IF(Compare!$H$5="EXACT only",J86="EXACT",OR(J86="EXACT",J86="CLOSE")))),"yes","no")</f>
        <v>yes</v>
      </c>
      <c r="AF86" s="110" t="n">
        <f aca="false">IF(ISNUMBER(H86),COUNTIFS($B$7:$B$3000,B86,$C$7:$C$3000,C86,$H$7:$H$3000,"&lt;"&amp;H86,$AH$7:$AH$3000,"yes")+COUNTIFS($B$7:B86,B86,$C$7:C86,C86,$H$7:H86,H86,$AH$7:AH86,"yes"),"")</f>
        <v>1</v>
      </c>
      <c r="AG86" s="110" t="n">
        <f aca="false">IF(ISNUMBER(I86),COUNTIFS($B$7:$B$3000,B86,$C$7:$C$3000,C86,$I$7:$I$3000,"&lt;"&amp;I86,$AI$7:$AI$3000,"yes")+COUNTIFS($B$7:B86,B86,$C$7:C86,C86,$I$7:I86,I86,$AI$7:AI86,"yes"),"")</f>
        <v>1</v>
      </c>
      <c r="AH86" s="110" t="str">
        <f aca="false">IF(ISNUMBER(H86),"yes","no")</f>
        <v>yes</v>
      </c>
      <c r="AI86" s="110" t="str">
        <f aca="false">IF(ISNUMBER(I86),"yes","no")</f>
        <v>yes</v>
      </c>
      <c r="AJ86" s="120" t="n">
        <v>46205</v>
      </c>
      <c r="AK86" s="110"/>
    </row>
    <row r="87" customFormat="false" ht="42" hidden="false" customHeight="true" outlineLevel="0" collapsed="false">
      <c r="A87" s="3"/>
      <c r="B87" s="31" t="s">
        <v>23</v>
      </c>
      <c r="C87" s="91" t="s">
        <v>15</v>
      </c>
      <c r="D87" s="91" t="s">
        <v>269</v>
      </c>
      <c r="E87" s="109" t="s">
        <v>735</v>
      </c>
      <c r="F87" s="92" t="n">
        <v>18.09</v>
      </c>
      <c r="G87" s="91" t="s">
        <v>244</v>
      </c>
      <c r="H87" s="112" t="n">
        <f aca="false">IF(AND(AE87="yes",ISNUMBER(AD87)),AD87,"")</f>
        <v>18.09</v>
      </c>
      <c r="I87" s="95" t="n">
        <f aca="false">IF(AND(AE87="yes",ISNUMBER(AD87),ISNUMBER(INDEX(Sources!$G$7:$G$10,MATCH(AB87,Sources!$B$7:$B$10,0)))),ROUND(AD87/INDEX(Sources!$G$7:$G$10,MATCH(AB87,Sources!$B$7:$B$10,0)),6),"")</f>
        <v>18.09</v>
      </c>
      <c r="J87" s="91" t="s">
        <v>530</v>
      </c>
      <c r="K87" s="91" t="s">
        <v>586</v>
      </c>
      <c r="L87" s="96"/>
      <c r="M87" s="109" t="s">
        <v>736</v>
      </c>
      <c r="N87" s="113" t="s">
        <v>737</v>
      </c>
      <c r="O87" s="109" t="s">
        <v>565</v>
      </c>
      <c r="P87" s="109" t="s">
        <v>590</v>
      </c>
      <c r="Q87" s="114"/>
      <c r="R87" s="109" t="n">
        <v>1</v>
      </c>
      <c r="S87" s="109"/>
      <c r="T87" s="109" t="s">
        <v>530</v>
      </c>
      <c r="U87" s="109" t="s">
        <v>591</v>
      </c>
      <c r="V87" s="115" t="n">
        <v>18.09</v>
      </c>
      <c r="W87" s="115"/>
      <c r="X87" s="109" t="s">
        <v>592</v>
      </c>
      <c r="Y87" s="109"/>
      <c r="Z87" s="109"/>
      <c r="AA87" s="109"/>
      <c r="AB87" s="109" t="s">
        <v>244</v>
      </c>
      <c r="AC87" s="109" t="s">
        <v>538</v>
      </c>
      <c r="AD87" s="109" t="n">
        <f aca="false">IF(ISNUMBER(V87),ROUND(V87,6),"")</f>
        <v>18.09</v>
      </c>
      <c r="AE87" s="109" t="str">
        <f aca="false">IF(AND(AC87="yes",ISNUMBER(F87),IF(Compare!$H$5="All mapped",TRUE(),IF(Compare!$H$5="EXACT only",J87="EXACT",OR(J87="EXACT",J87="CLOSE")))),"yes","no")</f>
        <v>yes</v>
      </c>
      <c r="AF87" s="109" t="n">
        <f aca="false">IF(ISNUMBER(H87),COUNTIFS($B$7:$B$3000,B87,$C$7:$C$3000,C87,$H$7:$H$3000,"&lt;"&amp;H87,$AH$7:$AH$3000,"yes")+COUNTIFS($B$7:B87,B87,$C$7:C87,C87,$H$7:H87,H87,$AH$7:AH87,"yes"),"")</f>
        <v>9</v>
      </c>
      <c r="AG87" s="109" t="n">
        <f aca="false">IF(ISNUMBER(I87),COUNTIFS($B$7:$B$3000,B87,$C$7:$C$3000,C87,$I$7:$I$3000,"&lt;"&amp;I87,$AI$7:$AI$3000,"yes")+COUNTIFS($B$7:B87,B87,$C$7:C87,C87,$I$7:I87,I87,$AI$7:AI87,"yes"),"")</f>
        <v>9</v>
      </c>
      <c r="AH87" s="109" t="str">
        <f aca="false">IF(ISNUMBER(H87),"yes","no")</f>
        <v>yes</v>
      </c>
      <c r="AI87" s="109" t="str">
        <f aca="false">IF(ISNUMBER(I87),"yes","no")</f>
        <v>yes</v>
      </c>
      <c r="AJ87" s="116" t="n">
        <v>46295</v>
      </c>
      <c r="AK87" s="109"/>
    </row>
    <row r="88" customFormat="false" ht="42" hidden="false" customHeight="true" outlineLevel="0" collapsed="false">
      <c r="A88" s="3"/>
      <c r="B88" s="36" t="s">
        <v>23</v>
      </c>
      <c r="C88" s="98" t="s">
        <v>15</v>
      </c>
      <c r="D88" s="98" t="s">
        <v>264</v>
      </c>
      <c r="E88" s="110" t="s">
        <v>738</v>
      </c>
      <c r="F88" s="99" t="n">
        <v>18.6</v>
      </c>
      <c r="G88" s="98" t="s">
        <v>244</v>
      </c>
      <c r="H88" s="112" t="n">
        <f aca="false">IF(AND(AE88="yes",ISNUMBER(AD88)),AD88,"")</f>
        <v>18.6</v>
      </c>
      <c r="I88" s="95" t="n">
        <f aca="false">IF(AND(AE88="yes",ISNUMBER(AD88),ISNUMBER(INDEX(Sources!$G$7:$G$10,MATCH(AB88,Sources!$B$7:$B$10,0)))),ROUND(AD88/INDEX(Sources!$G$7:$G$10,MATCH(AB88,Sources!$B$7:$B$10,0)),6),"")</f>
        <v>18.6</v>
      </c>
      <c r="J88" s="98" t="s">
        <v>530</v>
      </c>
      <c r="K88" s="98" t="s">
        <v>586</v>
      </c>
      <c r="L88" s="96"/>
      <c r="M88" s="110"/>
      <c r="N88" s="117" t="s">
        <v>739</v>
      </c>
      <c r="O88" s="110" t="s">
        <v>388</v>
      </c>
      <c r="P88" s="110" t="s">
        <v>590</v>
      </c>
      <c r="Q88" s="118"/>
      <c r="R88" s="110" t="n">
        <v>1</v>
      </c>
      <c r="S88" s="110"/>
      <c r="T88" s="110" t="s">
        <v>530</v>
      </c>
      <c r="U88" s="110" t="s">
        <v>591</v>
      </c>
      <c r="V88" s="119" t="n">
        <v>18.6</v>
      </c>
      <c r="W88" s="119"/>
      <c r="X88" s="110" t="s">
        <v>592</v>
      </c>
      <c r="Y88" s="110"/>
      <c r="Z88" s="110"/>
      <c r="AA88" s="110"/>
      <c r="AB88" s="110" t="s">
        <v>244</v>
      </c>
      <c r="AC88" s="110" t="s">
        <v>538</v>
      </c>
      <c r="AD88" s="110" t="n">
        <f aca="false">IF(ISNUMBER(V88),ROUND(V88,6),"")</f>
        <v>18.6</v>
      </c>
      <c r="AE88" s="110" t="str">
        <f aca="false">IF(AND(AC88="yes",ISNUMBER(F88),IF(Compare!$H$5="All mapped",TRUE(),IF(Compare!$H$5="EXACT only",J88="EXACT",OR(J88="EXACT",J88="CLOSE")))),"yes","no")</f>
        <v>yes</v>
      </c>
      <c r="AF88" s="110" t="n">
        <f aca="false">IF(ISNUMBER(H88),COUNTIFS($B$7:$B$3000,B88,$C$7:$C$3000,C88,$H$7:$H$3000,"&lt;"&amp;H88,$AH$7:$AH$3000,"yes")+COUNTIFS($B$7:B88,B88,$C$7:C88,C88,$H$7:H88,H88,$AH$7:AH88,"yes"),"")</f>
        <v>10</v>
      </c>
      <c r="AG88" s="110" t="n">
        <f aca="false">IF(ISNUMBER(I88),COUNTIFS($B$7:$B$3000,B88,$C$7:$C$3000,C88,$I$7:$I$3000,"&lt;"&amp;I88,$AI$7:$AI$3000,"yes")+COUNTIFS($B$7:B88,B88,$C$7:C88,C88,$I$7:I88,I88,$AI$7:AI88,"yes"),"")</f>
        <v>10</v>
      </c>
      <c r="AH88" s="110" t="str">
        <f aca="false">IF(ISNUMBER(H88),"yes","no")</f>
        <v>yes</v>
      </c>
      <c r="AI88" s="110" t="str">
        <f aca="false">IF(ISNUMBER(I88),"yes","no")</f>
        <v>yes</v>
      </c>
      <c r="AJ88" s="120" t="n">
        <v>46295</v>
      </c>
      <c r="AK88" s="110"/>
    </row>
    <row r="89" customFormat="false" ht="42" hidden="false" customHeight="true" outlineLevel="0" collapsed="false">
      <c r="A89" s="3"/>
      <c r="B89" s="31" t="s">
        <v>23</v>
      </c>
      <c r="C89" s="91" t="s">
        <v>15</v>
      </c>
      <c r="D89" s="91" t="s">
        <v>273</v>
      </c>
      <c r="E89" s="109" t="s">
        <v>740</v>
      </c>
      <c r="F89" s="92" t="n">
        <v>6.98</v>
      </c>
      <c r="G89" s="91" t="s">
        <v>244</v>
      </c>
      <c r="H89" s="112" t="n">
        <f aca="false">IF(AND(AE89="yes",ISNUMBER(AD89)),AD89,"")</f>
        <v>5.82</v>
      </c>
      <c r="I89" s="95" t="n">
        <f aca="false">IF(AND(AE89="yes",ISNUMBER(AD89),ISNUMBER(INDEX(Sources!$G$7:$G$10,MATCH(AB89,Sources!$B$7:$B$10,0)))),ROUND(AD89/INDEX(Sources!$G$7:$G$10,MATCH(AB89,Sources!$B$7:$B$10,0)),6),"")</f>
        <v>5.82</v>
      </c>
      <c r="J89" s="91" t="s">
        <v>530</v>
      </c>
      <c r="K89" s="91" t="s">
        <v>586</v>
      </c>
      <c r="L89" s="96"/>
      <c r="M89" s="109" t="s">
        <v>741</v>
      </c>
      <c r="N89" s="113" t="s">
        <v>742</v>
      </c>
      <c r="O89" s="109" t="s">
        <v>642</v>
      </c>
      <c r="P89" s="109" t="s">
        <v>265</v>
      </c>
      <c r="Q89" s="114"/>
      <c r="R89" s="109" t="n">
        <v>1</v>
      </c>
      <c r="S89" s="109"/>
      <c r="T89" s="109" t="s">
        <v>530</v>
      </c>
      <c r="U89" s="109" t="s">
        <v>591</v>
      </c>
      <c r="V89" s="115" t="n">
        <v>5.82</v>
      </c>
      <c r="W89" s="115"/>
      <c r="X89" s="109" t="s">
        <v>592</v>
      </c>
      <c r="Y89" s="109"/>
      <c r="Z89" s="109"/>
      <c r="AA89" s="109"/>
      <c r="AB89" s="109" t="s">
        <v>244</v>
      </c>
      <c r="AC89" s="109" t="s">
        <v>538</v>
      </c>
      <c r="AD89" s="109" t="n">
        <f aca="false">IF(ISNUMBER(V89),ROUND(V89,6),"")</f>
        <v>5.82</v>
      </c>
      <c r="AE89" s="109" t="str">
        <f aca="false">IF(AND(AC89="yes",ISNUMBER(F89),IF(Compare!$H$5="All mapped",TRUE(),IF(Compare!$H$5="EXACT only",J89="EXACT",OR(J89="EXACT",J89="CLOSE")))),"yes","no")</f>
        <v>yes</v>
      </c>
      <c r="AF89" s="109" t="n">
        <f aca="false">IF(ISNUMBER(H89),COUNTIFS($B$7:$B$3000,B89,$C$7:$C$3000,C89,$H$7:$H$3000,"&lt;"&amp;H89,$AH$7:$AH$3000,"yes")+COUNTIFS($B$7:B89,B89,$C$7:C89,C89,$H$7:H89,H89,$AH$7:AH89,"yes"),"")</f>
        <v>6</v>
      </c>
      <c r="AG89" s="109" t="n">
        <f aca="false">IF(ISNUMBER(I89),COUNTIFS($B$7:$B$3000,B89,$C$7:$C$3000,C89,$I$7:$I$3000,"&lt;"&amp;I89,$AI$7:$AI$3000,"yes")+COUNTIFS($B$7:B89,B89,$C$7:C89,C89,$I$7:I89,I89,$AI$7:AI89,"yes"),"")</f>
        <v>6</v>
      </c>
      <c r="AH89" s="109" t="str">
        <f aca="false">IF(ISNUMBER(H89),"yes","no")</f>
        <v>yes</v>
      </c>
      <c r="AI89" s="109" t="str">
        <f aca="false">IF(ISNUMBER(I89),"yes","no")</f>
        <v>yes</v>
      </c>
      <c r="AJ89" s="116" t="n">
        <v>46295</v>
      </c>
      <c r="AK89" s="109"/>
    </row>
    <row r="90" customFormat="false" ht="42" hidden="false" customHeight="true" outlineLevel="0" collapsed="false">
      <c r="A90" s="3"/>
      <c r="B90" s="36" t="s">
        <v>23</v>
      </c>
      <c r="C90" s="98" t="s">
        <v>15</v>
      </c>
      <c r="D90" s="98" t="s">
        <v>281</v>
      </c>
      <c r="E90" s="110" t="s">
        <v>743</v>
      </c>
      <c r="F90" s="99" t="n">
        <v>10</v>
      </c>
      <c r="G90" s="98" t="s">
        <v>244</v>
      </c>
      <c r="H90" s="112" t="n">
        <f aca="false">IF(AND(AE90="yes",ISNUMBER(AD90)),AD90,"")</f>
        <v>10</v>
      </c>
      <c r="I90" s="95" t="n">
        <f aca="false">IF(AND(AE90="yes",ISNUMBER(AD90),ISNUMBER(INDEX(Sources!$G$7:$G$10,MATCH(AB90,Sources!$B$7:$B$10,0)))),ROUND(AD90/INDEX(Sources!$G$7:$G$10,MATCH(AB90,Sources!$B$7:$B$10,0)),6),"")</f>
        <v>10</v>
      </c>
      <c r="J90" s="98" t="s">
        <v>530</v>
      </c>
      <c r="K90" s="98" t="s">
        <v>586</v>
      </c>
      <c r="L90" s="96"/>
      <c r="M90" s="110" t="s">
        <v>744</v>
      </c>
      <c r="N90" s="117" t="s">
        <v>745</v>
      </c>
      <c r="O90" s="110" t="s">
        <v>646</v>
      </c>
      <c r="P90" s="110" t="s">
        <v>590</v>
      </c>
      <c r="Q90" s="118"/>
      <c r="R90" s="110" t="n">
        <v>1</v>
      </c>
      <c r="S90" s="110"/>
      <c r="T90" s="110" t="s">
        <v>530</v>
      </c>
      <c r="U90" s="110" t="s">
        <v>591</v>
      </c>
      <c r="V90" s="119" t="n">
        <v>10</v>
      </c>
      <c r="W90" s="119"/>
      <c r="X90" s="110" t="s">
        <v>592</v>
      </c>
      <c r="Y90" s="110"/>
      <c r="Z90" s="110"/>
      <c r="AA90" s="110"/>
      <c r="AB90" s="110" t="s">
        <v>244</v>
      </c>
      <c r="AC90" s="110" t="s">
        <v>538</v>
      </c>
      <c r="AD90" s="110" t="n">
        <f aca="false">IF(ISNUMBER(V90),ROUND(V90,6),"")</f>
        <v>10</v>
      </c>
      <c r="AE90" s="110" t="str">
        <f aca="false">IF(AND(AC90="yes",ISNUMBER(F90),IF(Compare!$H$5="All mapped",TRUE(),IF(Compare!$H$5="EXACT only",J90="EXACT",OR(J90="EXACT",J90="CLOSE")))),"yes","no")</f>
        <v>yes</v>
      </c>
      <c r="AF90" s="110" t="n">
        <f aca="false">IF(ISNUMBER(H90),COUNTIFS($B$7:$B$3000,B90,$C$7:$C$3000,C90,$H$7:$H$3000,"&lt;"&amp;H90,$AH$7:$AH$3000,"yes")+COUNTIFS($B$7:B90,B90,$C$7:C90,C90,$H$7:H90,H90,$AH$7:AH90,"yes"),"")</f>
        <v>7</v>
      </c>
      <c r="AG90" s="110" t="n">
        <f aca="false">IF(ISNUMBER(I90),COUNTIFS($B$7:$B$3000,B90,$C$7:$C$3000,C90,$I$7:$I$3000,"&lt;"&amp;I90,$AI$7:$AI$3000,"yes")+COUNTIFS($B$7:B90,B90,$C$7:C90,C90,$I$7:I90,I90,$AI$7:AI90,"yes"),"")</f>
        <v>7</v>
      </c>
      <c r="AH90" s="110" t="str">
        <f aca="false">IF(ISNUMBER(H90),"yes","no")</f>
        <v>yes</v>
      </c>
      <c r="AI90" s="110" t="str">
        <f aca="false">IF(ISNUMBER(I90),"yes","no")</f>
        <v>yes</v>
      </c>
      <c r="AJ90" s="120" t="n">
        <v>46295</v>
      </c>
      <c r="AK90" s="110"/>
    </row>
    <row r="91" customFormat="false" ht="42" hidden="false" customHeight="true" outlineLevel="0" collapsed="false">
      <c r="A91" s="3"/>
      <c r="B91" s="31" t="s">
        <v>23</v>
      </c>
      <c r="C91" s="91" t="s">
        <v>15</v>
      </c>
      <c r="D91" s="91" t="s">
        <v>285</v>
      </c>
      <c r="E91" s="109" t="s">
        <v>746</v>
      </c>
      <c r="F91" s="92" t="n">
        <v>14</v>
      </c>
      <c r="G91" s="91" t="s">
        <v>244</v>
      </c>
      <c r="H91" s="112" t="n">
        <f aca="false">IF(AND(AE91="yes",ISNUMBER(AD91)),AD91,"")</f>
        <v>14</v>
      </c>
      <c r="I91" s="95" t="n">
        <f aca="false">IF(AND(AE91="yes",ISNUMBER(AD91),ISNUMBER(INDEX(Sources!$G$7:$G$10,MATCH(AB91,Sources!$B$7:$B$10,0)))),ROUND(AD91/INDEX(Sources!$G$7:$G$10,MATCH(AB91,Sources!$B$7:$B$10,0)),6),"")</f>
        <v>14</v>
      </c>
      <c r="J91" s="91" t="s">
        <v>530</v>
      </c>
      <c r="K91" s="91" t="s">
        <v>586</v>
      </c>
      <c r="L91" s="96"/>
      <c r="M91" s="109"/>
      <c r="N91" s="113" t="s">
        <v>747</v>
      </c>
      <c r="O91" s="109" t="s">
        <v>733</v>
      </c>
      <c r="P91" s="109" t="s">
        <v>590</v>
      </c>
      <c r="Q91" s="114"/>
      <c r="R91" s="109" t="n">
        <v>1</v>
      </c>
      <c r="S91" s="109"/>
      <c r="T91" s="109" t="s">
        <v>530</v>
      </c>
      <c r="U91" s="109" t="s">
        <v>591</v>
      </c>
      <c r="V91" s="115" t="n">
        <v>14</v>
      </c>
      <c r="W91" s="115"/>
      <c r="X91" s="109" t="s">
        <v>592</v>
      </c>
      <c r="Y91" s="109"/>
      <c r="Z91" s="109"/>
      <c r="AA91" s="109"/>
      <c r="AB91" s="109" t="s">
        <v>244</v>
      </c>
      <c r="AC91" s="109" t="s">
        <v>538</v>
      </c>
      <c r="AD91" s="109" t="n">
        <f aca="false">IF(ISNUMBER(V91),ROUND(V91,6),"")</f>
        <v>14</v>
      </c>
      <c r="AE91" s="109" t="str">
        <f aca="false">IF(AND(AC91="yes",ISNUMBER(F91),IF(Compare!$H$5="All mapped",TRUE(),IF(Compare!$H$5="EXACT only",J91="EXACT",OR(J91="EXACT",J91="CLOSE")))),"yes","no")</f>
        <v>yes</v>
      </c>
      <c r="AF91" s="109" t="n">
        <f aca="false">IF(ISNUMBER(H91),COUNTIFS($B$7:$B$3000,B91,$C$7:$C$3000,C91,$H$7:$H$3000,"&lt;"&amp;H91,$AH$7:$AH$3000,"yes")+COUNTIFS($B$7:B91,B91,$C$7:C91,C91,$H$7:H91,H91,$AH$7:AH91,"yes"),"")</f>
        <v>8</v>
      </c>
      <c r="AG91" s="109" t="n">
        <f aca="false">IF(ISNUMBER(I91),COUNTIFS($B$7:$B$3000,B91,$C$7:$C$3000,C91,$I$7:$I$3000,"&lt;"&amp;I91,$AI$7:$AI$3000,"yes")+COUNTIFS($B$7:B91,B91,$C$7:C91,C91,$I$7:I91,I91,$AI$7:AI91,"yes"),"")</f>
        <v>8</v>
      </c>
      <c r="AH91" s="109" t="str">
        <f aca="false">IF(ISNUMBER(H91),"yes","no")</f>
        <v>yes</v>
      </c>
      <c r="AI91" s="109" t="str">
        <f aca="false">IF(ISNUMBER(I91),"yes","no")</f>
        <v>yes</v>
      </c>
      <c r="AJ91" s="116" t="n">
        <v>46295</v>
      </c>
      <c r="AK91" s="109"/>
    </row>
    <row r="92" customFormat="false" ht="42" hidden="false" customHeight="true" outlineLevel="0" collapsed="false">
      <c r="A92" s="3"/>
      <c r="B92" s="36" t="s">
        <v>23</v>
      </c>
      <c r="C92" s="98" t="s">
        <v>15</v>
      </c>
      <c r="D92" s="98" t="s">
        <v>293</v>
      </c>
      <c r="E92" s="110" t="s">
        <v>748</v>
      </c>
      <c r="F92" s="99" t="n">
        <v>4.5</v>
      </c>
      <c r="G92" s="98" t="s">
        <v>244</v>
      </c>
      <c r="H92" s="112" t="n">
        <f aca="false">IF(AND(AE92="yes",ISNUMBER(AD92)),AD92,"")</f>
        <v>4.5</v>
      </c>
      <c r="I92" s="95" t="n">
        <f aca="false">IF(AND(AE92="yes",ISNUMBER(AD92),ISNUMBER(INDEX(Sources!$G$7:$G$10,MATCH(AB92,Sources!$B$7:$B$10,0)))),ROUND(AD92/INDEX(Sources!$G$7:$G$10,MATCH(AB92,Sources!$B$7:$B$10,0)),6),"")</f>
        <v>4.5</v>
      </c>
      <c r="J92" s="98" t="s">
        <v>530</v>
      </c>
      <c r="K92" s="98" t="s">
        <v>586</v>
      </c>
      <c r="L92" s="96"/>
      <c r="M92" s="110" t="s">
        <v>749</v>
      </c>
      <c r="N92" s="117" t="s">
        <v>750</v>
      </c>
      <c r="O92" s="110" t="s">
        <v>589</v>
      </c>
      <c r="P92" s="110" t="s">
        <v>590</v>
      </c>
      <c r="Q92" s="118"/>
      <c r="R92" s="110" t="n">
        <v>1</v>
      </c>
      <c r="S92" s="110"/>
      <c r="T92" s="110" t="s">
        <v>530</v>
      </c>
      <c r="U92" s="110" t="s">
        <v>591</v>
      </c>
      <c r="V92" s="119" t="n">
        <v>4.5</v>
      </c>
      <c r="W92" s="119"/>
      <c r="X92" s="110" t="s">
        <v>592</v>
      </c>
      <c r="Y92" s="110"/>
      <c r="Z92" s="110"/>
      <c r="AA92" s="110"/>
      <c r="AB92" s="110" t="s">
        <v>244</v>
      </c>
      <c r="AC92" s="110" t="s">
        <v>538</v>
      </c>
      <c r="AD92" s="110" t="n">
        <f aca="false">IF(ISNUMBER(V92),ROUND(V92,6),"")</f>
        <v>4.5</v>
      </c>
      <c r="AE92" s="110" t="str">
        <f aca="false">IF(AND(AC92="yes",ISNUMBER(F92),IF(Compare!$H$5="All mapped",TRUE(),IF(Compare!$H$5="EXACT only",J92="EXACT",OR(J92="EXACT",J92="CLOSE")))),"yes","no")</f>
        <v>yes</v>
      </c>
      <c r="AF92" s="110" t="n">
        <f aca="false">IF(ISNUMBER(H92),COUNTIFS($B$7:$B$3000,B92,$C$7:$C$3000,C92,$H$7:$H$3000,"&lt;"&amp;H92,$AH$7:$AH$3000,"yes")+COUNTIFS($B$7:B92,B92,$C$7:C92,C92,$H$7:H92,H92,$AH$7:AH92,"yes"),"")</f>
        <v>2</v>
      </c>
      <c r="AG92" s="110" t="n">
        <f aca="false">IF(ISNUMBER(I92),COUNTIFS($B$7:$B$3000,B92,$C$7:$C$3000,C92,$I$7:$I$3000,"&lt;"&amp;I92,$AI$7:$AI$3000,"yes")+COUNTIFS($B$7:B92,B92,$C$7:C92,C92,$I$7:I92,I92,$AI$7:AI92,"yes"),"")</f>
        <v>2</v>
      </c>
      <c r="AH92" s="110" t="str">
        <f aca="false">IF(ISNUMBER(H92),"yes","no")</f>
        <v>yes</v>
      </c>
      <c r="AI92" s="110" t="str">
        <f aca="false">IF(ISNUMBER(I92),"yes","no")</f>
        <v>yes</v>
      </c>
      <c r="AJ92" s="120" t="n">
        <v>46295</v>
      </c>
      <c r="AK92" s="110"/>
    </row>
    <row r="93" customFormat="false" ht="42" hidden="false" customHeight="true" outlineLevel="0" collapsed="false">
      <c r="A93" s="3"/>
      <c r="B93" s="31" t="s">
        <v>23</v>
      </c>
      <c r="C93" s="91" t="s">
        <v>16</v>
      </c>
      <c r="D93" s="91" t="s">
        <v>317</v>
      </c>
      <c r="E93" s="109" t="s">
        <v>751</v>
      </c>
      <c r="F93" s="92" t="n">
        <v>37.99</v>
      </c>
      <c r="G93" s="91" t="s">
        <v>244</v>
      </c>
      <c r="H93" s="112" t="n">
        <f aca="false">IF(AND(AE93="yes",ISNUMBER(AD93)),AD93,"")</f>
        <v>3.17</v>
      </c>
      <c r="I93" s="95" t="n">
        <f aca="false">IF(AND(AE93="yes",ISNUMBER(AD93),ISNUMBER(INDEX(Sources!$G$7:$G$10,MATCH(AB93,Sources!$B$7:$B$10,0)))),ROUND(AD93/INDEX(Sources!$G$7:$G$10,MATCH(AB93,Sources!$B$7:$B$10,0)),6),"")</f>
        <v>3.17</v>
      </c>
      <c r="J93" s="91" t="s">
        <v>530</v>
      </c>
      <c r="K93" s="91" t="s">
        <v>586</v>
      </c>
      <c r="L93" s="96"/>
      <c r="M93" s="109" t="s">
        <v>752</v>
      </c>
      <c r="N93" s="113" t="s">
        <v>753</v>
      </c>
      <c r="O93" s="109" t="s">
        <v>610</v>
      </c>
      <c r="P93" s="109" t="s">
        <v>590</v>
      </c>
      <c r="Q93" s="114"/>
      <c r="R93" s="109" t="n">
        <v>12</v>
      </c>
      <c r="S93" s="109" t="s">
        <v>754</v>
      </c>
      <c r="T93" s="109" t="s">
        <v>530</v>
      </c>
      <c r="U93" s="109" t="s">
        <v>591</v>
      </c>
      <c r="V93" s="115" t="n">
        <v>3.17</v>
      </c>
      <c r="W93" s="115"/>
      <c r="X93" s="109" t="s">
        <v>612</v>
      </c>
      <c r="Y93" s="109"/>
      <c r="Z93" s="109"/>
      <c r="AA93" s="109"/>
      <c r="AB93" s="109" t="s">
        <v>244</v>
      </c>
      <c r="AC93" s="109" t="s">
        <v>538</v>
      </c>
      <c r="AD93" s="109" t="n">
        <f aca="false">IF(ISNUMBER(V93),ROUND(V93,6),"")</f>
        <v>3.17</v>
      </c>
      <c r="AE93" s="109" t="str">
        <f aca="false">IF(AND(AC93="yes",ISNUMBER(F93),IF(Compare!$H$5="All mapped",TRUE(),IF(Compare!$H$5="EXACT only",J93="EXACT",OR(J93="EXACT",J93="CLOSE")))),"yes","no")</f>
        <v>yes</v>
      </c>
      <c r="AF93" s="109" t="n">
        <f aca="false">IF(ISNUMBER(H93),COUNTIFS($B$7:$B$3000,B93,$C$7:$C$3000,C93,$H$7:$H$3000,"&lt;"&amp;H93,$AH$7:$AH$3000,"yes")+COUNTIFS($B$7:B93,B93,$C$7:C93,C93,$H$7:H93,H93,$AH$7:AH93,"yes"),"")</f>
        <v>1</v>
      </c>
      <c r="AG93" s="109" t="n">
        <f aca="false">IF(ISNUMBER(I93),COUNTIFS($B$7:$B$3000,B93,$C$7:$C$3000,C93,$I$7:$I$3000,"&lt;"&amp;I93,$AI$7:$AI$3000,"yes")+COUNTIFS($B$7:B93,B93,$C$7:C93,C93,$I$7:I93,I93,$AI$7:AI93,"yes"),"")</f>
        <v>1</v>
      </c>
      <c r="AH93" s="109" t="str">
        <f aca="false">IF(ISNUMBER(H93),"yes","no")</f>
        <v>yes</v>
      </c>
      <c r="AI93" s="109" t="str">
        <f aca="false">IF(ISNUMBER(I93),"yes","no")</f>
        <v>yes</v>
      </c>
      <c r="AJ93" s="116" t="n">
        <v>46295</v>
      </c>
      <c r="AK93" s="109"/>
    </row>
    <row r="94" customFormat="false" ht="42" hidden="false" customHeight="true" outlineLevel="0" collapsed="false">
      <c r="A94" s="3"/>
      <c r="B94" s="36" t="s">
        <v>23</v>
      </c>
      <c r="C94" s="98" t="s">
        <v>16</v>
      </c>
      <c r="D94" s="98" t="s">
        <v>311</v>
      </c>
      <c r="E94" s="110" t="s">
        <v>735</v>
      </c>
      <c r="F94" s="99" t="n">
        <v>17.29</v>
      </c>
      <c r="G94" s="98" t="s">
        <v>244</v>
      </c>
      <c r="H94" s="112" t="n">
        <f aca="false">IF(AND(AE94="yes",ISNUMBER(AD94)),AD94,"")</f>
        <v>17.29</v>
      </c>
      <c r="I94" s="95" t="n">
        <f aca="false">IF(AND(AE94="yes",ISNUMBER(AD94),ISNUMBER(INDEX(Sources!$G$7:$G$10,MATCH(AB94,Sources!$B$7:$B$10,0)))),ROUND(AD94/INDEX(Sources!$G$7:$G$10,MATCH(AB94,Sources!$B$7:$B$10,0)),6),"")</f>
        <v>17.29</v>
      </c>
      <c r="J94" s="98" t="s">
        <v>530</v>
      </c>
      <c r="K94" s="98" t="s">
        <v>586</v>
      </c>
      <c r="L94" s="96"/>
      <c r="M94" s="110" t="s">
        <v>755</v>
      </c>
      <c r="N94" s="117" t="s">
        <v>756</v>
      </c>
      <c r="O94" s="110" t="s">
        <v>565</v>
      </c>
      <c r="P94" s="110" t="s">
        <v>590</v>
      </c>
      <c r="Q94" s="118"/>
      <c r="R94" s="110" t="n">
        <v>1</v>
      </c>
      <c r="S94" s="110"/>
      <c r="T94" s="110" t="s">
        <v>530</v>
      </c>
      <c r="U94" s="110" t="s">
        <v>591</v>
      </c>
      <c r="V94" s="119" t="n">
        <v>17.29</v>
      </c>
      <c r="W94" s="119"/>
      <c r="X94" s="110" t="s">
        <v>612</v>
      </c>
      <c r="Y94" s="110"/>
      <c r="Z94" s="110"/>
      <c r="AA94" s="110"/>
      <c r="AB94" s="110" t="s">
        <v>244</v>
      </c>
      <c r="AC94" s="110" t="s">
        <v>538</v>
      </c>
      <c r="AD94" s="110" t="n">
        <f aca="false">IF(ISNUMBER(V94),ROUND(V94,6),"")</f>
        <v>17.29</v>
      </c>
      <c r="AE94" s="110" t="str">
        <f aca="false">IF(AND(AC94="yes",ISNUMBER(F94),IF(Compare!$H$5="All mapped",TRUE(),IF(Compare!$H$5="EXACT only",J94="EXACT",OR(J94="EXACT",J94="CLOSE")))),"yes","no")</f>
        <v>yes</v>
      </c>
      <c r="AF94" s="110" t="n">
        <f aca="false">IF(ISNUMBER(H94),COUNTIFS($B$7:$B$3000,B94,$C$7:$C$3000,C94,$H$7:$H$3000,"&lt;"&amp;H94,$AH$7:$AH$3000,"yes")+COUNTIFS($B$7:B94,B94,$C$7:C94,C94,$H$7:H94,H94,$AH$7:AH94,"yes"),"")</f>
        <v>7</v>
      </c>
      <c r="AG94" s="110" t="n">
        <f aca="false">IF(ISNUMBER(I94),COUNTIFS($B$7:$B$3000,B94,$C$7:$C$3000,C94,$I$7:$I$3000,"&lt;"&amp;I94,$AI$7:$AI$3000,"yes")+COUNTIFS($B$7:B94,B94,$C$7:C94,C94,$I$7:I94,I94,$AI$7:AI94,"yes"),"")</f>
        <v>7</v>
      </c>
      <c r="AH94" s="110" t="str">
        <f aca="false">IF(ISNUMBER(H94),"yes","no")</f>
        <v>yes</v>
      </c>
      <c r="AI94" s="110" t="str">
        <f aca="false">IF(ISNUMBER(I94),"yes","no")</f>
        <v>yes</v>
      </c>
      <c r="AJ94" s="120" t="n">
        <v>46295</v>
      </c>
      <c r="AK94" s="110"/>
    </row>
    <row r="95" customFormat="false" ht="42" hidden="false" customHeight="true" outlineLevel="0" collapsed="false">
      <c r="A95" s="3"/>
      <c r="B95" s="31" t="s">
        <v>23</v>
      </c>
      <c r="C95" s="91" t="s">
        <v>16</v>
      </c>
      <c r="D95" s="91" t="s">
        <v>309</v>
      </c>
      <c r="E95" s="109" t="s">
        <v>738</v>
      </c>
      <c r="F95" s="92" t="n">
        <v>18.6</v>
      </c>
      <c r="G95" s="91" t="s">
        <v>244</v>
      </c>
      <c r="H95" s="112" t="n">
        <f aca="false">IF(AND(AE95="yes",ISNUMBER(AD95)),AD95,"")</f>
        <v>18.6</v>
      </c>
      <c r="I95" s="95" t="n">
        <f aca="false">IF(AND(AE95="yes",ISNUMBER(AD95),ISNUMBER(INDEX(Sources!$G$7:$G$10,MATCH(AB95,Sources!$B$7:$B$10,0)))),ROUND(AD95/INDEX(Sources!$G$7:$G$10,MATCH(AB95,Sources!$B$7:$B$10,0)),6),"")</f>
        <v>18.6</v>
      </c>
      <c r="J95" s="91" t="s">
        <v>530</v>
      </c>
      <c r="K95" s="91" t="s">
        <v>586</v>
      </c>
      <c r="L95" s="96"/>
      <c r="M95" s="109"/>
      <c r="N95" s="113" t="s">
        <v>739</v>
      </c>
      <c r="O95" s="109" t="s">
        <v>388</v>
      </c>
      <c r="P95" s="109" t="s">
        <v>590</v>
      </c>
      <c r="Q95" s="114"/>
      <c r="R95" s="109" t="n">
        <v>1</v>
      </c>
      <c r="S95" s="109"/>
      <c r="T95" s="109" t="s">
        <v>530</v>
      </c>
      <c r="U95" s="109" t="s">
        <v>591</v>
      </c>
      <c r="V95" s="115" t="n">
        <v>18.6</v>
      </c>
      <c r="W95" s="115"/>
      <c r="X95" s="109" t="s">
        <v>612</v>
      </c>
      <c r="Y95" s="109"/>
      <c r="Z95" s="109"/>
      <c r="AA95" s="109"/>
      <c r="AB95" s="109" t="s">
        <v>244</v>
      </c>
      <c r="AC95" s="109" t="s">
        <v>538</v>
      </c>
      <c r="AD95" s="109" t="n">
        <f aca="false">IF(ISNUMBER(V95),ROUND(V95,6),"")</f>
        <v>18.6</v>
      </c>
      <c r="AE95" s="109" t="str">
        <f aca="false">IF(AND(AC95="yes",ISNUMBER(F95),IF(Compare!$H$5="All mapped",TRUE(),IF(Compare!$H$5="EXACT only",J95="EXACT",OR(J95="EXACT",J95="CLOSE")))),"yes","no")</f>
        <v>yes</v>
      </c>
      <c r="AF95" s="109" t="n">
        <f aca="false">IF(ISNUMBER(H95),COUNTIFS($B$7:$B$3000,B95,$C$7:$C$3000,C95,$H$7:$H$3000,"&lt;"&amp;H95,$AH$7:$AH$3000,"yes")+COUNTIFS($B$7:B95,B95,$C$7:C95,C95,$H$7:H95,H95,$AH$7:AH95,"yes"),"")</f>
        <v>8</v>
      </c>
      <c r="AG95" s="109" t="n">
        <f aca="false">IF(ISNUMBER(I95),COUNTIFS($B$7:$B$3000,B95,$C$7:$C$3000,C95,$I$7:$I$3000,"&lt;"&amp;I95,$AI$7:$AI$3000,"yes")+COUNTIFS($B$7:B95,B95,$C$7:C95,C95,$I$7:I95,I95,$AI$7:AI95,"yes"),"")</f>
        <v>8</v>
      </c>
      <c r="AH95" s="109" t="str">
        <f aca="false">IF(ISNUMBER(H95),"yes","no")</f>
        <v>yes</v>
      </c>
      <c r="AI95" s="109" t="str">
        <f aca="false">IF(ISNUMBER(I95),"yes","no")</f>
        <v>yes</v>
      </c>
      <c r="AJ95" s="116" t="n">
        <v>46295</v>
      </c>
      <c r="AK95" s="109"/>
    </row>
    <row r="96" customFormat="false" ht="42" hidden="false" customHeight="true" outlineLevel="0" collapsed="false">
      <c r="A96" s="3"/>
      <c r="B96" s="36" t="s">
        <v>23</v>
      </c>
      <c r="C96" s="98" t="s">
        <v>16</v>
      </c>
      <c r="D96" s="98" t="s">
        <v>313</v>
      </c>
      <c r="E96" s="110" t="s">
        <v>740</v>
      </c>
      <c r="F96" s="99" t="n">
        <v>6.98</v>
      </c>
      <c r="G96" s="98" t="s">
        <v>244</v>
      </c>
      <c r="H96" s="112" t="n">
        <f aca="false">IF(AND(AE96="yes",ISNUMBER(AD96)),AD96,"")</f>
        <v>5.87</v>
      </c>
      <c r="I96" s="95" t="n">
        <f aca="false">IF(AND(AE96="yes",ISNUMBER(AD96),ISNUMBER(INDEX(Sources!$G$7:$G$10,MATCH(AB96,Sources!$B$7:$B$10,0)))),ROUND(AD96/INDEX(Sources!$G$7:$G$10,MATCH(AB96,Sources!$B$7:$B$10,0)),6),"")</f>
        <v>5.87</v>
      </c>
      <c r="J96" s="98" t="s">
        <v>530</v>
      </c>
      <c r="K96" s="98" t="s">
        <v>586</v>
      </c>
      <c r="L96" s="96"/>
      <c r="M96" s="110" t="s">
        <v>741</v>
      </c>
      <c r="N96" s="117" t="s">
        <v>757</v>
      </c>
      <c r="O96" s="110" t="s">
        <v>642</v>
      </c>
      <c r="P96" s="110" t="s">
        <v>265</v>
      </c>
      <c r="Q96" s="118"/>
      <c r="R96" s="110" t="n">
        <v>1</v>
      </c>
      <c r="S96" s="110"/>
      <c r="T96" s="110" t="s">
        <v>530</v>
      </c>
      <c r="U96" s="110" t="s">
        <v>591</v>
      </c>
      <c r="V96" s="119" t="n">
        <v>5.87</v>
      </c>
      <c r="W96" s="119"/>
      <c r="X96" s="110" t="s">
        <v>612</v>
      </c>
      <c r="Y96" s="110"/>
      <c r="Z96" s="110"/>
      <c r="AA96" s="110"/>
      <c r="AB96" s="110" t="s">
        <v>244</v>
      </c>
      <c r="AC96" s="110" t="s">
        <v>538</v>
      </c>
      <c r="AD96" s="110" t="n">
        <f aca="false">IF(ISNUMBER(V96),ROUND(V96,6),"")</f>
        <v>5.87</v>
      </c>
      <c r="AE96" s="110" t="str">
        <f aca="false">IF(AND(AC96="yes",ISNUMBER(F96),IF(Compare!$H$5="All mapped",TRUE(),IF(Compare!$H$5="EXACT only",J96="EXACT",OR(J96="EXACT",J96="CLOSE")))),"yes","no")</f>
        <v>yes</v>
      </c>
      <c r="AF96" s="110" t="n">
        <f aca="false">IF(ISNUMBER(H96),COUNTIFS($B$7:$B$3000,B96,$C$7:$C$3000,C96,$H$7:$H$3000,"&lt;"&amp;H96,$AH$7:$AH$3000,"yes")+COUNTIFS($B$7:B96,B96,$C$7:C96,C96,$H$7:H96,H96,$AH$7:AH96,"yes"),"")</f>
        <v>4</v>
      </c>
      <c r="AG96" s="110" t="n">
        <f aca="false">IF(ISNUMBER(I96),COUNTIFS($B$7:$B$3000,B96,$C$7:$C$3000,C96,$I$7:$I$3000,"&lt;"&amp;I96,$AI$7:$AI$3000,"yes")+COUNTIFS($B$7:B96,B96,$C$7:C96,C96,$I$7:I96,I96,$AI$7:AI96,"yes"),"")</f>
        <v>4</v>
      </c>
      <c r="AH96" s="110" t="str">
        <f aca="false">IF(ISNUMBER(H96),"yes","no")</f>
        <v>yes</v>
      </c>
      <c r="AI96" s="110" t="str">
        <f aca="false">IF(ISNUMBER(I96),"yes","no")</f>
        <v>yes</v>
      </c>
      <c r="AJ96" s="120" t="n">
        <v>46295</v>
      </c>
      <c r="AK96" s="110"/>
    </row>
    <row r="97" customFormat="false" ht="42" hidden="false" customHeight="true" outlineLevel="0" collapsed="false">
      <c r="A97" s="3"/>
      <c r="B97" s="31" t="s">
        <v>23</v>
      </c>
      <c r="C97" s="91" t="s">
        <v>16</v>
      </c>
      <c r="D97" s="91" t="s">
        <v>321</v>
      </c>
      <c r="E97" s="109" t="s">
        <v>743</v>
      </c>
      <c r="F97" s="92" t="n">
        <v>10</v>
      </c>
      <c r="G97" s="91" t="s">
        <v>244</v>
      </c>
      <c r="H97" s="112" t="n">
        <f aca="false">IF(AND(AE97="yes",ISNUMBER(AD97)),AD97,"")</f>
        <v>10</v>
      </c>
      <c r="I97" s="95" t="n">
        <f aca="false">IF(AND(AE97="yes",ISNUMBER(AD97),ISNUMBER(INDEX(Sources!$G$7:$G$10,MATCH(AB97,Sources!$B$7:$B$10,0)))),ROUND(AD97/INDEX(Sources!$G$7:$G$10,MATCH(AB97,Sources!$B$7:$B$10,0)),6),"")</f>
        <v>10</v>
      </c>
      <c r="J97" s="91" t="s">
        <v>530</v>
      </c>
      <c r="K97" s="91" t="s">
        <v>586</v>
      </c>
      <c r="L97" s="96"/>
      <c r="M97" s="109"/>
      <c r="N97" s="113" t="s">
        <v>758</v>
      </c>
      <c r="O97" s="109" t="s">
        <v>646</v>
      </c>
      <c r="P97" s="109" t="s">
        <v>590</v>
      </c>
      <c r="Q97" s="114"/>
      <c r="R97" s="109" t="n">
        <v>1</v>
      </c>
      <c r="S97" s="109"/>
      <c r="T97" s="109" t="s">
        <v>530</v>
      </c>
      <c r="U97" s="109" t="s">
        <v>591</v>
      </c>
      <c r="V97" s="115" t="n">
        <v>10</v>
      </c>
      <c r="W97" s="115"/>
      <c r="X97" s="109" t="s">
        <v>612</v>
      </c>
      <c r="Y97" s="109"/>
      <c r="Z97" s="109"/>
      <c r="AA97" s="109"/>
      <c r="AB97" s="109" t="s">
        <v>244</v>
      </c>
      <c r="AC97" s="109" t="s">
        <v>538</v>
      </c>
      <c r="AD97" s="109" t="n">
        <f aca="false">IF(ISNUMBER(V97),ROUND(V97,6),"")</f>
        <v>10</v>
      </c>
      <c r="AE97" s="109" t="str">
        <f aca="false">IF(AND(AC97="yes",ISNUMBER(F97),IF(Compare!$H$5="All mapped",TRUE(),IF(Compare!$H$5="EXACT only",J97="EXACT",OR(J97="EXACT",J97="CLOSE")))),"yes","no")</f>
        <v>yes</v>
      </c>
      <c r="AF97" s="109" t="n">
        <f aca="false">IF(ISNUMBER(H97),COUNTIFS($B$7:$B$3000,B97,$C$7:$C$3000,C97,$H$7:$H$3000,"&lt;"&amp;H97,$AH$7:$AH$3000,"yes")+COUNTIFS($B$7:B97,B97,$C$7:C97,C97,$H$7:H97,H97,$AH$7:AH97,"yes"),"")</f>
        <v>6</v>
      </c>
      <c r="AG97" s="109" t="n">
        <f aca="false">IF(ISNUMBER(I97),COUNTIFS($B$7:$B$3000,B97,$C$7:$C$3000,C97,$I$7:$I$3000,"&lt;"&amp;I97,$AI$7:$AI$3000,"yes")+COUNTIFS($B$7:B97,B97,$C$7:C97,C97,$I$7:I97,I97,$AI$7:AI97,"yes"),"")</f>
        <v>6</v>
      </c>
      <c r="AH97" s="109" t="str">
        <f aca="false">IF(ISNUMBER(H97),"yes","no")</f>
        <v>yes</v>
      </c>
      <c r="AI97" s="109" t="str">
        <f aca="false">IF(ISNUMBER(I97),"yes","no")</f>
        <v>yes</v>
      </c>
      <c r="AJ97" s="116" t="n">
        <v>46295</v>
      </c>
      <c r="AK97" s="109"/>
    </row>
    <row r="98" customFormat="false" ht="42" hidden="false" customHeight="true" outlineLevel="0" collapsed="false">
      <c r="A98" s="3"/>
      <c r="B98" s="36" t="s">
        <v>23</v>
      </c>
      <c r="C98" s="98" t="s">
        <v>16</v>
      </c>
      <c r="D98" s="98" t="s">
        <v>329</v>
      </c>
      <c r="E98" s="110" t="s">
        <v>759</v>
      </c>
      <c r="F98" s="99" t="n">
        <v>3.59</v>
      </c>
      <c r="G98" s="98" t="s">
        <v>244</v>
      </c>
      <c r="H98" s="112" t="n">
        <f aca="false">IF(AND(AE98="yes",ISNUMBER(AD98)),AD98,"")</f>
        <v>3.59</v>
      </c>
      <c r="I98" s="95" t="n">
        <f aca="false">IF(AND(AE98="yes",ISNUMBER(AD98),ISNUMBER(INDEX(Sources!$G$7:$G$10,MATCH(AB98,Sources!$B$7:$B$10,0)))),ROUND(AD98/INDEX(Sources!$G$7:$G$10,MATCH(AB98,Sources!$B$7:$B$10,0)),6),"")</f>
        <v>3.59</v>
      </c>
      <c r="J98" s="98" t="s">
        <v>530</v>
      </c>
      <c r="K98" s="98" t="s">
        <v>586</v>
      </c>
      <c r="L98" s="96"/>
      <c r="M98" s="110" t="s">
        <v>760</v>
      </c>
      <c r="N98" s="117" t="s">
        <v>761</v>
      </c>
      <c r="O98" s="110" t="s">
        <v>642</v>
      </c>
      <c r="P98" s="110" t="s">
        <v>590</v>
      </c>
      <c r="Q98" s="118"/>
      <c r="R98" s="110" t="n">
        <v>1</v>
      </c>
      <c r="S98" s="110"/>
      <c r="T98" s="110" t="s">
        <v>530</v>
      </c>
      <c r="U98" s="110" t="s">
        <v>591</v>
      </c>
      <c r="V98" s="119" t="n">
        <v>3.59</v>
      </c>
      <c r="W98" s="119"/>
      <c r="X98" s="110" t="s">
        <v>612</v>
      </c>
      <c r="Y98" s="110"/>
      <c r="Z98" s="110"/>
      <c r="AA98" s="110"/>
      <c r="AB98" s="110" t="s">
        <v>244</v>
      </c>
      <c r="AC98" s="110" t="s">
        <v>538</v>
      </c>
      <c r="AD98" s="110" t="n">
        <f aca="false">IF(ISNUMBER(V98),ROUND(V98,6),"")</f>
        <v>3.59</v>
      </c>
      <c r="AE98" s="110" t="str">
        <f aca="false">IF(AND(AC98="yes",ISNUMBER(F98),IF(Compare!$H$5="All mapped",TRUE(),IF(Compare!$H$5="EXACT only",J98="EXACT",OR(J98="EXACT",J98="CLOSE")))),"yes","no")</f>
        <v>yes</v>
      </c>
      <c r="AF98" s="110" t="n">
        <f aca="false">IF(ISNUMBER(H98),COUNTIFS($B$7:$B$3000,B98,$C$7:$C$3000,C98,$H$7:$H$3000,"&lt;"&amp;H98,$AH$7:$AH$3000,"yes")+COUNTIFS($B$7:B98,B98,$C$7:C98,C98,$H$7:H98,H98,$AH$7:AH98,"yes"),"")</f>
        <v>2</v>
      </c>
      <c r="AG98" s="110" t="n">
        <f aca="false">IF(ISNUMBER(I98),COUNTIFS($B$7:$B$3000,B98,$C$7:$C$3000,C98,$I$7:$I$3000,"&lt;"&amp;I98,$AI$7:$AI$3000,"yes")+COUNTIFS($B$7:B98,B98,$C$7:C98,C98,$I$7:I98,I98,$AI$7:AI98,"yes"),"")</f>
        <v>2</v>
      </c>
      <c r="AH98" s="110" t="str">
        <f aca="false">IF(ISNUMBER(H98),"yes","no")</f>
        <v>yes</v>
      </c>
      <c r="AI98" s="110" t="str">
        <f aca="false">IF(ISNUMBER(I98),"yes","no")</f>
        <v>yes</v>
      </c>
      <c r="AJ98" s="120" t="n">
        <v>46295</v>
      </c>
      <c r="AK98" s="110"/>
    </row>
    <row r="99" customFormat="false" ht="61.5" hidden="false" customHeight="true" outlineLevel="0" collapsed="false">
      <c r="A99" s="3"/>
      <c r="B99" s="31" t="s">
        <v>23</v>
      </c>
      <c r="C99" s="91" t="s">
        <v>17</v>
      </c>
      <c r="D99" s="91" t="s">
        <v>354</v>
      </c>
      <c r="E99" s="109" t="s">
        <v>762</v>
      </c>
      <c r="F99" s="92" t="n">
        <v>973.32</v>
      </c>
      <c r="G99" s="91" t="s">
        <v>333</v>
      </c>
      <c r="H99" s="112" t="n">
        <f aca="false">IF(AND(AE99="yes",ISNUMBER(AD99)),AD99,"")</f>
        <v>81.11</v>
      </c>
      <c r="I99" s="95" t="n">
        <f aca="false">IF(AND(AE99="yes",ISNUMBER(AD99),ISNUMBER(INDEX(Sources!$G$7:$G$10,MATCH(AB99,Sources!$B$7:$B$10,0)))),ROUND(AD99/INDEX(Sources!$G$7:$G$10,MATCH(AB99,Sources!$B$7:$B$10,0)),6),"")</f>
        <v>3.320966</v>
      </c>
      <c r="J99" s="91" t="s">
        <v>530</v>
      </c>
      <c r="K99" s="91" t="s">
        <v>586</v>
      </c>
      <c r="L99" s="96"/>
      <c r="M99" s="109" t="s">
        <v>763</v>
      </c>
      <c r="N99" s="113" t="s">
        <v>764</v>
      </c>
      <c r="O99" s="109" t="s">
        <v>610</v>
      </c>
      <c r="P99" s="109" t="s">
        <v>590</v>
      </c>
      <c r="Q99" s="114" t="n">
        <v>0.19</v>
      </c>
      <c r="R99" s="109" t="n">
        <v>12</v>
      </c>
      <c r="S99" s="109" t="s">
        <v>625</v>
      </c>
      <c r="T99" s="109" t="s">
        <v>530</v>
      </c>
      <c r="U99" s="109" t="s">
        <v>591</v>
      </c>
      <c r="V99" s="115"/>
      <c r="W99" s="115"/>
      <c r="X99" s="109" t="s">
        <v>626</v>
      </c>
      <c r="Y99" s="109"/>
      <c r="Z99" s="109"/>
      <c r="AA99" s="109"/>
      <c r="AB99" s="109" t="s">
        <v>333</v>
      </c>
      <c r="AC99" s="109" t="s">
        <v>538</v>
      </c>
      <c r="AD99" s="109" t="n">
        <f aca="false">IF(OR(F99="",Q99="",R99=""),"",ROUND(IF(P99="incl.",F99/(1+Q99),F99)/IF(S99="per pack",R99,1),2))</f>
        <v>81.11</v>
      </c>
      <c r="AE99" s="109" t="str">
        <f aca="false">IF(AND(AC99="yes",ISNUMBER(F99),IF(Compare!$H$5="All mapped",TRUE(),IF(Compare!$H$5="EXACT only",J99="EXACT",OR(J99="EXACT",J99="CLOSE")))),"yes","no")</f>
        <v>yes</v>
      </c>
      <c r="AF99" s="109" t="n">
        <f aca="false">IF(ISNUMBER(H99),COUNTIFS($B$7:$B$3000,B99,$C$7:$C$3000,C99,$H$7:$H$3000,"&lt;"&amp;H99,$AH$7:$AH$3000,"yes")+COUNTIFS($B$7:B99,B99,$C$7:C99,C99,$H$7:H99,H99,$AH$7:AH99,"yes"),"")</f>
        <v>2</v>
      </c>
      <c r="AG99" s="109" t="n">
        <f aca="false">IF(ISNUMBER(I99),COUNTIFS($B$7:$B$3000,B99,$C$7:$C$3000,C99,$I$7:$I$3000,"&lt;"&amp;I99,$AI$7:$AI$3000,"yes")+COUNTIFS($B$7:B99,B99,$C$7:C99,C99,$I$7:I99,I99,$AI$7:AI99,"yes"),"")</f>
        <v>2</v>
      </c>
      <c r="AH99" s="109" t="str">
        <f aca="false">IF(ISNUMBER(H99),"yes","no")</f>
        <v>yes</v>
      </c>
      <c r="AI99" s="109" t="str">
        <f aca="false">IF(ISNUMBER(I99),"yes","no")</f>
        <v>yes</v>
      </c>
      <c r="AJ99" s="116" t="n">
        <v>46295</v>
      </c>
      <c r="AK99" s="109"/>
    </row>
    <row r="100" customFormat="false" ht="42" hidden="false" customHeight="true" outlineLevel="0" collapsed="false">
      <c r="A100" s="3"/>
      <c r="B100" s="36" t="s">
        <v>23</v>
      </c>
      <c r="C100" s="98" t="s">
        <v>17</v>
      </c>
      <c r="D100" s="98" t="s">
        <v>332</v>
      </c>
      <c r="E100" s="110" t="s">
        <v>765</v>
      </c>
      <c r="F100" s="99" t="n">
        <v>100</v>
      </c>
      <c r="G100" s="98" t="s">
        <v>333</v>
      </c>
      <c r="H100" s="112" t="n">
        <f aca="false">IF(AND(AE100="yes",ISNUMBER(AD100)),AD100,"")</f>
        <v>100</v>
      </c>
      <c r="I100" s="95" t="n">
        <f aca="false">IF(AND(AE100="yes",ISNUMBER(AD100),ISNUMBER(INDEX(Sources!$G$7:$G$10,MATCH(AB100,Sources!$B$7:$B$10,0)))),ROUND(AD100/INDEX(Sources!$G$7:$G$10,MATCH(AB100,Sources!$B$7:$B$10,0)),6),"")</f>
        <v>4.094398</v>
      </c>
      <c r="J100" s="98" t="s">
        <v>530</v>
      </c>
      <c r="K100" s="98" t="s">
        <v>586</v>
      </c>
      <c r="L100" s="96"/>
      <c r="M100" s="110" t="s">
        <v>766</v>
      </c>
      <c r="N100" s="117" t="s">
        <v>767</v>
      </c>
      <c r="O100" s="110"/>
      <c r="P100" s="110" t="s">
        <v>590</v>
      </c>
      <c r="Q100" s="118" t="n">
        <v>0.21</v>
      </c>
      <c r="R100" s="110" t="n">
        <v>1</v>
      </c>
      <c r="S100" s="110" t="s">
        <v>632</v>
      </c>
      <c r="T100" s="110" t="s">
        <v>530</v>
      </c>
      <c r="U100" s="110" t="s">
        <v>591</v>
      </c>
      <c r="V100" s="119"/>
      <c r="W100" s="119"/>
      <c r="X100" s="110" t="s">
        <v>626</v>
      </c>
      <c r="Y100" s="110"/>
      <c r="Z100" s="110"/>
      <c r="AA100" s="110"/>
      <c r="AB100" s="110" t="s">
        <v>333</v>
      </c>
      <c r="AC100" s="110" t="s">
        <v>538</v>
      </c>
      <c r="AD100" s="110" t="n">
        <f aca="false">IF(OR(F100="",Q100="",R100=""),"",ROUND(IF(P100="incl.",F100/(1+Q100),F100)/IF(S100="per pack",R100,1),2))</f>
        <v>100</v>
      </c>
      <c r="AE100" s="110" t="str">
        <f aca="false">IF(AND(AC100="yes",ISNUMBER(F100),IF(Compare!$H$5="All mapped",TRUE(),IF(Compare!$H$5="EXACT only",J100="EXACT",OR(J100="EXACT",J100="CLOSE")))),"yes","no")</f>
        <v>yes</v>
      </c>
      <c r="AF100" s="110" t="n">
        <f aca="false">IF(ISNUMBER(H100),COUNTIFS($B$7:$B$3000,B100,$C$7:$C$3000,C100,$H$7:$H$3000,"&lt;"&amp;H100,$AH$7:$AH$3000,"yes")+COUNTIFS($B$7:B100,B100,$C$7:C100,C100,$H$7:H100,H100,$AH$7:AH100,"yes"),"")</f>
        <v>4</v>
      </c>
      <c r="AG100" s="110" t="n">
        <f aca="false">IF(ISNUMBER(I100),COUNTIFS($B$7:$B$3000,B100,$C$7:$C$3000,C100,$I$7:$I$3000,"&lt;"&amp;I100,$AI$7:$AI$3000,"yes")+COUNTIFS($B$7:B100,B100,$C$7:C100,C100,$I$7:I100,I100,$AI$7:AI100,"yes"),"")</f>
        <v>4</v>
      </c>
      <c r="AH100" s="110" t="str">
        <f aca="false">IF(ISNUMBER(H100),"yes","no")</f>
        <v>yes</v>
      </c>
      <c r="AI100" s="110" t="str">
        <f aca="false">IF(ISNUMBER(I100),"yes","no")</f>
        <v>yes</v>
      </c>
      <c r="AJ100" s="120" t="n">
        <v>46295</v>
      </c>
      <c r="AK100" s="110"/>
    </row>
    <row r="101" customFormat="false" ht="42" hidden="false" customHeight="true" outlineLevel="0" collapsed="false">
      <c r="A101" s="3"/>
      <c r="B101" s="31" t="s">
        <v>23</v>
      </c>
      <c r="C101" s="91" t="s">
        <v>17</v>
      </c>
      <c r="D101" s="91" t="s">
        <v>342</v>
      </c>
      <c r="E101" s="109" t="s">
        <v>768</v>
      </c>
      <c r="F101" s="92" t="n">
        <v>99</v>
      </c>
      <c r="G101" s="91" t="s">
        <v>333</v>
      </c>
      <c r="H101" s="112" t="n">
        <f aca="false">IF(AND(AE101="yes",ISNUMBER(AD101)),AD101,"")</f>
        <v>99</v>
      </c>
      <c r="I101" s="95" t="n">
        <f aca="false">IF(AND(AE101="yes",ISNUMBER(AD101),ISNUMBER(INDEX(Sources!$G$7:$G$10,MATCH(AB101,Sources!$B$7:$B$10,0)))),ROUND(AD101/INDEX(Sources!$G$7:$G$10,MATCH(AB101,Sources!$B$7:$B$10,0)),6),"")</f>
        <v>4.053454</v>
      </c>
      <c r="J101" s="91" t="s">
        <v>530</v>
      </c>
      <c r="K101" s="91" t="s">
        <v>586</v>
      </c>
      <c r="L101" s="96"/>
      <c r="M101" s="109" t="s">
        <v>769</v>
      </c>
      <c r="N101" s="113" t="s">
        <v>770</v>
      </c>
      <c r="O101" s="109" t="s">
        <v>711</v>
      </c>
      <c r="P101" s="109" t="s">
        <v>590</v>
      </c>
      <c r="Q101" s="114" t="n">
        <v>0.21</v>
      </c>
      <c r="R101" s="109" t="n">
        <v>1</v>
      </c>
      <c r="S101" s="109" t="s">
        <v>632</v>
      </c>
      <c r="T101" s="109" t="s">
        <v>530</v>
      </c>
      <c r="U101" s="109" t="s">
        <v>591</v>
      </c>
      <c r="V101" s="115"/>
      <c r="W101" s="115"/>
      <c r="X101" s="109" t="s">
        <v>626</v>
      </c>
      <c r="Y101" s="109"/>
      <c r="Z101" s="109"/>
      <c r="AA101" s="109"/>
      <c r="AB101" s="109" t="s">
        <v>333</v>
      </c>
      <c r="AC101" s="109" t="s">
        <v>538</v>
      </c>
      <c r="AD101" s="109" t="n">
        <f aca="false">IF(OR(F101="",Q101="",R101=""),"",ROUND(IF(P101="incl.",F101/(1+Q101),F101)/IF(S101="per pack",R101,1),2))</f>
        <v>99</v>
      </c>
      <c r="AE101" s="109" t="str">
        <f aca="false">IF(AND(AC101="yes",ISNUMBER(F101),IF(Compare!$H$5="All mapped",TRUE(),IF(Compare!$H$5="EXACT only",J101="EXACT",OR(J101="EXACT",J101="CLOSE")))),"yes","no")</f>
        <v>yes</v>
      </c>
      <c r="AF101" s="109" t="n">
        <f aca="false">IF(ISNUMBER(H101),COUNTIFS($B$7:$B$3000,B101,$C$7:$C$3000,C101,$H$7:$H$3000,"&lt;"&amp;H101,$AH$7:$AH$3000,"yes")+COUNTIFS($B$7:B101,B101,$C$7:C101,C101,$H$7:H101,H101,$AH$7:AH101,"yes"),"")</f>
        <v>3</v>
      </c>
      <c r="AG101" s="109" t="n">
        <f aca="false">IF(ISNUMBER(I101),COUNTIFS($B$7:$B$3000,B101,$C$7:$C$3000,C101,$I$7:$I$3000,"&lt;"&amp;I101,$AI$7:$AI$3000,"yes")+COUNTIFS($B$7:B101,B101,$C$7:C101,C101,$I$7:I101,I101,$AI$7:AI101,"yes"),"")</f>
        <v>3</v>
      </c>
      <c r="AH101" s="109" t="str">
        <f aca="false">IF(ISNUMBER(H101),"yes","no")</f>
        <v>yes</v>
      </c>
      <c r="AI101" s="109" t="str">
        <f aca="false">IF(ISNUMBER(I101),"yes","no")</f>
        <v>yes</v>
      </c>
      <c r="AJ101" s="116" t="n">
        <v>46295</v>
      </c>
      <c r="AK101" s="109"/>
    </row>
    <row r="102" customFormat="false" ht="42" hidden="false" customHeight="true" outlineLevel="0" collapsed="false">
      <c r="A102" s="3"/>
      <c r="B102" s="36" t="s">
        <v>23</v>
      </c>
      <c r="C102" s="98" t="s">
        <v>17</v>
      </c>
      <c r="D102" s="98" t="s">
        <v>346</v>
      </c>
      <c r="E102" s="110" t="s">
        <v>771</v>
      </c>
      <c r="F102" s="99" t="n">
        <v>180</v>
      </c>
      <c r="G102" s="98" t="s">
        <v>333</v>
      </c>
      <c r="H102" s="112" t="n">
        <f aca="false">IF(AND(AE102="yes",ISNUMBER(AD102)),AD102,"")</f>
        <v>148.76</v>
      </c>
      <c r="I102" s="95" t="n">
        <f aca="false">IF(AND(AE102="yes",ISNUMBER(AD102),ISNUMBER(INDEX(Sources!$G$7:$G$10,MATCH(AB102,Sources!$B$7:$B$10,0)))),ROUND(AD102/INDEX(Sources!$G$7:$G$10,MATCH(AB102,Sources!$B$7:$B$10,0)),6),"")</f>
        <v>6.090826</v>
      </c>
      <c r="J102" s="98" t="s">
        <v>530</v>
      </c>
      <c r="K102" s="98" t="s">
        <v>586</v>
      </c>
      <c r="L102" s="96"/>
      <c r="M102" s="110" t="s">
        <v>772</v>
      </c>
      <c r="N102" s="117" t="s">
        <v>773</v>
      </c>
      <c r="O102" s="110" t="s">
        <v>662</v>
      </c>
      <c r="P102" s="110" t="s">
        <v>265</v>
      </c>
      <c r="Q102" s="118" t="n">
        <v>0.21</v>
      </c>
      <c r="R102" s="110" t="n">
        <v>1</v>
      </c>
      <c r="S102" s="110" t="s">
        <v>632</v>
      </c>
      <c r="T102" s="110" t="s">
        <v>530</v>
      </c>
      <c r="U102" s="110" t="s">
        <v>591</v>
      </c>
      <c r="V102" s="119"/>
      <c r="W102" s="119"/>
      <c r="X102" s="110" t="s">
        <v>626</v>
      </c>
      <c r="Y102" s="110"/>
      <c r="Z102" s="110"/>
      <c r="AA102" s="110"/>
      <c r="AB102" s="110" t="s">
        <v>333</v>
      </c>
      <c r="AC102" s="110" t="s">
        <v>538</v>
      </c>
      <c r="AD102" s="110" t="n">
        <f aca="false">IF(OR(F102="",Q102="",R102=""),"",ROUND(IF(P102="incl.",F102/(1+Q102),F102)/IF(S102="per pack",R102,1),2))</f>
        <v>148.76</v>
      </c>
      <c r="AE102" s="110" t="str">
        <f aca="false">IF(AND(AC102="yes",ISNUMBER(F102),IF(Compare!$H$5="All mapped",TRUE(),IF(Compare!$H$5="EXACT only",J102="EXACT",OR(J102="EXACT",J102="CLOSE")))),"yes","no")</f>
        <v>yes</v>
      </c>
      <c r="AF102" s="110" t="n">
        <f aca="false">IF(ISNUMBER(H102),COUNTIFS($B$7:$B$3000,B102,$C$7:$C$3000,C102,$H$7:$H$3000,"&lt;"&amp;H102,$AH$7:$AH$3000,"yes")+COUNTIFS($B$7:B102,B102,$C$7:C102,C102,$H$7:H102,H102,$AH$7:AH102,"yes"),"")</f>
        <v>7</v>
      </c>
      <c r="AG102" s="110" t="n">
        <f aca="false">IF(ISNUMBER(I102),COUNTIFS($B$7:$B$3000,B102,$C$7:$C$3000,C102,$I$7:$I$3000,"&lt;"&amp;I102,$AI$7:$AI$3000,"yes")+COUNTIFS($B$7:B102,B102,$C$7:C102,C102,$I$7:I102,I102,$AI$7:AI102,"yes"),"")</f>
        <v>7</v>
      </c>
      <c r="AH102" s="110" t="str">
        <f aca="false">IF(ISNUMBER(H102),"yes","no")</f>
        <v>yes</v>
      </c>
      <c r="AI102" s="110" t="str">
        <f aca="false">IF(ISNUMBER(I102),"yes","no")</f>
        <v>yes</v>
      </c>
      <c r="AJ102" s="120" t="n">
        <v>46295</v>
      </c>
      <c r="AK102" s="110"/>
    </row>
    <row r="103" customFormat="false" ht="42" hidden="false" customHeight="true" outlineLevel="0" collapsed="false">
      <c r="A103" s="3"/>
      <c r="B103" s="31" t="s">
        <v>23</v>
      </c>
      <c r="C103" s="91" t="s">
        <v>17</v>
      </c>
      <c r="D103" s="91" t="s">
        <v>361</v>
      </c>
      <c r="E103" s="109" t="s">
        <v>774</v>
      </c>
      <c r="F103" s="92" t="n">
        <v>143</v>
      </c>
      <c r="G103" s="91" t="s">
        <v>333</v>
      </c>
      <c r="H103" s="112" t="n">
        <f aca="false">IF(AND(AE103="yes",ISNUMBER(AD103)),AD103,"")</f>
        <v>118.18</v>
      </c>
      <c r="I103" s="95" t="n">
        <f aca="false">IF(AND(AE103="yes",ISNUMBER(AD103),ISNUMBER(INDEX(Sources!$G$7:$G$10,MATCH(AB103,Sources!$B$7:$B$10,0)))),ROUND(AD103/INDEX(Sources!$G$7:$G$10,MATCH(AB103,Sources!$B$7:$B$10,0)),6),"")</f>
        <v>4.838759</v>
      </c>
      <c r="J103" s="91" t="s">
        <v>530</v>
      </c>
      <c r="K103" s="91" t="s">
        <v>586</v>
      </c>
      <c r="L103" s="96"/>
      <c r="M103" s="109" t="s">
        <v>775</v>
      </c>
      <c r="N103" s="113" t="s">
        <v>776</v>
      </c>
      <c r="O103" s="109" t="s">
        <v>642</v>
      </c>
      <c r="P103" s="109" t="s">
        <v>265</v>
      </c>
      <c r="Q103" s="114" t="n">
        <v>0.21</v>
      </c>
      <c r="R103" s="109" t="n">
        <v>1</v>
      </c>
      <c r="S103" s="109" t="s">
        <v>632</v>
      </c>
      <c r="T103" s="109" t="s">
        <v>530</v>
      </c>
      <c r="U103" s="109" t="s">
        <v>591</v>
      </c>
      <c r="V103" s="115"/>
      <c r="W103" s="115"/>
      <c r="X103" s="109" t="s">
        <v>626</v>
      </c>
      <c r="Y103" s="109"/>
      <c r="Z103" s="109"/>
      <c r="AA103" s="109"/>
      <c r="AB103" s="109" t="s">
        <v>333</v>
      </c>
      <c r="AC103" s="109" t="s">
        <v>538</v>
      </c>
      <c r="AD103" s="109" t="n">
        <f aca="false">IF(OR(F103="",Q103="",R103=""),"",ROUND(IF(P103="incl.",F103/(1+Q103),F103)/IF(S103="per pack",R103,1),2))</f>
        <v>118.18</v>
      </c>
      <c r="AE103" s="109" t="str">
        <f aca="false">IF(AND(AC103="yes",ISNUMBER(F103),IF(Compare!$H$5="All mapped",TRUE(),IF(Compare!$H$5="EXACT only",J103="EXACT",OR(J103="EXACT",J103="CLOSE")))),"yes","no")</f>
        <v>yes</v>
      </c>
      <c r="AF103" s="109" t="n">
        <f aca="false">IF(ISNUMBER(H103),COUNTIFS($B$7:$B$3000,B103,$C$7:$C$3000,C103,$H$7:$H$3000,"&lt;"&amp;H103,$AH$7:$AH$3000,"yes")+COUNTIFS($B$7:B103,B103,$C$7:C103,C103,$H$7:H103,H103,$AH$7:AH103,"yes"),"")</f>
        <v>6</v>
      </c>
      <c r="AG103" s="109" t="n">
        <f aca="false">IF(ISNUMBER(I103),COUNTIFS($B$7:$B$3000,B103,$C$7:$C$3000,C103,$I$7:$I$3000,"&lt;"&amp;I103,$AI$7:$AI$3000,"yes")+COUNTIFS($B$7:B103,B103,$C$7:C103,C103,$I$7:I103,I103,$AI$7:AI103,"yes"),"")</f>
        <v>6</v>
      </c>
      <c r="AH103" s="109" t="str">
        <f aca="false">IF(ISNUMBER(H103),"yes","no")</f>
        <v>yes</v>
      </c>
      <c r="AI103" s="109" t="str">
        <f aca="false">IF(ISNUMBER(I103),"yes","no")</f>
        <v>yes</v>
      </c>
      <c r="AJ103" s="116" t="n">
        <v>46295</v>
      </c>
      <c r="AK103" s="109"/>
    </row>
    <row r="104" customFormat="false" ht="48.75" hidden="false" customHeight="true" outlineLevel="0" collapsed="false">
      <c r="A104" s="3"/>
      <c r="B104" s="36" t="s">
        <v>23</v>
      </c>
      <c r="C104" s="98" t="s">
        <v>18</v>
      </c>
      <c r="D104" s="98" t="s">
        <v>365</v>
      </c>
      <c r="E104" s="110" t="s">
        <v>777</v>
      </c>
      <c r="F104" s="99" t="n">
        <v>17.61</v>
      </c>
      <c r="G104" s="98" t="s">
        <v>244</v>
      </c>
      <c r="H104" s="112" t="n">
        <f aca="false">IF(AND(AE104="yes",ISNUMBER(AD104)),AD104,"")</f>
        <v>17.61</v>
      </c>
      <c r="I104" s="95" t="n">
        <f aca="false">IF(AND(AE104="yes",ISNUMBER(AD104),ISNUMBER(INDEX(Sources!$G$7:$G$10,MATCH(AB104,Sources!$B$7:$B$10,0)))),ROUND(AD104/INDEX(Sources!$G$7:$G$10,MATCH(AB104,Sources!$B$7:$B$10,0)),6),"")</f>
        <v>17.61</v>
      </c>
      <c r="J104" s="98" t="s">
        <v>702</v>
      </c>
      <c r="K104" s="98" t="s">
        <v>586</v>
      </c>
      <c r="L104" s="96"/>
      <c r="M104" s="110" t="s">
        <v>778</v>
      </c>
      <c r="N104" s="117" t="s">
        <v>779</v>
      </c>
      <c r="O104" s="110" t="s">
        <v>646</v>
      </c>
      <c r="P104" s="110" t="s">
        <v>590</v>
      </c>
      <c r="Q104" s="118" t="s">
        <v>647</v>
      </c>
      <c r="R104" s="110" t="n">
        <v>1</v>
      </c>
      <c r="S104" s="110" t="s">
        <v>632</v>
      </c>
      <c r="T104" s="110" t="s">
        <v>702</v>
      </c>
      <c r="U104" s="110" t="s">
        <v>591</v>
      </c>
      <c r="V104" s="119" t="n">
        <v>17.61</v>
      </c>
      <c r="W104" s="119"/>
      <c r="X104" s="110" t="s">
        <v>648</v>
      </c>
      <c r="Y104" s="110"/>
      <c r="Z104" s="110"/>
      <c r="AA104" s="110"/>
      <c r="AB104" s="110" t="s">
        <v>244</v>
      </c>
      <c r="AC104" s="110" t="s">
        <v>538</v>
      </c>
      <c r="AD104" s="110" t="n">
        <f aca="false">IF(ISNUMBER(V104),ROUND(V104,6),"")</f>
        <v>17.61</v>
      </c>
      <c r="AE104" s="110" t="str">
        <f aca="false">IF(AND(AC104="yes",ISNUMBER(F104),IF(Compare!$H$5="All mapped",TRUE(),IF(Compare!$H$5="EXACT only",J104="EXACT",OR(J104="EXACT",J104="CLOSE")))),"yes","no")</f>
        <v>yes</v>
      </c>
      <c r="AF104" s="110" t="n">
        <f aca="false">IF(ISNUMBER(H104),COUNTIFS($B$7:$B$3000,B104,$C$7:$C$3000,C104,$H$7:$H$3000,"&lt;"&amp;H104,$AH$7:$AH$3000,"yes")+COUNTIFS($B$7:B104,B104,$C$7:C104,C104,$H$7:H104,H104,$AH$7:AH104,"yes"),"")</f>
        <v>2</v>
      </c>
      <c r="AG104" s="110" t="n">
        <f aca="false">IF(ISNUMBER(I104),COUNTIFS($B$7:$B$3000,B104,$C$7:$C$3000,C104,$I$7:$I$3000,"&lt;"&amp;I104,$AI$7:$AI$3000,"yes")+COUNTIFS($B$7:B104,B104,$C$7:C104,C104,$I$7:I104,I104,$AI$7:AI104,"yes"),"")</f>
        <v>2</v>
      </c>
      <c r="AH104" s="110" t="str">
        <f aca="false">IF(ISNUMBER(H104),"yes","no")</f>
        <v>yes</v>
      </c>
      <c r="AI104" s="110" t="str">
        <f aca="false">IF(ISNUMBER(I104),"yes","no")</f>
        <v>yes</v>
      </c>
      <c r="AJ104" s="120" t="n">
        <v>46295</v>
      </c>
      <c r="AK104" s="110"/>
    </row>
    <row r="105" customFormat="false" ht="42" hidden="false" customHeight="true" outlineLevel="0" collapsed="false">
      <c r="A105" s="3"/>
      <c r="B105" s="31" t="s">
        <v>23</v>
      </c>
      <c r="C105" s="91" t="s">
        <v>18</v>
      </c>
      <c r="D105" s="91" t="s">
        <v>369</v>
      </c>
      <c r="E105" s="109" t="s">
        <v>780</v>
      </c>
      <c r="F105" s="92" t="n">
        <v>7.84</v>
      </c>
      <c r="G105" s="91" t="s">
        <v>244</v>
      </c>
      <c r="H105" s="112" t="n">
        <f aca="false">IF(AND(AE105="yes",ISNUMBER(AD105)),AD105,"")</f>
        <v>6.373984</v>
      </c>
      <c r="I105" s="95" t="n">
        <f aca="false">IF(AND(AE105="yes",ISNUMBER(AD105),ISNUMBER(INDEX(Sources!$G$7:$G$10,MATCH(AB105,Sources!$B$7:$B$10,0)))),ROUND(AD105/INDEX(Sources!$G$7:$G$10,MATCH(AB105,Sources!$B$7:$B$10,0)),6),"")</f>
        <v>6.373984</v>
      </c>
      <c r="J105" s="91" t="s">
        <v>530</v>
      </c>
      <c r="K105" s="91" t="s">
        <v>586</v>
      </c>
      <c r="L105" s="96"/>
      <c r="M105" s="109" t="s">
        <v>781</v>
      </c>
      <c r="N105" s="113" t="s">
        <v>782</v>
      </c>
      <c r="O105" s="109" t="s">
        <v>783</v>
      </c>
      <c r="P105" s="109" t="s">
        <v>265</v>
      </c>
      <c r="Q105" s="114" t="n">
        <v>0.23</v>
      </c>
      <c r="R105" s="109" t="n">
        <v>1</v>
      </c>
      <c r="S105" s="109" t="s">
        <v>632</v>
      </c>
      <c r="T105" s="109" t="s">
        <v>530</v>
      </c>
      <c r="U105" s="109" t="s">
        <v>591</v>
      </c>
      <c r="V105" s="115" t="n">
        <v>6.3739837398374</v>
      </c>
      <c r="W105" s="115"/>
      <c r="X105" s="109" t="s">
        <v>648</v>
      </c>
      <c r="Y105" s="109"/>
      <c r="Z105" s="109"/>
      <c r="AA105" s="109"/>
      <c r="AB105" s="109" t="s">
        <v>244</v>
      </c>
      <c r="AC105" s="109" t="s">
        <v>538</v>
      </c>
      <c r="AD105" s="109" t="n">
        <f aca="false">IF(ISNUMBER(V105),ROUND(V105,6),"")</f>
        <v>6.373984</v>
      </c>
      <c r="AE105" s="109" t="str">
        <f aca="false">IF(AND(AC105="yes",ISNUMBER(F105),IF(Compare!$H$5="All mapped",TRUE(),IF(Compare!$H$5="EXACT only",J105="EXACT",OR(J105="EXACT",J105="CLOSE")))),"yes","no")</f>
        <v>yes</v>
      </c>
      <c r="AF105" s="109" t="n">
        <f aca="false">IF(ISNUMBER(H105),COUNTIFS($B$7:$B$3000,B105,$C$7:$C$3000,C105,$H$7:$H$3000,"&lt;"&amp;H105,$AH$7:$AH$3000,"yes")+COUNTIFS($B$7:B105,B105,$C$7:C105,C105,$H$7:H105,H105,$AH$7:AH105,"yes"),"")</f>
        <v>1</v>
      </c>
      <c r="AG105" s="109" t="n">
        <f aca="false">IF(ISNUMBER(I105),COUNTIFS($B$7:$B$3000,B105,$C$7:$C$3000,C105,$I$7:$I$3000,"&lt;"&amp;I105,$AI$7:$AI$3000,"yes")+COUNTIFS($B$7:B105,B105,$C$7:C105,C105,$I$7:I105,I105,$AI$7:AI105,"yes"),"")</f>
        <v>1</v>
      </c>
      <c r="AH105" s="109" t="str">
        <f aca="false">IF(ISNUMBER(H105),"yes","no")</f>
        <v>yes</v>
      </c>
      <c r="AI105" s="109" t="str">
        <f aca="false">IF(ISNUMBER(I105),"yes","no")</f>
        <v>yes</v>
      </c>
      <c r="AJ105" s="116" t="n">
        <v>46295</v>
      </c>
      <c r="AK105" s="109"/>
    </row>
    <row r="106" customFormat="false" ht="42" hidden="false" customHeight="true" outlineLevel="0" collapsed="false">
      <c r="A106" s="3"/>
      <c r="B106" s="36" t="s">
        <v>24</v>
      </c>
      <c r="C106" s="98" t="s">
        <v>14</v>
      </c>
      <c r="D106" s="98" t="s">
        <v>373</v>
      </c>
      <c r="E106" s="110" t="s">
        <v>784</v>
      </c>
      <c r="F106" s="99" t="n">
        <v>27.61</v>
      </c>
      <c r="G106" s="98" t="s">
        <v>374</v>
      </c>
      <c r="H106" s="112" t="n">
        <f aca="false">IF(AND(AE106="yes",ISNUMBER(AD106)),AD106,"")</f>
        <v>27.61</v>
      </c>
      <c r="I106" s="95" t="n">
        <f aca="false">IF(AND(AE106="yes",ISNUMBER(AD106),ISNUMBER(INDEX(Sources!$G$7:$G$10,MATCH(AB106,Sources!$B$7:$B$10,0)))),ROUND(AD106/INDEX(Sources!$G$7:$G$10,MATCH(AB106,Sources!$B$7:$B$10,0)),6),"")</f>
        <v>5.231503</v>
      </c>
      <c r="J106" s="98" t="s">
        <v>530</v>
      </c>
      <c r="K106" s="98" t="s">
        <v>785</v>
      </c>
      <c r="L106" s="96"/>
      <c r="M106" s="110" t="s">
        <v>729</v>
      </c>
      <c r="N106" s="117" t="s">
        <v>786</v>
      </c>
      <c r="O106" s="110" t="s">
        <v>733</v>
      </c>
      <c r="P106" s="110"/>
      <c r="Q106" s="118"/>
      <c r="R106" s="110"/>
      <c r="S106" s="110"/>
      <c r="T106" s="110"/>
      <c r="U106" s="110" t="s">
        <v>787</v>
      </c>
      <c r="V106" s="119"/>
      <c r="W106" s="119" t="n">
        <v>5.522</v>
      </c>
      <c r="X106" s="110" t="s">
        <v>556</v>
      </c>
      <c r="Y106" s="110" t="s">
        <v>557</v>
      </c>
      <c r="Z106" s="110"/>
      <c r="AA106" s="110"/>
      <c r="AB106" s="110" t="s">
        <v>374</v>
      </c>
      <c r="AC106" s="110" t="s">
        <v>538</v>
      </c>
      <c r="AD106" s="119" t="n">
        <f aca="false">IF(ISNUMBER(F106),IF(G106=AB106,F106,IF(AND(ISNUMBER(INDEX(Sources!$G$7:$G$10,MATCH(G106,Sources!$B$7:$B$10,0))),ISNUMBER(INDEX(Sources!$G$7:$G$10,MATCH(AB106,Sources!$B$7:$B$10,0)))),F106/INDEX(Sources!$G$7:$G$10,MATCH(G106,Sources!$B$7:$B$10,0))*INDEX(Sources!$G$7:$G$10,MATCH(AB106,Sources!$B$7:$B$10,0)),"")),"")</f>
        <v>27.61</v>
      </c>
      <c r="AE106" s="110" t="str">
        <f aca="false">IF(AND(AC106="yes",ISNUMBER(F106),IF(Compare!$H$5="All mapped",TRUE(),IF(Compare!$H$5="EXACT only",J106="EXACT",OR(J106="EXACT",J106="CLOSE")))),"yes","no")</f>
        <v>yes</v>
      </c>
      <c r="AF106" s="110" t="n">
        <f aca="false">IF(ISNUMBER(H106),COUNTIFS($B$7:$B$3000,B106,$C$7:$C$3000,C106,$H$7:$H$3000,"&lt;"&amp;H106,$AH$7:$AH$3000,"yes")+COUNTIFS($B$7:B106,B106,$C$7:C106,C106,$H$7:H106,H106,$AH$7:AH106,"yes"),"")</f>
        <v>3</v>
      </c>
      <c r="AG106" s="110" t="n">
        <f aca="false">IF(ISNUMBER(I106),COUNTIFS($B$7:$B$3000,B106,$C$7:$C$3000,C106,$I$7:$I$3000,"&lt;"&amp;I106,$AI$7:$AI$3000,"yes")+COUNTIFS($B$7:B106,B106,$C$7:C106,C106,$I$7:I106,I106,$AI$7:AI106,"yes"),"")</f>
        <v>3</v>
      </c>
      <c r="AH106" s="110" t="str">
        <f aca="false">IF(ISNUMBER(H106),"yes","no")</f>
        <v>yes</v>
      </c>
      <c r="AI106" s="110" t="str">
        <f aca="false">IF(ISNUMBER(I106),"yes","no")</f>
        <v>yes</v>
      </c>
      <c r="AJ106" s="120" t="n">
        <v>46272</v>
      </c>
      <c r="AK106" s="110"/>
    </row>
    <row r="107" customFormat="false" ht="42" hidden="false" customHeight="true" outlineLevel="0" collapsed="false">
      <c r="A107" s="3"/>
      <c r="B107" s="31" t="s">
        <v>24</v>
      </c>
      <c r="C107" s="91" t="s">
        <v>14</v>
      </c>
      <c r="D107" s="91" t="s">
        <v>388</v>
      </c>
      <c r="E107" s="109" t="s">
        <v>784</v>
      </c>
      <c r="F107" s="92" t="n">
        <v>23.8</v>
      </c>
      <c r="G107" s="91" t="s">
        <v>374</v>
      </c>
      <c r="H107" s="112" t="n">
        <f aca="false">IF(AND(AE107="yes",ISNUMBER(AD107)),AD107,"")</f>
        <v>23.8</v>
      </c>
      <c r="I107" s="95" t="n">
        <f aca="false">IF(AND(AE107="yes",ISNUMBER(AD107),ISNUMBER(INDEX(Sources!$G$7:$G$10,MATCH(AB107,Sources!$B$7:$B$10,0)))),ROUND(AD107/INDEX(Sources!$G$7:$G$10,MATCH(AB107,Sources!$B$7:$B$10,0)),6),"")</f>
        <v>4.50959</v>
      </c>
      <c r="J107" s="91" t="s">
        <v>530</v>
      </c>
      <c r="K107" s="91" t="s">
        <v>788</v>
      </c>
      <c r="L107" s="96"/>
      <c r="M107" s="109" t="s">
        <v>729</v>
      </c>
      <c r="N107" s="113" t="s">
        <v>789</v>
      </c>
      <c r="O107" s="109" t="s">
        <v>388</v>
      </c>
      <c r="P107" s="109"/>
      <c r="Q107" s="114"/>
      <c r="R107" s="109"/>
      <c r="S107" s="109"/>
      <c r="T107" s="109"/>
      <c r="U107" s="109" t="s">
        <v>787</v>
      </c>
      <c r="V107" s="115"/>
      <c r="W107" s="115" t="n">
        <v>4.76</v>
      </c>
      <c r="X107" s="109" t="s">
        <v>556</v>
      </c>
      <c r="Y107" s="109" t="s">
        <v>557</v>
      </c>
      <c r="Z107" s="109"/>
      <c r="AA107" s="109"/>
      <c r="AB107" s="109" t="s">
        <v>374</v>
      </c>
      <c r="AC107" s="109" t="s">
        <v>538</v>
      </c>
      <c r="AD107" s="115" t="n">
        <f aca="false">IF(ISNUMBER(F107),IF(G107=AB107,F107,IF(AND(ISNUMBER(INDEX(Sources!$G$7:$G$10,MATCH(G107,Sources!$B$7:$B$10,0))),ISNUMBER(INDEX(Sources!$G$7:$G$10,MATCH(AB107,Sources!$B$7:$B$10,0)))),F107/INDEX(Sources!$G$7:$G$10,MATCH(G107,Sources!$B$7:$B$10,0))*INDEX(Sources!$G$7:$G$10,MATCH(AB107,Sources!$B$7:$B$10,0)),"")),"")</f>
        <v>23.8</v>
      </c>
      <c r="AE107" s="109" t="str">
        <f aca="false">IF(AND(AC107="yes",ISNUMBER(F107),IF(Compare!$H$5="All mapped",TRUE(),IF(Compare!$H$5="EXACT only",J107="EXACT",OR(J107="EXACT",J107="CLOSE")))),"yes","no")</f>
        <v>yes</v>
      </c>
      <c r="AF107" s="109" t="n">
        <f aca="false">IF(ISNUMBER(H107),COUNTIFS($B$7:$B$3000,B107,$C$7:$C$3000,C107,$H$7:$H$3000,"&lt;"&amp;H107,$AH$7:$AH$3000,"yes")+COUNTIFS($B$7:B107,B107,$C$7:C107,C107,$H$7:H107,H107,$AH$7:AH107,"yes"),"")</f>
        <v>2</v>
      </c>
      <c r="AG107" s="109" t="n">
        <f aca="false">IF(ISNUMBER(I107),COUNTIFS($B$7:$B$3000,B107,$C$7:$C$3000,C107,$I$7:$I$3000,"&lt;"&amp;I107,$AI$7:$AI$3000,"yes")+COUNTIFS($B$7:B107,B107,$C$7:C107,C107,$I$7:I107,I107,$AI$7:AI107,"yes"),"")</f>
        <v>2</v>
      </c>
      <c r="AH107" s="109" t="str">
        <f aca="false">IF(ISNUMBER(H107),"yes","no")</f>
        <v>yes</v>
      </c>
      <c r="AI107" s="109" t="str">
        <f aca="false">IF(ISNUMBER(I107),"yes","no")</f>
        <v>yes</v>
      </c>
      <c r="AJ107" s="116" t="n">
        <v>46268</v>
      </c>
      <c r="AK107" s="109"/>
    </row>
    <row r="108" customFormat="false" ht="42" hidden="false" customHeight="true" outlineLevel="0" collapsed="false">
      <c r="A108" s="3"/>
      <c r="B108" s="36" t="s">
        <v>24</v>
      </c>
      <c r="C108" s="98" t="s">
        <v>14</v>
      </c>
      <c r="D108" s="98" t="s">
        <v>403</v>
      </c>
      <c r="E108" s="110" t="s">
        <v>784</v>
      </c>
      <c r="F108" s="99" t="n">
        <v>23.05</v>
      </c>
      <c r="G108" s="98" t="s">
        <v>374</v>
      </c>
      <c r="H108" s="112" t="n">
        <f aca="false">IF(AND(AE108="yes",ISNUMBER(AD108)),AD108,"")</f>
        <v>23.05</v>
      </c>
      <c r="I108" s="95" t="n">
        <f aca="false">IF(AND(AE108="yes",ISNUMBER(AD108),ISNUMBER(INDEX(Sources!$G$7:$G$10,MATCH(AB108,Sources!$B$7:$B$10,0)))),ROUND(AD108/INDEX(Sources!$G$7:$G$10,MATCH(AB108,Sources!$B$7:$B$10,0)),6),"")</f>
        <v>4.367481</v>
      </c>
      <c r="J108" s="98" t="s">
        <v>530</v>
      </c>
      <c r="K108" s="98" t="s">
        <v>785</v>
      </c>
      <c r="L108" s="96"/>
      <c r="M108" s="110" t="s">
        <v>729</v>
      </c>
      <c r="N108" s="117" t="s">
        <v>790</v>
      </c>
      <c r="O108" s="110" t="s">
        <v>388</v>
      </c>
      <c r="P108" s="110"/>
      <c r="Q108" s="118"/>
      <c r="R108" s="110"/>
      <c r="S108" s="110"/>
      <c r="T108" s="110"/>
      <c r="U108" s="110" t="s">
        <v>787</v>
      </c>
      <c r="V108" s="119"/>
      <c r="W108" s="119" t="n">
        <v>4.61</v>
      </c>
      <c r="X108" s="110" t="s">
        <v>556</v>
      </c>
      <c r="Y108" s="110" t="s">
        <v>557</v>
      </c>
      <c r="Z108" s="110"/>
      <c r="AA108" s="110"/>
      <c r="AB108" s="110" t="s">
        <v>374</v>
      </c>
      <c r="AC108" s="110" t="s">
        <v>538</v>
      </c>
      <c r="AD108" s="119" t="n">
        <f aca="false">IF(ISNUMBER(F108),IF(G108=AB108,F108,IF(AND(ISNUMBER(INDEX(Sources!$G$7:$G$10,MATCH(G108,Sources!$B$7:$B$10,0))),ISNUMBER(INDEX(Sources!$G$7:$G$10,MATCH(AB108,Sources!$B$7:$B$10,0)))),F108/INDEX(Sources!$G$7:$G$10,MATCH(G108,Sources!$B$7:$B$10,0))*INDEX(Sources!$G$7:$G$10,MATCH(AB108,Sources!$B$7:$B$10,0)),"")),"")</f>
        <v>23.05</v>
      </c>
      <c r="AE108" s="110" t="str">
        <f aca="false">IF(AND(AC108="yes",ISNUMBER(F108),IF(Compare!$H$5="All mapped",TRUE(),IF(Compare!$H$5="EXACT only",J108="EXACT",OR(J108="EXACT",J108="CLOSE")))),"yes","no")</f>
        <v>yes</v>
      </c>
      <c r="AF108" s="110" t="n">
        <f aca="false">IF(ISNUMBER(H108),COUNTIFS($B$7:$B$3000,B108,$C$7:$C$3000,C108,$H$7:$H$3000,"&lt;"&amp;H108,$AH$7:$AH$3000,"yes")+COUNTIFS($B$7:B108,B108,$C$7:C108,C108,$H$7:H108,H108,$AH$7:AH108,"yes"),"")</f>
        <v>1</v>
      </c>
      <c r="AG108" s="110" t="n">
        <f aca="false">IF(ISNUMBER(I108),COUNTIFS($B$7:$B$3000,B108,$C$7:$C$3000,C108,$I$7:$I$3000,"&lt;"&amp;I108,$AI$7:$AI$3000,"yes")+COUNTIFS($B$7:B108,B108,$C$7:C108,C108,$I$7:I108,I108,$AI$7:AI108,"yes"),"")</f>
        <v>1</v>
      </c>
      <c r="AH108" s="110" t="str">
        <f aca="false">IF(ISNUMBER(H108),"yes","no")</f>
        <v>yes</v>
      </c>
      <c r="AI108" s="110" t="str">
        <f aca="false">IF(ISNUMBER(I108),"yes","no")</f>
        <v>yes</v>
      </c>
      <c r="AJ108" s="120" t="n">
        <v>46272</v>
      </c>
      <c r="AK108" s="110"/>
    </row>
    <row r="109" customFormat="false" ht="42" hidden="false" customHeight="true" outlineLevel="0" collapsed="false">
      <c r="A109" s="3"/>
      <c r="B109" s="31" t="s">
        <v>24</v>
      </c>
      <c r="C109" s="91" t="s">
        <v>15</v>
      </c>
      <c r="D109" s="91" t="s">
        <v>269</v>
      </c>
      <c r="E109" s="109" t="s">
        <v>791</v>
      </c>
      <c r="F109" s="92" t="n">
        <v>11.69</v>
      </c>
      <c r="G109" s="91" t="s">
        <v>244</v>
      </c>
      <c r="H109" s="112" t="n">
        <f aca="false">IF(AND(AE109="yes",ISNUMBER(AD109)),AD109,"")</f>
        <v>11.69</v>
      </c>
      <c r="I109" s="95" t="n">
        <f aca="false">IF(AND(AE109="yes",ISNUMBER(AD109),ISNUMBER(INDEX(Sources!$G$7:$G$10,MATCH(AB109,Sources!$B$7:$B$10,0)))),ROUND(AD109/INDEX(Sources!$G$7:$G$10,MATCH(AB109,Sources!$B$7:$B$10,0)),6),"")</f>
        <v>11.69</v>
      </c>
      <c r="J109" s="91" t="s">
        <v>530</v>
      </c>
      <c r="K109" s="91" t="s">
        <v>586</v>
      </c>
      <c r="L109" s="96"/>
      <c r="M109" s="109" t="s">
        <v>792</v>
      </c>
      <c r="N109" s="113" t="s">
        <v>793</v>
      </c>
      <c r="O109" s="109" t="s">
        <v>589</v>
      </c>
      <c r="P109" s="109" t="s">
        <v>590</v>
      </c>
      <c r="Q109" s="114"/>
      <c r="R109" s="109" t="n">
        <v>1</v>
      </c>
      <c r="S109" s="109"/>
      <c r="T109" s="109" t="s">
        <v>530</v>
      </c>
      <c r="U109" s="109" t="s">
        <v>591</v>
      </c>
      <c r="V109" s="115" t="n">
        <v>11.69</v>
      </c>
      <c r="W109" s="115"/>
      <c r="X109" s="109" t="s">
        <v>592</v>
      </c>
      <c r="Y109" s="109"/>
      <c r="Z109" s="109"/>
      <c r="AA109" s="109"/>
      <c r="AB109" s="109" t="s">
        <v>244</v>
      </c>
      <c r="AC109" s="109" t="s">
        <v>538</v>
      </c>
      <c r="AD109" s="109" t="n">
        <f aca="false">IF(ISNUMBER(V109),ROUND(V109,6),"")</f>
        <v>11.69</v>
      </c>
      <c r="AE109" s="109" t="str">
        <f aca="false">IF(AND(AC109="yes",ISNUMBER(F109),IF(Compare!$H$5="All mapped",TRUE(),IF(Compare!$H$5="EXACT only",J109="EXACT",OR(J109="EXACT",J109="CLOSE")))),"yes","no")</f>
        <v>yes</v>
      </c>
      <c r="AF109" s="109" t="n">
        <f aca="false">IF(ISNUMBER(H109),COUNTIFS($B$7:$B$3000,B109,$C$7:$C$3000,C109,$H$7:$H$3000,"&lt;"&amp;H109,$AH$7:$AH$3000,"yes")+COUNTIFS($B$7:B109,B109,$C$7:C109,C109,$H$7:H109,H109,$AH$7:AH109,"yes"),"")</f>
        <v>7</v>
      </c>
      <c r="AG109" s="109" t="n">
        <f aca="false">IF(ISNUMBER(I109),COUNTIFS($B$7:$B$3000,B109,$C$7:$C$3000,C109,$I$7:$I$3000,"&lt;"&amp;I109,$AI$7:$AI$3000,"yes")+COUNTIFS($B$7:B109,B109,$C$7:C109,C109,$I$7:I109,I109,$AI$7:AI109,"yes"),"")</f>
        <v>7</v>
      </c>
      <c r="AH109" s="109" t="str">
        <f aca="false">IF(ISNUMBER(H109),"yes","no")</f>
        <v>yes</v>
      </c>
      <c r="AI109" s="109" t="str">
        <f aca="false">IF(ISNUMBER(I109),"yes","no")</f>
        <v>yes</v>
      </c>
      <c r="AJ109" s="116" t="n">
        <v>46295</v>
      </c>
      <c r="AK109" s="109"/>
    </row>
    <row r="110" customFormat="false" ht="42" hidden="false" customHeight="true" outlineLevel="0" collapsed="false">
      <c r="A110" s="3"/>
      <c r="B110" s="36" t="s">
        <v>24</v>
      </c>
      <c r="C110" s="98" t="s">
        <v>15</v>
      </c>
      <c r="D110" s="98" t="s">
        <v>264</v>
      </c>
      <c r="E110" s="110" t="s">
        <v>794</v>
      </c>
      <c r="F110" s="99" t="n">
        <v>16.66</v>
      </c>
      <c r="G110" s="98" t="s">
        <v>244</v>
      </c>
      <c r="H110" s="112" t="n">
        <f aca="false">IF(AND(AE110="yes",ISNUMBER(AD110)),AD110,"")</f>
        <v>16.66</v>
      </c>
      <c r="I110" s="95" t="n">
        <f aca="false">IF(AND(AE110="yes",ISNUMBER(AD110),ISNUMBER(INDEX(Sources!$G$7:$G$10,MATCH(AB110,Sources!$B$7:$B$10,0)))),ROUND(AD110/INDEX(Sources!$G$7:$G$10,MATCH(AB110,Sources!$B$7:$B$10,0)),6),"")</f>
        <v>16.66</v>
      </c>
      <c r="J110" s="98" t="s">
        <v>702</v>
      </c>
      <c r="K110" s="98" t="s">
        <v>586</v>
      </c>
      <c r="L110" s="96"/>
      <c r="M110" s="110" t="s">
        <v>795</v>
      </c>
      <c r="N110" s="117" t="s">
        <v>796</v>
      </c>
      <c r="O110" s="110" t="s">
        <v>388</v>
      </c>
      <c r="P110" s="110" t="s">
        <v>590</v>
      </c>
      <c r="Q110" s="118"/>
      <c r="R110" s="110" t="n">
        <v>1</v>
      </c>
      <c r="S110" s="110"/>
      <c r="T110" s="110" t="s">
        <v>702</v>
      </c>
      <c r="U110" s="110" t="s">
        <v>591</v>
      </c>
      <c r="V110" s="119" t="n">
        <v>16.66</v>
      </c>
      <c r="W110" s="119"/>
      <c r="X110" s="110" t="s">
        <v>592</v>
      </c>
      <c r="Y110" s="110"/>
      <c r="Z110" s="110"/>
      <c r="AA110" s="110"/>
      <c r="AB110" s="110" t="s">
        <v>244</v>
      </c>
      <c r="AC110" s="110" t="s">
        <v>538</v>
      </c>
      <c r="AD110" s="110" t="n">
        <f aca="false">IF(ISNUMBER(V110),ROUND(V110,6),"")</f>
        <v>16.66</v>
      </c>
      <c r="AE110" s="110" t="str">
        <f aca="false">IF(AND(AC110="yes",ISNUMBER(F110),IF(Compare!$H$5="All mapped",TRUE(),IF(Compare!$H$5="EXACT only",J110="EXACT",OR(J110="EXACT",J110="CLOSE")))),"yes","no")</f>
        <v>yes</v>
      </c>
      <c r="AF110" s="110" t="n">
        <f aca="false">IF(ISNUMBER(H110),COUNTIFS($B$7:$B$3000,B110,$C$7:$C$3000,C110,$H$7:$H$3000,"&lt;"&amp;H110,$AH$7:$AH$3000,"yes")+COUNTIFS($B$7:B110,B110,$C$7:C110,C110,$H$7:H110,H110,$AH$7:AH110,"yes"),"")</f>
        <v>8</v>
      </c>
      <c r="AG110" s="110" t="n">
        <f aca="false">IF(ISNUMBER(I110),COUNTIFS($B$7:$B$3000,B110,$C$7:$C$3000,C110,$I$7:$I$3000,"&lt;"&amp;I110,$AI$7:$AI$3000,"yes")+COUNTIFS($B$7:B110,B110,$C$7:C110,C110,$I$7:I110,I110,$AI$7:AI110,"yes"),"")</f>
        <v>8</v>
      </c>
      <c r="AH110" s="110" t="str">
        <f aca="false">IF(ISNUMBER(H110),"yes","no")</f>
        <v>yes</v>
      </c>
      <c r="AI110" s="110" t="str">
        <f aca="false">IF(ISNUMBER(I110),"yes","no")</f>
        <v>yes</v>
      </c>
      <c r="AJ110" s="120" t="n">
        <v>46295</v>
      </c>
      <c r="AK110" s="110"/>
    </row>
    <row r="111" customFormat="false" ht="42" hidden="false" customHeight="true" outlineLevel="0" collapsed="false">
      <c r="A111" s="3"/>
      <c r="B111" s="31" t="s">
        <v>24</v>
      </c>
      <c r="C111" s="91" t="s">
        <v>15</v>
      </c>
      <c r="D111" s="91" t="s">
        <v>273</v>
      </c>
      <c r="E111" s="109" t="s">
        <v>797</v>
      </c>
      <c r="F111" s="92" t="n">
        <v>11.09</v>
      </c>
      <c r="G111" s="91" t="s">
        <v>244</v>
      </c>
      <c r="H111" s="112" t="n">
        <f aca="false">IF(AND(AE111="yes",ISNUMBER(AD111)),AD111,"")</f>
        <v>9.24</v>
      </c>
      <c r="I111" s="95" t="n">
        <f aca="false">IF(AND(AE111="yes",ISNUMBER(AD111),ISNUMBER(INDEX(Sources!$G$7:$G$10,MATCH(AB111,Sources!$B$7:$B$10,0)))),ROUND(AD111/INDEX(Sources!$G$7:$G$10,MATCH(AB111,Sources!$B$7:$B$10,0)),6),"")</f>
        <v>9.24</v>
      </c>
      <c r="J111" s="91" t="s">
        <v>530</v>
      </c>
      <c r="K111" s="91" t="s">
        <v>586</v>
      </c>
      <c r="L111" s="96"/>
      <c r="M111" s="109" t="s">
        <v>798</v>
      </c>
      <c r="N111" s="113" t="s">
        <v>799</v>
      </c>
      <c r="O111" s="109" t="s">
        <v>642</v>
      </c>
      <c r="P111" s="109" t="s">
        <v>265</v>
      </c>
      <c r="Q111" s="114"/>
      <c r="R111" s="109" t="n">
        <v>1</v>
      </c>
      <c r="S111" s="109"/>
      <c r="T111" s="109" t="s">
        <v>530</v>
      </c>
      <c r="U111" s="109" t="s">
        <v>591</v>
      </c>
      <c r="V111" s="115" t="n">
        <v>9.24</v>
      </c>
      <c r="W111" s="115"/>
      <c r="X111" s="109" t="s">
        <v>592</v>
      </c>
      <c r="Y111" s="109"/>
      <c r="Z111" s="109"/>
      <c r="AA111" s="109"/>
      <c r="AB111" s="109" t="s">
        <v>244</v>
      </c>
      <c r="AC111" s="109" t="s">
        <v>538</v>
      </c>
      <c r="AD111" s="109" t="n">
        <f aca="false">IF(ISNUMBER(V111),ROUND(V111,6),"")</f>
        <v>9.24</v>
      </c>
      <c r="AE111" s="109" t="str">
        <f aca="false">IF(AND(AC111="yes",ISNUMBER(F111),IF(Compare!$H$5="All mapped",TRUE(),IF(Compare!$H$5="EXACT only",J111="EXACT",OR(J111="EXACT",J111="CLOSE")))),"yes","no")</f>
        <v>yes</v>
      </c>
      <c r="AF111" s="109" t="n">
        <f aca="false">IF(ISNUMBER(H111),COUNTIFS($B$7:$B$3000,B111,$C$7:$C$3000,C111,$H$7:$H$3000,"&lt;"&amp;H111,$AH$7:$AH$3000,"yes")+COUNTIFS($B$7:B111,B111,$C$7:C111,C111,$H$7:H111,H111,$AH$7:AH111,"yes"),"")</f>
        <v>6</v>
      </c>
      <c r="AG111" s="109" t="n">
        <f aca="false">IF(ISNUMBER(I111),COUNTIFS($B$7:$B$3000,B111,$C$7:$C$3000,C111,$I$7:$I$3000,"&lt;"&amp;I111,$AI$7:$AI$3000,"yes")+COUNTIFS($B$7:B111,B111,$C$7:C111,C111,$I$7:I111,I111,$AI$7:AI111,"yes"),"")</f>
        <v>6</v>
      </c>
      <c r="AH111" s="109" t="str">
        <f aca="false">IF(ISNUMBER(H111),"yes","no")</f>
        <v>yes</v>
      </c>
      <c r="AI111" s="109" t="str">
        <f aca="false">IF(ISNUMBER(I111),"yes","no")</f>
        <v>yes</v>
      </c>
      <c r="AJ111" s="116" t="n">
        <v>46295</v>
      </c>
      <c r="AK111" s="109"/>
    </row>
    <row r="112" customFormat="false" ht="42" hidden="false" customHeight="true" outlineLevel="0" collapsed="false">
      <c r="A112" s="3"/>
      <c r="B112" s="36" t="s">
        <v>24</v>
      </c>
      <c r="C112" s="98" t="s">
        <v>15</v>
      </c>
      <c r="D112" s="98" t="s">
        <v>281</v>
      </c>
      <c r="E112" s="110" t="s">
        <v>800</v>
      </c>
      <c r="F112" s="99" t="n">
        <v>7.5</v>
      </c>
      <c r="G112" s="98" t="s">
        <v>244</v>
      </c>
      <c r="H112" s="112" t="n">
        <f aca="false">IF(AND(AE112="yes",ISNUMBER(AD112)),AD112,"")</f>
        <v>7.5</v>
      </c>
      <c r="I112" s="95" t="n">
        <f aca="false">IF(AND(AE112="yes",ISNUMBER(AD112),ISNUMBER(INDEX(Sources!$G$7:$G$10,MATCH(AB112,Sources!$B$7:$B$10,0)))),ROUND(AD112/INDEX(Sources!$G$7:$G$10,MATCH(AB112,Sources!$B$7:$B$10,0)),6),"")</f>
        <v>7.5</v>
      </c>
      <c r="J112" s="98" t="s">
        <v>530</v>
      </c>
      <c r="K112" s="98" t="s">
        <v>586</v>
      </c>
      <c r="L112" s="96"/>
      <c r="M112" s="110" t="s">
        <v>801</v>
      </c>
      <c r="N112" s="117" t="s">
        <v>802</v>
      </c>
      <c r="O112" s="110" t="s">
        <v>603</v>
      </c>
      <c r="P112" s="110" t="s">
        <v>590</v>
      </c>
      <c r="Q112" s="118"/>
      <c r="R112" s="110" t="n">
        <v>1</v>
      </c>
      <c r="S112" s="110"/>
      <c r="T112" s="110" t="s">
        <v>530</v>
      </c>
      <c r="U112" s="110" t="s">
        <v>591</v>
      </c>
      <c r="V112" s="119" t="n">
        <v>7.5</v>
      </c>
      <c r="W112" s="119"/>
      <c r="X112" s="110" t="s">
        <v>592</v>
      </c>
      <c r="Y112" s="110"/>
      <c r="Z112" s="110"/>
      <c r="AA112" s="110"/>
      <c r="AB112" s="110" t="s">
        <v>244</v>
      </c>
      <c r="AC112" s="110" t="s">
        <v>538</v>
      </c>
      <c r="AD112" s="110" t="n">
        <f aca="false">IF(ISNUMBER(V112),ROUND(V112,6),"")</f>
        <v>7.5</v>
      </c>
      <c r="AE112" s="110" t="str">
        <f aca="false">IF(AND(AC112="yes",ISNUMBER(F112),IF(Compare!$H$5="All mapped",TRUE(),IF(Compare!$H$5="EXACT only",J112="EXACT",OR(J112="EXACT",J112="CLOSE")))),"yes","no")</f>
        <v>yes</v>
      </c>
      <c r="AF112" s="110" t="n">
        <f aca="false">IF(ISNUMBER(H112),COUNTIFS($B$7:$B$3000,B112,$C$7:$C$3000,C112,$H$7:$H$3000,"&lt;"&amp;H112,$AH$7:$AH$3000,"yes")+COUNTIFS($B$7:B112,B112,$C$7:C112,C112,$H$7:H112,H112,$AH$7:AH112,"yes"),"")</f>
        <v>5</v>
      </c>
      <c r="AG112" s="110" t="n">
        <f aca="false">IF(ISNUMBER(I112),COUNTIFS($B$7:$B$3000,B112,$C$7:$C$3000,C112,$I$7:$I$3000,"&lt;"&amp;I112,$AI$7:$AI$3000,"yes")+COUNTIFS($B$7:B112,B112,$C$7:C112,C112,$I$7:I112,I112,$AI$7:AI112,"yes"),"")</f>
        <v>5</v>
      </c>
      <c r="AH112" s="110" t="str">
        <f aca="false">IF(ISNUMBER(H112),"yes","no")</f>
        <v>yes</v>
      </c>
      <c r="AI112" s="110" t="str">
        <f aca="false">IF(ISNUMBER(I112),"yes","no")</f>
        <v>yes</v>
      </c>
      <c r="AJ112" s="120" t="n">
        <v>46295</v>
      </c>
      <c r="AK112" s="110"/>
    </row>
    <row r="113" customFormat="false" ht="42" hidden="false" customHeight="true" outlineLevel="0" collapsed="false">
      <c r="A113" s="3"/>
      <c r="B113" s="31" t="s">
        <v>24</v>
      </c>
      <c r="C113" s="91" t="s">
        <v>15</v>
      </c>
      <c r="D113" s="91" t="s">
        <v>293</v>
      </c>
      <c r="E113" s="109" t="s">
        <v>803</v>
      </c>
      <c r="F113" s="92" t="n">
        <v>5</v>
      </c>
      <c r="G113" s="91" t="s">
        <v>244</v>
      </c>
      <c r="H113" s="112" t="n">
        <f aca="false">IF(AND(AE113="yes",ISNUMBER(AD113)),AD113,"")</f>
        <v>5</v>
      </c>
      <c r="I113" s="95" t="n">
        <f aca="false">IF(AND(AE113="yes",ISNUMBER(AD113),ISNUMBER(INDEX(Sources!$G$7:$G$10,MATCH(AB113,Sources!$B$7:$B$10,0)))),ROUND(AD113/INDEX(Sources!$G$7:$G$10,MATCH(AB113,Sources!$B$7:$B$10,0)),6),"")</f>
        <v>5</v>
      </c>
      <c r="J113" s="91" t="s">
        <v>530</v>
      </c>
      <c r="K113" s="91" t="s">
        <v>586</v>
      </c>
      <c r="L113" s="96"/>
      <c r="M113" s="109" t="s">
        <v>804</v>
      </c>
      <c r="N113" s="113" t="s">
        <v>805</v>
      </c>
      <c r="O113" s="109" t="s">
        <v>589</v>
      </c>
      <c r="P113" s="109" t="s">
        <v>590</v>
      </c>
      <c r="Q113" s="114"/>
      <c r="R113" s="109" t="n">
        <v>1</v>
      </c>
      <c r="S113" s="109"/>
      <c r="T113" s="109" t="s">
        <v>530</v>
      </c>
      <c r="U113" s="109" t="s">
        <v>591</v>
      </c>
      <c r="V113" s="115" t="n">
        <v>5</v>
      </c>
      <c r="W113" s="115"/>
      <c r="X113" s="109" t="s">
        <v>592</v>
      </c>
      <c r="Y113" s="109"/>
      <c r="Z113" s="109"/>
      <c r="AA113" s="109"/>
      <c r="AB113" s="109" t="s">
        <v>244</v>
      </c>
      <c r="AC113" s="109" t="s">
        <v>538</v>
      </c>
      <c r="AD113" s="109" t="n">
        <f aca="false">IF(ISNUMBER(V113),ROUND(V113,6),"")</f>
        <v>5</v>
      </c>
      <c r="AE113" s="109" t="str">
        <f aca="false">IF(AND(AC113="yes",ISNUMBER(F113),IF(Compare!$H$5="All mapped",TRUE(),IF(Compare!$H$5="EXACT only",J113="EXACT",OR(J113="EXACT",J113="CLOSE")))),"yes","no")</f>
        <v>yes</v>
      </c>
      <c r="AF113" s="109" t="n">
        <f aca="false">IF(ISNUMBER(H113),COUNTIFS($B$7:$B$3000,B113,$C$7:$C$3000,C113,$H$7:$H$3000,"&lt;"&amp;H113,$AH$7:$AH$3000,"yes")+COUNTIFS($B$7:B113,B113,$C$7:C113,C113,$H$7:H113,H113,$AH$7:AH113,"yes"),"")</f>
        <v>2</v>
      </c>
      <c r="AG113" s="109" t="n">
        <f aca="false">IF(ISNUMBER(I113),COUNTIFS($B$7:$B$3000,B113,$C$7:$C$3000,C113,$I$7:$I$3000,"&lt;"&amp;I113,$AI$7:$AI$3000,"yes")+COUNTIFS($B$7:B113,B113,$C$7:C113,C113,$I$7:I113,I113,$AI$7:AI113,"yes"),"")</f>
        <v>2</v>
      </c>
      <c r="AH113" s="109" t="str">
        <f aca="false">IF(ISNUMBER(H113),"yes","no")</f>
        <v>yes</v>
      </c>
      <c r="AI113" s="109" t="str">
        <f aca="false">IF(ISNUMBER(I113),"yes","no")</f>
        <v>yes</v>
      </c>
      <c r="AJ113" s="116" t="n">
        <v>46295</v>
      </c>
      <c r="AK113" s="109"/>
    </row>
    <row r="114" customFormat="false" ht="42" hidden="false" customHeight="true" outlineLevel="0" collapsed="false">
      <c r="A114" s="3"/>
      <c r="B114" s="36" t="s">
        <v>24</v>
      </c>
      <c r="C114" s="98" t="s">
        <v>16</v>
      </c>
      <c r="D114" s="98" t="s">
        <v>317</v>
      </c>
      <c r="E114" s="110" t="s">
        <v>806</v>
      </c>
      <c r="F114" s="99" t="n">
        <v>27.99</v>
      </c>
      <c r="G114" s="98" t="s">
        <v>244</v>
      </c>
      <c r="H114" s="112" t="n">
        <f aca="false">IF(AND(AE114="yes",ISNUMBER(AD114)),AD114,"")</f>
        <v>2.33</v>
      </c>
      <c r="I114" s="95" t="n">
        <f aca="false">IF(AND(AE114="yes",ISNUMBER(AD114),ISNUMBER(INDEX(Sources!$G$7:$G$10,MATCH(AB114,Sources!$B$7:$B$10,0)))),ROUND(AD114/INDEX(Sources!$G$7:$G$10,MATCH(AB114,Sources!$B$7:$B$10,0)),6),"")</f>
        <v>2.33</v>
      </c>
      <c r="J114" s="98" t="s">
        <v>530</v>
      </c>
      <c r="K114" s="98" t="s">
        <v>586</v>
      </c>
      <c r="L114" s="96"/>
      <c r="M114" s="110" t="s">
        <v>807</v>
      </c>
      <c r="N114" s="117" t="s">
        <v>808</v>
      </c>
      <c r="O114" s="110" t="s">
        <v>610</v>
      </c>
      <c r="P114" s="110" t="s">
        <v>590</v>
      </c>
      <c r="Q114" s="118"/>
      <c r="R114" s="110" t="n">
        <v>12</v>
      </c>
      <c r="S114" s="110" t="s">
        <v>809</v>
      </c>
      <c r="T114" s="110" t="s">
        <v>530</v>
      </c>
      <c r="U114" s="110" t="s">
        <v>810</v>
      </c>
      <c r="V114" s="119" t="n">
        <v>2.33</v>
      </c>
      <c r="W114" s="119"/>
      <c r="X114" s="110" t="s">
        <v>612</v>
      </c>
      <c r="Y114" s="110"/>
      <c r="Z114" s="110"/>
      <c r="AA114" s="110"/>
      <c r="AB114" s="110" t="s">
        <v>244</v>
      </c>
      <c r="AC114" s="110" t="s">
        <v>538</v>
      </c>
      <c r="AD114" s="110" t="n">
        <f aca="false">IF(ISNUMBER(V114),ROUND(V114,6),"")</f>
        <v>2.33</v>
      </c>
      <c r="AE114" s="110" t="str">
        <f aca="false">IF(AND(AC114="yes",ISNUMBER(F114),IF(Compare!$H$5="All mapped",TRUE(),IF(Compare!$H$5="EXACT only",J114="EXACT",OR(J114="EXACT",J114="CLOSE")))),"yes","no")</f>
        <v>yes</v>
      </c>
      <c r="AF114" s="110" t="n">
        <f aca="false">IF(ISNUMBER(H114),COUNTIFS($B$7:$B$3000,B114,$C$7:$C$3000,C114,$H$7:$H$3000,"&lt;"&amp;H114,$AH$7:$AH$3000,"yes")+COUNTIFS($B$7:B114,B114,$C$7:C114,C114,$H$7:H114,H114,$AH$7:AH114,"yes"),"")</f>
        <v>1</v>
      </c>
      <c r="AG114" s="110" t="n">
        <f aca="false">IF(ISNUMBER(I114),COUNTIFS($B$7:$B$3000,B114,$C$7:$C$3000,C114,$I$7:$I$3000,"&lt;"&amp;I114,$AI$7:$AI$3000,"yes")+COUNTIFS($B$7:B114,B114,$C$7:C114,C114,$I$7:I114,I114,$AI$7:AI114,"yes"),"")</f>
        <v>1</v>
      </c>
      <c r="AH114" s="110" t="str">
        <f aca="false">IF(ISNUMBER(H114),"yes","no")</f>
        <v>yes</v>
      </c>
      <c r="AI114" s="110" t="str">
        <f aca="false">IF(ISNUMBER(I114),"yes","no")</f>
        <v>yes</v>
      </c>
      <c r="AJ114" s="120" t="n">
        <v>46295</v>
      </c>
      <c r="AK114" s="110"/>
    </row>
    <row r="115" customFormat="false" ht="42" hidden="false" customHeight="true" outlineLevel="0" collapsed="false">
      <c r="A115" s="3"/>
      <c r="B115" s="31" t="s">
        <v>24</v>
      </c>
      <c r="C115" s="91" t="s">
        <v>16</v>
      </c>
      <c r="D115" s="91" t="s">
        <v>311</v>
      </c>
      <c r="E115" s="109" t="s">
        <v>791</v>
      </c>
      <c r="F115" s="92" t="n">
        <v>5.29</v>
      </c>
      <c r="G115" s="91" t="s">
        <v>244</v>
      </c>
      <c r="H115" s="112" t="n">
        <f aca="false">IF(AND(AE115="yes",ISNUMBER(AD115)),AD115,"")</f>
        <v>5.29</v>
      </c>
      <c r="I115" s="95" t="n">
        <f aca="false">IF(AND(AE115="yes",ISNUMBER(AD115),ISNUMBER(INDEX(Sources!$G$7:$G$10,MATCH(AB115,Sources!$B$7:$B$10,0)))),ROUND(AD115/INDEX(Sources!$G$7:$G$10,MATCH(AB115,Sources!$B$7:$B$10,0)),6),"")</f>
        <v>5.29</v>
      </c>
      <c r="J115" s="91" t="s">
        <v>530</v>
      </c>
      <c r="K115" s="91" t="s">
        <v>586</v>
      </c>
      <c r="L115" s="96"/>
      <c r="M115" s="109" t="s">
        <v>792</v>
      </c>
      <c r="N115" s="113" t="s">
        <v>811</v>
      </c>
      <c r="O115" s="109" t="s">
        <v>589</v>
      </c>
      <c r="P115" s="109" t="s">
        <v>590</v>
      </c>
      <c r="Q115" s="114"/>
      <c r="R115" s="109" t="n">
        <v>1</v>
      </c>
      <c r="S115" s="109"/>
      <c r="T115" s="109" t="s">
        <v>530</v>
      </c>
      <c r="U115" s="109" t="s">
        <v>591</v>
      </c>
      <c r="V115" s="115" t="n">
        <v>5.29</v>
      </c>
      <c r="W115" s="115"/>
      <c r="X115" s="109" t="s">
        <v>612</v>
      </c>
      <c r="Y115" s="109"/>
      <c r="Z115" s="109"/>
      <c r="AA115" s="109"/>
      <c r="AB115" s="109" t="s">
        <v>244</v>
      </c>
      <c r="AC115" s="109" t="s">
        <v>538</v>
      </c>
      <c r="AD115" s="109" t="n">
        <f aca="false">IF(ISNUMBER(V115),ROUND(V115,6),"")</f>
        <v>5.29</v>
      </c>
      <c r="AE115" s="109" t="str">
        <f aca="false">IF(AND(AC115="yes",ISNUMBER(F115),IF(Compare!$H$5="All mapped",TRUE(),IF(Compare!$H$5="EXACT only",J115="EXACT",OR(J115="EXACT",J115="CLOSE")))),"yes","no")</f>
        <v>yes</v>
      </c>
      <c r="AF115" s="109" t="n">
        <f aca="false">IF(ISNUMBER(H115),COUNTIFS($B$7:$B$3000,B115,$C$7:$C$3000,C115,$H$7:$H$3000,"&lt;"&amp;H115,$AH$7:$AH$3000,"yes")+COUNTIFS($B$7:B115,B115,$C$7:C115,C115,$H$7:H115,H115,$AH$7:AH115,"yes"),"")</f>
        <v>4</v>
      </c>
      <c r="AG115" s="109" t="n">
        <f aca="false">IF(ISNUMBER(I115),COUNTIFS($B$7:$B$3000,B115,$C$7:$C$3000,C115,$I$7:$I$3000,"&lt;"&amp;I115,$AI$7:$AI$3000,"yes")+COUNTIFS($B$7:B115,B115,$C$7:C115,C115,$I$7:I115,I115,$AI$7:AI115,"yes"),"")</f>
        <v>4</v>
      </c>
      <c r="AH115" s="109" t="str">
        <f aca="false">IF(ISNUMBER(H115),"yes","no")</f>
        <v>yes</v>
      </c>
      <c r="AI115" s="109" t="str">
        <f aca="false">IF(ISNUMBER(I115),"yes","no")</f>
        <v>yes</v>
      </c>
      <c r="AJ115" s="116" t="n">
        <v>46295</v>
      </c>
      <c r="AK115" s="109"/>
    </row>
    <row r="116" customFormat="false" ht="42" hidden="false" customHeight="true" outlineLevel="0" collapsed="false">
      <c r="A116" s="3"/>
      <c r="B116" s="36" t="s">
        <v>24</v>
      </c>
      <c r="C116" s="98" t="s">
        <v>16</v>
      </c>
      <c r="D116" s="98" t="s">
        <v>309</v>
      </c>
      <c r="E116" s="110" t="s">
        <v>794</v>
      </c>
      <c r="F116" s="99" t="n">
        <v>16.66</v>
      </c>
      <c r="G116" s="98" t="s">
        <v>244</v>
      </c>
      <c r="H116" s="112" t="n">
        <f aca="false">IF(AND(AE116="yes",ISNUMBER(AD116)),AD116,"")</f>
        <v>16.66</v>
      </c>
      <c r="I116" s="95" t="n">
        <f aca="false">IF(AND(AE116="yes",ISNUMBER(AD116),ISNUMBER(INDEX(Sources!$G$7:$G$10,MATCH(AB116,Sources!$B$7:$B$10,0)))),ROUND(AD116/INDEX(Sources!$G$7:$G$10,MATCH(AB116,Sources!$B$7:$B$10,0)),6),"")</f>
        <v>16.66</v>
      </c>
      <c r="J116" s="98" t="s">
        <v>702</v>
      </c>
      <c r="K116" s="98" t="s">
        <v>586</v>
      </c>
      <c r="L116" s="96"/>
      <c r="M116" s="110" t="s">
        <v>795</v>
      </c>
      <c r="N116" s="117" t="s">
        <v>796</v>
      </c>
      <c r="O116" s="110" t="s">
        <v>388</v>
      </c>
      <c r="P116" s="110" t="s">
        <v>590</v>
      </c>
      <c r="Q116" s="118"/>
      <c r="R116" s="110" t="n">
        <v>1</v>
      </c>
      <c r="S116" s="110"/>
      <c r="T116" s="110" t="s">
        <v>702</v>
      </c>
      <c r="U116" s="110" t="s">
        <v>591</v>
      </c>
      <c r="V116" s="119" t="n">
        <v>16.66</v>
      </c>
      <c r="W116" s="119"/>
      <c r="X116" s="110" t="s">
        <v>612</v>
      </c>
      <c r="Y116" s="110"/>
      <c r="Z116" s="110"/>
      <c r="AA116" s="110"/>
      <c r="AB116" s="110" t="s">
        <v>244</v>
      </c>
      <c r="AC116" s="110" t="s">
        <v>538</v>
      </c>
      <c r="AD116" s="110" t="n">
        <f aca="false">IF(ISNUMBER(V116),ROUND(V116,6),"")</f>
        <v>16.66</v>
      </c>
      <c r="AE116" s="110" t="str">
        <f aca="false">IF(AND(AC116="yes",ISNUMBER(F116),IF(Compare!$H$5="All mapped",TRUE(),IF(Compare!$H$5="EXACT only",J116="EXACT",OR(J116="EXACT",J116="CLOSE")))),"yes","no")</f>
        <v>yes</v>
      </c>
      <c r="AF116" s="110" t="n">
        <f aca="false">IF(ISNUMBER(H116),COUNTIFS($B$7:$B$3000,B116,$C$7:$C$3000,C116,$H$7:$H$3000,"&lt;"&amp;H116,$AH$7:$AH$3000,"yes")+COUNTIFS($B$7:B116,B116,$C$7:C116,C116,$H$7:H116,H116,$AH$7:AH116,"yes"),"")</f>
        <v>9</v>
      </c>
      <c r="AG116" s="110" t="n">
        <f aca="false">IF(ISNUMBER(I116),COUNTIFS($B$7:$B$3000,B116,$C$7:$C$3000,C116,$I$7:$I$3000,"&lt;"&amp;I116,$AI$7:$AI$3000,"yes")+COUNTIFS($B$7:B116,B116,$C$7:C116,C116,$I$7:I116,I116,$AI$7:AI116,"yes"),"")</f>
        <v>9</v>
      </c>
      <c r="AH116" s="110" t="str">
        <f aca="false">IF(ISNUMBER(H116),"yes","no")</f>
        <v>yes</v>
      </c>
      <c r="AI116" s="110" t="str">
        <f aca="false">IF(ISNUMBER(I116),"yes","no")</f>
        <v>yes</v>
      </c>
      <c r="AJ116" s="120" t="n">
        <v>46295</v>
      </c>
      <c r="AK116" s="110"/>
    </row>
    <row r="117" customFormat="false" ht="42" hidden="false" customHeight="true" outlineLevel="0" collapsed="false">
      <c r="A117" s="3"/>
      <c r="B117" s="31" t="s">
        <v>24</v>
      </c>
      <c r="C117" s="91" t="s">
        <v>16</v>
      </c>
      <c r="D117" s="91" t="s">
        <v>313</v>
      </c>
      <c r="E117" s="109" t="s">
        <v>797</v>
      </c>
      <c r="F117" s="92" t="n">
        <v>11.09</v>
      </c>
      <c r="G117" s="91" t="s">
        <v>244</v>
      </c>
      <c r="H117" s="112" t="n">
        <f aca="false">IF(AND(AE117="yes",ISNUMBER(AD117)),AD117,"")</f>
        <v>9.32</v>
      </c>
      <c r="I117" s="95" t="n">
        <f aca="false">IF(AND(AE117="yes",ISNUMBER(AD117),ISNUMBER(INDEX(Sources!$G$7:$G$10,MATCH(AB117,Sources!$B$7:$B$10,0)))),ROUND(AD117/INDEX(Sources!$G$7:$G$10,MATCH(AB117,Sources!$B$7:$B$10,0)),6),"")</f>
        <v>9.32</v>
      </c>
      <c r="J117" s="91" t="s">
        <v>530</v>
      </c>
      <c r="K117" s="91" t="s">
        <v>586</v>
      </c>
      <c r="L117" s="96"/>
      <c r="M117" s="109" t="s">
        <v>798</v>
      </c>
      <c r="N117" s="113" t="s">
        <v>812</v>
      </c>
      <c r="O117" s="109" t="s">
        <v>642</v>
      </c>
      <c r="P117" s="109" t="s">
        <v>265</v>
      </c>
      <c r="Q117" s="114"/>
      <c r="R117" s="109" t="n">
        <v>1</v>
      </c>
      <c r="S117" s="109"/>
      <c r="T117" s="109" t="s">
        <v>530</v>
      </c>
      <c r="U117" s="109" t="s">
        <v>591</v>
      </c>
      <c r="V117" s="115" t="n">
        <v>9.32</v>
      </c>
      <c r="W117" s="115"/>
      <c r="X117" s="109" t="s">
        <v>612</v>
      </c>
      <c r="Y117" s="109"/>
      <c r="Z117" s="109"/>
      <c r="AA117" s="109"/>
      <c r="AB117" s="109" t="s">
        <v>244</v>
      </c>
      <c r="AC117" s="109" t="s">
        <v>538</v>
      </c>
      <c r="AD117" s="109" t="n">
        <f aca="false">IF(ISNUMBER(V117),ROUND(V117,6),"")</f>
        <v>9.32</v>
      </c>
      <c r="AE117" s="109" t="str">
        <f aca="false">IF(AND(AC117="yes",ISNUMBER(F117),IF(Compare!$H$5="All mapped",TRUE(),IF(Compare!$H$5="EXACT only",J117="EXACT",OR(J117="EXACT",J117="CLOSE")))),"yes","no")</f>
        <v>yes</v>
      </c>
      <c r="AF117" s="109" t="n">
        <f aca="false">IF(ISNUMBER(H117),COUNTIFS($B$7:$B$3000,B117,$C$7:$C$3000,C117,$H$7:$H$3000,"&lt;"&amp;H117,$AH$7:$AH$3000,"yes")+COUNTIFS($B$7:B117,B117,$C$7:C117,C117,$H$7:H117,H117,$AH$7:AH117,"yes"),"")</f>
        <v>6</v>
      </c>
      <c r="AG117" s="109" t="n">
        <f aca="false">IF(ISNUMBER(I117),COUNTIFS($B$7:$B$3000,B117,$C$7:$C$3000,C117,$I$7:$I$3000,"&lt;"&amp;I117,$AI$7:$AI$3000,"yes")+COUNTIFS($B$7:B117,B117,$C$7:C117,C117,$I$7:I117,I117,$AI$7:AI117,"yes"),"")</f>
        <v>6</v>
      </c>
      <c r="AH117" s="109" t="str">
        <f aca="false">IF(ISNUMBER(H117),"yes","no")</f>
        <v>yes</v>
      </c>
      <c r="AI117" s="109" t="str">
        <f aca="false">IF(ISNUMBER(I117),"yes","no")</f>
        <v>yes</v>
      </c>
      <c r="AJ117" s="116" t="n">
        <v>46295</v>
      </c>
      <c r="AK117" s="109"/>
    </row>
    <row r="118" customFormat="false" ht="42" hidden="false" customHeight="true" outlineLevel="0" collapsed="false">
      <c r="A118" s="3"/>
      <c r="B118" s="36" t="s">
        <v>24</v>
      </c>
      <c r="C118" s="98" t="s">
        <v>16</v>
      </c>
      <c r="D118" s="98" t="s">
        <v>321</v>
      </c>
      <c r="E118" s="110" t="s">
        <v>800</v>
      </c>
      <c r="F118" s="99" t="n">
        <v>7.5</v>
      </c>
      <c r="G118" s="98" t="s">
        <v>244</v>
      </c>
      <c r="H118" s="112" t="n">
        <f aca="false">IF(AND(AE118="yes",ISNUMBER(AD118)),AD118,"")</f>
        <v>7.5</v>
      </c>
      <c r="I118" s="95" t="n">
        <f aca="false">IF(AND(AE118="yes",ISNUMBER(AD118),ISNUMBER(INDEX(Sources!$G$7:$G$10,MATCH(AB118,Sources!$B$7:$B$10,0)))),ROUND(AD118/INDEX(Sources!$G$7:$G$10,MATCH(AB118,Sources!$B$7:$B$10,0)),6),"")</f>
        <v>7.5</v>
      </c>
      <c r="J118" s="98" t="s">
        <v>530</v>
      </c>
      <c r="K118" s="98" t="s">
        <v>586</v>
      </c>
      <c r="L118" s="96"/>
      <c r="M118" s="110"/>
      <c r="N118" s="117" t="s">
        <v>813</v>
      </c>
      <c r="O118" s="110" t="s">
        <v>603</v>
      </c>
      <c r="P118" s="110" t="s">
        <v>590</v>
      </c>
      <c r="Q118" s="118"/>
      <c r="R118" s="110" t="n">
        <v>1</v>
      </c>
      <c r="S118" s="110"/>
      <c r="T118" s="110" t="s">
        <v>530</v>
      </c>
      <c r="U118" s="110" t="s">
        <v>591</v>
      </c>
      <c r="V118" s="119" t="n">
        <v>7.5</v>
      </c>
      <c r="W118" s="119"/>
      <c r="X118" s="110" t="s">
        <v>612</v>
      </c>
      <c r="Y118" s="110"/>
      <c r="Z118" s="110"/>
      <c r="AA118" s="110"/>
      <c r="AB118" s="110" t="s">
        <v>244</v>
      </c>
      <c r="AC118" s="110" t="s">
        <v>538</v>
      </c>
      <c r="AD118" s="110" t="n">
        <f aca="false">IF(ISNUMBER(V118),ROUND(V118,6),"")</f>
        <v>7.5</v>
      </c>
      <c r="AE118" s="110" t="str">
        <f aca="false">IF(AND(AC118="yes",ISNUMBER(F118),IF(Compare!$H$5="All mapped",TRUE(),IF(Compare!$H$5="EXACT only",J118="EXACT",OR(J118="EXACT",J118="CLOSE")))),"yes","no")</f>
        <v>yes</v>
      </c>
      <c r="AF118" s="110" t="n">
        <f aca="false">IF(ISNUMBER(H118),COUNTIFS($B$7:$B$3000,B118,$C$7:$C$3000,C118,$H$7:$H$3000,"&lt;"&amp;H118,$AH$7:$AH$3000,"yes")+COUNTIFS($B$7:B118,B118,$C$7:C118,C118,$H$7:H118,H118,$AH$7:AH118,"yes"),"")</f>
        <v>5</v>
      </c>
      <c r="AG118" s="110" t="n">
        <f aca="false">IF(ISNUMBER(I118),COUNTIFS($B$7:$B$3000,B118,$C$7:$C$3000,C118,$I$7:$I$3000,"&lt;"&amp;I118,$AI$7:$AI$3000,"yes")+COUNTIFS($B$7:B118,B118,$C$7:C118,C118,$I$7:I118,I118,$AI$7:AI118,"yes"),"")</f>
        <v>5</v>
      </c>
      <c r="AH118" s="110" t="str">
        <f aca="false">IF(ISNUMBER(H118),"yes","no")</f>
        <v>yes</v>
      </c>
      <c r="AI118" s="110" t="str">
        <f aca="false">IF(ISNUMBER(I118),"yes","no")</f>
        <v>yes</v>
      </c>
      <c r="AJ118" s="120" t="n">
        <v>46295</v>
      </c>
      <c r="AK118" s="110"/>
    </row>
    <row r="119" customFormat="false" ht="42" hidden="false" customHeight="true" outlineLevel="0" collapsed="false">
      <c r="A119" s="3"/>
      <c r="B119" s="31" t="s">
        <v>24</v>
      </c>
      <c r="C119" s="91" t="s">
        <v>16</v>
      </c>
      <c r="D119" s="91" t="s">
        <v>329</v>
      </c>
      <c r="E119" s="109" t="s">
        <v>814</v>
      </c>
      <c r="F119" s="92" t="n">
        <v>4.99</v>
      </c>
      <c r="G119" s="91" t="s">
        <v>244</v>
      </c>
      <c r="H119" s="112" t="n">
        <f aca="false">IF(AND(AE119="yes",ISNUMBER(AD119)),AD119,"")</f>
        <v>4.99</v>
      </c>
      <c r="I119" s="95" t="n">
        <f aca="false">IF(AND(AE119="yes",ISNUMBER(AD119),ISNUMBER(INDEX(Sources!$G$7:$G$10,MATCH(AB119,Sources!$B$7:$B$10,0)))),ROUND(AD119/INDEX(Sources!$G$7:$G$10,MATCH(AB119,Sources!$B$7:$B$10,0)),6),"")</f>
        <v>4.99</v>
      </c>
      <c r="J119" s="91" t="s">
        <v>530</v>
      </c>
      <c r="K119" s="91" t="s">
        <v>586</v>
      </c>
      <c r="L119" s="96"/>
      <c r="M119" s="109" t="s">
        <v>815</v>
      </c>
      <c r="N119" s="113" t="s">
        <v>816</v>
      </c>
      <c r="O119" s="109" t="s">
        <v>817</v>
      </c>
      <c r="P119" s="109" t="s">
        <v>590</v>
      </c>
      <c r="Q119" s="114"/>
      <c r="R119" s="109" t="n">
        <v>1</v>
      </c>
      <c r="S119" s="109"/>
      <c r="T119" s="109" t="s">
        <v>530</v>
      </c>
      <c r="U119" s="109" t="s">
        <v>591</v>
      </c>
      <c r="V119" s="115" t="n">
        <v>4.99</v>
      </c>
      <c r="W119" s="115"/>
      <c r="X119" s="109" t="s">
        <v>612</v>
      </c>
      <c r="Y119" s="109"/>
      <c r="Z119" s="109"/>
      <c r="AA119" s="109"/>
      <c r="AB119" s="109" t="s">
        <v>244</v>
      </c>
      <c r="AC119" s="109" t="s">
        <v>538</v>
      </c>
      <c r="AD119" s="109" t="n">
        <f aca="false">IF(ISNUMBER(V119),ROUND(V119,6),"")</f>
        <v>4.99</v>
      </c>
      <c r="AE119" s="109" t="str">
        <f aca="false">IF(AND(AC119="yes",ISNUMBER(F119),IF(Compare!$H$5="All mapped",TRUE(),IF(Compare!$H$5="EXACT only",J119="EXACT",OR(J119="EXACT",J119="CLOSE")))),"yes","no")</f>
        <v>yes</v>
      </c>
      <c r="AF119" s="109" t="n">
        <f aca="false">IF(ISNUMBER(H119),COUNTIFS($B$7:$B$3000,B119,$C$7:$C$3000,C119,$H$7:$H$3000,"&lt;"&amp;H119,$AH$7:$AH$3000,"yes")+COUNTIFS($B$7:B119,B119,$C$7:C119,C119,$H$7:H119,H119,$AH$7:AH119,"yes"),"")</f>
        <v>3</v>
      </c>
      <c r="AG119" s="109" t="n">
        <f aca="false">IF(ISNUMBER(I119),COUNTIFS($B$7:$B$3000,B119,$C$7:$C$3000,C119,$I$7:$I$3000,"&lt;"&amp;I119,$AI$7:$AI$3000,"yes")+COUNTIFS($B$7:B119,B119,$C$7:C119,C119,$I$7:I119,I119,$AI$7:AI119,"yes"),"")</f>
        <v>3</v>
      </c>
      <c r="AH119" s="109" t="str">
        <f aca="false">IF(ISNUMBER(H119),"yes","no")</f>
        <v>yes</v>
      </c>
      <c r="AI119" s="109" t="str">
        <f aca="false">IF(ISNUMBER(I119),"yes","no")</f>
        <v>yes</v>
      </c>
      <c r="AJ119" s="116" t="n">
        <v>46295</v>
      </c>
      <c r="AK119" s="109"/>
    </row>
    <row r="120" customFormat="false" ht="61.5" hidden="false" customHeight="true" outlineLevel="0" collapsed="false">
      <c r="A120" s="3"/>
      <c r="B120" s="36" t="s">
        <v>24</v>
      </c>
      <c r="C120" s="98" t="s">
        <v>17</v>
      </c>
      <c r="D120" s="98" t="s">
        <v>354</v>
      </c>
      <c r="E120" s="110" t="s">
        <v>818</v>
      </c>
      <c r="F120" s="99" t="n">
        <v>802.94</v>
      </c>
      <c r="G120" s="98" t="s">
        <v>333</v>
      </c>
      <c r="H120" s="112" t="n">
        <f aca="false">IF(AND(AE120="yes",ISNUMBER(AD120)),AD120,"")</f>
        <v>133.82</v>
      </c>
      <c r="I120" s="95" t="n">
        <f aca="false">IF(AND(AE120="yes",ISNUMBER(AD120),ISNUMBER(INDEX(Sources!$G$7:$G$10,MATCH(AB120,Sources!$B$7:$B$10,0)))),ROUND(AD120/INDEX(Sources!$G$7:$G$10,MATCH(AB120,Sources!$B$7:$B$10,0)),6),"")</f>
        <v>5.479123</v>
      </c>
      <c r="J120" s="98" t="s">
        <v>530</v>
      </c>
      <c r="K120" s="98" t="s">
        <v>586</v>
      </c>
      <c r="L120" s="96"/>
      <c r="M120" s="110" t="s">
        <v>819</v>
      </c>
      <c r="N120" s="117" t="s">
        <v>820</v>
      </c>
      <c r="O120" s="110" t="s">
        <v>642</v>
      </c>
      <c r="P120" s="110" t="s">
        <v>590</v>
      </c>
      <c r="Q120" s="118" t="n">
        <v>0.19</v>
      </c>
      <c r="R120" s="110" t="n">
        <v>6</v>
      </c>
      <c r="S120" s="110" t="s">
        <v>625</v>
      </c>
      <c r="T120" s="110" t="s">
        <v>530</v>
      </c>
      <c r="U120" s="110" t="s">
        <v>591</v>
      </c>
      <c r="V120" s="119"/>
      <c r="W120" s="119"/>
      <c r="X120" s="110" t="s">
        <v>626</v>
      </c>
      <c r="Y120" s="110"/>
      <c r="Z120" s="110"/>
      <c r="AA120" s="110"/>
      <c r="AB120" s="110" t="s">
        <v>333</v>
      </c>
      <c r="AC120" s="110" t="s">
        <v>538</v>
      </c>
      <c r="AD120" s="110" t="n">
        <f aca="false">IF(OR(F120="",Q120="",R120=""),"",ROUND(IF(P120="incl.",F120/(1+Q120),F120)/IF(S120="per pack",R120,1),2))</f>
        <v>133.82</v>
      </c>
      <c r="AE120" s="110" t="str">
        <f aca="false">IF(AND(AC120="yes",ISNUMBER(F120),IF(Compare!$H$5="All mapped",TRUE(),IF(Compare!$H$5="EXACT only",J120="EXACT",OR(J120="EXACT",J120="CLOSE")))),"yes","no")</f>
        <v>yes</v>
      </c>
      <c r="AF120" s="110" t="n">
        <f aca="false">IF(ISNUMBER(H120),COUNTIFS($B$7:$B$3000,B120,$C$7:$C$3000,C120,$H$7:$H$3000,"&lt;"&amp;H120,$AH$7:$AH$3000,"yes")+COUNTIFS($B$7:B120,B120,$C$7:C120,C120,$H$7:H120,H120,$AH$7:AH120,"yes"),"")</f>
        <v>5</v>
      </c>
      <c r="AG120" s="110" t="n">
        <f aca="false">IF(ISNUMBER(I120),COUNTIFS($B$7:$B$3000,B120,$C$7:$C$3000,C120,$I$7:$I$3000,"&lt;"&amp;I120,$AI$7:$AI$3000,"yes")+COUNTIFS($B$7:B120,B120,$C$7:C120,C120,$I$7:I120,I120,$AI$7:AI120,"yes"),"")</f>
        <v>5</v>
      </c>
      <c r="AH120" s="110" t="str">
        <f aca="false">IF(ISNUMBER(H120),"yes","no")</f>
        <v>yes</v>
      </c>
      <c r="AI120" s="110" t="str">
        <f aca="false">IF(ISNUMBER(I120),"yes","no")</f>
        <v>yes</v>
      </c>
      <c r="AJ120" s="120" t="n">
        <v>46295</v>
      </c>
      <c r="AK120" s="110"/>
    </row>
    <row r="121" customFormat="false" ht="42" hidden="false" customHeight="true" outlineLevel="0" collapsed="false">
      <c r="A121" s="3"/>
      <c r="B121" s="31" t="s">
        <v>24</v>
      </c>
      <c r="C121" s="91" t="s">
        <v>17</v>
      </c>
      <c r="D121" s="91" t="s">
        <v>332</v>
      </c>
      <c r="E121" s="109" t="s">
        <v>821</v>
      </c>
      <c r="F121" s="92" t="n">
        <v>105</v>
      </c>
      <c r="G121" s="91" t="s">
        <v>333</v>
      </c>
      <c r="H121" s="112" t="n">
        <f aca="false">IF(AND(AE121="yes",ISNUMBER(AD121)),AD121,"")</f>
        <v>105</v>
      </c>
      <c r="I121" s="95" t="n">
        <f aca="false">IF(AND(AE121="yes",ISNUMBER(AD121),ISNUMBER(INDEX(Sources!$G$7:$G$10,MATCH(AB121,Sources!$B$7:$B$10,0)))),ROUND(AD121/INDEX(Sources!$G$7:$G$10,MATCH(AB121,Sources!$B$7:$B$10,0)),6),"")</f>
        <v>4.299118</v>
      </c>
      <c r="J121" s="91" t="s">
        <v>530</v>
      </c>
      <c r="K121" s="91" t="s">
        <v>586</v>
      </c>
      <c r="L121" s="96"/>
      <c r="M121" s="109" t="s">
        <v>822</v>
      </c>
      <c r="N121" s="113" t="s">
        <v>823</v>
      </c>
      <c r="O121" s="109"/>
      <c r="P121" s="109" t="s">
        <v>590</v>
      </c>
      <c r="Q121" s="114" t="n">
        <v>0.21</v>
      </c>
      <c r="R121" s="109" t="n">
        <v>1</v>
      </c>
      <c r="S121" s="109" t="s">
        <v>632</v>
      </c>
      <c r="T121" s="109" t="s">
        <v>530</v>
      </c>
      <c r="U121" s="109" t="s">
        <v>591</v>
      </c>
      <c r="V121" s="115"/>
      <c r="W121" s="115"/>
      <c r="X121" s="109" t="s">
        <v>626</v>
      </c>
      <c r="Y121" s="109"/>
      <c r="Z121" s="109"/>
      <c r="AA121" s="109"/>
      <c r="AB121" s="109" t="s">
        <v>333</v>
      </c>
      <c r="AC121" s="109" t="s">
        <v>538</v>
      </c>
      <c r="AD121" s="109" t="n">
        <f aca="false">IF(OR(F121="",Q121="",R121=""),"",ROUND(IF(P121="incl.",F121/(1+Q121),F121)/IF(S121="per pack",R121,1),2))</f>
        <v>105</v>
      </c>
      <c r="AE121" s="109" t="str">
        <f aca="false">IF(AND(AC121="yes",ISNUMBER(F121),IF(Compare!$H$5="All mapped",TRUE(),IF(Compare!$H$5="EXACT only",J121="EXACT",OR(J121="EXACT",J121="CLOSE")))),"yes","no")</f>
        <v>yes</v>
      </c>
      <c r="AF121" s="109" t="n">
        <f aca="false">IF(ISNUMBER(H121),COUNTIFS($B$7:$B$3000,B121,$C$7:$C$3000,C121,$H$7:$H$3000,"&lt;"&amp;H121,$AH$7:$AH$3000,"yes")+COUNTIFS($B$7:B121,B121,$C$7:C121,C121,$H$7:H121,H121,$AH$7:AH121,"yes"),"")</f>
        <v>3</v>
      </c>
      <c r="AG121" s="109" t="n">
        <f aca="false">IF(ISNUMBER(I121),COUNTIFS($B$7:$B$3000,B121,$C$7:$C$3000,C121,$I$7:$I$3000,"&lt;"&amp;I121,$AI$7:$AI$3000,"yes")+COUNTIFS($B$7:B121,B121,$C$7:C121,C121,$I$7:I121,I121,$AI$7:AI121,"yes"),"")</f>
        <v>3</v>
      </c>
      <c r="AH121" s="109" t="str">
        <f aca="false">IF(ISNUMBER(H121),"yes","no")</f>
        <v>yes</v>
      </c>
      <c r="AI121" s="109" t="str">
        <f aca="false">IF(ISNUMBER(I121),"yes","no")</f>
        <v>yes</v>
      </c>
      <c r="AJ121" s="116" t="n">
        <v>46295</v>
      </c>
      <c r="AK121" s="109"/>
    </row>
    <row r="122" customFormat="false" ht="48.75" hidden="false" customHeight="true" outlineLevel="0" collapsed="false">
      <c r="A122" s="3"/>
      <c r="B122" s="36" t="s">
        <v>24</v>
      </c>
      <c r="C122" s="98" t="s">
        <v>17</v>
      </c>
      <c r="D122" s="98" t="s">
        <v>342</v>
      </c>
      <c r="E122" s="110" t="s">
        <v>824</v>
      </c>
      <c r="F122" s="99" t="n">
        <v>97</v>
      </c>
      <c r="G122" s="98" t="s">
        <v>333</v>
      </c>
      <c r="H122" s="112" t="n">
        <f aca="false">IF(AND(AE122="yes",ISNUMBER(AD122)),AD122,"")</f>
        <v>97</v>
      </c>
      <c r="I122" s="95" t="n">
        <f aca="false">IF(AND(AE122="yes",ISNUMBER(AD122),ISNUMBER(INDEX(Sources!$G$7:$G$10,MATCH(AB122,Sources!$B$7:$B$10,0)))),ROUND(AD122/INDEX(Sources!$G$7:$G$10,MATCH(AB122,Sources!$B$7:$B$10,0)),6),"")</f>
        <v>3.971566</v>
      </c>
      <c r="J122" s="98" t="s">
        <v>530</v>
      </c>
      <c r="K122" s="98" t="s">
        <v>586</v>
      </c>
      <c r="L122" s="96"/>
      <c r="M122" s="110" t="s">
        <v>825</v>
      </c>
      <c r="N122" s="117" t="s">
        <v>826</v>
      </c>
      <c r="O122" s="110" t="s">
        <v>662</v>
      </c>
      <c r="P122" s="110" t="s">
        <v>590</v>
      </c>
      <c r="Q122" s="118" t="n">
        <v>0.21</v>
      </c>
      <c r="R122" s="110" t="n">
        <v>1</v>
      </c>
      <c r="S122" s="110" t="s">
        <v>632</v>
      </c>
      <c r="T122" s="110" t="s">
        <v>530</v>
      </c>
      <c r="U122" s="110" t="s">
        <v>591</v>
      </c>
      <c r="V122" s="119"/>
      <c r="W122" s="119"/>
      <c r="X122" s="110" t="s">
        <v>626</v>
      </c>
      <c r="Y122" s="110"/>
      <c r="Z122" s="110"/>
      <c r="AA122" s="110"/>
      <c r="AB122" s="110" t="s">
        <v>333</v>
      </c>
      <c r="AC122" s="110" t="s">
        <v>538</v>
      </c>
      <c r="AD122" s="110" t="n">
        <f aca="false">IF(OR(F122="",Q122="",R122=""),"",ROUND(IF(P122="incl.",F122/(1+Q122),F122)/IF(S122="per pack",R122,1),2))</f>
        <v>97</v>
      </c>
      <c r="AE122" s="110" t="str">
        <f aca="false">IF(AND(AC122="yes",ISNUMBER(F122),IF(Compare!$H$5="All mapped",TRUE(),IF(Compare!$H$5="EXACT only",J122="EXACT",OR(J122="EXACT",J122="CLOSE")))),"yes","no")</f>
        <v>yes</v>
      </c>
      <c r="AF122" s="110" t="n">
        <f aca="false">IF(ISNUMBER(H122),COUNTIFS($B$7:$B$3000,B122,$C$7:$C$3000,C122,$H$7:$H$3000,"&lt;"&amp;H122,$AH$7:$AH$3000,"yes")+COUNTIFS($B$7:B122,B122,$C$7:C122,C122,$H$7:H122,H122,$AH$7:AH122,"yes"),"")</f>
        <v>2</v>
      </c>
      <c r="AG122" s="110" t="n">
        <f aca="false">IF(ISNUMBER(I122),COUNTIFS($B$7:$B$3000,B122,$C$7:$C$3000,C122,$I$7:$I$3000,"&lt;"&amp;I122,$AI$7:$AI$3000,"yes")+COUNTIFS($B$7:B122,B122,$C$7:C122,C122,$I$7:I122,I122,$AI$7:AI122,"yes"),"")</f>
        <v>2</v>
      </c>
      <c r="AH122" s="110" t="str">
        <f aca="false">IF(ISNUMBER(H122),"yes","no")</f>
        <v>yes</v>
      </c>
      <c r="AI122" s="110" t="str">
        <f aca="false">IF(ISNUMBER(I122),"yes","no")</f>
        <v>yes</v>
      </c>
      <c r="AJ122" s="120" t="n">
        <v>46295</v>
      </c>
      <c r="AK122" s="110"/>
    </row>
    <row r="123" customFormat="false" ht="42" hidden="false" customHeight="true" outlineLevel="0" collapsed="false">
      <c r="A123" s="3"/>
      <c r="B123" s="31" t="s">
        <v>24</v>
      </c>
      <c r="C123" s="91" t="s">
        <v>17</v>
      </c>
      <c r="D123" s="91" t="s">
        <v>346</v>
      </c>
      <c r="E123" s="109" t="s">
        <v>827</v>
      </c>
      <c r="F123" s="92" t="n">
        <v>350</v>
      </c>
      <c r="G123" s="91" t="s">
        <v>333</v>
      </c>
      <c r="H123" s="112" t="n">
        <f aca="false">IF(AND(AE123="yes",ISNUMBER(AD123)),AD123,"")</f>
        <v>289.26</v>
      </c>
      <c r="I123" s="95" t="n">
        <f aca="false">IF(AND(AE123="yes",ISNUMBER(AD123),ISNUMBER(INDEX(Sources!$G$7:$G$10,MATCH(AB123,Sources!$B$7:$B$10,0)))),ROUND(AD123/INDEX(Sources!$G$7:$G$10,MATCH(AB123,Sources!$B$7:$B$10,0)),6),"")</f>
        <v>11.843455</v>
      </c>
      <c r="J123" s="91" t="s">
        <v>530</v>
      </c>
      <c r="K123" s="91" t="s">
        <v>586</v>
      </c>
      <c r="L123" s="96"/>
      <c r="M123" s="109" t="s">
        <v>828</v>
      </c>
      <c r="N123" s="113" t="s">
        <v>829</v>
      </c>
      <c r="O123" s="109" t="s">
        <v>783</v>
      </c>
      <c r="P123" s="109" t="s">
        <v>265</v>
      </c>
      <c r="Q123" s="114" t="n">
        <v>0.21</v>
      </c>
      <c r="R123" s="109" t="n">
        <v>1</v>
      </c>
      <c r="S123" s="109" t="s">
        <v>632</v>
      </c>
      <c r="T123" s="109" t="s">
        <v>530</v>
      </c>
      <c r="U123" s="109" t="s">
        <v>591</v>
      </c>
      <c r="V123" s="115"/>
      <c r="W123" s="115"/>
      <c r="X123" s="109" t="s">
        <v>626</v>
      </c>
      <c r="Y123" s="109"/>
      <c r="Z123" s="109"/>
      <c r="AA123" s="109"/>
      <c r="AB123" s="109" t="s">
        <v>333</v>
      </c>
      <c r="AC123" s="109" t="s">
        <v>538</v>
      </c>
      <c r="AD123" s="109" t="n">
        <f aca="false">IF(OR(F123="",Q123="",R123=""),"",ROUND(IF(P123="incl.",F123/(1+Q123),F123)/IF(S123="per pack",R123,1),2))</f>
        <v>289.26</v>
      </c>
      <c r="AE123" s="109" t="str">
        <f aca="false">IF(AND(AC123="yes",ISNUMBER(F123),IF(Compare!$H$5="All mapped",TRUE(),IF(Compare!$H$5="EXACT only",J123="EXACT",OR(J123="EXACT",J123="CLOSE")))),"yes","no")</f>
        <v>yes</v>
      </c>
      <c r="AF123" s="109" t="n">
        <f aca="false">IF(ISNUMBER(H123),COUNTIFS($B$7:$B$3000,B123,$C$7:$C$3000,C123,$H$7:$H$3000,"&lt;"&amp;H123,$AH$7:$AH$3000,"yes")+COUNTIFS($B$7:B123,B123,$C$7:C123,C123,$H$7:H123,H123,$AH$7:AH123,"yes"),"")</f>
        <v>8</v>
      </c>
      <c r="AG123" s="109" t="n">
        <f aca="false">IF(ISNUMBER(I123),COUNTIFS($B$7:$B$3000,B123,$C$7:$C$3000,C123,$I$7:$I$3000,"&lt;"&amp;I123,$AI$7:$AI$3000,"yes")+COUNTIFS($B$7:B123,B123,$C$7:C123,C123,$I$7:I123,I123,$AI$7:AI123,"yes"),"")</f>
        <v>8</v>
      </c>
      <c r="AH123" s="109" t="str">
        <f aca="false">IF(ISNUMBER(H123),"yes","no")</f>
        <v>yes</v>
      </c>
      <c r="AI123" s="109" t="str">
        <f aca="false">IF(ISNUMBER(I123),"yes","no")</f>
        <v>yes</v>
      </c>
      <c r="AJ123" s="116" t="n">
        <v>46295</v>
      </c>
      <c r="AK123" s="109"/>
    </row>
    <row r="124" customFormat="false" ht="61.5" hidden="false" customHeight="true" outlineLevel="0" collapsed="false">
      <c r="A124" s="3"/>
      <c r="B124" s="36" t="s">
        <v>24</v>
      </c>
      <c r="C124" s="98" t="s">
        <v>17</v>
      </c>
      <c r="D124" s="98" t="s">
        <v>361</v>
      </c>
      <c r="E124" s="110" t="s">
        <v>830</v>
      </c>
      <c r="F124" s="99" t="n">
        <v>204</v>
      </c>
      <c r="G124" s="98" t="s">
        <v>333</v>
      </c>
      <c r="H124" s="112" t="n">
        <f aca="false">IF(AND(AE124="yes",ISNUMBER(AD124)),AD124,"")</f>
        <v>168.6</v>
      </c>
      <c r="I124" s="95" t="n">
        <f aca="false">IF(AND(AE124="yes",ISNUMBER(AD124),ISNUMBER(INDEX(Sources!$G$7:$G$10,MATCH(AB124,Sources!$B$7:$B$10,0)))),ROUND(AD124/INDEX(Sources!$G$7:$G$10,MATCH(AB124,Sources!$B$7:$B$10,0)),6),"")</f>
        <v>6.903155</v>
      </c>
      <c r="J124" s="98" t="s">
        <v>702</v>
      </c>
      <c r="K124" s="98" t="s">
        <v>586</v>
      </c>
      <c r="L124" s="96"/>
      <c r="M124" s="110" t="s">
        <v>831</v>
      </c>
      <c r="N124" s="117" t="s">
        <v>832</v>
      </c>
      <c r="O124" s="110" t="s">
        <v>642</v>
      </c>
      <c r="P124" s="110" t="s">
        <v>265</v>
      </c>
      <c r="Q124" s="118" t="n">
        <v>0.21</v>
      </c>
      <c r="R124" s="110" t="n">
        <v>1</v>
      </c>
      <c r="S124" s="110" t="s">
        <v>632</v>
      </c>
      <c r="T124" s="110" t="s">
        <v>702</v>
      </c>
      <c r="U124" s="110" t="s">
        <v>591</v>
      </c>
      <c r="V124" s="119"/>
      <c r="W124" s="119"/>
      <c r="X124" s="110" t="s">
        <v>626</v>
      </c>
      <c r="Y124" s="110"/>
      <c r="Z124" s="110"/>
      <c r="AA124" s="110"/>
      <c r="AB124" s="110" t="s">
        <v>333</v>
      </c>
      <c r="AC124" s="110" t="s">
        <v>538</v>
      </c>
      <c r="AD124" s="110" t="n">
        <f aca="false">IF(OR(F124="",Q124="",R124=""),"",ROUND(IF(P124="incl.",F124/(1+Q124),F124)/IF(S124="per pack",R124,1),2))</f>
        <v>168.6</v>
      </c>
      <c r="AE124" s="110" t="str">
        <f aca="false">IF(AND(AC124="yes",ISNUMBER(F124),IF(Compare!$H$5="All mapped",TRUE(),IF(Compare!$H$5="EXACT only",J124="EXACT",OR(J124="EXACT",J124="CLOSE")))),"yes","no")</f>
        <v>yes</v>
      </c>
      <c r="AF124" s="110" t="n">
        <f aca="false">IF(ISNUMBER(H124),COUNTIFS($B$7:$B$3000,B124,$C$7:$C$3000,C124,$H$7:$H$3000,"&lt;"&amp;H124,$AH$7:$AH$3000,"yes")+COUNTIFS($B$7:B124,B124,$C$7:C124,C124,$H$7:H124,H124,$AH$7:AH124,"yes"),"")</f>
        <v>7</v>
      </c>
      <c r="AG124" s="110" t="n">
        <f aca="false">IF(ISNUMBER(I124),COUNTIFS($B$7:$B$3000,B124,$C$7:$C$3000,C124,$I$7:$I$3000,"&lt;"&amp;I124,$AI$7:$AI$3000,"yes")+COUNTIFS($B$7:B124,B124,$C$7:C124,C124,$I$7:I124,I124,$AI$7:AI124,"yes"),"")</f>
        <v>7</v>
      </c>
      <c r="AH124" s="110" t="str">
        <f aca="false">IF(ISNUMBER(H124),"yes","no")</f>
        <v>yes</v>
      </c>
      <c r="AI124" s="110" t="str">
        <f aca="false">IF(ISNUMBER(I124),"yes","no")</f>
        <v>yes</v>
      </c>
      <c r="AJ124" s="120" t="n">
        <v>46295</v>
      </c>
      <c r="AK124" s="110"/>
    </row>
    <row r="125" customFormat="false" ht="42" hidden="false" customHeight="true" outlineLevel="0" collapsed="false">
      <c r="A125" s="3"/>
      <c r="B125" s="31" t="s">
        <v>24</v>
      </c>
      <c r="C125" s="91" t="s">
        <v>18</v>
      </c>
      <c r="D125" s="91" t="s">
        <v>365</v>
      </c>
      <c r="E125" s="109" t="s">
        <v>833</v>
      </c>
      <c r="F125" s="92" t="n">
        <v>8.46</v>
      </c>
      <c r="G125" s="91" t="s">
        <v>244</v>
      </c>
      <c r="H125" s="112" t="n">
        <f aca="false">IF(AND(AE125="yes",ISNUMBER(AD125)),AD125,"")</f>
        <v>8.46</v>
      </c>
      <c r="I125" s="95" t="n">
        <f aca="false">IF(AND(AE125="yes",ISNUMBER(AD125),ISNUMBER(INDEX(Sources!$G$7:$G$10,MATCH(AB125,Sources!$B$7:$B$10,0)))),ROUND(AD125/INDEX(Sources!$G$7:$G$10,MATCH(AB125,Sources!$B$7:$B$10,0)),6),"")</f>
        <v>8.46</v>
      </c>
      <c r="J125" s="91" t="s">
        <v>530</v>
      </c>
      <c r="K125" s="91" t="s">
        <v>586</v>
      </c>
      <c r="L125" s="96"/>
      <c r="M125" s="109" t="s">
        <v>834</v>
      </c>
      <c r="N125" s="113" t="s">
        <v>835</v>
      </c>
      <c r="O125" s="109" t="s">
        <v>646</v>
      </c>
      <c r="P125" s="109" t="s">
        <v>590</v>
      </c>
      <c r="Q125" s="114" t="s">
        <v>647</v>
      </c>
      <c r="R125" s="109" t="n">
        <v>1</v>
      </c>
      <c r="S125" s="109" t="s">
        <v>632</v>
      </c>
      <c r="T125" s="109" t="s">
        <v>530</v>
      </c>
      <c r="U125" s="109" t="s">
        <v>591</v>
      </c>
      <c r="V125" s="115" t="n">
        <v>8.46</v>
      </c>
      <c r="W125" s="115"/>
      <c r="X125" s="109" t="s">
        <v>648</v>
      </c>
      <c r="Y125" s="109"/>
      <c r="Z125" s="109"/>
      <c r="AA125" s="109"/>
      <c r="AB125" s="109" t="s">
        <v>244</v>
      </c>
      <c r="AC125" s="109" t="s">
        <v>538</v>
      </c>
      <c r="AD125" s="109" t="n">
        <f aca="false">IF(ISNUMBER(V125),ROUND(V125,6),"")</f>
        <v>8.46</v>
      </c>
      <c r="AE125" s="109" t="str">
        <f aca="false">IF(AND(AC125="yes",ISNUMBER(F125),IF(Compare!$H$5="All mapped",TRUE(),IF(Compare!$H$5="EXACT only",J125="EXACT",OR(J125="EXACT",J125="CLOSE")))),"yes","no")</f>
        <v>yes</v>
      </c>
      <c r="AF125" s="109" t="n">
        <f aca="false">IF(ISNUMBER(H125),COUNTIFS($B$7:$B$3000,B125,$C$7:$C$3000,C125,$H$7:$H$3000,"&lt;"&amp;H125,$AH$7:$AH$3000,"yes")+COUNTIFS($B$7:B125,B125,$C$7:C125,C125,$H$7:H125,H125,$AH$7:AH125,"yes"),"")</f>
        <v>1</v>
      </c>
      <c r="AG125" s="109" t="n">
        <f aca="false">IF(ISNUMBER(I125),COUNTIFS($B$7:$B$3000,B125,$C$7:$C$3000,C125,$I$7:$I$3000,"&lt;"&amp;I125,$AI$7:$AI$3000,"yes")+COUNTIFS($B$7:B125,B125,$C$7:C125,C125,$I$7:I125,I125,$AI$7:AI125,"yes"),"")</f>
        <v>1</v>
      </c>
      <c r="AH125" s="109" t="str">
        <f aca="false">IF(ISNUMBER(H125),"yes","no")</f>
        <v>yes</v>
      </c>
      <c r="AI125" s="109" t="str">
        <f aca="false">IF(ISNUMBER(I125),"yes","no")</f>
        <v>yes</v>
      </c>
      <c r="AJ125" s="116" t="n">
        <v>46295</v>
      </c>
      <c r="AK125" s="109"/>
    </row>
    <row r="126" customFormat="false" ht="42" hidden="false" customHeight="true" outlineLevel="0" collapsed="false">
      <c r="A126" s="3"/>
      <c r="B126" s="36" t="s">
        <v>24</v>
      </c>
      <c r="C126" s="98" t="s">
        <v>18</v>
      </c>
      <c r="D126" s="98" t="s">
        <v>369</v>
      </c>
      <c r="E126" s="110" t="s">
        <v>836</v>
      </c>
      <c r="F126" s="99" t="n">
        <v>14.06</v>
      </c>
      <c r="G126" s="98" t="s">
        <v>244</v>
      </c>
      <c r="H126" s="112" t="n">
        <f aca="false">IF(AND(AE126="yes",ISNUMBER(AD126)),AD126,"")</f>
        <v>11.430894</v>
      </c>
      <c r="I126" s="95" t="n">
        <f aca="false">IF(AND(AE126="yes",ISNUMBER(AD126),ISNUMBER(INDEX(Sources!$G$7:$G$10,MATCH(AB126,Sources!$B$7:$B$10,0)))),ROUND(AD126/INDEX(Sources!$G$7:$G$10,MATCH(AB126,Sources!$B$7:$B$10,0)),6),"")</f>
        <v>11.430894</v>
      </c>
      <c r="J126" s="98" t="s">
        <v>530</v>
      </c>
      <c r="K126" s="98" t="s">
        <v>586</v>
      </c>
      <c r="L126" s="96"/>
      <c r="M126" s="110" t="s">
        <v>837</v>
      </c>
      <c r="N126" s="117" t="s">
        <v>838</v>
      </c>
      <c r="O126" s="110" t="s">
        <v>783</v>
      </c>
      <c r="P126" s="110" t="s">
        <v>265</v>
      </c>
      <c r="Q126" s="118" t="n">
        <v>0.23</v>
      </c>
      <c r="R126" s="110" t="n">
        <v>1</v>
      </c>
      <c r="S126" s="110" t="s">
        <v>632</v>
      </c>
      <c r="T126" s="110" t="s">
        <v>530</v>
      </c>
      <c r="U126" s="110" t="s">
        <v>591</v>
      </c>
      <c r="V126" s="119" t="n">
        <v>11.4308943089431</v>
      </c>
      <c r="W126" s="119"/>
      <c r="X126" s="110" t="s">
        <v>648</v>
      </c>
      <c r="Y126" s="110"/>
      <c r="Z126" s="110"/>
      <c r="AA126" s="110"/>
      <c r="AB126" s="110" t="s">
        <v>244</v>
      </c>
      <c r="AC126" s="110" t="s">
        <v>538</v>
      </c>
      <c r="AD126" s="110" t="n">
        <f aca="false">IF(ISNUMBER(V126),ROUND(V126,6),"")</f>
        <v>11.430894</v>
      </c>
      <c r="AE126" s="110" t="str">
        <f aca="false">IF(AND(AC126="yes",ISNUMBER(F126),IF(Compare!$H$5="All mapped",TRUE(),IF(Compare!$H$5="EXACT only",J126="EXACT",OR(J126="EXACT",J126="CLOSE")))),"yes","no")</f>
        <v>yes</v>
      </c>
      <c r="AF126" s="110" t="n">
        <f aca="false">IF(ISNUMBER(H126),COUNTIFS($B$7:$B$3000,B126,$C$7:$C$3000,C126,$H$7:$H$3000,"&lt;"&amp;H126,$AH$7:$AH$3000,"yes")+COUNTIFS($B$7:B126,B126,$C$7:C126,C126,$H$7:H126,H126,$AH$7:AH126,"yes"),"")</f>
        <v>2</v>
      </c>
      <c r="AG126" s="110" t="n">
        <f aca="false">IF(ISNUMBER(I126),COUNTIFS($B$7:$B$3000,B126,$C$7:$C$3000,C126,$I$7:$I$3000,"&lt;"&amp;I126,$AI$7:$AI$3000,"yes")+COUNTIFS($B$7:B126,B126,$C$7:C126,C126,$I$7:I126,I126,$AI$7:AI126,"yes"),"")</f>
        <v>2</v>
      </c>
      <c r="AH126" s="110" t="str">
        <f aca="false">IF(ISNUMBER(H126),"yes","no")</f>
        <v>yes</v>
      </c>
      <c r="AI126" s="110" t="str">
        <f aca="false">IF(ISNUMBER(I126),"yes","no")</f>
        <v>yes</v>
      </c>
      <c r="AJ126" s="120" t="n">
        <v>46295</v>
      </c>
      <c r="AK126" s="110"/>
    </row>
    <row r="127" customFormat="false" ht="42" hidden="false" customHeight="true" outlineLevel="0" collapsed="false">
      <c r="A127" s="3"/>
      <c r="B127" s="31" t="s">
        <v>25</v>
      </c>
      <c r="C127" s="91" t="s">
        <v>15</v>
      </c>
      <c r="D127" s="91" t="s">
        <v>243</v>
      </c>
      <c r="E127" s="109" t="s">
        <v>839</v>
      </c>
      <c r="F127" s="92" t="n">
        <v>8.5</v>
      </c>
      <c r="G127" s="91" t="s">
        <v>244</v>
      </c>
      <c r="H127" s="112" t="n">
        <f aca="false">IF(AND(AE127="yes",ISNUMBER(AD127)),AD127,"")</f>
        <v>1.42</v>
      </c>
      <c r="I127" s="95" t="n">
        <f aca="false">IF(AND(AE127="yes",ISNUMBER(AD127),ISNUMBER(INDEX(Sources!$G$7:$G$10,MATCH(AB127,Sources!$B$7:$B$10,0)))),ROUND(AD127/INDEX(Sources!$G$7:$G$10,MATCH(AB127,Sources!$B$7:$B$10,0)),6),"")</f>
        <v>1.42</v>
      </c>
      <c r="J127" s="91" t="s">
        <v>702</v>
      </c>
      <c r="K127" s="91" t="s">
        <v>586</v>
      </c>
      <c r="L127" s="96"/>
      <c r="M127" s="109" t="s">
        <v>840</v>
      </c>
      <c r="N127" s="113" t="s">
        <v>841</v>
      </c>
      <c r="O127" s="109"/>
      <c r="P127" s="109" t="s">
        <v>590</v>
      </c>
      <c r="Q127" s="114"/>
      <c r="R127" s="109" t="n">
        <v>6</v>
      </c>
      <c r="S127" s="109" t="s">
        <v>611</v>
      </c>
      <c r="T127" s="109" t="s">
        <v>702</v>
      </c>
      <c r="U127" s="109" t="s">
        <v>591</v>
      </c>
      <c r="V127" s="115" t="n">
        <v>1.42</v>
      </c>
      <c r="W127" s="115"/>
      <c r="X127" s="109" t="s">
        <v>592</v>
      </c>
      <c r="Y127" s="109"/>
      <c r="Z127" s="109"/>
      <c r="AA127" s="109"/>
      <c r="AB127" s="109" t="s">
        <v>244</v>
      </c>
      <c r="AC127" s="109" t="s">
        <v>538</v>
      </c>
      <c r="AD127" s="109" t="n">
        <f aca="false">IF(ISNUMBER(V127),ROUND(V127,6),"")</f>
        <v>1.42</v>
      </c>
      <c r="AE127" s="109" t="str">
        <f aca="false">IF(AND(AC127="yes",ISNUMBER(F127),IF(Compare!$H$5="All mapped",TRUE(),IF(Compare!$H$5="EXACT only",J127="EXACT",OR(J127="EXACT",J127="CLOSE")))),"yes","no")</f>
        <v>yes</v>
      </c>
      <c r="AF127" s="109" t="n">
        <f aca="false">IF(ISNUMBER(H127),COUNTIFS($B$7:$B$3000,B127,$C$7:$C$3000,C127,$H$7:$H$3000,"&lt;"&amp;H127,$AH$7:$AH$3000,"yes")+COUNTIFS($B$7:B127,B127,$C$7:C127,C127,$H$7:H127,H127,$AH$7:AH127,"yes"),"")</f>
        <v>1</v>
      </c>
      <c r="AG127" s="109" t="n">
        <f aca="false">IF(ISNUMBER(I127),COUNTIFS($B$7:$B$3000,B127,$C$7:$C$3000,C127,$I$7:$I$3000,"&lt;"&amp;I127,$AI$7:$AI$3000,"yes")+COUNTIFS($B$7:B127,B127,$C$7:C127,C127,$I$7:I127,I127,$AI$7:AI127,"yes"),"")</f>
        <v>1</v>
      </c>
      <c r="AH127" s="109" t="str">
        <f aca="false">IF(ISNUMBER(H127),"yes","no")</f>
        <v>yes</v>
      </c>
      <c r="AI127" s="109" t="str">
        <f aca="false">IF(ISNUMBER(I127),"yes","no")</f>
        <v>yes</v>
      </c>
      <c r="AJ127" s="116" t="n">
        <v>46295</v>
      </c>
      <c r="AK127" s="109"/>
    </row>
    <row r="128" customFormat="false" ht="42" hidden="false" customHeight="true" outlineLevel="0" collapsed="false">
      <c r="A128" s="3"/>
      <c r="B128" s="36" t="s">
        <v>25</v>
      </c>
      <c r="C128" s="98" t="s">
        <v>15</v>
      </c>
      <c r="D128" s="98" t="s">
        <v>269</v>
      </c>
      <c r="E128" s="110" t="s">
        <v>842</v>
      </c>
      <c r="F128" s="99" t="n">
        <v>3.89</v>
      </c>
      <c r="G128" s="98" t="s">
        <v>244</v>
      </c>
      <c r="H128" s="112" t="n">
        <f aca="false">IF(AND(AE128="yes",ISNUMBER(AD128)),AD128,"")</f>
        <v>3.89</v>
      </c>
      <c r="I128" s="95" t="n">
        <f aca="false">IF(AND(AE128="yes",ISNUMBER(AD128),ISNUMBER(INDEX(Sources!$G$7:$G$10,MATCH(AB128,Sources!$B$7:$B$10,0)))),ROUND(AD128/INDEX(Sources!$G$7:$G$10,MATCH(AB128,Sources!$B$7:$B$10,0)),6),"")</f>
        <v>3.89</v>
      </c>
      <c r="J128" s="98" t="s">
        <v>530</v>
      </c>
      <c r="K128" s="98" t="s">
        <v>586</v>
      </c>
      <c r="L128" s="96"/>
      <c r="M128" s="110" t="s">
        <v>843</v>
      </c>
      <c r="N128" s="117" t="s">
        <v>844</v>
      </c>
      <c r="O128" s="110" t="s">
        <v>589</v>
      </c>
      <c r="P128" s="110" t="s">
        <v>590</v>
      </c>
      <c r="Q128" s="118"/>
      <c r="R128" s="110" t="n">
        <v>1</v>
      </c>
      <c r="S128" s="110"/>
      <c r="T128" s="110" t="s">
        <v>530</v>
      </c>
      <c r="U128" s="110" t="s">
        <v>591</v>
      </c>
      <c r="V128" s="119" t="n">
        <v>3.89</v>
      </c>
      <c r="W128" s="119"/>
      <c r="X128" s="110" t="s">
        <v>592</v>
      </c>
      <c r="Y128" s="110"/>
      <c r="Z128" s="110"/>
      <c r="AA128" s="110"/>
      <c r="AB128" s="110" t="s">
        <v>244</v>
      </c>
      <c r="AC128" s="110" t="s">
        <v>538</v>
      </c>
      <c r="AD128" s="110" t="n">
        <f aca="false">IF(ISNUMBER(V128),ROUND(V128,6),"")</f>
        <v>3.89</v>
      </c>
      <c r="AE128" s="110" t="str">
        <f aca="false">IF(AND(AC128="yes",ISNUMBER(F128),IF(Compare!$H$5="All mapped",TRUE(),IF(Compare!$H$5="EXACT only",J128="EXACT",OR(J128="EXACT",J128="CLOSE")))),"yes","no")</f>
        <v>yes</v>
      </c>
      <c r="AF128" s="110" t="n">
        <f aca="false">IF(ISNUMBER(H128),COUNTIFS($B$7:$B$3000,B128,$C$7:$C$3000,C128,$H$7:$H$3000,"&lt;"&amp;H128,$AH$7:$AH$3000,"yes")+COUNTIFS($B$7:B128,B128,$C$7:C128,C128,$H$7:H128,H128,$AH$7:AH128,"yes"),"")</f>
        <v>6</v>
      </c>
      <c r="AG128" s="110" t="n">
        <f aca="false">IF(ISNUMBER(I128),COUNTIFS($B$7:$B$3000,B128,$C$7:$C$3000,C128,$I$7:$I$3000,"&lt;"&amp;I128,$AI$7:$AI$3000,"yes")+COUNTIFS($B$7:B128,B128,$C$7:C128,C128,$I$7:I128,I128,$AI$7:AI128,"yes"),"")</f>
        <v>6</v>
      </c>
      <c r="AH128" s="110" t="str">
        <f aca="false">IF(ISNUMBER(H128),"yes","no")</f>
        <v>yes</v>
      </c>
      <c r="AI128" s="110" t="str">
        <f aca="false">IF(ISNUMBER(I128),"yes","no")</f>
        <v>yes</v>
      </c>
      <c r="AJ128" s="120" t="n">
        <v>46295</v>
      </c>
      <c r="AK128" s="110"/>
    </row>
    <row r="129" customFormat="false" ht="42" hidden="false" customHeight="true" outlineLevel="0" collapsed="false">
      <c r="A129" s="3"/>
      <c r="B129" s="31" t="s">
        <v>25</v>
      </c>
      <c r="C129" s="91" t="s">
        <v>15</v>
      </c>
      <c r="D129" s="91" t="s">
        <v>264</v>
      </c>
      <c r="E129" s="109" t="s">
        <v>845</v>
      </c>
      <c r="F129" s="92" t="n">
        <v>2.32</v>
      </c>
      <c r="G129" s="91" t="s">
        <v>244</v>
      </c>
      <c r="H129" s="112" t="n">
        <f aca="false">IF(AND(AE129="yes",ISNUMBER(AD129)),AD129,"")</f>
        <v>2.32</v>
      </c>
      <c r="I129" s="95" t="n">
        <f aca="false">IF(AND(AE129="yes",ISNUMBER(AD129),ISNUMBER(INDEX(Sources!$G$7:$G$10,MATCH(AB129,Sources!$B$7:$B$10,0)))),ROUND(AD129/INDEX(Sources!$G$7:$G$10,MATCH(AB129,Sources!$B$7:$B$10,0)),6),"")</f>
        <v>2.32</v>
      </c>
      <c r="J129" s="91" t="s">
        <v>702</v>
      </c>
      <c r="K129" s="91" t="s">
        <v>586</v>
      </c>
      <c r="L129" s="96"/>
      <c r="M129" s="109" t="s">
        <v>846</v>
      </c>
      <c r="N129" s="113" t="s">
        <v>847</v>
      </c>
      <c r="O129" s="109" t="s">
        <v>646</v>
      </c>
      <c r="P129" s="109" t="s">
        <v>590</v>
      </c>
      <c r="Q129" s="114"/>
      <c r="R129" s="109" t="n">
        <v>1</v>
      </c>
      <c r="S129" s="109"/>
      <c r="T129" s="109" t="s">
        <v>702</v>
      </c>
      <c r="U129" s="109" t="s">
        <v>591</v>
      </c>
      <c r="V129" s="115" t="n">
        <v>2.32</v>
      </c>
      <c r="W129" s="115"/>
      <c r="X129" s="109" t="s">
        <v>592</v>
      </c>
      <c r="Y129" s="109"/>
      <c r="Z129" s="109"/>
      <c r="AA129" s="109"/>
      <c r="AB129" s="109" t="s">
        <v>244</v>
      </c>
      <c r="AC129" s="109" t="s">
        <v>538</v>
      </c>
      <c r="AD129" s="109" t="n">
        <f aca="false">IF(ISNUMBER(V129),ROUND(V129,6),"")</f>
        <v>2.32</v>
      </c>
      <c r="AE129" s="109" t="str">
        <f aca="false">IF(AND(AC129="yes",ISNUMBER(F129),IF(Compare!$H$5="All mapped",TRUE(),IF(Compare!$H$5="EXACT only",J129="EXACT",OR(J129="EXACT",J129="CLOSE")))),"yes","no")</f>
        <v>yes</v>
      </c>
      <c r="AF129" s="109" t="n">
        <f aca="false">IF(ISNUMBER(H129),COUNTIFS($B$7:$B$3000,B129,$C$7:$C$3000,C129,$H$7:$H$3000,"&lt;"&amp;H129,$AH$7:$AH$3000,"yes")+COUNTIFS($B$7:B129,B129,$C$7:C129,C129,$H$7:H129,H129,$AH$7:AH129,"yes"),"")</f>
        <v>4</v>
      </c>
      <c r="AG129" s="109" t="n">
        <f aca="false">IF(ISNUMBER(I129),COUNTIFS($B$7:$B$3000,B129,$C$7:$C$3000,C129,$I$7:$I$3000,"&lt;"&amp;I129,$AI$7:$AI$3000,"yes")+COUNTIFS($B$7:B129,B129,$C$7:C129,C129,$I$7:I129,I129,$AI$7:AI129,"yes"),"")</f>
        <v>4</v>
      </c>
      <c r="AH129" s="109" t="str">
        <f aca="false">IF(ISNUMBER(H129),"yes","no")</f>
        <v>yes</v>
      </c>
      <c r="AI129" s="109" t="str">
        <f aca="false">IF(ISNUMBER(I129),"yes","no")</f>
        <v>yes</v>
      </c>
      <c r="AJ129" s="116" t="n">
        <v>46295</v>
      </c>
      <c r="AK129" s="109"/>
    </row>
    <row r="130" customFormat="false" ht="42" hidden="false" customHeight="true" outlineLevel="0" collapsed="false">
      <c r="A130" s="3"/>
      <c r="B130" s="36" t="s">
        <v>25</v>
      </c>
      <c r="C130" s="98" t="s">
        <v>15</v>
      </c>
      <c r="D130" s="98" t="s">
        <v>273</v>
      </c>
      <c r="E130" s="110" t="s">
        <v>848</v>
      </c>
      <c r="F130" s="99" t="n">
        <v>4.59</v>
      </c>
      <c r="G130" s="98" t="s">
        <v>244</v>
      </c>
      <c r="H130" s="112" t="n">
        <f aca="false">IF(AND(AE130="yes",ISNUMBER(AD130)),AD130,"")</f>
        <v>3.83</v>
      </c>
      <c r="I130" s="95" t="n">
        <f aca="false">IF(AND(AE130="yes",ISNUMBER(AD130),ISNUMBER(INDEX(Sources!$G$7:$G$10,MATCH(AB130,Sources!$B$7:$B$10,0)))),ROUND(AD130/INDEX(Sources!$G$7:$G$10,MATCH(AB130,Sources!$B$7:$B$10,0)),6),"")</f>
        <v>3.83</v>
      </c>
      <c r="J130" s="98" t="s">
        <v>702</v>
      </c>
      <c r="K130" s="98" t="s">
        <v>586</v>
      </c>
      <c r="L130" s="96"/>
      <c r="M130" s="110" t="s">
        <v>849</v>
      </c>
      <c r="N130" s="117" t="s">
        <v>850</v>
      </c>
      <c r="O130" s="110" t="s">
        <v>598</v>
      </c>
      <c r="P130" s="110" t="s">
        <v>265</v>
      </c>
      <c r="Q130" s="118"/>
      <c r="R130" s="110" t="n">
        <v>1</v>
      </c>
      <c r="S130" s="110"/>
      <c r="T130" s="110" t="s">
        <v>702</v>
      </c>
      <c r="U130" s="110" t="s">
        <v>591</v>
      </c>
      <c r="V130" s="119" t="n">
        <v>3.83</v>
      </c>
      <c r="W130" s="119"/>
      <c r="X130" s="110" t="s">
        <v>592</v>
      </c>
      <c r="Y130" s="110"/>
      <c r="Z130" s="110"/>
      <c r="AA130" s="110"/>
      <c r="AB130" s="110" t="s">
        <v>244</v>
      </c>
      <c r="AC130" s="110" t="s">
        <v>538</v>
      </c>
      <c r="AD130" s="110" t="n">
        <f aca="false">IF(ISNUMBER(V130),ROUND(V130,6),"")</f>
        <v>3.83</v>
      </c>
      <c r="AE130" s="110" t="str">
        <f aca="false">IF(AND(AC130="yes",ISNUMBER(F130),IF(Compare!$H$5="All mapped",TRUE(),IF(Compare!$H$5="EXACT only",J130="EXACT",OR(J130="EXACT",J130="CLOSE")))),"yes","no")</f>
        <v>yes</v>
      </c>
      <c r="AF130" s="110" t="n">
        <f aca="false">IF(ISNUMBER(H130),COUNTIFS($B$7:$B$3000,B130,$C$7:$C$3000,C130,$H$7:$H$3000,"&lt;"&amp;H130,$AH$7:$AH$3000,"yes")+COUNTIFS($B$7:B130,B130,$C$7:C130,C130,$H$7:H130,H130,$AH$7:AH130,"yes"),"")</f>
        <v>5</v>
      </c>
      <c r="AG130" s="110" t="n">
        <f aca="false">IF(ISNUMBER(I130),COUNTIFS($B$7:$B$3000,B130,$C$7:$C$3000,C130,$I$7:$I$3000,"&lt;"&amp;I130,$AI$7:$AI$3000,"yes")+COUNTIFS($B$7:B130,B130,$C$7:C130,C130,$I$7:I130,I130,$AI$7:AI130,"yes"),"")</f>
        <v>5</v>
      </c>
      <c r="AH130" s="110" t="str">
        <f aca="false">IF(ISNUMBER(H130),"yes","no")</f>
        <v>yes</v>
      </c>
      <c r="AI130" s="110" t="str">
        <f aca="false">IF(ISNUMBER(I130),"yes","no")</f>
        <v>yes</v>
      </c>
      <c r="AJ130" s="120" t="n">
        <v>46295</v>
      </c>
      <c r="AK130" s="110"/>
    </row>
    <row r="131" customFormat="false" ht="42" hidden="false" customHeight="true" outlineLevel="0" collapsed="false">
      <c r="A131" s="3"/>
      <c r="B131" s="31" t="s">
        <v>25</v>
      </c>
      <c r="C131" s="91" t="s">
        <v>15</v>
      </c>
      <c r="D131" s="91" t="s">
        <v>281</v>
      </c>
      <c r="E131" s="109" t="s">
        <v>851</v>
      </c>
      <c r="F131" s="92" t="n">
        <v>8.73</v>
      </c>
      <c r="G131" s="91" t="s">
        <v>244</v>
      </c>
      <c r="H131" s="112" t="n">
        <f aca="false">IF(AND(AE131="yes",ISNUMBER(AD131)),AD131,"")</f>
        <v>1.46</v>
      </c>
      <c r="I131" s="95" t="n">
        <f aca="false">IF(AND(AE131="yes",ISNUMBER(AD131),ISNUMBER(INDEX(Sources!$G$7:$G$10,MATCH(AB131,Sources!$B$7:$B$10,0)))),ROUND(AD131/INDEX(Sources!$G$7:$G$10,MATCH(AB131,Sources!$B$7:$B$10,0)),6),"")</f>
        <v>1.46</v>
      </c>
      <c r="J131" s="91" t="s">
        <v>702</v>
      </c>
      <c r="K131" s="91" t="s">
        <v>586</v>
      </c>
      <c r="L131" s="96"/>
      <c r="M131" s="109" t="s">
        <v>852</v>
      </c>
      <c r="N131" s="113" t="s">
        <v>853</v>
      </c>
      <c r="O131" s="109" t="s">
        <v>662</v>
      </c>
      <c r="P131" s="109" t="s">
        <v>590</v>
      </c>
      <c r="Q131" s="114"/>
      <c r="R131" s="109" t="n">
        <v>6</v>
      </c>
      <c r="S131" s="109" t="s">
        <v>611</v>
      </c>
      <c r="T131" s="109" t="s">
        <v>702</v>
      </c>
      <c r="U131" s="109" t="s">
        <v>591</v>
      </c>
      <c r="V131" s="115" t="n">
        <v>1.46</v>
      </c>
      <c r="W131" s="115"/>
      <c r="X131" s="109" t="s">
        <v>592</v>
      </c>
      <c r="Y131" s="109"/>
      <c r="Z131" s="109"/>
      <c r="AA131" s="109"/>
      <c r="AB131" s="109" t="s">
        <v>244</v>
      </c>
      <c r="AC131" s="109" t="s">
        <v>538</v>
      </c>
      <c r="AD131" s="109" t="n">
        <f aca="false">IF(ISNUMBER(V131),ROUND(V131,6),"")</f>
        <v>1.46</v>
      </c>
      <c r="AE131" s="109" t="str">
        <f aca="false">IF(AND(AC131="yes",ISNUMBER(F131),IF(Compare!$H$5="All mapped",TRUE(),IF(Compare!$H$5="EXACT only",J131="EXACT",OR(J131="EXACT",J131="CLOSE")))),"yes","no")</f>
        <v>yes</v>
      </c>
      <c r="AF131" s="109" t="n">
        <f aca="false">IF(ISNUMBER(H131),COUNTIFS($B$7:$B$3000,B131,$C$7:$C$3000,C131,$H$7:$H$3000,"&lt;"&amp;H131,$AH$7:$AH$3000,"yes")+COUNTIFS($B$7:B131,B131,$C$7:C131,C131,$H$7:H131,H131,$AH$7:AH131,"yes"),"")</f>
        <v>2</v>
      </c>
      <c r="AG131" s="109" t="n">
        <f aca="false">IF(ISNUMBER(I131),COUNTIFS($B$7:$B$3000,B131,$C$7:$C$3000,C131,$I$7:$I$3000,"&lt;"&amp;I131,$AI$7:$AI$3000,"yes")+COUNTIFS($B$7:B131,B131,$C$7:C131,C131,$I$7:I131,I131,$AI$7:AI131,"yes"),"")</f>
        <v>2</v>
      </c>
      <c r="AH131" s="109" t="str">
        <f aca="false">IF(ISNUMBER(H131),"yes","no")</f>
        <v>yes</v>
      </c>
      <c r="AI131" s="109" t="str">
        <f aca="false">IF(ISNUMBER(I131),"yes","no")</f>
        <v>yes</v>
      </c>
      <c r="AJ131" s="116" t="n">
        <v>46295</v>
      </c>
      <c r="AK131" s="109"/>
    </row>
    <row r="132" customFormat="false" ht="42" hidden="false" customHeight="true" outlineLevel="0" collapsed="false">
      <c r="A132" s="3"/>
      <c r="B132" s="36" t="s">
        <v>25</v>
      </c>
      <c r="C132" s="98" t="s">
        <v>16</v>
      </c>
      <c r="D132" s="98" t="s">
        <v>296</v>
      </c>
      <c r="E132" s="110" t="s">
        <v>839</v>
      </c>
      <c r="F132" s="99" t="n">
        <v>8.5</v>
      </c>
      <c r="G132" s="98" t="s">
        <v>244</v>
      </c>
      <c r="H132" s="112" t="n">
        <f aca="false">IF(AND(AE132="yes",ISNUMBER(AD132)),AD132,"")</f>
        <v>1.42</v>
      </c>
      <c r="I132" s="95" t="n">
        <f aca="false">IF(AND(AE132="yes",ISNUMBER(AD132),ISNUMBER(INDEX(Sources!$G$7:$G$10,MATCH(AB132,Sources!$B$7:$B$10,0)))),ROUND(AD132/INDEX(Sources!$G$7:$G$10,MATCH(AB132,Sources!$B$7:$B$10,0)),6),"")</f>
        <v>1.42</v>
      </c>
      <c r="J132" s="98" t="s">
        <v>702</v>
      </c>
      <c r="K132" s="98" t="s">
        <v>586</v>
      </c>
      <c r="L132" s="96"/>
      <c r="M132" s="110" t="s">
        <v>840</v>
      </c>
      <c r="N132" s="117" t="s">
        <v>854</v>
      </c>
      <c r="O132" s="110"/>
      <c r="P132" s="110" t="s">
        <v>590</v>
      </c>
      <c r="Q132" s="118"/>
      <c r="R132" s="110" t="n">
        <v>6</v>
      </c>
      <c r="S132" s="110" t="s">
        <v>611</v>
      </c>
      <c r="T132" s="110" t="s">
        <v>702</v>
      </c>
      <c r="U132" s="110" t="s">
        <v>591</v>
      </c>
      <c r="V132" s="119" t="n">
        <v>1.42</v>
      </c>
      <c r="W132" s="119"/>
      <c r="X132" s="110" t="s">
        <v>612</v>
      </c>
      <c r="Y132" s="110"/>
      <c r="Z132" s="110" t="s">
        <v>855</v>
      </c>
      <c r="AA132" s="110"/>
      <c r="AB132" s="110" t="s">
        <v>244</v>
      </c>
      <c r="AC132" s="110" t="s">
        <v>538</v>
      </c>
      <c r="AD132" s="110" t="n">
        <f aca="false">IF(ISNUMBER(V132),ROUND(V132,6),"")</f>
        <v>1.42</v>
      </c>
      <c r="AE132" s="110" t="str">
        <f aca="false">IF(AND(AC132="yes",ISNUMBER(F132),IF(Compare!$H$5="All mapped",TRUE(),IF(Compare!$H$5="EXACT only",J132="EXACT",OR(J132="EXACT",J132="CLOSE")))),"yes","no")</f>
        <v>yes</v>
      </c>
      <c r="AF132" s="110" t="n">
        <f aca="false">IF(ISNUMBER(H132),COUNTIFS($B$7:$B$3000,B132,$C$7:$C$3000,C132,$H$7:$H$3000,"&lt;"&amp;H132,$AH$7:$AH$3000,"yes")+COUNTIFS($B$7:B132,B132,$C$7:C132,C132,$H$7:H132,H132,$AH$7:AH132,"yes"),"")</f>
        <v>2</v>
      </c>
      <c r="AG132" s="110" t="n">
        <f aca="false">IF(ISNUMBER(I132),COUNTIFS($B$7:$B$3000,B132,$C$7:$C$3000,C132,$I$7:$I$3000,"&lt;"&amp;I132,$AI$7:$AI$3000,"yes")+COUNTIFS($B$7:B132,B132,$C$7:C132,C132,$I$7:I132,I132,$AI$7:AI132,"yes"),"")</f>
        <v>2</v>
      </c>
      <c r="AH132" s="110" t="str">
        <f aca="false">IF(ISNUMBER(H132),"yes","no")</f>
        <v>yes</v>
      </c>
      <c r="AI132" s="110" t="str">
        <f aca="false">IF(ISNUMBER(I132),"yes","no")</f>
        <v>yes</v>
      </c>
      <c r="AJ132" s="120" t="n">
        <v>46295</v>
      </c>
      <c r="AK132" s="110"/>
    </row>
    <row r="133" customFormat="false" ht="42" hidden="false" customHeight="true" outlineLevel="0" collapsed="false">
      <c r="A133" s="3"/>
      <c r="B133" s="31" t="s">
        <v>25</v>
      </c>
      <c r="C133" s="91" t="s">
        <v>16</v>
      </c>
      <c r="D133" s="91" t="s">
        <v>317</v>
      </c>
      <c r="E133" s="109" t="s">
        <v>856</v>
      </c>
      <c r="F133" s="92" t="n">
        <v>47.99</v>
      </c>
      <c r="G133" s="91" t="s">
        <v>244</v>
      </c>
      <c r="H133" s="112" t="n">
        <f aca="false">IF(AND(AE133="yes",ISNUMBER(AD133)),AD133,"")</f>
        <v>4</v>
      </c>
      <c r="I133" s="95" t="n">
        <f aca="false">IF(AND(AE133="yes",ISNUMBER(AD133),ISNUMBER(INDEX(Sources!$G$7:$G$10,MATCH(AB133,Sources!$B$7:$B$10,0)))),ROUND(AD133/INDEX(Sources!$G$7:$G$10,MATCH(AB133,Sources!$B$7:$B$10,0)),6),"")</f>
        <v>4</v>
      </c>
      <c r="J133" s="91" t="s">
        <v>702</v>
      </c>
      <c r="K133" s="91" t="s">
        <v>586</v>
      </c>
      <c r="L133" s="96"/>
      <c r="M133" s="109" t="s">
        <v>857</v>
      </c>
      <c r="N133" s="113" t="s">
        <v>858</v>
      </c>
      <c r="O133" s="109" t="s">
        <v>610</v>
      </c>
      <c r="P133" s="109" t="s">
        <v>590</v>
      </c>
      <c r="Q133" s="114"/>
      <c r="R133" s="109" t="n">
        <v>12</v>
      </c>
      <c r="S133" s="109" t="s">
        <v>754</v>
      </c>
      <c r="T133" s="109" t="s">
        <v>702</v>
      </c>
      <c r="U133" s="109" t="s">
        <v>591</v>
      </c>
      <c r="V133" s="115" t="n">
        <v>4</v>
      </c>
      <c r="W133" s="115"/>
      <c r="X133" s="109" t="s">
        <v>612</v>
      </c>
      <c r="Y133" s="109"/>
      <c r="Z133" s="109"/>
      <c r="AA133" s="109"/>
      <c r="AB133" s="109" t="s">
        <v>244</v>
      </c>
      <c r="AC133" s="109" t="s">
        <v>538</v>
      </c>
      <c r="AD133" s="109" t="n">
        <f aca="false">IF(ISNUMBER(V133),ROUND(V133,6),"")</f>
        <v>4</v>
      </c>
      <c r="AE133" s="109" t="str">
        <f aca="false">IF(AND(AC133="yes",ISNUMBER(F133),IF(Compare!$H$5="All mapped",TRUE(),IF(Compare!$H$5="EXACT only",J133="EXACT",OR(J133="EXACT",J133="CLOSE")))),"yes","no")</f>
        <v>yes</v>
      </c>
      <c r="AF133" s="109" t="n">
        <f aca="false">IF(ISNUMBER(H133),COUNTIFS($B$7:$B$3000,B133,$C$7:$C$3000,C133,$H$7:$H$3000,"&lt;"&amp;H133,$AH$7:$AH$3000,"yes")+COUNTIFS($B$7:B133,B133,$C$7:C133,C133,$H$7:H133,H133,$AH$7:AH133,"yes"),"")</f>
        <v>8</v>
      </c>
      <c r="AG133" s="109" t="n">
        <f aca="false">IF(ISNUMBER(I133),COUNTIFS($B$7:$B$3000,B133,$C$7:$C$3000,C133,$I$7:$I$3000,"&lt;"&amp;I133,$AI$7:$AI$3000,"yes")+COUNTIFS($B$7:B133,B133,$C$7:C133,C133,$I$7:I133,I133,$AI$7:AI133,"yes"),"")</f>
        <v>8</v>
      </c>
      <c r="AH133" s="109" t="str">
        <f aca="false">IF(ISNUMBER(H133),"yes","no")</f>
        <v>yes</v>
      </c>
      <c r="AI133" s="109" t="str">
        <f aca="false">IF(ISNUMBER(I133),"yes","no")</f>
        <v>yes</v>
      </c>
      <c r="AJ133" s="116" t="n">
        <v>46295</v>
      </c>
      <c r="AK133" s="109"/>
    </row>
    <row r="134" customFormat="false" ht="42" hidden="false" customHeight="true" outlineLevel="0" collapsed="false">
      <c r="A134" s="3"/>
      <c r="B134" s="36" t="s">
        <v>25</v>
      </c>
      <c r="C134" s="98" t="s">
        <v>16</v>
      </c>
      <c r="D134" s="98" t="s">
        <v>311</v>
      </c>
      <c r="E134" s="110" t="s">
        <v>842</v>
      </c>
      <c r="F134" s="99" t="n">
        <v>1.79</v>
      </c>
      <c r="G134" s="98" t="s">
        <v>244</v>
      </c>
      <c r="H134" s="112" t="n">
        <f aca="false">IF(AND(AE134="yes",ISNUMBER(AD134)),AD134,"")</f>
        <v>1.79</v>
      </c>
      <c r="I134" s="95" t="n">
        <f aca="false">IF(AND(AE134="yes",ISNUMBER(AD134),ISNUMBER(INDEX(Sources!$G$7:$G$10,MATCH(AB134,Sources!$B$7:$B$10,0)))),ROUND(AD134/INDEX(Sources!$G$7:$G$10,MATCH(AB134,Sources!$B$7:$B$10,0)),6),"")</f>
        <v>1.79</v>
      </c>
      <c r="J134" s="98" t="s">
        <v>530</v>
      </c>
      <c r="K134" s="98" t="s">
        <v>586</v>
      </c>
      <c r="L134" s="96"/>
      <c r="M134" s="110" t="s">
        <v>843</v>
      </c>
      <c r="N134" s="117" t="s">
        <v>859</v>
      </c>
      <c r="O134" s="110" t="s">
        <v>589</v>
      </c>
      <c r="P134" s="110" t="s">
        <v>590</v>
      </c>
      <c r="Q134" s="118"/>
      <c r="R134" s="110" t="n">
        <v>1</v>
      </c>
      <c r="S134" s="110"/>
      <c r="T134" s="110" t="s">
        <v>530</v>
      </c>
      <c r="U134" s="110" t="s">
        <v>591</v>
      </c>
      <c r="V134" s="119" t="n">
        <v>1.79</v>
      </c>
      <c r="W134" s="119"/>
      <c r="X134" s="110" t="s">
        <v>612</v>
      </c>
      <c r="Y134" s="110"/>
      <c r="Z134" s="110"/>
      <c r="AA134" s="110"/>
      <c r="AB134" s="110" t="s">
        <v>244</v>
      </c>
      <c r="AC134" s="110" t="s">
        <v>538</v>
      </c>
      <c r="AD134" s="110" t="n">
        <f aca="false">IF(ISNUMBER(V134),ROUND(V134,6),"")</f>
        <v>1.79</v>
      </c>
      <c r="AE134" s="110" t="str">
        <f aca="false">IF(AND(AC134="yes",ISNUMBER(F134),IF(Compare!$H$5="All mapped",TRUE(),IF(Compare!$H$5="EXACT only",J134="EXACT",OR(J134="EXACT",J134="CLOSE")))),"yes","no")</f>
        <v>yes</v>
      </c>
      <c r="AF134" s="110" t="n">
        <f aca="false">IF(ISNUMBER(H134),COUNTIFS($B$7:$B$3000,B134,$C$7:$C$3000,C134,$H$7:$H$3000,"&lt;"&amp;H134,$AH$7:$AH$3000,"yes")+COUNTIFS($B$7:B134,B134,$C$7:C134,C134,$H$7:H134,H134,$AH$7:AH134,"yes"),"")</f>
        <v>4</v>
      </c>
      <c r="AG134" s="110" t="n">
        <f aca="false">IF(ISNUMBER(I134),COUNTIFS($B$7:$B$3000,B134,$C$7:$C$3000,C134,$I$7:$I$3000,"&lt;"&amp;I134,$AI$7:$AI$3000,"yes")+COUNTIFS($B$7:B134,B134,$C$7:C134,C134,$I$7:I134,I134,$AI$7:AI134,"yes"),"")</f>
        <v>4</v>
      </c>
      <c r="AH134" s="110" t="str">
        <f aca="false">IF(ISNUMBER(H134),"yes","no")</f>
        <v>yes</v>
      </c>
      <c r="AI134" s="110" t="str">
        <f aca="false">IF(ISNUMBER(I134),"yes","no")</f>
        <v>yes</v>
      </c>
      <c r="AJ134" s="120" t="n">
        <v>46295</v>
      </c>
      <c r="AK134" s="110"/>
    </row>
    <row r="135" customFormat="false" ht="42" hidden="false" customHeight="true" outlineLevel="0" collapsed="false">
      <c r="A135" s="3"/>
      <c r="B135" s="31" t="s">
        <v>25</v>
      </c>
      <c r="C135" s="91" t="s">
        <v>16</v>
      </c>
      <c r="D135" s="91" t="s">
        <v>309</v>
      </c>
      <c r="E135" s="109" t="s">
        <v>845</v>
      </c>
      <c r="F135" s="92" t="n">
        <v>2.32</v>
      </c>
      <c r="G135" s="91" t="s">
        <v>244</v>
      </c>
      <c r="H135" s="112" t="n">
        <f aca="false">IF(AND(AE135="yes",ISNUMBER(AD135)),AD135,"")</f>
        <v>2.32</v>
      </c>
      <c r="I135" s="95" t="n">
        <f aca="false">IF(AND(AE135="yes",ISNUMBER(AD135),ISNUMBER(INDEX(Sources!$G$7:$G$10,MATCH(AB135,Sources!$B$7:$B$10,0)))),ROUND(AD135/INDEX(Sources!$G$7:$G$10,MATCH(AB135,Sources!$B$7:$B$10,0)),6),"")</f>
        <v>2.32</v>
      </c>
      <c r="J135" s="91" t="s">
        <v>702</v>
      </c>
      <c r="K135" s="91" t="s">
        <v>586</v>
      </c>
      <c r="L135" s="96"/>
      <c r="M135" s="109" t="s">
        <v>846</v>
      </c>
      <c r="N135" s="113" t="s">
        <v>847</v>
      </c>
      <c r="O135" s="109" t="s">
        <v>646</v>
      </c>
      <c r="P135" s="109" t="s">
        <v>590</v>
      </c>
      <c r="Q135" s="114"/>
      <c r="R135" s="109" t="n">
        <v>1</v>
      </c>
      <c r="S135" s="109"/>
      <c r="T135" s="109" t="s">
        <v>702</v>
      </c>
      <c r="U135" s="109" t="s">
        <v>591</v>
      </c>
      <c r="V135" s="115" t="n">
        <v>2.32</v>
      </c>
      <c r="W135" s="115"/>
      <c r="X135" s="109" t="s">
        <v>612</v>
      </c>
      <c r="Y135" s="109"/>
      <c r="Z135" s="109"/>
      <c r="AA135" s="109"/>
      <c r="AB135" s="109" t="s">
        <v>244</v>
      </c>
      <c r="AC135" s="109" t="s">
        <v>538</v>
      </c>
      <c r="AD135" s="109" t="n">
        <f aca="false">IF(ISNUMBER(V135),ROUND(V135,6),"")</f>
        <v>2.32</v>
      </c>
      <c r="AE135" s="109" t="str">
        <f aca="false">IF(AND(AC135="yes",ISNUMBER(F135),IF(Compare!$H$5="All mapped",TRUE(),IF(Compare!$H$5="EXACT only",J135="EXACT",OR(J135="EXACT",J135="CLOSE")))),"yes","no")</f>
        <v>yes</v>
      </c>
      <c r="AF135" s="109" t="n">
        <f aca="false">IF(ISNUMBER(H135),COUNTIFS($B$7:$B$3000,B135,$C$7:$C$3000,C135,$H$7:$H$3000,"&lt;"&amp;H135,$AH$7:$AH$3000,"yes")+COUNTIFS($B$7:B135,B135,$C$7:C135,C135,$H$7:H135,H135,$AH$7:AH135,"yes"),"")</f>
        <v>5</v>
      </c>
      <c r="AG135" s="109" t="n">
        <f aca="false">IF(ISNUMBER(I135),COUNTIFS($B$7:$B$3000,B135,$C$7:$C$3000,C135,$I$7:$I$3000,"&lt;"&amp;I135,$AI$7:$AI$3000,"yes")+COUNTIFS($B$7:B135,B135,$C$7:C135,C135,$I$7:I135,I135,$AI$7:AI135,"yes"),"")</f>
        <v>5</v>
      </c>
      <c r="AH135" s="109" t="str">
        <f aca="false">IF(ISNUMBER(H135),"yes","no")</f>
        <v>yes</v>
      </c>
      <c r="AI135" s="109" t="str">
        <f aca="false">IF(ISNUMBER(I135),"yes","no")</f>
        <v>yes</v>
      </c>
      <c r="AJ135" s="116" t="n">
        <v>46295</v>
      </c>
      <c r="AK135" s="109"/>
    </row>
    <row r="136" customFormat="false" ht="42" hidden="false" customHeight="true" outlineLevel="0" collapsed="false">
      <c r="A136" s="3"/>
      <c r="B136" s="36" t="s">
        <v>25</v>
      </c>
      <c r="C136" s="98" t="s">
        <v>16</v>
      </c>
      <c r="D136" s="98" t="s">
        <v>313</v>
      </c>
      <c r="E136" s="110" t="s">
        <v>848</v>
      </c>
      <c r="F136" s="99" t="n">
        <v>4.59</v>
      </c>
      <c r="G136" s="98" t="s">
        <v>244</v>
      </c>
      <c r="H136" s="112" t="n">
        <f aca="false">IF(AND(AE136="yes",ISNUMBER(AD136)),AD136,"")</f>
        <v>3.86</v>
      </c>
      <c r="I136" s="95" t="n">
        <f aca="false">IF(AND(AE136="yes",ISNUMBER(AD136),ISNUMBER(INDEX(Sources!$G$7:$G$10,MATCH(AB136,Sources!$B$7:$B$10,0)))),ROUND(AD136/INDEX(Sources!$G$7:$G$10,MATCH(AB136,Sources!$B$7:$B$10,0)),6),"")</f>
        <v>3.86</v>
      </c>
      <c r="J136" s="98" t="s">
        <v>702</v>
      </c>
      <c r="K136" s="98" t="s">
        <v>586</v>
      </c>
      <c r="L136" s="96"/>
      <c r="M136" s="110" t="s">
        <v>849</v>
      </c>
      <c r="N136" s="117" t="s">
        <v>860</v>
      </c>
      <c r="O136" s="110" t="s">
        <v>598</v>
      </c>
      <c r="P136" s="110" t="s">
        <v>265</v>
      </c>
      <c r="Q136" s="118"/>
      <c r="R136" s="110" t="n">
        <v>1</v>
      </c>
      <c r="S136" s="110"/>
      <c r="T136" s="110" t="s">
        <v>702</v>
      </c>
      <c r="U136" s="110" t="s">
        <v>591</v>
      </c>
      <c r="V136" s="119" t="n">
        <v>3.86</v>
      </c>
      <c r="W136" s="119"/>
      <c r="X136" s="110" t="s">
        <v>612</v>
      </c>
      <c r="Y136" s="110"/>
      <c r="Z136" s="110"/>
      <c r="AA136" s="110"/>
      <c r="AB136" s="110" t="s">
        <v>244</v>
      </c>
      <c r="AC136" s="110" t="s">
        <v>538</v>
      </c>
      <c r="AD136" s="110" t="n">
        <f aca="false">IF(ISNUMBER(V136),ROUND(V136,6),"")</f>
        <v>3.86</v>
      </c>
      <c r="AE136" s="110" t="str">
        <f aca="false">IF(AND(AC136="yes",ISNUMBER(F136),IF(Compare!$H$5="All mapped",TRUE(),IF(Compare!$H$5="EXACT only",J136="EXACT",OR(J136="EXACT",J136="CLOSE")))),"yes","no")</f>
        <v>yes</v>
      </c>
      <c r="AF136" s="110" t="n">
        <f aca="false">IF(ISNUMBER(H136),COUNTIFS($B$7:$B$3000,B136,$C$7:$C$3000,C136,$H$7:$H$3000,"&lt;"&amp;H136,$AH$7:$AH$3000,"yes")+COUNTIFS($B$7:B136,B136,$C$7:C136,C136,$H$7:H136,H136,$AH$7:AH136,"yes"),"")</f>
        <v>7</v>
      </c>
      <c r="AG136" s="110" t="n">
        <f aca="false">IF(ISNUMBER(I136),COUNTIFS($B$7:$B$3000,B136,$C$7:$C$3000,C136,$I$7:$I$3000,"&lt;"&amp;I136,$AI$7:$AI$3000,"yes")+COUNTIFS($B$7:B136,B136,$C$7:C136,C136,$I$7:I136,I136,$AI$7:AI136,"yes"),"")</f>
        <v>7</v>
      </c>
      <c r="AH136" s="110" t="str">
        <f aca="false">IF(ISNUMBER(H136),"yes","no")</f>
        <v>yes</v>
      </c>
      <c r="AI136" s="110" t="str">
        <f aca="false">IF(ISNUMBER(I136),"yes","no")</f>
        <v>yes</v>
      </c>
      <c r="AJ136" s="120" t="n">
        <v>46295</v>
      </c>
      <c r="AK136" s="110"/>
    </row>
    <row r="137" customFormat="false" ht="42" hidden="false" customHeight="true" outlineLevel="0" collapsed="false">
      <c r="A137" s="3"/>
      <c r="B137" s="31" t="s">
        <v>25</v>
      </c>
      <c r="C137" s="91" t="s">
        <v>16</v>
      </c>
      <c r="D137" s="91" t="s">
        <v>321</v>
      </c>
      <c r="E137" s="109" t="s">
        <v>851</v>
      </c>
      <c r="F137" s="92" t="n">
        <v>8.73</v>
      </c>
      <c r="G137" s="91" t="s">
        <v>244</v>
      </c>
      <c r="H137" s="112" t="n">
        <f aca="false">IF(AND(AE137="yes",ISNUMBER(AD137)),AD137,"")</f>
        <v>1.46</v>
      </c>
      <c r="I137" s="95" t="n">
        <f aca="false">IF(AND(AE137="yes",ISNUMBER(AD137),ISNUMBER(INDEX(Sources!$G$7:$G$10,MATCH(AB137,Sources!$B$7:$B$10,0)))),ROUND(AD137/INDEX(Sources!$G$7:$G$10,MATCH(AB137,Sources!$B$7:$B$10,0)),6),"")</f>
        <v>1.46</v>
      </c>
      <c r="J137" s="91" t="s">
        <v>702</v>
      </c>
      <c r="K137" s="91" t="s">
        <v>586</v>
      </c>
      <c r="L137" s="96"/>
      <c r="M137" s="109" t="s">
        <v>861</v>
      </c>
      <c r="N137" s="113" t="s">
        <v>862</v>
      </c>
      <c r="O137" s="109" t="s">
        <v>662</v>
      </c>
      <c r="P137" s="109" t="s">
        <v>590</v>
      </c>
      <c r="Q137" s="114"/>
      <c r="R137" s="109" t="n">
        <v>6</v>
      </c>
      <c r="S137" s="109" t="s">
        <v>611</v>
      </c>
      <c r="T137" s="109" t="s">
        <v>702</v>
      </c>
      <c r="U137" s="109" t="s">
        <v>591</v>
      </c>
      <c r="V137" s="115" t="n">
        <v>1.46</v>
      </c>
      <c r="W137" s="115"/>
      <c r="X137" s="109" t="s">
        <v>612</v>
      </c>
      <c r="Y137" s="109"/>
      <c r="Z137" s="109"/>
      <c r="AA137" s="109"/>
      <c r="AB137" s="109" t="s">
        <v>244</v>
      </c>
      <c r="AC137" s="109" t="s">
        <v>538</v>
      </c>
      <c r="AD137" s="109" t="n">
        <f aca="false">IF(ISNUMBER(V137),ROUND(V137,6),"")</f>
        <v>1.46</v>
      </c>
      <c r="AE137" s="109" t="str">
        <f aca="false">IF(AND(AC137="yes",ISNUMBER(F137),IF(Compare!$H$5="All mapped",TRUE(),IF(Compare!$H$5="EXACT only",J137="EXACT",OR(J137="EXACT",J137="CLOSE")))),"yes","no")</f>
        <v>yes</v>
      </c>
      <c r="AF137" s="109" t="n">
        <f aca="false">IF(ISNUMBER(H137),COUNTIFS($B$7:$B$3000,B137,$C$7:$C$3000,C137,$H$7:$H$3000,"&lt;"&amp;H137,$AH$7:$AH$3000,"yes")+COUNTIFS($B$7:B137,B137,$C$7:C137,C137,$H$7:H137,H137,$AH$7:AH137,"yes"),"")</f>
        <v>3</v>
      </c>
      <c r="AG137" s="109" t="n">
        <f aca="false">IF(ISNUMBER(I137),COUNTIFS($B$7:$B$3000,B137,$C$7:$C$3000,C137,$I$7:$I$3000,"&lt;"&amp;I137,$AI$7:$AI$3000,"yes")+COUNTIFS($B$7:B137,B137,$C$7:C137,C137,$I$7:I137,I137,$AI$7:AI137,"yes"),"")</f>
        <v>3</v>
      </c>
      <c r="AH137" s="109" t="str">
        <f aca="false">IF(ISNUMBER(H137),"yes","no")</f>
        <v>yes</v>
      </c>
      <c r="AI137" s="109" t="str">
        <f aca="false">IF(ISNUMBER(I137),"yes","no")</f>
        <v>yes</v>
      </c>
      <c r="AJ137" s="116" t="n">
        <v>46295</v>
      </c>
      <c r="AK137" s="109"/>
    </row>
    <row r="138" customFormat="false" ht="42" hidden="false" customHeight="true" outlineLevel="0" collapsed="false">
      <c r="A138" s="3"/>
      <c r="B138" s="36" t="s">
        <v>25</v>
      </c>
      <c r="C138" s="98" t="s">
        <v>16</v>
      </c>
      <c r="D138" s="98" t="s">
        <v>329</v>
      </c>
      <c r="E138" s="110" t="s">
        <v>863</v>
      </c>
      <c r="F138" s="99" t="n">
        <v>2.69</v>
      </c>
      <c r="G138" s="98" t="s">
        <v>244</v>
      </c>
      <c r="H138" s="112" t="n">
        <f aca="false">IF(AND(AE138="yes",ISNUMBER(AD138)),AD138,"")</f>
        <v>2.69</v>
      </c>
      <c r="I138" s="95" t="n">
        <f aca="false">IF(AND(AE138="yes",ISNUMBER(AD138),ISNUMBER(INDEX(Sources!$G$7:$G$10,MATCH(AB138,Sources!$B$7:$B$10,0)))),ROUND(AD138/INDEX(Sources!$G$7:$G$10,MATCH(AB138,Sources!$B$7:$B$10,0)),6),"")</f>
        <v>2.69</v>
      </c>
      <c r="J138" s="98" t="s">
        <v>702</v>
      </c>
      <c r="K138" s="98" t="s">
        <v>586</v>
      </c>
      <c r="L138" s="96"/>
      <c r="M138" s="110" t="s">
        <v>864</v>
      </c>
      <c r="N138" s="117" t="s">
        <v>865</v>
      </c>
      <c r="O138" s="110" t="s">
        <v>565</v>
      </c>
      <c r="P138" s="110" t="s">
        <v>590</v>
      </c>
      <c r="Q138" s="118"/>
      <c r="R138" s="110" t="n">
        <v>1</v>
      </c>
      <c r="S138" s="110"/>
      <c r="T138" s="110" t="s">
        <v>702</v>
      </c>
      <c r="U138" s="110" t="s">
        <v>591</v>
      </c>
      <c r="V138" s="119" t="n">
        <v>2.69</v>
      </c>
      <c r="W138" s="119"/>
      <c r="X138" s="110" t="s">
        <v>612</v>
      </c>
      <c r="Y138" s="110"/>
      <c r="Z138" s="110"/>
      <c r="AA138" s="110"/>
      <c r="AB138" s="110" t="s">
        <v>244</v>
      </c>
      <c r="AC138" s="110" t="s">
        <v>538</v>
      </c>
      <c r="AD138" s="110" t="n">
        <f aca="false">IF(ISNUMBER(V138),ROUND(V138,6),"")</f>
        <v>2.69</v>
      </c>
      <c r="AE138" s="110" t="str">
        <f aca="false">IF(AND(AC138="yes",ISNUMBER(F138),IF(Compare!$H$5="All mapped",TRUE(),IF(Compare!$H$5="EXACT only",J138="EXACT",OR(J138="EXACT",J138="CLOSE")))),"yes","no")</f>
        <v>yes</v>
      </c>
      <c r="AF138" s="110" t="n">
        <f aca="false">IF(ISNUMBER(H138),COUNTIFS($B$7:$B$3000,B138,$C$7:$C$3000,C138,$H$7:$H$3000,"&lt;"&amp;H138,$AH$7:$AH$3000,"yes")+COUNTIFS($B$7:B138,B138,$C$7:C138,C138,$H$7:H138,H138,$AH$7:AH138,"yes"),"")</f>
        <v>6</v>
      </c>
      <c r="AG138" s="110" t="n">
        <f aca="false">IF(ISNUMBER(I138),COUNTIFS($B$7:$B$3000,B138,$C$7:$C$3000,C138,$I$7:$I$3000,"&lt;"&amp;I138,$AI$7:$AI$3000,"yes")+COUNTIFS($B$7:B138,B138,$C$7:C138,C138,$I$7:I138,I138,$AI$7:AI138,"yes"),"")</f>
        <v>6</v>
      </c>
      <c r="AH138" s="110" t="str">
        <f aca="false">IF(ISNUMBER(H138),"yes","no")</f>
        <v>yes</v>
      </c>
      <c r="AI138" s="110" t="str">
        <f aca="false">IF(ISNUMBER(I138),"yes","no")</f>
        <v>yes</v>
      </c>
      <c r="AJ138" s="120" t="n">
        <v>46295</v>
      </c>
      <c r="AK138" s="110"/>
    </row>
    <row r="139" customFormat="false" ht="61.5" hidden="false" customHeight="true" outlineLevel="0" collapsed="false">
      <c r="A139" s="3"/>
      <c r="B139" s="31" t="s">
        <v>25</v>
      </c>
      <c r="C139" s="91" t="s">
        <v>17</v>
      </c>
      <c r="D139" s="91" t="s">
        <v>354</v>
      </c>
      <c r="E139" s="109" t="s">
        <v>866</v>
      </c>
      <c r="F139" s="92" t="n">
        <v>1241.05</v>
      </c>
      <c r="G139" s="91" t="s">
        <v>333</v>
      </c>
      <c r="H139" s="112" t="n">
        <f aca="false">IF(AND(AE139="yes",ISNUMBER(AD139)),AD139,"")</f>
        <v>103.42</v>
      </c>
      <c r="I139" s="95" t="n">
        <f aca="false">IF(AND(AE139="yes",ISNUMBER(AD139),ISNUMBER(INDEX(Sources!$G$7:$G$10,MATCH(AB139,Sources!$B$7:$B$10,0)))),ROUND(AD139/INDEX(Sources!$G$7:$G$10,MATCH(AB139,Sources!$B$7:$B$10,0)),6),"")</f>
        <v>4.234426</v>
      </c>
      <c r="J139" s="91" t="s">
        <v>702</v>
      </c>
      <c r="K139" s="91" t="s">
        <v>586</v>
      </c>
      <c r="L139" s="96"/>
      <c r="M139" s="109" t="s">
        <v>867</v>
      </c>
      <c r="N139" s="113" t="s">
        <v>868</v>
      </c>
      <c r="O139" s="109" t="s">
        <v>610</v>
      </c>
      <c r="P139" s="109" t="s">
        <v>590</v>
      </c>
      <c r="Q139" s="114" t="n">
        <v>0.19</v>
      </c>
      <c r="R139" s="109" t="n">
        <v>12</v>
      </c>
      <c r="S139" s="109" t="s">
        <v>625</v>
      </c>
      <c r="T139" s="109" t="s">
        <v>702</v>
      </c>
      <c r="U139" s="109" t="s">
        <v>591</v>
      </c>
      <c r="V139" s="115"/>
      <c r="W139" s="115"/>
      <c r="X139" s="109" t="s">
        <v>626</v>
      </c>
      <c r="Y139" s="109"/>
      <c r="Z139" s="109"/>
      <c r="AA139" s="109"/>
      <c r="AB139" s="109" t="s">
        <v>333</v>
      </c>
      <c r="AC139" s="109" t="s">
        <v>538</v>
      </c>
      <c r="AD139" s="109" t="n">
        <f aca="false">IF(OR(F139="",Q139="",R139=""),"",ROUND(IF(P139="incl.",F139/(1+Q139),F139)/IF(S139="per pack",R139,1),2))</f>
        <v>103.42</v>
      </c>
      <c r="AE139" s="109" t="str">
        <f aca="false">IF(AND(AC139="yes",ISNUMBER(F139),IF(Compare!$H$5="All mapped",TRUE(),IF(Compare!$H$5="EXACT only",J139="EXACT",OR(J139="EXACT",J139="CLOSE")))),"yes","no")</f>
        <v>yes</v>
      </c>
      <c r="AF139" s="109" t="n">
        <f aca="false">IF(ISNUMBER(H139),COUNTIFS($B$7:$B$3000,B139,$C$7:$C$3000,C139,$H$7:$H$3000,"&lt;"&amp;H139,$AH$7:$AH$3000,"yes")+COUNTIFS($B$7:B139,B139,$C$7:C139,C139,$H$7:H139,H139,$AH$7:AH139,"yes"),"")</f>
        <v>2</v>
      </c>
      <c r="AG139" s="109" t="n">
        <f aca="false">IF(ISNUMBER(I139),COUNTIFS($B$7:$B$3000,B139,$C$7:$C$3000,C139,$I$7:$I$3000,"&lt;"&amp;I139,$AI$7:$AI$3000,"yes")+COUNTIFS($B$7:B139,B139,$C$7:C139,C139,$I$7:I139,I139,$AI$7:AI139,"yes"),"")</f>
        <v>2</v>
      </c>
      <c r="AH139" s="109" t="str">
        <f aca="false">IF(ISNUMBER(H139),"yes","no")</f>
        <v>yes</v>
      </c>
      <c r="AI139" s="109" t="str">
        <f aca="false">IF(ISNUMBER(I139),"yes","no")</f>
        <v>yes</v>
      </c>
      <c r="AJ139" s="116" t="n">
        <v>46295</v>
      </c>
      <c r="AK139" s="109"/>
    </row>
    <row r="140" customFormat="false" ht="48.75" hidden="false" customHeight="true" outlineLevel="0" collapsed="false">
      <c r="A140" s="3"/>
      <c r="B140" s="36" t="s">
        <v>25</v>
      </c>
      <c r="C140" s="98" t="s">
        <v>17</v>
      </c>
      <c r="D140" s="98" t="s">
        <v>332</v>
      </c>
      <c r="E140" s="110" t="s">
        <v>869</v>
      </c>
      <c r="F140" s="99" t="n">
        <v>29</v>
      </c>
      <c r="G140" s="98" t="s">
        <v>333</v>
      </c>
      <c r="H140" s="112" t="str">
        <f aca="false">IF(AND(AE140="yes",ISNUMBER(AD140)),AD140,"")</f>
        <v/>
      </c>
      <c r="I140" s="95" t="str">
        <f aca="false">IF(AND(AE140="yes",ISNUMBER(AD140),ISNUMBER(INDEX(Sources!$G$7:$G$10,MATCH(AB140,Sources!$B$7:$B$10,0)))),ROUND(AD140/INDEX(Sources!$G$7:$G$10,MATCH(AB140,Sources!$B$7:$B$10,0)),6),"")</f>
        <v/>
      </c>
      <c r="J140" s="98" t="s">
        <v>629</v>
      </c>
      <c r="K140" s="98" t="s">
        <v>586</v>
      </c>
      <c r="L140" s="96"/>
      <c r="M140" s="110" t="s">
        <v>870</v>
      </c>
      <c r="N140" s="117" t="s">
        <v>871</v>
      </c>
      <c r="O140" s="110"/>
      <c r="P140" s="110" t="s">
        <v>590</v>
      </c>
      <c r="Q140" s="118" t="n">
        <v>0.21</v>
      </c>
      <c r="R140" s="110" t="n">
        <v>1</v>
      </c>
      <c r="S140" s="110" t="s">
        <v>632</v>
      </c>
      <c r="T140" s="110" t="s">
        <v>629</v>
      </c>
      <c r="U140" s="110" t="s">
        <v>591</v>
      </c>
      <c r="V140" s="119"/>
      <c r="W140" s="119"/>
      <c r="X140" s="110" t="s">
        <v>626</v>
      </c>
      <c r="Y140" s="110"/>
      <c r="Z140" s="110"/>
      <c r="AA140" s="110"/>
      <c r="AB140" s="110" t="s">
        <v>333</v>
      </c>
      <c r="AC140" s="110" t="s">
        <v>538</v>
      </c>
      <c r="AD140" s="110" t="n">
        <f aca="false">IF(OR(F140="",Q140="",R140=""),"",ROUND(IF(P140="incl.",F140/(1+Q140),F140)/IF(S140="per pack",R140,1),2))</f>
        <v>29</v>
      </c>
      <c r="AE140" s="110" t="str">
        <f aca="false">IF(AND(AC140="yes",ISNUMBER(F140),IF(Compare!$H$5="All mapped",TRUE(),IF(Compare!$H$5="EXACT only",J140="EXACT",OR(J140="EXACT",J140="CLOSE")))),"yes","no")</f>
        <v>no</v>
      </c>
      <c r="AF140" s="110" t="str">
        <f aca="false">IF(ISNUMBER(H140),COUNTIFS($B$7:$B$3000,B140,$C$7:$C$3000,C140,$H$7:$H$3000,"&lt;"&amp;H140,$AH$7:$AH$3000,"yes")+COUNTIFS($B$7:B140,B140,$C$7:C140,C140,$H$7:H140,H140,$AH$7:AH140,"yes"),"")</f>
        <v/>
      </c>
      <c r="AG140" s="110" t="str">
        <f aca="false">IF(ISNUMBER(I140),COUNTIFS($B$7:$B$3000,B140,$C$7:$C$3000,C140,$I$7:$I$3000,"&lt;"&amp;I140,$AI$7:$AI$3000,"yes")+COUNTIFS($B$7:B140,B140,$C$7:C140,C140,$I$7:I140,I140,$AI$7:AI140,"yes"),"")</f>
        <v/>
      </c>
      <c r="AH140" s="110" t="str">
        <f aca="false">IF(ISNUMBER(H140),"yes","no")</f>
        <v>no</v>
      </c>
      <c r="AI140" s="110" t="str">
        <f aca="false">IF(ISNUMBER(I140),"yes","no")</f>
        <v>no</v>
      </c>
      <c r="AJ140" s="120" t="n">
        <v>46295</v>
      </c>
      <c r="AK140" s="110"/>
    </row>
    <row r="141" customFormat="false" ht="48.75" hidden="false" customHeight="true" outlineLevel="0" collapsed="false">
      <c r="A141" s="3"/>
      <c r="B141" s="31" t="s">
        <v>25</v>
      </c>
      <c r="C141" s="91" t="s">
        <v>17</v>
      </c>
      <c r="D141" s="91" t="s">
        <v>342</v>
      </c>
      <c r="E141" s="109" t="s">
        <v>872</v>
      </c>
      <c r="F141" s="92" t="n">
        <v>352</v>
      </c>
      <c r="G141" s="91" t="s">
        <v>333</v>
      </c>
      <c r="H141" s="112" t="n">
        <f aca="false">IF(AND(AE141="yes",ISNUMBER(AD141)),AD141,"")</f>
        <v>352</v>
      </c>
      <c r="I141" s="95" t="n">
        <f aca="false">IF(AND(AE141="yes",ISNUMBER(AD141),ISNUMBER(INDEX(Sources!$G$7:$G$10,MATCH(AB141,Sources!$B$7:$B$10,0)))),ROUND(AD141/INDEX(Sources!$G$7:$G$10,MATCH(AB141,Sources!$B$7:$B$10,0)),6),"")</f>
        <v>14.41228</v>
      </c>
      <c r="J141" s="91" t="s">
        <v>702</v>
      </c>
      <c r="K141" s="91" t="s">
        <v>586</v>
      </c>
      <c r="L141" s="96"/>
      <c r="M141" s="109" t="s">
        <v>873</v>
      </c>
      <c r="N141" s="113" t="s">
        <v>874</v>
      </c>
      <c r="O141" s="109" t="s">
        <v>875</v>
      </c>
      <c r="P141" s="109" t="s">
        <v>590</v>
      </c>
      <c r="Q141" s="114" t="n">
        <v>0.21</v>
      </c>
      <c r="R141" s="109" t="n">
        <v>1</v>
      </c>
      <c r="S141" s="109" t="s">
        <v>632</v>
      </c>
      <c r="T141" s="109" t="s">
        <v>702</v>
      </c>
      <c r="U141" s="109" t="s">
        <v>591</v>
      </c>
      <c r="V141" s="115"/>
      <c r="W141" s="115"/>
      <c r="X141" s="109" t="s">
        <v>626</v>
      </c>
      <c r="Y141" s="109"/>
      <c r="Z141" s="109"/>
      <c r="AA141" s="109"/>
      <c r="AB141" s="109" t="s">
        <v>333</v>
      </c>
      <c r="AC141" s="109" t="s">
        <v>538</v>
      </c>
      <c r="AD141" s="109" t="n">
        <f aca="false">IF(OR(F141="",Q141="",R141=""),"",ROUND(IF(P141="incl.",F141/(1+Q141),F141)/IF(S141="per pack",R141,1),2))</f>
        <v>352</v>
      </c>
      <c r="AE141" s="109" t="str">
        <f aca="false">IF(AND(AC141="yes",ISNUMBER(F141),IF(Compare!$H$5="All mapped",TRUE(),IF(Compare!$H$5="EXACT only",J141="EXACT",OR(J141="EXACT",J141="CLOSE")))),"yes","no")</f>
        <v>yes</v>
      </c>
      <c r="AF141" s="109" t="n">
        <f aca="false">IF(ISNUMBER(H141),COUNTIFS($B$7:$B$3000,B141,$C$7:$C$3000,C141,$H$7:$H$3000,"&lt;"&amp;H141,$AH$7:$AH$3000,"yes")+COUNTIFS($B$7:B141,B141,$C$7:C141,C141,$H$7:H141,H141,$AH$7:AH141,"yes"),"")</f>
        <v>5</v>
      </c>
      <c r="AG141" s="109" t="n">
        <f aca="false">IF(ISNUMBER(I141),COUNTIFS($B$7:$B$3000,B141,$C$7:$C$3000,C141,$I$7:$I$3000,"&lt;"&amp;I141,$AI$7:$AI$3000,"yes")+COUNTIFS($B$7:B141,B141,$C$7:C141,C141,$I$7:I141,I141,$AI$7:AI141,"yes"),"")</f>
        <v>5</v>
      </c>
      <c r="AH141" s="109" t="str">
        <f aca="false">IF(ISNUMBER(H141),"yes","no")</f>
        <v>yes</v>
      </c>
      <c r="AI141" s="109" t="str">
        <f aca="false">IF(ISNUMBER(I141),"yes","no")</f>
        <v>yes</v>
      </c>
      <c r="AJ141" s="116" t="n">
        <v>46295</v>
      </c>
      <c r="AK141" s="109"/>
    </row>
    <row r="142" customFormat="false" ht="42" hidden="false" customHeight="true" outlineLevel="0" collapsed="false">
      <c r="A142" s="3"/>
      <c r="B142" s="36" t="s">
        <v>25</v>
      </c>
      <c r="C142" s="98" t="s">
        <v>17</v>
      </c>
      <c r="D142" s="98" t="s">
        <v>346</v>
      </c>
      <c r="E142" s="110" t="s">
        <v>876</v>
      </c>
      <c r="F142" s="99" t="n">
        <v>313</v>
      </c>
      <c r="G142" s="98" t="s">
        <v>333</v>
      </c>
      <c r="H142" s="112" t="n">
        <f aca="false">IF(AND(AE142="yes",ISNUMBER(AD142)),AD142,"")</f>
        <v>258.68</v>
      </c>
      <c r="I142" s="95" t="n">
        <f aca="false">IF(AND(AE142="yes",ISNUMBER(AD142),ISNUMBER(INDEX(Sources!$G$7:$G$10,MATCH(AB142,Sources!$B$7:$B$10,0)))),ROUND(AD142/INDEX(Sources!$G$7:$G$10,MATCH(AB142,Sources!$B$7:$B$10,0)),6),"")</f>
        <v>10.591388</v>
      </c>
      <c r="J142" s="98" t="s">
        <v>702</v>
      </c>
      <c r="K142" s="98" t="s">
        <v>586</v>
      </c>
      <c r="L142" s="96"/>
      <c r="M142" s="110" t="s">
        <v>877</v>
      </c>
      <c r="N142" s="117" t="s">
        <v>878</v>
      </c>
      <c r="O142" s="110" t="s">
        <v>589</v>
      </c>
      <c r="P142" s="110" t="s">
        <v>265</v>
      </c>
      <c r="Q142" s="118" t="n">
        <v>0.21</v>
      </c>
      <c r="R142" s="110" t="n">
        <v>1</v>
      </c>
      <c r="S142" s="110" t="s">
        <v>632</v>
      </c>
      <c r="T142" s="110" t="s">
        <v>702</v>
      </c>
      <c r="U142" s="110" t="s">
        <v>591</v>
      </c>
      <c r="V142" s="119"/>
      <c r="W142" s="119"/>
      <c r="X142" s="110" t="s">
        <v>626</v>
      </c>
      <c r="Y142" s="110"/>
      <c r="Z142" s="110"/>
      <c r="AA142" s="110"/>
      <c r="AB142" s="110" t="s">
        <v>333</v>
      </c>
      <c r="AC142" s="110" t="s">
        <v>538</v>
      </c>
      <c r="AD142" s="110" t="n">
        <f aca="false">IF(OR(F142="",Q142="",R142=""),"",ROUND(IF(P142="incl.",F142/(1+Q142),F142)/IF(S142="per pack",R142,1),2))</f>
        <v>258.68</v>
      </c>
      <c r="AE142" s="110" t="str">
        <f aca="false">IF(AND(AC142="yes",ISNUMBER(F142),IF(Compare!$H$5="All mapped",TRUE(),IF(Compare!$H$5="EXACT only",J142="EXACT",OR(J142="EXACT",J142="CLOSE")))),"yes","no")</f>
        <v>yes</v>
      </c>
      <c r="AF142" s="110" t="n">
        <f aca="false">IF(ISNUMBER(H142),COUNTIFS($B$7:$B$3000,B142,$C$7:$C$3000,C142,$H$7:$H$3000,"&lt;"&amp;H142,$AH$7:$AH$3000,"yes")+COUNTIFS($B$7:B142,B142,$C$7:C142,C142,$H$7:H142,H142,$AH$7:AH142,"yes"),"")</f>
        <v>4</v>
      </c>
      <c r="AG142" s="110" t="n">
        <f aca="false">IF(ISNUMBER(I142),COUNTIFS($B$7:$B$3000,B142,$C$7:$C$3000,C142,$I$7:$I$3000,"&lt;"&amp;I142,$AI$7:$AI$3000,"yes")+COUNTIFS($B$7:B142,B142,$C$7:C142,C142,$I$7:I142,I142,$AI$7:AI142,"yes"),"")</f>
        <v>4</v>
      </c>
      <c r="AH142" s="110" t="str">
        <f aca="false">IF(ISNUMBER(H142),"yes","no")</f>
        <v>yes</v>
      </c>
      <c r="AI142" s="110" t="str">
        <f aca="false">IF(ISNUMBER(I142),"yes","no")</f>
        <v>yes</v>
      </c>
      <c r="AJ142" s="120" t="n">
        <v>46295</v>
      </c>
      <c r="AK142" s="110"/>
    </row>
    <row r="143" customFormat="false" ht="42" hidden="false" customHeight="true" outlineLevel="0" collapsed="false">
      <c r="A143" s="3"/>
      <c r="B143" s="31" t="s">
        <v>25</v>
      </c>
      <c r="C143" s="91" t="s">
        <v>17</v>
      </c>
      <c r="D143" s="91" t="s">
        <v>361</v>
      </c>
      <c r="E143" s="109" t="s">
        <v>879</v>
      </c>
      <c r="F143" s="92" t="n">
        <v>58</v>
      </c>
      <c r="G143" s="91" t="s">
        <v>333</v>
      </c>
      <c r="H143" s="112" t="str">
        <f aca="false">IF(AND(AE143="yes",ISNUMBER(AD143)),AD143,"")</f>
        <v/>
      </c>
      <c r="I143" s="95" t="str">
        <f aca="false">IF(AND(AE143="yes",ISNUMBER(AD143),ISNUMBER(INDEX(Sources!$G$7:$G$10,MATCH(AB143,Sources!$B$7:$B$10,0)))),ROUND(AD143/INDEX(Sources!$G$7:$G$10,MATCH(AB143,Sources!$B$7:$B$10,0)),6),"")</f>
        <v/>
      </c>
      <c r="J143" s="91" t="s">
        <v>629</v>
      </c>
      <c r="K143" s="91" t="s">
        <v>586</v>
      </c>
      <c r="L143" s="96"/>
      <c r="M143" s="109" t="s">
        <v>880</v>
      </c>
      <c r="N143" s="113" t="s">
        <v>881</v>
      </c>
      <c r="O143" s="109" t="s">
        <v>882</v>
      </c>
      <c r="P143" s="109" t="s">
        <v>265</v>
      </c>
      <c r="Q143" s="114" t="n">
        <v>0.21</v>
      </c>
      <c r="R143" s="109" t="n">
        <v>1</v>
      </c>
      <c r="S143" s="109" t="s">
        <v>632</v>
      </c>
      <c r="T143" s="109" t="s">
        <v>629</v>
      </c>
      <c r="U143" s="109" t="s">
        <v>591</v>
      </c>
      <c r="V143" s="115"/>
      <c r="W143" s="115"/>
      <c r="X143" s="109" t="s">
        <v>626</v>
      </c>
      <c r="Y143" s="109"/>
      <c r="Z143" s="109"/>
      <c r="AA143" s="109"/>
      <c r="AB143" s="109" t="s">
        <v>333</v>
      </c>
      <c r="AC143" s="109" t="s">
        <v>538</v>
      </c>
      <c r="AD143" s="109" t="n">
        <f aca="false">IF(OR(F143="",Q143="",R143=""),"",ROUND(IF(P143="incl.",F143/(1+Q143),F143)/IF(S143="per pack",R143,1),2))</f>
        <v>47.93</v>
      </c>
      <c r="AE143" s="109" t="str">
        <f aca="false">IF(AND(AC143="yes",ISNUMBER(F143),IF(Compare!$H$5="All mapped",TRUE(),IF(Compare!$H$5="EXACT only",J143="EXACT",OR(J143="EXACT",J143="CLOSE")))),"yes","no")</f>
        <v>no</v>
      </c>
      <c r="AF143" s="109" t="str">
        <f aca="false">IF(ISNUMBER(H143),COUNTIFS($B$7:$B$3000,B143,$C$7:$C$3000,C143,$H$7:$H$3000,"&lt;"&amp;H143,$AH$7:$AH$3000,"yes")+COUNTIFS($B$7:B143,B143,$C$7:C143,C143,$H$7:H143,H143,$AH$7:AH143,"yes"),"")</f>
        <v/>
      </c>
      <c r="AG143" s="109" t="str">
        <f aca="false">IF(ISNUMBER(I143),COUNTIFS($B$7:$B$3000,B143,$C$7:$C$3000,C143,$I$7:$I$3000,"&lt;"&amp;I143,$AI$7:$AI$3000,"yes")+COUNTIFS($B$7:B143,B143,$C$7:C143,C143,$I$7:I143,I143,$AI$7:AI143,"yes"),"")</f>
        <v/>
      </c>
      <c r="AH143" s="109" t="str">
        <f aca="false">IF(ISNUMBER(H143),"yes","no")</f>
        <v>no</v>
      </c>
      <c r="AI143" s="109" t="str">
        <f aca="false">IF(ISNUMBER(I143),"yes","no")</f>
        <v>no</v>
      </c>
      <c r="AJ143" s="116" t="n">
        <v>46295</v>
      </c>
      <c r="AK143" s="109"/>
    </row>
    <row r="144" customFormat="false" ht="61.5" hidden="false" customHeight="true" outlineLevel="0" collapsed="false">
      <c r="A144" s="3"/>
      <c r="B144" s="36" t="s">
        <v>25</v>
      </c>
      <c r="C144" s="98" t="s">
        <v>18</v>
      </c>
      <c r="D144" s="98" t="s">
        <v>365</v>
      </c>
      <c r="E144" s="110" t="s">
        <v>883</v>
      </c>
      <c r="F144" s="99" t="n">
        <v>13.68</v>
      </c>
      <c r="G144" s="98" t="s">
        <v>244</v>
      </c>
      <c r="H144" s="112" t="str">
        <f aca="false">IF(AND(AE144="yes",ISNUMBER(AD144)),AD144,"")</f>
        <v/>
      </c>
      <c r="I144" s="95" t="str">
        <f aca="false">IF(AND(AE144="yes",ISNUMBER(AD144),ISNUMBER(INDEX(Sources!$G$7:$G$10,MATCH(AB144,Sources!$B$7:$B$10,0)))),ROUND(AD144/INDEX(Sources!$G$7:$G$10,MATCH(AB144,Sources!$B$7:$B$10,0)),6),"")</f>
        <v/>
      </c>
      <c r="J144" s="98" t="s">
        <v>629</v>
      </c>
      <c r="K144" s="98" t="s">
        <v>586</v>
      </c>
      <c r="L144" s="96"/>
      <c r="M144" s="110" t="s">
        <v>884</v>
      </c>
      <c r="N144" s="117" t="s">
        <v>885</v>
      </c>
      <c r="O144" s="110" t="s">
        <v>875</v>
      </c>
      <c r="P144" s="110" t="s">
        <v>590</v>
      </c>
      <c r="Q144" s="118" t="s">
        <v>647</v>
      </c>
      <c r="R144" s="110" t="n">
        <v>1</v>
      </c>
      <c r="S144" s="110" t="s">
        <v>632</v>
      </c>
      <c r="T144" s="110" t="s">
        <v>629</v>
      </c>
      <c r="U144" s="110" t="s">
        <v>591</v>
      </c>
      <c r="V144" s="119" t="n">
        <v>13.68</v>
      </c>
      <c r="W144" s="119"/>
      <c r="X144" s="110" t="s">
        <v>648</v>
      </c>
      <c r="Y144" s="110"/>
      <c r="Z144" s="110"/>
      <c r="AA144" s="110"/>
      <c r="AB144" s="110" t="s">
        <v>244</v>
      </c>
      <c r="AC144" s="110" t="s">
        <v>538</v>
      </c>
      <c r="AD144" s="110" t="n">
        <f aca="false">IF(ISNUMBER(V144),ROUND(V144,6),"")</f>
        <v>13.68</v>
      </c>
      <c r="AE144" s="110" t="str">
        <f aca="false">IF(AND(AC144="yes",ISNUMBER(F144),IF(Compare!$H$5="All mapped",TRUE(),IF(Compare!$H$5="EXACT only",J144="EXACT",OR(J144="EXACT",J144="CLOSE")))),"yes","no")</f>
        <v>no</v>
      </c>
      <c r="AF144" s="110" t="str">
        <f aca="false">IF(ISNUMBER(H144),COUNTIFS($B$7:$B$3000,B144,$C$7:$C$3000,C144,$H$7:$H$3000,"&lt;"&amp;H144,$AH$7:$AH$3000,"yes")+COUNTIFS($B$7:B144,B144,$C$7:C144,C144,$H$7:H144,H144,$AH$7:AH144,"yes"),"")</f>
        <v/>
      </c>
      <c r="AG144" s="110" t="str">
        <f aca="false">IF(ISNUMBER(I144),COUNTIFS($B$7:$B$3000,B144,$C$7:$C$3000,C144,$I$7:$I$3000,"&lt;"&amp;I144,$AI$7:$AI$3000,"yes")+COUNTIFS($B$7:B144,B144,$C$7:C144,C144,$I$7:I144,I144,$AI$7:AI144,"yes"),"")</f>
        <v/>
      </c>
      <c r="AH144" s="110" t="str">
        <f aca="false">IF(ISNUMBER(H144),"yes","no")</f>
        <v>no</v>
      </c>
      <c r="AI144" s="110" t="str">
        <f aca="false">IF(ISNUMBER(I144),"yes","no")</f>
        <v>no</v>
      </c>
      <c r="AJ144" s="120" t="n">
        <v>46295</v>
      </c>
      <c r="AK144" s="110"/>
    </row>
    <row r="145" customFormat="false" ht="42" hidden="false" customHeight="true" outlineLevel="0" collapsed="false">
      <c r="A145" s="3"/>
      <c r="B145" s="31" t="s">
        <v>25</v>
      </c>
      <c r="C145" s="91" t="s">
        <v>18</v>
      </c>
      <c r="D145" s="91" t="s">
        <v>369</v>
      </c>
      <c r="E145" s="109" t="s">
        <v>886</v>
      </c>
      <c r="F145" s="92" t="n">
        <v>13.16</v>
      </c>
      <c r="G145" s="91" t="s">
        <v>244</v>
      </c>
      <c r="H145" s="112" t="str">
        <f aca="false">IF(AND(AE145="yes",ISNUMBER(AD145)),AD145,"")</f>
        <v/>
      </c>
      <c r="I145" s="95" t="str">
        <f aca="false">IF(AND(AE145="yes",ISNUMBER(AD145),ISNUMBER(INDEX(Sources!$G$7:$G$10,MATCH(AB145,Sources!$B$7:$B$10,0)))),ROUND(AD145/INDEX(Sources!$G$7:$G$10,MATCH(AB145,Sources!$B$7:$B$10,0)),6),"")</f>
        <v/>
      </c>
      <c r="J145" s="91" t="s">
        <v>629</v>
      </c>
      <c r="K145" s="91" t="s">
        <v>586</v>
      </c>
      <c r="L145" s="96"/>
      <c r="M145" s="109" t="s">
        <v>887</v>
      </c>
      <c r="N145" s="113" t="s">
        <v>888</v>
      </c>
      <c r="O145" s="109" t="s">
        <v>589</v>
      </c>
      <c r="P145" s="109" t="s">
        <v>265</v>
      </c>
      <c r="Q145" s="114" t="n">
        <v>0.23</v>
      </c>
      <c r="R145" s="109" t="n">
        <v>1</v>
      </c>
      <c r="S145" s="109" t="s">
        <v>632</v>
      </c>
      <c r="T145" s="109" t="s">
        <v>629</v>
      </c>
      <c r="U145" s="109" t="s">
        <v>591</v>
      </c>
      <c r="V145" s="115" t="n">
        <v>10.6991869918699</v>
      </c>
      <c r="W145" s="115"/>
      <c r="X145" s="109" t="s">
        <v>648</v>
      </c>
      <c r="Y145" s="109"/>
      <c r="Z145" s="109"/>
      <c r="AA145" s="109"/>
      <c r="AB145" s="109" t="s">
        <v>244</v>
      </c>
      <c r="AC145" s="109" t="s">
        <v>538</v>
      </c>
      <c r="AD145" s="109" t="n">
        <f aca="false">IF(ISNUMBER(V145),ROUND(V145,6),"")</f>
        <v>10.699187</v>
      </c>
      <c r="AE145" s="109" t="str">
        <f aca="false">IF(AND(AC145="yes",ISNUMBER(F145),IF(Compare!$H$5="All mapped",TRUE(),IF(Compare!$H$5="EXACT only",J145="EXACT",OR(J145="EXACT",J145="CLOSE")))),"yes","no")</f>
        <v>no</v>
      </c>
      <c r="AF145" s="109" t="str">
        <f aca="false">IF(ISNUMBER(H145),COUNTIFS($B$7:$B$3000,B145,$C$7:$C$3000,C145,$H$7:$H$3000,"&lt;"&amp;H145,$AH$7:$AH$3000,"yes")+COUNTIFS($B$7:B145,B145,$C$7:C145,C145,$H$7:H145,H145,$AH$7:AH145,"yes"),"")</f>
        <v/>
      </c>
      <c r="AG145" s="109" t="str">
        <f aca="false">IF(ISNUMBER(I145),COUNTIFS($B$7:$B$3000,B145,$C$7:$C$3000,C145,$I$7:$I$3000,"&lt;"&amp;I145,$AI$7:$AI$3000,"yes")+COUNTIFS($B$7:B145,B145,$C$7:C145,C145,$I$7:I145,I145,$AI$7:AI145,"yes"),"")</f>
        <v/>
      </c>
      <c r="AH145" s="109" t="str">
        <f aca="false">IF(ISNUMBER(H145),"yes","no")</f>
        <v>no</v>
      </c>
      <c r="AI145" s="109" t="str">
        <f aca="false">IF(ISNUMBER(I145),"yes","no")</f>
        <v>no</v>
      </c>
      <c r="AJ145" s="116" t="n">
        <v>46295</v>
      </c>
      <c r="AK145" s="109"/>
    </row>
    <row r="146" customFormat="false" ht="42" hidden="false" customHeight="true" outlineLevel="0" collapsed="false">
      <c r="A146" s="3"/>
      <c r="B146" s="36" t="s">
        <v>26</v>
      </c>
      <c r="C146" s="98" t="s">
        <v>15</v>
      </c>
      <c r="D146" s="98" t="s">
        <v>269</v>
      </c>
      <c r="E146" s="110" t="s">
        <v>889</v>
      </c>
      <c r="F146" s="99" t="n">
        <v>2.09</v>
      </c>
      <c r="G146" s="98" t="s">
        <v>244</v>
      </c>
      <c r="H146" s="112" t="n">
        <f aca="false">IF(AND(AE146="yes",ISNUMBER(AD146)),AD146,"")</f>
        <v>2.09</v>
      </c>
      <c r="I146" s="95" t="n">
        <f aca="false">IF(AND(AE146="yes",ISNUMBER(AD146),ISNUMBER(INDEX(Sources!$G$7:$G$10,MATCH(AB146,Sources!$B$7:$B$10,0)))),ROUND(AD146/INDEX(Sources!$G$7:$G$10,MATCH(AB146,Sources!$B$7:$B$10,0)),6),"")</f>
        <v>2.09</v>
      </c>
      <c r="J146" s="98" t="s">
        <v>702</v>
      </c>
      <c r="K146" s="98" t="s">
        <v>586</v>
      </c>
      <c r="L146" s="96"/>
      <c r="M146" s="110" t="s">
        <v>890</v>
      </c>
      <c r="N146" s="117" t="s">
        <v>891</v>
      </c>
      <c r="O146" s="110" t="s">
        <v>662</v>
      </c>
      <c r="P146" s="110" t="s">
        <v>590</v>
      </c>
      <c r="Q146" s="118"/>
      <c r="R146" s="110" t="n">
        <v>1</v>
      </c>
      <c r="S146" s="110"/>
      <c r="T146" s="110" t="s">
        <v>702</v>
      </c>
      <c r="U146" s="110" t="s">
        <v>591</v>
      </c>
      <c r="V146" s="119" t="n">
        <v>2.09</v>
      </c>
      <c r="W146" s="119"/>
      <c r="X146" s="110" t="s">
        <v>592</v>
      </c>
      <c r="Y146" s="110"/>
      <c r="Z146" s="110"/>
      <c r="AA146" s="110"/>
      <c r="AB146" s="110" t="s">
        <v>244</v>
      </c>
      <c r="AC146" s="110" t="s">
        <v>538</v>
      </c>
      <c r="AD146" s="110" t="n">
        <f aca="false">IF(ISNUMBER(V146),ROUND(V146,6),"")</f>
        <v>2.09</v>
      </c>
      <c r="AE146" s="110" t="str">
        <f aca="false">IF(AND(AC146="yes",ISNUMBER(F146),IF(Compare!$H$5="All mapped",TRUE(),IF(Compare!$H$5="EXACT only",J146="EXACT",OR(J146="EXACT",J146="CLOSE")))),"yes","no")</f>
        <v>yes</v>
      </c>
      <c r="AF146" s="110" t="n">
        <f aca="false">IF(ISNUMBER(H146),COUNTIFS($B$7:$B$3000,B146,$C$7:$C$3000,C146,$H$7:$H$3000,"&lt;"&amp;H146,$AH$7:$AH$3000,"yes")+COUNTIFS($B$7:B146,B146,$C$7:C146,C146,$H$7:H146,H146,$AH$7:AH146,"yes"),"")</f>
        <v>2</v>
      </c>
      <c r="AG146" s="110" t="n">
        <f aca="false">IF(ISNUMBER(I146),COUNTIFS($B$7:$B$3000,B146,$C$7:$C$3000,C146,$I$7:$I$3000,"&lt;"&amp;I146,$AI$7:$AI$3000,"yes")+COUNTIFS($B$7:B146,B146,$C$7:C146,C146,$I$7:I146,I146,$AI$7:AI146,"yes"),"")</f>
        <v>2</v>
      </c>
      <c r="AH146" s="110" t="str">
        <f aca="false">IF(ISNUMBER(H146),"yes","no")</f>
        <v>yes</v>
      </c>
      <c r="AI146" s="110" t="str">
        <f aca="false">IF(ISNUMBER(I146),"yes","no")</f>
        <v>yes</v>
      </c>
      <c r="AJ146" s="120" t="n">
        <v>46295</v>
      </c>
      <c r="AK146" s="110"/>
    </row>
    <row r="147" customFormat="false" ht="42" hidden="false" customHeight="true" outlineLevel="0" collapsed="false">
      <c r="A147" s="3"/>
      <c r="B147" s="31" t="s">
        <v>26</v>
      </c>
      <c r="C147" s="91" t="s">
        <v>15</v>
      </c>
      <c r="D147" s="91" t="s">
        <v>264</v>
      </c>
      <c r="E147" s="109" t="s">
        <v>892</v>
      </c>
      <c r="F147" s="92" t="n">
        <v>2.76</v>
      </c>
      <c r="G147" s="91" t="s">
        <v>244</v>
      </c>
      <c r="H147" s="112" t="n">
        <f aca="false">IF(AND(AE147="yes",ISNUMBER(AD147)),AD147,"")</f>
        <v>2.76</v>
      </c>
      <c r="I147" s="95" t="n">
        <f aca="false">IF(AND(AE147="yes",ISNUMBER(AD147),ISNUMBER(INDEX(Sources!$G$7:$G$10,MATCH(AB147,Sources!$B$7:$B$10,0)))),ROUND(AD147/INDEX(Sources!$G$7:$G$10,MATCH(AB147,Sources!$B$7:$B$10,0)),6),"")</f>
        <v>2.76</v>
      </c>
      <c r="J147" s="91" t="s">
        <v>702</v>
      </c>
      <c r="K147" s="91" t="s">
        <v>586</v>
      </c>
      <c r="L147" s="96"/>
      <c r="M147" s="109" t="s">
        <v>893</v>
      </c>
      <c r="N147" s="113" t="s">
        <v>894</v>
      </c>
      <c r="O147" s="109" t="s">
        <v>646</v>
      </c>
      <c r="P147" s="109" t="s">
        <v>590</v>
      </c>
      <c r="Q147" s="114"/>
      <c r="R147" s="109" t="n">
        <v>1</v>
      </c>
      <c r="S147" s="109"/>
      <c r="T147" s="109" t="s">
        <v>702</v>
      </c>
      <c r="U147" s="109" t="s">
        <v>591</v>
      </c>
      <c r="V147" s="115" t="n">
        <v>2.76</v>
      </c>
      <c r="W147" s="115"/>
      <c r="X147" s="109" t="s">
        <v>592</v>
      </c>
      <c r="Y147" s="109"/>
      <c r="Z147" s="109"/>
      <c r="AA147" s="109"/>
      <c r="AB147" s="109" t="s">
        <v>244</v>
      </c>
      <c r="AC147" s="109" t="s">
        <v>538</v>
      </c>
      <c r="AD147" s="109" t="n">
        <f aca="false">IF(ISNUMBER(V147),ROUND(V147,6),"")</f>
        <v>2.76</v>
      </c>
      <c r="AE147" s="109" t="str">
        <f aca="false">IF(AND(AC147="yes",ISNUMBER(F147),IF(Compare!$H$5="All mapped",TRUE(),IF(Compare!$H$5="EXACT only",J147="EXACT",OR(J147="EXACT",J147="CLOSE")))),"yes","no")</f>
        <v>yes</v>
      </c>
      <c r="AF147" s="109" t="n">
        <f aca="false">IF(ISNUMBER(H147),COUNTIFS($B$7:$B$3000,B147,$C$7:$C$3000,C147,$H$7:$H$3000,"&lt;"&amp;H147,$AH$7:$AH$3000,"yes")+COUNTIFS($B$7:B147,B147,$C$7:C147,C147,$H$7:H147,H147,$AH$7:AH147,"yes"),"")</f>
        <v>3</v>
      </c>
      <c r="AG147" s="109" t="n">
        <f aca="false">IF(ISNUMBER(I147),COUNTIFS($B$7:$B$3000,B147,$C$7:$C$3000,C147,$I$7:$I$3000,"&lt;"&amp;I147,$AI$7:$AI$3000,"yes")+COUNTIFS($B$7:B147,B147,$C$7:C147,C147,$I$7:I147,I147,$AI$7:AI147,"yes"),"")</f>
        <v>3</v>
      </c>
      <c r="AH147" s="109" t="str">
        <f aca="false">IF(ISNUMBER(H147),"yes","no")</f>
        <v>yes</v>
      </c>
      <c r="AI147" s="109" t="str">
        <f aca="false">IF(ISNUMBER(I147),"yes","no")</f>
        <v>yes</v>
      </c>
      <c r="AJ147" s="116" t="n">
        <v>46295</v>
      </c>
      <c r="AK147" s="109"/>
    </row>
    <row r="148" customFormat="false" ht="42" hidden="false" customHeight="true" outlineLevel="0" collapsed="false">
      <c r="A148" s="3"/>
      <c r="B148" s="36" t="s">
        <v>26</v>
      </c>
      <c r="C148" s="98" t="s">
        <v>15</v>
      </c>
      <c r="D148" s="98" t="s">
        <v>273</v>
      </c>
      <c r="E148" s="110" t="s">
        <v>895</v>
      </c>
      <c r="F148" s="99" t="n">
        <v>3.79</v>
      </c>
      <c r="G148" s="98" t="s">
        <v>244</v>
      </c>
      <c r="H148" s="112" t="n">
        <f aca="false">IF(AND(AE148="yes",ISNUMBER(AD148)),AD148,"")</f>
        <v>3.16</v>
      </c>
      <c r="I148" s="95" t="n">
        <f aca="false">IF(AND(AE148="yes",ISNUMBER(AD148),ISNUMBER(INDEX(Sources!$G$7:$G$10,MATCH(AB148,Sources!$B$7:$B$10,0)))),ROUND(AD148/INDEX(Sources!$G$7:$G$10,MATCH(AB148,Sources!$B$7:$B$10,0)),6),"")</f>
        <v>3.16</v>
      </c>
      <c r="J148" s="98" t="s">
        <v>702</v>
      </c>
      <c r="K148" s="98" t="s">
        <v>586</v>
      </c>
      <c r="L148" s="96"/>
      <c r="M148" s="110" t="s">
        <v>896</v>
      </c>
      <c r="N148" s="117" t="s">
        <v>897</v>
      </c>
      <c r="O148" s="110" t="s">
        <v>598</v>
      </c>
      <c r="P148" s="110" t="s">
        <v>265</v>
      </c>
      <c r="Q148" s="118"/>
      <c r="R148" s="110" t="n">
        <v>1</v>
      </c>
      <c r="S148" s="110"/>
      <c r="T148" s="110" t="s">
        <v>702</v>
      </c>
      <c r="U148" s="110" t="s">
        <v>591</v>
      </c>
      <c r="V148" s="119" t="n">
        <v>3.16</v>
      </c>
      <c r="W148" s="119"/>
      <c r="X148" s="110" t="s">
        <v>592</v>
      </c>
      <c r="Y148" s="110"/>
      <c r="Z148" s="110"/>
      <c r="AA148" s="110"/>
      <c r="AB148" s="110" t="s">
        <v>244</v>
      </c>
      <c r="AC148" s="110" t="s">
        <v>538</v>
      </c>
      <c r="AD148" s="110" t="n">
        <f aca="false">IF(ISNUMBER(V148),ROUND(V148,6),"")</f>
        <v>3.16</v>
      </c>
      <c r="AE148" s="110" t="str">
        <f aca="false">IF(AND(AC148="yes",ISNUMBER(F148),IF(Compare!$H$5="All mapped",TRUE(),IF(Compare!$H$5="EXACT only",J148="EXACT",OR(J148="EXACT",J148="CLOSE")))),"yes","no")</f>
        <v>yes</v>
      </c>
      <c r="AF148" s="110" t="n">
        <f aca="false">IF(ISNUMBER(H148),COUNTIFS($B$7:$B$3000,B148,$C$7:$C$3000,C148,$H$7:$H$3000,"&lt;"&amp;H148,$AH$7:$AH$3000,"yes")+COUNTIFS($B$7:B148,B148,$C$7:C148,C148,$H$7:H148,H148,$AH$7:AH148,"yes"),"")</f>
        <v>4</v>
      </c>
      <c r="AG148" s="110" t="n">
        <f aca="false">IF(ISNUMBER(I148),COUNTIFS($B$7:$B$3000,B148,$C$7:$C$3000,C148,$I$7:$I$3000,"&lt;"&amp;I148,$AI$7:$AI$3000,"yes")+COUNTIFS($B$7:B148,B148,$C$7:C148,C148,$I$7:I148,I148,$AI$7:AI148,"yes"),"")</f>
        <v>4</v>
      </c>
      <c r="AH148" s="110" t="str">
        <f aca="false">IF(ISNUMBER(H148),"yes","no")</f>
        <v>yes</v>
      </c>
      <c r="AI148" s="110" t="str">
        <f aca="false">IF(ISNUMBER(I148),"yes","no")</f>
        <v>yes</v>
      </c>
      <c r="AJ148" s="120" t="n">
        <v>46295</v>
      </c>
      <c r="AK148" s="110"/>
    </row>
    <row r="149" customFormat="false" ht="42" hidden="false" customHeight="true" outlineLevel="0" collapsed="false">
      <c r="A149" s="3"/>
      <c r="B149" s="31" t="s">
        <v>26</v>
      </c>
      <c r="C149" s="91" t="s">
        <v>15</v>
      </c>
      <c r="D149" s="91" t="s">
        <v>281</v>
      </c>
      <c r="E149" s="109" t="s">
        <v>898</v>
      </c>
      <c r="F149" s="92" t="n">
        <v>1.95</v>
      </c>
      <c r="G149" s="91" t="s">
        <v>244</v>
      </c>
      <c r="H149" s="112" t="n">
        <f aca="false">IF(AND(AE149="yes",ISNUMBER(AD149)),AD149,"")</f>
        <v>1.95</v>
      </c>
      <c r="I149" s="95" t="n">
        <f aca="false">IF(AND(AE149="yes",ISNUMBER(AD149),ISNUMBER(INDEX(Sources!$G$7:$G$10,MATCH(AB149,Sources!$B$7:$B$10,0)))),ROUND(AD149/INDEX(Sources!$G$7:$G$10,MATCH(AB149,Sources!$B$7:$B$10,0)),6),"")</f>
        <v>1.95</v>
      </c>
      <c r="J149" s="91" t="s">
        <v>702</v>
      </c>
      <c r="K149" s="91" t="s">
        <v>586</v>
      </c>
      <c r="L149" s="96"/>
      <c r="M149" s="109" t="s">
        <v>899</v>
      </c>
      <c r="N149" s="113" t="s">
        <v>900</v>
      </c>
      <c r="O149" s="109" t="s">
        <v>662</v>
      </c>
      <c r="P149" s="109" t="s">
        <v>590</v>
      </c>
      <c r="Q149" s="114"/>
      <c r="R149" s="109" t="n">
        <v>1</v>
      </c>
      <c r="S149" s="109"/>
      <c r="T149" s="109" t="s">
        <v>702</v>
      </c>
      <c r="U149" s="109" t="s">
        <v>591</v>
      </c>
      <c r="V149" s="115" t="n">
        <v>1.95</v>
      </c>
      <c r="W149" s="115"/>
      <c r="X149" s="109" t="s">
        <v>592</v>
      </c>
      <c r="Y149" s="109"/>
      <c r="Z149" s="109"/>
      <c r="AA149" s="109"/>
      <c r="AB149" s="109" t="s">
        <v>244</v>
      </c>
      <c r="AC149" s="109" t="s">
        <v>538</v>
      </c>
      <c r="AD149" s="109" t="n">
        <f aca="false">IF(ISNUMBER(V149),ROUND(V149,6),"")</f>
        <v>1.95</v>
      </c>
      <c r="AE149" s="109" t="str">
        <f aca="false">IF(AND(AC149="yes",ISNUMBER(F149),IF(Compare!$H$5="All mapped",TRUE(),IF(Compare!$H$5="EXACT only",J149="EXACT",OR(J149="EXACT",J149="CLOSE")))),"yes","no")</f>
        <v>yes</v>
      </c>
      <c r="AF149" s="109" t="n">
        <f aca="false">IF(ISNUMBER(H149),COUNTIFS($B$7:$B$3000,B149,$C$7:$C$3000,C149,$H$7:$H$3000,"&lt;"&amp;H149,$AH$7:$AH$3000,"yes")+COUNTIFS($B$7:B149,B149,$C$7:C149,C149,$H$7:H149,H149,$AH$7:AH149,"yes"),"")</f>
        <v>1</v>
      </c>
      <c r="AG149" s="109" t="n">
        <f aca="false">IF(ISNUMBER(I149),COUNTIFS($B$7:$B$3000,B149,$C$7:$C$3000,C149,$I$7:$I$3000,"&lt;"&amp;I149,$AI$7:$AI$3000,"yes")+COUNTIFS($B$7:B149,B149,$C$7:C149,C149,$I$7:I149,I149,$AI$7:AI149,"yes"),"")</f>
        <v>1</v>
      </c>
      <c r="AH149" s="109" t="str">
        <f aca="false">IF(ISNUMBER(H149),"yes","no")</f>
        <v>yes</v>
      </c>
      <c r="AI149" s="109" t="str">
        <f aca="false">IF(ISNUMBER(I149),"yes","no")</f>
        <v>yes</v>
      </c>
      <c r="AJ149" s="116" t="n">
        <v>46295</v>
      </c>
      <c r="AK149" s="109"/>
    </row>
    <row r="150" customFormat="false" ht="42" hidden="false" customHeight="true" outlineLevel="0" collapsed="false">
      <c r="A150" s="3"/>
      <c r="B150" s="36" t="s">
        <v>26</v>
      </c>
      <c r="C150" s="98" t="s">
        <v>16</v>
      </c>
      <c r="D150" s="98" t="s">
        <v>317</v>
      </c>
      <c r="E150" s="110" t="s">
        <v>901</v>
      </c>
      <c r="F150" s="99" t="n">
        <v>31.99</v>
      </c>
      <c r="G150" s="98" t="s">
        <v>244</v>
      </c>
      <c r="H150" s="112" t="n">
        <f aca="false">IF(AND(AE150="yes",ISNUMBER(AD150)),AD150,"")</f>
        <v>5.33</v>
      </c>
      <c r="I150" s="95" t="n">
        <f aca="false">IF(AND(AE150="yes",ISNUMBER(AD150),ISNUMBER(INDEX(Sources!$G$7:$G$10,MATCH(AB150,Sources!$B$7:$B$10,0)))),ROUND(AD150/INDEX(Sources!$G$7:$G$10,MATCH(AB150,Sources!$B$7:$B$10,0)),6),"")</f>
        <v>5.33</v>
      </c>
      <c r="J150" s="98" t="s">
        <v>702</v>
      </c>
      <c r="K150" s="98" t="s">
        <v>586</v>
      </c>
      <c r="L150" s="96"/>
      <c r="M150" s="110" t="s">
        <v>902</v>
      </c>
      <c r="N150" s="117" t="s">
        <v>903</v>
      </c>
      <c r="O150" s="110" t="s">
        <v>610</v>
      </c>
      <c r="P150" s="110" t="s">
        <v>590</v>
      </c>
      <c r="Q150" s="118"/>
      <c r="R150" s="110" t="n">
        <v>6</v>
      </c>
      <c r="S150" s="110" t="s">
        <v>611</v>
      </c>
      <c r="T150" s="110" t="s">
        <v>702</v>
      </c>
      <c r="U150" s="110" t="s">
        <v>591</v>
      </c>
      <c r="V150" s="119" t="n">
        <v>5.33</v>
      </c>
      <c r="W150" s="119"/>
      <c r="X150" s="110" t="s">
        <v>612</v>
      </c>
      <c r="Y150" s="110"/>
      <c r="Z150" s="110"/>
      <c r="AA150" s="110"/>
      <c r="AB150" s="110" t="s">
        <v>244</v>
      </c>
      <c r="AC150" s="110" t="s">
        <v>538</v>
      </c>
      <c r="AD150" s="110" t="n">
        <f aca="false">IF(ISNUMBER(V150),ROUND(V150,6),"")</f>
        <v>5.33</v>
      </c>
      <c r="AE150" s="110" t="str">
        <f aca="false">IF(AND(AC150="yes",ISNUMBER(F150),IF(Compare!$H$5="All mapped",TRUE(),IF(Compare!$H$5="EXACT only",J150="EXACT",OR(J150="EXACT",J150="CLOSE")))),"yes","no")</f>
        <v>yes</v>
      </c>
      <c r="AF150" s="110" t="n">
        <f aca="false">IF(ISNUMBER(H150),COUNTIFS($B$7:$B$3000,B150,$C$7:$C$3000,C150,$H$7:$H$3000,"&lt;"&amp;H150,$AH$7:$AH$3000,"yes")+COUNTIFS($B$7:B150,B150,$C$7:C150,C150,$H$7:H150,H150,$AH$7:AH150,"yes"),"")</f>
        <v>8</v>
      </c>
      <c r="AG150" s="110" t="n">
        <f aca="false">IF(ISNUMBER(I150),COUNTIFS($B$7:$B$3000,B150,$C$7:$C$3000,C150,$I$7:$I$3000,"&lt;"&amp;I150,$AI$7:$AI$3000,"yes")+COUNTIFS($B$7:B150,B150,$C$7:C150,C150,$I$7:I150,I150,$AI$7:AI150,"yes"),"")</f>
        <v>8</v>
      </c>
      <c r="AH150" s="110" t="str">
        <f aca="false">IF(ISNUMBER(H150),"yes","no")</f>
        <v>yes</v>
      </c>
      <c r="AI150" s="110" t="str">
        <f aca="false">IF(ISNUMBER(I150),"yes","no")</f>
        <v>yes</v>
      </c>
      <c r="AJ150" s="120" t="n">
        <v>46295</v>
      </c>
      <c r="AK150" s="110"/>
    </row>
    <row r="151" customFormat="false" ht="42" hidden="false" customHeight="true" outlineLevel="0" collapsed="false">
      <c r="A151" s="3"/>
      <c r="B151" s="31" t="s">
        <v>26</v>
      </c>
      <c r="C151" s="91" t="s">
        <v>16</v>
      </c>
      <c r="D151" s="91" t="s">
        <v>311</v>
      </c>
      <c r="E151" s="109" t="s">
        <v>889</v>
      </c>
      <c r="F151" s="92" t="n">
        <v>1.95</v>
      </c>
      <c r="G151" s="91" t="s">
        <v>244</v>
      </c>
      <c r="H151" s="112" t="n">
        <f aca="false">IF(AND(AE151="yes",ISNUMBER(AD151)),AD151,"")</f>
        <v>1.95</v>
      </c>
      <c r="I151" s="95" t="n">
        <f aca="false">IF(AND(AE151="yes",ISNUMBER(AD151),ISNUMBER(INDEX(Sources!$G$7:$G$10,MATCH(AB151,Sources!$B$7:$B$10,0)))),ROUND(AD151/INDEX(Sources!$G$7:$G$10,MATCH(AB151,Sources!$B$7:$B$10,0)),6),"")</f>
        <v>1.95</v>
      </c>
      <c r="J151" s="91" t="s">
        <v>702</v>
      </c>
      <c r="K151" s="91" t="s">
        <v>586</v>
      </c>
      <c r="L151" s="96"/>
      <c r="M151" s="109" t="s">
        <v>890</v>
      </c>
      <c r="N151" s="113" t="s">
        <v>904</v>
      </c>
      <c r="O151" s="109" t="s">
        <v>662</v>
      </c>
      <c r="P151" s="109" t="s">
        <v>590</v>
      </c>
      <c r="Q151" s="114"/>
      <c r="R151" s="109" t="n">
        <v>1</v>
      </c>
      <c r="S151" s="109"/>
      <c r="T151" s="109" t="s">
        <v>702</v>
      </c>
      <c r="U151" s="109" t="s">
        <v>591</v>
      </c>
      <c r="V151" s="115" t="n">
        <v>1.95</v>
      </c>
      <c r="W151" s="115"/>
      <c r="X151" s="109" t="s">
        <v>612</v>
      </c>
      <c r="Y151" s="109"/>
      <c r="Z151" s="109"/>
      <c r="AA151" s="109"/>
      <c r="AB151" s="109" t="s">
        <v>244</v>
      </c>
      <c r="AC151" s="109" t="s">
        <v>538</v>
      </c>
      <c r="AD151" s="109" t="n">
        <f aca="false">IF(ISNUMBER(V151),ROUND(V151,6),"")</f>
        <v>1.95</v>
      </c>
      <c r="AE151" s="109" t="str">
        <f aca="false">IF(AND(AC151="yes",ISNUMBER(F151),IF(Compare!$H$5="All mapped",TRUE(),IF(Compare!$H$5="EXACT only",J151="EXACT",OR(J151="EXACT",J151="CLOSE")))),"yes","no")</f>
        <v>yes</v>
      </c>
      <c r="AF151" s="109" t="n">
        <f aca="false">IF(ISNUMBER(H151),COUNTIFS($B$7:$B$3000,B151,$C$7:$C$3000,C151,$H$7:$H$3000,"&lt;"&amp;H151,$AH$7:$AH$3000,"yes")+COUNTIFS($B$7:B151,B151,$C$7:C151,C151,$H$7:H151,H151,$AH$7:AH151,"yes"),"")</f>
        <v>3</v>
      </c>
      <c r="AG151" s="109" t="n">
        <f aca="false">IF(ISNUMBER(I151),COUNTIFS($B$7:$B$3000,B151,$C$7:$C$3000,C151,$I$7:$I$3000,"&lt;"&amp;I151,$AI$7:$AI$3000,"yes")+COUNTIFS($B$7:B151,B151,$C$7:C151,C151,$I$7:I151,I151,$AI$7:AI151,"yes"),"")</f>
        <v>3</v>
      </c>
      <c r="AH151" s="109" t="str">
        <f aca="false">IF(ISNUMBER(H151),"yes","no")</f>
        <v>yes</v>
      </c>
      <c r="AI151" s="109" t="str">
        <f aca="false">IF(ISNUMBER(I151),"yes","no")</f>
        <v>yes</v>
      </c>
      <c r="AJ151" s="116" t="n">
        <v>46295</v>
      </c>
      <c r="AK151" s="109"/>
    </row>
    <row r="152" customFormat="false" ht="42" hidden="false" customHeight="true" outlineLevel="0" collapsed="false">
      <c r="A152" s="3"/>
      <c r="B152" s="36" t="s">
        <v>26</v>
      </c>
      <c r="C152" s="98" t="s">
        <v>16</v>
      </c>
      <c r="D152" s="98" t="s">
        <v>309</v>
      </c>
      <c r="E152" s="110" t="s">
        <v>892</v>
      </c>
      <c r="F152" s="99" t="n">
        <v>2.76</v>
      </c>
      <c r="G152" s="98" t="s">
        <v>244</v>
      </c>
      <c r="H152" s="112" t="n">
        <f aca="false">IF(AND(AE152="yes",ISNUMBER(AD152)),AD152,"")</f>
        <v>2.76</v>
      </c>
      <c r="I152" s="95" t="n">
        <f aca="false">IF(AND(AE152="yes",ISNUMBER(AD152),ISNUMBER(INDEX(Sources!$G$7:$G$10,MATCH(AB152,Sources!$B$7:$B$10,0)))),ROUND(AD152/INDEX(Sources!$G$7:$G$10,MATCH(AB152,Sources!$B$7:$B$10,0)),6),"")</f>
        <v>2.76</v>
      </c>
      <c r="J152" s="98" t="s">
        <v>702</v>
      </c>
      <c r="K152" s="98" t="s">
        <v>586</v>
      </c>
      <c r="L152" s="96"/>
      <c r="M152" s="110" t="s">
        <v>893</v>
      </c>
      <c r="N152" s="117" t="s">
        <v>894</v>
      </c>
      <c r="O152" s="110" t="s">
        <v>646</v>
      </c>
      <c r="P152" s="110" t="s">
        <v>590</v>
      </c>
      <c r="Q152" s="118"/>
      <c r="R152" s="110" t="n">
        <v>1</v>
      </c>
      <c r="S152" s="110"/>
      <c r="T152" s="110" t="s">
        <v>702</v>
      </c>
      <c r="U152" s="110" t="s">
        <v>591</v>
      </c>
      <c r="V152" s="119" t="n">
        <v>2.76</v>
      </c>
      <c r="W152" s="119"/>
      <c r="X152" s="110" t="s">
        <v>612</v>
      </c>
      <c r="Y152" s="110"/>
      <c r="Z152" s="110"/>
      <c r="AA152" s="110"/>
      <c r="AB152" s="110" t="s">
        <v>244</v>
      </c>
      <c r="AC152" s="110" t="s">
        <v>538</v>
      </c>
      <c r="AD152" s="110" t="n">
        <f aca="false">IF(ISNUMBER(V152),ROUND(V152,6),"")</f>
        <v>2.76</v>
      </c>
      <c r="AE152" s="110" t="str">
        <f aca="false">IF(AND(AC152="yes",ISNUMBER(F152),IF(Compare!$H$5="All mapped",TRUE(),IF(Compare!$H$5="EXACT only",J152="EXACT",OR(J152="EXACT",J152="CLOSE")))),"yes","no")</f>
        <v>yes</v>
      </c>
      <c r="AF152" s="110" t="n">
        <f aca="false">IF(ISNUMBER(H152),COUNTIFS($B$7:$B$3000,B152,$C$7:$C$3000,C152,$H$7:$H$3000,"&lt;"&amp;H152,$AH$7:$AH$3000,"yes")+COUNTIFS($B$7:B152,B152,$C$7:C152,C152,$H$7:H152,H152,$AH$7:AH152,"yes"),"")</f>
        <v>6</v>
      </c>
      <c r="AG152" s="110" t="n">
        <f aca="false">IF(ISNUMBER(I152),COUNTIFS($B$7:$B$3000,B152,$C$7:$C$3000,C152,$I$7:$I$3000,"&lt;"&amp;I152,$AI$7:$AI$3000,"yes")+COUNTIFS($B$7:B152,B152,$C$7:C152,C152,$I$7:I152,I152,$AI$7:AI152,"yes"),"")</f>
        <v>6</v>
      </c>
      <c r="AH152" s="110" t="str">
        <f aca="false">IF(ISNUMBER(H152),"yes","no")</f>
        <v>yes</v>
      </c>
      <c r="AI152" s="110" t="str">
        <f aca="false">IF(ISNUMBER(I152),"yes","no")</f>
        <v>yes</v>
      </c>
      <c r="AJ152" s="120" t="n">
        <v>46295</v>
      </c>
      <c r="AK152" s="110"/>
    </row>
    <row r="153" customFormat="false" ht="42" hidden="false" customHeight="true" outlineLevel="0" collapsed="false">
      <c r="A153" s="3"/>
      <c r="B153" s="31" t="s">
        <v>26</v>
      </c>
      <c r="C153" s="91" t="s">
        <v>16</v>
      </c>
      <c r="D153" s="91" t="s">
        <v>313</v>
      </c>
      <c r="E153" s="109" t="s">
        <v>895</v>
      </c>
      <c r="F153" s="92" t="n">
        <v>3.79</v>
      </c>
      <c r="G153" s="91" t="s">
        <v>244</v>
      </c>
      <c r="H153" s="112" t="n">
        <f aca="false">IF(AND(AE153="yes",ISNUMBER(AD153)),AD153,"")</f>
        <v>3.18</v>
      </c>
      <c r="I153" s="95" t="n">
        <f aca="false">IF(AND(AE153="yes",ISNUMBER(AD153),ISNUMBER(INDEX(Sources!$G$7:$G$10,MATCH(AB153,Sources!$B$7:$B$10,0)))),ROUND(AD153/INDEX(Sources!$G$7:$G$10,MATCH(AB153,Sources!$B$7:$B$10,0)),6),"")</f>
        <v>3.18</v>
      </c>
      <c r="J153" s="91" t="s">
        <v>702</v>
      </c>
      <c r="K153" s="91" t="s">
        <v>586</v>
      </c>
      <c r="L153" s="96"/>
      <c r="M153" s="109" t="s">
        <v>896</v>
      </c>
      <c r="N153" s="113" t="s">
        <v>905</v>
      </c>
      <c r="O153" s="109" t="s">
        <v>598</v>
      </c>
      <c r="P153" s="109" t="s">
        <v>265</v>
      </c>
      <c r="Q153" s="114"/>
      <c r="R153" s="109" t="n">
        <v>1</v>
      </c>
      <c r="S153" s="109"/>
      <c r="T153" s="109" t="s">
        <v>702</v>
      </c>
      <c r="U153" s="109" t="s">
        <v>591</v>
      </c>
      <c r="V153" s="115" t="n">
        <v>3.18</v>
      </c>
      <c r="W153" s="115"/>
      <c r="X153" s="109" t="s">
        <v>612</v>
      </c>
      <c r="Y153" s="109"/>
      <c r="Z153" s="109"/>
      <c r="AA153" s="109"/>
      <c r="AB153" s="109" t="s">
        <v>244</v>
      </c>
      <c r="AC153" s="109" t="s">
        <v>538</v>
      </c>
      <c r="AD153" s="109" t="n">
        <f aca="false">IF(ISNUMBER(V153),ROUND(V153,6),"")</f>
        <v>3.18</v>
      </c>
      <c r="AE153" s="109" t="str">
        <f aca="false">IF(AND(AC153="yes",ISNUMBER(F153),IF(Compare!$H$5="All mapped",TRUE(),IF(Compare!$H$5="EXACT only",J153="EXACT",OR(J153="EXACT",J153="CLOSE")))),"yes","no")</f>
        <v>yes</v>
      </c>
      <c r="AF153" s="109" t="n">
        <f aca="false">IF(ISNUMBER(H153),COUNTIFS($B$7:$B$3000,B153,$C$7:$C$3000,C153,$H$7:$H$3000,"&lt;"&amp;H153,$AH$7:$AH$3000,"yes")+COUNTIFS($B$7:B153,B153,$C$7:C153,C153,$H$7:H153,H153,$AH$7:AH153,"yes"),"")</f>
        <v>7</v>
      </c>
      <c r="AG153" s="109" t="n">
        <f aca="false">IF(ISNUMBER(I153),COUNTIFS($B$7:$B$3000,B153,$C$7:$C$3000,C153,$I$7:$I$3000,"&lt;"&amp;I153,$AI$7:$AI$3000,"yes")+COUNTIFS($B$7:B153,B153,$C$7:C153,C153,$I$7:I153,I153,$AI$7:AI153,"yes"),"")</f>
        <v>7</v>
      </c>
      <c r="AH153" s="109" t="str">
        <f aca="false">IF(ISNUMBER(H153),"yes","no")</f>
        <v>yes</v>
      </c>
      <c r="AI153" s="109" t="str">
        <f aca="false">IF(ISNUMBER(I153),"yes","no")</f>
        <v>yes</v>
      </c>
      <c r="AJ153" s="116" t="n">
        <v>46295</v>
      </c>
      <c r="AK153" s="109"/>
    </row>
    <row r="154" customFormat="false" ht="42" hidden="false" customHeight="true" outlineLevel="0" collapsed="false">
      <c r="A154" s="3"/>
      <c r="B154" s="36" t="s">
        <v>26</v>
      </c>
      <c r="C154" s="98" t="s">
        <v>16</v>
      </c>
      <c r="D154" s="98" t="s">
        <v>321</v>
      </c>
      <c r="E154" s="110" t="s">
        <v>898</v>
      </c>
      <c r="F154" s="99" t="n">
        <v>1.95</v>
      </c>
      <c r="G154" s="98" t="s">
        <v>244</v>
      </c>
      <c r="H154" s="112" t="n">
        <f aca="false">IF(AND(AE154="yes",ISNUMBER(AD154)),AD154,"")</f>
        <v>1.95</v>
      </c>
      <c r="I154" s="95" t="n">
        <f aca="false">IF(AND(AE154="yes",ISNUMBER(AD154),ISNUMBER(INDEX(Sources!$G$7:$G$10,MATCH(AB154,Sources!$B$7:$B$10,0)))),ROUND(AD154/INDEX(Sources!$G$7:$G$10,MATCH(AB154,Sources!$B$7:$B$10,0)),6),"")</f>
        <v>1.95</v>
      </c>
      <c r="J154" s="98" t="s">
        <v>702</v>
      </c>
      <c r="K154" s="98" t="s">
        <v>586</v>
      </c>
      <c r="L154" s="96"/>
      <c r="M154" s="110" t="s">
        <v>906</v>
      </c>
      <c r="N154" s="117" t="s">
        <v>907</v>
      </c>
      <c r="O154" s="110" t="s">
        <v>662</v>
      </c>
      <c r="P154" s="110" t="s">
        <v>590</v>
      </c>
      <c r="Q154" s="118"/>
      <c r="R154" s="110" t="n">
        <v>1</v>
      </c>
      <c r="S154" s="110"/>
      <c r="T154" s="110" t="s">
        <v>702</v>
      </c>
      <c r="U154" s="110" t="s">
        <v>591</v>
      </c>
      <c r="V154" s="119" t="n">
        <v>1.95</v>
      </c>
      <c r="W154" s="119"/>
      <c r="X154" s="110" t="s">
        <v>612</v>
      </c>
      <c r="Y154" s="110"/>
      <c r="Z154" s="110"/>
      <c r="AA154" s="110"/>
      <c r="AB154" s="110" t="s">
        <v>244</v>
      </c>
      <c r="AC154" s="110" t="s">
        <v>538</v>
      </c>
      <c r="AD154" s="110" t="n">
        <f aca="false">IF(ISNUMBER(V154),ROUND(V154,6),"")</f>
        <v>1.95</v>
      </c>
      <c r="AE154" s="110" t="str">
        <f aca="false">IF(AND(AC154="yes",ISNUMBER(F154),IF(Compare!$H$5="All mapped",TRUE(),IF(Compare!$H$5="EXACT only",J154="EXACT",OR(J154="EXACT",J154="CLOSE")))),"yes","no")</f>
        <v>yes</v>
      </c>
      <c r="AF154" s="110" t="n">
        <f aca="false">IF(ISNUMBER(H154),COUNTIFS($B$7:$B$3000,B154,$C$7:$C$3000,C154,$H$7:$H$3000,"&lt;"&amp;H154,$AH$7:$AH$3000,"yes")+COUNTIFS($B$7:B154,B154,$C$7:C154,C154,$H$7:H154,H154,$AH$7:AH154,"yes"),"")</f>
        <v>4</v>
      </c>
      <c r="AG154" s="110" t="n">
        <f aca="false">IF(ISNUMBER(I154),COUNTIFS($B$7:$B$3000,B154,$C$7:$C$3000,C154,$I$7:$I$3000,"&lt;"&amp;I154,$AI$7:$AI$3000,"yes")+COUNTIFS($B$7:B154,B154,$C$7:C154,C154,$I$7:I154,I154,$AI$7:AI154,"yes"),"")</f>
        <v>4</v>
      </c>
      <c r="AH154" s="110" t="str">
        <f aca="false">IF(ISNUMBER(H154),"yes","no")</f>
        <v>yes</v>
      </c>
      <c r="AI154" s="110" t="str">
        <f aca="false">IF(ISNUMBER(I154),"yes","no")</f>
        <v>yes</v>
      </c>
      <c r="AJ154" s="120" t="n">
        <v>46295</v>
      </c>
      <c r="AK154" s="110"/>
    </row>
    <row r="155" customFormat="false" ht="42" hidden="false" customHeight="true" outlineLevel="0" collapsed="false">
      <c r="A155" s="3"/>
      <c r="B155" s="31" t="s">
        <v>26</v>
      </c>
      <c r="C155" s="91" t="s">
        <v>16</v>
      </c>
      <c r="D155" s="91" t="s">
        <v>329</v>
      </c>
      <c r="E155" s="109" t="s">
        <v>908</v>
      </c>
      <c r="F155" s="92" t="n">
        <v>1.79</v>
      </c>
      <c r="G155" s="91" t="s">
        <v>244</v>
      </c>
      <c r="H155" s="112" t="n">
        <f aca="false">IF(AND(AE155="yes",ISNUMBER(AD155)),AD155,"")</f>
        <v>1.79</v>
      </c>
      <c r="I155" s="95" t="n">
        <f aca="false">IF(AND(AE155="yes",ISNUMBER(AD155),ISNUMBER(INDEX(Sources!$G$7:$G$10,MATCH(AB155,Sources!$B$7:$B$10,0)))),ROUND(AD155/INDEX(Sources!$G$7:$G$10,MATCH(AB155,Sources!$B$7:$B$10,0)),6),"")</f>
        <v>1.79</v>
      </c>
      <c r="J155" s="91" t="s">
        <v>702</v>
      </c>
      <c r="K155" s="91" t="s">
        <v>586</v>
      </c>
      <c r="L155" s="96"/>
      <c r="M155" s="109" t="s">
        <v>909</v>
      </c>
      <c r="N155" s="113" t="s">
        <v>910</v>
      </c>
      <c r="O155" s="109" t="s">
        <v>598</v>
      </c>
      <c r="P155" s="109" t="s">
        <v>590</v>
      </c>
      <c r="Q155" s="114"/>
      <c r="R155" s="109" t="n">
        <v>1</v>
      </c>
      <c r="S155" s="109"/>
      <c r="T155" s="109" t="s">
        <v>702</v>
      </c>
      <c r="U155" s="109" t="s">
        <v>591</v>
      </c>
      <c r="V155" s="115" t="n">
        <v>1.79</v>
      </c>
      <c r="W155" s="115"/>
      <c r="X155" s="109" t="s">
        <v>612</v>
      </c>
      <c r="Y155" s="109"/>
      <c r="Z155" s="109"/>
      <c r="AA155" s="109"/>
      <c r="AB155" s="109" t="s">
        <v>244</v>
      </c>
      <c r="AC155" s="109" t="s">
        <v>538</v>
      </c>
      <c r="AD155" s="109" t="n">
        <f aca="false">IF(ISNUMBER(V155),ROUND(V155,6),"")</f>
        <v>1.79</v>
      </c>
      <c r="AE155" s="109" t="str">
        <f aca="false">IF(AND(AC155="yes",ISNUMBER(F155),IF(Compare!$H$5="All mapped",TRUE(),IF(Compare!$H$5="EXACT only",J155="EXACT",OR(J155="EXACT",J155="CLOSE")))),"yes","no")</f>
        <v>yes</v>
      </c>
      <c r="AF155" s="109" t="n">
        <f aca="false">IF(ISNUMBER(H155),COUNTIFS($B$7:$B$3000,B155,$C$7:$C$3000,C155,$H$7:$H$3000,"&lt;"&amp;H155,$AH$7:$AH$3000,"yes")+COUNTIFS($B$7:B155,B155,$C$7:C155,C155,$H$7:H155,H155,$AH$7:AH155,"yes"),"")</f>
        <v>2</v>
      </c>
      <c r="AG155" s="109" t="n">
        <f aca="false">IF(ISNUMBER(I155),COUNTIFS($B$7:$B$3000,B155,$C$7:$C$3000,C155,$I$7:$I$3000,"&lt;"&amp;I155,$AI$7:$AI$3000,"yes")+COUNTIFS($B$7:B155,B155,$C$7:C155,C155,$I$7:I155,I155,$AI$7:AI155,"yes"),"")</f>
        <v>2</v>
      </c>
      <c r="AH155" s="109" t="str">
        <f aca="false">IF(ISNUMBER(H155),"yes","no")</f>
        <v>yes</v>
      </c>
      <c r="AI155" s="109" t="str">
        <f aca="false">IF(ISNUMBER(I155),"yes","no")</f>
        <v>yes</v>
      </c>
      <c r="AJ155" s="116" t="n">
        <v>46295</v>
      </c>
      <c r="AK155" s="109"/>
    </row>
    <row r="156" customFormat="false" ht="61.5" hidden="false" customHeight="true" outlineLevel="0" collapsed="false">
      <c r="A156" s="3"/>
      <c r="B156" s="36" t="s">
        <v>26</v>
      </c>
      <c r="C156" s="98" t="s">
        <v>17</v>
      </c>
      <c r="D156" s="98" t="s">
        <v>354</v>
      </c>
      <c r="E156" s="110" t="s">
        <v>911</v>
      </c>
      <c r="F156" s="99" t="n">
        <v>851.62</v>
      </c>
      <c r="G156" s="98" t="s">
        <v>333</v>
      </c>
      <c r="H156" s="112" t="n">
        <f aca="false">IF(AND(AE156="yes",ISNUMBER(AD156)),AD156,"")</f>
        <v>141.94</v>
      </c>
      <c r="I156" s="95" t="n">
        <f aca="false">IF(AND(AE156="yes",ISNUMBER(AD156),ISNUMBER(INDEX(Sources!$G$7:$G$10,MATCH(AB156,Sources!$B$7:$B$10,0)))),ROUND(AD156/INDEX(Sources!$G$7:$G$10,MATCH(AB156,Sources!$B$7:$B$10,0)),6),"")</f>
        <v>5.811588</v>
      </c>
      <c r="J156" s="98" t="s">
        <v>702</v>
      </c>
      <c r="K156" s="98" t="s">
        <v>586</v>
      </c>
      <c r="L156" s="96"/>
      <c r="M156" s="110" t="s">
        <v>912</v>
      </c>
      <c r="N156" s="117" t="s">
        <v>913</v>
      </c>
      <c r="O156" s="110" t="s">
        <v>610</v>
      </c>
      <c r="P156" s="110" t="s">
        <v>590</v>
      </c>
      <c r="Q156" s="118" t="n">
        <v>0.19</v>
      </c>
      <c r="R156" s="110" t="n">
        <v>6</v>
      </c>
      <c r="S156" s="110" t="s">
        <v>625</v>
      </c>
      <c r="T156" s="110" t="s">
        <v>702</v>
      </c>
      <c r="U156" s="110" t="s">
        <v>591</v>
      </c>
      <c r="V156" s="119"/>
      <c r="W156" s="119"/>
      <c r="X156" s="110" t="s">
        <v>626</v>
      </c>
      <c r="Y156" s="110"/>
      <c r="Z156" s="110"/>
      <c r="AA156" s="110"/>
      <c r="AB156" s="110" t="s">
        <v>333</v>
      </c>
      <c r="AC156" s="110" t="s">
        <v>538</v>
      </c>
      <c r="AD156" s="110" t="n">
        <f aca="false">IF(OR(F156="",Q156="",R156=""),"",ROUND(IF(P156="incl.",F156/(1+Q156),F156)/IF(S156="per pack",R156,1),2))</f>
        <v>141.94</v>
      </c>
      <c r="AE156" s="110" t="str">
        <f aca="false">IF(AND(AC156="yes",ISNUMBER(F156),IF(Compare!$H$5="All mapped",TRUE(),IF(Compare!$H$5="EXACT only",J156="EXACT",OR(J156="EXACT",J156="CLOSE")))),"yes","no")</f>
        <v>yes</v>
      </c>
      <c r="AF156" s="110" t="n">
        <f aca="false">IF(ISNUMBER(H156),COUNTIFS($B$7:$B$3000,B156,$C$7:$C$3000,C156,$H$7:$H$3000,"&lt;"&amp;H156,$AH$7:$AH$3000,"yes")+COUNTIFS($B$7:B156,B156,$C$7:C156,C156,$H$7:H156,H156,$AH$7:AH156,"yes"),"")</f>
        <v>4</v>
      </c>
      <c r="AG156" s="110" t="n">
        <f aca="false">IF(ISNUMBER(I156),COUNTIFS($B$7:$B$3000,B156,$C$7:$C$3000,C156,$I$7:$I$3000,"&lt;"&amp;I156,$AI$7:$AI$3000,"yes")+COUNTIFS($B$7:B156,B156,$C$7:C156,C156,$I$7:I156,I156,$AI$7:AI156,"yes"),"")</f>
        <v>4</v>
      </c>
      <c r="AH156" s="110" t="str">
        <f aca="false">IF(ISNUMBER(H156),"yes","no")</f>
        <v>yes</v>
      </c>
      <c r="AI156" s="110" t="str">
        <f aca="false">IF(ISNUMBER(I156),"yes","no")</f>
        <v>yes</v>
      </c>
      <c r="AJ156" s="120" t="n">
        <v>46295</v>
      </c>
      <c r="AK156" s="110"/>
    </row>
    <row r="157" customFormat="false" ht="42" hidden="false" customHeight="true" outlineLevel="0" collapsed="false">
      <c r="A157" s="3"/>
      <c r="B157" s="31" t="s">
        <v>26</v>
      </c>
      <c r="C157" s="91" t="s">
        <v>17</v>
      </c>
      <c r="D157" s="91" t="s">
        <v>342</v>
      </c>
      <c r="E157" s="109" t="s">
        <v>914</v>
      </c>
      <c r="F157" s="92" t="n">
        <v>73</v>
      </c>
      <c r="G157" s="91" t="s">
        <v>333</v>
      </c>
      <c r="H157" s="112" t="n">
        <f aca="false">IF(AND(AE157="yes",ISNUMBER(AD157)),AD157,"")</f>
        <v>73</v>
      </c>
      <c r="I157" s="95" t="n">
        <f aca="false">IF(AND(AE157="yes",ISNUMBER(AD157),ISNUMBER(INDEX(Sources!$G$7:$G$10,MATCH(AB157,Sources!$B$7:$B$10,0)))),ROUND(AD157/INDEX(Sources!$G$7:$G$10,MATCH(AB157,Sources!$B$7:$B$10,0)),6),"")</f>
        <v>2.98891</v>
      </c>
      <c r="J157" s="91" t="s">
        <v>702</v>
      </c>
      <c r="K157" s="91" t="s">
        <v>586</v>
      </c>
      <c r="L157" s="96"/>
      <c r="M157" s="109" t="s">
        <v>915</v>
      </c>
      <c r="N157" s="113" t="s">
        <v>916</v>
      </c>
      <c r="O157" s="109" t="s">
        <v>662</v>
      </c>
      <c r="P157" s="109" t="s">
        <v>590</v>
      </c>
      <c r="Q157" s="114" t="n">
        <v>0.21</v>
      </c>
      <c r="R157" s="109" t="n">
        <v>1</v>
      </c>
      <c r="S157" s="109" t="s">
        <v>632</v>
      </c>
      <c r="T157" s="109" t="s">
        <v>702</v>
      </c>
      <c r="U157" s="109" t="s">
        <v>591</v>
      </c>
      <c r="V157" s="115"/>
      <c r="W157" s="115"/>
      <c r="X157" s="109" t="s">
        <v>626</v>
      </c>
      <c r="Y157" s="109"/>
      <c r="Z157" s="109"/>
      <c r="AA157" s="109"/>
      <c r="AB157" s="109" t="s">
        <v>333</v>
      </c>
      <c r="AC157" s="109" t="s">
        <v>538</v>
      </c>
      <c r="AD157" s="109" t="n">
        <f aca="false">IF(OR(F157="",Q157="",R157=""),"",ROUND(IF(P157="incl.",F157/(1+Q157),F157)/IF(S157="per pack",R157,1),2))</f>
        <v>73</v>
      </c>
      <c r="AE157" s="109" t="str">
        <f aca="false">IF(AND(AC157="yes",ISNUMBER(F157),IF(Compare!$H$5="All mapped",TRUE(),IF(Compare!$H$5="EXACT only",J157="EXACT",OR(J157="EXACT",J157="CLOSE")))),"yes","no")</f>
        <v>yes</v>
      </c>
      <c r="AF157" s="109" t="n">
        <f aca="false">IF(ISNUMBER(H157),COUNTIFS($B$7:$B$3000,B157,$C$7:$C$3000,C157,$H$7:$H$3000,"&lt;"&amp;H157,$AH$7:$AH$3000,"yes")+COUNTIFS($B$7:B157,B157,$C$7:C157,C157,$H$7:H157,H157,$AH$7:AH157,"yes"),"")</f>
        <v>2</v>
      </c>
      <c r="AG157" s="109" t="n">
        <f aca="false">IF(ISNUMBER(I157),COUNTIFS($B$7:$B$3000,B157,$C$7:$C$3000,C157,$I$7:$I$3000,"&lt;"&amp;I157,$AI$7:$AI$3000,"yes")+COUNTIFS($B$7:B157,B157,$C$7:C157,C157,$I$7:I157,I157,$AI$7:AI157,"yes"),"")</f>
        <v>2</v>
      </c>
      <c r="AH157" s="109" t="str">
        <f aca="false">IF(ISNUMBER(H157),"yes","no")</f>
        <v>yes</v>
      </c>
      <c r="AI157" s="109" t="str">
        <f aca="false">IF(ISNUMBER(I157),"yes","no")</f>
        <v>yes</v>
      </c>
      <c r="AJ157" s="116" t="n">
        <v>46295</v>
      </c>
      <c r="AK157" s="109"/>
    </row>
    <row r="158" customFormat="false" ht="42" hidden="false" customHeight="true" outlineLevel="0" collapsed="false">
      <c r="A158" s="3"/>
      <c r="B158" s="36" t="s">
        <v>26</v>
      </c>
      <c r="C158" s="98" t="s">
        <v>17</v>
      </c>
      <c r="D158" s="98" t="s">
        <v>346</v>
      </c>
      <c r="E158" s="110" t="s">
        <v>917</v>
      </c>
      <c r="F158" s="99" t="n">
        <v>446</v>
      </c>
      <c r="G158" s="98" t="s">
        <v>333</v>
      </c>
      <c r="H158" s="112" t="n">
        <f aca="false">IF(AND(AE158="yes",ISNUMBER(AD158)),AD158,"")</f>
        <v>368.6</v>
      </c>
      <c r="I158" s="95" t="n">
        <f aca="false">IF(AND(AE158="yes",ISNUMBER(AD158),ISNUMBER(INDEX(Sources!$G$7:$G$10,MATCH(AB158,Sources!$B$7:$B$10,0)))),ROUND(AD158/INDEX(Sources!$G$7:$G$10,MATCH(AB158,Sources!$B$7:$B$10,0)),6),"")</f>
        <v>15.091951</v>
      </c>
      <c r="J158" s="98" t="s">
        <v>702</v>
      </c>
      <c r="K158" s="98" t="s">
        <v>586</v>
      </c>
      <c r="L158" s="96"/>
      <c r="M158" s="110" t="s">
        <v>918</v>
      </c>
      <c r="N158" s="117" t="s">
        <v>919</v>
      </c>
      <c r="O158" s="110" t="s">
        <v>589</v>
      </c>
      <c r="P158" s="110" t="s">
        <v>265</v>
      </c>
      <c r="Q158" s="118" t="n">
        <v>0.21</v>
      </c>
      <c r="R158" s="110" t="n">
        <v>1</v>
      </c>
      <c r="S158" s="110" t="s">
        <v>632</v>
      </c>
      <c r="T158" s="110" t="s">
        <v>702</v>
      </c>
      <c r="U158" s="110" t="s">
        <v>591</v>
      </c>
      <c r="V158" s="119"/>
      <c r="W158" s="119"/>
      <c r="X158" s="110" t="s">
        <v>626</v>
      </c>
      <c r="Y158" s="110"/>
      <c r="Z158" s="110"/>
      <c r="AA158" s="110"/>
      <c r="AB158" s="110" t="s">
        <v>333</v>
      </c>
      <c r="AC158" s="110" t="s">
        <v>538</v>
      </c>
      <c r="AD158" s="110" t="n">
        <f aca="false">IF(OR(F158="",Q158="",R158=""),"",ROUND(IF(P158="incl.",F158/(1+Q158),F158)/IF(S158="per pack",R158,1),2))</f>
        <v>368.6</v>
      </c>
      <c r="AE158" s="110" t="str">
        <f aca="false">IF(AND(AC158="yes",ISNUMBER(F158),IF(Compare!$H$5="All mapped",TRUE(),IF(Compare!$H$5="EXACT only",J158="EXACT",OR(J158="EXACT",J158="CLOSE")))),"yes","no")</f>
        <v>yes</v>
      </c>
      <c r="AF158" s="110" t="n">
        <f aca="false">IF(ISNUMBER(H158),COUNTIFS($B$7:$B$3000,B158,$C$7:$C$3000,C158,$H$7:$H$3000,"&lt;"&amp;H158,$AH$7:$AH$3000,"yes")+COUNTIFS($B$7:B158,B158,$C$7:C158,C158,$H$7:H158,H158,$AH$7:AH158,"yes"),"")</f>
        <v>5</v>
      </c>
      <c r="AG158" s="110" t="n">
        <f aca="false">IF(ISNUMBER(I158),COUNTIFS($B$7:$B$3000,B158,$C$7:$C$3000,C158,$I$7:$I$3000,"&lt;"&amp;I158,$AI$7:$AI$3000,"yes")+COUNTIFS($B$7:B158,B158,$C$7:C158,C158,$I$7:I158,I158,$AI$7:AI158,"yes"),"")</f>
        <v>5</v>
      </c>
      <c r="AH158" s="110" t="str">
        <f aca="false">IF(ISNUMBER(H158),"yes","no")</f>
        <v>yes</v>
      </c>
      <c r="AI158" s="110" t="str">
        <f aca="false">IF(ISNUMBER(I158),"yes","no")</f>
        <v>yes</v>
      </c>
      <c r="AJ158" s="120" t="n">
        <v>46295</v>
      </c>
      <c r="AK158" s="110"/>
    </row>
    <row r="159" customFormat="false" ht="42" hidden="false" customHeight="true" outlineLevel="0" collapsed="false">
      <c r="A159" s="3"/>
      <c r="B159" s="31" t="s">
        <v>26</v>
      </c>
      <c r="C159" s="91" t="s">
        <v>17</v>
      </c>
      <c r="D159" s="91" t="s">
        <v>361</v>
      </c>
      <c r="E159" s="109" t="s">
        <v>920</v>
      </c>
      <c r="F159" s="92" t="n">
        <v>48</v>
      </c>
      <c r="G159" s="91" t="s">
        <v>333</v>
      </c>
      <c r="H159" s="112" t="n">
        <f aca="false">IF(AND(AE159="yes",ISNUMBER(AD159)),AD159,"")</f>
        <v>39.67</v>
      </c>
      <c r="I159" s="95" t="n">
        <f aca="false">IF(AND(AE159="yes",ISNUMBER(AD159),ISNUMBER(INDEX(Sources!$G$7:$G$10,MATCH(AB159,Sources!$B$7:$B$10,0)))),ROUND(AD159/INDEX(Sources!$G$7:$G$10,MATCH(AB159,Sources!$B$7:$B$10,0)),6),"")</f>
        <v>1.624248</v>
      </c>
      <c r="J159" s="91" t="s">
        <v>702</v>
      </c>
      <c r="K159" s="91" t="s">
        <v>586</v>
      </c>
      <c r="L159" s="96"/>
      <c r="M159" s="109" t="s">
        <v>921</v>
      </c>
      <c r="N159" s="113" t="s">
        <v>922</v>
      </c>
      <c r="O159" s="109" t="s">
        <v>361</v>
      </c>
      <c r="P159" s="109" t="s">
        <v>265</v>
      </c>
      <c r="Q159" s="114" t="n">
        <v>0.21</v>
      </c>
      <c r="R159" s="109" t="n">
        <v>1</v>
      </c>
      <c r="S159" s="109" t="s">
        <v>632</v>
      </c>
      <c r="T159" s="109" t="s">
        <v>702</v>
      </c>
      <c r="U159" s="109" t="s">
        <v>591</v>
      </c>
      <c r="V159" s="115"/>
      <c r="W159" s="115"/>
      <c r="X159" s="109" t="s">
        <v>626</v>
      </c>
      <c r="Y159" s="109"/>
      <c r="Z159" s="109"/>
      <c r="AA159" s="109"/>
      <c r="AB159" s="109" t="s">
        <v>333</v>
      </c>
      <c r="AC159" s="109" t="s">
        <v>538</v>
      </c>
      <c r="AD159" s="109" t="n">
        <f aca="false">IF(OR(F159="",Q159="",R159=""),"",ROUND(IF(P159="incl.",F159/(1+Q159),F159)/IF(S159="per pack",R159,1),2))</f>
        <v>39.67</v>
      </c>
      <c r="AE159" s="109" t="str">
        <f aca="false">IF(AND(AC159="yes",ISNUMBER(F159),IF(Compare!$H$5="All mapped",TRUE(),IF(Compare!$H$5="EXACT only",J159="EXACT",OR(J159="EXACT",J159="CLOSE")))),"yes","no")</f>
        <v>yes</v>
      </c>
      <c r="AF159" s="109" t="n">
        <f aca="false">IF(ISNUMBER(H159),COUNTIFS($B$7:$B$3000,B159,$C$7:$C$3000,C159,$H$7:$H$3000,"&lt;"&amp;H159,$AH$7:$AH$3000,"yes")+COUNTIFS($B$7:B159,B159,$C$7:C159,C159,$H$7:H159,H159,$AH$7:AH159,"yes"),"")</f>
        <v>1</v>
      </c>
      <c r="AG159" s="109" t="n">
        <f aca="false">IF(ISNUMBER(I159),COUNTIFS($B$7:$B$3000,B159,$C$7:$C$3000,C159,$I$7:$I$3000,"&lt;"&amp;I159,$AI$7:$AI$3000,"yes")+COUNTIFS($B$7:B159,B159,$C$7:C159,C159,$I$7:I159,I159,$AI$7:AI159,"yes"),"")</f>
        <v>1</v>
      </c>
      <c r="AH159" s="109" t="str">
        <f aca="false">IF(ISNUMBER(H159),"yes","no")</f>
        <v>yes</v>
      </c>
      <c r="AI159" s="109" t="str">
        <f aca="false">IF(ISNUMBER(I159),"yes","no")</f>
        <v>yes</v>
      </c>
      <c r="AJ159" s="116" t="n">
        <v>46295</v>
      </c>
      <c r="AK159" s="109"/>
    </row>
    <row r="160" customFormat="false" ht="48.75" hidden="false" customHeight="true" outlineLevel="0" collapsed="false">
      <c r="A160" s="3"/>
      <c r="B160" s="36" t="s">
        <v>26</v>
      </c>
      <c r="C160" s="98" t="s">
        <v>18</v>
      </c>
      <c r="D160" s="98" t="s">
        <v>365</v>
      </c>
      <c r="E160" s="110" t="s">
        <v>923</v>
      </c>
      <c r="F160" s="99" t="n">
        <v>1.28</v>
      </c>
      <c r="G160" s="98" t="s">
        <v>244</v>
      </c>
      <c r="H160" s="112" t="n">
        <f aca="false">IF(AND(AE160="yes",ISNUMBER(AD160)),AD160,"")</f>
        <v>1.28</v>
      </c>
      <c r="I160" s="95" t="n">
        <f aca="false">IF(AND(AE160="yes",ISNUMBER(AD160),ISNUMBER(INDEX(Sources!$G$7:$G$10,MATCH(AB160,Sources!$B$7:$B$10,0)))),ROUND(AD160/INDEX(Sources!$G$7:$G$10,MATCH(AB160,Sources!$B$7:$B$10,0)),6),"")</f>
        <v>1.28</v>
      </c>
      <c r="J160" s="98" t="s">
        <v>702</v>
      </c>
      <c r="K160" s="98" t="s">
        <v>586</v>
      </c>
      <c r="L160" s="96"/>
      <c r="M160" s="110" t="s">
        <v>924</v>
      </c>
      <c r="N160" s="117" t="s">
        <v>925</v>
      </c>
      <c r="O160" s="110" t="s">
        <v>926</v>
      </c>
      <c r="P160" s="110" t="s">
        <v>590</v>
      </c>
      <c r="Q160" s="118" t="s">
        <v>647</v>
      </c>
      <c r="R160" s="110" t="n">
        <v>1</v>
      </c>
      <c r="S160" s="110" t="s">
        <v>632</v>
      </c>
      <c r="T160" s="110" t="s">
        <v>702</v>
      </c>
      <c r="U160" s="110" t="s">
        <v>591</v>
      </c>
      <c r="V160" s="119" t="n">
        <v>1.28</v>
      </c>
      <c r="W160" s="119"/>
      <c r="X160" s="110" t="s">
        <v>648</v>
      </c>
      <c r="Y160" s="110"/>
      <c r="Z160" s="110"/>
      <c r="AA160" s="110"/>
      <c r="AB160" s="110" t="s">
        <v>244</v>
      </c>
      <c r="AC160" s="110" t="s">
        <v>538</v>
      </c>
      <c r="AD160" s="110" t="n">
        <f aca="false">IF(ISNUMBER(V160),ROUND(V160,6),"")</f>
        <v>1.28</v>
      </c>
      <c r="AE160" s="110" t="str">
        <f aca="false">IF(AND(AC160="yes",ISNUMBER(F160),IF(Compare!$H$5="All mapped",TRUE(),IF(Compare!$H$5="EXACT only",J160="EXACT",OR(J160="EXACT",J160="CLOSE")))),"yes","no")</f>
        <v>yes</v>
      </c>
      <c r="AF160" s="110" t="n">
        <f aca="false">IF(ISNUMBER(H160),COUNTIFS($B$7:$B$3000,B160,$C$7:$C$3000,C160,$H$7:$H$3000,"&lt;"&amp;H160,$AH$7:$AH$3000,"yes")+COUNTIFS($B$7:B160,B160,$C$7:C160,C160,$H$7:H160,H160,$AH$7:AH160,"yes"),"")</f>
        <v>1</v>
      </c>
      <c r="AG160" s="110" t="n">
        <f aca="false">IF(ISNUMBER(I160),COUNTIFS($B$7:$B$3000,B160,$C$7:$C$3000,C160,$I$7:$I$3000,"&lt;"&amp;I160,$AI$7:$AI$3000,"yes")+COUNTIFS($B$7:B160,B160,$C$7:C160,C160,$I$7:I160,I160,$AI$7:AI160,"yes"),"")</f>
        <v>1</v>
      </c>
      <c r="AH160" s="110" t="str">
        <f aca="false">IF(ISNUMBER(H160),"yes","no")</f>
        <v>yes</v>
      </c>
      <c r="AI160" s="110" t="str">
        <f aca="false">IF(ISNUMBER(I160),"yes","no")</f>
        <v>yes</v>
      </c>
      <c r="AJ160" s="120" t="n">
        <v>46295</v>
      </c>
      <c r="AK160" s="110"/>
    </row>
    <row r="161" customFormat="false" ht="42" hidden="false" customHeight="true" outlineLevel="0" collapsed="false">
      <c r="A161" s="3"/>
      <c r="B161" s="31" t="s">
        <v>26</v>
      </c>
      <c r="C161" s="91" t="s">
        <v>18</v>
      </c>
      <c r="D161" s="91" t="s">
        <v>369</v>
      </c>
      <c r="E161" s="109" t="s">
        <v>927</v>
      </c>
      <c r="F161" s="92" t="n">
        <v>18.72</v>
      </c>
      <c r="G161" s="91" t="s">
        <v>244</v>
      </c>
      <c r="H161" s="112" t="str">
        <f aca="false">IF(AND(AE161="yes",ISNUMBER(AD161)),AD161,"")</f>
        <v/>
      </c>
      <c r="I161" s="95" t="str">
        <f aca="false">IF(AND(AE161="yes",ISNUMBER(AD161),ISNUMBER(INDEX(Sources!$G$7:$G$10,MATCH(AB161,Sources!$B$7:$B$10,0)))),ROUND(AD161/INDEX(Sources!$G$7:$G$10,MATCH(AB161,Sources!$B$7:$B$10,0)),6),"")</f>
        <v/>
      </c>
      <c r="J161" s="91" t="s">
        <v>629</v>
      </c>
      <c r="K161" s="91" t="s">
        <v>586</v>
      </c>
      <c r="L161" s="96"/>
      <c r="M161" s="109" t="s">
        <v>928</v>
      </c>
      <c r="N161" s="113" t="s">
        <v>929</v>
      </c>
      <c r="O161" s="109" t="s">
        <v>589</v>
      </c>
      <c r="P161" s="109" t="s">
        <v>265</v>
      </c>
      <c r="Q161" s="114" t="n">
        <v>0.23</v>
      </c>
      <c r="R161" s="109" t="n">
        <v>1</v>
      </c>
      <c r="S161" s="109" t="s">
        <v>632</v>
      </c>
      <c r="T161" s="109" t="s">
        <v>629</v>
      </c>
      <c r="U161" s="109" t="s">
        <v>591</v>
      </c>
      <c r="V161" s="115" t="n">
        <v>15.219512195122</v>
      </c>
      <c r="W161" s="115"/>
      <c r="X161" s="109" t="s">
        <v>648</v>
      </c>
      <c r="Y161" s="109"/>
      <c r="Z161" s="109"/>
      <c r="AA161" s="109"/>
      <c r="AB161" s="109" t="s">
        <v>244</v>
      </c>
      <c r="AC161" s="109" t="s">
        <v>538</v>
      </c>
      <c r="AD161" s="109" t="n">
        <f aca="false">IF(ISNUMBER(V161),ROUND(V161,6),"")</f>
        <v>15.219512</v>
      </c>
      <c r="AE161" s="109" t="str">
        <f aca="false">IF(AND(AC161="yes",ISNUMBER(F161),IF(Compare!$H$5="All mapped",TRUE(),IF(Compare!$H$5="EXACT only",J161="EXACT",OR(J161="EXACT",J161="CLOSE")))),"yes","no")</f>
        <v>no</v>
      </c>
      <c r="AF161" s="109" t="str">
        <f aca="false">IF(ISNUMBER(H161),COUNTIFS($B$7:$B$3000,B161,$C$7:$C$3000,C161,$H$7:$H$3000,"&lt;"&amp;H161,$AH$7:$AH$3000,"yes")+COUNTIFS($B$7:B161,B161,$C$7:C161,C161,$H$7:H161,H161,$AH$7:AH161,"yes"),"")</f>
        <v/>
      </c>
      <c r="AG161" s="109" t="str">
        <f aca="false">IF(ISNUMBER(I161),COUNTIFS($B$7:$B$3000,B161,$C$7:$C$3000,C161,$I$7:$I$3000,"&lt;"&amp;I161,$AI$7:$AI$3000,"yes")+COUNTIFS($B$7:B161,B161,$C$7:C161,C161,$I$7:I161,I161,$AI$7:AI161,"yes"),"")</f>
        <v/>
      </c>
      <c r="AH161" s="109" t="str">
        <f aca="false">IF(ISNUMBER(H161),"yes","no")</f>
        <v>no</v>
      </c>
      <c r="AI161" s="109" t="str">
        <f aca="false">IF(ISNUMBER(I161),"yes","no")</f>
        <v>no</v>
      </c>
      <c r="AJ161" s="116" t="n">
        <v>46295</v>
      </c>
      <c r="AK161" s="109"/>
    </row>
    <row r="162" customFormat="false" ht="42" hidden="false" customHeight="true" outlineLevel="0" collapsed="false">
      <c r="A162" s="3"/>
      <c r="B162" s="36" t="s">
        <v>27</v>
      </c>
      <c r="C162" s="98" t="s">
        <v>15</v>
      </c>
      <c r="D162" s="98" t="s">
        <v>269</v>
      </c>
      <c r="E162" s="110" t="s">
        <v>930</v>
      </c>
      <c r="F162" s="99" t="n">
        <v>6.89</v>
      </c>
      <c r="G162" s="98" t="s">
        <v>244</v>
      </c>
      <c r="H162" s="112" t="str">
        <f aca="false">IF(AND(AE162="yes",ISNUMBER(AD162)),AD162,"")</f>
        <v/>
      </c>
      <c r="I162" s="95" t="str">
        <f aca="false">IF(AND(AE162="yes",ISNUMBER(AD162),ISNUMBER(INDEX(Sources!$G$7:$G$10,MATCH(AB162,Sources!$B$7:$B$10,0)))),ROUND(AD162/INDEX(Sources!$G$7:$G$10,MATCH(AB162,Sources!$B$7:$B$10,0)),6),"")</f>
        <v/>
      </c>
      <c r="J162" s="98" t="s">
        <v>629</v>
      </c>
      <c r="K162" s="98" t="s">
        <v>586</v>
      </c>
      <c r="L162" s="96"/>
      <c r="M162" s="110" t="s">
        <v>931</v>
      </c>
      <c r="N162" s="117" t="s">
        <v>932</v>
      </c>
      <c r="O162" s="110" t="s">
        <v>589</v>
      </c>
      <c r="P162" s="110" t="s">
        <v>590</v>
      </c>
      <c r="Q162" s="118"/>
      <c r="R162" s="110" t="n">
        <v>1</v>
      </c>
      <c r="S162" s="110"/>
      <c r="T162" s="110" t="s">
        <v>629</v>
      </c>
      <c r="U162" s="110" t="s">
        <v>591</v>
      </c>
      <c r="V162" s="119" t="n">
        <v>6.89</v>
      </c>
      <c r="W162" s="119"/>
      <c r="X162" s="110" t="s">
        <v>592</v>
      </c>
      <c r="Y162" s="110"/>
      <c r="Z162" s="110"/>
      <c r="AA162" s="110"/>
      <c r="AB162" s="110" t="s">
        <v>244</v>
      </c>
      <c r="AC162" s="110" t="s">
        <v>538</v>
      </c>
      <c r="AD162" s="110" t="n">
        <f aca="false">IF(ISNUMBER(V162),ROUND(V162,6),"")</f>
        <v>6.89</v>
      </c>
      <c r="AE162" s="110" t="str">
        <f aca="false">IF(AND(AC162="yes",ISNUMBER(F162),IF(Compare!$H$5="All mapped",TRUE(),IF(Compare!$H$5="EXACT only",J162="EXACT",OR(J162="EXACT",J162="CLOSE")))),"yes","no")</f>
        <v>no</v>
      </c>
      <c r="AF162" s="110" t="str">
        <f aca="false">IF(ISNUMBER(H162),COUNTIFS($B$7:$B$3000,B162,$C$7:$C$3000,C162,$H$7:$H$3000,"&lt;"&amp;H162,$AH$7:$AH$3000,"yes")+COUNTIFS($B$7:B162,B162,$C$7:C162,C162,$H$7:H162,H162,$AH$7:AH162,"yes"),"")</f>
        <v/>
      </c>
      <c r="AG162" s="110" t="str">
        <f aca="false">IF(ISNUMBER(I162),COUNTIFS($B$7:$B$3000,B162,$C$7:$C$3000,C162,$I$7:$I$3000,"&lt;"&amp;I162,$AI$7:$AI$3000,"yes")+COUNTIFS($B$7:B162,B162,$C$7:C162,C162,$I$7:I162,I162,$AI$7:AI162,"yes"),"")</f>
        <v/>
      </c>
      <c r="AH162" s="110" t="str">
        <f aca="false">IF(ISNUMBER(H162),"yes","no")</f>
        <v>no</v>
      </c>
      <c r="AI162" s="110" t="str">
        <f aca="false">IF(ISNUMBER(I162),"yes","no")</f>
        <v>no</v>
      </c>
      <c r="AJ162" s="120" t="n">
        <v>46295</v>
      </c>
      <c r="AK162" s="110"/>
    </row>
    <row r="163" customFormat="false" ht="42" hidden="false" customHeight="true" outlineLevel="0" collapsed="false">
      <c r="A163" s="3"/>
      <c r="B163" s="31" t="s">
        <v>27</v>
      </c>
      <c r="C163" s="91" t="s">
        <v>15</v>
      </c>
      <c r="D163" s="91" t="s">
        <v>273</v>
      </c>
      <c r="E163" s="109" t="s">
        <v>933</v>
      </c>
      <c r="F163" s="92" t="n">
        <v>3.98</v>
      </c>
      <c r="G163" s="91" t="s">
        <v>244</v>
      </c>
      <c r="H163" s="112" t="str">
        <f aca="false">IF(AND(AE163="yes",ISNUMBER(AD163)),AD163,"")</f>
        <v/>
      </c>
      <c r="I163" s="95" t="str">
        <f aca="false">IF(AND(AE163="yes",ISNUMBER(AD163),ISNUMBER(INDEX(Sources!$G$7:$G$10,MATCH(AB163,Sources!$B$7:$B$10,0)))),ROUND(AD163/INDEX(Sources!$G$7:$G$10,MATCH(AB163,Sources!$B$7:$B$10,0)),6),"")</f>
        <v/>
      </c>
      <c r="J163" s="91" t="s">
        <v>629</v>
      </c>
      <c r="K163" s="91" t="s">
        <v>586</v>
      </c>
      <c r="L163" s="96"/>
      <c r="M163" s="109" t="s">
        <v>934</v>
      </c>
      <c r="N163" s="113" t="s">
        <v>935</v>
      </c>
      <c r="O163" s="109" t="s">
        <v>598</v>
      </c>
      <c r="P163" s="109" t="s">
        <v>265</v>
      </c>
      <c r="Q163" s="114"/>
      <c r="R163" s="109" t="n">
        <v>1</v>
      </c>
      <c r="S163" s="109"/>
      <c r="T163" s="109" t="s">
        <v>629</v>
      </c>
      <c r="U163" s="109" t="s">
        <v>591</v>
      </c>
      <c r="V163" s="115" t="n">
        <v>3.32</v>
      </c>
      <c r="W163" s="115"/>
      <c r="X163" s="109" t="s">
        <v>592</v>
      </c>
      <c r="Y163" s="109"/>
      <c r="Z163" s="109"/>
      <c r="AA163" s="109"/>
      <c r="AB163" s="109" t="s">
        <v>244</v>
      </c>
      <c r="AC163" s="109" t="s">
        <v>538</v>
      </c>
      <c r="AD163" s="109" t="n">
        <f aca="false">IF(ISNUMBER(V163),ROUND(V163,6),"")</f>
        <v>3.32</v>
      </c>
      <c r="AE163" s="109" t="str">
        <f aca="false">IF(AND(AC163="yes",ISNUMBER(F163),IF(Compare!$H$5="All mapped",TRUE(),IF(Compare!$H$5="EXACT only",J163="EXACT",OR(J163="EXACT",J163="CLOSE")))),"yes","no")</f>
        <v>no</v>
      </c>
      <c r="AF163" s="109" t="str">
        <f aca="false">IF(ISNUMBER(H163),COUNTIFS($B$7:$B$3000,B163,$C$7:$C$3000,C163,$H$7:$H$3000,"&lt;"&amp;H163,$AH$7:$AH$3000,"yes")+COUNTIFS($B$7:B163,B163,$C$7:C163,C163,$H$7:H163,H163,$AH$7:AH163,"yes"),"")</f>
        <v/>
      </c>
      <c r="AG163" s="109" t="str">
        <f aca="false">IF(ISNUMBER(I163),COUNTIFS($B$7:$B$3000,B163,$C$7:$C$3000,C163,$I$7:$I$3000,"&lt;"&amp;I163,$AI$7:$AI$3000,"yes")+COUNTIFS($B$7:B163,B163,$C$7:C163,C163,$I$7:I163,I163,$AI$7:AI163,"yes"),"")</f>
        <v/>
      </c>
      <c r="AH163" s="109" t="str">
        <f aca="false">IF(ISNUMBER(H163),"yes","no")</f>
        <v>no</v>
      </c>
      <c r="AI163" s="109" t="str">
        <f aca="false">IF(ISNUMBER(I163),"yes","no")</f>
        <v>no</v>
      </c>
      <c r="AJ163" s="116" t="n">
        <v>46295</v>
      </c>
      <c r="AK163" s="109"/>
    </row>
    <row r="164" customFormat="false" ht="42" hidden="false" customHeight="true" outlineLevel="0" collapsed="false">
      <c r="A164" s="3"/>
      <c r="B164" s="36" t="s">
        <v>27</v>
      </c>
      <c r="C164" s="98" t="s">
        <v>15</v>
      </c>
      <c r="D164" s="98" t="s">
        <v>281</v>
      </c>
      <c r="E164" s="110" t="s">
        <v>936</v>
      </c>
      <c r="F164" s="99" t="n">
        <v>4.44</v>
      </c>
      <c r="G164" s="98" t="s">
        <v>244</v>
      </c>
      <c r="H164" s="112" t="str">
        <f aca="false">IF(AND(AE164="yes",ISNUMBER(AD164)),AD164,"")</f>
        <v/>
      </c>
      <c r="I164" s="95" t="str">
        <f aca="false">IF(AND(AE164="yes",ISNUMBER(AD164),ISNUMBER(INDEX(Sources!$G$7:$G$10,MATCH(AB164,Sources!$B$7:$B$10,0)))),ROUND(AD164/INDEX(Sources!$G$7:$G$10,MATCH(AB164,Sources!$B$7:$B$10,0)),6),"")</f>
        <v/>
      </c>
      <c r="J164" s="98" t="s">
        <v>629</v>
      </c>
      <c r="K164" s="98" t="s">
        <v>586</v>
      </c>
      <c r="L164" s="96"/>
      <c r="M164" s="110" t="s">
        <v>937</v>
      </c>
      <c r="N164" s="117" t="s">
        <v>938</v>
      </c>
      <c r="O164" s="110" t="s">
        <v>589</v>
      </c>
      <c r="P164" s="110" t="s">
        <v>590</v>
      </c>
      <c r="Q164" s="118"/>
      <c r="R164" s="110" t="n">
        <v>1</v>
      </c>
      <c r="S164" s="110"/>
      <c r="T164" s="110" t="s">
        <v>629</v>
      </c>
      <c r="U164" s="110" t="s">
        <v>591</v>
      </c>
      <c r="V164" s="119" t="n">
        <v>4.44</v>
      </c>
      <c r="W164" s="119"/>
      <c r="X164" s="110" t="s">
        <v>592</v>
      </c>
      <c r="Y164" s="110"/>
      <c r="Z164" s="110"/>
      <c r="AA164" s="110"/>
      <c r="AB164" s="110" t="s">
        <v>244</v>
      </c>
      <c r="AC164" s="110" t="s">
        <v>538</v>
      </c>
      <c r="AD164" s="110" t="n">
        <f aca="false">IF(ISNUMBER(V164),ROUND(V164,6),"")</f>
        <v>4.44</v>
      </c>
      <c r="AE164" s="110" t="str">
        <f aca="false">IF(AND(AC164="yes",ISNUMBER(F164),IF(Compare!$H$5="All mapped",TRUE(),IF(Compare!$H$5="EXACT only",J164="EXACT",OR(J164="EXACT",J164="CLOSE")))),"yes","no")</f>
        <v>no</v>
      </c>
      <c r="AF164" s="110" t="str">
        <f aca="false">IF(ISNUMBER(H164),COUNTIFS($B$7:$B$3000,B164,$C$7:$C$3000,C164,$H$7:$H$3000,"&lt;"&amp;H164,$AH$7:$AH$3000,"yes")+COUNTIFS($B$7:B164,B164,$C$7:C164,C164,$H$7:H164,H164,$AH$7:AH164,"yes"),"")</f>
        <v/>
      </c>
      <c r="AG164" s="110" t="str">
        <f aca="false">IF(ISNUMBER(I164),COUNTIFS($B$7:$B$3000,B164,$C$7:$C$3000,C164,$I$7:$I$3000,"&lt;"&amp;I164,$AI$7:$AI$3000,"yes")+COUNTIFS($B$7:B164,B164,$C$7:C164,C164,$I$7:I164,I164,$AI$7:AI164,"yes"),"")</f>
        <v/>
      </c>
      <c r="AH164" s="110" t="str">
        <f aca="false">IF(ISNUMBER(H164),"yes","no")</f>
        <v>no</v>
      </c>
      <c r="AI164" s="110" t="str">
        <f aca="false">IF(ISNUMBER(I164),"yes","no")</f>
        <v>no</v>
      </c>
      <c r="AJ164" s="120" t="n">
        <v>46295</v>
      </c>
      <c r="AK164" s="110"/>
    </row>
    <row r="165" customFormat="false" ht="42" hidden="false" customHeight="true" outlineLevel="0" collapsed="false">
      <c r="A165" s="3"/>
      <c r="B165" s="31" t="s">
        <v>27</v>
      </c>
      <c r="C165" s="91" t="s">
        <v>16</v>
      </c>
      <c r="D165" s="91" t="s">
        <v>311</v>
      </c>
      <c r="E165" s="109" t="s">
        <v>930</v>
      </c>
      <c r="F165" s="92" t="n">
        <v>3.89</v>
      </c>
      <c r="G165" s="91" t="s">
        <v>244</v>
      </c>
      <c r="H165" s="112" t="str">
        <f aca="false">IF(AND(AE165="yes",ISNUMBER(AD165)),AD165,"")</f>
        <v/>
      </c>
      <c r="I165" s="95" t="str">
        <f aca="false">IF(AND(AE165="yes",ISNUMBER(AD165),ISNUMBER(INDEX(Sources!$G$7:$G$10,MATCH(AB165,Sources!$B$7:$B$10,0)))),ROUND(AD165/INDEX(Sources!$G$7:$G$10,MATCH(AB165,Sources!$B$7:$B$10,0)),6),"")</f>
        <v/>
      </c>
      <c r="J165" s="91" t="s">
        <v>629</v>
      </c>
      <c r="K165" s="91" t="s">
        <v>586</v>
      </c>
      <c r="L165" s="96"/>
      <c r="M165" s="109" t="s">
        <v>939</v>
      </c>
      <c r="N165" s="113" t="s">
        <v>940</v>
      </c>
      <c r="O165" s="109" t="s">
        <v>589</v>
      </c>
      <c r="P165" s="109" t="s">
        <v>590</v>
      </c>
      <c r="Q165" s="114"/>
      <c r="R165" s="109" t="n">
        <v>1</v>
      </c>
      <c r="S165" s="109"/>
      <c r="T165" s="109" t="s">
        <v>629</v>
      </c>
      <c r="U165" s="109" t="s">
        <v>591</v>
      </c>
      <c r="V165" s="115" t="n">
        <v>3.89</v>
      </c>
      <c r="W165" s="115"/>
      <c r="X165" s="109" t="s">
        <v>612</v>
      </c>
      <c r="Y165" s="109"/>
      <c r="Z165" s="109"/>
      <c r="AA165" s="109"/>
      <c r="AB165" s="109" t="s">
        <v>244</v>
      </c>
      <c r="AC165" s="109" t="s">
        <v>538</v>
      </c>
      <c r="AD165" s="109" t="n">
        <f aca="false">IF(ISNUMBER(V165),ROUND(V165,6),"")</f>
        <v>3.89</v>
      </c>
      <c r="AE165" s="109" t="str">
        <f aca="false">IF(AND(AC165="yes",ISNUMBER(F165),IF(Compare!$H$5="All mapped",TRUE(),IF(Compare!$H$5="EXACT only",J165="EXACT",OR(J165="EXACT",J165="CLOSE")))),"yes","no")</f>
        <v>no</v>
      </c>
      <c r="AF165" s="109" t="str">
        <f aca="false">IF(ISNUMBER(H165),COUNTIFS($B$7:$B$3000,B165,$C$7:$C$3000,C165,$H$7:$H$3000,"&lt;"&amp;H165,$AH$7:$AH$3000,"yes")+COUNTIFS($B$7:B165,B165,$C$7:C165,C165,$H$7:H165,H165,$AH$7:AH165,"yes"),"")</f>
        <v/>
      </c>
      <c r="AG165" s="109" t="str">
        <f aca="false">IF(ISNUMBER(I165),COUNTIFS($B$7:$B$3000,B165,$C$7:$C$3000,C165,$I$7:$I$3000,"&lt;"&amp;I165,$AI$7:$AI$3000,"yes")+COUNTIFS($B$7:B165,B165,$C$7:C165,C165,$I$7:I165,I165,$AI$7:AI165,"yes"),"")</f>
        <v/>
      </c>
      <c r="AH165" s="109" t="str">
        <f aca="false">IF(ISNUMBER(H165),"yes","no")</f>
        <v>no</v>
      </c>
      <c r="AI165" s="109" t="str">
        <f aca="false">IF(ISNUMBER(I165),"yes","no")</f>
        <v>no</v>
      </c>
      <c r="AJ165" s="116" t="n">
        <v>46295</v>
      </c>
      <c r="AK165" s="109"/>
    </row>
    <row r="166" customFormat="false" ht="42" hidden="false" customHeight="true" outlineLevel="0" collapsed="false">
      <c r="A166" s="3"/>
      <c r="B166" s="36" t="s">
        <v>27</v>
      </c>
      <c r="C166" s="98" t="s">
        <v>16</v>
      </c>
      <c r="D166" s="98" t="s">
        <v>313</v>
      </c>
      <c r="E166" s="110" t="s">
        <v>933</v>
      </c>
      <c r="F166" s="99" t="n">
        <v>3.89</v>
      </c>
      <c r="G166" s="98" t="s">
        <v>244</v>
      </c>
      <c r="H166" s="112" t="str">
        <f aca="false">IF(AND(AE166="yes",ISNUMBER(AD166)),AD166,"")</f>
        <v/>
      </c>
      <c r="I166" s="95" t="str">
        <f aca="false">IF(AND(AE166="yes",ISNUMBER(AD166),ISNUMBER(INDEX(Sources!$G$7:$G$10,MATCH(AB166,Sources!$B$7:$B$10,0)))),ROUND(AD166/INDEX(Sources!$G$7:$G$10,MATCH(AB166,Sources!$B$7:$B$10,0)),6),"")</f>
        <v/>
      </c>
      <c r="J166" s="98" t="s">
        <v>629</v>
      </c>
      <c r="K166" s="98" t="s">
        <v>586</v>
      </c>
      <c r="L166" s="96"/>
      <c r="M166" s="110" t="s">
        <v>934</v>
      </c>
      <c r="N166" s="117" t="s">
        <v>941</v>
      </c>
      <c r="O166" s="110" t="s">
        <v>598</v>
      </c>
      <c r="P166" s="110" t="s">
        <v>265</v>
      </c>
      <c r="Q166" s="118"/>
      <c r="R166" s="110" t="n">
        <v>1</v>
      </c>
      <c r="S166" s="110"/>
      <c r="T166" s="110" t="s">
        <v>629</v>
      </c>
      <c r="U166" s="110" t="s">
        <v>591</v>
      </c>
      <c r="V166" s="119" t="n">
        <v>3.27</v>
      </c>
      <c r="W166" s="119"/>
      <c r="X166" s="110" t="s">
        <v>612</v>
      </c>
      <c r="Y166" s="110"/>
      <c r="Z166" s="110"/>
      <c r="AA166" s="110"/>
      <c r="AB166" s="110" t="s">
        <v>244</v>
      </c>
      <c r="AC166" s="110" t="s">
        <v>538</v>
      </c>
      <c r="AD166" s="110" t="n">
        <f aca="false">IF(ISNUMBER(V166),ROUND(V166,6),"")</f>
        <v>3.27</v>
      </c>
      <c r="AE166" s="110" t="str">
        <f aca="false">IF(AND(AC166="yes",ISNUMBER(F166),IF(Compare!$H$5="All mapped",TRUE(),IF(Compare!$H$5="EXACT only",J166="EXACT",OR(J166="EXACT",J166="CLOSE")))),"yes","no")</f>
        <v>no</v>
      </c>
      <c r="AF166" s="110" t="str">
        <f aca="false">IF(ISNUMBER(H166),COUNTIFS($B$7:$B$3000,B166,$C$7:$C$3000,C166,$H$7:$H$3000,"&lt;"&amp;H166,$AH$7:$AH$3000,"yes")+COUNTIFS($B$7:B166,B166,$C$7:C166,C166,$H$7:H166,H166,$AH$7:AH166,"yes"),"")</f>
        <v/>
      </c>
      <c r="AG166" s="110" t="str">
        <f aca="false">IF(ISNUMBER(I166),COUNTIFS($B$7:$B$3000,B166,$C$7:$C$3000,C166,$I$7:$I$3000,"&lt;"&amp;I166,$AI$7:$AI$3000,"yes")+COUNTIFS($B$7:B166,B166,$C$7:C166,C166,$I$7:I166,I166,$AI$7:AI166,"yes"),"")</f>
        <v/>
      </c>
      <c r="AH166" s="110" t="str">
        <f aca="false">IF(ISNUMBER(H166),"yes","no")</f>
        <v>no</v>
      </c>
      <c r="AI166" s="110" t="str">
        <f aca="false">IF(ISNUMBER(I166),"yes","no")</f>
        <v>no</v>
      </c>
      <c r="AJ166" s="120" t="n">
        <v>46295</v>
      </c>
      <c r="AK166" s="110"/>
    </row>
    <row r="167" customFormat="false" ht="42" hidden="false" customHeight="true" outlineLevel="0" collapsed="false">
      <c r="A167" s="3"/>
      <c r="B167" s="31" t="s">
        <v>27</v>
      </c>
      <c r="C167" s="91" t="s">
        <v>16</v>
      </c>
      <c r="D167" s="91" t="s">
        <v>321</v>
      </c>
      <c r="E167" s="109" t="s">
        <v>936</v>
      </c>
      <c r="F167" s="92" t="n">
        <v>4.44</v>
      </c>
      <c r="G167" s="91" t="s">
        <v>244</v>
      </c>
      <c r="H167" s="112" t="str">
        <f aca="false">IF(AND(AE167="yes",ISNUMBER(AD167)),AD167,"")</f>
        <v/>
      </c>
      <c r="I167" s="95" t="str">
        <f aca="false">IF(AND(AE167="yes",ISNUMBER(AD167),ISNUMBER(INDEX(Sources!$G$7:$G$10,MATCH(AB167,Sources!$B$7:$B$10,0)))),ROUND(AD167/INDEX(Sources!$G$7:$G$10,MATCH(AB167,Sources!$B$7:$B$10,0)),6),"")</f>
        <v/>
      </c>
      <c r="J167" s="91" t="s">
        <v>629</v>
      </c>
      <c r="K167" s="91" t="s">
        <v>586</v>
      </c>
      <c r="L167" s="96"/>
      <c r="M167" s="109" t="s">
        <v>937</v>
      </c>
      <c r="N167" s="113" t="s">
        <v>942</v>
      </c>
      <c r="O167" s="109" t="s">
        <v>589</v>
      </c>
      <c r="P167" s="109" t="s">
        <v>590</v>
      </c>
      <c r="Q167" s="114"/>
      <c r="R167" s="109" t="n">
        <v>1</v>
      </c>
      <c r="S167" s="109"/>
      <c r="T167" s="109" t="s">
        <v>629</v>
      </c>
      <c r="U167" s="109" t="s">
        <v>591</v>
      </c>
      <c r="V167" s="115" t="n">
        <v>4.44</v>
      </c>
      <c r="W167" s="115"/>
      <c r="X167" s="109" t="s">
        <v>612</v>
      </c>
      <c r="Y167" s="109"/>
      <c r="Z167" s="109"/>
      <c r="AA167" s="109"/>
      <c r="AB167" s="109" t="s">
        <v>244</v>
      </c>
      <c r="AC167" s="109" t="s">
        <v>538</v>
      </c>
      <c r="AD167" s="109" t="n">
        <f aca="false">IF(ISNUMBER(V167),ROUND(V167,6),"")</f>
        <v>4.44</v>
      </c>
      <c r="AE167" s="109" t="str">
        <f aca="false">IF(AND(AC167="yes",ISNUMBER(F167),IF(Compare!$H$5="All mapped",TRUE(),IF(Compare!$H$5="EXACT only",J167="EXACT",OR(J167="EXACT",J167="CLOSE")))),"yes","no")</f>
        <v>no</v>
      </c>
      <c r="AF167" s="109" t="str">
        <f aca="false">IF(ISNUMBER(H167),COUNTIFS($B$7:$B$3000,B167,$C$7:$C$3000,C167,$H$7:$H$3000,"&lt;"&amp;H167,$AH$7:$AH$3000,"yes")+COUNTIFS($B$7:B167,B167,$C$7:C167,C167,$H$7:H167,H167,$AH$7:AH167,"yes"),"")</f>
        <v/>
      </c>
      <c r="AG167" s="109" t="str">
        <f aca="false">IF(ISNUMBER(I167),COUNTIFS($B$7:$B$3000,B167,$C$7:$C$3000,C167,$I$7:$I$3000,"&lt;"&amp;I167,$AI$7:$AI$3000,"yes")+COUNTIFS($B$7:B167,B167,$C$7:C167,C167,$I$7:I167,I167,$AI$7:AI167,"yes"),"")</f>
        <v/>
      </c>
      <c r="AH167" s="109" t="str">
        <f aca="false">IF(ISNUMBER(H167),"yes","no")</f>
        <v>no</v>
      </c>
      <c r="AI167" s="109" t="str">
        <f aca="false">IF(ISNUMBER(I167),"yes","no")</f>
        <v>no</v>
      </c>
      <c r="AJ167" s="116" t="n">
        <v>46295</v>
      </c>
      <c r="AK167" s="109"/>
    </row>
    <row r="168" customFormat="false" ht="42" hidden="false" customHeight="true" outlineLevel="0" collapsed="false">
      <c r="A168" s="3"/>
      <c r="B168" s="36" t="s">
        <v>27</v>
      </c>
      <c r="C168" s="98" t="s">
        <v>16</v>
      </c>
      <c r="D168" s="98" t="s">
        <v>329</v>
      </c>
      <c r="E168" s="110" t="s">
        <v>943</v>
      </c>
      <c r="F168" s="99" t="n">
        <v>2.29</v>
      </c>
      <c r="G168" s="98" t="s">
        <v>244</v>
      </c>
      <c r="H168" s="112" t="str">
        <f aca="false">IF(AND(AE168="yes",ISNUMBER(AD168)),AD168,"")</f>
        <v/>
      </c>
      <c r="I168" s="95" t="str">
        <f aca="false">IF(AND(AE168="yes",ISNUMBER(AD168),ISNUMBER(INDEX(Sources!$G$7:$G$10,MATCH(AB168,Sources!$B$7:$B$10,0)))),ROUND(AD168/INDEX(Sources!$G$7:$G$10,MATCH(AB168,Sources!$B$7:$B$10,0)),6),"")</f>
        <v/>
      </c>
      <c r="J168" s="98" t="s">
        <v>629</v>
      </c>
      <c r="K168" s="98" t="s">
        <v>586</v>
      </c>
      <c r="L168" s="96"/>
      <c r="M168" s="110" t="s">
        <v>944</v>
      </c>
      <c r="N168" s="117" t="s">
        <v>945</v>
      </c>
      <c r="O168" s="110" t="s">
        <v>598</v>
      </c>
      <c r="P168" s="110" t="s">
        <v>590</v>
      </c>
      <c r="Q168" s="118"/>
      <c r="R168" s="110" t="n">
        <v>1</v>
      </c>
      <c r="S168" s="110"/>
      <c r="T168" s="110" t="s">
        <v>629</v>
      </c>
      <c r="U168" s="110" t="s">
        <v>591</v>
      </c>
      <c r="V168" s="119" t="n">
        <v>2.29</v>
      </c>
      <c r="W168" s="119"/>
      <c r="X168" s="110" t="s">
        <v>612</v>
      </c>
      <c r="Y168" s="110"/>
      <c r="Z168" s="110"/>
      <c r="AA168" s="110"/>
      <c r="AB168" s="110" t="s">
        <v>244</v>
      </c>
      <c r="AC168" s="110" t="s">
        <v>538</v>
      </c>
      <c r="AD168" s="110" t="n">
        <f aca="false">IF(ISNUMBER(V168),ROUND(V168,6),"")</f>
        <v>2.29</v>
      </c>
      <c r="AE168" s="110" t="str">
        <f aca="false">IF(AND(AC168="yes",ISNUMBER(F168),IF(Compare!$H$5="All mapped",TRUE(),IF(Compare!$H$5="EXACT only",J168="EXACT",OR(J168="EXACT",J168="CLOSE")))),"yes","no")</f>
        <v>no</v>
      </c>
      <c r="AF168" s="110" t="str">
        <f aca="false">IF(ISNUMBER(H168),COUNTIFS($B$7:$B$3000,B168,$C$7:$C$3000,C168,$H$7:$H$3000,"&lt;"&amp;H168,$AH$7:$AH$3000,"yes")+COUNTIFS($B$7:B168,B168,$C$7:C168,C168,$H$7:H168,H168,$AH$7:AH168,"yes"),"")</f>
        <v/>
      </c>
      <c r="AG168" s="110" t="str">
        <f aca="false">IF(ISNUMBER(I168),COUNTIFS($B$7:$B$3000,B168,$C$7:$C$3000,C168,$I$7:$I$3000,"&lt;"&amp;I168,$AI$7:$AI$3000,"yes")+COUNTIFS($B$7:B168,B168,$C$7:C168,C168,$I$7:I168,I168,$AI$7:AI168,"yes"),"")</f>
        <v/>
      </c>
      <c r="AH168" s="110" t="str">
        <f aca="false">IF(ISNUMBER(H168),"yes","no")</f>
        <v>no</v>
      </c>
      <c r="AI168" s="110" t="str">
        <f aca="false">IF(ISNUMBER(I168),"yes","no")</f>
        <v>no</v>
      </c>
      <c r="AJ168" s="120" t="n">
        <v>46295</v>
      </c>
      <c r="AK168" s="110"/>
    </row>
    <row r="169" customFormat="false" ht="42" hidden="false" customHeight="true" outlineLevel="0" collapsed="false">
      <c r="A169" s="3"/>
      <c r="B169" s="31" t="s">
        <v>27</v>
      </c>
      <c r="C169" s="91" t="s">
        <v>17</v>
      </c>
      <c r="D169" s="91" t="s">
        <v>346</v>
      </c>
      <c r="E169" s="109" t="s">
        <v>946</v>
      </c>
      <c r="F169" s="92" t="n">
        <v>156</v>
      </c>
      <c r="G169" s="91" t="s">
        <v>333</v>
      </c>
      <c r="H169" s="112" t="str">
        <f aca="false">IF(AND(AE169="yes",ISNUMBER(AD169)),AD169,"")</f>
        <v/>
      </c>
      <c r="I169" s="95" t="str">
        <f aca="false">IF(AND(AE169="yes",ISNUMBER(AD169),ISNUMBER(INDEX(Sources!$G$7:$G$10,MATCH(AB169,Sources!$B$7:$B$10,0)))),ROUND(AD169/INDEX(Sources!$G$7:$G$10,MATCH(AB169,Sources!$B$7:$B$10,0)),6),"")</f>
        <v/>
      </c>
      <c r="J169" s="91" t="s">
        <v>629</v>
      </c>
      <c r="K169" s="91" t="s">
        <v>586</v>
      </c>
      <c r="L169" s="96"/>
      <c r="M169" s="109" t="s">
        <v>947</v>
      </c>
      <c r="N169" s="113" t="s">
        <v>948</v>
      </c>
      <c r="O169" s="109" t="s">
        <v>565</v>
      </c>
      <c r="P169" s="109" t="s">
        <v>265</v>
      </c>
      <c r="Q169" s="114" t="n">
        <v>0.21</v>
      </c>
      <c r="R169" s="109" t="n">
        <v>1</v>
      </c>
      <c r="S169" s="109" t="s">
        <v>632</v>
      </c>
      <c r="T169" s="109" t="s">
        <v>629</v>
      </c>
      <c r="U169" s="109" t="s">
        <v>591</v>
      </c>
      <c r="V169" s="115"/>
      <c r="W169" s="115"/>
      <c r="X169" s="109" t="s">
        <v>626</v>
      </c>
      <c r="Y169" s="109"/>
      <c r="Z169" s="109"/>
      <c r="AA169" s="109"/>
      <c r="AB169" s="109" t="s">
        <v>333</v>
      </c>
      <c r="AC169" s="109" t="s">
        <v>538</v>
      </c>
      <c r="AD169" s="109" t="n">
        <f aca="false">IF(OR(F169="",Q169="",R169=""),"",ROUND(IF(P169="incl.",F169/(1+Q169),F169)/IF(S169="per pack",R169,1),2))</f>
        <v>128.93</v>
      </c>
      <c r="AE169" s="109" t="str">
        <f aca="false">IF(AND(AC169="yes",ISNUMBER(F169),IF(Compare!$H$5="All mapped",TRUE(),IF(Compare!$H$5="EXACT only",J169="EXACT",OR(J169="EXACT",J169="CLOSE")))),"yes","no")</f>
        <v>no</v>
      </c>
      <c r="AF169" s="109" t="str">
        <f aca="false">IF(ISNUMBER(H169),COUNTIFS($B$7:$B$3000,B169,$C$7:$C$3000,C169,$H$7:$H$3000,"&lt;"&amp;H169,$AH$7:$AH$3000,"yes")+COUNTIFS($B$7:B169,B169,$C$7:C169,C169,$H$7:H169,H169,$AH$7:AH169,"yes"),"")</f>
        <v/>
      </c>
      <c r="AG169" s="109" t="str">
        <f aca="false">IF(ISNUMBER(I169),COUNTIFS($B$7:$B$3000,B169,$C$7:$C$3000,C169,$I$7:$I$3000,"&lt;"&amp;I169,$AI$7:$AI$3000,"yes")+COUNTIFS($B$7:B169,B169,$C$7:C169,C169,$I$7:I169,I169,$AI$7:AI169,"yes"),"")</f>
        <v/>
      </c>
      <c r="AH169" s="109" t="str">
        <f aca="false">IF(ISNUMBER(H169),"yes","no")</f>
        <v>no</v>
      </c>
      <c r="AI169" s="109" t="str">
        <f aca="false">IF(ISNUMBER(I169),"yes","no")</f>
        <v>no</v>
      </c>
      <c r="AJ169" s="116" t="n">
        <v>46295</v>
      </c>
      <c r="AK169" s="109"/>
    </row>
    <row r="170" customFormat="false" ht="42" hidden="false" customHeight="true" outlineLevel="0" collapsed="false">
      <c r="A170" s="3"/>
      <c r="B170" s="36" t="s">
        <v>27</v>
      </c>
      <c r="C170" s="98" t="s">
        <v>18</v>
      </c>
      <c r="D170" s="98" t="s">
        <v>365</v>
      </c>
      <c r="E170" s="110" t="s">
        <v>949</v>
      </c>
      <c r="F170" s="99"/>
      <c r="G170" s="98"/>
      <c r="H170" s="112" t="str">
        <f aca="false">IF(AND(AE170="yes",ISNUMBER(AD170)),AD170,"")</f>
        <v/>
      </c>
      <c r="I170" s="95" t="str">
        <f aca="false">IF(AND(AE170="yes",ISNUMBER(AD170),ISNUMBER(INDEX(Sources!$G$7:$G$10,MATCH(AB170,Sources!$B$7:$B$10,0)))),ROUND(AD170/INDEX(Sources!$G$7:$G$10,MATCH(AB170,Sources!$B$7:$B$10,0)),6),"")</f>
        <v/>
      </c>
      <c r="J170" s="98"/>
      <c r="K170" s="98" t="s">
        <v>586</v>
      </c>
      <c r="L170" s="96"/>
      <c r="M170" s="110" t="s">
        <v>950</v>
      </c>
      <c r="N170" s="117" t="s">
        <v>951</v>
      </c>
      <c r="O170" s="110"/>
      <c r="P170" s="110"/>
      <c r="Q170" s="118"/>
      <c r="R170" s="110"/>
      <c r="S170" s="110"/>
      <c r="T170" s="110"/>
      <c r="U170" s="110" t="s">
        <v>591</v>
      </c>
      <c r="V170" s="119"/>
      <c r="W170" s="119"/>
      <c r="X170" s="110" t="s">
        <v>648</v>
      </c>
      <c r="Y170" s="110"/>
      <c r="Z170" s="110"/>
      <c r="AA170" s="110"/>
      <c r="AB170" s="110" t="s">
        <v>244</v>
      </c>
      <c r="AC170" s="110" t="s">
        <v>538</v>
      </c>
      <c r="AD170" s="110" t="str">
        <f aca="false">IF(ISNUMBER(V170),ROUND(V170,6),"")</f>
        <v/>
      </c>
      <c r="AE170" s="110" t="str">
        <f aca="false">IF(AND(AC170="yes",ISNUMBER(F170),IF(Compare!$H$5="All mapped",TRUE(),IF(Compare!$H$5="EXACT only",J170="EXACT",OR(J170="EXACT",J170="CLOSE")))),"yes","no")</f>
        <v>no</v>
      </c>
      <c r="AF170" s="110" t="str">
        <f aca="false">IF(ISNUMBER(H170),COUNTIFS($B$7:$B$3000,B170,$C$7:$C$3000,C170,$H$7:$H$3000,"&lt;"&amp;H170,$AH$7:$AH$3000,"yes")+COUNTIFS($B$7:B170,B170,$C$7:C170,C170,$H$7:H170,H170,$AH$7:AH170,"yes"),"")</f>
        <v/>
      </c>
      <c r="AG170" s="110" t="str">
        <f aca="false">IF(ISNUMBER(I170),COUNTIFS($B$7:$B$3000,B170,$C$7:$C$3000,C170,$I$7:$I$3000,"&lt;"&amp;I170,$AI$7:$AI$3000,"yes")+COUNTIFS($B$7:B170,B170,$C$7:C170,C170,$I$7:I170,I170,$AI$7:AI170,"yes"),"")</f>
        <v/>
      </c>
      <c r="AH170" s="110" t="str">
        <f aca="false">IF(ISNUMBER(H170),"yes","no")</f>
        <v>no</v>
      </c>
      <c r="AI170" s="110" t="str">
        <f aca="false">IF(ISNUMBER(I170),"yes","no")</f>
        <v>no</v>
      </c>
      <c r="AJ170" s="120" t="n">
        <v>46295</v>
      </c>
      <c r="AK170" s="110"/>
    </row>
    <row r="171" customFormat="false" ht="42" hidden="false" customHeight="true" outlineLevel="0" collapsed="false">
      <c r="A171" s="3"/>
      <c r="B171" s="31" t="s">
        <v>27</v>
      </c>
      <c r="C171" s="91" t="s">
        <v>18</v>
      </c>
      <c r="D171" s="91" t="s">
        <v>369</v>
      </c>
      <c r="E171" s="109" t="s">
        <v>952</v>
      </c>
      <c r="F171" s="92" t="n">
        <v>6.54</v>
      </c>
      <c r="G171" s="91" t="s">
        <v>244</v>
      </c>
      <c r="H171" s="112" t="str">
        <f aca="false">IF(AND(AE171="yes",ISNUMBER(AD171)),AD171,"")</f>
        <v/>
      </c>
      <c r="I171" s="95" t="str">
        <f aca="false">IF(AND(AE171="yes",ISNUMBER(AD171),ISNUMBER(INDEX(Sources!$G$7:$G$10,MATCH(AB171,Sources!$B$7:$B$10,0)))),ROUND(AD171/INDEX(Sources!$G$7:$G$10,MATCH(AB171,Sources!$B$7:$B$10,0)),6),"")</f>
        <v/>
      </c>
      <c r="J171" s="91" t="s">
        <v>629</v>
      </c>
      <c r="K171" s="91" t="s">
        <v>586</v>
      </c>
      <c r="L171" s="96"/>
      <c r="M171" s="109" t="s">
        <v>953</v>
      </c>
      <c r="N171" s="113" t="s">
        <v>954</v>
      </c>
      <c r="O171" s="109" t="s">
        <v>565</v>
      </c>
      <c r="P171" s="109" t="s">
        <v>265</v>
      </c>
      <c r="Q171" s="114" t="n">
        <v>0.23</v>
      </c>
      <c r="R171" s="109" t="n">
        <v>1</v>
      </c>
      <c r="S171" s="109" t="s">
        <v>632</v>
      </c>
      <c r="T171" s="109" t="s">
        <v>629</v>
      </c>
      <c r="U171" s="109" t="s">
        <v>591</v>
      </c>
      <c r="V171" s="115" t="n">
        <v>5.31707317073171</v>
      </c>
      <c r="W171" s="115"/>
      <c r="X171" s="109" t="s">
        <v>648</v>
      </c>
      <c r="Y171" s="109"/>
      <c r="Z171" s="109"/>
      <c r="AA171" s="109"/>
      <c r="AB171" s="109" t="s">
        <v>244</v>
      </c>
      <c r="AC171" s="109" t="s">
        <v>538</v>
      </c>
      <c r="AD171" s="109" t="n">
        <f aca="false">IF(ISNUMBER(V171),ROUND(V171,6),"")</f>
        <v>5.317073</v>
      </c>
      <c r="AE171" s="109" t="str">
        <f aca="false">IF(AND(AC171="yes",ISNUMBER(F171),IF(Compare!$H$5="All mapped",TRUE(),IF(Compare!$H$5="EXACT only",J171="EXACT",OR(J171="EXACT",J171="CLOSE")))),"yes","no")</f>
        <v>no</v>
      </c>
      <c r="AF171" s="109" t="str">
        <f aca="false">IF(ISNUMBER(H171),COUNTIFS($B$7:$B$3000,B171,$C$7:$C$3000,C171,$H$7:$H$3000,"&lt;"&amp;H171,$AH$7:$AH$3000,"yes")+COUNTIFS($B$7:B171,B171,$C$7:C171,C171,$H$7:H171,H171,$AH$7:AH171,"yes"),"")</f>
        <v/>
      </c>
      <c r="AG171" s="109" t="str">
        <f aca="false">IF(ISNUMBER(I171),COUNTIFS($B$7:$B$3000,B171,$C$7:$C$3000,C171,$I$7:$I$3000,"&lt;"&amp;I171,$AI$7:$AI$3000,"yes")+COUNTIFS($B$7:B171,B171,$C$7:C171,C171,$I$7:I171,I171,$AI$7:AI171,"yes"),"")</f>
        <v/>
      </c>
      <c r="AH171" s="109" t="str">
        <f aca="false">IF(ISNUMBER(H171),"yes","no")</f>
        <v>no</v>
      </c>
      <c r="AI171" s="109" t="str">
        <f aca="false">IF(ISNUMBER(I171),"yes","no")</f>
        <v>no</v>
      </c>
      <c r="AJ171" s="116" t="n">
        <v>46295</v>
      </c>
      <c r="AK171" s="109"/>
    </row>
    <row r="172" customFormat="false" ht="42" hidden="false" customHeight="true" outlineLevel="0" collapsed="false">
      <c r="A172" s="3"/>
      <c r="B172" s="36" t="s">
        <v>28</v>
      </c>
      <c r="C172" s="98" t="s">
        <v>14</v>
      </c>
      <c r="D172" s="98" t="s">
        <v>388</v>
      </c>
      <c r="E172" s="110" t="s">
        <v>955</v>
      </c>
      <c r="F172" s="99" t="n">
        <v>105.9</v>
      </c>
      <c r="G172" s="98" t="s">
        <v>374</v>
      </c>
      <c r="H172" s="112" t="str">
        <f aca="false">IF(AND(AE172="yes",ISNUMBER(AD172)),AD172,"")</f>
        <v/>
      </c>
      <c r="I172" s="95" t="str">
        <f aca="false">IF(AND(AE172="yes",ISNUMBER(AD172),ISNUMBER(INDEX(Sources!$G$7:$G$10,MATCH(AB172,Sources!$B$7:$B$10,0)))),ROUND(AD172/INDEX(Sources!$G$7:$G$10,MATCH(AB172,Sources!$B$7:$B$10,0)),6),"")</f>
        <v/>
      </c>
      <c r="J172" s="98" t="s">
        <v>956</v>
      </c>
      <c r="K172" s="98" t="s">
        <v>559</v>
      </c>
      <c r="L172" s="96"/>
      <c r="M172" s="110"/>
      <c r="N172" s="117" t="s">
        <v>957</v>
      </c>
      <c r="O172" s="110"/>
      <c r="P172" s="110"/>
      <c r="Q172" s="118"/>
      <c r="R172" s="110"/>
      <c r="S172" s="110"/>
      <c r="T172" s="110"/>
      <c r="U172" s="110" t="s">
        <v>958</v>
      </c>
      <c r="V172" s="119"/>
      <c r="W172" s="119" t="n">
        <v>21.18</v>
      </c>
      <c r="X172" s="110" t="s">
        <v>556</v>
      </c>
      <c r="Y172" s="110" t="s">
        <v>557</v>
      </c>
      <c r="Z172" s="110"/>
      <c r="AA172" s="110"/>
      <c r="AB172" s="110" t="s">
        <v>374</v>
      </c>
      <c r="AC172" s="110" t="s">
        <v>538</v>
      </c>
      <c r="AD172" s="119" t="n">
        <f aca="false">IF(ISNUMBER(F172),IF(G172=AB172,F172,IF(AND(ISNUMBER(INDEX(Sources!$G$7:$G$10,MATCH(G172,Sources!$B$7:$B$10,0))),ISNUMBER(INDEX(Sources!$G$7:$G$10,MATCH(AB172,Sources!$B$7:$B$10,0)))),F172/INDEX(Sources!$G$7:$G$10,MATCH(G172,Sources!$B$7:$B$10,0))*INDEX(Sources!$G$7:$G$10,MATCH(AB172,Sources!$B$7:$B$10,0)),"")),"")</f>
        <v>105.9</v>
      </c>
      <c r="AE172" s="110" t="str">
        <f aca="false">IF(AND(AC172="yes",ISNUMBER(F172),IF(Compare!$H$5="All mapped",TRUE(),IF(Compare!$H$5="EXACT only",J172="EXACT",OR(J172="EXACT",J172="CLOSE")))),"yes","no")</f>
        <v>no</v>
      </c>
      <c r="AF172" s="110" t="str">
        <f aca="false">IF(ISNUMBER(H172),COUNTIFS($B$7:$B$3000,B172,$C$7:$C$3000,C172,$H$7:$H$3000,"&lt;"&amp;H172,$AH$7:$AH$3000,"yes")+COUNTIFS($B$7:B172,B172,$C$7:C172,C172,$H$7:H172,H172,$AH$7:AH172,"yes"),"")</f>
        <v/>
      </c>
      <c r="AG172" s="110" t="str">
        <f aca="false">IF(ISNUMBER(I172),COUNTIFS($B$7:$B$3000,B172,$C$7:$C$3000,C172,$I$7:$I$3000,"&lt;"&amp;I172,$AI$7:$AI$3000,"yes")+COUNTIFS($B$7:B172,B172,$C$7:C172,C172,$I$7:I172,I172,$AI$7:AI172,"yes"),"")</f>
        <v/>
      </c>
      <c r="AH172" s="110" t="str">
        <f aca="false">IF(ISNUMBER(H172),"yes","no")</f>
        <v>no</v>
      </c>
      <c r="AI172" s="110" t="str">
        <f aca="false">IF(ISNUMBER(I172),"yes","no")</f>
        <v>no</v>
      </c>
      <c r="AJ172" s="120" t="n">
        <v>46207</v>
      </c>
      <c r="AK172" s="110"/>
    </row>
    <row r="173" customFormat="false" ht="42" hidden="false" customHeight="true" outlineLevel="0" collapsed="false">
      <c r="A173" s="3"/>
      <c r="B173" s="31" t="s">
        <v>28</v>
      </c>
      <c r="C173" s="91" t="s">
        <v>14</v>
      </c>
      <c r="D173" s="91" t="s">
        <v>381</v>
      </c>
      <c r="E173" s="109" t="s">
        <v>959</v>
      </c>
      <c r="F173" s="92" t="n">
        <v>222.32</v>
      </c>
      <c r="G173" s="91" t="s">
        <v>374</v>
      </c>
      <c r="H173" s="112" t="str">
        <f aca="false">IF(AND(AE173="yes",ISNUMBER(AD173)),AD173,"")</f>
        <v/>
      </c>
      <c r="I173" s="95" t="str">
        <f aca="false">IF(AND(AE173="yes",ISNUMBER(AD173),ISNUMBER(INDEX(Sources!$G$7:$G$10,MATCH(AB173,Sources!$B$7:$B$10,0)))),ROUND(AD173/INDEX(Sources!$G$7:$G$10,MATCH(AB173,Sources!$B$7:$B$10,0)),6),"")</f>
        <v/>
      </c>
      <c r="J173" s="91" t="s">
        <v>956</v>
      </c>
      <c r="K173" s="91" t="s">
        <v>559</v>
      </c>
      <c r="L173" s="96"/>
      <c r="M173" s="109" t="s">
        <v>729</v>
      </c>
      <c r="N173" s="113" t="s">
        <v>960</v>
      </c>
      <c r="O173" s="109"/>
      <c r="P173" s="109"/>
      <c r="Q173" s="114"/>
      <c r="R173" s="109"/>
      <c r="S173" s="109"/>
      <c r="T173" s="109"/>
      <c r="U173" s="109" t="s">
        <v>958</v>
      </c>
      <c r="V173" s="115"/>
      <c r="W173" s="115" t="n">
        <v>44.464</v>
      </c>
      <c r="X173" s="109" t="s">
        <v>556</v>
      </c>
      <c r="Y173" s="109" t="s">
        <v>557</v>
      </c>
      <c r="Z173" s="109"/>
      <c r="AA173" s="109"/>
      <c r="AB173" s="109" t="s">
        <v>374</v>
      </c>
      <c r="AC173" s="109" t="s">
        <v>538</v>
      </c>
      <c r="AD173" s="115" t="n">
        <f aca="false">IF(ISNUMBER(F173),IF(G173=AB173,F173,IF(AND(ISNUMBER(INDEX(Sources!$G$7:$G$10,MATCH(G173,Sources!$B$7:$B$10,0))),ISNUMBER(INDEX(Sources!$G$7:$G$10,MATCH(AB173,Sources!$B$7:$B$10,0)))),F173/INDEX(Sources!$G$7:$G$10,MATCH(G173,Sources!$B$7:$B$10,0))*INDEX(Sources!$G$7:$G$10,MATCH(AB173,Sources!$B$7:$B$10,0)),"")),"")</f>
        <v>222.32</v>
      </c>
      <c r="AE173" s="109" t="str">
        <f aca="false">IF(AND(AC173="yes",ISNUMBER(F173),IF(Compare!$H$5="All mapped",TRUE(),IF(Compare!$H$5="EXACT only",J173="EXACT",OR(J173="EXACT",J173="CLOSE")))),"yes","no")</f>
        <v>no</v>
      </c>
      <c r="AF173" s="109" t="str">
        <f aca="false">IF(ISNUMBER(H173),COUNTIFS($B$7:$B$3000,B173,$C$7:$C$3000,C173,$H$7:$H$3000,"&lt;"&amp;H173,$AH$7:$AH$3000,"yes")+COUNTIFS($B$7:B173,B173,$C$7:C173,C173,$H$7:H173,H173,$AH$7:AH173,"yes"),"")</f>
        <v/>
      </c>
      <c r="AG173" s="109" t="str">
        <f aca="false">IF(ISNUMBER(I173),COUNTIFS($B$7:$B$3000,B173,$C$7:$C$3000,C173,$I$7:$I$3000,"&lt;"&amp;I173,$AI$7:$AI$3000,"yes")+COUNTIFS($B$7:B173,B173,$C$7:C173,C173,$I$7:I173,I173,$AI$7:AI173,"yes"),"")</f>
        <v/>
      </c>
      <c r="AH173" s="109" t="str">
        <f aca="false">IF(ISNUMBER(H173),"yes","no")</f>
        <v>no</v>
      </c>
      <c r="AI173" s="109" t="str">
        <f aca="false">IF(ISNUMBER(I173),"yes","no")</f>
        <v>no</v>
      </c>
      <c r="AJ173" s="116" t="n">
        <v>46207</v>
      </c>
      <c r="AK173" s="109"/>
    </row>
    <row r="174" customFormat="false" ht="42" hidden="false" customHeight="true" outlineLevel="0" collapsed="false">
      <c r="A174" s="3"/>
      <c r="B174" s="36" t="s">
        <v>28</v>
      </c>
      <c r="C174" s="98" t="s">
        <v>14</v>
      </c>
      <c r="D174" s="98" t="s">
        <v>403</v>
      </c>
      <c r="E174" s="110" t="s">
        <v>955</v>
      </c>
      <c r="F174" s="99" t="n">
        <v>96.98</v>
      </c>
      <c r="G174" s="98" t="s">
        <v>374</v>
      </c>
      <c r="H174" s="112" t="str">
        <f aca="false">IF(AND(AE174="yes",ISNUMBER(AD174)),AD174,"")</f>
        <v/>
      </c>
      <c r="I174" s="95" t="str">
        <f aca="false">IF(AND(AE174="yes",ISNUMBER(AD174),ISNUMBER(INDEX(Sources!$G$7:$G$10,MATCH(AB174,Sources!$B$7:$B$10,0)))),ROUND(AD174/INDEX(Sources!$G$7:$G$10,MATCH(AB174,Sources!$B$7:$B$10,0)),6),"")</f>
        <v/>
      </c>
      <c r="J174" s="98" t="s">
        <v>956</v>
      </c>
      <c r="K174" s="98" t="s">
        <v>559</v>
      </c>
      <c r="L174" s="96"/>
      <c r="M174" s="110"/>
      <c r="N174" s="117" t="s">
        <v>961</v>
      </c>
      <c r="O174" s="110" t="s">
        <v>388</v>
      </c>
      <c r="P174" s="110"/>
      <c r="Q174" s="118"/>
      <c r="R174" s="110"/>
      <c r="S174" s="110"/>
      <c r="T174" s="110"/>
      <c r="U174" s="110" t="s">
        <v>958</v>
      </c>
      <c r="V174" s="119"/>
      <c r="W174" s="119" t="n">
        <v>19.396</v>
      </c>
      <c r="X174" s="110" t="s">
        <v>556</v>
      </c>
      <c r="Y174" s="110" t="s">
        <v>557</v>
      </c>
      <c r="Z174" s="110"/>
      <c r="AA174" s="110"/>
      <c r="AB174" s="110" t="s">
        <v>374</v>
      </c>
      <c r="AC174" s="110" t="s">
        <v>538</v>
      </c>
      <c r="AD174" s="119" t="n">
        <f aca="false">IF(ISNUMBER(F174),IF(G174=AB174,F174,IF(AND(ISNUMBER(INDEX(Sources!$G$7:$G$10,MATCH(G174,Sources!$B$7:$B$10,0))),ISNUMBER(INDEX(Sources!$G$7:$G$10,MATCH(AB174,Sources!$B$7:$B$10,0)))),F174/INDEX(Sources!$G$7:$G$10,MATCH(G174,Sources!$B$7:$B$10,0))*INDEX(Sources!$G$7:$G$10,MATCH(AB174,Sources!$B$7:$B$10,0)),"")),"")</f>
        <v>96.98</v>
      </c>
      <c r="AE174" s="110" t="str">
        <f aca="false">IF(AND(AC174="yes",ISNUMBER(F174),IF(Compare!$H$5="All mapped",TRUE(),IF(Compare!$H$5="EXACT only",J174="EXACT",OR(J174="EXACT",J174="CLOSE")))),"yes","no")</f>
        <v>no</v>
      </c>
      <c r="AF174" s="110" t="str">
        <f aca="false">IF(ISNUMBER(H174),COUNTIFS($B$7:$B$3000,B174,$C$7:$C$3000,C174,$H$7:$H$3000,"&lt;"&amp;H174,$AH$7:$AH$3000,"yes")+COUNTIFS($B$7:B174,B174,$C$7:C174,C174,$H$7:H174,H174,$AH$7:AH174,"yes"),"")</f>
        <v/>
      </c>
      <c r="AG174" s="110" t="str">
        <f aca="false">IF(ISNUMBER(I174),COUNTIFS($B$7:$B$3000,B174,$C$7:$C$3000,C174,$I$7:$I$3000,"&lt;"&amp;I174,$AI$7:$AI$3000,"yes")+COUNTIFS($B$7:B174,B174,$C$7:C174,C174,$I$7:I174,I174,$AI$7:AI174,"yes"),"")</f>
        <v/>
      </c>
      <c r="AH174" s="110" t="str">
        <f aca="false">IF(ISNUMBER(H174),"yes","no")</f>
        <v>no</v>
      </c>
      <c r="AI174" s="110" t="str">
        <f aca="false">IF(ISNUMBER(I174),"yes","no")</f>
        <v>no</v>
      </c>
      <c r="AJ174" s="120" t="n">
        <v>46207</v>
      </c>
      <c r="AK174" s="110"/>
    </row>
    <row r="175" customFormat="false" ht="42" hidden="false" customHeight="true" outlineLevel="0" collapsed="false">
      <c r="A175" s="3"/>
      <c r="B175" s="31" t="s">
        <v>28</v>
      </c>
      <c r="C175" s="91" t="s">
        <v>14</v>
      </c>
      <c r="D175" s="91" t="s">
        <v>411</v>
      </c>
      <c r="E175" s="109" t="s">
        <v>955</v>
      </c>
      <c r="F175" s="92" t="n">
        <v>87.83</v>
      </c>
      <c r="G175" s="91" t="s">
        <v>374</v>
      </c>
      <c r="H175" s="112" t="n">
        <f aca="false">IF(AND(AE175="yes",ISNUMBER(AD175)),AD175,"")</f>
        <v>87.83</v>
      </c>
      <c r="I175" s="95" t="n">
        <f aca="false">IF(AND(AE175="yes",ISNUMBER(AD175),ISNUMBER(INDEX(Sources!$G$7:$G$10,MATCH(AB175,Sources!$B$7:$B$10,0)))),ROUND(AD175/INDEX(Sources!$G$7:$G$10,MATCH(AB175,Sources!$B$7:$B$10,0)),6),"")</f>
        <v>16.641903</v>
      </c>
      <c r="J175" s="91" t="s">
        <v>702</v>
      </c>
      <c r="K175" s="91" t="s">
        <v>542</v>
      </c>
      <c r="L175" s="96"/>
      <c r="M175" s="109"/>
      <c r="N175" s="113" t="s">
        <v>962</v>
      </c>
      <c r="O175" s="109"/>
      <c r="P175" s="109"/>
      <c r="Q175" s="114"/>
      <c r="R175" s="109"/>
      <c r="S175" s="109"/>
      <c r="T175" s="109"/>
      <c r="U175" s="109" t="s">
        <v>963</v>
      </c>
      <c r="V175" s="115"/>
      <c r="W175" s="115" t="n">
        <v>21.254</v>
      </c>
      <c r="X175" s="109" t="s">
        <v>556</v>
      </c>
      <c r="Y175" s="109" t="s">
        <v>557</v>
      </c>
      <c r="Z175" s="109" t="s">
        <v>964</v>
      </c>
      <c r="AA175" s="109"/>
      <c r="AB175" s="109" t="s">
        <v>374</v>
      </c>
      <c r="AC175" s="109" t="s">
        <v>538</v>
      </c>
      <c r="AD175" s="115" t="n">
        <f aca="false">IF(ISNUMBER(F175),IF(G175=AB175,F175,IF(AND(ISNUMBER(INDEX(Sources!$G$7:$G$10,MATCH(G175,Sources!$B$7:$B$10,0))),ISNUMBER(INDEX(Sources!$G$7:$G$10,MATCH(AB175,Sources!$B$7:$B$10,0)))),F175/INDEX(Sources!$G$7:$G$10,MATCH(G175,Sources!$B$7:$B$10,0))*INDEX(Sources!$G$7:$G$10,MATCH(AB175,Sources!$B$7:$B$10,0)),"")),"")</f>
        <v>87.83</v>
      </c>
      <c r="AE175" s="109" t="str">
        <f aca="false">IF(AND(AC175="yes",ISNUMBER(F175),IF(Compare!$H$5="All mapped",TRUE(),IF(Compare!$H$5="EXACT only",J175="EXACT",OR(J175="EXACT",J175="CLOSE")))),"yes","no")</f>
        <v>yes</v>
      </c>
      <c r="AF175" s="109" t="n">
        <f aca="false">IF(ISNUMBER(H175),COUNTIFS($B$7:$B$3000,B175,$C$7:$C$3000,C175,$H$7:$H$3000,"&lt;"&amp;H175,$AH$7:$AH$3000,"yes")+COUNTIFS($B$7:B175,B175,$C$7:C175,C175,$H$7:H175,H175,$AH$7:AH175,"yes"),"")</f>
        <v>1</v>
      </c>
      <c r="AG175" s="109" t="n">
        <f aca="false">IF(ISNUMBER(I175),COUNTIFS($B$7:$B$3000,B175,$C$7:$C$3000,C175,$I$7:$I$3000,"&lt;"&amp;I175,$AI$7:$AI$3000,"yes")+COUNTIFS($B$7:B175,B175,$C$7:C175,C175,$I$7:I175,I175,$AI$7:AI175,"yes"),"")</f>
        <v>1</v>
      </c>
      <c r="AH175" s="109" t="str">
        <f aca="false">IF(ISNUMBER(H175),"yes","no")</f>
        <v>yes</v>
      </c>
      <c r="AI175" s="109" t="str">
        <f aca="false">IF(ISNUMBER(I175),"yes","no")</f>
        <v>yes</v>
      </c>
      <c r="AJ175" s="116" t="n">
        <v>46297</v>
      </c>
      <c r="AK175" s="109"/>
    </row>
    <row r="176" customFormat="false" ht="42" hidden="false" customHeight="true" outlineLevel="0" collapsed="false">
      <c r="A176" s="3"/>
      <c r="B176" s="36" t="s">
        <v>28</v>
      </c>
      <c r="C176" s="98" t="s">
        <v>15</v>
      </c>
      <c r="D176" s="98" t="s">
        <v>243</v>
      </c>
      <c r="E176" s="110" t="s">
        <v>965</v>
      </c>
      <c r="F176" s="99" t="n">
        <v>36.1</v>
      </c>
      <c r="G176" s="98" t="s">
        <v>244</v>
      </c>
      <c r="H176" s="112" t="n">
        <f aca="false">IF(AND(AE176="yes",ISNUMBER(AD176)),AD176,"")</f>
        <v>36.1</v>
      </c>
      <c r="I176" s="95" t="n">
        <f aca="false">IF(AND(AE176="yes",ISNUMBER(AD176),ISNUMBER(INDEX(Sources!$G$7:$G$10,MATCH(AB176,Sources!$B$7:$B$10,0)))),ROUND(AD176/INDEX(Sources!$G$7:$G$10,MATCH(AB176,Sources!$B$7:$B$10,0)),6),"")</f>
        <v>36.1</v>
      </c>
      <c r="J176" s="98" t="s">
        <v>702</v>
      </c>
      <c r="K176" s="98" t="s">
        <v>586</v>
      </c>
      <c r="L176" s="96"/>
      <c r="M176" s="110" t="s">
        <v>966</v>
      </c>
      <c r="N176" s="117" t="s">
        <v>967</v>
      </c>
      <c r="O176" s="110"/>
      <c r="P176" s="110" t="s">
        <v>590</v>
      </c>
      <c r="Q176" s="118"/>
      <c r="R176" s="110" t="n">
        <v>1</v>
      </c>
      <c r="S176" s="110"/>
      <c r="T176" s="110" t="s">
        <v>702</v>
      </c>
      <c r="U176" s="110" t="s">
        <v>591</v>
      </c>
      <c r="V176" s="119" t="n">
        <v>36.1</v>
      </c>
      <c r="W176" s="119"/>
      <c r="X176" s="110" t="s">
        <v>592</v>
      </c>
      <c r="Y176" s="110"/>
      <c r="Z176" s="110"/>
      <c r="AA176" s="110"/>
      <c r="AB176" s="110" t="s">
        <v>244</v>
      </c>
      <c r="AC176" s="110" t="s">
        <v>538</v>
      </c>
      <c r="AD176" s="110" t="n">
        <f aca="false">IF(ISNUMBER(V176),ROUND(V176,6),"")</f>
        <v>36.1</v>
      </c>
      <c r="AE176" s="110" t="str">
        <f aca="false">IF(AND(AC176="yes",ISNUMBER(F176),IF(Compare!$H$5="All mapped",TRUE(),IF(Compare!$H$5="EXACT only",J176="EXACT",OR(J176="EXACT",J176="CLOSE")))),"yes","no")</f>
        <v>yes</v>
      </c>
      <c r="AF176" s="110" t="n">
        <f aca="false">IF(ISNUMBER(H176),COUNTIFS($B$7:$B$3000,B176,$C$7:$C$3000,C176,$H$7:$H$3000,"&lt;"&amp;H176,$AH$7:$AH$3000,"yes")+COUNTIFS($B$7:B176,B176,$C$7:C176,C176,$H$7:H176,H176,$AH$7:AH176,"yes"),"")</f>
        <v>6</v>
      </c>
      <c r="AG176" s="110" t="n">
        <f aca="false">IF(ISNUMBER(I176),COUNTIFS($B$7:$B$3000,B176,$C$7:$C$3000,C176,$I$7:$I$3000,"&lt;"&amp;I176,$AI$7:$AI$3000,"yes")+COUNTIFS($B$7:B176,B176,$C$7:C176,C176,$I$7:I176,I176,$AI$7:AI176,"yes"),"")</f>
        <v>6</v>
      </c>
      <c r="AH176" s="110" t="str">
        <f aca="false">IF(ISNUMBER(H176),"yes","no")</f>
        <v>yes</v>
      </c>
      <c r="AI176" s="110" t="str">
        <f aca="false">IF(ISNUMBER(I176),"yes","no")</f>
        <v>yes</v>
      </c>
      <c r="AJ176" s="120" t="n">
        <v>46295</v>
      </c>
      <c r="AK176" s="110"/>
    </row>
    <row r="177" customFormat="false" ht="42" hidden="false" customHeight="true" outlineLevel="0" collapsed="false">
      <c r="A177" s="3"/>
      <c r="B177" s="31" t="s">
        <v>28</v>
      </c>
      <c r="C177" s="91" t="s">
        <v>15</v>
      </c>
      <c r="D177" s="91" t="s">
        <v>269</v>
      </c>
      <c r="E177" s="109" t="s">
        <v>968</v>
      </c>
      <c r="F177" s="92" t="n">
        <v>26.89</v>
      </c>
      <c r="G177" s="91" t="s">
        <v>244</v>
      </c>
      <c r="H177" s="112" t="n">
        <f aca="false">IF(AND(AE177="yes",ISNUMBER(AD177)),AD177,"")</f>
        <v>26.89</v>
      </c>
      <c r="I177" s="95" t="n">
        <f aca="false">IF(AND(AE177="yes",ISNUMBER(AD177),ISNUMBER(INDEX(Sources!$G$7:$G$10,MATCH(AB177,Sources!$B$7:$B$10,0)))),ROUND(AD177/INDEX(Sources!$G$7:$G$10,MATCH(AB177,Sources!$B$7:$B$10,0)),6),"")</f>
        <v>26.89</v>
      </c>
      <c r="J177" s="91" t="s">
        <v>530</v>
      </c>
      <c r="K177" s="91" t="s">
        <v>586</v>
      </c>
      <c r="L177" s="96"/>
      <c r="M177" s="109" t="s">
        <v>969</v>
      </c>
      <c r="N177" s="113" t="s">
        <v>970</v>
      </c>
      <c r="O177" s="109" t="s">
        <v>388</v>
      </c>
      <c r="P177" s="109" t="s">
        <v>590</v>
      </c>
      <c r="Q177" s="114"/>
      <c r="R177" s="109" t="n">
        <v>1</v>
      </c>
      <c r="S177" s="109"/>
      <c r="T177" s="109" t="s">
        <v>530</v>
      </c>
      <c r="U177" s="109" t="s">
        <v>591</v>
      </c>
      <c r="V177" s="115" t="n">
        <v>26.89</v>
      </c>
      <c r="W177" s="115"/>
      <c r="X177" s="109" t="s">
        <v>592</v>
      </c>
      <c r="Y177" s="109"/>
      <c r="Z177" s="109"/>
      <c r="AA177" s="109"/>
      <c r="AB177" s="109" t="s">
        <v>244</v>
      </c>
      <c r="AC177" s="109" t="s">
        <v>538</v>
      </c>
      <c r="AD177" s="109" t="n">
        <f aca="false">IF(ISNUMBER(V177),ROUND(V177,6),"")</f>
        <v>26.89</v>
      </c>
      <c r="AE177" s="109" t="str">
        <f aca="false">IF(AND(AC177="yes",ISNUMBER(F177),IF(Compare!$H$5="All mapped",TRUE(),IF(Compare!$H$5="EXACT only",J177="EXACT",OR(J177="EXACT",J177="CLOSE")))),"yes","no")</f>
        <v>yes</v>
      </c>
      <c r="AF177" s="109" t="n">
        <f aca="false">IF(ISNUMBER(H177),COUNTIFS($B$7:$B$3000,B177,$C$7:$C$3000,C177,$H$7:$H$3000,"&lt;"&amp;H177,$AH$7:$AH$3000,"yes")+COUNTIFS($B$7:B177,B177,$C$7:C177,C177,$H$7:H177,H177,$AH$7:AH177,"yes"),"")</f>
        <v>2</v>
      </c>
      <c r="AG177" s="109" t="n">
        <f aca="false">IF(ISNUMBER(I177),COUNTIFS($B$7:$B$3000,B177,$C$7:$C$3000,C177,$I$7:$I$3000,"&lt;"&amp;I177,$AI$7:$AI$3000,"yes")+COUNTIFS($B$7:B177,B177,$C$7:C177,C177,$I$7:I177,I177,$AI$7:AI177,"yes"),"")</f>
        <v>2</v>
      </c>
      <c r="AH177" s="109" t="str">
        <f aca="false">IF(ISNUMBER(H177),"yes","no")</f>
        <v>yes</v>
      </c>
      <c r="AI177" s="109" t="str">
        <f aca="false">IF(ISNUMBER(I177),"yes","no")</f>
        <v>yes</v>
      </c>
      <c r="AJ177" s="116" t="n">
        <v>46295</v>
      </c>
      <c r="AK177" s="109"/>
    </row>
    <row r="178" customFormat="false" ht="42" hidden="false" customHeight="true" outlineLevel="0" collapsed="false">
      <c r="A178" s="3"/>
      <c r="B178" s="36" t="s">
        <v>28</v>
      </c>
      <c r="C178" s="98" t="s">
        <v>15</v>
      </c>
      <c r="D178" s="98" t="s">
        <v>264</v>
      </c>
      <c r="E178" s="110" t="s">
        <v>971</v>
      </c>
      <c r="F178" s="99" t="n">
        <v>19.76</v>
      </c>
      <c r="G178" s="98" t="s">
        <v>244</v>
      </c>
      <c r="H178" s="112" t="n">
        <f aca="false">IF(AND(AE178="yes",ISNUMBER(AD178)),AD178,"")</f>
        <v>19.76</v>
      </c>
      <c r="I178" s="95" t="n">
        <f aca="false">IF(AND(AE178="yes",ISNUMBER(AD178),ISNUMBER(INDEX(Sources!$G$7:$G$10,MATCH(AB178,Sources!$B$7:$B$10,0)))),ROUND(AD178/INDEX(Sources!$G$7:$G$10,MATCH(AB178,Sources!$B$7:$B$10,0)),6),"")</f>
        <v>19.76</v>
      </c>
      <c r="J178" s="98" t="s">
        <v>530</v>
      </c>
      <c r="K178" s="98" t="s">
        <v>586</v>
      </c>
      <c r="L178" s="96"/>
      <c r="M178" s="110" t="s">
        <v>972</v>
      </c>
      <c r="N178" s="117" t="s">
        <v>973</v>
      </c>
      <c r="O178" s="110" t="s">
        <v>388</v>
      </c>
      <c r="P178" s="110" t="s">
        <v>590</v>
      </c>
      <c r="Q178" s="118"/>
      <c r="R178" s="110" t="n">
        <v>1</v>
      </c>
      <c r="S178" s="110"/>
      <c r="T178" s="110" t="s">
        <v>530</v>
      </c>
      <c r="U178" s="110" t="s">
        <v>591</v>
      </c>
      <c r="V178" s="119" t="n">
        <v>19.76</v>
      </c>
      <c r="W178" s="119"/>
      <c r="X178" s="110" t="s">
        <v>592</v>
      </c>
      <c r="Y178" s="110"/>
      <c r="Z178" s="110"/>
      <c r="AA178" s="110"/>
      <c r="AB178" s="110" t="s">
        <v>244</v>
      </c>
      <c r="AC178" s="110" t="s">
        <v>538</v>
      </c>
      <c r="AD178" s="110" t="n">
        <f aca="false">IF(ISNUMBER(V178),ROUND(V178,6),"")</f>
        <v>19.76</v>
      </c>
      <c r="AE178" s="110" t="str">
        <f aca="false">IF(AND(AC178="yes",ISNUMBER(F178),IF(Compare!$H$5="All mapped",TRUE(),IF(Compare!$H$5="EXACT only",J178="EXACT",OR(J178="EXACT",J178="CLOSE")))),"yes","no")</f>
        <v>yes</v>
      </c>
      <c r="AF178" s="110" t="n">
        <f aca="false">IF(ISNUMBER(H178),COUNTIFS($B$7:$B$3000,B178,$C$7:$C$3000,C178,$H$7:$H$3000,"&lt;"&amp;H178,$AH$7:$AH$3000,"yes")+COUNTIFS($B$7:B178,B178,$C$7:C178,C178,$H$7:H178,H178,$AH$7:AH178,"yes"),"")</f>
        <v>1</v>
      </c>
      <c r="AG178" s="110" t="n">
        <f aca="false">IF(ISNUMBER(I178),COUNTIFS($B$7:$B$3000,B178,$C$7:$C$3000,C178,$I$7:$I$3000,"&lt;"&amp;I178,$AI$7:$AI$3000,"yes")+COUNTIFS($B$7:B178,B178,$C$7:C178,C178,$I$7:I178,I178,$AI$7:AI178,"yes"),"")</f>
        <v>1</v>
      </c>
      <c r="AH178" s="110" t="str">
        <f aca="false">IF(ISNUMBER(H178),"yes","no")</f>
        <v>yes</v>
      </c>
      <c r="AI178" s="110" t="str">
        <f aca="false">IF(ISNUMBER(I178),"yes","no")</f>
        <v>yes</v>
      </c>
      <c r="AJ178" s="120" t="n">
        <v>46295</v>
      </c>
      <c r="AK178" s="110"/>
    </row>
    <row r="179" customFormat="false" ht="42" hidden="false" customHeight="true" outlineLevel="0" collapsed="false">
      <c r="A179" s="3"/>
      <c r="B179" s="31" t="s">
        <v>28</v>
      </c>
      <c r="C179" s="91" t="s">
        <v>15</v>
      </c>
      <c r="D179" s="91" t="s">
        <v>273</v>
      </c>
      <c r="E179" s="109" t="s">
        <v>974</v>
      </c>
      <c r="F179" s="92" t="n">
        <v>36.9</v>
      </c>
      <c r="G179" s="91" t="s">
        <v>244</v>
      </c>
      <c r="H179" s="112" t="n">
        <f aca="false">IF(AND(AE179="yes",ISNUMBER(AD179)),AD179,"")</f>
        <v>30.75</v>
      </c>
      <c r="I179" s="95" t="n">
        <f aca="false">IF(AND(AE179="yes",ISNUMBER(AD179),ISNUMBER(INDEX(Sources!$G$7:$G$10,MATCH(AB179,Sources!$B$7:$B$10,0)))),ROUND(AD179/INDEX(Sources!$G$7:$G$10,MATCH(AB179,Sources!$B$7:$B$10,0)),6),"")</f>
        <v>30.75</v>
      </c>
      <c r="J179" s="91" t="s">
        <v>702</v>
      </c>
      <c r="K179" s="91" t="s">
        <v>586</v>
      </c>
      <c r="L179" s="96"/>
      <c r="M179" s="109" t="s">
        <v>975</v>
      </c>
      <c r="N179" s="113" t="s">
        <v>976</v>
      </c>
      <c r="O179" s="109" t="s">
        <v>565</v>
      </c>
      <c r="P179" s="109" t="s">
        <v>265</v>
      </c>
      <c r="Q179" s="114"/>
      <c r="R179" s="109" t="n">
        <v>1</v>
      </c>
      <c r="S179" s="109"/>
      <c r="T179" s="109" t="s">
        <v>702</v>
      </c>
      <c r="U179" s="109" t="s">
        <v>591</v>
      </c>
      <c r="V179" s="115" t="n">
        <v>30.75</v>
      </c>
      <c r="W179" s="115"/>
      <c r="X179" s="109" t="s">
        <v>592</v>
      </c>
      <c r="Y179" s="109"/>
      <c r="Z179" s="109"/>
      <c r="AA179" s="109"/>
      <c r="AB179" s="109" t="s">
        <v>244</v>
      </c>
      <c r="AC179" s="109" t="s">
        <v>538</v>
      </c>
      <c r="AD179" s="109" t="n">
        <f aca="false">IF(ISNUMBER(V179),ROUND(V179,6),"")</f>
        <v>30.75</v>
      </c>
      <c r="AE179" s="109" t="str">
        <f aca="false">IF(AND(AC179="yes",ISNUMBER(F179),IF(Compare!$H$5="All mapped",TRUE(),IF(Compare!$H$5="EXACT only",J179="EXACT",OR(J179="EXACT",J179="CLOSE")))),"yes","no")</f>
        <v>yes</v>
      </c>
      <c r="AF179" s="109" t="n">
        <f aca="false">IF(ISNUMBER(H179),COUNTIFS($B$7:$B$3000,B179,$C$7:$C$3000,C179,$H$7:$H$3000,"&lt;"&amp;H179,$AH$7:$AH$3000,"yes")+COUNTIFS($B$7:B179,B179,$C$7:C179,C179,$H$7:H179,H179,$AH$7:AH179,"yes"),"")</f>
        <v>5</v>
      </c>
      <c r="AG179" s="109" t="n">
        <f aca="false">IF(ISNUMBER(I179),COUNTIFS($B$7:$B$3000,B179,$C$7:$C$3000,C179,$I$7:$I$3000,"&lt;"&amp;I179,$AI$7:$AI$3000,"yes")+COUNTIFS($B$7:B179,B179,$C$7:C179,C179,$I$7:I179,I179,$AI$7:AI179,"yes"),"")</f>
        <v>5</v>
      </c>
      <c r="AH179" s="109" t="str">
        <f aca="false">IF(ISNUMBER(H179),"yes","no")</f>
        <v>yes</v>
      </c>
      <c r="AI179" s="109" t="str">
        <f aca="false">IF(ISNUMBER(I179),"yes","no")</f>
        <v>yes</v>
      </c>
      <c r="AJ179" s="116" t="n">
        <v>46295</v>
      </c>
      <c r="AK179" s="109"/>
    </row>
    <row r="180" customFormat="false" ht="42" hidden="false" customHeight="true" outlineLevel="0" collapsed="false">
      <c r="A180" s="3"/>
      <c r="B180" s="36" t="s">
        <v>28</v>
      </c>
      <c r="C180" s="98" t="s">
        <v>15</v>
      </c>
      <c r="D180" s="98" t="s">
        <v>281</v>
      </c>
      <c r="E180" s="110" t="s">
        <v>977</v>
      </c>
      <c r="F180" s="99" t="n">
        <v>93.66</v>
      </c>
      <c r="G180" s="98" t="s">
        <v>244</v>
      </c>
      <c r="H180" s="112" t="n">
        <f aca="false">IF(AND(AE180="yes",ISNUMBER(AD180)),AD180,"")</f>
        <v>93.66</v>
      </c>
      <c r="I180" s="95" t="n">
        <f aca="false">IF(AND(AE180="yes",ISNUMBER(AD180),ISNUMBER(INDEX(Sources!$G$7:$G$10,MATCH(AB180,Sources!$B$7:$B$10,0)))),ROUND(AD180/INDEX(Sources!$G$7:$G$10,MATCH(AB180,Sources!$B$7:$B$10,0)),6),"")</f>
        <v>93.66</v>
      </c>
      <c r="J180" s="98" t="s">
        <v>702</v>
      </c>
      <c r="K180" s="98" t="s">
        <v>586</v>
      </c>
      <c r="L180" s="96"/>
      <c r="M180" s="110" t="s">
        <v>978</v>
      </c>
      <c r="N180" s="117" t="s">
        <v>979</v>
      </c>
      <c r="O180" s="110" t="s">
        <v>589</v>
      </c>
      <c r="P180" s="110" t="s">
        <v>590</v>
      </c>
      <c r="Q180" s="118"/>
      <c r="R180" s="110" t="n">
        <v>1</v>
      </c>
      <c r="S180" s="110"/>
      <c r="T180" s="110" t="s">
        <v>702</v>
      </c>
      <c r="U180" s="110" t="s">
        <v>591</v>
      </c>
      <c r="V180" s="119" t="n">
        <v>93.66</v>
      </c>
      <c r="W180" s="119"/>
      <c r="X180" s="110" t="s">
        <v>592</v>
      </c>
      <c r="Y180" s="110"/>
      <c r="Z180" s="110"/>
      <c r="AA180" s="110"/>
      <c r="AB180" s="110" t="s">
        <v>244</v>
      </c>
      <c r="AC180" s="110" t="s">
        <v>538</v>
      </c>
      <c r="AD180" s="110" t="n">
        <f aca="false">IF(ISNUMBER(V180),ROUND(V180,6),"")</f>
        <v>93.66</v>
      </c>
      <c r="AE180" s="110" t="str">
        <f aca="false">IF(AND(AC180="yes",ISNUMBER(F180),IF(Compare!$H$5="All mapped",TRUE(),IF(Compare!$H$5="EXACT only",J180="EXACT",OR(J180="EXACT",J180="CLOSE")))),"yes","no")</f>
        <v>yes</v>
      </c>
      <c r="AF180" s="110" t="n">
        <f aca="false">IF(ISNUMBER(H180),COUNTIFS($B$7:$B$3000,B180,$C$7:$C$3000,C180,$H$7:$H$3000,"&lt;"&amp;H180,$AH$7:$AH$3000,"yes")+COUNTIFS($B$7:B180,B180,$C$7:C180,C180,$H$7:H180,H180,$AH$7:AH180,"yes"),"")</f>
        <v>7</v>
      </c>
      <c r="AG180" s="110" t="n">
        <f aca="false">IF(ISNUMBER(I180),COUNTIFS($B$7:$B$3000,B180,$C$7:$C$3000,C180,$I$7:$I$3000,"&lt;"&amp;I180,$AI$7:$AI$3000,"yes")+COUNTIFS($B$7:B180,B180,$C$7:C180,C180,$I$7:I180,I180,$AI$7:AI180,"yes"),"")</f>
        <v>7</v>
      </c>
      <c r="AH180" s="110" t="str">
        <f aca="false">IF(ISNUMBER(H180),"yes","no")</f>
        <v>yes</v>
      </c>
      <c r="AI180" s="110" t="str">
        <f aca="false">IF(ISNUMBER(I180),"yes","no")</f>
        <v>yes</v>
      </c>
      <c r="AJ180" s="120" t="n">
        <v>46295</v>
      </c>
      <c r="AK180" s="110"/>
    </row>
    <row r="181" customFormat="false" ht="42" hidden="false" customHeight="true" outlineLevel="0" collapsed="false">
      <c r="A181" s="3"/>
      <c r="B181" s="31" t="s">
        <v>28</v>
      </c>
      <c r="C181" s="91" t="s">
        <v>15</v>
      </c>
      <c r="D181" s="91" t="s">
        <v>293</v>
      </c>
      <c r="E181" s="109" t="s">
        <v>980</v>
      </c>
      <c r="F181" s="92" t="n">
        <v>30.5</v>
      </c>
      <c r="G181" s="91" t="s">
        <v>244</v>
      </c>
      <c r="H181" s="112" t="n">
        <f aca="false">IF(AND(AE181="yes",ISNUMBER(AD181)),AD181,"")</f>
        <v>30.5</v>
      </c>
      <c r="I181" s="95" t="n">
        <f aca="false">IF(AND(AE181="yes",ISNUMBER(AD181),ISNUMBER(INDEX(Sources!$G$7:$G$10,MATCH(AB181,Sources!$B$7:$B$10,0)))),ROUND(AD181/INDEX(Sources!$G$7:$G$10,MATCH(AB181,Sources!$B$7:$B$10,0)),6),"")</f>
        <v>30.5</v>
      </c>
      <c r="J181" s="91" t="s">
        <v>702</v>
      </c>
      <c r="K181" s="91" t="s">
        <v>586</v>
      </c>
      <c r="L181" s="96"/>
      <c r="M181" s="109" t="s">
        <v>981</v>
      </c>
      <c r="N181" s="113" t="s">
        <v>982</v>
      </c>
      <c r="O181" s="109" t="s">
        <v>589</v>
      </c>
      <c r="P181" s="109" t="s">
        <v>590</v>
      </c>
      <c r="Q181" s="114"/>
      <c r="R181" s="109" t="n">
        <v>1</v>
      </c>
      <c r="S181" s="109"/>
      <c r="T181" s="109" t="s">
        <v>702</v>
      </c>
      <c r="U181" s="109" t="s">
        <v>591</v>
      </c>
      <c r="V181" s="115" t="n">
        <v>30.5</v>
      </c>
      <c r="W181" s="115"/>
      <c r="X181" s="109" t="s">
        <v>592</v>
      </c>
      <c r="Y181" s="109"/>
      <c r="Z181" s="109"/>
      <c r="AA181" s="109"/>
      <c r="AB181" s="109" t="s">
        <v>244</v>
      </c>
      <c r="AC181" s="109" t="s">
        <v>538</v>
      </c>
      <c r="AD181" s="109" t="n">
        <f aca="false">IF(ISNUMBER(V181),ROUND(V181,6),"")</f>
        <v>30.5</v>
      </c>
      <c r="AE181" s="109" t="str">
        <f aca="false">IF(AND(AC181="yes",ISNUMBER(F181),IF(Compare!$H$5="All mapped",TRUE(),IF(Compare!$H$5="EXACT only",J181="EXACT",OR(J181="EXACT",J181="CLOSE")))),"yes","no")</f>
        <v>yes</v>
      </c>
      <c r="AF181" s="109" t="n">
        <f aca="false">IF(ISNUMBER(H181),COUNTIFS($B$7:$B$3000,B181,$C$7:$C$3000,C181,$H$7:$H$3000,"&lt;"&amp;H181,$AH$7:$AH$3000,"yes")+COUNTIFS($B$7:B181,B181,$C$7:C181,C181,$H$7:H181,H181,$AH$7:AH181,"yes"),"")</f>
        <v>4</v>
      </c>
      <c r="AG181" s="109" t="n">
        <f aca="false">IF(ISNUMBER(I181),COUNTIFS($B$7:$B$3000,B181,$C$7:$C$3000,C181,$I$7:$I$3000,"&lt;"&amp;I181,$AI$7:$AI$3000,"yes")+COUNTIFS($B$7:B181,B181,$C$7:C181,C181,$I$7:I181,I181,$AI$7:AI181,"yes"),"")</f>
        <v>4</v>
      </c>
      <c r="AH181" s="109" t="str">
        <f aca="false">IF(ISNUMBER(H181),"yes","no")</f>
        <v>yes</v>
      </c>
      <c r="AI181" s="109" t="str">
        <f aca="false">IF(ISNUMBER(I181),"yes","no")</f>
        <v>yes</v>
      </c>
      <c r="AJ181" s="116" t="n">
        <v>46295</v>
      </c>
      <c r="AK181" s="109"/>
    </row>
    <row r="182" customFormat="false" ht="42" hidden="false" customHeight="true" outlineLevel="0" collapsed="false">
      <c r="A182" s="3"/>
      <c r="B182" s="36" t="s">
        <v>28</v>
      </c>
      <c r="C182" s="98" t="s">
        <v>16</v>
      </c>
      <c r="D182" s="98" t="s">
        <v>296</v>
      </c>
      <c r="E182" s="110" t="s">
        <v>965</v>
      </c>
      <c r="F182" s="99" t="n">
        <v>36.1</v>
      </c>
      <c r="G182" s="98" t="s">
        <v>244</v>
      </c>
      <c r="H182" s="112" t="n">
        <f aca="false">IF(AND(AE182="yes",ISNUMBER(AD182)),AD182,"")</f>
        <v>36.1</v>
      </c>
      <c r="I182" s="95" t="n">
        <f aca="false">IF(AND(AE182="yes",ISNUMBER(AD182),ISNUMBER(INDEX(Sources!$G$7:$G$10,MATCH(AB182,Sources!$B$7:$B$10,0)))),ROUND(AD182/INDEX(Sources!$G$7:$G$10,MATCH(AB182,Sources!$B$7:$B$10,0)),6),"")</f>
        <v>36.1</v>
      </c>
      <c r="J182" s="98" t="s">
        <v>702</v>
      </c>
      <c r="K182" s="98" t="s">
        <v>586</v>
      </c>
      <c r="L182" s="96"/>
      <c r="M182" s="110" t="s">
        <v>966</v>
      </c>
      <c r="N182" s="117" t="s">
        <v>983</v>
      </c>
      <c r="O182" s="110"/>
      <c r="P182" s="110" t="s">
        <v>590</v>
      </c>
      <c r="Q182" s="118"/>
      <c r="R182" s="110" t="n">
        <v>1</v>
      </c>
      <c r="S182" s="110"/>
      <c r="T182" s="110" t="s">
        <v>702</v>
      </c>
      <c r="U182" s="110" t="s">
        <v>591</v>
      </c>
      <c r="V182" s="119" t="n">
        <v>36.1</v>
      </c>
      <c r="W182" s="119"/>
      <c r="X182" s="110" t="s">
        <v>612</v>
      </c>
      <c r="Y182" s="110"/>
      <c r="Z182" s="110"/>
      <c r="AA182" s="110"/>
      <c r="AB182" s="110" t="s">
        <v>244</v>
      </c>
      <c r="AC182" s="110" t="s">
        <v>538</v>
      </c>
      <c r="AD182" s="110" t="n">
        <f aca="false">IF(ISNUMBER(V182),ROUND(V182,6),"")</f>
        <v>36.1</v>
      </c>
      <c r="AE182" s="110" t="str">
        <f aca="false">IF(AND(AC182="yes",ISNUMBER(F182),IF(Compare!$H$5="All mapped",TRUE(),IF(Compare!$H$5="EXACT only",J182="EXACT",OR(J182="EXACT",J182="CLOSE")))),"yes","no")</f>
        <v>yes</v>
      </c>
      <c r="AF182" s="110" t="n">
        <f aca="false">IF(ISNUMBER(H182),COUNTIFS($B$7:$B$3000,B182,$C$7:$C$3000,C182,$H$7:$H$3000,"&lt;"&amp;H182,$AH$7:$AH$3000,"yes")+COUNTIFS($B$7:B182,B182,$C$7:C182,C182,$H$7:H182,H182,$AH$7:AH182,"yes"),"")</f>
        <v>6</v>
      </c>
      <c r="AG182" s="110" t="n">
        <f aca="false">IF(ISNUMBER(I182),COUNTIFS($B$7:$B$3000,B182,$C$7:$C$3000,C182,$I$7:$I$3000,"&lt;"&amp;I182,$AI$7:$AI$3000,"yes")+COUNTIFS($B$7:B182,B182,$C$7:C182,C182,$I$7:I182,I182,$AI$7:AI182,"yes"),"")</f>
        <v>6</v>
      </c>
      <c r="AH182" s="110" t="str">
        <f aca="false">IF(ISNUMBER(H182),"yes","no")</f>
        <v>yes</v>
      </c>
      <c r="AI182" s="110" t="str">
        <f aca="false">IF(ISNUMBER(I182),"yes","no")</f>
        <v>yes</v>
      </c>
      <c r="AJ182" s="120" t="n">
        <v>46295</v>
      </c>
      <c r="AK182" s="110"/>
    </row>
    <row r="183" customFormat="false" ht="42" hidden="false" customHeight="true" outlineLevel="0" collapsed="false">
      <c r="A183" s="3"/>
      <c r="B183" s="31" t="s">
        <v>28</v>
      </c>
      <c r="C183" s="91" t="s">
        <v>16</v>
      </c>
      <c r="D183" s="91" t="s">
        <v>317</v>
      </c>
      <c r="E183" s="109" t="s">
        <v>984</v>
      </c>
      <c r="F183" s="92" t="n">
        <v>24.99</v>
      </c>
      <c r="G183" s="91" t="s">
        <v>244</v>
      </c>
      <c r="H183" s="112" t="n">
        <f aca="false">IF(AND(AE183="yes",ISNUMBER(AD183)),AD183,"")</f>
        <v>24.99</v>
      </c>
      <c r="I183" s="95" t="n">
        <f aca="false">IF(AND(AE183="yes",ISNUMBER(AD183),ISNUMBER(INDEX(Sources!$G$7:$G$10,MATCH(AB183,Sources!$B$7:$B$10,0)))),ROUND(AD183/INDEX(Sources!$G$7:$G$10,MATCH(AB183,Sources!$B$7:$B$10,0)),6),"")</f>
        <v>24.99</v>
      </c>
      <c r="J183" s="91" t="s">
        <v>530</v>
      </c>
      <c r="K183" s="91" t="s">
        <v>586</v>
      </c>
      <c r="L183" s="96"/>
      <c r="M183" s="109" t="s">
        <v>985</v>
      </c>
      <c r="N183" s="113" t="s">
        <v>986</v>
      </c>
      <c r="O183" s="109" t="s">
        <v>610</v>
      </c>
      <c r="P183" s="109" t="s">
        <v>590</v>
      </c>
      <c r="Q183" s="114"/>
      <c r="R183" s="109" t="n">
        <v>1</v>
      </c>
      <c r="S183" s="109"/>
      <c r="T183" s="109" t="s">
        <v>530</v>
      </c>
      <c r="U183" s="109" t="s">
        <v>591</v>
      </c>
      <c r="V183" s="115" t="n">
        <v>24.99</v>
      </c>
      <c r="W183" s="115"/>
      <c r="X183" s="109" t="s">
        <v>612</v>
      </c>
      <c r="Y183" s="109"/>
      <c r="Z183" s="109"/>
      <c r="AA183" s="109"/>
      <c r="AB183" s="109" t="s">
        <v>244</v>
      </c>
      <c r="AC183" s="109" t="s">
        <v>538</v>
      </c>
      <c r="AD183" s="109" t="n">
        <f aca="false">IF(ISNUMBER(V183),ROUND(V183,6),"")</f>
        <v>24.99</v>
      </c>
      <c r="AE183" s="109" t="str">
        <f aca="false">IF(AND(AC183="yes",ISNUMBER(F183),IF(Compare!$H$5="All mapped",TRUE(),IF(Compare!$H$5="EXACT only",J183="EXACT",OR(J183="EXACT",J183="CLOSE")))),"yes","no")</f>
        <v>yes</v>
      </c>
      <c r="AF183" s="109" t="n">
        <f aca="false">IF(ISNUMBER(H183),COUNTIFS($B$7:$B$3000,B183,$C$7:$C$3000,C183,$H$7:$H$3000,"&lt;"&amp;H183,$AH$7:$AH$3000,"yes")+COUNTIFS($B$7:B183,B183,$C$7:C183,C183,$H$7:H183,H183,$AH$7:AH183,"yes"),"")</f>
        <v>3</v>
      </c>
      <c r="AG183" s="109" t="n">
        <f aca="false">IF(ISNUMBER(I183),COUNTIFS($B$7:$B$3000,B183,$C$7:$C$3000,C183,$I$7:$I$3000,"&lt;"&amp;I183,$AI$7:$AI$3000,"yes")+COUNTIFS($B$7:B183,B183,$C$7:C183,C183,$I$7:I183,I183,$AI$7:AI183,"yes"),"")</f>
        <v>3</v>
      </c>
      <c r="AH183" s="109" t="str">
        <f aca="false">IF(ISNUMBER(H183),"yes","no")</f>
        <v>yes</v>
      </c>
      <c r="AI183" s="109" t="str">
        <f aca="false">IF(ISNUMBER(I183),"yes","no")</f>
        <v>yes</v>
      </c>
      <c r="AJ183" s="116" t="n">
        <v>46295</v>
      </c>
      <c r="AK183" s="109"/>
    </row>
    <row r="184" customFormat="false" ht="42" hidden="false" customHeight="true" outlineLevel="0" collapsed="false">
      <c r="A184" s="3"/>
      <c r="B184" s="36" t="s">
        <v>28</v>
      </c>
      <c r="C184" s="98" t="s">
        <v>16</v>
      </c>
      <c r="D184" s="98" t="s">
        <v>311</v>
      </c>
      <c r="E184" s="110" t="s">
        <v>968</v>
      </c>
      <c r="F184" s="99" t="n">
        <v>18.09</v>
      </c>
      <c r="G184" s="98" t="s">
        <v>244</v>
      </c>
      <c r="H184" s="112" t="n">
        <f aca="false">IF(AND(AE184="yes",ISNUMBER(AD184)),AD184,"")</f>
        <v>18.09</v>
      </c>
      <c r="I184" s="95" t="n">
        <f aca="false">IF(AND(AE184="yes",ISNUMBER(AD184),ISNUMBER(INDEX(Sources!$G$7:$G$10,MATCH(AB184,Sources!$B$7:$B$10,0)))),ROUND(AD184/INDEX(Sources!$G$7:$G$10,MATCH(AB184,Sources!$B$7:$B$10,0)),6),"")</f>
        <v>18.09</v>
      </c>
      <c r="J184" s="98" t="s">
        <v>530</v>
      </c>
      <c r="K184" s="98" t="s">
        <v>586</v>
      </c>
      <c r="L184" s="96"/>
      <c r="M184" s="110" t="s">
        <v>969</v>
      </c>
      <c r="N184" s="117" t="s">
        <v>987</v>
      </c>
      <c r="O184" s="110" t="s">
        <v>388</v>
      </c>
      <c r="P184" s="110" t="s">
        <v>590</v>
      </c>
      <c r="Q184" s="118"/>
      <c r="R184" s="110" t="n">
        <v>1</v>
      </c>
      <c r="S184" s="110"/>
      <c r="T184" s="110" t="s">
        <v>530</v>
      </c>
      <c r="U184" s="110" t="s">
        <v>591</v>
      </c>
      <c r="V184" s="119" t="n">
        <v>18.09</v>
      </c>
      <c r="W184" s="119"/>
      <c r="X184" s="110" t="s">
        <v>612</v>
      </c>
      <c r="Y184" s="110"/>
      <c r="Z184" s="110"/>
      <c r="AA184" s="110"/>
      <c r="AB184" s="110" t="s">
        <v>244</v>
      </c>
      <c r="AC184" s="110" t="s">
        <v>538</v>
      </c>
      <c r="AD184" s="110" t="n">
        <f aca="false">IF(ISNUMBER(V184),ROUND(V184,6),"")</f>
        <v>18.09</v>
      </c>
      <c r="AE184" s="110" t="str">
        <f aca="false">IF(AND(AC184="yes",ISNUMBER(F184),IF(Compare!$H$5="All mapped",TRUE(),IF(Compare!$H$5="EXACT only",J184="EXACT",OR(J184="EXACT",J184="CLOSE")))),"yes","no")</f>
        <v>yes</v>
      </c>
      <c r="AF184" s="110" t="n">
        <f aca="false">IF(ISNUMBER(H184),COUNTIFS($B$7:$B$3000,B184,$C$7:$C$3000,C184,$H$7:$H$3000,"&lt;"&amp;H184,$AH$7:$AH$3000,"yes")+COUNTIFS($B$7:B184,B184,$C$7:C184,C184,$H$7:H184,H184,$AH$7:AH184,"yes"),"")</f>
        <v>1</v>
      </c>
      <c r="AG184" s="110" t="n">
        <f aca="false">IF(ISNUMBER(I184),COUNTIFS($B$7:$B$3000,B184,$C$7:$C$3000,C184,$I$7:$I$3000,"&lt;"&amp;I184,$AI$7:$AI$3000,"yes")+COUNTIFS($B$7:B184,B184,$C$7:C184,C184,$I$7:I184,I184,$AI$7:AI184,"yes"),"")</f>
        <v>1</v>
      </c>
      <c r="AH184" s="110" t="str">
        <f aca="false">IF(ISNUMBER(H184),"yes","no")</f>
        <v>yes</v>
      </c>
      <c r="AI184" s="110" t="str">
        <f aca="false">IF(ISNUMBER(I184),"yes","no")</f>
        <v>yes</v>
      </c>
      <c r="AJ184" s="120" t="n">
        <v>46295</v>
      </c>
      <c r="AK184" s="110"/>
    </row>
    <row r="185" customFormat="false" ht="42" hidden="false" customHeight="true" outlineLevel="0" collapsed="false">
      <c r="A185" s="3"/>
      <c r="B185" s="31" t="s">
        <v>28</v>
      </c>
      <c r="C185" s="91" t="s">
        <v>16</v>
      </c>
      <c r="D185" s="91" t="s">
        <v>309</v>
      </c>
      <c r="E185" s="109" t="s">
        <v>971</v>
      </c>
      <c r="F185" s="92" t="n">
        <v>19.76</v>
      </c>
      <c r="G185" s="91" t="s">
        <v>244</v>
      </c>
      <c r="H185" s="112" t="n">
        <f aca="false">IF(AND(AE185="yes",ISNUMBER(AD185)),AD185,"")</f>
        <v>19.76</v>
      </c>
      <c r="I185" s="95" t="n">
        <f aca="false">IF(AND(AE185="yes",ISNUMBER(AD185),ISNUMBER(INDEX(Sources!$G$7:$G$10,MATCH(AB185,Sources!$B$7:$B$10,0)))),ROUND(AD185/INDEX(Sources!$G$7:$G$10,MATCH(AB185,Sources!$B$7:$B$10,0)),6),"")</f>
        <v>19.76</v>
      </c>
      <c r="J185" s="91" t="s">
        <v>530</v>
      </c>
      <c r="K185" s="91" t="s">
        <v>586</v>
      </c>
      <c r="L185" s="96"/>
      <c r="M185" s="109" t="s">
        <v>972</v>
      </c>
      <c r="N185" s="113" t="s">
        <v>973</v>
      </c>
      <c r="O185" s="109" t="s">
        <v>388</v>
      </c>
      <c r="P185" s="109" t="s">
        <v>590</v>
      </c>
      <c r="Q185" s="114"/>
      <c r="R185" s="109" t="n">
        <v>1</v>
      </c>
      <c r="S185" s="109"/>
      <c r="T185" s="109" t="s">
        <v>530</v>
      </c>
      <c r="U185" s="109" t="s">
        <v>591</v>
      </c>
      <c r="V185" s="115" t="n">
        <v>19.76</v>
      </c>
      <c r="W185" s="115"/>
      <c r="X185" s="109" t="s">
        <v>612</v>
      </c>
      <c r="Y185" s="109"/>
      <c r="Z185" s="109"/>
      <c r="AA185" s="109"/>
      <c r="AB185" s="109" t="s">
        <v>244</v>
      </c>
      <c r="AC185" s="109" t="s">
        <v>538</v>
      </c>
      <c r="AD185" s="109" t="n">
        <f aca="false">IF(ISNUMBER(V185),ROUND(V185,6),"")</f>
        <v>19.76</v>
      </c>
      <c r="AE185" s="109" t="str">
        <f aca="false">IF(AND(AC185="yes",ISNUMBER(F185),IF(Compare!$H$5="All mapped",TRUE(),IF(Compare!$H$5="EXACT only",J185="EXACT",OR(J185="EXACT",J185="CLOSE")))),"yes","no")</f>
        <v>yes</v>
      </c>
      <c r="AF185" s="109" t="n">
        <f aca="false">IF(ISNUMBER(H185),COUNTIFS($B$7:$B$3000,B185,$C$7:$C$3000,C185,$H$7:$H$3000,"&lt;"&amp;H185,$AH$7:$AH$3000,"yes")+COUNTIFS($B$7:B185,B185,$C$7:C185,C185,$H$7:H185,H185,$AH$7:AH185,"yes"),"")</f>
        <v>2</v>
      </c>
      <c r="AG185" s="109" t="n">
        <f aca="false">IF(ISNUMBER(I185),COUNTIFS($B$7:$B$3000,B185,$C$7:$C$3000,C185,$I$7:$I$3000,"&lt;"&amp;I185,$AI$7:$AI$3000,"yes")+COUNTIFS($B$7:B185,B185,$C$7:C185,C185,$I$7:I185,I185,$AI$7:AI185,"yes"),"")</f>
        <v>2</v>
      </c>
      <c r="AH185" s="109" t="str">
        <f aca="false">IF(ISNUMBER(H185),"yes","no")</f>
        <v>yes</v>
      </c>
      <c r="AI185" s="109" t="str">
        <f aca="false">IF(ISNUMBER(I185),"yes","no")</f>
        <v>yes</v>
      </c>
      <c r="AJ185" s="116" t="n">
        <v>46295</v>
      </c>
      <c r="AK185" s="109"/>
    </row>
    <row r="186" customFormat="false" ht="42" hidden="false" customHeight="true" outlineLevel="0" collapsed="false">
      <c r="A186" s="3"/>
      <c r="B186" s="36" t="s">
        <v>28</v>
      </c>
      <c r="C186" s="98" t="s">
        <v>16</v>
      </c>
      <c r="D186" s="98" t="s">
        <v>313</v>
      </c>
      <c r="E186" s="110" t="s">
        <v>974</v>
      </c>
      <c r="F186" s="99" t="n">
        <v>35.9</v>
      </c>
      <c r="G186" s="98" t="s">
        <v>244</v>
      </c>
      <c r="H186" s="112" t="n">
        <f aca="false">IF(AND(AE186="yes",ISNUMBER(AD186)),AD186,"")</f>
        <v>30.17</v>
      </c>
      <c r="I186" s="95" t="n">
        <f aca="false">IF(AND(AE186="yes",ISNUMBER(AD186),ISNUMBER(INDEX(Sources!$G$7:$G$10,MATCH(AB186,Sources!$B$7:$B$10,0)))),ROUND(AD186/INDEX(Sources!$G$7:$G$10,MATCH(AB186,Sources!$B$7:$B$10,0)),6),"")</f>
        <v>30.17</v>
      </c>
      <c r="J186" s="98" t="s">
        <v>702</v>
      </c>
      <c r="K186" s="98" t="s">
        <v>586</v>
      </c>
      <c r="L186" s="96"/>
      <c r="M186" s="110" t="s">
        <v>988</v>
      </c>
      <c r="N186" s="117" t="s">
        <v>989</v>
      </c>
      <c r="O186" s="110" t="s">
        <v>565</v>
      </c>
      <c r="P186" s="110" t="s">
        <v>265</v>
      </c>
      <c r="Q186" s="118"/>
      <c r="R186" s="110" t="n">
        <v>1</v>
      </c>
      <c r="S186" s="110"/>
      <c r="T186" s="110" t="s">
        <v>702</v>
      </c>
      <c r="U186" s="110" t="s">
        <v>591</v>
      </c>
      <c r="V186" s="119" t="n">
        <v>30.17</v>
      </c>
      <c r="W186" s="119"/>
      <c r="X186" s="110" t="s">
        <v>612</v>
      </c>
      <c r="Y186" s="110"/>
      <c r="Z186" s="110"/>
      <c r="AA186" s="110"/>
      <c r="AB186" s="110" t="s">
        <v>244</v>
      </c>
      <c r="AC186" s="110" t="s">
        <v>538</v>
      </c>
      <c r="AD186" s="110" t="n">
        <f aca="false">IF(ISNUMBER(V186),ROUND(V186,6),"")</f>
        <v>30.17</v>
      </c>
      <c r="AE186" s="110" t="str">
        <f aca="false">IF(AND(AC186="yes",ISNUMBER(F186),IF(Compare!$H$5="All mapped",TRUE(),IF(Compare!$H$5="EXACT only",J186="EXACT",OR(J186="EXACT",J186="CLOSE")))),"yes","no")</f>
        <v>yes</v>
      </c>
      <c r="AF186" s="110" t="n">
        <f aca="false">IF(ISNUMBER(H186),COUNTIFS($B$7:$B$3000,B186,$C$7:$C$3000,C186,$H$7:$H$3000,"&lt;"&amp;H186,$AH$7:$AH$3000,"yes")+COUNTIFS($B$7:B186,B186,$C$7:C186,C186,$H$7:H186,H186,$AH$7:AH186,"yes"),"")</f>
        <v>5</v>
      </c>
      <c r="AG186" s="110" t="n">
        <f aca="false">IF(ISNUMBER(I186),COUNTIFS($B$7:$B$3000,B186,$C$7:$C$3000,C186,$I$7:$I$3000,"&lt;"&amp;I186,$AI$7:$AI$3000,"yes")+COUNTIFS($B$7:B186,B186,$C$7:C186,C186,$I$7:I186,I186,$AI$7:AI186,"yes"),"")</f>
        <v>5</v>
      </c>
      <c r="AH186" s="110" t="str">
        <f aca="false">IF(ISNUMBER(H186),"yes","no")</f>
        <v>yes</v>
      </c>
      <c r="AI186" s="110" t="str">
        <f aca="false">IF(ISNUMBER(I186),"yes","no")</f>
        <v>yes</v>
      </c>
      <c r="AJ186" s="120" t="n">
        <v>46295</v>
      </c>
      <c r="AK186" s="110"/>
    </row>
    <row r="187" customFormat="false" ht="42" hidden="false" customHeight="true" outlineLevel="0" collapsed="false">
      <c r="A187" s="3"/>
      <c r="B187" s="31" t="s">
        <v>28</v>
      </c>
      <c r="C187" s="91" t="s">
        <v>16</v>
      </c>
      <c r="D187" s="91" t="s">
        <v>321</v>
      </c>
      <c r="E187" s="109" t="s">
        <v>977</v>
      </c>
      <c r="F187" s="92" t="n">
        <v>93.66</v>
      </c>
      <c r="G187" s="91" t="s">
        <v>244</v>
      </c>
      <c r="H187" s="112" t="n">
        <f aca="false">IF(AND(AE187="yes",ISNUMBER(AD187)),AD187,"")</f>
        <v>93.66</v>
      </c>
      <c r="I187" s="95" t="n">
        <f aca="false">IF(AND(AE187="yes",ISNUMBER(AD187),ISNUMBER(INDEX(Sources!$G$7:$G$10,MATCH(AB187,Sources!$B$7:$B$10,0)))),ROUND(AD187/INDEX(Sources!$G$7:$G$10,MATCH(AB187,Sources!$B$7:$B$10,0)),6),"")</f>
        <v>93.66</v>
      </c>
      <c r="J187" s="91" t="s">
        <v>702</v>
      </c>
      <c r="K187" s="91" t="s">
        <v>586</v>
      </c>
      <c r="L187" s="96"/>
      <c r="M187" s="109" t="s">
        <v>990</v>
      </c>
      <c r="N187" s="113" t="s">
        <v>991</v>
      </c>
      <c r="O187" s="109" t="s">
        <v>589</v>
      </c>
      <c r="P187" s="109" t="s">
        <v>590</v>
      </c>
      <c r="Q187" s="114"/>
      <c r="R187" s="109" t="n">
        <v>1</v>
      </c>
      <c r="S187" s="109"/>
      <c r="T187" s="109" t="s">
        <v>702</v>
      </c>
      <c r="U187" s="109" t="s">
        <v>591</v>
      </c>
      <c r="V187" s="115" t="n">
        <v>93.66</v>
      </c>
      <c r="W187" s="115"/>
      <c r="X187" s="109" t="s">
        <v>612</v>
      </c>
      <c r="Y187" s="109"/>
      <c r="Z187" s="109"/>
      <c r="AA187" s="109"/>
      <c r="AB187" s="109" t="s">
        <v>244</v>
      </c>
      <c r="AC187" s="109" t="s">
        <v>538</v>
      </c>
      <c r="AD187" s="109" t="n">
        <f aca="false">IF(ISNUMBER(V187),ROUND(V187,6),"")</f>
        <v>93.66</v>
      </c>
      <c r="AE187" s="109" t="str">
        <f aca="false">IF(AND(AC187="yes",ISNUMBER(F187),IF(Compare!$H$5="All mapped",TRUE(),IF(Compare!$H$5="EXACT only",J187="EXACT",OR(J187="EXACT",J187="CLOSE")))),"yes","no")</f>
        <v>yes</v>
      </c>
      <c r="AF187" s="109" t="n">
        <f aca="false">IF(ISNUMBER(H187),COUNTIFS($B$7:$B$3000,B187,$C$7:$C$3000,C187,$H$7:$H$3000,"&lt;"&amp;H187,$AH$7:$AH$3000,"yes")+COUNTIFS($B$7:B187,B187,$C$7:C187,C187,$H$7:H187,H187,$AH$7:AH187,"yes"),"")</f>
        <v>7</v>
      </c>
      <c r="AG187" s="109" t="n">
        <f aca="false">IF(ISNUMBER(I187),COUNTIFS($B$7:$B$3000,B187,$C$7:$C$3000,C187,$I$7:$I$3000,"&lt;"&amp;I187,$AI$7:$AI$3000,"yes")+COUNTIFS($B$7:B187,B187,$C$7:C187,C187,$I$7:I187,I187,$AI$7:AI187,"yes"),"")</f>
        <v>7</v>
      </c>
      <c r="AH187" s="109" t="str">
        <f aca="false">IF(ISNUMBER(H187),"yes","no")</f>
        <v>yes</v>
      </c>
      <c r="AI187" s="109" t="str">
        <f aca="false">IF(ISNUMBER(I187),"yes","no")</f>
        <v>yes</v>
      </c>
      <c r="AJ187" s="116" t="n">
        <v>46295</v>
      </c>
      <c r="AK187" s="109"/>
    </row>
    <row r="188" customFormat="false" ht="42" hidden="false" customHeight="true" outlineLevel="0" collapsed="false">
      <c r="A188" s="3"/>
      <c r="B188" s="36" t="s">
        <v>28</v>
      </c>
      <c r="C188" s="98" t="s">
        <v>16</v>
      </c>
      <c r="D188" s="98" t="s">
        <v>329</v>
      </c>
      <c r="E188" s="110" t="s">
        <v>992</v>
      </c>
      <c r="F188" s="99" t="n">
        <v>27.49</v>
      </c>
      <c r="G188" s="98" t="s">
        <v>244</v>
      </c>
      <c r="H188" s="112" t="n">
        <f aca="false">IF(AND(AE188="yes",ISNUMBER(AD188)),AD188,"")</f>
        <v>27.49</v>
      </c>
      <c r="I188" s="95" t="n">
        <f aca="false">IF(AND(AE188="yes",ISNUMBER(AD188),ISNUMBER(INDEX(Sources!$G$7:$G$10,MATCH(AB188,Sources!$B$7:$B$10,0)))),ROUND(AD188/INDEX(Sources!$G$7:$G$10,MATCH(AB188,Sources!$B$7:$B$10,0)),6),"")</f>
        <v>27.49</v>
      </c>
      <c r="J188" s="98" t="s">
        <v>702</v>
      </c>
      <c r="K188" s="98" t="s">
        <v>586</v>
      </c>
      <c r="L188" s="96"/>
      <c r="M188" s="110" t="s">
        <v>993</v>
      </c>
      <c r="N188" s="117" t="s">
        <v>994</v>
      </c>
      <c r="O188" s="110" t="s">
        <v>565</v>
      </c>
      <c r="P188" s="110" t="s">
        <v>590</v>
      </c>
      <c r="Q188" s="118"/>
      <c r="R188" s="110" t="n">
        <v>1</v>
      </c>
      <c r="S188" s="110"/>
      <c r="T188" s="110" t="s">
        <v>702</v>
      </c>
      <c r="U188" s="110" t="s">
        <v>591</v>
      </c>
      <c r="V188" s="119" t="n">
        <v>27.49</v>
      </c>
      <c r="W188" s="119"/>
      <c r="X188" s="110" t="s">
        <v>612</v>
      </c>
      <c r="Y188" s="110"/>
      <c r="Z188" s="110"/>
      <c r="AA188" s="110"/>
      <c r="AB188" s="110" t="s">
        <v>244</v>
      </c>
      <c r="AC188" s="110" t="s">
        <v>538</v>
      </c>
      <c r="AD188" s="110" t="n">
        <f aca="false">IF(ISNUMBER(V188),ROUND(V188,6),"")</f>
        <v>27.49</v>
      </c>
      <c r="AE188" s="110" t="str">
        <f aca="false">IF(AND(AC188="yes",ISNUMBER(F188),IF(Compare!$H$5="All mapped",TRUE(),IF(Compare!$H$5="EXACT only",J188="EXACT",OR(J188="EXACT",J188="CLOSE")))),"yes","no")</f>
        <v>yes</v>
      </c>
      <c r="AF188" s="110" t="n">
        <f aca="false">IF(ISNUMBER(H188),COUNTIFS($B$7:$B$3000,B188,$C$7:$C$3000,C188,$H$7:$H$3000,"&lt;"&amp;H188,$AH$7:$AH$3000,"yes")+COUNTIFS($B$7:B188,B188,$C$7:C188,C188,$H$7:H188,H188,$AH$7:AH188,"yes"),"")</f>
        <v>4</v>
      </c>
      <c r="AG188" s="110" t="n">
        <f aca="false">IF(ISNUMBER(I188),COUNTIFS($B$7:$B$3000,B188,$C$7:$C$3000,C188,$I$7:$I$3000,"&lt;"&amp;I188,$AI$7:$AI$3000,"yes")+COUNTIFS($B$7:B188,B188,$C$7:C188,C188,$I$7:I188,I188,$AI$7:AI188,"yes"),"")</f>
        <v>4</v>
      </c>
      <c r="AH188" s="110" t="str">
        <f aca="false">IF(ISNUMBER(H188),"yes","no")</f>
        <v>yes</v>
      </c>
      <c r="AI188" s="110" t="str">
        <f aca="false">IF(ISNUMBER(I188),"yes","no")</f>
        <v>yes</v>
      </c>
      <c r="AJ188" s="120" t="n">
        <v>46295</v>
      </c>
      <c r="AK188" s="110"/>
    </row>
    <row r="189" customFormat="false" ht="61.5" hidden="false" customHeight="true" outlineLevel="0" collapsed="false">
      <c r="A189" s="3"/>
      <c r="B189" s="31" t="s">
        <v>28</v>
      </c>
      <c r="C189" s="91" t="s">
        <v>17</v>
      </c>
      <c r="D189" s="91" t="s">
        <v>354</v>
      </c>
      <c r="E189" s="109" t="s">
        <v>995</v>
      </c>
      <c r="F189" s="92" t="n">
        <v>997.66</v>
      </c>
      <c r="G189" s="91" t="s">
        <v>333</v>
      </c>
      <c r="H189" s="112" t="n">
        <f aca="false">IF(AND(AE189="yes",ISNUMBER(AD189)),AD189,"")</f>
        <v>997.66</v>
      </c>
      <c r="I189" s="95" t="n">
        <f aca="false">IF(AND(AE189="yes",ISNUMBER(AD189),ISNUMBER(INDEX(Sources!$G$7:$G$10,MATCH(AB189,Sources!$B$7:$B$10,0)))),ROUND(AD189/INDEX(Sources!$G$7:$G$10,MATCH(AB189,Sources!$B$7:$B$10,0)),6),"")</f>
        <v>40.84817</v>
      </c>
      <c r="J189" s="91" t="s">
        <v>530</v>
      </c>
      <c r="K189" s="91" t="s">
        <v>586</v>
      </c>
      <c r="L189" s="96"/>
      <c r="M189" s="109" t="s">
        <v>996</v>
      </c>
      <c r="N189" s="113" t="s">
        <v>997</v>
      </c>
      <c r="O189" s="109" t="s">
        <v>610</v>
      </c>
      <c r="P189" s="109" t="s">
        <v>590</v>
      </c>
      <c r="Q189" s="114" t="n">
        <v>0.19</v>
      </c>
      <c r="R189" s="109" t="n">
        <v>1</v>
      </c>
      <c r="S189" s="109" t="s">
        <v>632</v>
      </c>
      <c r="T189" s="109" t="s">
        <v>530</v>
      </c>
      <c r="U189" s="109" t="s">
        <v>591</v>
      </c>
      <c r="V189" s="115"/>
      <c r="W189" s="115"/>
      <c r="X189" s="109" t="s">
        <v>626</v>
      </c>
      <c r="Y189" s="109"/>
      <c r="Z189" s="109"/>
      <c r="AA189" s="109"/>
      <c r="AB189" s="109" t="s">
        <v>333</v>
      </c>
      <c r="AC189" s="109" t="s">
        <v>538</v>
      </c>
      <c r="AD189" s="109" t="n">
        <f aca="false">IF(OR(F189="",Q189="",R189=""),"",ROUND(IF(P189="incl.",F189/(1+Q189),F189)/IF(S189="per pack",R189,1),2))</f>
        <v>997.66</v>
      </c>
      <c r="AE189" s="109" t="str">
        <f aca="false">IF(AND(AC189="yes",ISNUMBER(F189),IF(Compare!$H$5="All mapped",TRUE(),IF(Compare!$H$5="EXACT only",J189="EXACT",OR(J189="EXACT",J189="CLOSE")))),"yes","no")</f>
        <v>yes</v>
      </c>
      <c r="AF189" s="109" t="n">
        <f aca="false">IF(ISNUMBER(H189),COUNTIFS($B$7:$B$3000,B189,$C$7:$C$3000,C189,$H$7:$H$3000,"&lt;"&amp;H189,$AH$7:$AH$3000,"yes")+COUNTIFS($B$7:B189,B189,$C$7:C189,C189,$H$7:H189,H189,$AH$7:AH189,"yes"),"")</f>
        <v>2</v>
      </c>
      <c r="AG189" s="109" t="n">
        <f aca="false">IF(ISNUMBER(I189),COUNTIFS($B$7:$B$3000,B189,$C$7:$C$3000,C189,$I$7:$I$3000,"&lt;"&amp;I189,$AI$7:$AI$3000,"yes")+COUNTIFS($B$7:B189,B189,$C$7:C189,C189,$I$7:I189,I189,$AI$7:AI189,"yes"),"")</f>
        <v>2</v>
      </c>
      <c r="AH189" s="109" t="str">
        <f aca="false">IF(ISNUMBER(H189),"yes","no")</f>
        <v>yes</v>
      </c>
      <c r="AI189" s="109" t="str">
        <f aca="false">IF(ISNUMBER(I189),"yes","no")</f>
        <v>yes</v>
      </c>
      <c r="AJ189" s="116" t="n">
        <v>46295</v>
      </c>
      <c r="AK189" s="109"/>
    </row>
    <row r="190" customFormat="false" ht="42" hidden="false" customHeight="true" outlineLevel="0" collapsed="false">
      <c r="A190" s="3"/>
      <c r="B190" s="36" t="s">
        <v>28</v>
      </c>
      <c r="C190" s="98" t="s">
        <v>17</v>
      </c>
      <c r="D190" s="98" t="s">
        <v>342</v>
      </c>
      <c r="E190" s="110" t="s">
        <v>998</v>
      </c>
      <c r="F190" s="99" t="n">
        <v>636</v>
      </c>
      <c r="G190" s="98" t="s">
        <v>333</v>
      </c>
      <c r="H190" s="112" t="n">
        <f aca="false">IF(AND(AE190="yes",ISNUMBER(AD190)),AD190,"")</f>
        <v>636</v>
      </c>
      <c r="I190" s="95" t="n">
        <f aca="false">IF(AND(AE190="yes",ISNUMBER(AD190),ISNUMBER(INDEX(Sources!$G$7:$G$10,MATCH(AB190,Sources!$B$7:$B$10,0)))),ROUND(AD190/INDEX(Sources!$G$7:$G$10,MATCH(AB190,Sources!$B$7:$B$10,0)),6),"")</f>
        <v>26.04037</v>
      </c>
      <c r="J190" s="98" t="s">
        <v>702</v>
      </c>
      <c r="K190" s="98" t="s">
        <v>586</v>
      </c>
      <c r="L190" s="96"/>
      <c r="M190" s="110" t="s">
        <v>999</v>
      </c>
      <c r="N190" s="117" t="s">
        <v>1000</v>
      </c>
      <c r="O190" s="110" t="s">
        <v>388</v>
      </c>
      <c r="P190" s="110" t="s">
        <v>590</v>
      </c>
      <c r="Q190" s="118" t="n">
        <v>0.21</v>
      </c>
      <c r="R190" s="110" t="n">
        <v>1</v>
      </c>
      <c r="S190" s="110" t="s">
        <v>632</v>
      </c>
      <c r="T190" s="110" t="s">
        <v>702</v>
      </c>
      <c r="U190" s="110" t="s">
        <v>591</v>
      </c>
      <c r="V190" s="119"/>
      <c r="W190" s="119"/>
      <c r="X190" s="110" t="s">
        <v>626</v>
      </c>
      <c r="Y190" s="110"/>
      <c r="Z190" s="110"/>
      <c r="AA190" s="110"/>
      <c r="AB190" s="110" t="s">
        <v>333</v>
      </c>
      <c r="AC190" s="110" t="s">
        <v>538</v>
      </c>
      <c r="AD190" s="110" t="n">
        <f aca="false">IF(OR(F190="",Q190="",R190=""),"",ROUND(IF(P190="incl.",F190/(1+Q190),F190)/IF(S190="per pack",R190,1),2))</f>
        <v>636</v>
      </c>
      <c r="AE190" s="110" t="str">
        <f aca="false">IF(AND(AC190="yes",ISNUMBER(F190),IF(Compare!$H$5="All mapped",TRUE(),IF(Compare!$H$5="EXACT only",J190="EXACT",OR(J190="EXACT",J190="CLOSE")))),"yes","no")</f>
        <v>yes</v>
      </c>
      <c r="AF190" s="110" t="n">
        <f aca="false">IF(ISNUMBER(H190),COUNTIFS($B$7:$B$3000,B190,$C$7:$C$3000,C190,$H$7:$H$3000,"&lt;"&amp;H190,$AH$7:$AH$3000,"yes")+COUNTIFS($B$7:B190,B190,$C$7:C190,C190,$H$7:H190,H190,$AH$7:AH190,"yes"),"")</f>
        <v>1</v>
      </c>
      <c r="AG190" s="110" t="n">
        <f aca="false">IF(ISNUMBER(I190),COUNTIFS($B$7:$B$3000,B190,$C$7:$C$3000,C190,$I$7:$I$3000,"&lt;"&amp;I190,$AI$7:$AI$3000,"yes")+COUNTIFS($B$7:B190,B190,$C$7:C190,C190,$I$7:I190,I190,$AI$7:AI190,"yes"),"")</f>
        <v>1</v>
      </c>
      <c r="AH190" s="110" t="str">
        <f aca="false">IF(ISNUMBER(H190),"yes","no")</f>
        <v>yes</v>
      </c>
      <c r="AI190" s="110" t="str">
        <f aca="false">IF(ISNUMBER(I190),"yes","no")</f>
        <v>yes</v>
      </c>
      <c r="AJ190" s="120" t="n">
        <v>46295</v>
      </c>
      <c r="AK190" s="110"/>
    </row>
    <row r="191" customFormat="false" ht="48.75" hidden="false" customHeight="true" outlineLevel="0" collapsed="false">
      <c r="A191" s="3"/>
      <c r="B191" s="31" t="s">
        <v>28</v>
      </c>
      <c r="C191" s="91" t="s">
        <v>17</v>
      </c>
      <c r="D191" s="91" t="s">
        <v>346</v>
      </c>
      <c r="E191" s="109" t="s">
        <v>1001</v>
      </c>
      <c r="F191" s="92" t="n">
        <v>1446</v>
      </c>
      <c r="G191" s="91" t="s">
        <v>333</v>
      </c>
      <c r="H191" s="112" t="n">
        <f aca="false">IF(AND(AE191="yes",ISNUMBER(AD191)),AD191,"")</f>
        <v>1195.04</v>
      </c>
      <c r="I191" s="95" t="n">
        <f aca="false">IF(AND(AE191="yes",ISNUMBER(AD191),ISNUMBER(INDEX(Sources!$G$7:$G$10,MATCH(AB191,Sources!$B$7:$B$10,0)))),ROUND(AD191/INDEX(Sources!$G$7:$G$10,MATCH(AB191,Sources!$B$7:$B$10,0)),6),"")</f>
        <v>48.929692</v>
      </c>
      <c r="J191" s="91" t="s">
        <v>702</v>
      </c>
      <c r="K191" s="91" t="s">
        <v>586</v>
      </c>
      <c r="L191" s="96"/>
      <c r="M191" s="109" t="s">
        <v>1002</v>
      </c>
      <c r="N191" s="113" t="s">
        <v>1003</v>
      </c>
      <c r="O191" s="109" t="s">
        <v>646</v>
      </c>
      <c r="P191" s="109" t="s">
        <v>265</v>
      </c>
      <c r="Q191" s="114" t="n">
        <v>0.21</v>
      </c>
      <c r="R191" s="109" t="n">
        <v>1</v>
      </c>
      <c r="S191" s="109" t="s">
        <v>632</v>
      </c>
      <c r="T191" s="109" t="s">
        <v>702</v>
      </c>
      <c r="U191" s="109" t="s">
        <v>591</v>
      </c>
      <c r="V191" s="115"/>
      <c r="W191" s="115"/>
      <c r="X191" s="109" t="s">
        <v>626</v>
      </c>
      <c r="Y191" s="109"/>
      <c r="Z191" s="109"/>
      <c r="AA191" s="109"/>
      <c r="AB191" s="109" t="s">
        <v>333</v>
      </c>
      <c r="AC191" s="109" t="s">
        <v>538</v>
      </c>
      <c r="AD191" s="109" t="n">
        <f aca="false">IF(OR(F191="",Q191="",R191=""),"",ROUND(IF(P191="incl.",F191/(1+Q191),F191)/IF(S191="per pack",R191,1),2))</f>
        <v>1195.04</v>
      </c>
      <c r="AE191" s="109" t="str">
        <f aca="false">IF(AND(AC191="yes",ISNUMBER(F191),IF(Compare!$H$5="All mapped",TRUE(),IF(Compare!$H$5="EXACT only",J191="EXACT",OR(J191="EXACT",J191="CLOSE")))),"yes","no")</f>
        <v>yes</v>
      </c>
      <c r="AF191" s="109" t="n">
        <f aca="false">IF(ISNUMBER(H191),COUNTIFS($B$7:$B$3000,B191,$C$7:$C$3000,C191,$H$7:$H$3000,"&lt;"&amp;H191,$AH$7:$AH$3000,"yes")+COUNTIFS($B$7:B191,B191,$C$7:C191,C191,$H$7:H191,H191,$AH$7:AH191,"yes"),"")</f>
        <v>3</v>
      </c>
      <c r="AG191" s="109" t="n">
        <f aca="false">IF(ISNUMBER(I191),COUNTIFS($B$7:$B$3000,B191,$C$7:$C$3000,C191,$I$7:$I$3000,"&lt;"&amp;I191,$AI$7:$AI$3000,"yes")+COUNTIFS($B$7:B191,B191,$C$7:C191,C191,$I$7:I191,I191,$AI$7:AI191,"yes"),"")</f>
        <v>3</v>
      </c>
      <c r="AH191" s="109" t="str">
        <f aca="false">IF(ISNUMBER(H191),"yes","no")</f>
        <v>yes</v>
      </c>
      <c r="AI191" s="109" t="str">
        <f aca="false">IF(ISNUMBER(I191),"yes","no")</f>
        <v>yes</v>
      </c>
      <c r="AJ191" s="116" t="n">
        <v>46295</v>
      </c>
      <c r="AK191" s="109"/>
    </row>
    <row r="192" customFormat="false" ht="42" hidden="false" customHeight="true" outlineLevel="0" collapsed="false">
      <c r="A192" s="3"/>
      <c r="B192" s="36" t="s">
        <v>28</v>
      </c>
      <c r="C192" s="98" t="s">
        <v>17</v>
      </c>
      <c r="D192" s="98" t="s">
        <v>361</v>
      </c>
      <c r="E192" s="110" t="s">
        <v>1004</v>
      </c>
      <c r="F192" s="99" t="n">
        <v>877</v>
      </c>
      <c r="G192" s="98" t="s">
        <v>333</v>
      </c>
      <c r="H192" s="112" t="str">
        <f aca="false">IF(AND(AE192="yes",ISNUMBER(AD192)),AD192,"")</f>
        <v/>
      </c>
      <c r="I192" s="95" t="str">
        <f aca="false">IF(AND(AE192="yes",ISNUMBER(AD192),ISNUMBER(INDEX(Sources!$G$7:$G$10,MATCH(AB192,Sources!$B$7:$B$10,0)))),ROUND(AD192/INDEX(Sources!$G$7:$G$10,MATCH(AB192,Sources!$B$7:$B$10,0)),6),"")</f>
        <v/>
      </c>
      <c r="J192" s="98" t="s">
        <v>629</v>
      </c>
      <c r="K192" s="98" t="s">
        <v>586</v>
      </c>
      <c r="L192" s="96"/>
      <c r="M192" s="110" t="s">
        <v>1005</v>
      </c>
      <c r="N192" s="117" t="s">
        <v>1006</v>
      </c>
      <c r="O192" s="110" t="s">
        <v>361</v>
      </c>
      <c r="P192" s="110" t="s">
        <v>265</v>
      </c>
      <c r="Q192" s="118" t="n">
        <v>0.21</v>
      </c>
      <c r="R192" s="110" t="n">
        <v>1</v>
      </c>
      <c r="S192" s="110" t="s">
        <v>632</v>
      </c>
      <c r="T192" s="110" t="s">
        <v>629</v>
      </c>
      <c r="U192" s="110" t="s">
        <v>591</v>
      </c>
      <c r="V192" s="119"/>
      <c r="W192" s="119"/>
      <c r="X192" s="110" t="s">
        <v>626</v>
      </c>
      <c r="Y192" s="110"/>
      <c r="Z192" s="110"/>
      <c r="AA192" s="110"/>
      <c r="AB192" s="110" t="s">
        <v>333</v>
      </c>
      <c r="AC192" s="110" t="s">
        <v>538</v>
      </c>
      <c r="AD192" s="110" t="n">
        <f aca="false">IF(OR(F192="",Q192="",R192=""),"",ROUND(IF(P192="incl.",F192/(1+Q192),F192)/IF(S192="per pack",R192,1),2))</f>
        <v>724.79</v>
      </c>
      <c r="AE192" s="110" t="str">
        <f aca="false">IF(AND(AC192="yes",ISNUMBER(F192),IF(Compare!$H$5="All mapped",TRUE(),IF(Compare!$H$5="EXACT only",J192="EXACT",OR(J192="EXACT",J192="CLOSE")))),"yes","no")</f>
        <v>no</v>
      </c>
      <c r="AF192" s="110" t="str">
        <f aca="false">IF(ISNUMBER(H192),COUNTIFS($B$7:$B$3000,B192,$C$7:$C$3000,C192,$H$7:$H$3000,"&lt;"&amp;H192,$AH$7:$AH$3000,"yes")+COUNTIFS($B$7:B192,B192,$C$7:C192,C192,$H$7:H192,H192,$AH$7:AH192,"yes"),"")</f>
        <v/>
      </c>
      <c r="AG192" s="110" t="str">
        <f aca="false">IF(ISNUMBER(I192),COUNTIFS($B$7:$B$3000,B192,$C$7:$C$3000,C192,$I$7:$I$3000,"&lt;"&amp;I192,$AI$7:$AI$3000,"yes")+COUNTIFS($B$7:B192,B192,$C$7:C192,C192,$I$7:I192,I192,$AI$7:AI192,"yes"),"")</f>
        <v/>
      </c>
      <c r="AH192" s="110" t="str">
        <f aca="false">IF(ISNUMBER(H192),"yes","no")</f>
        <v>no</v>
      </c>
      <c r="AI192" s="110" t="str">
        <f aca="false">IF(ISNUMBER(I192),"yes","no")</f>
        <v>no</v>
      </c>
      <c r="AJ192" s="120" t="n">
        <v>46295</v>
      </c>
      <c r="AK192" s="110"/>
    </row>
    <row r="193" customFormat="false" ht="48.75" hidden="false" customHeight="true" outlineLevel="0" collapsed="false">
      <c r="A193" s="3"/>
      <c r="B193" s="31" t="s">
        <v>28</v>
      </c>
      <c r="C193" s="91" t="s">
        <v>18</v>
      </c>
      <c r="D193" s="91" t="s">
        <v>365</v>
      </c>
      <c r="E193" s="109" t="s">
        <v>1007</v>
      </c>
      <c r="F193" s="92" t="n">
        <v>19.42</v>
      </c>
      <c r="G193" s="91" t="s">
        <v>244</v>
      </c>
      <c r="H193" s="112" t="str">
        <f aca="false">IF(AND(AE193="yes",ISNUMBER(AD193)),AD193,"")</f>
        <v/>
      </c>
      <c r="I193" s="95" t="str">
        <f aca="false">IF(AND(AE193="yes",ISNUMBER(AD193),ISNUMBER(INDEX(Sources!$G$7:$G$10,MATCH(AB193,Sources!$B$7:$B$10,0)))),ROUND(AD193/INDEX(Sources!$G$7:$G$10,MATCH(AB193,Sources!$B$7:$B$10,0)),6),"")</f>
        <v/>
      </c>
      <c r="J193" s="91" t="s">
        <v>629</v>
      </c>
      <c r="K193" s="91" t="s">
        <v>586</v>
      </c>
      <c r="L193" s="96"/>
      <c r="M193" s="109" t="s">
        <v>1008</v>
      </c>
      <c r="N193" s="113" t="s">
        <v>1009</v>
      </c>
      <c r="O193" s="109" t="s">
        <v>646</v>
      </c>
      <c r="P193" s="109" t="s">
        <v>590</v>
      </c>
      <c r="Q193" s="114" t="s">
        <v>647</v>
      </c>
      <c r="R193" s="109" t="n">
        <v>1</v>
      </c>
      <c r="S193" s="109" t="s">
        <v>632</v>
      </c>
      <c r="T193" s="109" t="s">
        <v>629</v>
      </c>
      <c r="U193" s="109" t="s">
        <v>591</v>
      </c>
      <c r="V193" s="115" t="n">
        <v>19.42</v>
      </c>
      <c r="W193" s="115"/>
      <c r="X193" s="109" t="s">
        <v>648</v>
      </c>
      <c r="Y193" s="109"/>
      <c r="Z193" s="109"/>
      <c r="AA193" s="109"/>
      <c r="AB193" s="109" t="s">
        <v>244</v>
      </c>
      <c r="AC193" s="109" t="s">
        <v>538</v>
      </c>
      <c r="AD193" s="109" t="n">
        <f aca="false">IF(ISNUMBER(V193),ROUND(V193,6),"")</f>
        <v>19.42</v>
      </c>
      <c r="AE193" s="109" t="str">
        <f aca="false">IF(AND(AC193="yes",ISNUMBER(F193),IF(Compare!$H$5="All mapped",TRUE(),IF(Compare!$H$5="EXACT only",J193="EXACT",OR(J193="EXACT",J193="CLOSE")))),"yes","no")</f>
        <v>no</v>
      </c>
      <c r="AF193" s="109" t="str">
        <f aca="false">IF(ISNUMBER(H193),COUNTIFS($B$7:$B$3000,B193,$C$7:$C$3000,C193,$H$7:$H$3000,"&lt;"&amp;H193,$AH$7:$AH$3000,"yes")+COUNTIFS($B$7:B193,B193,$C$7:C193,C193,$H$7:H193,H193,$AH$7:AH193,"yes"),"")</f>
        <v/>
      </c>
      <c r="AG193" s="109" t="str">
        <f aca="false">IF(ISNUMBER(I193),COUNTIFS($B$7:$B$3000,B193,$C$7:$C$3000,C193,$I$7:$I$3000,"&lt;"&amp;I193,$AI$7:$AI$3000,"yes")+COUNTIFS($B$7:B193,B193,$C$7:C193,C193,$I$7:I193,I193,$AI$7:AI193,"yes"),"")</f>
        <v/>
      </c>
      <c r="AH193" s="109" t="str">
        <f aca="false">IF(ISNUMBER(H193),"yes","no")</f>
        <v>no</v>
      </c>
      <c r="AI193" s="109" t="str">
        <f aca="false">IF(ISNUMBER(I193),"yes","no")</f>
        <v>no</v>
      </c>
      <c r="AJ193" s="116" t="n">
        <v>46295</v>
      </c>
      <c r="AK193" s="109"/>
    </row>
    <row r="194" customFormat="false" ht="48.75" hidden="false" customHeight="true" outlineLevel="0" collapsed="false">
      <c r="A194" s="3"/>
      <c r="B194" s="36" t="s">
        <v>28</v>
      </c>
      <c r="C194" s="98" t="s">
        <v>18</v>
      </c>
      <c r="D194" s="98" t="s">
        <v>369</v>
      </c>
      <c r="E194" s="110" t="s">
        <v>1010</v>
      </c>
      <c r="F194" s="99" t="n">
        <v>26.69</v>
      </c>
      <c r="G194" s="98" t="s">
        <v>244</v>
      </c>
      <c r="H194" s="112" t="str">
        <f aca="false">IF(AND(AE194="yes",ISNUMBER(AD194)),AD194,"")</f>
        <v/>
      </c>
      <c r="I194" s="95" t="str">
        <f aca="false">IF(AND(AE194="yes",ISNUMBER(AD194),ISNUMBER(INDEX(Sources!$G$7:$G$10,MATCH(AB194,Sources!$B$7:$B$10,0)))),ROUND(AD194/INDEX(Sources!$G$7:$G$10,MATCH(AB194,Sources!$B$7:$B$10,0)),6),"")</f>
        <v/>
      </c>
      <c r="J194" s="98" t="s">
        <v>629</v>
      </c>
      <c r="K194" s="98" t="s">
        <v>586</v>
      </c>
      <c r="L194" s="96"/>
      <c r="M194" s="110" t="s">
        <v>1011</v>
      </c>
      <c r="N194" s="117" t="s">
        <v>1012</v>
      </c>
      <c r="O194" s="110" t="s">
        <v>565</v>
      </c>
      <c r="P194" s="110" t="s">
        <v>265</v>
      </c>
      <c r="Q194" s="118" t="n">
        <v>0.23</v>
      </c>
      <c r="R194" s="110" t="n">
        <v>1</v>
      </c>
      <c r="S194" s="110" t="s">
        <v>632</v>
      </c>
      <c r="T194" s="110" t="s">
        <v>629</v>
      </c>
      <c r="U194" s="110" t="s">
        <v>591</v>
      </c>
      <c r="V194" s="119" t="n">
        <v>21.6991869918699</v>
      </c>
      <c r="W194" s="119"/>
      <c r="X194" s="110" t="s">
        <v>648</v>
      </c>
      <c r="Y194" s="110"/>
      <c r="Z194" s="110"/>
      <c r="AA194" s="110"/>
      <c r="AB194" s="110" t="s">
        <v>244</v>
      </c>
      <c r="AC194" s="110" t="s">
        <v>538</v>
      </c>
      <c r="AD194" s="110" t="n">
        <f aca="false">IF(ISNUMBER(V194),ROUND(V194,6),"")</f>
        <v>21.699187</v>
      </c>
      <c r="AE194" s="110" t="str">
        <f aca="false">IF(AND(AC194="yes",ISNUMBER(F194),IF(Compare!$H$5="All mapped",TRUE(),IF(Compare!$H$5="EXACT only",J194="EXACT",OR(J194="EXACT",J194="CLOSE")))),"yes","no")</f>
        <v>no</v>
      </c>
      <c r="AF194" s="110" t="str">
        <f aca="false">IF(ISNUMBER(H194),COUNTIFS($B$7:$B$3000,B194,$C$7:$C$3000,C194,$H$7:$H$3000,"&lt;"&amp;H194,$AH$7:$AH$3000,"yes")+COUNTIFS($B$7:B194,B194,$C$7:C194,C194,$H$7:H194,H194,$AH$7:AH194,"yes"),"")</f>
        <v/>
      </c>
      <c r="AG194" s="110" t="str">
        <f aca="false">IF(ISNUMBER(I194),COUNTIFS($B$7:$B$3000,B194,$C$7:$C$3000,C194,$I$7:$I$3000,"&lt;"&amp;I194,$AI$7:$AI$3000,"yes")+COUNTIFS($B$7:B194,B194,$C$7:C194,C194,$I$7:I194,I194,$AI$7:AI194,"yes"),"")</f>
        <v/>
      </c>
      <c r="AH194" s="110" t="str">
        <f aca="false">IF(ISNUMBER(H194),"yes","no")</f>
        <v>no</v>
      </c>
      <c r="AI194" s="110" t="str">
        <f aca="false">IF(ISNUMBER(I194),"yes","no")</f>
        <v>no</v>
      </c>
      <c r="AJ194" s="120" t="n">
        <v>46295</v>
      </c>
      <c r="AK194" s="110"/>
    </row>
    <row r="195" customFormat="false" ht="42" hidden="false" customHeight="true" outlineLevel="0" collapsed="false">
      <c r="A195" s="3"/>
      <c r="B195" s="31" t="s">
        <v>29</v>
      </c>
      <c r="C195" s="91" t="s">
        <v>13</v>
      </c>
      <c r="D195" s="91" t="s">
        <v>528</v>
      </c>
      <c r="E195" s="109" t="s">
        <v>1013</v>
      </c>
      <c r="F195" s="92" t="n">
        <v>5772</v>
      </c>
      <c r="G195" s="91" t="s">
        <v>490</v>
      </c>
      <c r="H195" s="112" t="str">
        <f aca="false">IF(AND(AE195="yes",ISNUMBER(AD195)),AD195,"")</f>
        <v/>
      </c>
      <c r="I195" s="95" t="str">
        <f aca="false">IF(AND(AE195="yes",ISNUMBER(AD195),ISNUMBER(INDEX(Sources!$G$7:$G$10,MATCH(AB195,Sources!$B$7:$B$10,0)))),ROUND(AD195/INDEX(Sources!$G$7:$G$10,MATCH(AB195,Sources!$B$7:$B$10,0)),6),"")</f>
        <v/>
      </c>
      <c r="J195" s="91" t="s">
        <v>956</v>
      </c>
      <c r="K195" s="91" t="s">
        <v>1014</v>
      </c>
      <c r="L195" s="96"/>
      <c r="M195" s="109" t="s">
        <v>1015</v>
      </c>
      <c r="N195" s="113" t="s">
        <v>1016</v>
      </c>
      <c r="O195" s="109"/>
      <c r="P195" s="109"/>
      <c r="Q195" s="114"/>
      <c r="R195" s="109"/>
      <c r="S195" s="109"/>
      <c r="T195" s="109"/>
      <c r="U195" s="109" t="s">
        <v>1017</v>
      </c>
      <c r="V195" s="115"/>
      <c r="W195" s="115" t="n">
        <v>5772</v>
      </c>
      <c r="X195" s="109" t="s">
        <v>535</v>
      </c>
      <c r="Y195" s="109" t="s">
        <v>1018</v>
      </c>
      <c r="Z195" s="109"/>
      <c r="AA195" s="109" t="s">
        <v>537</v>
      </c>
      <c r="AB195" s="109" t="s">
        <v>490</v>
      </c>
      <c r="AC195" s="109" t="s">
        <v>538</v>
      </c>
      <c r="AD195" s="115" t="n">
        <f aca="false">IF(ISNUMBER(F195),IF(G195=AB195,F195,IF(AND(ISNUMBER(INDEX(Sources!$G$7:$G$10,MATCH(G195,Sources!$B$7:$B$10,0))),ISNUMBER(INDEX(Sources!$G$7:$G$10,MATCH(AB195,Sources!$B$7:$B$10,0)))),F195/INDEX(Sources!$G$7:$G$10,MATCH(G195,Sources!$B$7:$B$10,0))*INDEX(Sources!$G$7:$G$10,MATCH(AB195,Sources!$B$7:$B$10,0)),"")),"")</f>
        <v>5772</v>
      </c>
      <c r="AE195" s="109" t="str">
        <f aca="false">IF(AND(AC195="yes",ISNUMBER(F195),IF(Compare!$H$5="All mapped",TRUE(),IF(Compare!$H$5="EXACT only",J195="EXACT",OR(J195="EXACT",J195="CLOSE")))),"yes","no")</f>
        <v>no</v>
      </c>
      <c r="AF195" s="109" t="str">
        <f aca="false">IF(ISNUMBER(H195),COUNTIFS($B$7:$B$3000,B195,$C$7:$C$3000,C195,$H$7:$H$3000,"&lt;"&amp;H195,$AH$7:$AH$3000,"yes")+COUNTIFS($B$7:B195,B195,$C$7:C195,C195,$H$7:H195,H195,$AH$7:AH195,"yes"),"")</f>
        <v/>
      </c>
      <c r="AG195" s="109" t="str">
        <f aca="false">IF(ISNUMBER(I195),COUNTIFS($B$7:$B$3000,B195,$C$7:$C$3000,C195,$I$7:$I$3000,"&lt;"&amp;I195,$AI$7:$AI$3000,"yes")+COUNTIFS($B$7:B195,B195,$C$7:C195,C195,$I$7:I195,I195,$AI$7:AI195,"yes"),"")</f>
        <v/>
      </c>
      <c r="AH195" s="109" t="str">
        <f aca="false">IF(ISNUMBER(H195),"yes","no")</f>
        <v>no</v>
      </c>
      <c r="AI195" s="109" t="str">
        <f aca="false">IF(ISNUMBER(I195),"yes","no")</f>
        <v>no</v>
      </c>
      <c r="AJ195" s="116" t="n">
        <v>46197</v>
      </c>
      <c r="AK195" s="109"/>
    </row>
    <row r="196" customFormat="false" ht="42" hidden="false" customHeight="true" outlineLevel="0" collapsed="false">
      <c r="A196" s="3"/>
      <c r="B196" s="36" t="s">
        <v>29</v>
      </c>
      <c r="C196" s="98" t="s">
        <v>13</v>
      </c>
      <c r="D196" s="98" t="s">
        <v>541</v>
      </c>
      <c r="E196" s="110" t="s">
        <v>1013</v>
      </c>
      <c r="F196" s="99" t="n">
        <v>7850</v>
      </c>
      <c r="G196" s="98" t="s">
        <v>490</v>
      </c>
      <c r="H196" s="112" t="str">
        <f aca="false">IF(AND(AE196="yes",ISNUMBER(AD196)),AD196,"")</f>
        <v/>
      </c>
      <c r="I196" s="95" t="str">
        <f aca="false">IF(AND(AE196="yes",ISNUMBER(AD196),ISNUMBER(INDEX(Sources!$G$7:$G$10,MATCH(AB196,Sources!$B$7:$B$10,0)))),ROUND(AD196/INDEX(Sources!$G$7:$G$10,MATCH(AB196,Sources!$B$7:$B$10,0)),6),"")</f>
        <v/>
      </c>
      <c r="J196" s="98" t="s">
        <v>629</v>
      </c>
      <c r="K196" s="98" t="s">
        <v>1014</v>
      </c>
      <c r="L196" s="96"/>
      <c r="M196" s="110" t="s">
        <v>1015</v>
      </c>
      <c r="N196" s="117" t="s">
        <v>1019</v>
      </c>
      <c r="O196" s="110"/>
      <c r="P196" s="110"/>
      <c r="Q196" s="118"/>
      <c r="R196" s="110"/>
      <c r="S196" s="110"/>
      <c r="T196" s="110"/>
      <c r="U196" s="110" t="s">
        <v>1020</v>
      </c>
      <c r="V196" s="119"/>
      <c r="W196" s="119" t="n">
        <v>7850</v>
      </c>
      <c r="X196" s="110" t="s">
        <v>535</v>
      </c>
      <c r="Y196" s="110" t="s">
        <v>1018</v>
      </c>
      <c r="Z196" s="110"/>
      <c r="AA196" s="110" t="s">
        <v>537</v>
      </c>
      <c r="AB196" s="110" t="s">
        <v>490</v>
      </c>
      <c r="AC196" s="110" t="s">
        <v>538</v>
      </c>
      <c r="AD196" s="119" t="n">
        <f aca="false">IF(ISNUMBER(F196),IF(G196=AB196,F196,IF(AND(ISNUMBER(INDEX(Sources!$G$7:$G$10,MATCH(G196,Sources!$B$7:$B$10,0))),ISNUMBER(INDEX(Sources!$G$7:$G$10,MATCH(AB196,Sources!$B$7:$B$10,0)))),F196/INDEX(Sources!$G$7:$G$10,MATCH(G196,Sources!$B$7:$B$10,0))*INDEX(Sources!$G$7:$G$10,MATCH(AB196,Sources!$B$7:$B$10,0)),"")),"")</f>
        <v>7850</v>
      </c>
      <c r="AE196" s="110" t="str">
        <f aca="false">IF(AND(AC196="yes",ISNUMBER(F196),IF(Compare!$H$5="All mapped",TRUE(),IF(Compare!$H$5="EXACT only",J196="EXACT",OR(J196="EXACT",J196="CLOSE")))),"yes","no")</f>
        <v>no</v>
      </c>
      <c r="AF196" s="110" t="str">
        <f aca="false">IF(ISNUMBER(H196),COUNTIFS($B$7:$B$3000,B196,$C$7:$C$3000,C196,$H$7:$H$3000,"&lt;"&amp;H196,$AH$7:$AH$3000,"yes")+COUNTIFS($B$7:B196,B196,$C$7:C196,C196,$H$7:H196,H196,$AH$7:AH196,"yes"),"")</f>
        <v/>
      </c>
      <c r="AG196" s="110" t="str">
        <f aca="false">IF(ISNUMBER(I196),COUNTIFS($B$7:$B$3000,B196,$C$7:$C$3000,C196,$I$7:$I$3000,"&lt;"&amp;I196,$AI$7:$AI$3000,"yes")+COUNTIFS($B$7:B196,B196,$C$7:C196,C196,$I$7:I196,I196,$AI$7:AI196,"yes"),"")</f>
        <v/>
      </c>
      <c r="AH196" s="110" t="str">
        <f aca="false">IF(ISNUMBER(H196),"yes","no")</f>
        <v>no</v>
      </c>
      <c r="AI196" s="110" t="str">
        <f aca="false">IF(ISNUMBER(I196),"yes","no")</f>
        <v>no</v>
      </c>
      <c r="AJ196" s="120" t="n">
        <v>46197</v>
      </c>
      <c r="AK196" s="110"/>
    </row>
    <row r="197" customFormat="false" ht="42" hidden="false" customHeight="true" outlineLevel="0" collapsed="false">
      <c r="A197" s="3"/>
      <c r="B197" s="31" t="s">
        <v>29</v>
      </c>
      <c r="C197" s="91" t="s">
        <v>13</v>
      </c>
      <c r="D197" s="91" t="s">
        <v>548</v>
      </c>
      <c r="E197" s="109" t="s">
        <v>1013</v>
      </c>
      <c r="F197" s="92" t="n">
        <v>6881</v>
      </c>
      <c r="G197" s="91" t="s">
        <v>490</v>
      </c>
      <c r="H197" s="112" t="str">
        <f aca="false">IF(AND(AE197="yes",ISNUMBER(AD197)),AD197,"")</f>
        <v/>
      </c>
      <c r="I197" s="95" t="str">
        <f aca="false">IF(AND(AE197="yes",ISNUMBER(AD197),ISNUMBER(INDEX(Sources!$G$7:$G$10,MATCH(AB197,Sources!$B$7:$B$10,0)))),ROUND(AD197/INDEX(Sources!$G$7:$G$10,MATCH(AB197,Sources!$B$7:$B$10,0)),6),"")</f>
        <v/>
      </c>
      <c r="J197" s="91" t="s">
        <v>956</v>
      </c>
      <c r="K197" s="91" t="s">
        <v>1014</v>
      </c>
      <c r="L197" s="96"/>
      <c r="M197" s="109" t="s">
        <v>1015</v>
      </c>
      <c r="N197" s="113" t="s">
        <v>1021</v>
      </c>
      <c r="O197" s="109"/>
      <c r="P197" s="109"/>
      <c r="Q197" s="114"/>
      <c r="R197" s="109"/>
      <c r="S197" s="109"/>
      <c r="T197" s="109"/>
      <c r="U197" s="109" t="s">
        <v>1017</v>
      </c>
      <c r="V197" s="115"/>
      <c r="W197" s="115" t="n">
        <v>6881</v>
      </c>
      <c r="X197" s="109" t="s">
        <v>535</v>
      </c>
      <c r="Y197" s="109" t="s">
        <v>1018</v>
      </c>
      <c r="Z197" s="109"/>
      <c r="AA197" s="109" t="s">
        <v>537</v>
      </c>
      <c r="AB197" s="109" t="s">
        <v>490</v>
      </c>
      <c r="AC197" s="109" t="s">
        <v>538</v>
      </c>
      <c r="AD197" s="115" t="n">
        <f aca="false">IF(ISNUMBER(F197),IF(G197=AB197,F197,IF(AND(ISNUMBER(INDEX(Sources!$G$7:$G$10,MATCH(G197,Sources!$B$7:$B$10,0))),ISNUMBER(INDEX(Sources!$G$7:$G$10,MATCH(AB197,Sources!$B$7:$B$10,0)))),F197/INDEX(Sources!$G$7:$G$10,MATCH(G197,Sources!$B$7:$B$10,0))*INDEX(Sources!$G$7:$G$10,MATCH(AB197,Sources!$B$7:$B$10,0)),"")),"")</f>
        <v>6881</v>
      </c>
      <c r="AE197" s="109" t="str">
        <f aca="false">IF(AND(AC197="yes",ISNUMBER(F197),IF(Compare!$H$5="All mapped",TRUE(),IF(Compare!$H$5="EXACT only",J197="EXACT",OR(J197="EXACT",J197="CLOSE")))),"yes","no")</f>
        <v>no</v>
      </c>
      <c r="AF197" s="109" t="str">
        <f aca="false">IF(ISNUMBER(H197),COUNTIFS($B$7:$B$3000,B197,$C$7:$C$3000,C197,$H$7:$H$3000,"&lt;"&amp;H197,$AH$7:$AH$3000,"yes")+COUNTIFS($B$7:B197,B197,$C$7:C197,C197,$H$7:H197,H197,$AH$7:AH197,"yes"),"")</f>
        <v/>
      </c>
      <c r="AG197" s="109" t="str">
        <f aca="false">IF(ISNUMBER(I197),COUNTIFS($B$7:$B$3000,B197,$C$7:$C$3000,C197,$I$7:$I$3000,"&lt;"&amp;I197,$AI$7:$AI$3000,"yes")+COUNTIFS($B$7:B197,B197,$C$7:C197,C197,$I$7:I197,I197,$AI$7:AI197,"yes"),"")</f>
        <v/>
      </c>
      <c r="AH197" s="109" t="str">
        <f aca="false">IF(ISNUMBER(H197),"yes","no")</f>
        <v>no</v>
      </c>
      <c r="AI197" s="109" t="str">
        <f aca="false">IF(ISNUMBER(I197),"yes","no")</f>
        <v>no</v>
      </c>
      <c r="AJ197" s="116" t="n">
        <v>46197</v>
      </c>
      <c r="AK197" s="109"/>
    </row>
    <row r="198" customFormat="false" ht="42" hidden="false" customHeight="true" outlineLevel="0" collapsed="false">
      <c r="A198" s="3"/>
      <c r="B198" s="36" t="s">
        <v>29</v>
      </c>
      <c r="C198" s="98" t="s">
        <v>14</v>
      </c>
      <c r="D198" s="98" t="s">
        <v>419</v>
      </c>
      <c r="E198" s="110" t="s">
        <v>1022</v>
      </c>
      <c r="F198" s="99" t="n">
        <v>130.58</v>
      </c>
      <c r="G198" s="98" t="s">
        <v>374</v>
      </c>
      <c r="H198" s="112" t="str">
        <f aca="false">IF(AND(AE198="yes",ISNUMBER(AD198)),AD198,"")</f>
        <v/>
      </c>
      <c r="I198" s="95" t="str">
        <f aca="false">IF(AND(AE198="yes",ISNUMBER(AD198),ISNUMBER(INDEX(Sources!$G$7:$G$10,MATCH(AB198,Sources!$B$7:$B$10,0)))),ROUND(AD198/INDEX(Sources!$G$7:$G$10,MATCH(AB198,Sources!$B$7:$B$10,0)),6),"")</f>
        <v/>
      </c>
      <c r="J198" s="98" t="s">
        <v>956</v>
      </c>
      <c r="K198" s="98" t="s">
        <v>1023</v>
      </c>
      <c r="L198" s="96"/>
      <c r="M198" s="110" t="s">
        <v>1024</v>
      </c>
      <c r="N198" s="117" t="s">
        <v>1025</v>
      </c>
      <c r="O198" s="110" t="s">
        <v>731</v>
      </c>
      <c r="P198" s="110"/>
      <c r="Q198" s="118"/>
      <c r="R198" s="110"/>
      <c r="S198" s="110"/>
      <c r="T198" s="110"/>
      <c r="U198" s="110" t="s">
        <v>1026</v>
      </c>
      <c r="V198" s="119"/>
      <c r="W198" s="119" t="n">
        <v>26.116</v>
      </c>
      <c r="X198" s="110" t="s">
        <v>556</v>
      </c>
      <c r="Y198" s="110" t="s">
        <v>557</v>
      </c>
      <c r="Z198" s="110"/>
      <c r="AA198" s="110"/>
      <c r="AB198" s="110" t="s">
        <v>374</v>
      </c>
      <c r="AC198" s="110" t="s">
        <v>538</v>
      </c>
      <c r="AD198" s="119" t="n">
        <f aca="false">IF(ISNUMBER(F198),IF(G198=AB198,F198,IF(AND(ISNUMBER(INDEX(Sources!$G$7:$G$10,MATCH(G198,Sources!$B$7:$B$10,0))),ISNUMBER(INDEX(Sources!$G$7:$G$10,MATCH(AB198,Sources!$B$7:$B$10,0)))),F198/INDEX(Sources!$G$7:$G$10,MATCH(G198,Sources!$B$7:$B$10,0))*INDEX(Sources!$G$7:$G$10,MATCH(AB198,Sources!$B$7:$B$10,0)),"")),"")</f>
        <v>130.58</v>
      </c>
      <c r="AE198" s="110" t="str">
        <f aca="false">IF(AND(AC198="yes",ISNUMBER(F198),IF(Compare!$H$5="All mapped",TRUE(),IF(Compare!$H$5="EXACT only",J198="EXACT",OR(J198="EXACT",J198="CLOSE")))),"yes","no")</f>
        <v>no</v>
      </c>
      <c r="AF198" s="110" t="str">
        <f aca="false">IF(ISNUMBER(H198),COUNTIFS($B$7:$B$3000,B198,$C$7:$C$3000,C198,$H$7:$H$3000,"&lt;"&amp;H198,$AH$7:$AH$3000,"yes")+COUNTIFS($B$7:B198,B198,$C$7:C198,C198,$H$7:H198,H198,$AH$7:AH198,"yes"),"")</f>
        <v/>
      </c>
      <c r="AG198" s="110" t="str">
        <f aca="false">IF(ISNUMBER(I198),COUNTIFS($B$7:$B$3000,B198,$C$7:$C$3000,C198,$I$7:$I$3000,"&lt;"&amp;I198,$AI$7:$AI$3000,"yes")+COUNTIFS($B$7:B198,B198,$C$7:C198,C198,$I$7:I198,I198,$AI$7:AI198,"yes"),"")</f>
        <v/>
      </c>
      <c r="AH198" s="110" t="str">
        <f aca="false">IF(ISNUMBER(H198),"yes","no")</f>
        <v>no</v>
      </c>
      <c r="AI198" s="110" t="str">
        <f aca="false">IF(ISNUMBER(I198),"yes","no")</f>
        <v>no</v>
      </c>
      <c r="AJ198" s="120" t="n">
        <v>46214</v>
      </c>
      <c r="AK198" s="110"/>
    </row>
    <row r="199" customFormat="false" ht="42" hidden="false" customHeight="true" outlineLevel="0" collapsed="false">
      <c r="A199" s="3"/>
      <c r="B199" s="31" t="s">
        <v>29</v>
      </c>
      <c r="C199" s="91" t="s">
        <v>15</v>
      </c>
      <c r="D199" s="91" t="s">
        <v>243</v>
      </c>
      <c r="E199" s="109" t="s">
        <v>1027</v>
      </c>
      <c r="F199" s="92" t="n">
        <v>26.95</v>
      </c>
      <c r="G199" s="91" t="s">
        <v>244</v>
      </c>
      <c r="H199" s="112" t="n">
        <f aca="false">IF(AND(AE199="yes",ISNUMBER(AD199)),AD199,"")</f>
        <v>26.95</v>
      </c>
      <c r="I199" s="95" t="n">
        <f aca="false">IF(AND(AE199="yes",ISNUMBER(AD199),ISNUMBER(INDEX(Sources!$G$7:$G$10,MATCH(AB199,Sources!$B$7:$B$10,0)))),ROUND(AD199/INDEX(Sources!$G$7:$G$10,MATCH(AB199,Sources!$B$7:$B$10,0)),6),"")</f>
        <v>26.95</v>
      </c>
      <c r="J199" s="91" t="s">
        <v>530</v>
      </c>
      <c r="K199" s="91" t="s">
        <v>586</v>
      </c>
      <c r="L199" s="96"/>
      <c r="M199" s="109" t="s">
        <v>1028</v>
      </c>
      <c r="N199" s="113" t="s">
        <v>1029</v>
      </c>
      <c r="O199" s="109" t="s">
        <v>1030</v>
      </c>
      <c r="P199" s="109" t="s">
        <v>590</v>
      </c>
      <c r="Q199" s="114"/>
      <c r="R199" s="109" t="n">
        <v>1</v>
      </c>
      <c r="S199" s="109"/>
      <c r="T199" s="109" t="s">
        <v>530</v>
      </c>
      <c r="U199" s="109" t="s">
        <v>591</v>
      </c>
      <c r="V199" s="115" t="n">
        <v>26.95</v>
      </c>
      <c r="W199" s="115"/>
      <c r="X199" s="109" t="s">
        <v>592</v>
      </c>
      <c r="Y199" s="109"/>
      <c r="Z199" s="109"/>
      <c r="AA199" s="109"/>
      <c r="AB199" s="109" t="s">
        <v>244</v>
      </c>
      <c r="AC199" s="109" t="s">
        <v>538</v>
      </c>
      <c r="AD199" s="109" t="n">
        <f aca="false">IF(ISNUMBER(V199),ROUND(V199,6),"")</f>
        <v>26.95</v>
      </c>
      <c r="AE199" s="109" t="str">
        <f aca="false">IF(AND(AC199="yes",ISNUMBER(F199),IF(Compare!$H$5="All mapped",TRUE(),IF(Compare!$H$5="EXACT only",J199="EXACT",OR(J199="EXACT",J199="CLOSE")))),"yes","no")</f>
        <v>yes</v>
      </c>
      <c r="AF199" s="109" t="n">
        <f aca="false">IF(ISNUMBER(H199),COUNTIFS($B$7:$B$3000,B199,$C$7:$C$3000,C199,$H$7:$H$3000,"&lt;"&amp;H199,$AH$7:$AH$3000,"yes")+COUNTIFS($B$7:B199,B199,$C$7:C199,C199,$H$7:H199,H199,$AH$7:AH199,"yes"),"")</f>
        <v>7</v>
      </c>
      <c r="AG199" s="109" t="n">
        <f aca="false">IF(ISNUMBER(I199),COUNTIFS($B$7:$B$3000,B199,$C$7:$C$3000,C199,$I$7:$I$3000,"&lt;"&amp;I199,$AI$7:$AI$3000,"yes")+COUNTIFS($B$7:B199,B199,$C$7:C199,C199,$I$7:I199,I199,$AI$7:AI199,"yes"),"")</f>
        <v>7</v>
      </c>
      <c r="AH199" s="109" t="str">
        <f aca="false">IF(ISNUMBER(H199),"yes","no")</f>
        <v>yes</v>
      </c>
      <c r="AI199" s="109" t="str">
        <f aca="false">IF(ISNUMBER(I199),"yes","no")</f>
        <v>yes</v>
      </c>
      <c r="AJ199" s="116" t="n">
        <v>46295</v>
      </c>
      <c r="AK199" s="109"/>
    </row>
    <row r="200" customFormat="false" ht="42" hidden="false" customHeight="true" outlineLevel="0" collapsed="false">
      <c r="A200" s="3"/>
      <c r="B200" s="36" t="s">
        <v>29</v>
      </c>
      <c r="C200" s="98" t="s">
        <v>15</v>
      </c>
      <c r="D200" s="98" t="s">
        <v>269</v>
      </c>
      <c r="E200" s="110" t="s">
        <v>1031</v>
      </c>
      <c r="F200" s="99" t="n">
        <v>33.69</v>
      </c>
      <c r="G200" s="98" t="s">
        <v>244</v>
      </c>
      <c r="H200" s="112" t="n">
        <f aca="false">IF(AND(AE200="yes",ISNUMBER(AD200)),AD200,"")</f>
        <v>33.69</v>
      </c>
      <c r="I200" s="95" t="n">
        <f aca="false">IF(AND(AE200="yes",ISNUMBER(AD200),ISNUMBER(INDEX(Sources!$G$7:$G$10,MATCH(AB200,Sources!$B$7:$B$10,0)))),ROUND(AD200/INDEX(Sources!$G$7:$G$10,MATCH(AB200,Sources!$B$7:$B$10,0)),6),"")</f>
        <v>33.69</v>
      </c>
      <c r="J200" s="98" t="s">
        <v>702</v>
      </c>
      <c r="K200" s="98" t="s">
        <v>586</v>
      </c>
      <c r="L200" s="96"/>
      <c r="M200" s="110" t="s">
        <v>1032</v>
      </c>
      <c r="N200" s="117" t="s">
        <v>1033</v>
      </c>
      <c r="O200" s="110" t="s">
        <v>388</v>
      </c>
      <c r="P200" s="110" t="s">
        <v>590</v>
      </c>
      <c r="Q200" s="118"/>
      <c r="R200" s="110" t="n">
        <v>1</v>
      </c>
      <c r="S200" s="110"/>
      <c r="T200" s="110" t="s">
        <v>702</v>
      </c>
      <c r="U200" s="110" t="s">
        <v>591</v>
      </c>
      <c r="V200" s="119" t="n">
        <v>33.69</v>
      </c>
      <c r="W200" s="119"/>
      <c r="X200" s="110" t="s">
        <v>592</v>
      </c>
      <c r="Y200" s="110"/>
      <c r="Z200" s="110"/>
      <c r="AA200" s="110"/>
      <c r="AB200" s="110" t="s">
        <v>244</v>
      </c>
      <c r="AC200" s="110" t="s">
        <v>538</v>
      </c>
      <c r="AD200" s="110" t="n">
        <f aca="false">IF(ISNUMBER(V200),ROUND(V200,6),"")</f>
        <v>33.69</v>
      </c>
      <c r="AE200" s="110" t="str">
        <f aca="false">IF(AND(AC200="yes",ISNUMBER(F200),IF(Compare!$H$5="All mapped",TRUE(),IF(Compare!$H$5="EXACT only",J200="EXACT",OR(J200="EXACT",J200="CLOSE")))),"yes","no")</f>
        <v>yes</v>
      </c>
      <c r="AF200" s="110" t="n">
        <f aca="false">IF(ISNUMBER(H200),COUNTIFS($B$7:$B$3000,B200,$C$7:$C$3000,C200,$H$7:$H$3000,"&lt;"&amp;H200,$AH$7:$AH$3000,"yes")+COUNTIFS($B$7:B200,B200,$C$7:C200,C200,$H$7:H200,H200,$AH$7:AH200,"yes"),"")</f>
        <v>8</v>
      </c>
      <c r="AG200" s="110" t="n">
        <f aca="false">IF(ISNUMBER(I200),COUNTIFS($B$7:$B$3000,B200,$C$7:$C$3000,C200,$I$7:$I$3000,"&lt;"&amp;I200,$AI$7:$AI$3000,"yes")+COUNTIFS($B$7:B200,B200,$C$7:C200,C200,$I$7:I200,I200,$AI$7:AI200,"yes"),"")</f>
        <v>8</v>
      </c>
      <c r="AH200" s="110" t="str">
        <f aca="false">IF(ISNUMBER(H200),"yes","no")</f>
        <v>yes</v>
      </c>
      <c r="AI200" s="110" t="str">
        <f aca="false">IF(ISNUMBER(I200),"yes","no")</f>
        <v>yes</v>
      </c>
      <c r="AJ200" s="120" t="n">
        <v>46295</v>
      </c>
      <c r="AK200" s="110"/>
    </row>
    <row r="201" customFormat="false" ht="42" hidden="false" customHeight="true" outlineLevel="0" collapsed="false">
      <c r="A201" s="3"/>
      <c r="B201" s="31" t="s">
        <v>29</v>
      </c>
      <c r="C201" s="91" t="s">
        <v>15</v>
      </c>
      <c r="D201" s="91" t="s">
        <v>264</v>
      </c>
      <c r="E201" s="109" t="s">
        <v>1034</v>
      </c>
      <c r="F201" s="92" t="n">
        <v>20.95</v>
      </c>
      <c r="G201" s="91" t="s">
        <v>244</v>
      </c>
      <c r="H201" s="112" t="n">
        <f aca="false">IF(AND(AE201="yes",ISNUMBER(AD201)),AD201,"")</f>
        <v>20.95</v>
      </c>
      <c r="I201" s="95" t="n">
        <f aca="false">IF(AND(AE201="yes",ISNUMBER(AD201),ISNUMBER(INDEX(Sources!$G$7:$G$10,MATCH(AB201,Sources!$B$7:$B$10,0)))),ROUND(AD201/INDEX(Sources!$G$7:$G$10,MATCH(AB201,Sources!$B$7:$B$10,0)),6),"")</f>
        <v>20.95</v>
      </c>
      <c r="J201" s="91" t="s">
        <v>702</v>
      </c>
      <c r="K201" s="91" t="s">
        <v>586</v>
      </c>
      <c r="L201" s="96"/>
      <c r="M201" s="109" t="s">
        <v>1035</v>
      </c>
      <c r="N201" s="113" t="s">
        <v>1036</v>
      </c>
      <c r="O201" s="109" t="s">
        <v>388</v>
      </c>
      <c r="P201" s="109" t="s">
        <v>590</v>
      </c>
      <c r="Q201" s="114"/>
      <c r="R201" s="109" t="n">
        <v>1</v>
      </c>
      <c r="S201" s="109"/>
      <c r="T201" s="109" t="s">
        <v>702</v>
      </c>
      <c r="U201" s="109" t="s">
        <v>591</v>
      </c>
      <c r="V201" s="115" t="n">
        <v>20.95</v>
      </c>
      <c r="W201" s="115"/>
      <c r="X201" s="109" t="s">
        <v>592</v>
      </c>
      <c r="Y201" s="109"/>
      <c r="Z201" s="109"/>
      <c r="AA201" s="109"/>
      <c r="AB201" s="109" t="s">
        <v>244</v>
      </c>
      <c r="AC201" s="109" t="s">
        <v>538</v>
      </c>
      <c r="AD201" s="109" t="n">
        <f aca="false">IF(ISNUMBER(V201),ROUND(V201,6),"")</f>
        <v>20.95</v>
      </c>
      <c r="AE201" s="109" t="str">
        <f aca="false">IF(AND(AC201="yes",ISNUMBER(F201),IF(Compare!$H$5="All mapped",TRUE(),IF(Compare!$H$5="EXACT only",J201="EXACT",OR(J201="EXACT",J201="CLOSE")))),"yes","no")</f>
        <v>yes</v>
      </c>
      <c r="AF201" s="109" t="n">
        <f aca="false">IF(ISNUMBER(H201),COUNTIFS($B$7:$B$3000,B201,$C$7:$C$3000,C201,$H$7:$H$3000,"&lt;"&amp;H201,$AH$7:$AH$3000,"yes")+COUNTIFS($B$7:B201,B201,$C$7:C201,C201,$H$7:H201,H201,$AH$7:AH201,"yes"),"")</f>
        <v>2</v>
      </c>
      <c r="AG201" s="109" t="n">
        <f aca="false">IF(ISNUMBER(I201),COUNTIFS($B$7:$B$3000,B201,$C$7:$C$3000,C201,$I$7:$I$3000,"&lt;"&amp;I201,$AI$7:$AI$3000,"yes")+COUNTIFS($B$7:B201,B201,$C$7:C201,C201,$I$7:I201,I201,$AI$7:AI201,"yes"),"")</f>
        <v>2</v>
      </c>
      <c r="AH201" s="109" t="str">
        <f aca="false">IF(ISNUMBER(H201),"yes","no")</f>
        <v>yes</v>
      </c>
      <c r="AI201" s="109" t="str">
        <f aca="false">IF(ISNUMBER(I201),"yes","no")</f>
        <v>yes</v>
      </c>
      <c r="AJ201" s="116" t="n">
        <v>46295</v>
      </c>
      <c r="AK201" s="109"/>
    </row>
    <row r="202" customFormat="false" ht="42" hidden="false" customHeight="true" outlineLevel="0" collapsed="false">
      <c r="A202" s="3"/>
      <c r="B202" s="36" t="s">
        <v>29</v>
      </c>
      <c r="C202" s="98" t="s">
        <v>15</v>
      </c>
      <c r="D202" s="98" t="s">
        <v>273</v>
      </c>
      <c r="E202" s="110" t="s">
        <v>1037</v>
      </c>
      <c r="F202" s="99" t="n">
        <v>29.49</v>
      </c>
      <c r="G202" s="98" t="s">
        <v>244</v>
      </c>
      <c r="H202" s="112" t="n">
        <f aca="false">IF(AND(AE202="yes",ISNUMBER(AD202)),AD202,"")</f>
        <v>24.57</v>
      </c>
      <c r="I202" s="95" t="n">
        <f aca="false">IF(AND(AE202="yes",ISNUMBER(AD202),ISNUMBER(INDEX(Sources!$G$7:$G$10,MATCH(AB202,Sources!$B$7:$B$10,0)))),ROUND(AD202/INDEX(Sources!$G$7:$G$10,MATCH(AB202,Sources!$B$7:$B$10,0)),6),"")</f>
        <v>24.57</v>
      </c>
      <c r="J202" s="98" t="s">
        <v>530</v>
      </c>
      <c r="K202" s="98" t="s">
        <v>586</v>
      </c>
      <c r="L202" s="96"/>
      <c r="M202" s="110" t="s">
        <v>1038</v>
      </c>
      <c r="N202" s="117" t="s">
        <v>1039</v>
      </c>
      <c r="O202" s="110" t="s">
        <v>1030</v>
      </c>
      <c r="P202" s="110" t="s">
        <v>265</v>
      </c>
      <c r="Q202" s="118"/>
      <c r="R202" s="110" t="n">
        <v>1</v>
      </c>
      <c r="S202" s="110"/>
      <c r="T202" s="110" t="s">
        <v>530</v>
      </c>
      <c r="U202" s="110" t="s">
        <v>591</v>
      </c>
      <c r="V202" s="119" t="n">
        <v>24.57</v>
      </c>
      <c r="W202" s="119"/>
      <c r="X202" s="110" t="s">
        <v>592</v>
      </c>
      <c r="Y202" s="110"/>
      <c r="Z202" s="110"/>
      <c r="AA202" s="110"/>
      <c r="AB202" s="110" t="s">
        <v>244</v>
      </c>
      <c r="AC202" s="110" t="s">
        <v>538</v>
      </c>
      <c r="AD202" s="110" t="n">
        <f aca="false">IF(ISNUMBER(V202),ROUND(V202,6),"")</f>
        <v>24.57</v>
      </c>
      <c r="AE202" s="110" t="str">
        <f aca="false">IF(AND(AC202="yes",ISNUMBER(F202),IF(Compare!$H$5="All mapped",TRUE(),IF(Compare!$H$5="EXACT only",J202="EXACT",OR(J202="EXACT",J202="CLOSE")))),"yes","no")</f>
        <v>yes</v>
      </c>
      <c r="AF202" s="110" t="n">
        <f aca="false">IF(ISNUMBER(H202),COUNTIFS($B$7:$B$3000,B202,$C$7:$C$3000,C202,$H$7:$H$3000,"&lt;"&amp;H202,$AH$7:$AH$3000,"yes")+COUNTIFS($B$7:B202,B202,$C$7:C202,C202,$H$7:H202,H202,$AH$7:AH202,"yes"),"")</f>
        <v>5</v>
      </c>
      <c r="AG202" s="110" t="n">
        <f aca="false">IF(ISNUMBER(I202),COUNTIFS($B$7:$B$3000,B202,$C$7:$C$3000,C202,$I$7:$I$3000,"&lt;"&amp;I202,$AI$7:$AI$3000,"yes")+COUNTIFS($B$7:B202,B202,$C$7:C202,C202,$I$7:I202,I202,$AI$7:AI202,"yes"),"")</f>
        <v>5</v>
      </c>
      <c r="AH202" s="110" t="str">
        <f aca="false">IF(ISNUMBER(H202),"yes","no")</f>
        <v>yes</v>
      </c>
      <c r="AI202" s="110" t="str">
        <f aca="false">IF(ISNUMBER(I202),"yes","no")</f>
        <v>yes</v>
      </c>
      <c r="AJ202" s="120" t="n">
        <v>46295</v>
      </c>
      <c r="AK202" s="110"/>
    </row>
    <row r="203" customFormat="false" ht="42" hidden="false" customHeight="true" outlineLevel="0" collapsed="false">
      <c r="A203" s="3"/>
      <c r="B203" s="31" t="s">
        <v>29</v>
      </c>
      <c r="C203" s="91" t="s">
        <v>15</v>
      </c>
      <c r="D203" s="91" t="s">
        <v>281</v>
      </c>
      <c r="E203" s="109" t="s">
        <v>1040</v>
      </c>
      <c r="F203" s="92" t="n">
        <v>22.09</v>
      </c>
      <c r="G203" s="91" t="s">
        <v>244</v>
      </c>
      <c r="H203" s="112" t="n">
        <f aca="false">IF(AND(AE203="yes",ISNUMBER(AD203)),AD203,"")</f>
        <v>22.09</v>
      </c>
      <c r="I203" s="95" t="n">
        <f aca="false">IF(AND(AE203="yes",ISNUMBER(AD203),ISNUMBER(INDEX(Sources!$G$7:$G$10,MATCH(AB203,Sources!$B$7:$B$10,0)))),ROUND(AD203/INDEX(Sources!$G$7:$G$10,MATCH(AB203,Sources!$B$7:$B$10,0)),6),"")</f>
        <v>22.09</v>
      </c>
      <c r="J203" s="91" t="s">
        <v>530</v>
      </c>
      <c r="K203" s="91" t="s">
        <v>586</v>
      </c>
      <c r="L203" s="96"/>
      <c r="M203" s="109" t="s">
        <v>1041</v>
      </c>
      <c r="N203" s="113" t="s">
        <v>1042</v>
      </c>
      <c r="O203" s="109" t="s">
        <v>603</v>
      </c>
      <c r="P203" s="109" t="s">
        <v>590</v>
      </c>
      <c r="Q203" s="114"/>
      <c r="R203" s="109" t="n">
        <v>1</v>
      </c>
      <c r="S203" s="109"/>
      <c r="T203" s="109" t="s">
        <v>530</v>
      </c>
      <c r="U203" s="109" t="s">
        <v>591</v>
      </c>
      <c r="V203" s="115" t="n">
        <v>22.09</v>
      </c>
      <c r="W203" s="115"/>
      <c r="X203" s="109" t="s">
        <v>592</v>
      </c>
      <c r="Y203" s="109"/>
      <c r="Z203" s="109"/>
      <c r="AA203" s="109"/>
      <c r="AB203" s="109" t="s">
        <v>244</v>
      </c>
      <c r="AC203" s="109" t="s">
        <v>538</v>
      </c>
      <c r="AD203" s="109" t="n">
        <f aca="false">IF(ISNUMBER(V203),ROUND(V203,6),"")</f>
        <v>22.09</v>
      </c>
      <c r="AE203" s="109" t="str">
        <f aca="false">IF(AND(AC203="yes",ISNUMBER(F203),IF(Compare!$H$5="All mapped",TRUE(),IF(Compare!$H$5="EXACT only",J203="EXACT",OR(J203="EXACT",J203="CLOSE")))),"yes","no")</f>
        <v>yes</v>
      </c>
      <c r="AF203" s="109" t="n">
        <f aca="false">IF(ISNUMBER(H203),COUNTIFS($B$7:$B$3000,B203,$C$7:$C$3000,C203,$H$7:$H$3000,"&lt;"&amp;H203,$AH$7:$AH$3000,"yes")+COUNTIFS($B$7:B203,B203,$C$7:C203,C203,$H$7:H203,H203,$AH$7:AH203,"yes"),"")</f>
        <v>3</v>
      </c>
      <c r="AG203" s="109" t="n">
        <f aca="false">IF(ISNUMBER(I203),COUNTIFS($B$7:$B$3000,B203,$C$7:$C$3000,C203,$I$7:$I$3000,"&lt;"&amp;I203,$AI$7:$AI$3000,"yes")+COUNTIFS($B$7:B203,B203,$C$7:C203,C203,$I$7:I203,I203,$AI$7:AI203,"yes"),"")</f>
        <v>3</v>
      </c>
      <c r="AH203" s="109" t="str">
        <f aca="false">IF(ISNUMBER(H203),"yes","no")</f>
        <v>yes</v>
      </c>
      <c r="AI203" s="109" t="str">
        <f aca="false">IF(ISNUMBER(I203),"yes","no")</f>
        <v>yes</v>
      </c>
      <c r="AJ203" s="116" t="n">
        <v>46295</v>
      </c>
      <c r="AK203" s="109"/>
    </row>
    <row r="204" customFormat="false" ht="42" hidden="false" customHeight="true" outlineLevel="0" collapsed="false">
      <c r="A204" s="3"/>
      <c r="B204" s="36" t="s">
        <v>29</v>
      </c>
      <c r="C204" s="98" t="s">
        <v>15</v>
      </c>
      <c r="D204" s="98" t="s">
        <v>285</v>
      </c>
      <c r="E204" s="110" t="s">
        <v>1043</v>
      </c>
      <c r="F204" s="99" t="n">
        <v>23.9</v>
      </c>
      <c r="G204" s="98" t="s">
        <v>244</v>
      </c>
      <c r="H204" s="112" t="n">
        <f aca="false">IF(AND(AE204="yes",ISNUMBER(AD204)),AD204,"")</f>
        <v>23.9</v>
      </c>
      <c r="I204" s="95" t="n">
        <f aca="false">IF(AND(AE204="yes",ISNUMBER(AD204),ISNUMBER(INDEX(Sources!$G$7:$G$10,MATCH(AB204,Sources!$B$7:$B$10,0)))),ROUND(AD204/INDEX(Sources!$G$7:$G$10,MATCH(AB204,Sources!$B$7:$B$10,0)),6),"")</f>
        <v>23.9</v>
      </c>
      <c r="J204" s="98" t="s">
        <v>702</v>
      </c>
      <c r="K204" s="98" t="s">
        <v>586</v>
      </c>
      <c r="L204" s="96"/>
      <c r="M204" s="110" t="s">
        <v>1044</v>
      </c>
      <c r="N204" s="117" t="s">
        <v>1045</v>
      </c>
      <c r="O204" s="110" t="s">
        <v>733</v>
      </c>
      <c r="P204" s="110" t="s">
        <v>590</v>
      </c>
      <c r="Q204" s="118"/>
      <c r="R204" s="110" t="n">
        <v>1</v>
      </c>
      <c r="S204" s="110"/>
      <c r="T204" s="110" t="s">
        <v>702</v>
      </c>
      <c r="U204" s="110" t="s">
        <v>591</v>
      </c>
      <c r="V204" s="119" t="n">
        <v>23.9</v>
      </c>
      <c r="W204" s="119"/>
      <c r="X204" s="110" t="s">
        <v>592</v>
      </c>
      <c r="Y204" s="110"/>
      <c r="Z204" s="110"/>
      <c r="AA204" s="110"/>
      <c r="AB204" s="110" t="s">
        <v>244</v>
      </c>
      <c r="AC204" s="110" t="s">
        <v>538</v>
      </c>
      <c r="AD204" s="110" t="n">
        <f aca="false">IF(ISNUMBER(V204),ROUND(V204,6),"")</f>
        <v>23.9</v>
      </c>
      <c r="AE204" s="110" t="str">
        <f aca="false">IF(AND(AC204="yes",ISNUMBER(F204),IF(Compare!$H$5="All mapped",TRUE(),IF(Compare!$H$5="EXACT only",J204="EXACT",OR(J204="EXACT",J204="CLOSE")))),"yes","no")</f>
        <v>yes</v>
      </c>
      <c r="AF204" s="110" t="n">
        <f aca="false">IF(ISNUMBER(H204),COUNTIFS($B$7:$B$3000,B204,$C$7:$C$3000,C204,$H$7:$H$3000,"&lt;"&amp;H204,$AH$7:$AH$3000,"yes")+COUNTIFS($B$7:B204,B204,$C$7:C204,C204,$H$7:H204,H204,$AH$7:AH204,"yes"),"")</f>
        <v>4</v>
      </c>
      <c r="AG204" s="110" t="n">
        <f aca="false">IF(ISNUMBER(I204),COUNTIFS($B$7:$B$3000,B204,$C$7:$C$3000,C204,$I$7:$I$3000,"&lt;"&amp;I204,$AI$7:$AI$3000,"yes")+COUNTIFS($B$7:B204,B204,$C$7:C204,C204,$I$7:I204,I204,$AI$7:AI204,"yes"),"")</f>
        <v>4</v>
      </c>
      <c r="AH204" s="110" t="str">
        <f aca="false">IF(ISNUMBER(H204),"yes","no")</f>
        <v>yes</v>
      </c>
      <c r="AI204" s="110" t="str">
        <f aca="false">IF(ISNUMBER(I204),"yes","no")</f>
        <v>yes</v>
      </c>
      <c r="AJ204" s="120" t="n">
        <v>46295</v>
      </c>
      <c r="AK204" s="110"/>
    </row>
    <row r="205" customFormat="false" ht="42" hidden="false" customHeight="true" outlineLevel="0" collapsed="false">
      <c r="A205" s="3"/>
      <c r="B205" s="31" t="s">
        <v>29</v>
      </c>
      <c r="C205" s="91" t="s">
        <v>15</v>
      </c>
      <c r="D205" s="91" t="s">
        <v>293</v>
      </c>
      <c r="E205" s="109" t="s">
        <v>1046</v>
      </c>
      <c r="F205" s="92" t="n">
        <v>18</v>
      </c>
      <c r="G205" s="91" t="s">
        <v>244</v>
      </c>
      <c r="H205" s="112" t="n">
        <f aca="false">IF(AND(AE205="yes",ISNUMBER(AD205)),AD205,"")</f>
        <v>18</v>
      </c>
      <c r="I205" s="95" t="n">
        <f aca="false">IF(AND(AE205="yes",ISNUMBER(AD205),ISNUMBER(INDEX(Sources!$G$7:$G$10,MATCH(AB205,Sources!$B$7:$B$10,0)))),ROUND(AD205/INDEX(Sources!$G$7:$G$10,MATCH(AB205,Sources!$B$7:$B$10,0)),6),"")</f>
        <v>18</v>
      </c>
      <c r="J205" s="91" t="s">
        <v>530</v>
      </c>
      <c r="K205" s="91" t="s">
        <v>586</v>
      </c>
      <c r="L205" s="96"/>
      <c r="M205" s="109" t="s">
        <v>1047</v>
      </c>
      <c r="N205" s="113" t="s">
        <v>1048</v>
      </c>
      <c r="O205" s="109" t="s">
        <v>603</v>
      </c>
      <c r="P205" s="109" t="s">
        <v>590</v>
      </c>
      <c r="Q205" s="114"/>
      <c r="R205" s="109" t="n">
        <v>1</v>
      </c>
      <c r="S205" s="109"/>
      <c r="T205" s="109" t="s">
        <v>530</v>
      </c>
      <c r="U205" s="109" t="s">
        <v>591</v>
      </c>
      <c r="V205" s="115" t="n">
        <v>18</v>
      </c>
      <c r="W205" s="115"/>
      <c r="X205" s="109" t="s">
        <v>592</v>
      </c>
      <c r="Y205" s="109"/>
      <c r="Z205" s="109"/>
      <c r="AA205" s="109"/>
      <c r="AB205" s="109" t="s">
        <v>244</v>
      </c>
      <c r="AC205" s="109" t="s">
        <v>538</v>
      </c>
      <c r="AD205" s="109" t="n">
        <f aca="false">IF(ISNUMBER(V205),ROUND(V205,6),"")</f>
        <v>18</v>
      </c>
      <c r="AE205" s="109" t="str">
        <f aca="false">IF(AND(AC205="yes",ISNUMBER(F205),IF(Compare!$H$5="All mapped",TRUE(),IF(Compare!$H$5="EXACT only",J205="EXACT",OR(J205="EXACT",J205="CLOSE")))),"yes","no")</f>
        <v>yes</v>
      </c>
      <c r="AF205" s="109" t="n">
        <f aca="false">IF(ISNUMBER(H205),COUNTIFS($B$7:$B$3000,B205,$C$7:$C$3000,C205,$H$7:$H$3000,"&lt;"&amp;H205,$AH$7:$AH$3000,"yes")+COUNTIFS($B$7:B205,B205,$C$7:C205,C205,$H$7:H205,H205,$AH$7:AH205,"yes"),"")</f>
        <v>1</v>
      </c>
      <c r="AG205" s="109" t="n">
        <f aca="false">IF(ISNUMBER(I205),COUNTIFS($B$7:$B$3000,B205,$C$7:$C$3000,C205,$I$7:$I$3000,"&lt;"&amp;I205,$AI$7:$AI$3000,"yes")+COUNTIFS($B$7:B205,B205,$C$7:C205,C205,$I$7:I205,I205,$AI$7:AI205,"yes"),"")</f>
        <v>1</v>
      </c>
      <c r="AH205" s="109" t="str">
        <f aca="false">IF(ISNUMBER(H205),"yes","no")</f>
        <v>yes</v>
      </c>
      <c r="AI205" s="109" t="str">
        <f aca="false">IF(ISNUMBER(I205),"yes","no")</f>
        <v>yes</v>
      </c>
      <c r="AJ205" s="116" t="n">
        <v>46295</v>
      </c>
      <c r="AK205" s="109"/>
    </row>
    <row r="206" customFormat="false" ht="42" hidden="false" customHeight="true" outlineLevel="0" collapsed="false">
      <c r="A206" s="3"/>
      <c r="B206" s="36" t="s">
        <v>29</v>
      </c>
      <c r="C206" s="98" t="s">
        <v>16</v>
      </c>
      <c r="D206" s="98" t="s">
        <v>296</v>
      </c>
      <c r="E206" s="110" t="s">
        <v>1027</v>
      </c>
      <c r="F206" s="99" t="n">
        <v>26.95</v>
      </c>
      <c r="G206" s="98" t="s">
        <v>244</v>
      </c>
      <c r="H206" s="112" t="n">
        <f aca="false">IF(AND(AE206="yes",ISNUMBER(AD206)),AD206,"")</f>
        <v>26.95</v>
      </c>
      <c r="I206" s="95" t="n">
        <f aca="false">IF(AND(AE206="yes",ISNUMBER(AD206),ISNUMBER(INDEX(Sources!$G$7:$G$10,MATCH(AB206,Sources!$B$7:$B$10,0)))),ROUND(AD206/INDEX(Sources!$G$7:$G$10,MATCH(AB206,Sources!$B$7:$B$10,0)),6),"")</f>
        <v>26.95</v>
      </c>
      <c r="J206" s="98" t="s">
        <v>530</v>
      </c>
      <c r="K206" s="98" t="s">
        <v>586</v>
      </c>
      <c r="L206" s="96"/>
      <c r="M206" s="110" t="s">
        <v>1028</v>
      </c>
      <c r="N206" s="117" t="s">
        <v>1049</v>
      </c>
      <c r="O206" s="110" t="s">
        <v>1030</v>
      </c>
      <c r="P206" s="110" t="s">
        <v>590</v>
      </c>
      <c r="Q206" s="118"/>
      <c r="R206" s="110" t="n">
        <v>1</v>
      </c>
      <c r="S206" s="110"/>
      <c r="T206" s="110" t="s">
        <v>530</v>
      </c>
      <c r="U206" s="110" t="s">
        <v>591</v>
      </c>
      <c r="V206" s="119" t="n">
        <v>26.95</v>
      </c>
      <c r="W206" s="119"/>
      <c r="X206" s="110" t="s">
        <v>612</v>
      </c>
      <c r="Y206" s="110"/>
      <c r="Z206" s="110"/>
      <c r="AA206" s="110"/>
      <c r="AB206" s="110" t="s">
        <v>244</v>
      </c>
      <c r="AC206" s="110" t="s">
        <v>538</v>
      </c>
      <c r="AD206" s="110" t="n">
        <f aca="false">IF(ISNUMBER(V206),ROUND(V206,6),"")</f>
        <v>26.95</v>
      </c>
      <c r="AE206" s="110" t="str">
        <f aca="false">IF(AND(AC206="yes",ISNUMBER(F206),IF(Compare!$H$5="All mapped",TRUE(),IF(Compare!$H$5="EXACT only",J206="EXACT",OR(J206="EXACT",J206="CLOSE")))),"yes","no")</f>
        <v>yes</v>
      </c>
      <c r="AF206" s="110" t="n">
        <f aca="false">IF(ISNUMBER(H206),COUNTIFS($B$7:$B$3000,B206,$C$7:$C$3000,C206,$H$7:$H$3000,"&lt;"&amp;H206,$AH$7:$AH$3000,"yes")+COUNTIFS($B$7:B206,B206,$C$7:C206,C206,$H$7:H206,H206,$AH$7:AH206,"yes"),"")</f>
        <v>8</v>
      </c>
      <c r="AG206" s="110" t="n">
        <f aca="false">IF(ISNUMBER(I206),COUNTIFS($B$7:$B$3000,B206,$C$7:$C$3000,C206,$I$7:$I$3000,"&lt;"&amp;I206,$AI$7:$AI$3000,"yes")+COUNTIFS($B$7:B206,B206,$C$7:C206,C206,$I$7:I206,I206,$AI$7:AI206,"yes"),"")</f>
        <v>8</v>
      </c>
      <c r="AH206" s="110" t="str">
        <f aca="false">IF(ISNUMBER(H206),"yes","no")</f>
        <v>yes</v>
      </c>
      <c r="AI206" s="110" t="str">
        <f aca="false">IF(ISNUMBER(I206),"yes","no")</f>
        <v>yes</v>
      </c>
      <c r="AJ206" s="120" t="n">
        <v>46295</v>
      </c>
      <c r="AK206" s="110"/>
    </row>
    <row r="207" customFormat="false" ht="42" hidden="false" customHeight="true" outlineLevel="0" collapsed="false">
      <c r="A207" s="3"/>
      <c r="B207" s="31" t="s">
        <v>29</v>
      </c>
      <c r="C207" s="91" t="s">
        <v>16</v>
      </c>
      <c r="D207" s="91" t="s">
        <v>317</v>
      </c>
      <c r="E207" s="109" t="s">
        <v>1050</v>
      </c>
      <c r="F207" s="92" t="n">
        <v>23.49</v>
      </c>
      <c r="G207" s="91" t="s">
        <v>244</v>
      </c>
      <c r="H207" s="112" t="n">
        <f aca="false">IF(AND(AE207="yes",ISNUMBER(AD207)),AD207,"")</f>
        <v>23.49</v>
      </c>
      <c r="I207" s="95" t="n">
        <f aca="false">IF(AND(AE207="yes",ISNUMBER(AD207),ISNUMBER(INDEX(Sources!$G$7:$G$10,MATCH(AB207,Sources!$B$7:$B$10,0)))),ROUND(AD207/INDEX(Sources!$G$7:$G$10,MATCH(AB207,Sources!$B$7:$B$10,0)),6),"")</f>
        <v>23.49</v>
      </c>
      <c r="J207" s="91" t="s">
        <v>530</v>
      </c>
      <c r="K207" s="91" t="s">
        <v>586</v>
      </c>
      <c r="L207" s="96"/>
      <c r="M207" s="109" t="s">
        <v>1051</v>
      </c>
      <c r="N207" s="113" t="s">
        <v>1052</v>
      </c>
      <c r="O207" s="109" t="s">
        <v>610</v>
      </c>
      <c r="P207" s="109" t="s">
        <v>590</v>
      </c>
      <c r="Q207" s="114"/>
      <c r="R207" s="109" t="n">
        <v>1</v>
      </c>
      <c r="S207" s="109"/>
      <c r="T207" s="109" t="s">
        <v>530</v>
      </c>
      <c r="U207" s="109" t="s">
        <v>591</v>
      </c>
      <c r="V207" s="115" t="n">
        <v>23.49</v>
      </c>
      <c r="W207" s="115"/>
      <c r="X207" s="109" t="s">
        <v>612</v>
      </c>
      <c r="Y207" s="109"/>
      <c r="Z207" s="109"/>
      <c r="AA207" s="109"/>
      <c r="AB207" s="109" t="s">
        <v>244</v>
      </c>
      <c r="AC207" s="109" t="s">
        <v>538</v>
      </c>
      <c r="AD207" s="109" t="n">
        <f aca="false">IF(ISNUMBER(V207),ROUND(V207,6),"")</f>
        <v>23.49</v>
      </c>
      <c r="AE207" s="109" t="str">
        <f aca="false">IF(AND(AC207="yes",ISNUMBER(F207),IF(Compare!$H$5="All mapped",TRUE(),IF(Compare!$H$5="EXACT only",J207="EXACT",OR(J207="EXACT",J207="CLOSE")))),"yes","no")</f>
        <v>yes</v>
      </c>
      <c r="AF207" s="109" t="n">
        <f aca="false">IF(ISNUMBER(H207),COUNTIFS($B$7:$B$3000,B207,$C$7:$C$3000,C207,$H$7:$H$3000,"&lt;"&amp;H207,$AH$7:$AH$3000,"yes")+COUNTIFS($B$7:B207,B207,$C$7:C207,C207,$H$7:H207,H207,$AH$7:AH207,"yes"),"")</f>
        <v>6</v>
      </c>
      <c r="AG207" s="109" t="n">
        <f aca="false">IF(ISNUMBER(I207),COUNTIFS($B$7:$B$3000,B207,$C$7:$C$3000,C207,$I$7:$I$3000,"&lt;"&amp;I207,$AI$7:$AI$3000,"yes")+COUNTIFS($B$7:B207,B207,$C$7:C207,C207,$I$7:I207,I207,$AI$7:AI207,"yes"),"")</f>
        <v>6</v>
      </c>
      <c r="AH207" s="109" t="str">
        <f aca="false">IF(ISNUMBER(H207),"yes","no")</f>
        <v>yes</v>
      </c>
      <c r="AI207" s="109" t="str">
        <f aca="false">IF(ISNUMBER(I207),"yes","no")</f>
        <v>yes</v>
      </c>
      <c r="AJ207" s="116" t="n">
        <v>46295</v>
      </c>
      <c r="AK207" s="109"/>
    </row>
    <row r="208" customFormat="false" ht="42" hidden="false" customHeight="true" outlineLevel="0" collapsed="false">
      <c r="A208" s="3"/>
      <c r="B208" s="36" t="s">
        <v>29</v>
      </c>
      <c r="C208" s="98" t="s">
        <v>16</v>
      </c>
      <c r="D208" s="98" t="s">
        <v>311</v>
      </c>
      <c r="E208" s="110" t="s">
        <v>1031</v>
      </c>
      <c r="F208" s="99" t="n">
        <v>17.29</v>
      </c>
      <c r="G208" s="98" t="s">
        <v>244</v>
      </c>
      <c r="H208" s="112" t="n">
        <f aca="false">IF(AND(AE208="yes",ISNUMBER(AD208)),AD208,"")</f>
        <v>17.29</v>
      </c>
      <c r="I208" s="95" t="n">
        <f aca="false">IF(AND(AE208="yes",ISNUMBER(AD208),ISNUMBER(INDEX(Sources!$G$7:$G$10,MATCH(AB208,Sources!$B$7:$B$10,0)))),ROUND(AD208/INDEX(Sources!$G$7:$G$10,MATCH(AB208,Sources!$B$7:$B$10,0)),6),"")</f>
        <v>17.29</v>
      </c>
      <c r="J208" s="98" t="s">
        <v>702</v>
      </c>
      <c r="K208" s="98" t="s">
        <v>586</v>
      </c>
      <c r="L208" s="96"/>
      <c r="M208" s="110" t="s">
        <v>1053</v>
      </c>
      <c r="N208" s="117" t="s">
        <v>1054</v>
      </c>
      <c r="O208" s="110" t="s">
        <v>388</v>
      </c>
      <c r="P208" s="110" t="s">
        <v>590</v>
      </c>
      <c r="Q208" s="118"/>
      <c r="R208" s="110" t="n">
        <v>1</v>
      </c>
      <c r="S208" s="110"/>
      <c r="T208" s="110" t="s">
        <v>702</v>
      </c>
      <c r="U208" s="110" t="s">
        <v>591</v>
      </c>
      <c r="V208" s="119" t="n">
        <v>17.29</v>
      </c>
      <c r="W208" s="119"/>
      <c r="X208" s="110" t="s">
        <v>612</v>
      </c>
      <c r="Y208" s="110"/>
      <c r="Z208" s="110"/>
      <c r="AA208" s="110"/>
      <c r="AB208" s="110" t="s">
        <v>244</v>
      </c>
      <c r="AC208" s="110" t="s">
        <v>538</v>
      </c>
      <c r="AD208" s="110" t="n">
        <f aca="false">IF(ISNUMBER(V208),ROUND(V208,6),"")</f>
        <v>17.29</v>
      </c>
      <c r="AE208" s="110" t="str">
        <f aca="false">IF(AND(AC208="yes",ISNUMBER(F208),IF(Compare!$H$5="All mapped",TRUE(),IF(Compare!$H$5="EXACT only",J208="EXACT",OR(J208="EXACT",J208="CLOSE")))),"yes","no")</f>
        <v>yes</v>
      </c>
      <c r="AF208" s="110" t="n">
        <f aca="false">IF(ISNUMBER(H208),COUNTIFS($B$7:$B$3000,B208,$C$7:$C$3000,C208,$H$7:$H$3000,"&lt;"&amp;H208,$AH$7:$AH$3000,"yes")+COUNTIFS($B$7:B208,B208,$C$7:C208,C208,$H$7:H208,H208,$AH$7:AH208,"yes"),"")</f>
        <v>1</v>
      </c>
      <c r="AG208" s="110" t="n">
        <f aca="false">IF(ISNUMBER(I208),COUNTIFS($B$7:$B$3000,B208,$C$7:$C$3000,C208,$I$7:$I$3000,"&lt;"&amp;I208,$AI$7:$AI$3000,"yes")+COUNTIFS($B$7:B208,B208,$C$7:C208,C208,$I$7:I208,I208,$AI$7:AI208,"yes"),"")</f>
        <v>1</v>
      </c>
      <c r="AH208" s="110" t="str">
        <f aca="false">IF(ISNUMBER(H208),"yes","no")</f>
        <v>yes</v>
      </c>
      <c r="AI208" s="110" t="str">
        <f aca="false">IF(ISNUMBER(I208),"yes","no")</f>
        <v>yes</v>
      </c>
      <c r="AJ208" s="120" t="n">
        <v>46295</v>
      </c>
      <c r="AK208" s="110"/>
    </row>
    <row r="209" customFormat="false" ht="42" hidden="false" customHeight="true" outlineLevel="0" collapsed="false">
      <c r="A209" s="3"/>
      <c r="B209" s="31" t="s">
        <v>29</v>
      </c>
      <c r="C209" s="91" t="s">
        <v>16</v>
      </c>
      <c r="D209" s="91" t="s">
        <v>309</v>
      </c>
      <c r="E209" s="109" t="s">
        <v>1034</v>
      </c>
      <c r="F209" s="92" t="n">
        <v>20.95</v>
      </c>
      <c r="G209" s="91" t="s">
        <v>244</v>
      </c>
      <c r="H209" s="112" t="n">
        <f aca="false">IF(AND(AE209="yes",ISNUMBER(AD209)),AD209,"")</f>
        <v>20.95</v>
      </c>
      <c r="I209" s="95" t="n">
        <f aca="false">IF(AND(AE209="yes",ISNUMBER(AD209),ISNUMBER(INDEX(Sources!$G$7:$G$10,MATCH(AB209,Sources!$B$7:$B$10,0)))),ROUND(AD209/INDEX(Sources!$G$7:$G$10,MATCH(AB209,Sources!$B$7:$B$10,0)),6),"")</f>
        <v>20.95</v>
      </c>
      <c r="J209" s="91" t="s">
        <v>702</v>
      </c>
      <c r="K209" s="91" t="s">
        <v>586</v>
      </c>
      <c r="L209" s="96"/>
      <c r="M209" s="109" t="s">
        <v>1035</v>
      </c>
      <c r="N209" s="113" t="s">
        <v>1036</v>
      </c>
      <c r="O209" s="109" t="s">
        <v>388</v>
      </c>
      <c r="P209" s="109" t="s">
        <v>590</v>
      </c>
      <c r="Q209" s="114"/>
      <c r="R209" s="109" t="n">
        <v>1</v>
      </c>
      <c r="S209" s="109"/>
      <c r="T209" s="109" t="s">
        <v>702</v>
      </c>
      <c r="U209" s="109" t="s">
        <v>591</v>
      </c>
      <c r="V209" s="115" t="n">
        <v>20.95</v>
      </c>
      <c r="W209" s="115"/>
      <c r="X209" s="109" t="s">
        <v>612</v>
      </c>
      <c r="Y209" s="109"/>
      <c r="Z209" s="109"/>
      <c r="AA209" s="109"/>
      <c r="AB209" s="109" t="s">
        <v>244</v>
      </c>
      <c r="AC209" s="109" t="s">
        <v>538</v>
      </c>
      <c r="AD209" s="109" t="n">
        <f aca="false">IF(ISNUMBER(V209),ROUND(V209,6),"")</f>
        <v>20.95</v>
      </c>
      <c r="AE209" s="109" t="str">
        <f aca="false">IF(AND(AC209="yes",ISNUMBER(F209),IF(Compare!$H$5="All mapped",TRUE(),IF(Compare!$H$5="EXACT only",J209="EXACT",OR(J209="EXACT",J209="CLOSE")))),"yes","no")</f>
        <v>yes</v>
      </c>
      <c r="AF209" s="109" t="n">
        <f aca="false">IF(ISNUMBER(H209),COUNTIFS($B$7:$B$3000,B209,$C$7:$C$3000,C209,$H$7:$H$3000,"&lt;"&amp;H209,$AH$7:$AH$3000,"yes")+COUNTIFS($B$7:B209,B209,$C$7:C209,C209,$H$7:H209,H209,$AH$7:AH209,"yes"),"")</f>
        <v>4</v>
      </c>
      <c r="AG209" s="109" t="n">
        <f aca="false">IF(ISNUMBER(I209),COUNTIFS($B$7:$B$3000,B209,$C$7:$C$3000,C209,$I$7:$I$3000,"&lt;"&amp;I209,$AI$7:$AI$3000,"yes")+COUNTIFS($B$7:B209,B209,$C$7:C209,C209,$I$7:I209,I209,$AI$7:AI209,"yes"),"")</f>
        <v>4</v>
      </c>
      <c r="AH209" s="109" t="str">
        <f aca="false">IF(ISNUMBER(H209),"yes","no")</f>
        <v>yes</v>
      </c>
      <c r="AI209" s="109" t="str">
        <f aca="false">IF(ISNUMBER(I209),"yes","no")</f>
        <v>yes</v>
      </c>
      <c r="AJ209" s="116" t="n">
        <v>46295</v>
      </c>
      <c r="AK209" s="109"/>
    </row>
    <row r="210" customFormat="false" ht="42" hidden="false" customHeight="true" outlineLevel="0" collapsed="false">
      <c r="A210" s="3"/>
      <c r="B210" s="36" t="s">
        <v>29</v>
      </c>
      <c r="C210" s="98" t="s">
        <v>16</v>
      </c>
      <c r="D210" s="98" t="s">
        <v>313</v>
      </c>
      <c r="E210" s="110" t="s">
        <v>1037</v>
      </c>
      <c r="F210" s="99" t="n">
        <v>29.29</v>
      </c>
      <c r="G210" s="98" t="s">
        <v>244</v>
      </c>
      <c r="H210" s="112" t="n">
        <f aca="false">IF(AND(AE210="yes",ISNUMBER(AD210)),AD210,"")</f>
        <v>24.61</v>
      </c>
      <c r="I210" s="95" t="n">
        <f aca="false">IF(AND(AE210="yes",ISNUMBER(AD210),ISNUMBER(INDEX(Sources!$G$7:$G$10,MATCH(AB210,Sources!$B$7:$B$10,0)))),ROUND(AD210/INDEX(Sources!$G$7:$G$10,MATCH(AB210,Sources!$B$7:$B$10,0)),6),"")</f>
        <v>24.61</v>
      </c>
      <c r="J210" s="98" t="s">
        <v>530</v>
      </c>
      <c r="K210" s="98" t="s">
        <v>586</v>
      </c>
      <c r="L210" s="96"/>
      <c r="M210" s="110" t="s">
        <v>1038</v>
      </c>
      <c r="N210" s="117" t="s">
        <v>1055</v>
      </c>
      <c r="O210" s="110" t="s">
        <v>1030</v>
      </c>
      <c r="P210" s="110" t="s">
        <v>265</v>
      </c>
      <c r="Q210" s="118"/>
      <c r="R210" s="110" t="n">
        <v>1</v>
      </c>
      <c r="S210" s="110"/>
      <c r="T210" s="110" t="s">
        <v>530</v>
      </c>
      <c r="U210" s="110" t="s">
        <v>591</v>
      </c>
      <c r="V210" s="119" t="n">
        <v>24.61</v>
      </c>
      <c r="W210" s="119"/>
      <c r="X210" s="110" t="s">
        <v>612</v>
      </c>
      <c r="Y210" s="110"/>
      <c r="Z210" s="110"/>
      <c r="AA210" s="110"/>
      <c r="AB210" s="110" t="s">
        <v>244</v>
      </c>
      <c r="AC210" s="110" t="s">
        <v>538</v>
      </c>
      <c r="AD210" s="110" t="n">
        <f aca="false">IF(ISNUMBER(V210),ROUND(V210,6),"")</f>
        <v>24.61</v>
      </c>
      <c r="AE210" s="110" t="str">
        <f aca="false">IF(AND(AC210="yes",ISNUMBER(F210),IF(Compare!$H$5="All mapped",TRUE(),IF(Compare!$H$5="EXACT only",J210="EXACT",OR(J210="EXACT",J210="CLOSE")))),"yes","no")</f>
        <v>yes</v>
      </c>
      <c r="AF210" s="110" t="n">
        <f aca="false">IF(ISNUMBER(H210),COUNTIFS($B$7:$B$3000,B210,$C$7:$C$3000,C210,$H$7:$H$3000,"&lt;"&amp;H210,$AH$7:$AH$3000,"yes")+COUNTIFS($B$7:B210,B210,$C$7:C210,C210,$H$7:H210,H210,$AH$7:AH210,"yes"),"")</f>
        <v>7</v>
      </c>
      <c r="AG210" s="110" t="n">
        <f aca="false">IF(ISNUMBER(I210),COUNTIFS($B$7:$B$3000,B210,$C$7:$C$3000,C210,$I$7:$I$3000,"&lt;"&amp;I210,$AI$7:$AI$3000,"yes")+COUNTIFS($B$7:B210,B210,$C$7:C210,C210,$I$7:I210,I210,$AI$7:AI210,"yes"),"")</f>
        <v>7</v>
      </c>
      <c r="AH210" s="110" t="str">
        <f aca="false">IF(ISNUMBER(H210),"yes","no")</f>
        <v>yes</v>
      </c>
      <c r="AI210" s="110" t="str">
        <f aca="false">IF(ISNUMBER(I210),"yes","no")</f>
        <v>yes</v>
      </c>
      <c r="AJ210" s="120" t="n">
        <v>46295</v>
      </c>
      <c r="AK210" s="110"/>
    </row>
    <row r="211" customFormat="false" ht="42" hidden="false" customHeight="true" outlineLevel="0" collapsed="false">
      <c r="A211" s="3"/>
      <c r="B211" s="31" t="s">
        <v>29</v>
      </c>
      <c r="C211" s="91" t="s">
        <v>16</v>
      </c>
      <c r="D211" s="91" t="s">
        <v>321</v>
      </c>
      <c r="E211" s="109" t="s">
        <v>1040</v>
      </c>
      <c r="F211" s="92" t="n">
        <v>22.09</v>
      </c>
      <c r="G211" s="91" t="s">
        <v>244</v>
      </c>
      <c r="H211" s="112" t="n">
        <f aca="false">IF(AND(AE211="yes",ISNUMBER(AD211)),AD211,"")</f>
        <v>22.09</v>
      </c>
      <c r="I211" s="95" t="n">
        <f aca="false">IF(AND(AE211="yes",ISNUMBER(AD211),ISNUMBER(INDEX(Sources!$G$7:$G$10,MATCH(AB211,Sources!$B$7:$B$10,0)))),ROUND(AD211/INDEX(Sources!$G$7:$G$10,MATCH(AB211,Sources!$B$7:$B$10,0)),6),"")</f>
        <v>22.09</v>
      </c>
      <c r="J211" s="91" t="s">
        <v>530</v>
      </c>
      <c r="K211" s="91" t="s">
        <v>586</v>
      </c>
      <c r="L211" s="96"/>
      <c r="M211" s="109" t="s">
        <v>1056</v>
      </c>
      <c r="N211" s="113" t="s">
        <v>1057</v>
      </c>
      <c r="O211" s="109" t="s">
        <v>603</v>
      </c>
      <c r="P211" s="109" t="s">
        <v>590</v>
      </c>
      <c r="Q211" s="114"/>
      <c r="R211" s="109" t="n">
        <v>1</v>
      </c>
      <c r="S211" s="109"/>
      <c r="T211" s="109" t="s">
        <v>530</v>
      </c>
      <c r="U211" s="109" t="s">
        <v>591</v>
      </c>
      <c r="V211" s="115" t="n">
        <v>22.09</v>
      </c>
      <c r="W211" s="115"/>
      <c r="X211" s="109" t="s">
        <v>612</v>
      </c>
      <c r="Y211" s="109"/>
      <c r="Z211" s="109"/>
      <c r="AA211" s="109"/>
      <c r="AB211" s="109" t="s">
        <v>244</v>
      </c>
      <c r="AC211" s="109" t="s">
        <v>538</v>
      </c>
      <c r="AD211" s="109" t="n">
        <f aca="false">IF(ISNUMBER(V211),ROUND(V211,6),"")</f>
        <v>22.09</v>
      </c>
      <c r="AE211" s="109" t="str">
        <f aca="false">IF(AND(AC211="yes",ISNUMBER(F211),IF(Compare!$H$5="All mapped",TRUE(),IF(Compare!$H$5="EXACT only",J211="EXACT",OR(J211="EXACT",J211="CLOSE")))),"yes","no")</f>
        <v>yes</v>
      </c>
      <c r="AF211" s="109" t="n">
        <f aca="false">IF(ISNUMBER(H211),COUNTIFS($B$7:$B$3000,B211,$C$7:$C$3000,C211,$H$7:$H$3000,"&lt;"&amp;H211,$AH$7:$AH$3000,"yes")+COUNTIFS($B$7:B211,B211,$C$7:C211,C211,$H$7:H211,H211,$AH$7:AH211,"yes"),"")</f>
        <v>5</v>
      </c>
      <c r="AG211" s="109" t="n">
        <f aca="false">IF(ISNUMBER(I211),COUNTIFS($B$7:$B$3000,B211,$C$7:$C$3000,C211,$I$7:$I$3000,"&lt;"&amp;I211,$AI$7:$AI$3000,"yes")+COUNTIFS($B$7:B211,B211,$C$7:C211,C211,$I$7:I211,I211,$AI$7:AI211,"yes"),"")</f>
        <v>5</v>
      </c>
      <c r="AH211" s="109" t="str">
        <f aca="false">IF(ISNUMBER(H211),"yes","no")</f>
        <v>yes</v>
      </c>
      <c r="AI211" s="109" t="str">
        <f aca="false">IF(ISNUMBER(I211),"yes","no")</f>
        <v>yes</v>
      </c>
      <c r="AJ211" s="116" t="n">
        <v>46295</v>
      </c>
      <c r="AK211" s="109"/>
    </row>
    <row r="212" customFormat="false" ht="42" hidden="false" customHeight="true" outlineLevel="0" collapsed="false">
      <c r="A212" s="3"/>
      <c r="B212" s="36" t="s">
        <v>29</v>
      </c>
      <c r="C212" s="98" t="s">
        <v>16</v>
      </c>
      <c r="D212" s="98" t="s">
        <v>329</v>
      </c>
      <c r="E212" s="110" t="s">
        <v>1058</v>
      </c>
      <c r="F212" s="99" t="n">
        <v>31.04</v>
      </c>
      <c r="G212" s="98" t="s">
        <v>244</v>
      </c>
      <c r="H212" s="112" t="n">
        <f aca="false">IF(AND(AE212="yes",ISNUMBER(AD212)),AD212,"")</f>
        <v>31.04</v>
      </c>
      <c r="I212" s="95" t="n">
        <f aca="false">IF(AND(AE212="yes",ISNUMBER(AD212),ISNUMBER(INDEX(Sources!$G$7:$G$10,MATCH(AB212,Sources!$B$7:$B$10,0)))),ROUND(AD212/INDEX(Sources!$G$7:$G$10,MATCH(AB212,Sources!$B$7:$B$10,0)),6),"")</f>
        <v>31.04</v>
      </c>
      <c r="J212" s="98" t="s">
        <v>702</v>
      </c>
      <c r="K212" s="98" t="s">
        <v>586</v>
      </c>
      <c r="L212" s="96"/>
      <c r="M212" s="110" t="s">
        <v>1059</v>
      </c>
      <c r="N212" s="117" t="s">
        <v>1060</v>
      </c>
      <c r="O212" s="110" t="s">
        <v>1061</v>
      </c>
      <c r="P212" s="110" t="s">
        <v>590</v>
      </c>
      <c r="Q212" s="118"/>
      <c r="R212" s="110" t="n">
        <v>1</v>
      </c>
      <c r="S212" s="110"/>
      <c r="T212" s="110" t="s">
        <v>702</v>
      </c>
      <c r="U212" s="110" t="s">
        <v>591</v>
      </c>
      <c r="V212" s="119" t="n">
        <v>31.04</v>
      </c>
      <c r="W212" s="119"/>
      <c r="X212" s="110" t="s">
        <v>612</v>
      </c>
      <c r="Y212" s="110"/>
      <c r="Z212" s="110"/>
      <c r="AA212" s="110"/>
      <c r="AB212" s="110" t="s">
        <v>244</v>
      </c>
      <c r="AC212" s="110" t="s">
        <v>538</v>
      </c>
      <c r="AD212" s="110" t="n">
        <f aca="false">IF(ISNUMBER(V212),ROUND(V212,6),"")</f>
        <v>31.04</v>
      </c>
      <c r="AE212" s="110" t="str">
        <f aca="false">IF(AND(AC212="yes",ISNUMBER(F212),IF(Compare!$H$5="All mapped",TRUE(),IF(Compare!$H$5="EXACT only",J212="EXACT",OR(J212="EXACT",J212="CLOSE")))),"yes","no")</f>
        <v>yes</v>
      </c>
      <c r="AF212" s="110" t="n">
        <f aca="false">IF(ISNUMBER(H212),COUNTIFS($B$7:$B$3000,B212,$C$7:$C$3000,C212,$H$7:$H$3000,"&lt;"&amp;H212,$AH$7:$AH$3000,"yes")+COUNTIFS($B$7:B212,B212,$C$7:C212,C212,$H$7:H212,H212,$AH$7:AH212,"yes"),"")</f>
        <v>9</v>
      </c>
      <c r="AG212" s="110" t="n">
        <f aca="false">IF(ISNUMBER(I212),COUNTIFS($B$7:$B$3000,B212,$C$7:$C$3000,C212,$I$7:$I$3000,"&lt;"&amp;I212,$AI$7:$AI$3000,"yes")+COUNTIFS($B$7:B212,B212,$C$7:C212,C212,$I$7:I212,I212,$AI$7:AI212,"yes"),"")</f>
        <v>9</v>
      </c>
      <c r="AH212" s="110" t="str">
        <f aca="false">IF(ISNUMBER(H212),"yes","no")</f>
        <v>yes</v>
      </c>
      <c r="AI212" s="110" t="str">
        <f aca="false">IF(ISNUMBER(I212),"yes","no")</f>
        <v>yes</v>
      </c>
      <c r="AJ212" s="120" t="n">
        <v>46295</v>
      </c>
      <c r="AK212" s="110"/>
    </row>
    <row r="213" customFormat="false" ht="48.75" hidden="false" customHeight="true" outlineLevel="0" collapsed="false">
      <c r="A213" s="3"/>
      <c r="B213" s="31" t="s">
        <v>29</v>
      </c>
      <c r="C213" s="91" t="s">
        <v>17</v>
      </c>
      <c r="D213" s="91" t="s">
        <v>354</v>
      </c>
      <c r="E213" s="109" t="s">
        <v>1062</v>
      </c>
      <c r="F213" s="92" t="n">
        <v>632.57</v>
      </c>
      <c r="G213" s="91" t="s">
        <v>333</v>
      </c>
      <c r="H213" s="112" t="n">
        <f aca="false">IF(AND(AE213="yes",ISNUMBER(AD213)),AD213,"")</f>
        <v>632.57</v>
      </c>
      <c r="I213" s="95" t="n">
        <f aca="false">IF(AND(AE213="yes",ISNUMBER(AD213),ISNUMBER(INDEX(Sources!$G$7:$G$10,MATCH(AB213,Sources!$B$7:$B$10,0)))),ROUND(AD213/INDEX(Sources!$G$7:$G$10,MATCH(AB213,Sources!$B$7:$B$10,0)),6),"")</f>
        <v>25.899933</v>
      </c>
      <c r="J213" s="91" t="s">
        <v>530</v>
      </c>
      <c r="K213" s="91" t="s">
        <v>586</v>
      </c>
      <c r="L213" s="96"/>
      <c r="M213" s="109" t="s">
        <v>1063</v>
      </c>
      <c r="N213" s="113" t="s">
        <v>1064</v>
      </c>
      <c r="O213" s="109" t="s">
        <v>610</v>
      </c>
      <c r="P213" s="109" t="s">
        <v>590</v>
      </c>
      <c r="Q213" s="114" t="n">
        <v>0.19</v>
      </c>
      <c r="R213" s="109" t="n">
        <v>1</v>
      </c>
      <c r="S213" s="109" t="s">
        <v>632</v>
      </c>
      <c r="T213" s="109" t="s">
        <v>530</v>
      </c>
      <c r="U213" s="109" t="s">
        <v>591</v>
      </c>
      <c r="V213" s="115"/>
      <c r="W213" s="115"/>
      <c r="X213" s="109" t="s">
        <v>626</v>
      </c>
      <c r="Y213" s="109"/>
      <c r="Z213" s="109"/>
      <c r="AA213" s="109"/>
      <c r="AB213" s="109" t="s">
        <v>333</v>
      </c>
      <c r="AC213" s="109" t="s">
        <v>538</v>
      </c>
      <c r="AD213" s="109" t="n">
        <f aca="false">IF(OR(F213="",Q213="",R213=""),"",ROUND(IF(P213="incl.",F213/(1+Q213),F213)/IF(S213="per pack",R213,1),2))</f>
        <v>632.57</v>
      </c>
      <c r="AE213" s="109" t="str">
        <f aca="false">IF(AND(AC213="yes",ISNUMBER(F213),IF(Compare!$H$5="All mapped",TRUE(),IF(Compare!$H$5="EXACT only",J213="EXACT",OR(J213="EXACT",J213="CLOSE")))),"yes","no")</f>
        <v>yes</v>
      </c>
      <c r="AF213" s="109" t="n">
        <f aca="false">IF(ISNUMBER(H213),COUNTIFS($B$7:$B$3000,B213,$C$7:$C$3000,C213,$H$7:$H$3000,"&lt;"&amp;H213,$AH$7:$AH$3000,"yes")+COUNTIFS($B$7:B213,B213,$C$7:C213,C213,$H$7:H213,H213,$AH$7:AH213,"yes"),"")</f>
        <v>1</v>
      </c>
      <c r="AG213" s="109" t="n">
        <f aca="false">IF(ISNUMBER(I213),COUNTIFS($B$7:$B$3000,B213,$C$7:$C$3000,C213,$I$7:$I$3000,"&lt;"&amp;I213,$AI$7:$AI$3000,"yes")+COUNTIFS($B$7:B213,B213,$C$7:C213,C213,$I$7:I213,I213,$AI$7:AI213,"yes"),"")</f>
        <v>1</v>
      </c>
      <c r="AH213" s="109" t="str">
        <f aca="false">IF(ISNUMBER(H213),"yes","no")</f>
        <v>yes</v>
      </c>
      <c r="AI213" s="109" t="str">
        <f aca="false">IF(ISNUMBER(I213),"yes","no")</f>
        <v>yes</v>
      </c>
      <c r="AJ213" s="116" t="n">
        <v>46295</v>
      </c>
      <c r="AK213" s="109"/>
    </row>
    <row r="214" customFormat="false" ht="42" hidden="false" customHeight="true" outlineLevel="0" collapsed="false">
      <c r="A214" s="3"/>
      <c r="B214" s="36" t="s">
        <v>29</v>
      </c>
      <c r="C214" s="98" t="s">
        <v>17</v>
      </c>
      <c r="D214" s="98" t="s">
        <v>332</v>
      </c>
      <c r="E214" s="110" t="s">
        <v>1065</v>
      </c>
      <c r="F214" s="99" t="n">
        <v>1090</v>
      </c>
      <c r="G214" s="98" t="s">
        <v>333</v>
      </c>
      <c r="H214" s="112" t="n">
        <f aca="false">IF(AND(AE214="yes",ISNUMBER(AD214)),AD214,"")</f>
        <v>1090</v>
      </c>
      <c r="I214" s="95" t="n">
        <f aca="false">IF(AND(AE214="yes",ISNUMBER(AD214),ISNUMBER(INDEX(Sources!$G$7:$G$10,MATCH(AB214,Sources!$B$7:$B$10,0)))),ROUND(AD214/INDEX(Sources!$G$7:$G$10,MATCH(AB214,Sources!$B$7:$B$10,0)),6),"")</f>
        <v>44.628937</v>
      </c>
      <c r="J214" s="98" t="s">
        <v>530</v>
      </c>
      <c r="K214" s="98" t="s">
        <v>586</v>
      </c>
      <c r="L214" s="96"/>
      <c r="M214" s="110" t="s">
        <v>1066</v>
      </c>
      <c r="N214" s="117" t="s">
        <v>1067</v>
      </c>
      <c r="O214" s="110"/>
      <c r="P214" s="110" t="s">
        <v>590</v>
      </c>
      <c r="Q214" s="118" t="n">
        <v>0.21</v>
      </c>
      <c r="R214" s="110" t="n">
        <v>1</v>
      </c>
      <c r="S214" s="110" t="s">
        <v>632</v>
      </c>
      <c r="T214" s="110" t="s">
        <v>530</v>
      </c>
      <c r="U214" s="110" t="s">
        <v>591</v>
      </c>
      <c r="V214" s="119"/>
      <c r="W214" s="119"/>
      <c r="X214" s="110" t="s">
        <v>626</v>
      </c>
      <c r="Y214" s="110"/>
      <c r="Z214" s="110"/>
      <c r="AA214" s="110"/>
      <c r="AB214" s="110" t="s">
        <v>333</v>
      </c>
      <c r="AC214" s="110" t="s">
        <v>538</v>
      </c>
      <c r="AD214" s="110" t="n">
        <f aca="false">IF(OR(F214="",Q214="",R214=""),"",ROUND(IF(P214="incl.",F214/(1+Q214),F214)/IF(S214="per pack",R214,1),2))</f>
        <v>1090</v>
      </c>
      <c r="AE214" s="110" t="str">
        <f aca="false">IF(AND(AC214="yes",ISNUMBER(F214),IF(Compare!$H$5="All mapped",TRUE(),IF(Compare!$H$5="EXACT only",J214="EXACT",OR(J214="EXACT",J214="CLOSE")))),"yes","no")</f>
        <v>yes</v>
      </c>
      <c r="AF214" s="110" t="n">
        <f aca="false">IF(ISNUMBER(H214),COUNTIFS($B$7:$B$3000,B214,$C$7:$C$3000,C214,$H$7:$H$3000,"&lt;"&amp;H214,$AH$7:$AH$3000,"yes")+COUNTIFS($B$7:B214,B214,$C$7:C214,C214,$H$7:H214,H214,$AH$7:AH214,"yes"),"")</f>
        <v>3</v>
      </c>
      <c r="AG214" s="110" t="n">
        <f aca="false">IF(ISNUMBER(I214),COUNTIFS($B$7:$B$3000,B214,$C$7:$C$3000,C214,$I$7:$I$3000,"&lt;"&amp;I214,$AI$7:$AI$3000,"yes")+COUNTIFS($B$7:B214,B214,$C$7:C214,C214,$I$7:I214,I214,$AI$7:AI214,"yes"),"")</f>
        <v>3</v>
      </c>
      <c r="AH214" s="110" t="str">
        <f aca="false">IF(ISNUMBER(H214),"yes","no")</f>
        <v>yes</v>
      </c>
      <c r="AI214" s="110" t="str">
        <f aca="false">IF(ISNUMBER(I214),"yes","no")</f>
        <v>yes</v>
      </c>
      <c r="AJ214" s="120" t="n">
        <v>46295</v>
      </c>
      <c r="AK214" s="110"/>
    </row>
    <row r="215" customFormat="false" ht="48.75" hidden="false" customHeight="true" outlineLevel="0" collapsed="false">
      <c r="A215" s="3"/>
      <c r="B215" s="31" t="s">
        <v>29</v>
      </c>
      <c r="C215" s="91" t="s">
        <v>17</v>
      </c>
      <c r="D215" s="91" t="s">
        <v>342</v>
      </c>
      <c r="E215" s="109" t="s">
        <v>1068</v>
      </c>
      <c r="F215" s="92" t="n">
        <v>1172</v>
      </c>
      <c r="G215" s="91" t="s">
        <v>333</v>
      </c>
      <c r="H215" s="112" t="n">
        <f aca="false">IF(AND(AE215="yes",ISNUMBER(AD215)),AD215,"")</f>
        <v>1172</v>
      </c>
      <c r="I215" s="95" t="n">
        <f aca="false">IF(AND(AE215="yes",ISNUMBER(AD215),ISNUMBER(INDEX(Sources!$G$7:$G$10,MATCH(AB215,Sources!$B$7:$B$10,0)))),ROUND(AD215/INDEX(Sources!$G$7:$G$10,MATCH(AB215,Sources!$B$7:$B$10,0)),6),"")</f>
        <v>47.986343</v>
      </c>
      <c r="J215" s="91" t="s">
        <v>702</v>
      </c>
      <c r="K215" s="91" t="s">
        <v>586</v>
      </c>
      <c r="L215" s="96"/>
      <c r="M215" s="109" t="s">
        <v>1069</v>
      </c>
      <c r="N215" s="113" t="s">
        <v>1070</v>
      </c>
      <c r="O215" s="109" t="s">
        <v>646</v>
      </c>
      <c r="P215" s="109" t="s">
        <v>590</v>
      </c>
      <c r="Q215" s="114" t="n">
        <v>0.21</v>
      </c>
      <c r="R215" s="109" t="n">
        <v>1</v>
      </c>
      <c r="S215" s="109" t="s">
        <v>632</v>
      </c>
      <c r="T215" s="109" t="s">
        <v>702</v>
      </c>
      <c r="U215" s="109" t="s">
        <v>591</v>
      </c>
      <c r="V215" s="115"/>
      <c r="W215" s="115"/>
      <c r="X215" s="109" t="s">
        <v>626</v>
      </c>
      <c r="Y215" s="109"/>
      <c r="Z215" s="109"/>
      <c r="AA215" s="109"/>
      <c r="AB215" s="109" t="s">
        <v>333</v>
      </c>
      <c r="AC215" s="109" t="s">
        <v>538</v>
      </c>
      <c r="AD215" s="109" t="n">
        <f aca="false">IF(OR(F215="",Q215="",R215=""),"",ROUND(IF(P215="incl.",F215/(1+Q215),F215)/IF(S215="per pack",R215,1),2))</f>
        <v>1172</v>
      </c>
      <c r="AE215" s="109" t="str">
        <f aca="false">IF(AND(AC215="yes",ISNUMBER(F215),IF(Compare!$H$5="All mapped",TRUE(),IF(Compare!$H$5="EXACT only",J215="EXACT",OR(J215="EXACT",J215="CLOSE")))),"yes","no")</f>
        <v>yes</v>
      </c>
      <c r="AF215" s="109" t="n">
        <f aca="false">IF(ISNUMBER(H215),COUNTIFS($B$7:$B$3000,B215,$C$7:$C$3000,C215,$H$7:$H$3000,"&lt;"&amp;H215,$AH$7:$AH$3000,"yes")+COUNTIFS($B$7:B215,B215,$C$7:C215,C215,$H$7:H215,H215,$AH$7:AH215,"yes"),"")</f>
        <v>4</v>
      </c>
      <c r="AG215" s="109" t="n">
        <f aca="false">IF(ISNUMBER(I215),COUNTIFS($B$7:$B$3000,B215,$C$7:$C$3000,C215,$I$7:$I$3000,"&lt;"&amp;I215,$AI$7:$AI$3000,"yes")+COUNTIFS($B$7:B215,B215,$C$7:C215,C215,$I$7:I215,I215,$AI$7:AI215,"yes"),"")</f>
        <v>4</v>
      </c>
      <c r="AH215" s="109" t="str">
        <f aca="false">IF(ISNUMBER(H215),"yes","no")</f>
        <v>yes</v>
      </c>
      <c r="AI215" s="109" t="str">
        <f aca="false">IF(ISNUMBER(I215),"yes","no")</f>
        <v>yes</v>
      </c>
      <c r="AJ215" s="116" t="n">
        <v>46295</v>
      </c>
      <c r="AK215" s="109"/>
    </row>
    <row r="216" customFormat="false" ht="42" hidden="false" customHeight="true" outlineLevel="0" collapsed="false">
      <c r="A216" s="3"/>
      <c r="B216" s="36" t="s">
        <v>29</v>
      </c>
      <c r="C216" s="98" t="s">
        <v>17</v>
      </c>
      <c r="D216" s="98" t="s">
        <v>346</v>
      </c>
      <c r="E216" s="110" t="s">
        <v>1071</v>
      </c>
      <c r="F216" s="99" t="n">
        <v>1531</v>
      </c>
      <c r="G216" s="98" t="s">
        <v>333</v>
      </c>
      <c r="H216" s="112" t="n">
        <f aca="false">IF(AND(AE216="yes",ISNUMBER(AD216)),AD216,"")</f>
        <v>1265.29</v>
      </c>
      <c r="I216" s="95" t="n">
        <f aca="false">IF(AND(AE216="yes",ISNUMBER(AD216),ISNUMBER(INDEX(Sources!$G$7:$G$10,MATCH(AB216,Sources!$B$7:$B$10,0)))),ROUND(AD216/INDEX(Sources!$G$7:$G$10,MATCH(AB216,Sources!$B$7:$B$10,0)),6),"")</f>
        <v>51.806007</v>
      </c>
      <c r="J216" s="98" t="s">
        <v>702</v>
      </c>
      <c r="K216" s="98" t="s">
        <v>586</v>
      </c>
      <c r="L216" s="96"/>
      <c r="M216" s="110" t="s">
        <v>1072</v>
      </c>
      <c r="N216" s="117" t="s">
        <v>1073</v>
      </c>
      <c r="O216" s="110" t="s">
        <v>1074</v>
      </c>
      <c r="P216" s="110" t="s">
        <v>265</v>
      </c>
      <c r="Q216" s="118" t="n">
        <v>0.21</v>
      </c>
      <c r="R216" s="110" t="n">
        <v>1</v>
      </c>
      <c r="S216" s="110" t="s">
        <v>632</v>
      </c>
      <c r="T216" s="110" t="s">
        <v>702</v>
      </c>
      <c r="U216" s="110" t="s">
        <v>591</v>
      </c>
      <c r="V216" s="119"/>
      <c r="W216" s="119"/>
      <c r="X216" s="110" t="s">
        <v>626</v>
      </c>
      <c r="Y216" s="110"/>
      <c r="Z216" s="110"/>
      <c r="AA216" s="110"/>
      <c r="AB216" s="110" t="s">
        <v>333</v>
      </c>
      <c r="AC216" s="110" t="s">
        <v>538</v>
      </c>
      <c r="AD216" s="110" t="n">
        <f aca="false">IF(OR(F216="",Q216="",R216=""),"",ROUND(IF(P216="incl.",F216/(1+Q216),F216)/IF(S216="per pack",R216,1),2))</f>
        <v>1265.29</v>
      </c>
      <c r="AE216" s="110" t="str">
        <f aca="false">IF(AND(AC216="yes",ISNUMBER(F216),IF(Compare!$H$5="All mapped",TRUE(),IF(Compare!$H$5="EXACT only",J216="EXACT",OR(J216="EXACT",J216="CLOSE")))),"yes","no")</f>
        <v>yes</v>
      </c>
      <c r="AF216" s="110" t="n">
        <f aca="false">IF(ISNUMBER(H216),COUNTIFS($B$7:$B$3000,B216,$C$7:$C$3000,C216,$H$7:$H$3000,"&lt;"&amp;H216,$AH$7:$AH$3000,"yes")+COUNTIFS($B$7:B216,B216,$C$7:C216,C216,$H$7:H216,H216,$AH$7:AH216,"yes"),"")</f>
        <v>5</v>
      </c>
      <c r="AG216" s="110" t="n">
        <f aca="false">IF(ISNUMBER(I216),COUNTIFS($B$7:$B$3000,B216,$C$7:$C$3000,C216,$I$7:$I$3000,"&lt;"&amp;I216,$AI$7:$AI$3000,"yes")+COUNTIFS($B$7:B216,B216,$C$7:C216,C216,$I$7:I216,I216,$AI$7:AI216,"yes"),"")</f>
        <v>5</v>
      </c>
      <c r="AH216" s="110" t="str">
        <f aca="false">IF(ISNUMBER(H216),"yes","no")</f>
        <v>yes</v>
      </c>
      <c r="AI216" s="110" t="str">
        <f aca="false">IF(ISNUMBER(I216),"yes","no")</f>
        <v>yes</v>
      </c>
      <c r="AJ216" s="120" t="n">
        <v>46295</v>
      </c>
      <c r="AK216" s="110"/>
    </row>
    <row r="217" customFormat="false" ht="42" hidden="false" customHeight="true" outlineLevel="0" collapsed="false">
      <c r="A217" s="3"/>
      <c r="B217" s="31" t="s">
        <v>29</v>
      </c>
      <c r="C217" s="91" t="s">
        <v>17</v>
      </c>
      <c r="D217" s="91" t="s">
        <v>361</v>
      </c>
      <c r="E217" s="109" t="s">
        <v>1075</v>
      </c>
      <c r="F217" s="92" t="n">
        <v>1016</v>
      </c>
      <c r="G217" s="91" t="s">
        <v>333</v>
      </c>
      <c r="H217" s="112" t="str">
        <f aca="false">IF(AND(AE217="yes",ISNUMBER(AD217)),AD217,"")</f>
        <v/>
      </c>
      <c r="I217" s="95" t="str">
        <f aca="false">IF(AND(AE217="yes",ISNUMBER(AD217),ISNUMBER(INDEX(Sources!$G$7:$G$10,MATCH(AB217,Sources!$B$7:$B$10,0)))),ROUND(AD217/INDEX(Sources!$G$7:$G$10,MATCH(AB217,Sources!$B$7:$B$10,0)),6),"")</f>
        <v/>
      </c>
      <c r="J217" s="91" t="s">
        <v>629</v>
      </c>
      <c r="K217" s="91" t="s">
        <v>586</v>
      </c>
      <c r="L217" s="96"/>
      <c r="M217" s="109" t="s">
        <v>1076</v>
      </c>
      <c r="N217" s="113" t="s">
        <v>1077</v>
      </c>
      <c r="O217" s="109" t="s">
        <v>361</v>
      </c>
      <c r="P217" s="109" t="s">
        <v>265</v>
      </c>
      <c r="Q217" s="114" t="n">
        <v>0.21</v>
      </c>
      <c r="R217" s="109" t="n">
        <v>1</v>
      </c>
      <c r="S217" s="109" t="s">
        <v>632</v>
      </c>
      <c r="T217" s="109" t="s">
        <v>629</v>
      </c>
      <c r="U217" s="109" t="s">
        <v>591</v>
      </c>
      <c r="V217" s="115"/>
      <c r="W217" s="115"/>
      <c r="X217" s="109" t="s">
        <v>626</v>
      </c>
      <c r="Y217" s="109"/>
      <c r="Z217" s="109"/>
      <c r="AA217" s="109"/>
      <c r="AB217" s="109" t="s">
        <v>333</v>
      </c>
      <c r="AC217" s="109" t="s">
        <v>538</v>
      </c>
      <c r="AD217" s="109" t="n">
        <f aca="false">IF(OR(F217="",Q217="",R217=""),"",ROUND(IF(P217="incl.",F217/(1+Q217),F217)/IF(S217="per pack",R217,1),2))</f>
        <v>839.67</v>
      </c>
      <c r="AE217" s="109" t="str">
        <f aca="false">IF(AND(AC217="yes",ISNUMBER(F217),IF(Compare!$H$5="All mapped",TRUE(),IF(Compare!$H$5="EXACT only",J217="EXACT",OR(J217="EXACT",J217="CLOSE")))),"yes","no")</f>
        <v>no</v>
      </c>
      <c r="AF217" s="109" t="str">
        <f aca="false">IF(ISNUMBER(H217),COUNTIFS($B$7:$B$3000,B217,$C$7:$C$3000,C217,$H$7:$H$3000,"&lt;"&amp;H217,$AH$7:$AH$3000,"yes")+COUNTIFS($B$7:B217,B217,$C$7:C217,C217,$H$7:H217,H217,$AH$7:AH217,"yes"),"")</f>
        <v/>
      </c>
      <c r="AG217" s="109" t="str">
        <f aca="false">IF(ISNUMBER(I217),COUNTIFS($B$7:$B$3000,B217,$C$7:$C$3000,C217,$I$7:$I$3000,"&lt;"&amp;I217,$AI$7:$AI$3000,"yes")+COUNTIFS($B$7:B217,B217,$C$7:C217,C217,$I$7:I217,I217,$AI$7:AI217,"yes"),"")</f>
        <v/>
      </c>
      <c r="AH217" s="109" t="str">
        <f aca="false">IF(ISNUMBER(H217),"yes","no")</f>
        <v>no</v>
      </c>
      <c r="AI217" s="109" t="str">
        <f aca="false">IF(ISNUMBER(I217),"yes","no")</f>
        <v>no</v>
      </c>
      <c r="AJ217" s="116" t="n">
        <v>46295</v>
      </c>
      <c r="AK217" s="109"/>
    </row>
    <row r="218" customFormat="false" ht="61.5" hidden="false" customHeight="true" outlineLevel="0" collapsed="false">
      <c r="A218" s="3"/>
      <c r="B218" s="36" t="s">
        <v>29</v>
      </c>
      <c r="C218" s="98" t="s">
        <v>18</v>
      </c>
      <c r="D218" s="98" t="s">
        <v>365</v>
      </c>
      <c r="E218" s="110" t="s">
        <v>1078</v>
      </c>
      <c r="F218" s="99" t="n">
        <v>20.35</v>
      </c>
      <c r="G218" s="98" t="s">
        <v>244</v>
      </c>
      <c r="H218" s="112" t="n">
        <f aca="false">IF(AND(AE218="yes",ISNUMBER(AD218)),AD218,"")</f>
        <v>20.35</v>
      </c>
      <c r="I218" s="95" t="n">
        <f aca="false">IF(AND(AE218="yes",ISNUMBER(AD218),ISNUMBER(INDEX(Sources!$G$7:$G$10,MATCH(AB218,Sources!$B$7:$B$10,0)))),ROUND(AD218/INDEX(Sources!$G$7:$G$10,MATCH(AB218,Sources!$B$7:$B$10,0)),6),"")</f>
        <v>20.35</v>
      </c>
      <c r="J218" s="98" t="s">
        <v>702</v>
      </c>
      <c r="K218" s="98" t="s">
        <v>586</v>
      </c>
      <c r="L218" s="96"/>
      <c r="M218" s="110" t="s">
        <v>1079</v>
      </c>
      <c r="N218" s="117" t="s">
        <v>1080</v>
      </c>
      <c r="O218" s="110" t="s">
        <v>388</v>
      </c>
      <c r="P218" s="110" t="s">
        <v>590</v>
      </c>
      <c r="Q218" s="118" t="s">
        <v>647</v>
      </c>
      <c r="R218" s="110" t="n">
        <v>1</v>
      </c>
      <c r="S218" s="110" t="s">
        <v>632</v>
      </c>
      <c r="T218" s="110" t="s">
        <v>702</v>
      </c>
      <c r="U218" s="110" t="s">
        <v>591</v>
      </c>
      <c r="V218" s="119" t="n">
        <v>20.35</v>
      </c>
      <c r="W218" s="119"/>
      <c r="X218" s="110" t="s">
        <v>648</v>
      </c>
      <c r="Y218" s="110"/>
      <c r="Z218" s="110"/>
      <c r="AA218" s="110"/>
      <c r="AB218" s="110" t="s">
        <v>244</v>
      </c>
      <c r="AC218" s="110" t="s">
        <v>538</v>
      </c>
      <c r="AD218" s="110" t="n">
        <f aca="false">IF(ISNUMBER(V218),ROUND(V218,6),"")</f>
        <v>20.35</v>
      </c>
      <c r="AE218" s="110" t="str">
        <f aca="false">IF(AND(AC218="yes",ISNUMBER(F218),IF(Compare!$H$5="All mapped",TRUE(),IF(Compare!$H$5="EXACT only",J218="EXACT",OR(J218="EXACT",J218="CLOSE")))),"yes","no")</f>
        <v>yes</v>
      </c>
      <c r="AF218" s="110" t="n">
        <f aca="false">IF(ISNUMBER(H218),COUNTIFS($B$7:$B$3000,B218,$C$7:$C$3000,C218,$H$7:$H$3000,"&lt;"&amp;H218,$AH$7:$AH$3000,"yes")+COUNTIFS($B$7:B218,B218,$C$7:C218,C218,$H$7:H218,H218,$AH$7:AH218,"yes"),"")</f>
        <v>1</v>
      </c>
      <c r="AG218" s="110" t="n">
        <f aca="false">IF(ISNUMBER(I218),COUNTIFS($B$7:$B$3000,B218,$C$7:$C$3000,C218,$I$7:$I$3000,"&lt;"&amp;I218,$AI$7:$AI$3000,"yes")+COUNTIFS($B$7:B218,B218,$C$7:C218,C218,$I$7:I218,I218,$AI$7:AI218,"yes"),"")</f>
        <v>1</v>
      </c>
      <c r="AH218" s="110" t="str">
        <f aca="false">IF(ISNUMBER(H218),"yes","no")</f>
        <v>yes</v>
      </c>
      <c r="AI218" s="110" t="str">
        <f aca="false">IF(ISNUMBER(I218),"yes","no")</f>
        <v>yes</v>
      </c>
      <c r="AJ218" s="120" t="n">
        <v>46295</v>
      </c>
      <c r="AK218" s="110"/>
    </row>
    <row r="219" customFormat="false" ht="48.75" hidden="false" customHeight="true" outlineLevel="0" collapsed="false">
      <c r="A219" s="3"/>
      <c r="B219" s="31" t="s">
        <v>29</v>
      </c>
      <c r="C219" s="91" t="s">
        <v>18</v>
      </c>
      <c r="D219" s="91" t="s">
        <v>369</v>
      </c>
      <c r="E219" s="109" t="s">
        <v>1081</v>
      </c>
      <c r="F219" s="92" t="n">
        <v>63.91</v>
      </c>
      <c r="G219" s="91" t="s">
        <v>244</v>
      </c>
      <c r="H219" s="112" t="n">
        <f aca="false">IF(AND(AE219="yes",ISNUMBER(AD219)),AD219,"")</f>
        <v>51.95935</v>
      </c>
      <c r="I219" s="95" t="n">
        <f aca="false">IF(AND(AE219="yes",ISNUMBER(AD219),ISNUMBER(INDEX(Sources!$G$7:$G$10,MATCH(AB219,Sources!$B$7:$B$10,0)))),ROUND(AD219/INDEX(Sources!$G$7:$G$10,MATCH(AB219,Sources!$B$7:$B$10,0)),6),"")</f>
        <v>51.95935</v>
      </c>
      <c r="J219" s="91" t="s">
        <v>702</v>
      </c>
      <c r="K219" s="91" t="s">
        <v>586</v>
      </c>
      <c r="L219" s="96"/>
      <c r="M219" s="109" t="s">
        <v>1082</v>
      </c>
      <c r="N219" s="113" t="s">
        <v>1083</v>
      </c>
      <c r="O219" s="109" t="s">
        <v>1074</v>
      </c>
      <c r="P219" s="109" t="s">
        <v>265</v>
      </c>
      <c r="Q219" s="114" t="n">
        <v>0.23</v>
      </c>
      <c r="R219" s="109" t="n">
        <v>1</v>
      </c>
      <c r="S219" s="109" t="s">
        <v>632</v>
      </c>
      <c r="T219" s="109" t="s">
        <v>702</v>
      </c>
      <c r="U219" s="109" t="s">
        <v>591</v>
      </c>
      <c r="V219" s="115" t="n">
        <v>51.9593495934959</v>
      </c>
      <c r="W219" s="115"/>
      <c r="X219" s="109" t="s">
        <v>648</v>
      </c>
      <c r="Y219" s="109"/>
      <c r="Z219" s="109"/>
      <c r="AA219" s="109"/>
      <c r="AB219" s="109" t="s">
        <v>244</v>
      </c>
      <c r="AC219" s="109" t="s">
        <v>538</v>
      </c>
      <c r="AD219" s="109" t="n">
        <f aca="false">IF(ISNUMBER(V219),ROUND(V219,6),"")</f>
        <v>51.95935</v>
      </c>
      <c r="AE219" s="109" t="str">
        <f aca="false">IF(AND(AC219="yes",ISNUMBER(F219),IF(Compare!$H$5="All mapped",TRUE(),IF(Compare!$H$5="EXACT only",J219="EXACT",OR(J219="EXACT",J219="CLOSE")))),"yes","no")</f>
        <v>yes</v>
      </c>
      <c r="AF219" s="109" t="n">
        <f aca="false">IF(ISNUMBER(H219),COUNTIFS($B$7:$B$3000,B219,$C$7:$C$3000,C219,$H$7:$H$3000,"&lt;"&amp;H219,$AH$7:$AH$3000,"yes")+COUNTIFS($B$7:B219,B219,$C$7:C219,C219,$H$7:H219,H219,$AH$7:AH219,"yes"),"")</f>
        <v>2</v>
      </c>
      <c r="AG219" s="109" t="n">
        <f aca="false">IF(ISNUMBER(I219),COUNTIFS($B$7:$B$3000,B219,$C$7:$C$3000,C219,$I$7:$I$3000,"&lt;"&amp;I219,$AI$7:$AI$3000,"yes")+COUNTIFS($B$7:B219,B219,$C$7:C219,C219,$I$7:I219,I219,$AI$7:AI219,"yes"),"")</f>
        <v>2</v>
      </c>
      <c r="AH219" s="109" t="str">
        <f aca="false">IF(ISNUMBER(H219),"yes","no")</f>
        <v>yes</v>
      </c>
      <c r="AI219" s="109" t="str">
        <f aca="false">IF(ISNUMBER(I219),"yes","no")</f>
        <v>yes</v>
      </c>
      <c r="AJ219" s="116" t="n">
        <v>46295</v>
      </c>
      <c r="AK219" s="109"/>
    </row>
    <row r="220" customFormat="false" ht="42" hidden="false" customHeight="true" outlineLevel="0" collapsed="false">
      <c r="A220" s="3"/>
      <c r="B220" s="36" t="s">
        <v>31</v>
      </c>
      <c r="C220" s="98" t="s">
        <v>13</v>
      </c>
      <c r="D220" s="98" t="s">
        <v>541</v>
      </c>
      <c r="E220" s="110" t="s">
        <v>1084</v>
      </c>
      <c r="F220" s="99" t="n">
        <v>11732</v>
      </c>
      <c r="G220" s="98" t="s">
        <v>490</v>
      </c>
      <c r="H220" s="112" t="str">
        <f aca="false">IF(AND(AE220="yes",ISNUMBER(AD220)),AD220,"")</f>
        <v/>
      </c>
      <c r="I220" s="95" t="str">
        <f aca="false">IF(AND(AE220="yes",ISNUMBER(AD220),ISNUMBER(INDEX(Sources!$G$7:$G$10,MATCH(AB220,Sources!$B$7:$B$10,0)))),ROUND(AD220/INDEX(Sources!$G$7:$G$10,MATCH(AB220,Sources!$B$7:$B$10,0)),6),"")</f>
        <v/>
      </c>
      <c r="J220" s="98" t="s">
        <v>629</v>
      </c>
      <c r="K220" s="98" t="s">
        <v>542</v>
      </c>
      <c r="L220" s="96"/>
      <c r="M220" s="110" t="s">
        <v>1015</v>
      </c>
      <c r="N220" s="117" t="s">
        <v>1085</v>
      </c>
      <c r="O220" s="110"/>
      <c r="P220" s="110"/>
      <c r="Q220" s="118"/>
      <c r="R220" s="110"/>
      <c r="S220" s="110"/>
      <c r="T220" s="110"/>
      <c r="U220" s="110" t="s">
        <v>1086</v>
      </c>
      <c r="V220" s="119"/>
      <c r="W220" s="119" t="n">
        <v>12519</v>
      </c>
      <c r="X220" s="110" t="s">
        <v>535</v>
      </c>
      <c r="Y220" s="110" t="s">
        <v>1018</v>
      </c>
      <c r="Z220" s="110" t="s">
        <v>545</v>
      </c>
      <c r="AA220" s="110" t="s">
        <v>537</v>
      </c>
      <c r="AB220" s="110" t="s">
        <v>490</v>
      </c>
      <c r="AC220" s="110" t="s">
        <v>538</v>
      </c>
      <c r="AD220" s="119" t="n">
        <f aca="false">IF(ISNUMBER(F220),IF(G220=AB220,F220,IF(AND(ISNUMBER(INDEX(Sources!$G$7:$G$10,MATCH(G220,Sources!$B$7:$B$10,0))),ISNUMBER(INDEX(Sources!$G$7:$G$10,MATCH(AB220,Sources!$B$7:$B$10,0)))),F220/INDEX(Sources!$G$7:$G$10,MATCH(G220,Sources!$B$7:$B$10,0))*INDEX(Sources!$G$7:$G$10,MATCH(AB220,Sources!$B$7:$B$10,0)),"")),"")</f>
        <v>11732</v>
      </c>
      <c r="AE220" s="110" t="str">
        <f aca="false">IF(AND(AC220="yes",ISNUMBER(F220),IF(Compare!$H$5="All mapped",TRUE(),IF(Compare!$H$5="EXACT only",J220="EXACT",OR(J220="EXACT",J220="CLOSE")))),"yes","no")</f>
        <v>no</v>
      </c>
      <c r="AF220" s="110" t="str">
        <f aca="false">IF(ISNUMBER(H220),COUNTIFS($B$7:$B$3000,B220,$C$7:$C$3000,C220,$H$7:$H$3000,"&lt;"&amp;H220,$AH$7:$AH$3000,"yes")+COUNTIFS($B$7:B220,B220,$C$7:C220,C220,$H$7:H220,H220,$AH$7:AH220,"yes"),"")</f>
        <v/>
      </c>
      <c r="AG220" s="110" t="str">
        <f aca="false">IF(ISNUMBER(I220),COUNTIFS($B$7:$B$3000,B220,$C$7:$C$3000,C220,$I$7:$I$3000,"&lt;"&amp;I220,$AI$7:$AI$3000,"yes")+COUNTIFS($B$7:B220,B220,$C$7:C220,C220,$I$7:I220,I220,$AI$7:AI220,"yes"),"")</f>
        <v/>
      </c>
      <c r="AH220" s="110" t="str">
        <f aca="false">IF(ISNUMBER(H220),"yes","no")</f>
        <v>no</v>
      </c>
      <c r="AI220" s="110" t="str">
        <f aca="false">IF(ISNUMBER(I220),"yes","no")</f>
        <v>no</v>
      </c>
      <c r="AJ220" s="120" t="n">
        <v>46297</v>
      </c>
      <c r="AK220" s="110"/>
    </row>
    <row r="221" customFormat="false" ht="42" hidden="false" customHeight="true" outlineLevel="0" collapsed="false">
      <c r="A221" s="3"/>
      <c r="B221" s="31" t="s">
        <v>31</v>
      </c>
      <c r="C221" s="91" t="s">
        <v>13</v>
      </c>
      <c r="D221" s="91" t="s">
        <v>548</v>
      </c>
      <c r="E221" s="109" t="s">
        <v>1084</v>
      </c>
      <c r="F221" s="92" t="n">
        <v>9569</v>
      </c>
      <c r="G221" s="91" t="s">
        <v>490</v>
      </c>
      <c r="H221" s="112" t="str">
        <f aca="false">IF(AND(AE221="yes",ISNUMBER(AD221)),AD221,"")</f>
        <v/>
      </c>
      <c r="I221" s="95" t="str">
        <f aca="false">IF(AND(AE221="yes",ISNUMBER(AD221),ISNUMBER(INDEX(Sources!$G$7:$G$10,MATCH(AB221,Sources!$B$7:$B$10,0)))),ROUND(AD221/INDEX(Sources!$G$7:$G$10,MATCH(AB221,Sources!$B$7:$B$10,0)),6),"")</f>
        <v/>
      </c>
      <c r="J221" s="91" t="s">
        <v>956</v>
      </c>
      <c r="K221" s="91" t="s">
        <v>1014</v>
      </c>
      <c r="L221" s="96"/>
      <c r="M221" s="109" t="s">
        <v>1015</v>
      </c>
      <c r="N221" s="113" t="s">
        <v>1021</v>
      </c>
      <c r="O221" s="109"/>
      <c r="P221" s="109"/>
      <c r="Q221" s="114"/>
      <c r="R221" s="109"/>
      <c r="S221" s="109"/>
      <c r="T221" s="109"/>
      <c r="U221" s="109" t="s">
        <v>1017</v>
      </c>
      <c r="V221" s="115"/>
      <c r="W221" s="115" t="n">
        <v>9569</v>
      </c>
      <c r="X221" s="109" t="s">
        <v>535</v>
      </c>
      <c r="Y221" s="109" t="s">
        <v>1018</v>
      </c>
      <c r="Z221" s="109"/>
      <c r="AA221" s="109" t="s">
        <v>537</v>
      </c>
      <c r="AB221" s="109" t="s">
        <v>490</v>
      </c>
      <c r="AC221" s="109" t="s">
        <v>538</v>
      </c>
      <c r="AD221" s="115" t="n">
        <f aca="false">IF(ISNUMBER(F221),IF(G221=AB221,F221,IF(AND(ISNUMBER(INDEX(Sources!$G$7:$G$10,MATCH(G221,Sources!$B$7:$B$10,0))),ISNUMBER(INDEX(Sources!$G$7:$G$10,MATCH(AB221,Sources!$B$7:$B$10,0)))),F221/INDEX(Sources!$G$7:$G$10,MATCH(G221,Sources!$B$7:$B$10,0))*INDEX(Sources!$G$7:$G$10,MATCH(AB221,Sources!$B$7:$B$10,0)),"")),"")</f>
        <v>9569</v>
      </c>
      <c r="AE221" s="109" t="str">
        <f aca="false">IF(AND(AC221="yes",ISNUMBER(F221),IF(Compare!$H$5="All mapped",TRUE(),IF(Compare!$H$5="EXACT only",J221="EXACT",OR(J221="EXACT",J221="CLOSE")))),"yes","no")</f>
        <v>no</v>
      </c>
      <c r="AF221" s="109" t="str">
        <f aca="false">IF(ISNUMBER(H221),COUNTIFS($B$7:$B$3000,B221,$C$7:$C$3000,C221,$H$7:$H$3000,"&lt;"&amp;H221,$AH$7:$AH$3000,"yes")+COUNTIFS($B$7:B221,B221,$C$7:C221,C221,$H$7:H221,H221,$AH$7:AH221,"yes"),"")</f>
        <v/>
      </c>
      <c r="AG221" s="109" t="str">
        <f aca="false">IF(ISNUMBER(I221),COUNTIFS($B$7:$B$3000,B221,$C$7:$C$3000,C221,$I$7:$I$3000,"&lt;"&amp;I221,$AI$7:$AI$3000,"yes")+COUNTIFS($B$7:B221,B221,$C$7:C221,C221,$I$7:I221,I221,$AI$7:AI221,"yes"),"")</f>
        <v/>
      </c>
      <c r="AH221" s="109" t="str">
        <f aca="false">IF(ISNUMBER(H221),"yes","no")</f>
        <v>no</v>
      </c>
      <c r="AI221" s="109" t="str">
        <f aca="false">IF(ISNUMBER(I221),"yes","no")</f>
        <v>no</v>
      </c>
      <c r="AJ221" s="116" t="n">
        <v>46197</v>
      </c>
      <c r="AK221" s="109"/>
    </row>
    <row r="222" customFormat="false" ht="42" hidden="false" customHeight="true" outlineLevel="0" collapsed="false">
      <c r="A222" s="3"/>
      <c r="B222" s="36" t="s">
        <v>31</v>
      </c>
      <c r="C222" s="98" t="s">
        <v>13</v>
      </c>
      <c r="D222" s="98" t="s">
        <v>1087</v>
      </c>
      <c r="E222" s="110" t="s">
        <v>1084</v>
      </c>
      <c r="F222" s="99" t="n">
        <v>6990</v>
      </c>
      <c r="G222" s="98" t="s">
        <v>490</v>
      </c>
      <c r="H222" s="112" t="str">
        <f aca="false">IF(AND(AE222="yes",ISNUMBER(AD222)),AD222,"")</f>
        <v/>
      </c>
      <c r="I222" s="95" t="str">
        <f aca="false">IF(AND(AE222="yes",ISNUMBER(AD222),ISNUMBER(INDEX(Sources!$G$7:$G$10,MATCH(AB222,Sources!$B$7:$B$10,0)))),ROUND(AD222/INDEX(Sources!$G$7:$G$10,MATCH(AB222,Sources!$B$7:$B$10,0)),6),"")</f>
        <v/>
      </c>
      <c r="J222" s="98" t="s">
        <v>956</v>
      </c>
      <c r="K222" s="98" t="s">
        <v>1014</v>
      </c>
      <c r="L222" s="96"/>
      <c r="M222" s="110" t="s">
        <v>1015</v>
      </c>
      <c r="N222" s="117" t="s">
        <v>1088</v>
      </c>
      <c r="O222" s="110"/>
      <c r="P222" s="110"/>
      <c r="Q222" s="118"/>
      <c r="R222" s="110"/>
      <c r="S222" s="110"/>
      <c r="T222" s="110"/>
      <c r="U222" s="110" t="s">
        <v>1017</v>
      </c>
      <c r="V222" s="119"/>
      <c r="W222" s="119" t="n">
        <v>6990</v>
      </c>
      <c r="X222" s="110" t="s">
        <v>535</v>
      </c>
      <c r="Y222" s="110" t="s">
        <v>1018</v>
      </c>
      <c r="Z222" s="110"/>
      <c r="AA222" s="110" t="s">
        <v>537</v>
      </c>
      <c r="AB222" s="110" t="s">
        <v>490</v>
      </c>
      <c r="AC222" s="110" t="s">
        <v>538</v>
      </c>
      <c r="AD222" s="119" t="n">
        <f aca="false">IF(ISNUMBER(F222),IF(G222=AB222,F222,IF(AND(ISNUMBER(INDEX(Sources!$G$7:$G$10,MATCH(G222,Sources!$B$7:$B$10,0))),ISNUMBER(INDEX(Sources!$G$7:$G$10,MATCH(AB222,Sources!$B$7:$B$10,0)))),F222/INDEX(Sources!$G$7:$G$10,MATCH(G222,Sources!$B$7:$B$10,0))*INDEX(Sources!$G$7:$G$10,MATCH(AB222,Sources!$B$7:$B$10,0)),"")),"")</f>
        <v>6990</v>
      </c>
      <c r="AE222" s="110" t="str">
        <f aca="false">IF(AND(AC222="yes",ISNUMBER(F222),IF(Compare!$H$5="All mapped",TRUE(),IF(Compare!$H$5="EXACT only",J222="EXACT",OR(J222="EXACT",J222="CLOSE")))),"yes","no")</f>
        <v>no</v>
      </c>
      <c r="AF222" s="110" t="str">
        <f aca="false">IF(ISNUMBER(H222),COUNTIFS($B$7:$B$3000,B222,$C$7:$C$3000,C222,$H$7:$H$3000,"&lt;"&amp;H222,$AH$7:$AH$3000,"yes")+COUNTIFS($B$7:B222,B222,$C$7:C222,C222,$H$7:H222,H222,$AH$7:AH222,"yes"),"")</f>
        <v/>
      </c>
      <c r="AG222" s="110" t="str">
        <f aca="false">IF(ISNUMBER(I222),COUNTIFS($B$7:$B$3000,B222,$C$7:$C$3000,C222,$I$7:$I$3000,"&lt;"&amp;I222,$AI$7:$AI$3000,"yes")+COUNTIFS($B$7:B222,B222,$C$7:C222,C222,$I$7:I222,I222,$AI$7:AI222,"yes"),"")</f>
        <v/>
      </c>
      <c r="AH222" s="110" t="str">
        <f aca="false">IF(ISNUMBER(H222),"yes","no")</f>
        <v>no</v>
      </c>
      <c r="AI222" s="110" t="str">
        <f aca="false">IF(ISNUMBER(I222),"yes","no")</f>
        <v>no</v>
      </c>
      <c r="AJ222" s="120" t="n">
        <v>46197</v>
      </c>
      <c r="AK222" s="110"/>
    </row>
    <row r="223" customFormat="false" ht="42" hidden="false" customHeight="true" outlineLevel="0" collapsed="false">
      <c r="A223" s="3"/>
      <c r="B223" s="31" t="s">
        <v>31</v>
      </c>
      <c r="C223" s="91" t="s">
        <v>13</v>
      </c>
      <c r="D223" s="91" t="s">
        <v>550</v>
      </c>
      <c r="E223" s="109" t="s">
        <v>1084</v>
      </c>
      <c r="F223" s="92" t="n">
        <v>12200</v>
      </c>
      <c r="G223" s="91" t="s">
        <v>490</v>
      </c>
      <c r="H223" s="112" t="str">
        <f aca="false">IF(AND(AE223="yes",ISNUMBER(AD223)),AD223,"")</f>
        <v/>
      </c>
      <c r="I223" s="95" t="str">
        <f aca="false">IF(AND(AE223="yes",ISNUMBER(AD223),ISNUMBER(INDEX(Sources!$G$7:$G$10,MATCH(AB223,Sources!$B$7:$B$10,0)))),ROUND(AD223/INDEX(Sources!$G$7:$G$10,MATCH(AB223,Sources!$B$7:$B$10,0)),6),"")</f>
        <v/>
      </c>
      <c r="J223" s="91" t="s">
        <v>956</v>
      </c>
      <c r="K223" s="91" t="s">
        <v>1014</v>
      </c>
      <c r="L223" s="96"/>
      <c r="M223" s="109" t="s">
        <v>1015</v>
      </c>
      <c r="N223" s="113" t="s">
        <v>1089</v>
      </c>
      <c r="O223" s="109"/>
      <c r="P223" s="109"/>
      <c r="Q223" s="114"/>
      <c r="R223" s="109"/>
      <c r="S223" s="109"/>
      <c r="T223" s="109"/>
      <c r="U223" s="109" t="s">
        <v>1017</v>
      </c>
      <c r="V223" s="115"/>
      <c r="W223" s="115" t="n">
        <v>12200</v>
      </c>
      <c r="X223" s="109" t="s">
        <v>535</v>
      </c>
      <c r="Y223" s="109" t="s">
        <v>1018</v>
      </c>
      <c r="Z223" s="109"/>
      <c r="AA223" s="109" t="s">
        <v>537</v>
      </c>
      <c r="AB223" s="109" t="s">
        <v>490</v>
      </c>
      <c r="AC223" s="109" t="s">
        <v>538</v>
      </c>
      <c r="AD223" s="115" t="n">
        <f aca="false">IF(ISNUMBER(F223),IF(G223=AB223,F223,IF(AND(ISNUMBER(INDEX(Sources!$G$7:$G$10,MATCH(G223,Sources!$B$7:$B$10,0))),ISNUMBER(INDEX(Sources!$G$7:$G$10,MATCH(AB223,Sources!$B$7:$B$10,0)))),F223/INDEX(Sources!$G$7:$G$10,MATCH(G223,Sources!$B$7:$B$10,0))*INDEX(Sources!$G$7:$G$10,MATCH(AB223,Sources!$B$7:$B$10,0)),"")),"")</f>
        <v>12200</v>
      </c>
      <c r="AE223" s="109" t="str">
        <f aca="false">IF(AND(AC223="yes",ISNUMBER(F223),IF(Compare!$H$5="All mapped",TRUE(),IF(Compare!$H$5="EXACT only",J223="EXACT",OR(J223="EXACT",J223="CLOSE")))),"yes","no")</f>
        <v>no</v>
      </c>
      <c r="AF223" s="109" t="str">
        <f aca="false">IF(ISNUMBER(H223),COUNTIFS($B$7:$B$3000,B223,$C$7:$C$3000,C223,$H$7:$H$3000,"&lt;"&amp;H223,$AH$7:$AH$3000,"yes")+COUNTIFS($B$7:B223,B223,$C$7:C223,C223,$H$7:H223,H223,$AH$7:AH223,"yes"),"")</f>
        <v/>
      </c>
      <c r="AG223" s="109" t="str">
        <f aca="false">IF(ISNUMBER(I223),COUNTIFS($B$7:$B$3000,B223,$C$7:$C$3000,C223,$I$7:$I$3000,"&lt;"&amp;I223,$AI$7:$AI$3000,"yes")+COUNTIFS($B$7:B223,B223,$C$7:C223,C223,$I$7:I223,I223,$AI$7:AI223,"yes"),"")</f>
        <v/>
      </c>
      <c r="AH223" s="109" t="str">
        <f aca="false">IF(ISNUMBER(H223),"yes","no")</f>
        <v>no</v>
      </c>
      <c r="AI223" s="109" t="str">
        <f aca="false">IF(ISNUMBER(I223),"yes","no")</f>
        <v>no</v>
      </c>
      <c r="AJ223" s="116" t="n">
        <v>46197</v>
      </c>
      <c r="AK223" s="109"/>
    </row>
    <row r="224" customFormat="false" ht="42" hidden="false" customHeight="true" outlineLevel="0" collapsed="false">
      <c r="A224" s="3"/>
      <c r="B224" s="36" t="s">
        <v>31</v>
      </c>
      <c r="C224" s="98" t="s">
        <v>14</v>
      </c>
      <c r="D224" s="98" t="s">
        <v>373</v>
      </c>
      <c r="E224" s="110" t="s">
        <v>1090</v>
      </c>
      <c r="F224" s="99" t="n">
        <v>170.09</v>
      </c>
      <c r="G224" s="98" t="s">
        <v>374</v>
      </c>
      <c r="H224" s="112" t="str">
        <f aca="false">IF(AND(AE224="yes",ISNUMBER(AD224)),AD224,"")</f>
        <v/>
      </c>
      <c r="I224" s="95" t="str">
        <f aca="false">IF(AND(AE224="yes",ISNUMBER(AD224),ISNUMBER(INDEX(Sources!$G$7:$G$10,MATCH(AB224,Sources!$B$7:$B$10,0)))),ROUND(AD224/INDEX(Sources!$G$7:$G$10,MATCH(AB224,Sources!$B$7:$B$10,0)),6),"")</f>
        <v/>
      </c>
      <c r="J224" s="98" t="s">
        <v>956</v>
      </c>
      <c r="K224" s="98" t="s">
        <v>1023</v>
      </c>
      <c r="L224" s="96"/>
      <c r="M224" s="110" t="s">
        <v>1024</v>
      </c>
      <c r="N224" s="117" t="s">
        <v>1091</v>
      </c>
      <c r="O224" s="110" t="s">
        <v>1092</v>
      </c>
      <c r="P224" s="110"/>
      <c r="Q224" s="118"/>
      <c r="R224" s="110"/>
      <c r="S224" s="110"/>
      <c r="T224" s="110"/>
      <c r="U224" s="110" t="s">
        <v>1026</v>
      </c>
      <c r="V224" s="119"/>
      <c r="W224" s="119" t="n">
        <v>34.018</v>
      </c>
      <c r="X224" s="110" t="s">
        <v>556</v>
      </c>
      <c r="Y224" s="110" t="s">
        <v>557</v>
      </c>
      <c r="Z224" s="110"/>
      <c r="AA224" s="110"/>
      <c r="AB224" s="110" t="s">
        <v>374</v>
      </c>
      <c r="AC224" s="110" t="s">
        <v>538</v>
      </c>
      <c r="AD224" s="119" t="n">
        <f aca="false">IF(ISNUMBER(F224),IF(G224=AB224,F224,IF(AND(ISNUMBER(INDEX(Sources!$G$7:$G$10,MATCH(G224,Sources!$B$7:$B$10,0))),ISNUMBER(INDEX(Sources!$G$7:$G$10,MATCH(AB224,Sources!$B$7:$B$10,0)))),F224/INDEX(Sources!$G$7:$G$10,MATCH(G224,Sources!$B$7:$B$10,0))*INDEX(Sources!$G$7:$G$10,MATCH(AB224,Sources!$B$7:$B$10,0)),"")),"")</f>
        <v>170.09</v>
      </c>
      <c r="AE224" s="110" t="str">
        <f aca="false">IF(AND(AC224="yes",ISNUMBER(F224),IF(Compare!$H$5="All mapped",TRUE(),IF(Compare!$H$5="EXACT only",J224="EXACT",OR(J224="EXACT",J224="CLOSE")))),"yes","no")</f>
        <v>no</v>
      </c>
      <c r="AF224" s="110" t="str">
        <f aca="false">IF(ISNUMBER(H224),COUNTIFS($B$7:$B$3000,B224,$C$7:$C$3000,C224,$H$7:$H$3000,"&lt;"&amp;H224,$AH$7:$AH$3000,"yes")+COUNTIFS($B$7:B224,B224,$C$7:C224,C224,$H$7:H224,H224,$AH$7:AH224,"yes"),"")</f>
        <v/>
      </c>
      <c r="AG224" s="110" t="str">
        <f aca="false">IF(ISNUMBER(I224),COUNTIFS($B$7:$B$3000,B224,$C$7:$C$3000,C224,$I$7:$I$3000,"&lt;"&amp;I224,$AI$7:$AI$3000,"yes")+COUNTIFS($B$7:B224,B224,$C$7:C224,C224,$I$7:I224,I224,$AI$7:AI224,"yes"),"")</f>
        <v/>
      </c>
      <c r="AH224" s="110" t="str">
        <f aca="false">IF(ISNUMBER(H224),"yes","no")</f>
        <v>no</v>
      </c>
      <c r="AI224" s="110" t="str">
        <f aca="false">IF(ISNUMBER(I224),"yes","no")</f>
        <v>no</v>
      </c>
      <c r="AJ224" s="120" t="n">
        <v>46214</v>
      </c>
      <c r="AK224" s="110"/>
    </row>
    <row r="225" customFormat="false" ht="48.75" hidden="false" customHeight="true" outlineLevel="0" collapsed="false">
      <c r="A225" s="3"/>
      <c r="B225" s="31" t="s">
        <v>31</v>
      </c>
      <c r="C225" s="91" t="s">
        <v>14</v>
      </c>
      <c r="D225" s="91" t="s">
        <v>378</v>
      </c>
      <c r="E225" s="109" t="s">
        <v>1090</v>
      </c>
      <c r="F225" s="92" t="n">
        <v>204.6</v>
      </c>
      <c r="G225" s="91" t="s">
        <v>374</v>
      </c>
      <c r="H225" s="112" t="str">
        <f aca="false">IF(AND(AE225="yes",ISNUMBER(AD225)),AD225,"")</f>
        <v/>
      </c>
      <c r="I225" s="95" t="str">
        <f aca="false">IF(AND(AE225="yes",ISNUMBER(AD225),ISNUMBER(INDEX(Sources!$G$7:$G$10,MATCH(AB225,Sources!$B$7:$B$10,0)))),ROUND(AD225/INDEX(Sources!$G$7:$G$10,MATCH(AB225,Sources!$B$7:$B$10,0)),6),"")</f>
        <v/>
      </c>
      <c r="J225" s="91" t="s">
        <v>956</v>
      </c>
      <c r="K225" s="91" t="s">
        <v>1093</v>
      </c>
      <c r="L225" s="96"/>
      <c r="M225" s="109" t="s">
        <v>1024</v>
      </c>
      <c r="N225" s="113" t="s">
        <v>1094</v>
      </c>
      <c r="O225" s="109" t="s">
        <v>1095</v>
      </c>
      <c r="P225" s="109"/>
      <c r="Q225" s="114"/>
      <c r="R225" s="109"/>
      <c r="S225" s="109"/>
      <c r="T225" s="109"/>
      <c r="U225" s="109" t="s">
        <v>1026</v>
      </c>
      <c r="V225" s="115"/>
      <c r="W225" s="115" t="n">
        <v>40.92</v>
      </c>
      <c r="X225" s="109" t="s">
        <v>556</v>
      </c>
      <c r="Y225" s="109" t="s">
        <v>557</v>
      </c>
      <c r="Z225" s="109"/>
      <c r="AA225" s="109"/>
      <c r="AB225" s="109" t="s">
        <v>374</v>
      </c>
      <c r="AC225" s="109" t="s">
        <v>538</v>
      </c>
      <c r="AD225" s="115" t="n">
        <f aca="false">IF(ISNUMBER(F225),IF(G225=AB225,F225,IF(AND(ISNUMBER(INDEX(Sources!$G$7:$G$10,MATCH(G225,Sources!$B$7:$B$10,0))),ISNUMBER(INDEX(Sources!$G$7:$G$10,MATCH(AB225,Sources!$B$7:$B$10,0)))),F225/INDEX(Sources!$G$7:$G$10,MATCH(G225,Sources!$B$7:$B$10,0))*INDEX(Sources!$G$7:$G$10,MATCH(AB225,Sources!$B$7:$B$10,0)),"")),"")</f>
        <v>204.6</v>
      </c>
      <c r="AE225" s="109" t="str">
        <f aca="false">IF(AND(AC225="yes",ISNUMBER(F225),IF(Compare!$H$5="All mapped",TRUE(),IF(Compare!$H$5="EXACT only",J225="EXACT",OR(J225="EXACT",J225="CLOSE")))),"yes","no")</f>
        <v>no</v>
      </c>
      <c r="AF225" s="109" t="str">
        <f aca="false">IF(ISNUMBER(H225),COUNTIFS($B$7:$B$3000,B225,$C$7:$C$3000,C225,$H$7:$H$3000,"&lt;"&amp;H225,$AH$7:$AH$3000,"yes")+COUNTIFS($B$7:B225,B225,$C$7:C225,C225,$H$7:H225,H225,$AH$7:AH225,"yes"),"")</f>
        <v/>
      </c>
      <c r="AG225" s="109" t="str">
        <f aca="false">IF(ISNUMBER(I225),COUNTIFS($B$7:$B$3000,B225,$C$7:$C$3000,C225,$I$7:$I$3000,"&lt;"&amp;I225,$AI$7:$AI$3000,"yes")+COUNTIFS($B$7:B225,B225,$C$7:C225,C225,$I$7:I225,I225,$AI$7:AI225,"yes"),"")</f>
        <v/>
      </c>
      <c r="AH225" s="109" t="str">
        <f aca="false">IF(ISNUMBER(H225),"yes","no")</f>
        <v>no</v>
      </c>
      <c r="AI225" s="109" t="str">
        <f aca="false">IF(ISNUMBER(I225),"yes","no")</f>
        <v>no</v>
      </c>
      <c r="AJ225" s="116" t="n">
        <v>46212</v>
      </c>
      <c r="AK225" s="109"/>
    </row>
    <row r="226" customFormat="false" ht="42" hidden="false" customHeight="true" outlineLevel="0" collapsed="false">
      <c r="A226" s="3"/>
      <c r="B226" s="36" t="s">
        <v>31</v>
      </c>
      <c r="C226" s="98" t="s">
        <v>14</v>
      </c>
      <c r="D226" s="98" t="s">
        <v>399</v>
      </c>
      <c r="E226" s="110" t="s">
        <v>1090</v>
      </c>
      <c r="F226" s="99" t="n">
        <v>174</v>
      </c>
      <c r="G226" s="98" t="s">
        <v>374</v>
      </c>
      <c r="H226" s="112" t="str">
        <f aca="false">IF(AND(AE226="yes",ISNUMBER(AD226)),AD226,"")</f>
        <v/>
      </c>
      <c r="I226" s="95" t="str">
        <f aca="false">IF(AND(AE226="yes",ISNUMBER(AD226),ISNUMBER(INDEX(Sources!$G$7:$G$10,MATCH(AB226,Sources!$B$7:$B$10,0)))),ROUND(AD226/INDEX(Sources!$G$7:$G$10,MATCH(AB226,Sources!$B$7:$B$10,0)),6),"")</f>
        <v/>
      </c>
      <c r="J226" s="98" t="s">
        <v>956</v>
      </c>
      <c r="K226" s="98" t="s">
        <v>1023</v>
      </c>
      <c r="L226" s="96"/>
      <c r="M226" s="110" t="s">
        <v>1024</v>
      </c>
      <c r="N226" s="117" t="s">
        <v>1096</v>
      </c>
      <c r="O226" s="110"/>
      <c r="P226" s="110"/>
      <c r="Q226" s="118"/>
      <c r="R226" s="110"/>
      <c r="S226" s="110"/>
      <c r="T226" s="110"/>
      <c r="U226" s="110" t="s">
        <v>1026</v>
      </c>
      <c r="V226" s="119"/>
      <c r="W226" s="119" t="n">
        <v>34.8</v>
      </c>
      <c r="X226" s="110" t="s">
        <v>556</v>
      </c>
      <c r="Y226" s="110" t="s">
        <v>557</v>
      </c>
      <c r="Z226" s="110"/>
      <c r="AA226" s="110"/>
      <c r="AB226" s="110" t="s">
        <v>374</v>
      </c>
      <c r="AC226" s="110" t="s">
        <v>538</v>
      </c>
      <c r="AD226" s="119" t="n">
        <f aca="false">IF(ISNUMBER(F226),IF(G226=AB226,F226,IF(AND(ISNUMBER(INDEX(Sources!$G$7:$G$10,MATCH(G226,Sources!$B$7:$B$10,0))),ISNUMBER(INDEX(Sources!$G$7:$G$10,MATCH(AB226,Sources!$B$7:$B$10,0)))),F226/INDEX(Sources!$G$7:$G$10,MATCH(G226,Sources!$B$7:$B$10,0))*INDEX(Sources!$G$7:$G$10,MATCH(AB226,Sources!$B$7:$B$10,0)),"")),"")</f>
        <v>174</v>
      </c>
      <c r="AE226" s="110" t="str">
        <f aca="false">IF(AND(AC226="yes",ISNUMBER(F226),IF(Compare!$H$5="All mapped",TRUE(),IF(Compare!$H$5="EXACT only",J226="EXACT",OR(J226="EXACT",J226="CLOSE")))),"yes","no")</f>
        <v>no</v>
      </c>
      <c r="AF226" s="110" t="str">
        <f aca="false">IF(ISNUMBER(H226),COUNTIFS($B$7:$B$3000,B226,$C$7:$C$3000,C226,$H$7:$H$3000,"&lt;"&amp;H226,$AH$7:$AH$3000,"yes")+COUNTIFS($B$7:B226,B226,$C$7:C226,C226,$H$7:H226,H226,$AH$7:AH226,"yes"),"")</f>
        <v/>
      </c>
      <c r="AG226" s="110" t="str">
        <f aca="false">IF(ISNUMBER(I226),COUNTIFS($B$7:$B$3000,B226,$C$7:$C$3000,C226,$I$7:$I$3000,"&lt;"&amp;I226,$AI$7:$AI$3000,"yes")+COUNTIFS($B$7:B226,B226,$C$7:C226,C226,$I$7:I226,I226,$AI$7:AI226,"yes"),"")</f>
        <v/>
      </c>
      <c r="AH226" s="110" t="str">
        <f aca="false">IF(ISNUMBER(H226),"yes","no")</f>
        <v>no</v>
      </c>
      <c r="AI226" s="110" t="str">
        <f aca="false">IF(ISNUMBER(I226),"yes","no")</f>
        <v>no</v>
      </c>
      <c r="AJ226" s="120" t="n">
        <v>46214</v>
      </c>
      <c r="AK226" s="110"/>
    </row>
    <row r="227" customFormat="false" ht="61.5" hidden="false" customHeight="true" outlineLevel="0" collapsed="false">
      <c r="A227" s="3"/>
      <c r="B227" s="31" t="s">
        <v>31</v>
      </c>
      <c r="C227" s="91" t="s">
        <v>14</v>
      </c>
      <c r="D227" s="91" t="s">
        <v>403</v>
      </c>
      <c r="E227" s="109" t="s">
        <v>1090</v>
      </c>
      <c r="F227" s="92" t="n">
        <v>89.62</v>
      </c>
      <c r="G227" s="91" t="s">
        <v>374</v>
      </c>
      <c r="H227" s="112" t="str">
        <f aca="false">IF(AND(AE227="yes",ISNUMBER(AD227)),AD227,"")</f>
        <v/>
      </c>
      <c r="I227" s="95" t="str">
        <f aca="false">IF(AND(AE227="yes",ISNUMBER(AD227),ISNUMBER(INDEX(Sources!$G$7:$G$10,MATCH(AB227,Sources!$B$7:$B$10,0)))),ROUND(AD227/INDEX(Sources!$G$7:$G$10,MATCH(AB227,Sources!$B$7:$B$10,0)),6),"")</f>
        <v/>
      </c>
      <c r="J227" s="91" t="s">
        <v>956</v>
      </c>
      <c r="K227" s="91" t="s">
        <v>1023</v>
      </c>
      <c r="L227" s="96"/>
      <c r="M227" s="109" t="s">
        <v>1024</v>
      </c>
      <c r="N227" s="113" t="s">
        <v>1097</v>
      </c>
      <c r="O227" s="109" t="s">
        <v>581</v>
      </c>
      <c r="P227" s="109"/>
      <c r="Q227" s="114"/>
      <c r="R227" s="109"/>
      <c r="S227" s="109"/>
      <c r="T227" s="109"/>
      <c r="U227" s="109" t="s">
        <v>1026</v>
      </c>
      <c r="V227" s="115"/>
      <c r="W227" s="115" t="n">
        <v>17.924</v>
      </c>
      <c r="X227" s="109" t="s">
        <v>556</v>
      </c>
      <c r="Y227" s="109" t="s">
        <v>557</v>
      </c>
      <c r="Z227" s="109"/>
      <c r="AA227" s="109"/>
      <c r="AB227" s="109" t="s">
        <v>374</v>
      </c>
      <c r="AC227" s="109" t="s">
        <v>538</v>
      </c>
      <c r="AD227" s="115" t="n">
        <f aca="false">IF(ISNUMBER(F227),IF(G227=AB227,F227,IF(AND(ISNUMBER(INDEX(Sources!$G$7:$G$10,MATCH(G227,Sources!$B$7:$B$10,0))),ISNUMBER(INDEX(Sources!$G$7:$G$10,MATCH(AB227,Sources!$B$7:$B$10,0)))),F227/INDEX(Sources!$G$7:$G$10,MATCH(G227,Sources!$B$7:$B$10,0))*INDEX(Sources!$G$7:$G$10,MATCH(AB227,Sources!$B$7:$B$10,0)),"")),"")</f>
        <v>89.62</v>
      </c>
      <c r="AE227" s="109" t="str">
        <f aca="false">IF(AND(AC227="yes",ISNUMBER(F227),IF(Compare!$H$5="All mapped",TRUE(),IF(Compare!$H$5="EXACT only",J227="EXACT",OR(J227="EXACT",J227="CLOSE")))),"yes","no")</f>
        <v>no</v>
      </c>
      <c r="AF227" s="109" t="str">
        <f aca="false">IF(ISNUMBER(H227),COUNTIFS($B$7:$B$3000,B227,$C$7:$C$3000,C227,$H$7:$H$3000,"&lt;"&amp;H227,$AH$7:$AH$3000,"yes")+COUNTIFS($B$7:B227,B227,$C$7:C227,C227,$H$7:H227,H227,$AH$7:AH227,"yes"),"")</f>
        <v/>
      </c>
      <c r="AG227" s="109" t="str">
        <f aca="false">IF(ISNUMBER(I227),COUNTIFS($B$7:$B$3000,B227,$C$7:$C$3000,C227,$I$7:$I$3000,"&lt;"&amp;I227,$AI$7:$AI$3000,"yes")+COUNTIFS($B$7:B227,B227,$C$7:C227,C227,$I$7:I227,I227,$AI$7:AI227,"yes"),"")</f>
        <v/>
      </c>
      <c r="AH227" s="109" t="str">
        <f aca="false">IF(ISNUMBER(H227),"yes","no")</f>
        <v>no</v>
      </c>
      <c r="AI227" s="109" t="str">
        <f aca="false">IF(ISNUMBER(I227),"yes","no")</f>
        <v>no</v>
      </c>
      <c r="AJ227" s="116" t="n">
        <v>46214</v>
      </c>
      <c r="AK227" s="109"/>
    </row>
    <row r="228" customFormat="false" ht="42" hidden="false" customHeight="true" outlineLevel="0" collapsed="false">
      <c r="A228" s="3"/>
      <c r="B228" s="36" t="s">
        <v>31</v>
      </c>
      <c r="C228" s="98" t="s">
        <v>15</v>
      </c>
      <c r="D228" s="98" t="s">
        <v>243</v>
      </c>
      <c r="E228" s="110" t="s">
        <v>1098</v>
      </c>
      <c r="F228" s="99" t="n">
        <v>49.39</v>
      </c>
      <c r="G228" s="98" t="s">
        <v>244</v>
      </c>
      <c r="H228" s="112" t="n">
        <f aca="false">IF(AND(AE228="yes",ISNUMBER(AD228)),AD228,"")</f>
        <v>49.39</v>
      </c>
      <c r="I228" s="95" t="n">
        <f aca="false">IF(AND(AE228="yes",ISNUMBER(AD228),ISNUMBER(INDEX(Sources!$G$7:$G$10,MATCH(AB228,Sources!$B$7:$B$10,0)))),ROUND(AD228/INDEX(Sources!$G$7:$G$10,MATCH(AB228,Sources!$B$7:$B$10,0)),6),"")</f>
        <v>49.39</v>
      </c>
      <c r="J228" s="98" t="s">
        <v>702</v>
      </c>
      <c r="K228" s="98" t="s">
        <v>586</v>
      </c>
      <c r="L228" s="96"/>
      <c r="M228" s="110" t="s">
        <v>1099</v>
      </c>
      <c r="N228" s="117" t="s">
        <v>1100</v>
      </c>
      <c r="O228" s="110"/>
      <c r="P228" s="110" t="s">
        <v>590</v>
      </c>
      <c r="Q228" s="118"/>
      <c r="R228" s="110" t="n">
        <v>1</v>
      </c>
      <c r="S228" s="110"/>
      <c r="T228" s="110" t="s">
        <v>702</v>
      </c>
      <c r="U228" s="110" t="s">
        <v>591</v>
      </c>
      <c r="V228" s="119" t="n">
        <v>49.39</v>
      </c>
      <c r="W228" s="119"/>
      <c r="X228" s="110" t="s">
        <v>592</v>
      </c>
      <c r="Y228" s="110"/>
      <c r="Z228" s="110"/>
      <c r="AA228" s="110"/>
      <c r="AB228" s="110" t="s">
        <v>244</v>
      </c>
      <c r="AC228" s="110" t="s">
        <v>538</v>
      </c>
      <c r="AD228" s="110" t="n">
        <f aca="false">IF(ISNUMBER(V228),ROUND(V228,6),"")</f>
        <v>49.39</v>
      </c>
      <c r="AE228" s="110" t="str">
        <f aca="false">IF(AND(AC228="yes",ISNUMBER(F228),IF(Compare!$H$5="All mapped",TRUE(),IF(Compare!$H$5="EXACT only",J228="EXACT",OR(J228="EXACT",J228="CLOSE")))),"yes","no")</f>
        <v>yes</v>
      </c>
      <c r="AF228" s="110" t="n">
        <f aca="false">IF(ISNUMBER(H228),COUNTIFS($B$7:$B$3000,B228,$C$7:$C$3000,C228,$H$7:$H$3000,"&lt;"&amp;H228,$AH$7:$AH$3000,"yes")+COUNTIFS($B$7:B228,B228,$C$7:C228,C228,$H$7:H228,H228,$AH$7:AH228,"yes"),"")</f>
        <v>7</v>
      </c>
      <c r="AG228" s="110" t="n">
        <f aca="false">IF(ISNUMBER(I228),COUNTIFS($B$7:$B$3000,B228,$C$7:$C$3000,C228,$I$7:$I$3000,"&lt;"&amp;I228,$AI$7:$AI$3000,"yes")+COUNTIFS($B$7:B228,B228,$C$7:C228,C228,$I$7:I228,I228,$AI$7:AI228,"yes"),"")</f>
        <v>7</v>
      </c>
      <c r="AH228" s="110" t="str">
        <f aca="false">IF(ISNUMBER(H228),"yes","no")</f>
        <v>yes</v>
      </c>
      <c r="AI228" s="110" t="str">
        <f aca="false">IF(ISNUMBER(I228),"yes","no")</f>
        <v>yes</v>
      </c>
      <c r="AJ228" s="120" t="n">
        <v>46295</v>
      </c>
      <c r="AK228" s="110"/>
    </row>
    <row r="229" customFormat="false" ht="42" hidden="false" customHeight="true" outlineLevel="0" collapsed="false">
      <c r="A229" s="3"/>
      <c r="B229" s="31" t="s">
        <v>31</v>
      </c>
      <c r="C229" s="91" t="s">
        <v>15</v>
      </c>
      <c r="D229" s="91" t="s">
        <v>269</v>
      </c>
      <c r="E229" s="109" t="s">
        <v>1101</v>
      </c>
      <c r="F229" s="92" t="n">
        <v>48.9</v>
      </c>
      <c r="G229" s="91" t="s">
        <v>244</v>
      </c>
      <c r="H229" s="112" t="n">
        <f aca="false">IF(AND(AE229="yes",ISNUMBER(AD229)),AD229,"")</f>
        <v>48.9</v>
      </c>
      <c r="I229" s="95" t="n">
        <f aca="false">IF(AND(AE229="yes",ISNUMBER(AD229),ISNUMBER(INDEX(Sources!$G$7:$G$10,MATCH(AB229,Sources!$B$7:$B$10,0)))),ROUND(AD229/INDEX(Sources!$G$7:$G$10,MATCH(AB229,Sources!$B$7:$B$10,0)),6),"")</f>
        <v>48.9</v>
      </c>
      <c r="J229" s="91" t="s">
        <v>702</v>
      </c>
      <c r="K229" s="91" t="s">
        <v>586</v>
      </c>
      <c r="L229" s="96"/>
      <c r="M229" s="109" t="s">
        <v>1102</v>
      </c>
      <c r="N229" s="113" t="s">
        <v>1103</v>
      </c>
      <c r="O229" s="109" t="s">
        <v>1104</v>
      </c>
      <c r="P229" s="109" t="s">
        <v>590</v>
      </c>
      <c r="Q229" s="114"/>
      <c r="R229" s="109" t="n">
        <v>1</v>
      </c>
      <c r="S229" s="109"/>
      <c r="T229" s="109" t="s">
        <v>702</v>
      </c>
      <c r="U229" s="109" t="s">
        <v>591</v>
      </c>
      <c r="V229" s="115" t="n">
        <v>48.9</v>
      </c>
      <c r="W229" s="115"/>
      <c r="X229" s="109" t="s">
        <v>592</v>
      </c>
      <c r="Y229" s="109"/>
      <c r="Z229" s="109"/>
      <c r="AA229" s="109"/>
      <c r="AB229" s="109" t="s">
        <v>244</v>
      </c>
      <c r="AC229" s="109" t="s">
        <v>538</v>
      </c>
      <c r="AD229" s="109" t="n">
        <f aca="false">IF(ISNUMBER(V229),ROUND(V229,6),"")</f>
        <v>48.9</v>
      </c>
      <c r="AE229" s="109" t="str">
        <f aca="false">IF(AND(AC229="yes",ISNUMBER(F229),IF(Compare!$H$5="All mapped",TRUE(),IF(Compare!$H$5="EXACT only",J229="EXACT",OR(J229="EXACT",J229="CLOSE")))),"yes","no")</f>
        <v>yes</v>
      </c>
      <c r="AF229" s="109" t="n">
        <f aca="false">IF(ISNUMBER(H229),COUNTIFS($B$7:$B$3000,B229,$C$7:$C$3000,C229,$H$7:$H$3000,"&lt;"&amp;H229,$AH$7:$AH$3000,"yes")+COUNTIFS($B$7:B229,B229,$C$7:C229,C229,$H$7:H229,H229,$AH$7:AH229,"yes"),"")</f>
        <v>6</v>
      </c>
      <c r="AG229" s="109" t="n">
        <f aca="false">IF(ISNUMBER(I229),COUNTIFS($B$7:$B$3000,B229,$C$7:$C$3000,C229,$I$7:$I$3000,"&lt;"&amp;I229,$AI$7:$AI$3000,"yes")+COUNTIFS($B$7:B229,B229,$C$7:C229,C229,$I$7:I229,I229,$AI$7:AI229,"yes"),"")</f>
        <v>6</v>
      </c>
      <c r="AH229" s="109" t="str">
        <f aca="false">IF(ISNUMBER(H229),"yes","no")</f>
        <v>yes</v>
      </c>
      <c r="AI229" s="109" t="str">
        <f aca="false">IF(ISNUMBER(I229),"yes","no")</f>
        <v>yes</v>
      </c>
      <c r="AJ229" s="116" t="n">
        <v>46295</v>
      </c>
      <c r="AK229" s="109"/>
    </row>
    <row r="230" customFormat="false" ht="42" hidden="false" customHeight="true" outlineLevel="0" collapsed="false">
      <c r="A230" s="3"/>
      <c r="B230" s="36" t="s">
        <v>31</v>
      </c>
      <c r="C230" s="98" t="s">
        <v>15</v>
      </c>
      <c r="D230" s="98" t="s">
        <v>264</v>
      </c>
      <c r="E230" s="110" t="s">
        <v>1105</v>
      </c>
      <c r="F230" s="99" t="n">
        <v>33.5</v>
      </c>
      <c r="G230" s="98" t="s">
        <v>244</v>
      </c>
      <c r="H230" s="112" t="n">
        <f aca="false">IF(AND(AE230="yes",ISNUMBER(AD230)),AD230,"")</f>
        <v>33.5</v>
      </c>
      <c r="I230" s="95" t="n">
        <f aca="false">IF(AND(AE230="yes",ISNUMBER(AD230),ISNUMBER(INDEX(Sources!$G$7:$G$10,MATCH(AB230,Sources!$B$7:$B$10,0)))),ROUND(AD230/INDEX(Sources!$G$7:$G$10,MATCH(AB230,Sources!$B$7:$B$10,0)),6),"")</f>
        <v>33.5</v>
      </c>
      <c r="J230" s="98" t="s">
        <v>702</v>
      </c>
      <c r="K230" s="98" t="s">
        <v>586</v>
      </c>
      <c r="L230" s="96"/>
      <c r="M230" s="110" t="s">
        <v>1106</v>
      </c>
      <c r="N230" s="117" t="s">
        <v>1107</v>
      </c>
      <c r="O230" s="110" t="s">
        <v>388</v>
      </c>
      <c r="P230" s="110" t="s">
        <v>590</v>
      </c>
      <c r="Q230" s="118"/>
      <c r="R230" s="110" t="n">
        <v>1</v>
      </c>
      <c r="S230" s="110"/>
      <c r="T230" s="110" t="s">
        <v>702</v>
      </c>
      <c r="U230" s="110" t="s">
        <v>591</v>
      </c>
      <c r="V230" s="119" t="n">
        <v>33.5</v>
      </c>
      <c r="W230" s="119"/>
      <c r="X230" s="110" t="s">
        <v>592</v>
      </c>
      <c r="Y230" s="110"/>
      <c r="Z230" s="110"/>
      <c r="AA230" s="110"/>
      <c r="AB230" s="110" t="s">
        <v>244</v>
      </c>
      <c r="AC230" s="110" t="s">
        <v>538</v>
      </c>
      <c r="AD230" s="110" t="n">
        <f aca="false">IF(ISNUMBER(V230),ROUND(V230,6),"")</f>
        <v>33.5</v>
      </c>
      <c r="AE230" s="110" t="str">
        <f aca="false">IF(AND(AC230="yes",ISNUMBER(F230),IF(Compare!$H$5="All mapped",TRUE(),IF(Compare!$H$5="EXACT only",J230="EXACT",OR(J230="EXACT",J230="CLOSE")))),"yes","no")</f>
        <v>yes</v>
      </c>
      <c r="AF230" s="110" t="n">
        <f aca="false">IF(ISNUMBER(H230),COUNTIFS($B$7:$B$3000,B230,$C$7:$C$3000,C230,$H$7:$H$3000,"&lt;"&amp;H230,$AH$7:$AH$3000,"yes")+COUNTIFS($B$7:B230,B230,$C$7:C230,C230,$H$7:H230,H230,$AH$7:AH230,"yes"),"")</f>
        <v>4</v>
      </c>
      <c r="AG230" s="110" t="n">
        <f aca="false">IF(ISNUMBER(I230),COUNTIFS($B$7:$B$3000,B230,$C$7:$C$3000,C230,$I$7:$I$3000,"&lt;"&amp;I230,$AI$7:$AI$3000,"yes")+COUNTIFS($B$7:B230,B230,$C$7:C230,C230,$I$7:I230,I230,$AI$7:AI230,"yes"),"")</f>
        <v>4</v>
      </c>
      <c r="AH230" s="110" t="str">
        <f aca="false">IF(ISNUMBER(H230),"yes","no")</f>
        <v>yes</v>
      </c>
      <c r="AI230" s="110" t="str">
        <f aca="false">IF(ISNUMBER(I230),"yes","no")</f>
        <v>yes</v>
      </c>
      <c r="AJ230" s="120" t="n">
        <v>46295</v>
      </c>
      <c r="AK230" s="110"/>
    </row>
    <row r="231" customFormat="false" ht="42" hidden="false" customHeight="true" outlineLevel="0" collapsed="false">
      <c r="A231" s="3"/>
      <c r="B231" s="31" t="s">
        <v>31</v>
      </c>
      <c r="C231" s="91" t="s">
        <v>15</v>
      </c>
      <c r="D231" s="91" t="s">
        <v>273</v>
      </c>
      <c r="E231" s="109" t="s">
        <v>1108</v>
      </c>
      <c r="F231" s="92" t="n">
        <v>34.9</v>
      </c>
      <c r="G231" s="91" t="s">
        <v>244</v>
      </c>
      <c r="H231" s="112" t="n">
        <f aca="false">IF(AND(AE231="yes",ISNUMBER(AD231)),AD231,"")</f>
        <v>29.08</v>
      </c>
      <c r="I231" s="95" t="n">
        <f aca="false">IF(AND(AE231="yes",ISNUMBER(AD231),ISNUMBER(INDEX(Sources!$G$7:$G$10,MATCH(AB231,Sources!$B$7:$B$10,0)))),ROUND(AD231/INDEX(Sources!$G$7:$G$10,MATCH(AB231,Sources!$B$7:$B$10,0)),6),"")</f>
        <v>29.08</v>
      </c>
      <c r="J231" s="91" t="s">
        <v>702</v>
      </c>
      <c r="K231" s="91" t="s">
        <v>586</v>
      </c>
      <c r="L231" s="96"/>
      <c r="M231" s="109" t="s">
        <v>1109</v>
      </c>
      <c r="N231" s="113" t="s">
        <v>1110</v>
      </c>
      <c r="O231" s="109" t="s">
        <v>1030</v>
      </c>
      <c r="P231" s="109" t="s">
        <v>265</v>
      </c>
      <c r="Q231" s="114"/>
      <c r="R231" s="109" t="n">
        <v>1</v>
      </c>
      <c r="S231" s="109"/>
      <c r="T231" s="109" t="s">
        <v>702</v>
      </c>
      <c r="U231" s="109" t="s">
        <v>591</v>
      </c>
      <c r="V231" s="115" t="n">
        <v>29.08</v>
      </c>
      <c r="W231" s="115"/>
      <c r="X231" s="109" t="s">
        <v>592</v>
      </c>
      <c r="Y231" s="109"/>
      <c r="Z231" s="109"/>
      <c r="AA231" s="109"/>
      <c r="AB231" s="109" t="s">
        <v>244</v>
      </c>
      <c r="AC231" s="109" t="s">
        <v>538</v>
      </c>
      <c r="AD231" s="109" t="n">
        <f aca="false">IF(ISNUMBER(V231),ROUND(V231,6),"")</f>
        <v>29.08</v>
      </c>
      <c r="AE231" s="109" t="str">
        <f aca="false">IF(AND(AC231="yes",ISNUMBER(F231),IF(Compare!$H$5="All mapped",TRUE(),IF(Compare!$H$5="EXACT only",J231="EXACT",OR(J231="EXACT",J231="CLOSE")))),"yes","no")</f>
        <v>yes</v>
      </c>
      <c r="AF231" s="109" t="n">
        <f aca="false">IF(ISNUMBER(H231),COUNTIFS($B$7:$B$3000,B231,$C$7:$C$3000,C231,$H$7:$H$3000,"&lt;"&amp;H231,$AH$7:$AH$3000,"yes")+COUNTIFS($B$7:B231,B231,$C$7:C231,C231,$H$7:H231,H231,$AH$7:AH231,"yes"),"")</f>
        <v>2</v>
      </c>
      <c r="AG231" s="109" t="n">
        <f aca="false">IF(ISNUMBER(I231),COUNTIFS($B$7:$B$3000,B231,$C$7:$C$3000,C231,$I$7:$I$3000,"&lt;"&amp;I231,$AI$7:$AI$3000,"yes")+COUNTIFS($B$7:B231,B231,$C$7:C231,C231,$I$7:I231,I231,$AI$7:AI231,"yes"),"")</f>
        <v>2</v>
      </c>
      <c r="AH231" s="109" t="str">
        <f aca="false">IF(ISNUMBER(H231),"yes","no")</f>
        <v>yes</v>
      </c>
      <c r="AI231" s="109" t="str">
        <f aca="false">IF(ISNUMBER(I231),"yes","no")</f>
        <v>yes</v>
      </c>
      <c r="AJ231" s="116" t="n">
        <v>46295</v>
      </c>
      <c r="AK231" s="109"/>
    </row>
    <row r="232" customFormat="false" ht="42" hidden="false" customHeight="true" outlineLevel="0" collapsed="false">
      <c r="A232" s="3"/>
      <c r="B232" s="36" t="s">
        <v>31</v>
      </c>
      <c r="C232" s="98" t="s">
        <v>15</v>
      </c>
      <c r="D232" s="98" t="s">
        <v>281</v>
      </c>
      <c r="E232" s="110" t="s">
        <v>1111</v>
      </c>
      <c r="F232" s="99" t="n">
        <v>35.05</v>
      </c>
      <c r="G232" s="98" t="s">
        <v>244</v>
      </c>
      <c r="H232" s="112" t="n">
        <f aca="false">IF(AND(AE232="yes",ISNUMBER(AD232)),AD232,"")</f>
        <v>35.05</v>
      </c>
      <c r="I232" s="95" t="n">
        <f aca="false">IF(AND(AE232="yes",ISNUMBER(AD232),ISNUMBER(INDEX(Sources!$G$7:$G$10,MATCH(AB232,Sources!$B$7:$B$10,0)))),ROUND(AD232/INDEX(Sources!$G$7:$G$10,MATCH(AB232,Sources!$B$7:$B$10,0)),6),"")</f>
        <v>35.05</v>
      </c>
      <c r="J232" s="98" t="s">
        <v>530</v>
      </c>
      <c r="K232" s="98" t="s">
        <v>586</v>
      </c>
      <c r="L232" s="96"/>
      <c r="M232" s="110" t="s">
        <v>1112</v>
      </c>
      <c r="N232" s="117" t="s">
        <v>1113</v>
      </c>
      <c r="O232" s="110" t="s">
        <v>646</v>
      </c>
      <c r="P232" s="110" t="s">
        <v>590</v>
      </c>
      <c r="Q232" s="118"/>
      <c r="R232" s="110" t="n">
        <v>1</v>
      </c>
      <c r="S232" s="110"/>
      <c r="T232" s="110" t="s">
        <v>530</v>
      </c>
      <c r="U232" s="110" t="s">
        <v>591</v>
      </c>
      <c r="V232" s="119" t="n">
        <v>35.05</v>
      </c>
      <c r="W232" s="119"/>
      <c r="X232" s="110" t="s">
        <v>592</v>
      </c>
      <c r="Y232" s="110"/>
      <c r="Z232" s="110"/>
      <c r="AA232" s="110"/>
      <c r="AB232" s="110" t="s">
        <v>244</v>
      </c>
      <c r="AC232" s="110" t="s">
        <v>538</v>
      </c>
      <c r="AD232" s="110" t="n">
        <f aca="false">IF(ISNUMBER(V232),ROUND(V232,6),"")</f>
        <v>35.05</v>
      </c>
      <c r="AE232" s="110" t="str">
        <f aca="false">IF(AND(AC232="yes",ISNUMBER(F232),IF(Compare!$H$5="All mapped",TRUE(),IF(Compare!$H$5="EXACT only",J232="EXACT",OR(J232="EXACT",J232="CLOSE")))),"yes","no")</f>
        <v>yes</v>
      </c>
      <c r="AF232" s="110" t="n">
        <f aca="false">IF(ISNUMBER(H232),COUNTIFS($B$7:$B$3000,B232,$C$7:$C$3000,C232,$H$7:$H$3000,"&lt;"&amp;H232,$AH$7:$AH$3000,"yes")+COUNTIFS($B$7:B232,B232,$C$7:C232,C232,$H$7:H232,H232,$AH$7:AH232,"yes"),"")</f>
        <v>5</v>
      </c>
      <c r="AG232" s="110" t="n">
        <f aca="false">IF(ISNUMBER(I232),COUNTIFS($B$7:$B$3000,B232,$C$7:$C$3000,C232,$I$7:$I$3000,"&lt;"&amp;I232,$AI$7:$AI$3000,"yes")+COUNTIFS($B$7:B232,B232,$C$7:C232,C232,$I$7:I232,I232,$AI$7:AI232,"yes"),"")</f>
        <v>5</v>
      </c>
      <c r="AH232" s="110" t="str">
        <f aca="false">IF(ISNUMBER(H232),"yes","no")</f>
        <v>yes</v>
      </c>
      <c r="AI232" s="110" t="str">
        <f aca="false">IF(ISNUMBER(I232),"yes","no")</f>
        <v>yes</v>
      </c>
      <c r="AJ232" s="120" t="n">
        <v>46295</v>
      </c>
      <c r="AK232" s="110"/>
    </row>
    <row r="233" customFormat="false" ht="42" hidden="false" customHeight="true" outlineLevel="0" collapsed="false">
      <c r="A233" s="3"/>
      <c r="B233" s="31" t="s">
        <v>31</v>
      </c>
      <c r="C233" s="91" t="s">
        <v>15</v>
      </c>
      <c r="D233" s="91" t="s">
        <v>285</v>
      </c>
      <c r="E233" s="109" t="s">
        <v>1114</v>
      </c>
      <c r="F233" s="92" t="n">
        <v>27.9</v>
      </c>
      <c r="G233" s="91" t="s">
        <v>244</v>
      </c>
      <c r="H233" s="112" t="n">
        <f aca="false">IF(AND(AE233="yes",ISNUMBER(AD233)),AD233,"")</f>
        <v>27.9</v>
      </c>
      <c r="I233" s="95" t="n">
        <f aca="false">IF(AND(AE233="yes",ISNUMBER(AD233),ISNUMBER(INDEX(Sources!$G$7:$G$10,MATCH(AB233,Sources!$B$7:$B$10,0)))),ROUND(AD233/INDEX(Sources!$G$7:$G$10,MATCH(AB233,Sources!$B$7:$B$10,0)),6),"")</f>
        <v>27.9</v>
      </c>
      <c r="J233" s="91" t="s">
        <v>702</v>
      </c>
      <c r="K233" s="91" t="s">
        <v>586</v>
      </c>
      <c r="L233" s="96"/>
      <c r="M233" s="109" t="s">
        <v>1115</v>
      </c>
      <c r="N233" s="113" t="s">
        <v>1116</v>
      </c>
      <c r="O233" s="109" t="s">
        <v>733</v>
      </c>
      <c r="P233" s="109" t="s">
        <v>590</v>
      </c>
      <c r="Q233" s="114"/>
      <c r="R233" s="109" t="n">
        <v>1</v>
      </c>
      <c r="S233" s="109"/>
      <c r="T233" s="109" t="s">
        <v>702</v>
      </c>
      <c r="U233" s="109" t="s">
        <v>591</v>
      </c>
      <c r="V233" s="115" t="n">
        <v>27.9</v>
      </c>
      <c r="W233" s="115"/>
      <c r="X233" s="109" t="s">
        <v>592</v>
      </c>
      <c r="Y233" s="109"/>
      <c r="Z233" s="109"/>
      <c r="AA233" s="109"/>
      <c r="AB233" s="109" t="s">
        <v>244</v>
      </c>
      <c r="AC233" s="109" t="s">
        <v>538</v>
      </c>
      <c r="AD233" s="109" t="n">
        <f aca="false">IF(ISNUMBER(V233),ROUND(V233,6),"")</f>
        <v>27.9</v>
      </c>
      <c r="AE233" s="109" t="str">
        <f aca="false">IF(AND(AC233="yes",ISNUMBER(F233),IF(Compare!$H$5="All mapped",TRUE(),IF(Compare!$H$5="EXACT only",J233="EXACT",OR(J233="EXACT",J233="CLOSE")))),"yes","no")</f>
        <v>yes</v>
      </c>
      <c r="AF233" s="109" t="n">
        <f aca="false">IF(ISNUMBER(H233),COUNTIFS($B$7:$B$3000,B233,$C$7:$C$3000,C233,$H$7:$H$3000,"&lt;"&amp;H233,$AH$7:$AH$3000,"yes")+COUNTIFS($B$7:B233,B233,$C$7:C233,C233,$H$7:H233,H233,$AH$7:AH233,"yes"),"")</f>
        <v>1</v>
      </c>
      <c r="AG233" s="109" t="n">
        <f aca="false">IF(ISNUMBER(I233),COUNTIFS($B$7:$B$3000,B233,$C$7:$C$3000,C233,$I$7:$I$3000,"&lt;"&amp;I233,$AI$7:$AI$3000,"yes")+COUNTIFS($B$7:B233,B233,$C$7:C233,C233,$I$7:I233,I233,$AI$7:AI233,"yes"),"")</f>
        <v>1</v>
      </c>
      <c r="AH233" s="109" t="str">
        <f aca="false">IF(ISNUMBER(H233),"yes","no")</f>
        <v>yes</v>
      </c>
      <c r="AI233" s="109" t="str">
        <f aca="false">IF(ISNUMBER(I233),"yes","no")</f>
        <v>yes</v>
      </c>
      <c r="AJ233" s="116" t="n">
        <v>46295</v>
      </c>
      <c r="AK233" s="109"/>
    </row>
    <row r="234" customFormat="false" ht="42" hidden="false" customHeight="true" outlineLevel="0" collapsed="false">
      <c r="A234" s="3"/>
      <c r="B234" s="36" t="s">
        <v>31</v>
      </c>
      <c r="C234" s="98" t="s">
        <v>16</v>
      </c>
      <c r="D234" s="98" t="s">
        <v>296</v>
      </c>
      <c r="E234" s="110" t="s">
        <v>1098</v>
      </c>
      <c r="F234" s="99" t="n">
        <v>49.39</v>
      </c>
      <c r="G234" s="98" t="s">
        <v>244</v>
      </c>
      <c r="H234" s="112" t="n">
        <f aca="false">IF(AND(AE234="yes",ISNUMBER(AD234)),AD234,"")</f>
        <v>49.39</v>
      </c>
      <c r="I234" s="95" t="n">
        <f aca="false">IF(AND(AE234="yes",ISNUMBER(AD234),ISNUMBER(INDEX(Sources!$G$7:$G$10,MATCH(AB234,Sources!$B$7:$B$10,0)))),ROUND(AD234/INDEX(Sources!$G$7:$G$10,MATCH(AB234,Sources!$B$7:$B$10,0)),6),"")</f>
        <v>49.39</v>
      </c>
      <c r="J234" s="98" t="s">
        <v>702</v>
      </c>
      <c r="K234" s="98" t="s">
        <v>586</v>
      </c>
      <c r="L234" s="96"/>
      <c r="M234" s="110" t="s">
        <v>1099</v>
      </c>
      <c r="N234" s="117" t="s">
        <v>1117</v>
      </c>
      <c r="O234" s="110"/>
      <c r="P234" s="110" t="s">
        <v>590</v>
      </c>
      <c r="Q234" s="118"/>
      <c r="R234" s="110" t="n">
        <v>1</v>
      </c>
      <c r="S234" s="110"/>
      <c r="T234" s="110" t="s">
        <v>702</v>
      </c>
      <c r="U234" s="110" t="s">
        <v>591</v>
      </c>
      <c r="V234" s="119" t="n">
        <v>49.39</v>
      </c>
      <c r="W234" s="119"/>
      <c r="X234" s="110" t="s">
        <v>612</v>
      </c>
      <c r="Y234" s="110"/>
      <c r="Z234" s="110"/>
      <c r="AA234" s="110"/>
      <c r="AB234" s="110" t="s">
        <v>244</v>
      </c>
      <c r="AC234" s="110" t="s">
        <v>538</v>
      </c>
      <c r="AD234" s="110" t="n">
        <f aca="false">IF(ISNUMBER(V234),ROUND(V234,6),"")</f>
        <v>49.39</v>
      </c>
      <c r="AE234" s="110" t="str">
        <f aca="false">IF(AND(AC234="yes",ISNUMBER(F234),IF(Compare!$H$5="All mapped",TRUE(),IF(Compare!$H$5="EXACT only",J234="EXACT",OR(J234="EXACT",J234="CLOSE")))),"yes","no")</f>
        <v>yes</v>
      </c>
      <c r="AF234" s="110" t="n">
        <f aca="false">IF(ISNUMBER(H234),COUNTIFS($B$7:$B$3000,B234,$C$7:$C$3000,C234,$H$7:$H$3000,"&lt;"&amp;H234,$AH$7:$AH$3000,"yes")+COUNTIFS($B$7:B234,B234,$C$7:C234,C234,$H$7:H234,H234,$AH$7:AH234,"yes"),"")</f>
        <v>8</v>
      </c>
      <c r="AG234" s="110" t="n">
        <f aca="false">IF(ISNUMBER(I234),COUNTIFS($B$7:$B$3000,B234,$C$7:$C$3000,C234,$I$7:$I$3000,"&lt;"&amp;I234,$AI$7:$AI$3000,"yes")+COUNTIFS($B$7:B234,B234,$C$7:C234,C234,$I$7:I234,I234,$AI$7:AI234,"yes"),"")</f>
        <v>8</v>
      </c>
      <c r="AH234" s="110" t="str">
        <f aca="false">IF(ISNUMBER(H234),"yes","no")</f>
        <v>yes</v>
      </c>
      <c r="AI234" s="110" t="str">
        <f aca="false">IF(ISNUMBER(I234),"yes","no")</f>
        <v>yes</v>
      </c>
      <c r="AJ234" s="120" t="n">
        <v>46295</v>
      </c>
      <c r="AK234" s="110"/>
    </row>
    <row r="235" customFormat="false" ht="42" hidden="false" customHeight="true" outlineLevel="0" collapsed="false">
      <c r="A235" s="3"/>
      <c r="B235" s="31" t="s">
        <v>31</v>
      </c>
      <c r="C235" s="91" t="s">
        <v>16</v>
      </c>
      <c r="D235" s="91" t="s">
        <v>317</v>
      </c>
      <c r="E235" s="109" t="s">
        <v>1118</v>
      </c>
      <c r="F235" s="92" t="n">
        <v>28.49</v>
      </c>
      <c r="G235" s="91" t="s">
        <v>244</v>
      </c>
      <c r="H235" s="112" t="n">
        <f aca="false">IF(AND(AE235="yes",ISNUMBER(AD235)),AD235,"")</f>
        <v>28.49</v>
      </c>
      <c r="I235" s="95" t="n">
        <f aca="false">IF(AND(AE235="yes",ISNUMBER(AD235),ISNUMBER(INDEX(Sources!$G$7:$G$10,MATCH(AB235,Sources!$B$7:$B$10,0)))),ROUND(AD235/INDEX(Sources!$G$7:$G$10,MATCH(AB235,Sources!$B$7:$B$10,0)),6),"")</f>
        <v>28.49</v>
      </c>
      <c r="J235" s="91" t="s">
        <v>530</v>
      </c>
      <c r="K235" s="91" t="s">
        <v>586</v>
      </c>
      <c r="L235" s="96"/>
      <c r="M235" s="109" t="s">
        <v>1119</v>
      </c>
      <c r="N235" s="113" t="s">
        <v>1120</v>
      </c>
      <c r="O235" s="109" t="s">
        <v>610</v>
      </c>
      <c r="P235" s="109" t="s">
        <v>590</v>
      </c>
      <c r="Q235" s="114"/>
      <c r="R235" s="109" t="n">
        <v>1</v>
      </c>
      <c r="S235" s="109"/>
      <c r="T235" s="109" t="s">
        <v>530</v>
      </c>
      <c r="U235" s="109" t="s">
        <v>591</v>
      </c>
      <c r="V235" s="115" t="n">
        <v>28.49</v>
      </c>
      <c r="W235" s="115"/>
      <c r="X235" s="109" t="s">
        <v>612</v>
      </c>
      <c r="Y235" s="109"/>
      <c r="Z235" s="109"/>
      <c r="AA235" s="109"/>
      <c r="AB235" s="109" t="s">
        <v>244</v>
      </c>
      <c r="AC235" s="109" t="s">
        <v>538</v>
      </c>
      <c r="AD235" s="109" t="n">
        <f aca="false">IF(ISNUMBER(V235),ROUND(V235,6),"")</f>
        <v>28.49</v>
      </c>
      <c r="AE235" s="109" t="str">
        <f aca="false">IF(AND(AC235="yes",ISNUMBER(F235),IF(Compare!$H$5="All mapped",TRUE(),IF(Compare!$H$5="EXACT only",J235="EXACT",OR(J235="EXACT",J235="CLOSE")))),"yes","no")</f>
        <v>yes</v>
      </c>
      <c r="AF235" s="109" t="n">
        <f aca="false">IF(ISNUMBER(H235),COUNTIFS($B$7:$B$3000,B235,$C$7:$C$3000,C235,$H$7:$H$3000,"&lt;"&amp;H235,$AH$7:$AH$3000,"yes")+COUNTIFS($B$7:B235,B235,$C$7:C235,C235,$H$7:H235,H235,$AH$7:AH235,"yes"),"")</f>
        <v>1</v>
      </c>
      <c r="AG235" s="109" t="n">
        <f aca="false">IF(ISNUMBER(I235),COUNTIFS($B$7:$B$3000,B235,$C$7:$C$3000,C235,$I$7:$I$3000,"&lt;"&amp;I235,$AI$7:$AI$3000,"yes")+COUNTIFS($B$7:B235,B235,$C$7:C235,C235,$I$7:I235,I235,$AI$7:AI235,"yes"),"")</f>
        <v>1</v>
      </c>
      <c r="AH235" s="109" t="str">
        <f aca="false">IF(ISNUMBER(H235),"yes","no")</f>
        <v>yes</v>
      </c>
      <c r="AI235" s="109" t="str">
        <f aca="false">IF(ISNUMBER(I235),"yes","no")</f>
        <v>yes</v>
      </c>
      <c r="AJ235" s="116" t="n">
        <v>46295</v>
      </c>
      <c r="AK235" s="109"/>
    </row>
    <row r="236" customFormat="false" ht="42" hidden="false" customHeight="true" outlineLevel="0" collapsed="false">
      <c r="A236" s="3"/>
      <c r="B236" s="36" t="s">
        <v>31</v>
      </c>
      <c r="C236" s="98" t="s">
        <v>16</v>
      </c>
      <c r="D236" s="98" t="s">
        <v>311</v>
      </c>
      <c r="E236" s="110" t="s">
        <v>1101</v>
      </c>
      <c r="F236" s="99" t="n">
        <v>45.9</v>
      </c>
      <c r="G236" s="98" t="s">
        <v>244</v>
      </c>
      <c r="H236" s="112" t="n">
        <f aca="false">IF(AND(AE236="yes",ISNUMBER(AD236)),AD236,"")</f>
        <v>45.9</v>
      </c>
      <c r="I236" s="95" t="n">
        <f aca="false">IF(AND(AE236="yes",ISNUMBER(AD236),ISNUMBER(INDEX(Sources!$G$7:$G$10,MATCH(AB236,Sources!$B$7:$B$10,0)))),ROUND(AD236/INDEX(Sources!$G$7:$G$10,MATCH(AB236,Sources!$B$7:$B$10,0)),6),"")</f>
        <v>45.9</v>
      </c>
      <c r="J236" s="98" t="s">
        <v>702</v>
      </c>
      <c r="K236" s="98" t="s">
        <v>586</v>
      </c>
      <c r="L236" s="96"/>
      <c r="M236" s="110" t="s">
        <v>1121</v>
      </c>
      <c r="N236" s="117" t="s">
        <v>1122</v>
      </c>
      <c r="O236" s="110" t="s">
        <v>1104</v>
      </c>
      <c r="P236" s="110" t="s">
        <v>590</v>
      </c>
      <c r="Q236" s="118"/>
      <c r="R236" s="110" t="n">
        <v>1</v>
      </c>
      <c r="S236" s="110"/>
      <c r="T236" s="110" t="s">
        <v>702</v>
      </c>
      <c r="U236" s="110" t="s">
        <v>591</v>
      </c>
      <c r="V236" s="119" t="n">
        <v>45.9</v>
      </c>
      <c r="W236" s="119"/>
      <c r="X236" s="110" t="s">
        <v>612</v>
      </c>
      <c r="Y236" s="110"/>
      <c r="Z236" s="110"/>
      <c r="AA236" s="110"/>
      <c r="AB236" s="110" t="s">
        <v>244</v>
      </c>
      <c r="AC236" s="110" t="s">
        <v>538</v>
      </c>
      <c r="AD236" s="110" t="n">
        <f aca="false">IF(ISNUMBER(V236),ROUND(V236,6),"")</f>
        <v>45.9</v>
      </c>
      <c r="AE236" s="110" t="str">
        <f aca="false">IF(AND(AC236="yes",ISNUMBER(F236),IF(Compare!$H$5="All mapped",TRUE(),IF(Compare!$H$5="EXACT only",J236="EXACT",OR(J236="EXACT",J236="CLOSE")))),"yes","no")</f>
        <v>yes</v>
      </c>
      <c r="AF236" s="110" t="n">
        <f aca="false">IF(ISNUMBER(H236),COUNTIFS($B$7:$B$3000,B236,$C$7:$C$3000,C236,$H$7:$H$3000,"&lt;"&amp;H236,$AH$7:$AH$3000,"yes")+COUNTIFS($B$7:B236,B236,$C$7:C236,C236,$H$7:H236,H236,$AH$7:AH236,"yes"),"")</f>
        <v>7</v>
      </c>
      <c r="AG236" s="110" t="n">
        <f aca="false">IF(ISNUMBER(I236),COUNTIFS($B$7:$B$3000,B236,$C$7:$C$3000,C236,$I$7:$I$3000,"&lt;"&amp;I236,$AI$7:$AI$3000,"yes")+COUNTIFS($B$7:B236,B236,$C$7:C236,C236,$I$7:I236,I236,$AI$7:AI236,"yes"),"")</f>
        <v>7</v>
      </c>
      <c r="AH236" s="110" t="str">
        <f aca="false">IF(ISNUMBER(H236),"yes","no")</f>
        <v>yes</v>
      </c>
      <c r="AI236" s="110" t="str">
        <f aca="false">IF(ISNUMBER(I236),"yes","no")</f>
        <v>yes</v>
      </c>
      <c r="AJ236" s="120" t="n">
        <v>46295</v>
      </c>
      <c r="AK236" s="110"/>
    </row>
    <row r="237" customFormat="false" ht="42" hidden="false" customHeight="true" outlineLevel="0" collapsed="false">
      <c r="A237" s="3"/>
      <c r="B237" s="31" t="s">
        <v>31</v>
      </c>
      <c r="C237" s="91" t="s">
        <v>16</v>
      </c>
      <c r="D237" s="91" t="s">
        <v>309</v>
      </c>
      <c r="E237" s="109" t="s">
        <v>1105</v>
      </c>
      <c r="F237" s="92" t="n">
        <v>33.5</v>
      </c>
      <c r="G237" s="91" t="s">
        <v>244</v>
      </c>
      <c r="H237" s="112" t="n">
        <f aca="false">IF(AND(AE237="yes",ISNUMBER(AD237)),AD237,"")</f>
        <v>33.5</v>
      </c>
      <c r="I237" s="95" t="n">
        <f aca="false">IF(AND(AE237="yes",ISNUMBER(AD237),ISNUMBER(INDEX(Sources!$G$7:$G$10,MATCH(AB237,Sources!$B$7:$B$10,0)))),ROUND(AD237/INDEX(Sources!$G$7:$G$10,MATCH(AB237,Sources!$B$7:$B$10,0)),6),"")</f>
        <v>33.5</v>
      </c>
      <c r="J237" s="91" t="s">
        <v>702</v>
      </c>
      <c r="K237" s="91" t="s">
        <v>586</v>
      </c>
      <c r="L237" s="96"/>
      <c r="M237" s="109" t="s">
        <v>1106</v>
      </c>
      <c r="N237" s="113" t="s">
        <v>1107</v>
      </c>
      <c r="O237" s="109" t="s">
        <v>388</v>
      </c>
      <c r="P237" s="109" t="s">
        <v>590</v>
      </c>
      <c r="Q237" s="114"/>
      <c r="R237" s="109" t="n">
        <v>1</v>
      </c>
      <c r="S237" s="109"/>
      <c r="T237" s="109" t="s">
        <v>702</v>
      </c>
      <c r="U237" s="109" t="s">
        <v>591</v>
      </c>
      <c r="V237" s="115" t="n">
        <v>33.5</v>
      </c>
      <c r="W237" s="115"/>
      <c r="X237" s="109" t="s">
        <v>612</v>
      </c>
      <c r="Y237" s="109"/>
      <c r="Z237" s="109"/>
      <c r="AA237" s="109"/>
      <c r="AB237" s="109" t="s">
        <v>244</v>
      </c>
      <c r="AC237" s="109" t="s">
        <v>538</v>
      </c>
      <c r="AD237" s="109" t="n">
        <f aca="false">IF(ISNUMBER(V237),ROUND(V237,6),"")</f>
        <v>33.5</v>
      </c>
      <c r="AE237" s="109" t="str">
        <f aca="false">IF(AND(AC237="yes",ISNUMBER(F237),IF(Compare!$H$5="All mapped",TRUE(),IF(Compare!$H$5="EXACT only",J237="EXACT",OR(J237="EXACT",J237="CLOSE")))),"yes","no")</f>
        <v>yes</v>
      </c>
      <c r="AF237" s="109" t="n">
        <f aca="false">IF(ISNUMBER(H237),COUNTIFS($B$7:$B$3000,B237,$C$7:$C$3000,C237,$H$7:$H$3000,"&lt;"&amp;H237,$AH$7:$AH$3000,"yes")+COUNTIFS($B$7:B237,B237,$C$7:C237,C237,$H$7:H237,H237,$AH$7:AH237,"yes"),"")</f>
        <v>5</v>
      </c>
      <c r="AG237" s="109" t="n">
        <f aca="false">IF(ISNUMBER(I237),COUNTIFS($B$7:$B$3000,B237,$C$7:$C$3000,C237,$I$7:$I$3000,"&lt;"&amp;I237,$AI$7:$AI$3000,"yes")+COUNTIFS($B$7:B237,B237,$C$7:C237,C237,$I$7:I237,I237,$AI$7:AI237,"yes"),"")</f>
        <v>5</v>
      </c>
      <c r="AH237" s="109" t="str">
        <f aca="false">IF(ISNUMBER(H237),"yes","no")</f>
        <v>yes</v>
      </c>
      <c r="AI237" s="109" t="str">
        <f aca="false">IF(ISNUMBER(I237),"yes","no")</f>
        <v>yes</v>
      </c>
      <c r="AJ237" s="116" t="n">
        <v>46295</v>
      </c>
      <c r="AK237" s="109"/>
    </row>
    <row r="238" customFormat="false" ht="42" hidden="false" customHeight="true" outlineLevel="0" collapsed="false">
      <c r="A238" s="3"/>
      <c r="B238" s="36" t="s">
        <v>31</v>
      </c>
      <c r="C238" s="98" t="s">
        <v>16</v>
      </c>
      <c r="D238" s="98" t="s">
        <v>313</v>
      </c>
      <c r="E238" s="110" t="s">
        <v>1108</v>
      </c>
      <c r="F238" s="99" t="n">
        <v>34.9</v>
      </c>
      <c r="G238" s="98" t="s">
        <v>244</v>
      </c>
      <c r="H238" s="112" t="n">
        <f aca="false">IF(AND(AE238="yes",ISNUMBER(AD238)),AD238,"")</f>
        <v>29.33</v>
      </c>
      <c r="I238" s="95" t="n">
        <f aca="false">IF(AND(AE238="yes",ISNUMBER(AD238),ISNUMBER(INDEX(Sources!$G$7:$G$10,MATCH(AB238,Sources!$B$7:$B$10,0)))),ROUND(AD238/INDEX(Sources!$G$7:$G$10,MATCH(AB238,Sources!$B$7:$B$10,0)),6),"")</f>
        <v>29.33</v>
      </c>
      <c r="J238" s="98" t="s">
        <v>702</v>
      </c>
      <c r="K238" s="98" t="s">
        <v>586</v>
      </c>
      <c r="L238" s="96"/>
      <c r="M238" s="110" t="s">
        <v>1109</v>
      </c>
      <c r="N238" s="117" t="s">
        <v>1123</v>
      </c>
      <c r="O238" s="110" t="s">
        <v>1030</v>
      </c>
      <c r="P238" s="110" t="s">
        <v>265</v>
      </c>
      <c r="Q238" s="118"/>
      <c r="R238" s="110" t="n">
        <v>1</v>
      </c>
      <c r="S238" s="110"/>
      <c r="T238" s="110" t="s">
        <v>702</v>
      </c>
      <c r="U238" s="110" t="s">
        <v>591</v>
      </c>
      <c r="V238" s="119" t="n">
        <v>29.33</v>
      </c>
      <c r="W238" s="119"/>
      <c r="X238" s="110" t="s">
        <v>612</v>
      </c>
      <c r="Y238" s="110"/>
      <c r="Z238" s="110"/>
      <c r="AA238" s="110"/>
      <c r="AB238" s="110" t="s">
        <v>244</v>
      </c>
      <c r="AC238" s="110" t="s">
        <v>538</v>
      </c>
      <c r="AD238" s="110" t="n">
        <f aca="false">IF(ISNUMBER(V238),ROUND(V238,6),"")</f>
        <v>29.33</v>
      </c>
      <c r="AE238" s="110" t="str">
        <f aca="false">IF(AND(AC238="yes",ISNUMBER(F238),IF(Compare!$H$5="All mapped",TRUE(),IF(Compare!$H$5="EXACT only",J238="EXACT",OR(J238="EXACT",J238="CLOSE")))),"yes","no")</f>
        <v>yes</v>
      </c>
      <c r="AF238" s="110" t="n">
        <f aca="false">IF(ISNUMBER(H238),COUNTIFS($B$7:$B$3000,B238,$C$7:$C$3000,C238,$H$7:$H$3000,"&lt;"&amp;H238,$AH$7:$AH$3000,"yes")+COUNTIFS($B$7:B238,B238,$C$7:C238,C238,$H$7:H238,H238,$AH$7:AH238,"yes"),"")</f>
        <v>2</v>
      </c>
      <c r="AG238" s="110" t="n">
        <f aca="false">IF(ISNUMBER(I238),COUNTIFS($B$7:$B$3000,B238,$C$7:$C$3000,C238,$I$7:$I$3000,"&lt;"&amp;I238,$AI$7:$AI$3000,"yes")+COUNTIFS($B$7:B238,B238,$C$7:C238,C238,$I$7:I238,I238,$AI$7:AI238,"yes"),"")</f>
        <v>2</v>
      </c>
      <c r="AH238" s="110" t="str">
        <f aca="false">IF(ISNUMBER(H238),"yes","no")</f>
        <v>yes</v>
      </c>
      <c r="AI238" s="110" t="str">
        <f aca="false">IF(ISNUMBER(I238),"yes","no")</f>
        <v>yes</v>
      </c>
      <c r="AJ238" s="120" t="n">
        <v>46295</v>
      </c>
      <c r="AK238" s="110"/>
    </row>
    <row r="239" customFormat="false" ht="42" hidden="false" customHeight="true" outlineLevel="0" collapsed="false">
      <c r="A239" s="3"/>
      <c r="B239" s="31" t="s">
        <v>31</v>
      </c>
      <c r="C239" s="91" t="s">
        <v>16</v>
      </c>
      <c r="D239" s="91" t="s">
        <v>321</v>
      </c>
      <c r="E239" s="109" t="s">
        <v>1111</v>
      </c>
      <c r="F239" s="92" t="n">
        <v>35.05</v>
      </c>
      <c r="G239" s="91" t="s">
        <v>244</v>
      </c>
      <c r="H239" s="112" t="n">
        <f aca="false">IF(AND(AE239="yes",ISNUMBER(AD239)),AD239,"")</f>
        <v>35.05</v>
      </c>
      <c r="I239" s="95" t="n">
        <f aca="false">IF(AND(AE239="yes",ISNUMBER(AD239),ISNUMBER(INDEX(Sources!$G$7:$G$10,MATCH(AB239,Sources!$B$7:$B$10,0)))),ROUND(AD239/INDEX(Sources!$G$7:$G$10,MATCH(AB239,Sources!$B$7:$B$10,0)),6),"")</f>
        <v>35.05</v>
      </c>
      <c r="J239" s="91" t="s">
        <v>530</v>
      </c>
      <c r="K239" s="91" t="s">
        <v>586</v>
      </c>
      <c r="L239" s="96"/>
      <c r="M239" s="109" t="s">
        <v>1124</v>
      </c>
      <c r="N239" s="113" t="s">
        <v>1125</v>
      </c>
      <c r="O239" s="109" t="s">
        <v>646</v>
      </c>
      <c r="P239" s="109" t="s">
        <v>590</v>
      </c>
      <c r="Q239" s="114"/>
      <c r="R239" s="109" t="n">
        <v>1</v>
      </c>
      <c r="S239" s="109"/>
      <c r="T239" s="109" t="s">
        <v>530</v>
      </c>
      <c r="U239" s="109" t="s">
        <v>591</v>
      </c>
      <c r="V239" s="115" t="n">
        <v>35.05</v>
      </c>
      <c r="W239" s="115"/>
      <c r="X239" s="109" t="s">
        <v>612</v>
      </c>
      <c r="Y239" s="109"/>
      <c r="Z239" s="109"/>
      <c r="AA239" s="109"/>
      <c r="AB239" s="109" t="s">
        <v>244</v>
      </c>
      <c r="AC239" s="109" t="s">
        <v>538</v>
      </c>
      <c r="AD239" s="109" t="n">
        <f aca="false">IF(ISNUMBER(V239),ROUND(V239,6),"")</f>
        <v>35.05</v>
      </c>
      <c r="AE239" s="109" t="str">
        <f aca="false">IF(AND(AC239="yes",ISNUMBER(F239),IF(Compare!$H$5="All mapped",TRUE(),IF(Compare!$H$5="EXACT only",J239="EXACT",OR(J239="EXACT",J239="CLOSE")))),"yes","no")</f>
        <v>yes</v>
      </c>
      <c r="AF239" s="109" t="n">
        <f aca="false">IF(ISNUMBER(H239),COUNTIFS($B$7:$B$3000,B239,$C$7:$C$3000,C239,$H$7:$H$3000,"&lt;"&amp;H239,$AH$7:$AH$3000,"yes")+COUNTIFS($B$7:B239,B239,$C$7:C239,C239,$H$7:H239,H239,$AH$7:AH239,"yes"),"")</f>
        <v>6</v>
      </c>
      <c r="AG239" s="109" t="n">
        <f aca="false">IF(ISNUMBER(I239),COUNTIFS($B$7:$B$3000,B239,$C$7:$C$3000,C239,$I$7:$I$3000,"&lt;"&amp;I239,$AI$7:$AI$3000,"yes")+COUNTIFS($B$7:B239,B239,$C$7:C239,C239,$I$7:I239,I239,$AI$7:AI239,"yes"),"")</f>
        <v>6</v>
      </c>
      <c r="AH239" s="109" t="str">
        <f aca="false">IF(ISNUMBER(H239),"yes","no")</f>
        <v>yes</v>
      </c>
      <c r="AI239" s="109" t="str">
        <f aca="false">IF(ISNUMBER(I239),"yes","no")</f>
        <v>yes</v>
      </c>
      <c r="AJ239" s="116" t="n">
        <v>46295</v>
      </c>
      <c r="AK239" s="109"/>
    </row>
    <row r="240" customFormat="false" ht="42" hidden="false" customHeight="true" outlineLevel="0" collapsed="false">
      <c r="A240" s="3"/>
      <c r="B240" s="36" t="s">
        <v>31</v>
      </c>
      <c r="C240" s="98" t="s">
        <v>16</v>
      </c>
      <c r="D240" s="98" t="s">
        <v>329</v>
      </c>
      <c r="E240" s="110" t="s">
        <v>1126</v>
      </c>
      <c r="F240" s="99" t="n">
        <v>57.99</v>
      </c>
      <c r="G240" s="98" t="s">
        <v>244</v>
      </c>
      <c r="H240" s="112" t="n">
        <f aca="false">IF(AND(AE240="yes",ISNUMBER(AD240)),AD240,"")</f>
        <v>57.99</v>
      </c>
      <c r="I240" s="95" t="n">
        <f aca="false">IF(AND(AE240="yes",ISNUMBER(AD240),ISNUMBER(INDEX(Sources!$G$7:$G$10,MATCH(AB240,Sources!$B$7:$B$10,0)))),ROUND(AD240/INDEX(Sources!$G$7:$G$10,MATCH(AB240,Sources!$B$7:$B$10,0)),6),"")</f>
        <v>57.99</v>
      </c>
      <c r="J240" s="98" t="s">
        <v>530</v>
      </c>
      <c r="K240" s="98" t="s">
        <v>586</v>
      </c>
      <c r="L240" s="96"/>
      <c r="M240" s="110" t="s">
        <v>1127</v>
      </c>
      <c r="N240" s="117" t="s">
        <v>1128</v>
      </c>
      <c r="O240" s="110" t="s">
        <v>1061</v>
      </c>
      <c r="P240" s="110" t="s">
        <v>590</v>
      </c>
      <c r="Q240" s="118"/>
      <c r="R240" s="110" t="n">
        <v>1</v>
      </c>
      <c r="S240" s="110"/>
      <c r="T240" s="110" t="s">
        <v>530</v>
      </c>
      <c r="U240" s="110" t="s">
        <v>591</v>
      </c>
      <c r="V240" s="119" t="n">
        <v>57.99</v>
      </c>
      <c r="W240" s="119"/>
      <c r="X240" s="110" t="s">
        <v>612</v>
      </c>
      <c r="Y240" s="110"/>
      <c r="Z240" s="110"/>
      <c r="AA240" s="110"/>
      <c r="AB240" s="110" t="s">
        <v>244</v>
      </c>
      <c r="AC240" s="110" t="s">
        <v>538</v>
      </c>
      <c r="AD240" s="110" t="n">
        <f aca="false">IF(ISNUMBER(V240),ROUND(V240,6),"")</f>
        <v>57.99</v>
      </c>
      <c r="AE240" s="110" t="str">
        <f aca="false">IF(AND(AC240="yes",ISNUMBER(F240),IF(Compare!$H$5="All mapped",TRUE(),IF(Compare!$H$5="EXACT only",J240="EXACT",OR(J240="EXACT",J240="CLOSE")))),"yes","no")</f>
        <v>yes</v>
      </c>
      <c r="AF240" s="110" t="n">
        <f aca="false">IF(ISNUMBER(H240),COUNTIFS($B$7:$B$3000,B240,$C$7:$C$3000,C240,$H$7:$H$3000,"&lt;"&amp;H240,$AH$7:$AH$3000,"yes")+COUNTIFS($B$7:B240,B240,$C$7:C240,C240,$H$7:H240,H240,$AH$7:AH240,"yes"),"")</f>
        <v>10</v>
      </c>
      <c r="AG240" s="110" t="n">
        <f aca="false">IF(ISNUMBER(I240),COUNTIFS($B$7:$B$3000,B240,$C$7:$C$3000,C240,$I$7:$I$3000,"&lt;"&amp;I240,$AI$7:$AI$3000,"yes")+COUNTIFS($B$7:B240,B240,$C$7:C240,C240,$I$7:I240,I240,$AI$7:AI240,"yes"),"")</f>
        <v>10</v>
      </c>
      <c r="AH240" s="110" t="str">
        <f aca="false">IF(ISNUMBER(H240),"yes","no")</f>
        <v>yes</v>
      </c>
      <c r="AI240" s="110" t="str">
        <f aca="false">IF(ISNUMBER(I240),"yes","no")</f>
        <v>yes</v>
      </c>
      <c r="AJ240" s="120" t="n">
        <v>46295</v>
      </c>
      <c r="AK240" s="110"/>
    </row>
    <row r="241" customFormat="false" ht="48.75" hidden="false" customHeight="true" outlineLevel="0" collapsed="false">
      <c r="A241" s="3"/>
      <c r="B241" s="31" t="s">
        <v>31</v>
      </c>
      <c r="C241" s="91" t="s">
        <v>17</v>
      </c>
      <c r="D241" s="91" t="s">
        <v>354</v>
      </c>
      <c r="E241" s="109" t="s">
        <v>1129</v>
      </c>
      <c r="F241" s="92" t="n">
        <v>717.76</v>
      </c>
      <c r="G241" s="91" t="s">
        <v>333</v>
      </c>
      <c r="H241" s="112" t="n">
        <f aca="false">IF(AND(AE241="yes",ISNUMBER(AD241)),AD241,"")</f>
        <v>717.76</v>
      </c>
      <c r="I241" s="95" t="n">
        <f aca="false">IF(AND(AE241="yes",ISNUMBER(AD241),ISNUMBER(INDEX(Sources!$G$7:$G$10,MATCH(AB241,Sources!$B$7:$B$10,0)))),ROUND(AD241/INDEX(Sources!$G$7:$G$10,MATCH(AB241,Sources!$B$7:$B$10,0)),6),"")</f>
        <v>29.38795</v>
      </c>
      <c r="J241" s="91" t="s">
        <v>530</v>
      </c>
      <c r="K241" s="91" t="s">
        <v>586</v>
      </c>
      <c r="L241" s="96"/>
      <c r="M241" s="109" t="s">
        <v>1130</v>
      </c>
      <c r="N241" s="113" t="s">
        <v>1131</v>
      </c>
      <c r="O241" s="109" t="s">
        <v>610</v>
      </c>
      <c r="P241" s="109" t="s">
        <v>590</v>
      </c>
      <c r="Q241" s="114" t="n">
        <v>0.19</v>
      </c>
      <c r="R241" s="109" t="n">
        <v>1</v>
      </c>
      <c r="S241" s="109" t="s">
        <v>632</v>
      </c>
      <c r="T241" s="109" t="s">
        <v>530</v>
      </c>
      <c r="U241" s="109" t="s">
        <v>591</v>
      </c>
      <c r="V241" s="115"/>
      <c r="W241" s="115"/>
      <c r="X241" s="109" t="s">
        <v>626</v>
      </c>
      <c r="Y241" s="109"/>
      <c r="Z241" s="109"/>
      <c r="AA241" s="109"/>
      <c r="AB241" s="109" t="s">
        <v>333</v>
      </c>
      <c r="AC241" s="109" t="s">
        <v>538</v>
      </c>
      <c r="AD241" s="109" t="n">
        <f aca="false">IF(OR(F241="",Q241="",R241=""),"",ROUND(IF(P241="incl.",F241/(1+Q241),F241)/IF(S241="per pack",R241,1),2))</f>
        <v>717.76</v>
      </c>
      <c r="AE241" s="109" t="str">
        <f aca="false">IF(AND(AC241="yes",ISNUMBER(F241),IF(Compare!$H$5="All mapped",TRUE(),IF(Compare!$H$5="EXACT only",J241="EXACT",OR(J241="EXACT",J241="CLOSE")))),"yes","no")</f>
        <v>yes</v>
      </c>
      <c r="AF241" s="109" t="n">
        <f aca="false">IF(ISNUMBER(H241),COUNTIFS($B$7:$B$3000,B241,$C$7:$C$3000,C241,$H$7:$H$3000,"&lt;"&amp;H241,$AH$7:$AH$3000,"yes")+COUNTIFS($B$7:B241,B241,$C$7:C241,C241,$H$7:H241,H241,$AH$7:AH241,"yes"),"")</f>
        <v>2</v>
      </c>
      <c r="AG241" s="109" t="n">
        <f aca="false">IF(ISNUMBER(I241),COUNTIFS($B$7:$B$3000,B241,$C$7:$C$3000,C241,$I$7:$I$3000,"&lt;"&amp;I241,$AI$7:$AI$3000,"yes")+COUNTIFS($B$7:B241,B241,$C$7:C241,C241,$I$7:I241,I241,$AI$7:AI241,"yes"),"")</f>
        <v>2</v>
      </c>
      <c r="AH241" s="109" t="str">
        <f aca="false">IF(ISNUMBER(H241),"yes","no")</f>
        <v>yes</v>
      </c>
      <c r="AI241" s="109" t="str">
        <f aca="false">IF(ISNUMBER(I241),"yes","no")</f>
        <v>yes</v>
      </c>
      <c r="AJ241" s="116" t="n">
        <v>46295</v>
      </c>
      <c r="AK241" s="109"/>
    </row>
    <row r="242" customFormat="false" ht="48.75" hidden="false" customHeight="true" outlineLevel="0" collapsed="false">
      <c r="A242" s="3"/>
      <c r="B242" s="36" t="s">
        <v>31</v>
      </c>
      <c r="C242" s="98" t="s">
        <v>17</v>
      </c>
      <c r="D242" s="98" t="s">
        <v>332</v>
      </c>
      <c r="E242" s="110" t="s">
        <v>1132</v>
      </c>
      <c r="F242" s="99" t="n">
        <v>1350</v>
      </c>
      <c r="G242" s="98" t="s">
        <v>333</v>
      </c>
      <c r="H242" s="112" t="n">
        <f aca="false">IF(AND(AE242="yes",ISNUMBER(AD242)),AD242,"")</f>
        <v>1350</v>
      </c>
      <c r="I242" s="95" t="n">
        <f aca="false">IF(AND(AE242="yes",ISNUMBER(AD242),ISNUMBER(INDEX(Sources!$G$7:$G$10,MATCH(AB242,Sources!$B$7:$B$10,0)))),ROUND(AD242/INDEX(Sources!$G$7:$G$10,MATCH(AB242,Sources!$B$7:$B$10,0)),6),"")</f>
        <v>55.274371</v>
      </c>
      <c r="J242" s="98" t="s">
        <v>530</v>
      </c>
      <c r="K242" s="98" t="s">
        <v>586</v>
      </c>
      <c r="L242" s="96"/>
      <c r="M242" s="110" t="s">
        <v>1133</v>
      </c>
      <c r="N242" s="117" t="s">
        <v>1134</v>
      </c>
      <c r="O242" s="110"/>
      <c r="P242" s="110" t="s">
        <v>590</v>
      </c>
      <c r="Q242" s="118" t="n">
        <v>0.21</v>
      </c>
      <c r="R242" s="110" t="n">
        <v>1</v>
      </c>
      <c r="S242" s="110" t="s">
        <v>632</v>
      </c>
      <c r="T242" s="110" t="s">
        <v>530</v>
      </c>
      <c r="U242" s="110" t="s">
        <v>591</v>
      </c>
      <c r="V242" s="119"/>
      <c r="W242" s="119"/>
      <c r="X242" s="110" t="s">
        <v>626</v>
      </c>
      <c r="Y242" s="110"/>
      <c r="Z242" s="110"/>
      <c r="AA242" s="110"/>
      <c r="AB242" s="110" t="s">
        <v>333</v>
      </c>
      <c r="AC242" s="110" t="s">
        <v>538</v>
      </c>
      <c r="AD242" s="110" t="n">
        <f aca="false">IF(OR(F242="",Q242="",R242=""),"",ROUND(IF(P242="incl.",F242/(1+Q242),F242)/IF(S242="per pack",R242,1),2))</f>
        <v>1350</v>
      </c>
      <c r="AE242" s="110" t="str">
        <f aca="false">IF(AND(AC242="yes",ISNUMBER(F242),IF(Compare!$H$5="All mapped",TRUE(),IF(Compare!$H$5="EXACT only",J242="EXACT",OR(J242="EXACT",J242="CLOSE")))),"yes","no")</f>
        <v>yes</v>
      </c>
      <c r="AF242" s="110" t="n">
        <f aca="false">IF(ISNUMBER(H242),COUNTIFS($B$7:$B$3000,B242,$C$7:$C$3000,C242,$H$7:$H$3000,"&lt;"&amp;H242,$AH$7:$AH$3000,"yes")+COUNTIFS($B$7:B242,B242,$C$7:C242,C242,$H$7:H242,H242,$AH$7:AH242,"yes"),"")</f>
        <v>5</v>
      </c>
      <c r="AG242" s="110" t="n">
        <f aca="false">IF(ISNUMBER(I242),COUNTIFS($B$7:$B$3000,B242,$C$7:$C$3000,C242,$I$7:$I$3000,"&lt;"&amp;I242,$AI$7:$AI$3000,"yes")+COUNTIFS($B$7:B242,B242,$C$7:C242,C242,$I$7:I242,I242,$AI$7:AI242,"yes"),"")</f>
        <v>5</v>
      </c>
      <c r="AH242" s="110" t="str">
        <f aca="false">IF(ISNUMBER(H242),"yes","no")</f>
        <v>yes</v>
      </c>
      <c r="AI242" s="110" t="str">
        <f aca="false">IF(ISNUMBER(I242),"yes","no")</f>
        <v>yes</v>
      </c>
      <c r="AJ242" s="120" t="n">
        <v>46295</v>
      </c>
      <c r="AK242" s="110"/>
    </row>
    <row r="243" customFormat="false" ht="42" hidden="false" customHeight="true" outlineLevel="0" collapsed="false">
      <c r="A243" s="3"/>
      <c r="B243" s="31" t="s">
        <v>31</v>
      </c>
      <c r="C243" s="91" t="s">
        <v>17</v>
      </c>
      <c r="D243" s="91" t="s">
        <v>342</v>
      </c>
      <c r="E243" s="109" t="s">
        <v>1135</v>
      </c>
      <c r="F243" s="92" t="n">
        <v>574</v>
      </c>
      <c r="G243" s="91" t="s">
        <v>333</v>
      </c>
      <c r="H243" s="112" t="n">
        <f aca="false">IF(AND(AE243="yes",ISNUMBER(AD243)),AD243,"")</f>
        <v>574</v>
      </c>
      <c r="I243" s="95" t="n">
        <f aca="false">IF(AND(AE243="yes",ISNUMBER(AD243),ISNUMBER(INDEX(Sources!$G$7:$G$10,MATCH(AB243,Sources!$B$7:$B$10,0)))),ROUND(AD243/INDEX(Sources!$G$7:$G$10,MATCH(AB243,Sources!$B$7:$B$10,0)),6),"")</f>
        <v>23.501844</v>
      </c>
      <c r="J243" s="91" t="s">
        <v>530</v>
      </c>
      <c r="K243" s="91" t="s">
        <v>586</v>
      </c>
      <c r="L243" s="96"/>
      <c r="M243" s="109" t="s">
        <v>1136</v>
      </c>
      <c r="N243" s="113" t="s">
        <v>1137</v>
      </c>
      <c r="O243" s="109" t="s">
        <v>1138</v>
      </c>
      <c r="P243" s="109" t="s">
        <v>590</v>
      </c>
      <c r="Q243" s="114" t="n">
        <v>0.21</v>
      </c>
      <c r="R243" s="109" t="n">
        <v>1</v>
      </c>
      <c r="S243" s="109" t="s">
        <v>632</v>
      </c>
      <c r="T243" s="109" t="s">
        <v>530</v>
      </c>
      <c r="U243" s="109" t="s">
        <v>591</v>
      </c>
      <c r="V243" s="115"/>
      <c r="W243" s="115"/>
      <c r="X243" s="109" t="s">
        <v>626</v>
      </c>
      <c r="Y243" s="109"/>
      <c r="Z243" s="109"/>
      <c r="AA243" s="109"/>
      <c r="AB243" s="109" t="s">
        <v>333</v>
      </c>
      <c r="AC243" s="109" t="s">
        <v>538</v>
      </c>
      <c r="AD243" s="109" t="n">
        <f aca="false">IF(OR(F243="",Q243="",R243=""),"",ROUND(IF(P243="incl.",F243/(1+Q243),F243)/IF(S243="per pack",R243,1),2))</f>
        <v>574</v>
      </c>
      <c r="AE243" s="109" t="str">
        <f aca="false">IF(AND(AC243="yes",ISNUMBER(F243),IF(Compare!$H$5="All mapped",TRUE(),IF(Compare!$H$5="EXACT only",J243="EXACT",OR(J243="EXACT",J243="CLOSE")))),"yes","no")</f>
        <v>yes</v>
      </c>
      <c r="AF243" s="109" t="n">
        <f aca="false">IF(ISNUMBER(H243),COUNTIFS($B$7:$B$3000,B243,$C$7:$C$3000,C243,$H$7:$H$3000,"&lt;"&amp;H243,$AH$7:$AH$3000,"yes")+COUNTIFS($B$7:B243,B243,$C$7:C243,C243,$H$7:H243,H243,$AH$7:AH243,"yes"),"")</f>
        <v>1</v>
      </c>
      <c r="AG243" s="109" t="n">
        <f aca="false">IF(ISNUMBER(I243),COUNTIFS($B$7:$B$3000,B243,$C$7:$C$3000,C243,$I$7:$I$3000,"&lt;"&amp;I243,$AI$7:$AI$3000,"yes")+COUNTIFS($B$7:B243,B243,$C$7:C243,C243,$I$7:I243,I243,$AI$7:AI243,"yes"),"")</f>
        <v>1</v>
      </c>
      <c r="AH243" s="109" t="str">
        <f aca="false">IF(ISNUMBER(H243),"yes","no")</f>
        <v>yes</v>
      </c>
      <c r="AI243" s="109" t="str">
        <f aca="false">IF(ISNUMBER(I243),"yes","no")</f>
        <v>yes</v>
      </c>
      <c r="AJ243" s="116" t="n">
        <v>46295</v>
      </c>
      <c r="AK243" s="109"/>
    </row>
    <row r="244" customFormat="false" ht="42" hidden="false" customHeight="true" outlineLevel="0" collapsed="false">
      <c r="A244" s="3"/>
      <c r="B244" s="36" t="s">
        <v>31</v>
      </c>
      <c r="C244" s="98" t="s">
        <v>17</v>
      </c>
      <c r="D244" s="98" t="s">
        <v>346</v>
      </c>
      <c r="E244" s="110" t="s">
        <v>1139</v>
      </c>
      <c r="F244" s="99" t="n">
        <v>2225</v>
      </c>
      <c r="G244" s="98" t="s">
        <v>333</v>
      </c>
      <c r="H244" s="112" t="n">
        <f aca="false">IF(AND(AE244="yes",ISNUMBER(AD244)),AD244,"")</f>
        <v>1838.84</v>
      </c>
      <c r="I244" s="95" t="n">
        <f aca="false">IF(AND(AE244="yes",ISNUMBER(AD244),ISNUMBER(INDEX(Sources!$G$7:$G$10,MATCH(AB244,Sources!$B$7:$B$10,0)))),ROUND(AD244/INDEX(Sources!$G$7:$G$10,MATCH(AB244,Sources!$B$7:$B$10,0)),6),"")</f>
        <v>75.289426</v>
      </c>
      <c r="J244" s="98" t="s">
        <v>702</v>
      </c>
      <c r="K244" s="98" t="s">
        <v>586</v>
      </c>
      <c r="L244" s="96"/>
      <c r="M244" s="110" t="s">
        <v>1140</v>
      </c>
      <c r="N244" s="117" t="s">
        <v>1141</v>
      </c>
      <c r="O244" s="110" t="s">
        <v>1074</v>
      </c>
      <c r="P244" s="110" t="s">
        <v>265</v>
      </c>
      <c r="Q244" s="118" t="n">
        <v>0.21</v>
      </c>
      <c r="R244" s="110" t="n">
        <v>1</v>
      </c>
      <c r="S244" s="110" t="s">
        <v>632</v>
      </c>
      <c r="T244" s="110" t="s">
        <v>702</v>
      </c>
      <c r="U244" s="110" t="s">
        <v>591</v>
      </c>
      <c r="V244" s="119"/>
      <c r="W244" s="119"/>
      <c r="X244" s="110" t="s">
        <v>626</v>
      </c>
      <c r="Y244" s="110"/>
      <c r="Z244" s="110"/>
      <c r="AA244" s="110"/>
      <c r="AB244" s="110" t="s">
        <v>333</v>
      </c>
      <c r="AC244" s="110" t="s">
        <v>538</v>
      </c>
      <c r="AD244" s="110" t="n">
        <f aca="false">IF(OR(F244="",Q244="",R244=""),"",ROUND(IF(P244="incl.",F244/(1+Q244),F244)/IF(S244="per pack",R244,1),2))</f>
        <v>1838.84</v>
      </c>
      <c r="AE244" s="110" t="str">
        <f aca="false">IF(AND(AC244="yes",ISNUMBER(F244),IF(Compare!$H$5="All mapped",TRUE(),IF(Compare!$H$5="EXACT only",J244="EXACT",OR(J244="EXACT",J244="CLOSE")))),"yes","no")</f>
        <v>yes</v>
      </c>
      <c r="AF244" s="110" t="n">
        <f aca="false">IF(ISNUMBER(H244),COUNTIFS($B$7:$B$3000,B244,$C$7:$C$3000,C244,$H$7:$H$3000,"&lt;"&amp;H244,$AH$7:$AH$3000,"yes")+COUNTIFS($B$7:B244,B244,$C$7:C244,C244,$H$7:H244,H244,$AH$7:AH244,"yes"),"")</f>
        <v>6</v>
      </c>
      <c r="AG244" s="110" t="n">
        <f aca="false">IF(ISNUMBER(I244),COUNTIFS($B$7:$B$3000,B244,$C$7:$C$3000,C244,$I$7:$I$3000,"&lt;"&amp;I244,$AI$7:$AI$3000,"yes")+COUNTIFS($B$7:B244,B244,$C$7:C244,C244,$I$7:I244,I244,$AI$7:AI244,"yes"),"")</f>
        <v>6</v>
      </c>
      <c r="AH244" s="110" t="str">
        <f aca="false">IF(ISNUMBER(H244),"yes","no")</f>
        <v>yes</v>
      </c>
      <c r="AI244" s="110" t="str">
        <f aca="false">IF(ISNUMBER(I244),"yes","no")</f>
        <v>yes</v>
      </c>
      <c r="AJ244" s="120" t="n">
        <v>46295</v>
      </c>
      <c r="AK244" s="110"/>
    </row>
    <row r="245" customFormat="false" ht="42" hidden="false" customHeight="true" outlineLevel="0" collapsed="false">
      <c r="A245" s="3"/>
      <c r="B245" s="31" t="s">
        <v>31</v>
      </c>
      <c r="C245" s="91" t="s">
        <v>17</v>
      </c>
      <c r="D245" s="91" t="s">
        <v>361</v>
      </c>
      <c r="E245" s="109" t="s">
        <v>1142</v>
      </c>
      <c r="F245" s="92" t="n">
        <v>1440</v>
      </c>
      <c r="G245" s="91" t="s">
        <v>333</v>
      </c>
      <c r="H245" s="112" t="n">
        <f aca="false">IF(AND(AE245="yes",ISNUMBER(AD245)),AD245,"")</f>
        <v>1190.08</v>
      </c>
      <c r="I245" s="95" t="n">
        <f aca="false">IF(AND(AE245="yes",ISNUMBER(AD245),ISNUMBER(INDEX(Sources!$G$7:$G$10,MATCH(AB245,Sources!$B$7:$B$10,0)))),ROUND(AD245/INDEX(Sources!$G$7:$G$10,MATCH(AB245,Sources!$B$7:$B$10,0)),6),"")</f>
        <v>48.72661</v>
      </c>
      <c r="J245" s="91" t="s">
        <v>530</v>
      </c>
      <c r="K245" s="91" t="s">
        <v>586</v>
      </c>
      <c r="L245" s="96"/>
      <c r="M245" s="109" t="s">
        <v>1143</v>
      </c>
      <c r="N245" s="113" t="s">
        <v>1144</v>
      </c>
      <c r="O245" s="109" t="s">
        <v>361</v>
      </c>
      <c r="P245" s="109" t="s">
        <v>265</v>
      </c>
      <c r="Q245" s="114" t="n">
        <v>0.21</v>
      </c>
      <c r="R245" s="109" t="n">
        <v>1</v>
      </c>
      <c r="S245" s="109" t="s">
        <v>632</v>
      </c>
      <c r="T245" s="109" t="s">
        <v>530</v>
      </c>
      <c r="U245" s="109" t="s">
        <v>591</v>
      </c>
      <c r="V245" s="115"/>
      <c r="W245" s="115"/>
      <c r="X245" s="109" t="s">
        <v>626</v>
      </c>
      <c r="Y245" s="109"/>
      <c r="Z245" s="109"/>
      <c r="AA245" s="109"/>
      <c r="AB245" s="109" t="s">
        <v>333</v>
      </c>
      <c r="AC245" s="109" t="s">
        <v>538</v>
      </c>
      <c r="AD245" s="109" t="n">
        <f aca="false">IF(OR(F245="",Q245="",R245=""),"",ROUND(IF(P245="incl.",F245/(1+Q245),F245)/IF(S245="per pack",R245,1),2))</f>
        <v>1190.08</v>
      </c>
      <c r="AE245" s="109" t="str">
        <f aca="false">IF(AND(AC245="yes",ISNUMBER(F245),IF(Compare!$H$5="All mapped",TRUE(),IF(Compare!$H$5="EXACT only",J245="EXACT",OR(J245="EXACT",J245="CLOSE")))),"yes","no")</f>
        <v>yes</v>
      </c>
      <c r="AF245" s="109" t="n">
        <f aca="false">IF(ISNUMBER(H245),COUNTIFS($B$7:$B$3000,B245,$C$7:$C$3000,C245,$H$7:$H$3000,"&lt;"&amp;H245,$AH$7:$AH$3000,"yes")+COUNTIFS($B$7:B245,B245,$C$7:C245,C245,$H$7:H245,H245,$AH$7:AH245,"yes"),"")</f>
        <v>4</v>
      </c>
      <c r="AG245" s="109" t="n">
        <f aca="false">IF(ISNUMBER(I245),COUNTIFS($B$7:$B$3000,B245,$C$7:$C$3000,C245,$I$7:$I$3000,"&lt;"&amp;I245,$AI$7:$AI$3000,"yes")+COUNTIFS($B$7:B245,B245,$C$7:C245,C245,$I$7:I245,I245,$AI$7:AI245,"yes"),"")</f>
        <v>4</v>
      </c>
      <c r="AH245" s="109" t="str">
        <f aca="false">IF(ISNUMBER(H245),"yes","no")</f>
        <v>yes</v>
      </c>
      <c r="AI245" s="109" t="str">
        <f aca="false">IF(ISNUMBER(I245),"yes","no")</f>
        <v>yes</v>
      </c>
      <c r="AJ245" s="116" t="n">
        <v>46295</v>
      </c>
      <c r="AK245" s="109"/>
    </row>
    <row r="246" customFormat="false" ht="48.75" hidden="false" customHeight="true" outlineLevel="0" collapsed="false">
      <c r="A246" s="3"/>
      <c r="B246" s="36" t="s">
        <v>31</v>
      </c>
      <c r="C246" s="98" t="s">
        <v>18</v>
      </c>
      <c r="D246" s="98" t="s">
        <v>365</v>
      </c>
      <c r="E246" s="110" t="s">
        <v>1145</v>
      </c>
      <c r="F246" s="99" t="n">
        <v>32.85</v>
      </c>
      <c r="G246" s="98" t="s">
        <v>244</v>
      </c>
      <c r="H246" s="112" t="n">
        <f aca="false">IF(AND(AE246="yes",ISNUMBER(AD246)),AD246,"")</f>
        <v>32.85</v>
      </c>
      <c r="I246" s="95" t="n">
        <f aca="false">IF(AND(AE246="yes",ISNUMBER(AD246),ISNUMBER(INDEX(Sources!$G$7:$G$10,MATCH(AB246,Sources!$B$7:$B$10,0)))),ROUND(AD246/INDEX(Sources!$G$7:$G$10,MATCH(AB246,Sources!$B$7:$B$10,0)),6),"")</f>
        <v>32.85</v>
      </c>
      <c r="J246" s="98" t="s">
        <v>530</v>
      </c>
      <c r="K246" s="98" t="s">
        <v>586</v>
      </c>
      <c r="L246" s="96"/>
      <c r="M246" s="110" t="s">
        <v>1146</v>
      </c>
      <c r="N246" s="117" t="s">
        <v>1147</v>
      </c>
      <c r="O246" s="110" t="s">
        <v>1030</v>
      </c>
      <c r="P246" s="110" t="s">
        <v>590</v>
      </c>
      <c r="Q246" s="118" t="s">
        <v>647</v>
      </c>
      <c r="R246" s="110" t="n">
        <v>1</v>
      </c>
      <c r="S246" s="110" t="s">
        <v>632</v>
      </c>
      <c r="T246" s="110" t="s">
        <v>530</v>
      </c>
      <c r="U246" s="110" t="s">
        <v>591</v>
      </c>
      <c r="V246" s="119" t="n">
        <v>32.85</v>
      </c>
      <c r="W246" s="119"/>
      <c r="X246" s="110" t="s">
        <v>648</v>
      </c>
      <c r="Y246" s="110"/>
      <c r="Z246" s="110"/>
      <c r="AA246" s="110"/>
      <c r="AB246" s="110" t="s">
        <v>244</v>
      </c>
      <c r="AC246" s="110" t="s">
        <v>538</v>
      </c>
      <c r="AD246" s="110" t="n">
        <f aca="false">IF(ISNUMBER(V246),ROUND(V246,6),"")</f>
        <v>32.85</v>
      </c>
      <c r="AE246" s="110" t="str">
        <f aca="false">IF(AND(AC246="yes",ISNUMBER(F246),IF(Compare!$H$5="All mapped",TRUE(),IF(Compare!$H$5="EXACT only",J246="EXACT",OR(J246="EXACT",J246="CLOSE")))),"yes","no")</f>
        <v>yes</v>
      </c>
      <c r="AF246" s="110" t="n">
        <f aca="false">IF(ISNUMBER(H246),COUNTIFS($B$7:$B$3000,B246,$C$7:$C$3000,C246,$H$7:$H$3000,"&lt;"&amp;H246,$AH$7:$AH$3000,"yes")+COUNTIFS($B$7:B246,B246,$C$7:C246,C246,$H$7:H246,H246,$AH$7:AH246,"yes"),"")</f>
        <v>1</v>
      </c>
      <c r="AG246" s="110" t="n">
        <f aca="false">IF(ISNUMBER(I246),COUNTIFS($B$7:$B$3000,B246,$C$7:$C$3000,C246,$I$7:$I$3000,"&lt;"&amp;I246,$AI$7:$AI$3000,"yes")+COUNTIFS($B$7:B246,B246,$C$7:C246,C246,$I$7:I246,I246,$AI$7:AI246,"yes"),"")</f>
        <v>1</v>
      </c>
      <c r="AH246" s="110" t="str">
        <f aca="false">IF(ISNUMBER(H246),"yes","no")</f>
        <v>yes</v>
      </c>
      <c r="AI246" s="110" t="str">
        <f aca="false">IF(ISNUMBER(I246),"yes","no")</f>
        <v>yes</v>
      </c>
      <c r="AJ246" s="120" t="n">
        <v>46295</v>
      </c>
      <c r="AK246" s="110"/>
    </row>
    <row r="247" customFormat="false" ht="42" hidden="false" customHeight="true" outlineLevel="0" collapsed="false">
      <c r="A247" s="3"/>
      <c r="B247" s="31" t="s">
        <v>31</v>
      </c>
      <c r="C247" s="91" t="s">
        <v>18</v>
      </c>
      <c r="D247" s="91" t="s">
        <v>369</v>
      </c>
      <c r="E247" s="109" t="s">
        <v>1148</v>
      </c>
      <c r="F247" s="92" t="n">
        <v>93.51</v>
      </c>
      <c r="G247" s="91" t="s">
        <v>244</v>
      </c>
      <c r="H247" s="112" t="str">
        <f aca="false">IF(AND(AE247="yes",ISNUMBER(AD247)),AD247,"")</f>
        <v/>
      </c>
      <c r="I247" s="95" t="str">
        <f aca="false">IF(AND(AE247="yes",ISNUMBER(AD247),ISNUMBER(INDEX(Sources!$G$7:$G$10,MATCH(AB247,Sources!$B$7:$B$10,0)))),ROUND(AD247/INDEX(Sources!$G$7:$G$10,MATCH(AB247,Sources!$B$7:$B$10,0)),6),"")</f>
        <v/>
      </c>
      <c r="J247" s="91" t="s">
        <v>629</v>
      </c>
      <c r="K247" s="91" t="s">
        <v>586</v>
      </c>
      <c r="L247" s="96"/>
      <c r="M247" s="109" t="s">
        <v>1149</v>
      </c>
      <c r="N247" s="113" t="s">
        <v>1150</v>
      </c>
      <c r="O247" s="109" t="s">
        <v>1074</v>
      </c>
      <c r="P247" s="109" t="s">
        <v>265</v>
      </c>
      <c r="Q247" s="114" t="n">
        <v>0.23</v>
      </c>
      <c r="R247" s="109" t="n">
        <v>1</v>
      </c>
      <c r="S247" s="109" t="s">
        <v>632</v>
      </c>
      <c r="T247" s="109" t="s">
        <v>629</v>
      </c>
      <c r="U247" s="109" t="s">
        <v>591</v>
      </c>
      <c r="V247" s="115" t="n">
        <v>76.0243902439025</v>
      </c>
      <c r="W247" s="115"/>
      <c r="X247" s="109" t="s">
        <v>648</v>
      </c>
      <c r="Y247" s="109"/>
      <c r="Z247" s="109"/>
      <c r="AA247" s="109"/>
      <c r="AB247" s="109" t="s">
        <v>244</v>
      </c>
      <c r="AC247" s="109" t="s">
        <v>538</v>
      </c>
      <c r="AD247" s="109" t="n">
        <f aca="false">IF(ISNUMBER(V247),ROUND(V247,6),"")</f>
        <v>76.02439</v>
      </c>
      <c r="AE247" s="109" t="str">
        <f aca="false">IF(AND(AC247="yes",ISNUMBER(F247),IF(Compare!$H$5="All mapped",TRUE(),IF(Compare!$H$5="EXACT only",J247="EXACT",OR(J247="EXACT",J247="CLOSE")))),"yes","no")</f>
        <v>no</v>
      </c>
      <c r="AF247" s="109" t="str">
        <f aca="false">IF(ISNUMBER(H247),COUNTIFS($B$7:$B$3000,B247,$C$7:$C$3000,C247,$H$7:$H$3000,"&lt;"&amp;H247,$AH$7:$AH$3000,"yes")+COUNTIFS($B$7:B247,B247,$C$7:C247,C247,$H$7:H247,H247,$AH$7:AH247,"yes"),"")</f>
        <v/>
      </c>
      <c r="AG247" s="109" t="str">
        <f aca="false">IF(ISNUMBER(I247),COUNTIFS($B$7:$B$3000,B247,$C$7:$C$3000,C247,$I$7:$I$3000,"&lt;"&amp;I247,$AI$7:$AI$3000,"yes")+COUNTIFS($B$7:B247,B247,$C$7:C247,C247,$I$7:I247,I247,$AI$7:AI247,"yes"),"")</f>
        <v/>
      </c>
      <c r="AH247" s="109" t="str">
        <f aca="false">IF(ISNUMBER(H247),"yes","no")</f>
        <v>no</v>
      </c>
      <c r="AI247" s="109" t="str">
        <f aca="false">IF(ISNUMBER(I247),"yes","no")</f>
        <v>no</v>
      </c>
      <c r="AJ247" s="116" t="n">
        <v>46295</v>
      </c>
      <c r="AK247" s="109"/>
    </row>
    <row r="248" customFormat="false" ht="42" hidden="false" customHeight="true" outlineLevel="0" collapsed="false">
      <c r="A248" s="3"/>
      <c r="B248" s="36" t="s">
        <v>33</v>
      </c>
      <c r="C248" s="98" t="s">
        <v>14</v>
      </c>
      <c r="D248" s="98" t="s">
        <v>373</v>
      </c>
      <c r="E248" s="110" t="s">
        <v>1151</v>
      </c>
      <c r="F248" s="99" t="n">
        <v>35.14</v>
      </c>
      <c r="G248" s="98" t="s">
        <v>374</v>
      </c>
      <c r="H248" s="112" t="str">
        <f aca="false">IF(AND(AE248="yes",ISNUMBER(AD248)),AD248,"")</f>
        <v/>
      </c>
      <c r="I248" s="95" t="str">
        <f aca="false">IF(AND(AE248="yes",ISNUMBER(AD248),ISNUMBER(INDEX(Sources!$G$7:$G$10,MATCH(AB248,Sources!$B$7:$B$10,0)))),ROUND(AD248/INDEX(Sources!$G$7:$G$10,MATCH(AB248,Sources!$B$7:$B$10,0)),6),"")</f>
        <v/>
      </c>
      <c r="J248" s="98" t="s">
        <v>956</v>
      </c>
      <c r="K248" s="98" t="s">
        <v>1152</v>
      </c>
      <c r="L248" s="96"/>
      <c r="M248" s="110" t="s">
        <v>1024</v>
      </c>
      <c r="N248" s="117" t="s">
        <v>1153</v>
      </c>
      <c r="O248" s="110" t="s">
        <v>1092</v>
      </c>
      <c r="P248" s="110"/>
      <c r="Q248" s="118"/>
      <c r="R248" s="110"/>
      <c r="S248" s="110"/>
      <c r="T248" s="110"/>
      <c r="U248" s="110" t="s">
        <v>1026</v>
      </c>
      <c r="V248" s="119"/>
      <c r="W248" s="119" t="n">
        <v>7.028</v>
      </c>
      <c r="X248" s="110" t="s">
        <v>556</v>
      </c>
      <c r="Y248" s="110" t="s">
        <v>557</v>
      </c>
      <c r="Z248" s="110"/>
      <c r="AA248" s="110"/>
      <c r="AB248" s="110" t="s">
        <v>374</v>
      </c>
      <c r="AC248" s="110" t="s">
        <v>538</v>
      </c>
      <c r="AD248" s="119" t="n">
        <f aca="false">IF(ISNUMBER(F248),IF(G248=AB248,F248,IF(AND(ISNUMBER(INDEX(Sources!$G$7:$G$10,MATCH(G248,Sources!$B$7:$B$10,0))),ISNUMBER(INDEX(Sources!$G$7:$G$10,MATCH(AB248,Sources!$B$7:$B$10,0)))),F248/INDEX(Sources!$G$7:$G$10,MATCH(G248,Sources!$B$7:$B$10,0))*INDEX(Sources!$G$7:$G$10,MATCH(AB248,Sources!$B$7:$B$10,0)),"")),"")</f>
        <v>35.14</v>
      </c>
      <c r="AE248" s="110" t="str">
        <f aca="false">IF(AND(AC248="yes",ISNUMBER(F248),IF(Compare!$H$5="All mapped",TRUE(),IF(Compare!$H$5="EXACT only",J248="EXACT",OR(J248="EXACT",J248="CLOSE")))),"yes","no")</f>
        <v>no</v>
      </c>
      <c r="AF248" s="110" t="str">
        <f aca="false">IF(ISNUMBER(H248),COUNTIFS($B$7:$B$3000,B248,$C$7:$C$3000,C248,$H$7:$H$3000,"&lt;"&amp;H248,$AH$7:$AH$3000,"yes")+COUNTIFS($B$7:B248,B248,$C$7:C248,C248,$H$7:H248,H248,$AH$7:AH248,"yes"),"")</f>
        <v/>
      </c>
      <c r="AG248" s="110" t="str">
        <f aca="false">IF(ISNUMBER(I248),COUNTIFS($B$7:$B$3000,B248,$C$7:$C$3000,C248,$I$7:$I$3000,"&lt;"&amp;I248,$AI$7:$AI$3000,"yes")+COUNTIFS($B$7:B248,B248,$C$7:C248,C248,$I$7:I248,I248,$AI$7:AI248,"yes"),"")</f>
        <v/>
      </c>
      <c r="AH248" s="110" t="str">
        <f aca="false">IF(ISNUMBER(H248),"yes","no")</f>
        <v>no</v>
      </c>
      <c r="AI248" s="110" t="str">
        <f aca="false">IF(ISNUMBER(I248),"yes","no")</f>
        <v>no</v>
      </c>
      <c r="AJ248" s="120" t="n">
        <v>46213</v>
      </c>
      <c r="AK248" s="110"/>
    </row>
    <row r="249" customFormat="false" ht="42" hidden="false" customHeight="true" outlineLevel="0" collapsed="false">
      <c r="A249" s="3"/>
      <c r="B249" s="31" t="s">
        <v>33</v>
      </c>
      <c r="C249" s="91" t="s">
        <v>14</v>
      </c>
      <c r="D249" s="91" t="s">
        <v>373</v>
      </c>
      <c r="E249" s="109" t="s">
        <v>1151</v>
      </c>
      <c r="F249" s="92" t="n">
        <v>35.14</v>
      </c>
      <c r="G249" s="91" t="s">
        <v>374</v>
      </c>
      <c r="H249" s="112" t="str">
        <f aca="false">IF(AND(AE249="yes",ISNUMBER(AD249)),AD249,"")</f>
        <v/>
      </c>
      <c r="I249" s="95" t="str">
        <f aca="false">IF(AND(AE249="yes",ISNUMBER(AD249),ISNUMBER(INDEX(Sources!$G$7:$G$10,MATCH(AB249,Sources!$B$7:$B$10,0)))),ROUND(AD249/INDEX(Sources!$G$7:$G$10,MATCH(AB249,Sources!$B$7:$B$10,0)),6),"")</f>
        <v/>
      </c>
      <c r="J249" s="91" t="s">
        <v>956</v>
      </c>
      <c r="K249" s="91" t="s">
        <v>1023</v>
      </c>
      <c r="L249" s="96"/>
      <c r="M249" s="109" t="s">
        <v>1024</v>
      </c>
      <c r="N249" s="113" t="s">
        <v>1154</v>
      </c>
      <c r="O249" s="109" t="s">
        <v>1092</v>
      </c>
      <c r="P249" s="109"/>
      <c r="Q249" s="114"/>
      <c r="R249" s="109"/>
      <c r="S249" s="109"/>
      <c r="T249" s="109"/>
      <c r="U249" s="109" t="s">
        <v>1026</v>
      </c>
      <c r="V249" s="115"/>
      <c r="W249" s="115" t="n">
        <v>7.028</v>
      </c>
      <c r="X249" s="109" t="s">
        <v>556</v>
      </c>
      <c r="Y249" s="109" t="s">
        <v>557</v>
      </c>
      <c r="Z249" s="109"/>
      <c r="AA249" s="109"/>
      <c r="AB249" s="109" t="s">
        <v>374</v>
      </c>
      <c r="AC249" s="109" t="s">
        <v>538</v>
      </c>
      <c r="AD249" s="115" t="n">
        <f aca="false">IF(ISNUMBER(F249),IF(G249=AB249,F249,IF(AND(ISNUMBER(INDEX(Sources!$G$7:$G$10,MATCH(G249,Sources!$B$7:$B$10,0))),ISNUMBER(INDEX(Sources!$G$7:$G$10,MATCH(AB249,Sources!$B$7:$B$10,0)))),F249/INDEX(Sources!$G$7:$G$10,MATCH(G249,Sources!$B$7:$B$10,0))*INDEX(Sources!$G$7:$G$10,MATCH(AB249,Sources!$B$7:$B$10,0)),"")),"")</f>
        <v>35.14</v>
      </c>
      <c r="AE249" s="109" t="str">
        <f aca="false">IF(AND(AC249="yes",ISNUMBER(F249),IF(Compare!$H$5="All mapped",TRUE(),IF(Compare!$H$5="EXACT only",J249="EXACT",OR(J249="EXACT",J249="CLOSE")))),"yes","no")</f>
        <v>no</v>
      </c>
      <c r="AF249" s="109" t="str">
        <f aca="false">IF(ISNUMBER(H249),COUNTIFS($B$7:$B$3000,B249,$C$7:$C$3000,C249,$H$7:$H$3000,"&lt;"&amp;H249,$AH$7:$AH$3000,"yes")+COUNTIFS($B$7:B249,B249,$C$7:C249,C249,$H$7:H249,H249,$AH$7:AH249,"yes"),"")</f>
        <v/>
      </c>
      <c r="AG249" s="109" t="str">
        <f aca="false">IF(ISNUMBER(I249),COUNTIFS($B$7:$B$3000,B249,$C$7:$C$3000,C249,$I$7:$I$3000,"&lt;"&amp;I249,$AI$7:$AI$3000,"yes")+COUNTIFS($B$7:B249,B249,$C$7:C249,C249,$I$7:I249,I249,$AI$7:AI249,"yes"),"")</f>
        <v/>
      </c>
      <c r="AH249" s="109" t="str">
        <f aca="false">IF(ISNUMBER(H249),"yes","no")</f>
        <v>no</v>
      </c>
      <c r="AI249" s="109" t="str">
        <f aca="false">IF(ISNUMBER(I249),"yes","no")</f>
        <v>no</v>
      </c>
      <c r="AJ249" s="116" t="n">
        <v>46214</v>
      </c>
      <c r="AK249" s="109"/>
    </row>
    <row r="250" customFormat="false" ht="42" hidden="false" customHeight="true" outlineLevel="0" collapsed="false">
      <c r="A250" s="3"/>
      <c r="B250" s="36" t="s">
        <v>33</v>
      </c>
      <c r="C250" s="98" t="s">
        <v>14</v>
      </c>
      <c r="D250" s="98" t="s">
        <v>388</v>
      </c>
      <c r="E250" s="110" t="s">
        <v>1151</v>
      </c>
      <c r="F250" s="99" t="n">
        <v>25.52</v>
      </c>
      <c r="G250" s="98" t="s">
        <v>374</v>
      </c>
      <c r="H250" s="112" t="str">
        <f aca="false">IF(AND(AE250="yes",ISNUMBER(AD250)),AD250,"")</f>
        <v/>
      </c>
      <c r="I250" s="95" t="str">
        <f aca="false">IF(AND(AE250="yes",ISNUMBER(AD250),ISNUMBER(INDEX(Sources!$G$7:$G$10,MATCH(AB250,Sources!$B$7:$B$10,0)))),ROUND(AD250/INDEX(Sources!$G$7:$G$10,MATCH(AB250,Sources!$B$7:$B$10,0)),6),"")</f>
        <v/>
      </c>
      <c r="J250" s="98" t="s">
        <v>956</v>
      </c>
      <c r="K250" s="98" t="s">
        <v>1152</v>
      </c>
      <c r="L250" s="96"/>
      <c r="M250" s="110" t="s">
        <v>1024</v>
      </c>
      <c r="N250" s="117" t="s">
        <v>1155</v>
      </c>
      <c r="O250" s="110" t="s">
        <v>388</v>
      </c>
      <c r="P250" s="110"/>
      <c r="Q250" s="118"/>
      <c r="R250" s="110"/>
      <c r="S250" s="110"/>
      <c r="T250" s="110"/>
      <c r="U250" s="110" t="s">
        <v>1026</v>
      </c>
      <c r="V250" s="119"/>
      <c r="W250" s="119" t="n">
        <v>5.104</v>
      </c>
      <c r="X250" s="110" t="s">
        <v>556</v>
      </c>
      <c r="Y250" s="110" t="s">
        <v>557</v>
      </c>
      <c r="Z250" s="110"/>
      <c r="AA250" s="110"/>
      <c r="AB250" s="110" t="s">
        <v>374</v>
      </c>
      <c r="AC250" s="110" t="s">
        <v>538</v>
      </c>
      <c r="AD250" s="119" t="n">
        <f aca="false">IF(ISNUMBER(F250),IF(G250=AB250,F250,IF(AND(ISNUMBER(INDEX(Sources!$G$7:$G$10,MATCH(G250,Sources!$B$7:$B$10,0))),ISNUMBER(INDEX(Sources!$G$7:$G$10,MATCH(AB250,Sources!$B$7:$B$10,0)))),F250/INDEX(Sources!$G$7:$G$10,MATCH(G250,Sources!$B$7:$B$10,0))*INDEX(Sources!$G$7:$G$10,MATCH(AB250,Sources!$B$7:$B$10,0)),"")),"")</f>
        <v>25.52</v>
      </c>
      <c r="AE250" s="110" t="str">
        <f aca="false">IF(AND(AC250="yes",ISNUMBER(F250),IF(Compare!$H$5="All mapped",TRUE(),IF(Compare!$H$5="EXACT only",J250="EXACT",OR(J250="EXACT",J250="CLOSE")))),"yes","no")</f>
        <v>no</v>
      </c>
      <c r="AF250" s="110" t="str">
        <f aca="false">IF(ISNUMBER(H250),COUNTIFS($B$7:$B$3000,B250,$C$7:$C$3000,C250,$H$7:$H$3000,"&lt;"&amp;H250,$AH$7:$AH$3000,"yes")+COUNTIFS($B$7:B250,B250,$C$7:C250,C250,$H$7:H250,H250,$AH$7:AH250,"yes"),"")</f>
        <v/>
      </c>
      <c r="AG250" s="110" t="str">
        <f aca="false">IF(ISNUMBER(I250),COUNTIFS($B$7:$B$3000,B250,$C$7:$C$3000,C250,$I$7:$I$3000,"&lt;"&amp;I250,$AI$7:$AI$3000,"yes")+COUNTIFS($B$7:B250,B250,$C$7:C250,C250,$I$7:I250,I250,$AI$7:AI250,"yes"),"")</f>
        <v/>
      </c>
      <c r="AH250" s="110" t="str">
        <f aca="false">IF(ISNUMBER(H250),"yes","no")</f>
        <v>no</v>
      </c>
      <c r="AI250" s="110" t="str">
        <f aca="false">IF(ISNUMBER(I250),"yes","no")</f>
        <v>no</v>
      </c>
      <c r="AJ250" s="120" t="n">
        <v>46213</v>
      </c>
      <c r="AK250" s="110"/>
    </row>
    <row r="251" customFormat="false" ht="42" hidden="false" customHeight="true" outlineLevel="0" collapsed="false">
      <c r="A251" s="3"/>
      <c r="B251" s="31" t="s">
        <v>33</v>
      </c>
      <c r="C251" s="91" t="s">
        <v>14</v>
      </c>
      <c r="D251" s="91" t="s">
        <v>399</v>
      </c>
      <c r="E251" s="109" t="s">
        <v>1151</v>
      </c>
      <c r="F251" s="92" t="n">
        <v>34.8</v>
      </c>
      <c r="G251" s="91" t="s">
        <v>374</v>
      </c>
      <c r="H251" s="112" t="str">
        <f aca="false">IF(AND(AE251="yes",ISNUMBER(AD251)),AD251,"")</f>
        <v/>
      </c>
      <c r="I251" s="95" t="str">
        <f aca="false">IF(AND(AE251="yes",ISNUMBER(AD251),ISNUMBER(INDEX(Sources!$G$7:$G$10,MATCH(AB251,Sources!$B$7:$B$10,0)))),ROUND(AD251/INDEX(Sources!$G$7:$G$10,MATCH(AB251,Sources!$B$7:$B$10,0)),6),"")</f>
        <v/>
      </c>
      <c r="J251" s="91" t="s">
        <v>956</v>
      </c>
      <c r="K251" s="91" t="s">
        <v>1023</v>
      </c>
      <c r="L251" s="96"/>
      <c r="M251" s="109" t="s">
        <v>1024</v>
      </c>
      <c r="N251" s="113" t="s">
        <v>1156</v>
      </c>
      <c r="O251" s="109"/>
      <c r="P251" s="109"/>
      <c r="Q251" s="114"/>
      <c r="R251" s="109"/>
      <c r="S251" s="109"/>
      <c r="T251" s="109"/>
      <c r="U251" s="109" t="s">
        <v>1026</v>
      </c>
      <c r="V251" s="115"/>
      <c r="W251" s="115" t="n">
        <v>6.96</v>
      </c>
      <c r="X251" s="109" t="s">
        <v>556</v>
      </c>
      <c r="Y251" s="109" t="s">
        <v>557</v>
      </c>
      <c r="Z251" s="109"/>
      <c r="AA251" s="109"/>
      <c r="AB251" s="109" t="s">
        <v>374</v>
      </c>
      <c r="AC251" s="109" t="s">
        <v>538</v>
      </c>
      <c r="AD251" s="115" t="n">
        <f aca="false">IF(ISNUMBER(F251),IF(G251=AB251,F251,IF(AND(ISNUMBER(INDEX(Sources!$G$7:$G$10,MATCH(G251,Sources!$B$7:$B$10,0))),ISNUMBER(INDEX(Sources!$G$7:$G$10,MATCH(AB251,Sources!$B$7:$B$10,0)))),F251/INDEX(Sources!$G$7:$G$10,MATCH(G251,Sources!$B$7:$B$10,0))*INDEX(Sources!$G$7:$G$10,MATCH(AB251,Sources!$B$7:$B$10,0)),"")),"")</f>
        <v>34.8</v>
      </c>
      <c r="AE251" s="109" t="str">
        <f aca="false">IF(AND(AC251="yes",ISNUMBER(F251),IF(Compare!$H$5="All mapped",TRUE(),IF(Compare!$H$5="EXACT only",J251="EXACT",OR(J251="EXACT",J251="CLOSE")))),"yes","no")</f>
        <v>no</v>
      </c>
      <c r="AF251" s="109" t="str">
        <f aca="false">IF(ISNUMBER(H251),COUNTIFS($B$7:$B$3000,B251,$C$7:$C$3000,C251,$H$7:$H$3000,"&lt;"&amp;H251,$AH$7:$AH$3000,"yes")+COUNTIFS($B$7:B251,B251,$C$7:C251,C251,$H$7:H251,H251,$AH$7:AH251,"yes"),"")</f>
        <v/>
      </c>
      <c r="AG251" s="109" t="str">
        <f aca="false">IF(ISNUMBER(I251),COUNTIFS($B$7:$B$3000,B251,$C$7:$C$3000,C251,$I$7:$I$3000,"&lt;"&amp;I251,$AI$7:$AI$3000,"yes")+COUNTIFS($B$7:B251,B251,$C$7:C251,C251,$I$7:I251,I251,$AI$7:AI251,"yes"),"")</f>
        <v/>
      </c>
      <c r="AH251" s="109" t="str">
        <f aca="false">IF(ISNUMBER(H251),"yes","no")</f>
        <v>no</v>
      </c>
      <c r="AI251" s="109" t="str">
        <f aca="false">IF(ISNUMBER(I251),"yes","no")</f>
        <v>no</v>
      </c>
      <c r="AJ251" s="116" t="n">
        <v>46214</v>
      </c>
      <c r="AK251" s="109"/>
    </row>
    <row r="252" customFormat="false" ht="61.5" hidden="false" customHeight="true" outlineLevel="0" collapsed="false">
      <c r="A252" s="3"/>
      <c r="B252" s="36" t="s">
        <v>33</v>
      </c>
      <c r="C252" s="98" t="s">
        <v>14</v>
      </c>
      <c r="D252" s="98" t="s">
        <v>403</v>
      </c>
      <c r="E252" s="110" t="s">
        <v>1151</v>
      </c>
      <c r="F252" s="99" t="n">
        <v>24.98</v>
      </c>
      <c r="G252" s="98" t="s">
        <v>374</v>
      </c>
      <c r="H252" s="112" t="str">
        <f aca="false">IF(AND(AE252="yes",ISNUMBER(AD252)),AD252,"")</f>
        <v/>
      </c>
      <c r="I252" s="95" t="str">
        <f aca="false">IF(AND(AE252="yes",ISNUMBER(AD252),ISNUMBER(INDEX(Sources!$G$7:$G$10,MATCH(AB252,Sources!$B$7:$B$10,0)))),ROUND(AD252/INDEX(Sources!$G$7:$G$10,MATCH(AB252,Sources!$B$7:$B$10,0)),6),"")</f>
        <v/>
      </c>
      <c r="J252" s="98" t="s">
        <v>956</v>
      </c>
      <c r="K252" s="98" t="s">
        <v>1023</v>
      </c>
      <c r="L252" s="96"/>
      <c r="M252" s="110" t="s">
        <v>1024</v>
      </c>
      <c r="N252" s="117" t="s">
        <v>1157</v>
      </c>
      <c r="O252" s="110" t="s">
        <v>388</v>
      </c>
      <c r="P252" s="110"/>
      <c r="Q252" s="118"/>
      <c r="R252" s="110"/>
      <c r="S252" s="110"/>
      <c r="T252" s="110"/>
      <c r="U252" s="110" t="s">
        <v>1026</v>
      </c>
      <c r="V252" s="119"/>
      <c r="W252" s="119" t="n">
        <v>4.996</v>
      </c>
      <c r="X252" s="110" t="s">
        <v>556</v>
      </c>
      <c r="Y252" s="110" t="s">
        <v>557</v>
      </c>
      <c r="Z252" s="110"/>
      <c r="AA252" s="110"/>
      <c r="AB252" s="110" t="s">
        <v>374</v>
      </c>
      <c r="AC252" s="110" t="s">
        <v>538</v>
      </c>
      <c r="AD252" s="119" t="n">
        <f aca="false">IF(ISNUMBER(F252),IF(G252=AB252,F252,IF(AND(ISNUMBER(INDEX(Sources!$G$7:$G$10,MATCH(G252,Sources!$B$7:$B$10,0))),ISNUMBER(INDEX(Sources!$G$7:$G$10,MATCH(AB252,Sources!$B$7:$B$10,0)))),F252/INDEX(Sources!$G$7:$G$10,MATCH(G252,Sources!$B$7:$B$10,0))*INDEX(Sources!$G$7:$G$10,MATCH(AB252,Sources!$B$7:$B$10,0)),"")),"")</f>
        <v>24.98</v>
      </c>
      <c r="AE252" s="110" t="str">
        <f aca="false">IF(AND(AC252="yes",ISNUMBER(F252),IF(Compare!$H$5="All mapped",TRUE(),IF(Compare!$H$5="EXACT only",J252="EXACT",OR(J252="EXACT",J252="CLOSE")))),"yes","no")</f>
        <v>no</v>
      </c>
      <c r="AF252" s="110" t="str">
        <f aca="false">IF(ISNUMBER(H252),COUNTIFS($B$7:$B$3000,B252,$C$7:$C$3000,C252,$H$7:$H$3000,"&lt;"&amp;H252,$AH$7:$AH$3000,"yes")+COUNTIFS($B$7:B252,B252,$C$7:C252,C252,$H$7:H252,H252,$AH$7:AH252,"yes"),"")</f>
        <v/>
      </c>
      <c r="AG252" s="110" t="str">
        <f aca="false">IF(ISNUMBER(I252),COUNTIFS($B$7:$B$3000,B252,$C$7:$C$3000,C252,$I$7:$I$3000,"&lt;"&amp;I252,$AI$7:$AI$3000,"yes")+COUNTIFS($B$7:B252,B252,$C$7:C252,C252,$I$7:I252,I252,$AI$7:AI252,"yes"),"")</f>
        <v/>
      </c>
      <c r="AH252" s="110" t="str">
        <f aca="false">IF(ISNUMBER(H252),"yes","no")</f>
        <v>no</v>
      </c>
      <c r="AI252" s="110" t="str">
        <f aca="false">IF(ISNUMBER(I252),"yes","no")</f>
        <v>no</v>
      </c>
      <c r="AJ252" s="120" t="n">
        <v>46214</v>
      </c>
      <c r="AK252" s="110"/>
    </row>
    <row r="253" customFormat="false" ht="42" hidden="false" customHeight="true" outlineLevel="0" collapsed="false">
      <c r="A253" s="3"/>
      <c r="B253" s="31" t="s">
        <v>33</v>
      </c>
      <c r="C253" s="91" t="s">
        <v>15</v>
      </c>
      <c r="D253" s="91" t="s">
        <v>269</v>
      </c>
      <c r="E253" s="109" t="s">
        <v>1158</v>
      </c>
      <c r="F253" s="92" t="n">
        <v>24.99</v>
      </c>
      <c r="G253" s="91" t="s">
        <v>244</v>
      </c>
      <c r="H253" s="112" t="str">
        <f aca="false">IF(AND(AE253="yes",ISNUMBER(AD253)),AD253,"")</f>
        <v/>
      </c>
      <c r="I253" s="95" t="str">
        <f aca="false">IF(AND(AE253="yes",ISNUMBER(AD253),ISNUMBER(INDEX(Sources!$G$7:$G$10,MATCH(AB253,Sources!$B$7:$B$10,0)))),ROUND(AD253/INDEX(Sources!$G$7:$G$10,MATCH(AB253,Sources!$B$7:$B$10,0)),6),"")</f>
        <v/>
      </c>
      <c r="J253" s="91" t="s">
        <v>629</v>
      </c>
      <c r="K253" s="91" t="s">
        <v>586</v>
      </c>
      <c r="L253" s="96"/>
      <c r="M253" s="109" t="s">
        <v>1159</v>
      </c>
      <c r="N253" s="113" t="s">
        <v>1160</v>
      </c>
      <c r="O253" s="109" t="s">
        <v>388</v>
      </c>
      <c r="P253" s="109" t="s">
        <v>590</v>
      </c>
      <c r="Q253" s="114"/>
      <c r="R253" s="109" t="n">
        <v>1</v>
      </c>
      <c r="S253" s="109"/>
      <c r="T253" s="109" t="s">
        <v>629</v>
      </c>
      <c r="U253" s="109" t="s">
        <v>591</v>
      </c>
      <c r="V253" s="115" t="n">
        <v>24.99</v>
      </c>
      <c r="W253" s="115"/>
      <c r="X253" s="109" t="s">
        <v>592</v>
      </c>
      <c r="Y253" s="109"/>
      <c r="Z253" s="109"/>
      <c r="AA253" s="109"/>
      <c r="AB253" s="109" t="s">
        <v>244</v>
      </c>
      <c r="AC253" s="109" t="s">
        <v>538</v>
      </c>
      <c r="AD253" s="109" t="n">
        <f aca="false">IF(ISNUMBER(V253),ROUND(V253,6),"")</f>
        <v>24.99</v>
      </c>
      <c r="AE253" s="109" t="str">
        <f aca="false">IF(AND(AC253="yes",ISNUMBER(F253),IF(Compare!$H$5="All mapped",TRUE(),IF(Compare!$H$5="EXACT only",J253="EXACT",OR(J253="EXACT",J253="CLOSE")))),"yes","no")</f>
        <v>no</v>
      </c>
      <c r="AF253" s="109" t="str">
        <f aca="false">IF(ISNUMBER(H253),COUNTIFS($B$7:$B$3000,B253,$C$7:$C$3000,C253,$H$7:$H$3000,"&lt;"&amp;H253,$AH$7:$AH$3000,"yes")+COUNTIFS($B$7:B253,B253,$C$7:C253,C253,$H$7:H253,H253,$AH$7:AH253,"yes"),"")</f>
        <v/>
      </c>
      <c r="AG253" s="109" t="str">
        <f aca="false">IF(ISNUMBER(I253),COUNTIFS($B$7:$B$3000,B253,$C$7:$C$3000,C253,$I$7:$I$3000,"&lt;"&amp;I253,$AI$7:$AI$3000,"yes")+COUNTIFS($B$7:B253,B253,$C$7:C253,C253,$I$7:I253,I253,$AI$7:AI253,"yes"),"")</f>
        <v/>
      </c>
      <c r="AH253" s="109" t="str">
        <f aca="false">IF(ISNUMBER(H253),"yes","no")</f>
        <v>no</v>
      </c>
      <c r="AI253" s="109" t="str">
        <f aca="false">IF(ISNUMBER(I253),"yes","no")</f>
        <v>no</v>
      </c>
      <c r="AJ253" s="116" t="n">
        <v>46295</v>
      </c>
      <c r="AK253" s="109"/>
    </row>
    <row r="254" customFormat="false" ht="42" hidden="false" customHeight="true" outlineLevel="0" collapsed="false">
      <c r="A254" s="3"/>
      <c r="B254" s="36" t="s">
        <v>33</v>
      </c>
      <c r="C254" s="98" t="s">
        <v>15</v>
      </c>
      <c r="D254" s="98" t="s">
        <v>264</v>
      </c>
      <c r="E254" s="110" t="s">
        <v>1161</v>
      </c>
      <c r="F254" s="99" t="n">
        <v>15.76</v>
      </c>
      <c r="G254" s="98" t="s">
        <v>244</v>
      </c>
      <c r="H254" s="112" t="n">
        <f aca="false">IF(AND(AE254="yes",ISNUMBER(AD254)),AD254,"")</f>
        <v>15.76</v>
      </c>
      <c r="I254" s="95" t="n">
        <f aca="false">IF(AND(AE254="yes",ISNUMBER(AD254),ISNUMBER(INDEX(Sources!$G$7:$G$10,MATCH(AB254,Sources!$B$7:$B$10,0)))),ROUND(AD254/INDEX(Sources!$G$7:$G$10,MATCH(AB254,Sources!$B$7:$B$10,0)),6),"")</f>
        <v>15.76</v>
      </c>
      <c r="J254" s="98" t="s">
        <v>530</v>
      </c>
      <c r="K254" s="98" t="s">
        <v>586</v>
      </c>
      <c r="L254" s="96"/>
      <c r="M254" s="110" t="s">
        <v>1162</v>
      </c>
      <c r="N254" s="117" t="s">
        <v>1163</v>
      </c>
      <c r="O254" s="110" t="s">
        <v>388</v>
      </c>
      <c r="P254" s="110" t="s">
        <v>590</v>
      </c>
      <c r="Q254" s="118"/>
      <c r="R254" s="110" t="n">
        <v>1</v>
      </c>
      <c r="S254" s="110"/>
      <c r="T254" s="110" t="s">
        <v>530</v>
      </c>
      <c r="U254" s="110" t="s">
        <v>591</v>
      </c>
      <c r="V254" s="119" t="n">
        <v>15.76</v>
      </c>
      <c r="W254" s="119"/>
      <c r="X254" s="110" t="s">
        <v>592</v>
      </c>
      <c r="Y254" s="110"/>
      <c r="Z254" s="110"/>
      <c r="AA254" s="110"/>
      <c r="AB254" s="110" t="s">
        <v>244</v>
      </c>
      <c r="AC254" s="110" t="s">
        <v>538</v>
      </c>
      <c r="AD254" s="110" t="n">
        <f aca="false">IF(ISNUMBER(V254),ROUND(V254,6),"")</f>
        <v>15.76</v>
      </c>
      <c r="AE254" s="110" t="str">
        <f aca="false">IF(AND(AC254="yes",ISNUMBER(F254),IF(Compare!$H$5="All mapped",TRUE(),IF(Compare!$H$5="EXACT only",J254="EXACT",OR(J254="EXACT",J254="CLOSE")))),"yes","no")</f>
        <v>yes</v>
      </c>
      <c r="AF254" s="110" t="n">
        <f aca="false">IF(ISNUMBER(H254),COUNTIFS($B$7:$B$3000,B254,$C$7:$C$3000,C254,$H$7:$H$3000,"&lt;"&amp;H254,$AH$7:$AH$3000,"yes")+COUNTIFS($B$7:B254,B254,$C$7:C254,C254,$H$7:H254,H254,$AH$7:AH254,"yes"),"")</f>
        <v>4</v>
      </c>
      <c r="AG254" s="110" t="n">
        <f aca="false">IF(ISNUMBER(I254),COUNTIFS($B$7:$B$3000,B254,$C$7:$C$3000,C254,$I$7:$I$3000,"&lt;"&amp;I254,$AI$7:$AI$3000,"yes")+COUNTIFS($B$7:B254,B254,$C$7:C254,C254,$I$7:I254,I254,$AI$7:AI254,"yes"),"")</f>
        <v>4</v>
      </c>
      <c r="AH254" s="110" t="str">
        <f aca="false">IF(ISNUMBER(H254),"yes","no")</f>
        <v>yes</v>
      </c>
      <c r="AI254" s="110" t="str">
        <f aca="false">IF(ISNUMBER(I254),"yes","no")</f>
        <v>yes</v>
      </c>
      <c r="AJ254" s="120" t="n">
        <v>46295</v>
      </c>
      <c r="AK254" s="110"/>
    </row>
    <row r="255" customFormat="false" ht="42" hidden="false" customHeight="true" outlineLevel="0" collapsed="false">
      <c r="A255" s="3"/>
      <c r="B255" s="31" t="s">
        <v>33</v>
      </c>
      <c r="C255" s="91" t="s">
        <v>15</v>
      </c>
      <c r="D255" s="91" t="s">
        <v>273</v>
      </c>
      <c r="E255" s="109" t="s">
        <v>1164</v>
      </c>
      <c r="F255" s="92" t="n">
        <v>8.89</v>
      </c>
      <c r="G255" s="91" t="s">
        <v>244</v>
      </c>
      <c r="H255" s="112" t="n">
        <f aca="false">IF(AND(AE255="yes",ISNUMBER(AD255)),AD255,"")</f>
        <v>7.41</v>
      </c>
      <c r="I255" s="95" t="n">
        <f aca="false">IF(AND(AE255="yes",ISNUMBER(AD255),ISNUMBER(INDEX(Sources!$G$7:$G$10,MATCH(AB255,Sources!$B$7:$B$10,0)))),ROUND(AD255/INDEX(Sources!$G$7:$G$10,MATCH(AB255,Sources!$B$7:$B$10,0)),6),"")</f>
        <v>7.41</v>
      </c>
      <c r="J255" s="91" t="s">
        <v>702</v>
      </c>
      <c r="K255" s="91" t="s">
        <v>586</v>
      </c>
      <c r="L255" s="96"/>
      <c r="M255" s="109" t="s">
        <v>1165</v>
      </c>
      <c r="N255" s="113" t="s">
        <v>1166</v>
      </c>
      <c r="O255" s="109" t="s">
        <v>1167</v>
      </c>
      <c r="P255" s="109" t="s">
        <v>265</v>
      </c>
      <c r="Q255" s="114"/>
      <c r="R255" s="109" t="n">
        <v>1</v>
      </c>
      <c r="S255" s="109"/>
      <c r="T255" s="109" t="s">
        <v>702</v>
      </c>
      <c r="U255" s="109" t="s">
        <v>591</v>
      </c>
      <c r="V255" s="115" t="n">
        <v>7.41</v>
      </c>
      <c r="W255" s="115"/>
      <c r="X255" s="109" t="s">
        <v>592</v>
      </c>
      <c r="Y255" s="109"/>
      <c r="Z255" s="109"/>
      <c r="AA255" s="109"/>
      <c r="AB255" s="109" t="s">
        <v>244</v>
      </c>
      <c r="AC255" s="109" t="s">
        <v>538</v>
      </c>
      <c r="AD255" s="109" t="n">
        <f aca="false">IF(ISNUMBER(V255),ROUND(V255,6),"")</f>
        <v>7.41</v>
      </c>
      <c r="AE255" s="109" t="str">
        <f aca="false">IF(AND(AC255="yes",ISNUMBER(F255),IF(Compare!$H$5="All mapped",TRUE(),IF(Compare!$H$5="EXACT only",J255="EXACT",OR(J255="EXACT",J255="CLOSE")))),"yes","no")</f>
        <v>yes</v>
      </c>
      <c r="AF255" s="109" t="n">
        <f aca="false">IF(ISNUMBER(H255),COUNTIFS($B$7:$B$3000,B255,$C$7:$C$3000,C255,$H$7:$H$3000,"&lt;"&amp;H255,$AH$7:$AH$3000,"yes")+COUNTIFS($B$7:B255,B255,$C$7:C255,C255,$H$7:H255,H255,$AH$7:AH255,"yes"),"")</f>
        <v>1</v>
      </c>
      <c r="AG255" s="109" t="n">
        <f aca="false">IF(ISNUMBER(I255),COUNTIFS($B$7:$B$3000,B255,$C$7:$C$3000,C255,$I$7:$I$3000,"&lt;"&amp;I255,$AI$7:$AI$3000,"yes")+COUNTIFS($B$7:B255,B255,$C$7:C255,C255,$I$7:I255,I255,$AI$7:AI255,"yes"),"")</f>
        <v>1</v>
      </c>
      <c r="AH255" s="109" t="str">
        <f aca="false">IF(ISNUMBER(H255),"yes","no")</f>
        <v>yes</v>
      </c>
      <c r="AI255" s="109" t="str">
        <f aca="false">IF(ISNUMBER(I255),"yes","no")</f>
        <v>yes</v>
      </c>
      <c r="AJ255" s="116" t="n">
        <v>46295</v>
      </c>
      <c r="AK255" s="109"/>
    </row>
    <row r="256" customFormat="false" ht="42" hidden="false" customHeight="true" outlineLevel="0" collapsed="false">
      <c r="A256" s="3"/>
      <c r="B256" s="36" t="s">
        <v>33</v>
      </c>
      <c r="C256" s="98" t="s">
        <v>15</v>
      </c>
      <c r="D256" s="98" t="s">
        <v>281</v>
      </c>
      <c r="E256" s="110" t="s">
        <v>1168</v>
      </c>
      <c r="F256" s="99" t="n">
        <v>8.74</v>
      </c>
      <c r="G256" s="98" t="s">
        <v>244</v>
      </c>
      <c r="H256" s="112" t="n">
        <f aca="false">IF(AND(AE256="yes",ISNUMBER(AD256)),AD256,"")</f>
        <v>8.74</v>
      </c>
      <c r="I256" s="95" t="n">
        <f aca="false">IF(AND(AE256="yes",ISNUMBER(AD256),ISNUMBER(INDEX(Sources!$G$7:$G$10,MATCH(AB256,Sources!$B$7:$B$10,0)))),ROUND(AD256/INDEX(Sources!$G$7:$G$10,MATCH(AB256,Sources!$B$7:$B$10,0)),6),"")</f>
        <v>8.74</v>
      </c>
      <c r="J256" s="98" t="s">
        <v>702</v>
      </c>
      <c r="K256" s="98" t="s">
        <v>586</v>
      </c>
      <c r="L256" s="96"/>
      <c r="M256" s="110" t="s">
        <v>1169</v>
      </c>
      <c r="N256" s="117" t="s">
        <v>1170</v>
      </c>
      <c r="O256" s="110" t="s">
        <v>603</v>
      </c>
      <c r="P256" s="110" t="s">
        <v>590</v>
      </c>
      <c r="Q256" s="118"/>
      <c r="R256" s="110" t="n">
        <v>1</v>
      </c>
      <c r="S256" s="110"/>
      <c r="T256" s="110" t="s">
        <v>702</v>
      </c>
      <c r="U256" s="110" t="s">
        <v>591</v>
      </c>
      <c r="V256" s="119" t="n">
        <v>8.74</v>
      </c>
      <c r="W256" s="119"/>
      <c r="X256" s="110" t="s">
        <v>592</v>
      </c>
      <c r="Y256" s="110"/>
      <c r="Z256" s="110"/>
      <c r="AA256" s="110"/>
      <c r="AB256" s="110" t="s">
        <v>244</v>
      </c>
      <c r="AC256" s="110" t="s">
        <v>538</v>
      </c>
      <c r="AD256" s="110" t="n">
        <f aca="false">IF(ISNUMBER(V256),ROUND(V256,6),"")</f>
        <v>8.74</v>
      </c>
      <c r="AE256" s="110" t="str">
        <f aca="false">IF(AND(AC256="yes",ISNUMBER(F256),IF(Compare!$H$5="All mapped",TRUE(),IF(Compare!$H$5="EXACT only",J256="EXACT",OR(J256="EXACT",J256="CLOSE")))),"yes","no")</f>
        <v>yes</v>
      </c>
      <c r="AF256" s="110" t="n">
        <f aca="false">IF(ISNUMBER(H256),COUNTIFS($B$7:$B$3000,B256,$C$7:$C$3000,C256,$H$7:$H$3000,"&lt;"&amp;H256,$AH$7:$AH$3000,"yes")+COUNTIFS($B$7:B256,B256,$C$7:C256,C256,$H$7:H256,H256,$AH$7:AH256,"yes"),"")</f>
        <v>3</v>
      </c>
      <c r="AG256" s="110" t="n">
        <f aca="false">IF(ISNUMBER(I256),COUNTIFS($B$7:$B$3000,B256,$C$7:$C$3000,C256,$I$7:$I$3000,"&lt;"&amp;I256,$AI$7:$AI$3000,"yes")+COUNTIFS($B$7:B256,B256,$C$7:C256,C256,$I$7:I256,I256,$AI$7:AI256,"yes"),"")</f>
        <v>3</v>
      </c>
      <c r="AH256" s="110" t="str">
        <f aca="false">IF(ISNUMBER(H256),"yes","no")</f>
        <v>yes</v>
      </c>
      <c r="AI256" s="110" t="str">
        <f aca="false">IF(ISNUMBER(I256),"yes","no")</f>
        <v>yes</v>
      </c>
      <c r="AJ256" s="120" t="n">
        <v>46295</v>
      </c>
      <c r="AK256" s="110"/>
    </row>
    <row r="257" customFormat="false" ht="42" hidden="false" customHeight="true" outlineLevel="0" collapsed="false">
      <c r="A257" s="3"/>
      <c r="B257" s="31" t="s">
        <v>33</v>
      </c>
      <c r="C257" s="91" t="s">
        <v>15</v>
      </c>
      <c r="D257" s="91" t="s">
        <v>285</v>
      </c>
      <c r="E257" s="109" t="s">
        <v>1171</v>
      </c>
      <c r="F257" s="92" t="n">
        <v>16.3</v>
      </c>
      <c r="G257" s="91" t="s">
        <v>244</v>
      </c>
      <c r="H257" s="112" t="str">
        <f aca="false">IF(AND(AE257="yes",ISNUMBER(AD257)),AD257,"")</f>
        <v/>
      </c>
      <c r="I257" s="95" t="str">
        <f aca="false">IF(AND(AE257="yes",ISNUMBER(AD257),ISNUMBER(INDEX(Sources!$G$7:$G$10,MATCH(AB257,Sources!$B$7:$B$10,0)))),ROUND(AD257/INDEX(Sources!$G$7:$G$10,MATCH(AB257,Sources!$B$7:$B$10,0)),6),"")</f>
        <v/>
      </c>
      <c r="J257" s="91" t="s">
        <v>629</v>
      </c>
      <c r="K257" s="91" t="s">
        <v>586</v>
      </c>
      <c r="L257" s="96"/>
      <c r="M257" s="109" t="s">
        <v>1172</v>
      </c>
      <c r="N257" s="113" t="s">
        <v>1173</v>
      </c>
      <c r="O257" s="109" t="s">
        <v>733</v>
      </c>
      <c r="P257" s="109" t="s">
        <v>590</v>
      </c>
      <c r="Q257" s="114"/>
      <c r="R257" s="109" t="n">
        <v>1</v>
      </c>
      <c r="S257" s="109"/>
      <c r="T257" s="109" t="s">
        <v>629</v>
      </c>
      <c r="U257" s="109" t="s">
        <v>591</v>
      </c>
      <c r="V257" s="115" t="n">
        <v>16.3</v>
      </c>
      <c r="W257" s="115"/>
      <c r="X257" s="109" t="s">
        <v>592</v>
      </c>
      <c r="Y257" s="109"/>
      <c r="Z257" s="109"/>
      <c r="AA257" s="109"/>
      <c r="AB257" s="109" t="s">
        <v>244</v>
      </c>
      <c r="AC257" s="109" t="s">
        <v>538</v>
      </c>
      <c r="AD257" s="109" t="n">
        <f aca="false">IF(ISNUMBER(V257),ROUND(V257,6),"")</f>
        <v>16.3</v>
      </c>
      <c r="AE257" s="109" t="str">
        <f aca="false">IF(AND(AC257="yes",ISNUMBER(F257),IF(Compare!$H$5="All mapped",TRUE(),IF(Compare!$H$5="EXACT only",J257="EXACT",OR(J257="EXACT",J257="CLOSE")))),"yes","no")</f>
        <v>no</v>
      </c>
      <c r="AF257" s="109" t="str">
        <f aca="false">IF(ISNUMBER(H257),COUNTIFS($B$7:$B$3000,B257,$C$7:$C$3000,C257,$H$7:$H$3000,"&lt;"&amp;H257,$AH$7:$AH$3000,"yes")+COUNTIFS($B$7:B257,B257,$C$7:C257,C257,$H$7:H257,H257,$AH$7:AH257,"yes"),"")</f>
        <v/>
      </c>
      <c r="AG257" s="109" t="str">
        <f aca="false">IF(ISNUMBER(I257),COUNTIFS($B$7:$B$3000,B257,$C$7:$C$3000,C257,$I$7:$I$3000,"&lt;"&amp;I257,$AI$7:$AI$3000,"yes")+COUNTIFS($B$7:B257,B257,$C$7:C257,C257,$I$7:I257,I257,$AI$7:AI257,"yes"),"")</f>
        <v/>
      </c>
      <c r="AH257" s="109" t="str">
        <f aca="false">IF(ISNUMBER(H257),"yes","no")</f>
        <v>no</v>
      </c>
      <c r="AI257" s="109" t="str">
        <f aca="false">IF(ISNUMBER(I257),"yes","no")</f>
        <v>no</v>
      </c>
      <c r="AJ257" s="116" t="n">
        <v>46295</v>
      </c>
      <c r="AK257" s="109"/>
    </row>
    <row r="258" customFormat="false" ht="42" hidden="false" customHeight="true" outlineLevel="0" collapsed="false">
      <c r="A258" s="3"/>
      <c r="B258" s="36" t="s">
        <v>33</v>
      </c>
      <c r="C258" s="98" t="s">
        <v>16</v>
      </c>
      <c r="D258" s="98" t="s">
        <v>317</v>
      </c>
      <c r="E258" s="110" t="s">
        <v>1174</v>
      </c>
      <c r="F258" s="99" t="n">
        <v>15.99</v>
      </c>
      <c r="G258" s="98" t="s">
        <v>244</v>
      </c>
      <c r="H258" s="112" t="str">
        <f aca="false">IF(AND(AE258="yes",ISNUMBER(AD258)),AD258,"")</f>
        <v/>
      </c>
      <c r="I258" s="95" t="str">
        <f aca="false">IF(AND(AE258="yes",ISNUMBER(AD258),ISNUMBER(INDEX(Sources!$G$7:$G$10,MATCH(AB258,Sources!$B$7:$B$10,0)))),ROUND(AD258/INDEX(Sources!$G$7:$G$10,MATCH(AB258,Sources!$B$7:$B$10,0)),6),"")</f>
        <v/>
      </c>
      <c r="J258" s="98" t="s">
        <v>629</v>
      </c>
      <c r="K258" s="98" t="s">
        <v>586</v>
      </c>
      <c r="L258" s="96"/>
      <c r="M258" s="110" t="s">
        <v>1175</v>
      </c>
      <c r="N258" s="117" t="s">
        <v>1176</v>
      </c>
      <c r="O258" s="110" t="s">
        <v>610</v>
      </c>
      <c r="P258" s="110" t="s">
        <v>590</v>
      </c>
      <c r="Q258" s="118"/>
      <c r="R258" s="110" t="n">
        <v>1</v>
      </c>
      <c r="S258" s="110"/>
      <c r="T258" s="110" t="s">
        <v>629</v>
      </c>
      <c r="U258" s="110" t="s">
        <v>591</v>
      </c>
      <c r="V258" s="119" t="n">
        <v>15.99</v>
      </c>
      <c r="W258" s="119"/>
      <c r="X258" s="110" t="s">
        <v>612</v>
      </c>
      <c r="Y258" s="110"/>
      <c r="Z258" s="110"/>
      <c r="AA258" s="110"/>
      <c r="AB258" s="110" t="s">
        <v>244</v>
      </c>
      <c r="AC258" s="110" t="s">
        <v>538</v>
      </c>
      <c r="AD258" s="110" t="n">
        <f aca="false">IF(ISNUMBER(V258),ROUND(V258,6),"")</f>
        <v>15.99</v>
      </c>
      <c r="AE258" s="110" t="str">
        <f aca="false">IF(AND(AC258="yes",ISNUMBER(F258),IF(Compare!$H$5="All mapped",TRUE(),IF(Compare!$H$5="EXACT only",J258="EXACT",OR(J258="EXACT",J258="CLOSE")))),"yes","no")</f>
        <v>no</v>
      </c>
      <c r="AF258" s="110" t="str">
        <f aca="false">IF(ISNUMBER(H258),COUNTIFS($B$7:$B$3000,B258,$C$7:$C$3000,C258,$H$7:$H$3000,"&lt;"&amp;H258,$AH$7:$AH$3000,"yes")+COUNTIFS($B$7:B258,B258,$C$7:C258,C258,$H$7:H258,H258,$AH$7:AH258,"yes"),"")</f>
        <v/>
      </c>
      <c r="AG258" s="110" t="str">
        <f aca="false">IF(ISNUMBER(I258),COUNTIFS($B$7:$B$3000,B258,$C$7:$C$3000,C258,$I$7:$I$3000,"&lt;"&amp;I258,$AI$7:$AI$3000,"yes")+COUNTIFS($B$7:B258,B258,$C$7:C258,C258,$I$7:I258,I258,$AI$7:AI258,"yes"),"")</f>
        <v/>
      </c>
      <c r="AH258" s="110" t="str">
        <f aca="false">IF(ISNUMBER(H258),"yes","no")</f>
        <v>no</v>
      </c>
      <c r="AI258" s="110" t="str">
        <f aca="false">IF(ISNUMBER(I258),"yes","no")</f>
        <v>no</v>
      </c>
      <c r="AJ258" s="120" t="n">
        <v>46295</v>
      </c>
      <c r="AK258" s="110"/>
    </row>
    <row r="259" customFormat="false" ht="42" hidden="false" customHeight="true" outlineLevel="0" collapsed="false">
      <c r="A259" s="3"/>
      <c r="B259" s="31" t="s">
        <v>33</v>
      </c>
      <c r="C259" s="91" t="s">
        <v>16</v>
      </c>
      <c r="D259" s="91" t="s">
        <v>311</v>
      </c>
      <c r="E259" s="109" t="s">
        <v>1158</v>
      </c>
      <c r="F259" s="92" t="n">
        <v>8.09</v>
      </c>
      <c r="G259" s="91" t="s">
        <v>244</v>
      </c>
      <c r="H259" s="112" t="str">
        <f aca="false">IF(AND(AE259="yes",ISNUMBER(AD259)),AD259,"")</f>
        <v/>
      </c>
      <c r="I259" s="95" t="str">
        <f aca="false">IF(AND(AE259="yes",ISNUMBER(AD259),ISNUMBER(INDEX(Sources!$G$7:$G$10,MATCH(AB259,Sources!$B$7:$B$10,0)))),ROUND(AD259/INDEX(Sources!$G$7:$G$10,MATCH(AB259,Sources!$B$7:$B$10,0)),6),"")</f>
        <v/>
      </c>
      <c r="J259" s="91" t="s">
        <v>629</v>
      </c>
      <c r="K259" s="91" t="s">
        <v>586</v>
      </c>
      <c r="L259" s="96"/>
      <c r="M259" s="109" t="s">
        <v>1159</v>
      </c>
      <c r="N259" s="113" t="s">
        <v>1177</v>
      </c>
      <c r="O259" s="109" t="s">
        <v>388</v>
      </c>
      <c r="P259" s="109" t="s">
        <v>590</v>
      </c>
      <c r="Q259" s="114"/>
      <c r="R259" s="109" t="n">
        <v>1</v>
      </c>
      <c r="S259" s="109"/>
      <c r="T259" s="109" t="s">
        <v>629</v>
      </c>
      <c r="U259" s="109" t="s">
        <v>591</v>
      </c>
      <c r="V259" s="115" t="n">
        <v>8.09</v>
      </c>
      <c r="W259" s="115"/>
      <c r="X259" s="109" t="s">
        <v>612</v>
      </c>
      <c r="Y259" s="109"/>
      <c r="Z259" s="109"/>
      <c r="AA259" s="109"/>
      <c r="AB259" s="109" t="s">
        <v>244</v>
      </c>
      <c r="AC259" s="109" t="s">
        <v>538</v>
      </c>
      <c r="AD259" s="109" t="n">
        <f aca="false">IF(ISNUMBER(V259),ROUND(V259,6),"")</f>
        <v>8.09</v>
      </c>
      <c r="AE259" s="109" t="str">
        <f aca="false">IF(AND(AC259="yes",ISNUMBER(F259),IF(Compare!$H$5="All mapped",TRUE(),IF(Compare!$H$5="EXACT only",J259="EXACT",OR(J259="EXACT",J259="CLOSE")))),"yes","no")</f>
        <v>no</v>
      </c>
      <c r="AF259" s="109" t="str">
        <f aca="false">IF(ISNUMBER(H259),COUNTIFS($B$7:$B$3000,B259,$C$7:$C$3000,C259,$H$7:$H$3000,"&lt;"&amp;H259,$AH$7:$AH$3000,"yes")+COUNTIFS($B$7:B259,B259,$C$7:C259,C259,$H$7:H259,H259,$AH$7:AH259,"yes"),"")</f>
        <v/>
      </c>
      <c r="AG259" s="109" t="str">
        <f aca="false">IF(ISNUMBER(I259),COUNTIFS($B$7:$B$3000,B259,$C$7:$C$3000,C259,$I$7:$I$3000,"&lt;"&amp;I259,$AI$7:$AI$3000,"yes")+COUNTIFS($B$7:B259,B259,$C$7:C259,C259,$I$7:I259,I259,$AI$7:AI259,"yes"),"")</f>
        <v/>
      </c>
      <c r="AH259" s="109" t="str">
        <f aca="false">IF(ISNUMBER(H259),"yes","no")</f>
        <v>no</v>
      </c>
      <c r="AI259" s="109" t="str">
        <f aca="false">IF(ISNUMBER(I259),"yes","no")</f>
        <v>no</v>
      </c>
      <c r="AJ259" s="116" t="n">
        <v>46295</v>
      </c>
      <c r="AK259" s="109"/>
    </row>
    <row r="260" customFormat="false" ht="42" hidden="false" customHeight="true" outlineLevel="0" collapsed="false">
      <c r="A260" s="3"/>
      <c r="B260" s="36" t="s">
        <v>33</v>
      </c>
      <c r="C260" s="98" t="s">
        <v>16</v>
      </c>
      <c r="D260" s="98" t="s">
        <v>309</v>
      </c>
      <c r="E260" s="110" t="s">
        <v>1161</v>
      </c>
      <c r="F260" s="99" t="n">
        <v>15.76</v>
      </c>
      <c r="G260" s="98" t="s">
        <v>244</v>
      </c>
      <c r="H260" s="112" t="n">
        <f aca="false">IF(AND(AE260="yes",ISNUMBER(AD260)),AD260,"")</f>
        <v>15.76</v>
      </c>
      <c r="I260" s="95" t="n">
        <f aca="false">IF(AND(AE260="yes",ISNUMBER(AD260),ISNUMBER(INDEX(Sources!$G$7:$G$10,MATCH(AB260,Sources!$B$7:$B$10,0)))),ROUND(AD260/INDEX(Sources!$G$7:$G$10,MATCH(AB260,Sources!$B$7:$B$10,0)),6),"")</f>
        <v>15.76</v>
      </c>
      <c r="J260" s="98" t="s">
        <v>530</v>
      </c>
      <c r="K260" s="98" t="s">
        <v>586</v>
      </c>
      <c r="L260" s="96"/>
      <c r="M260" s="110" t="s">
        <v>1162</v>
      </c>
      <c r="N260" s="117" t="s">
        <v>1163</v>
      </c>
      <c r="O260" s="110" t="s">
        <v>388</v>
      </c>
      <c r="P260" s="110" t="s">
        <v>590</v>
      </c>
      <c r="Q260" s="118"/>
      <c r="R260" s="110" t="n">
        <v>1</v>
      </c>
      <c r="S260" s="110"/>
      <c r="T260" s="110" t="s">
        <v>530</v>
      </c>
      <c r="U260" s="110" t="s">
        <v>591</v>
      </c>
      <c r="V260" s="119" t="n">
        <v>15.76</v>
      </c>
      <c r="W260" s="119"/>
      <c r="X260" s="110" t="s">
        <v>612</v>
      </c>
      <c r="Y260" s="110"/>
      <c r="Z260" s="110"/>
      <c r="AA260" s="110"/>
      <c r="AB260" s="110" t="s">
        <v>244</v>
      </c>
      <c r="AC260" s="110" t="s">
        <v>538</v>
      </c>
      <c r="AD260" s="110" t="n">
        <f aca="false">IF(ISNUMBER(V260),ROUND(V260,6),"")</f>
        <v>15.76</v>
      </c>
      <c r="AE260" s="110" t="str">
        <f aca="false">IF(AND(AC260="yes",ISNUMBER(F260),IF(Compare!$H$5="All mapped",TRUE(),IF(Compare!$H$5="EXACT only",J260="EXACT",OR(J260="EXACT",J260="CLOSE")))),"yes","no")</f>
        <v>yes</v>
      </c>
      <c r="AF260" s="110" t="n">
        <f aca="false">IF(ISNUMBER(H260),COUNTIFS($B$7:$B$3000,B260,$C$7:$C$3000,C260,$H$7:$H$3000,"&lt;"&amp;H260,$AH$7:$AH$3000,"yes")+COUNTIFS($B$7:B260,B260,$C$7:C260,C260,$H$7:H260,H260,$AH$7:AH260,"yes"),"")</f>
        <v>5</v>
      </c>
      <c r="AG260" s="110" t="n">
        <f aca="false">IF(ISNUMBER(I260),COUNTIFS($B$7:$B$3000,B260,$C$7:$C$3000,C260,$I$7:$I$3000,"&lt;"&amp;I260,$AI$7:$AI$3000,"yes")+COUNTIFS($B$7:B260,B260,$C$7:C260,C260,$I$7:I260,I260,$AI$7:AI260,"yes"),"")</f>
        <v>5</v>
      </c>
      <c r="AH260" s="110" t="str">
        <f aca="false">IF(ISNUMBER(H260),"yes","no")</f>
        <v>yes</v>
      </c>
      <c r="AI260" s="110" t="str">
        <f aca="false">IF(ISNUMBER(I260),"yes","no")</f>
        <v>yes</v>
      </c>
      <c r="AJ260" s="120" t="n">
        <v>46295</v>
      </c>
      <c r="AK260" s="110"/>
    </row>
    <row r="261" customFormat="false" ht="42" hidden="false" customHeight="true" outlineLevel="0" collapsed="false">
      <c r="A261" s="3"/>
      <c r="B261" s="31" t="s">
        <v>33</v>
      </c>
      <c r="C261" s="91" t="s">
        <v>16</v>
      </c>
      <c r="D261" s="91" t="s">
        <v>313</v>
      </c>
      <c r="E261" s="109" t="s">
        <v>1164</v>
      </c>
      <c r="F261" s="92" t="n">
        <v>8.79</v>
      </c>
      <c r="G261" s="91" t="s">
        <v>244</v>
      </c>
      <c r="H261" s="112" t="n">
        <f aca="false">IF(AND(AE261="yes",ISNUMBER(AD261)),AD261,"")</f>
        <v>7.39</v>
      </c>
      <c r="I261" s="95" t="n">
        <f aca="false">IF(AND(AE261="yes",ISNUMBER(AD261),ISNUMBER(INDEX(Sources!$G$7:$G$10,MATCH(AB261,Sources!$B$7:$B$10,0)))),ROUND(AD261/INDEX(Sources!$G$7:$G$10,MATCH(AB261,Sources!$B$7:$B$10,0)),6),"")</f>
        <v>7.39</v>
      </c>
      <c r="J261" s="91" t="s">
        <v>702</v>
      </c>
      <c r="K261" s="91" t="s">
        <v>586</v>
      </c>
      <c r="L261" s="96"/>
      <c r="M261" s="109" t="s">
        <v>1165</v>
      </c>
      <c r="N261" s="113" t="s">
        <v>1178</v>
      </c>
      <c r="O261" s="109" t="s">
        <v>1167</v>
      </c>
      <c r="P261" s="109" t="s">
        <v>265</v>
      </c>
      <c r="Q261" s="114"/>
      <c r="R261" s="109" t="n">
        <v>1</v>
      </c>
      <c r="S261" s="109"/>
      <c r="T261" s="109" t="s">
        <v>702</v>
      </c>
      <c r="U261" s="109" t="s">
        <v>591</v>
      </c>
      <c r="V261" s="115" t="n">
        <v>7.39</v>
      </c>
      <c r="W261" s="115"/>
      <c r="X261" s="109" t="s">
        <v>612</v>
      </c>
      <c r="Y261" s="109"/>
      <c r="Z261" s="109"/>
      <c r="AA261" s="109"/>
      <c r="AB261" s="109" t="s">
        <v>244</v>
      </c>
      <c r="AC261" s="109" t="s">
        <v>538</v>
      </c>
      <c r="AD261" s="109" t="n">
        <f aca="false">IF(ISNUMBER(V261),ROUND(V261,6),"")</f>
        <v>7.39</v>
      </c>
      <c r="AE261" s="109" t="str">
        <f aca="false">IF(AND(AC261="yes",ISNUMBER(F261),IF(Compare!$H$5="All mapped",TRUE(),IF(Compare!$H$5="EXACT only",J261="EXACT",OR(J261="EXACT",J261="CLOSE")))),"yes","no")</f>
        <v>yes</v>
      </c>
      <c r="AF261" s="109" t="n">
        <f aca="false">IF(ISNUMBER(H261),COUNTIFS($B$7:$B$3000,B261,$C$7:$C$3000,C261,$H$7:$H$3000,"&lt;"&amp;H261,$AH$7:$AH$3000,"yes")+COUNTIFS($B$7:B261,B261,$C$7:C261,C261,$H$7:H261,H261,$AH$7:AH261,"yes"),"")</f>
        <v>2</v>
      </c>
      <c r="AG261" s="109" t="n">
        <f aca="false">IF(ISNUMBER(I261),COUNTIFS($B$7:$B$3000,B261,$C$7:$C$3000,C261,$I$7:$I$3000,"&lt;"&amp;I261,$AI$7:$AI$3000,"yes")+COUNTIFS($B$7:B261,B261,$C$7:C261,C261,$I$7:I261,I261,$AI$7:AI261,"yes"),"")</f>
        <v>2</v>
      </c>
      <c r="AH261" s="109" t="str">
        <f aca="false">IF(ISNUMBER(H261),"yes","no")</f>
        <v>yes</v>
      </c>
      <c r="AI261" s="109" t="str">
        <f aca="false">IF(ISNUMBER(I261),"yes","no")</f>
        <v>yes</v>
      </c>
      <c r="AJ261" s="116" t="n">
        <v>46295</v>
      </c>
      <c r="AK261" s="109"/>
    </row>
    <row r="262" customFormat="false" ht="42" hidden="false" customHeight="true" outlineLevel="0" collapsed="false">
      <c r="A262" s="3"/>
      <c r="B262" s="36" t="s">
        <v>33</v>
      </c>
      <c r="C262" s="98" t="s">
        <v>16</v>
      </c>
      <c r="D262" s="98" t="s">
        <v>321</v>
      </c>
      <c r="E262" s="110" t="s">
        <v>1168</v>
      </c>
      <c r="F262" s="99" t="n">
        <v>8.74</v>
      </c>
      <c r="G262" s="98" t="s">
        <v>244</v>
      </c>
      <c r="H262" s="112" t="n">
        <f aca="false">IF(AND(AE262="yes",ISNUMBER(AD262)),AD262,"")</f>
        <v>8.74</v>
      </c>
      <c r="I262" s="95" t="n">
        <f aca="false">IF(AND(AE262="yes",ISNUMBER(AD262),ISNUMBER(INDEX(Sources!$G$7:$G$10,MATCH(AB262,Sources!$B$7:$B$10,0)))),ROUND(AD262/INDEX(Sources!$G$7:$G$10,MATCH(AB262,Sources!$B$7:$B$10,0)),6),"")</f>
        <v>8.74</v>
      </c>
      <c r="J262" s="98" t="s">
        <v>702</v>
      </c>
      <c r="K262" s="98" t="s">
        <v>586</v>
      </c>
      <c r="L262" s="96"/>
      <c r="M262" s="110" t="s">
        <v>1179</v>
      </c>
      <c r="N262" s="117" t="s">
        <v>1180</v>
      </c>
      <c r="O262" s="110" t="s">
        <v>603</v>
      </c>
      <c r="P262" s="110" t="s">
        <v>590</v>
      </c>
      <c r="Q262" s="118"/>
      <c r="R262" s="110" t="n">
        <v>1</v>
      </c>
      <c r="S262" s="110"/>
      <c r="T262" s="110" t="s">
        <v>702</v>
      </c>
      <c r="U262" s="110" t="s">
        <v>591</v>
      </c>
      <c r="V262" s="119" t="n">
        <v>8.74</v>
      </c>
      <c r="W262" s="119"/>
      <c r="X262" s="110" t="s">
        <v>612</v>
      </c>
      <c r="Y262" s="110"/>
      <c r="Z262" s="110"/>
      <c r="AA262" s="110"/>
      <c r="AB262" s="110" t="s">
        <v>244</v>
      </c>
      <c r="AC262" s="110" t="s">
        <v>538</v>
      </c>
      <c r="AD262" s="110" t="n">
        <f aca="false">IF(ISNUMBER(V262),ROUND(V262,6),"")</f>
        <v>8.74</v>
      </c>
      <c r="AE262" s="110" t="str">
        <f aca="false">IF(AND(AC262="yes",ISNUMBER(F262),IF(Compare!$H$5="All mapped",TRUE(),IF(Compare!$H$5="EXACT only",J262="EXACT",OR(J262="EXACT",J262="CLOSE")))),"yes","no")</f>
        <v>yes</v>
      </c>
      <c r="AF262" s="110" t="n">
        <f aca="false">IF(ISNUMBER(H262),COUNTIFS($B$7:$B$3000,B262,$C$7:$C$3000,C262,$H$7:$H$3000,"&lt;"&amp;H262,$AH$7:$AH$3000,"yes")+COUNTIFS($B$7:B262,B262,$C$7:C262,C262,$H$7:H262,H262,$AH$7:AH262,"yes"),"")</f>
        <v>4</v>
      </c>
      <c r="AG262" s="110" t="n">
        <f aca="false">IF(ISNUMBER(I262),COUNTIFS($B$7:$B$3000,B262,$C$7:$C$3000,C262,$I$7:$I$3000,"&lt;"&amp;I262,$AI$7:$AI$3000,"yes")+COUNTIFS($B$7:B262,B262,$C$7:C262,C262,$I$7:I262,I262,$AI$7:AI262,"yes"),"")</f>
        <v>4</v>
      </c>
      <c r="AH262" s="110" t="str">
        <f aca="false">IF(ISNUMBER(H262),"yes","no")</f>
        <v>yes</v>
      </c>
      <c r="AI262" s="110" t="str">
        <f aca="false">IF(ISNUMBER(I262),"yes","no")</f>
        <v>yes</v>
      </c>
      <c r="AJ262" s="120" t="n">
        <v>46295</v>
      </c>
      <c r="AK262" s="110"/>
    </row>
    <row r="263" customFormat="false" ht="42" hidden="false" customHeight="true" outlineLevel="0" collapsed="false">
      <c r="A263" s="3"/>
      <c r="B263" s="31" t="s">
        <v>33</v>
      </c>
      <c r="C263" s="91" t="s">
        <v>16</v>
      </c>
      <c r="D263" s="91" t="s">
        <v>329</v>
      </c>
      <c r="E263" s="109" t="s">
        <v>1164</v>
      </c>
      <c r="F263" s="92" t="n">
        <v>4.89</v>
      </c>
      <c r="G263" s="91" t="s">
        <v>244</v>
      </c>
      <c r="H263" s="112" t="n">
        <f aca="false">IF(AND(AE263="yes",ISNUMBER(AD263)),AD263,"")</f>
        <v>4.89</v>
      </c>
      <c r="I263" s="95" t="n">
        <f aca="false">IF(AND(AE263="yes",ISNUMBER(AD263),ISNUMBER(INDEX(Sources!$G$7:$G$10,MATCH(AB263,Sources!$B$7:$B$10,0)))),ROUND(AD263/INDEX(Sources!$G$7:$G$10,MATCH(AB263,Sources!$B$7:$B$10,0)),6),"")</f>
        <v>4.89</v>
      </c>
      <c r="J263" s="91" t="s">
        <v>702</v>
      </c>
      <c r="K263" s="91" t="s">
        <v>586</v>
      </c>
      <c r="L263" s="96"/>
      <c r="M263" s="109" t="s">
        <v>1181</v>
      </c>
      <c r="N263" s="113" t="s">
        <v>1182</v>
      </c>
      <c r="O263" s="109" t="s">
        <v>1167</v>
      </c>
      <c r="P263" s="109" t="s">
        <v>590</v>
      </c>
      <c r="Q263" s="114"/>
      <c r="R263" s="109" t="n">
        <v>1</v>
      </c>
      <c r="S263" s="109"/>
      <c r="T263" s="109" t="s">
        <v>702</v>
      </c>
      <c r="U263" s="109" t="s">
        <v>591</v>
      </c>
      <c r="V263" s="115" t="n">
        <v>4.89</v>
      </c>
      <c r="W263" s="115"/>
      <c r="X263" s="109" t="s">
        <v>612</v>
      </c>
      <c r="Y263" s="109"/>
      <c r="Z263" s="109"/>
      <c r="AA263" s="109"/>
      <c r="AB263" s="109" t="s">
        <v>244</v>
      </c>
      <c r="AC263" s="109" t="s">
        <v>538</v>
      </c>
      <c r="AD263" s="109" t="n">
        <f aca="false">IF(ISNUMBER(V263),ROUND(V263,6),"")</f>
        <v>4.89</v>
      </c>
      <c r="AE263" s="109" t="str">
        <f aca="false">IF(AND(AC263="yes",ISNUMBER(F263),IF(Compare!$H$5="All mapped",TRUE(),IF(Compare!$H$5="EXACT only",J263="EXACT",OR(J263="EXACT",J263="CLOSE")))),"yes","no")</f>
        <v>yes</v>
      </c>
      <c r="AF263" s="109" t="n">
        <f aca="false">IF(ISNUMBER(H263),COUNTIFS($B$7:$B$3000,B263,$C$7:$C$3000,C263,$H$7:$H$3000,"&lt;"&amp;H263,$AH$7:$AH$3000,"yes")+COUNTIFS($B$7:B263,B263,$C$7:C263,C263,$H$7:H263,H263,$AH$7:AH263,"yes"),"")</f>
        <v>1</v>
      </c>
      <c r="AG263" s="109" t="n">
        <f aca="false">IF(ISNUMBER(I263),COUNTIFS($B$7:$B$3000,B263,$C$7:$C$3000,C263,$I$7:$I$3000,"&lt;"&amp;I263,$AI$7:$AI$3000,"yes")+COUNTIFS($B$7:B263,B263,$C$7:C263,C263,$I$7:I263,I263,$AI$7:AI263,"yes"),"")</f>
        <v>1</v>
      </c>
      <c r="AH263" s="109" t="str">
        <f aca="false">IF(ISNUMBER(H263),"yes","no")</f>
        <v>yes</v>
      </c>
      <c r="AI263" s="109" t="str">
        <f aca="false">IF(ISNUMBER(I263),"yes","no")</f>
        <v>yes</v>
      </c>
      <c r="AJ263" s="116" t="n">
        <v>46295</v>
      </c>
      <c r="AK263" s="109"/>
    </row>
    <row r="264" customFormat="false" ht="48.75" hidden="false" customHeight="true" outlineLevel="0" collapsed="false">
      <c r="A264" s="3"/>
      <c r="B264" s="36" t="s">
        <v>33</v>
      </c>
      <c r="C264" s="98" t="s">
        <v>17</v>
      </c>
      <c r="D264" s="98" t="s">
        <v>354</v>
      </c>
      <c r="E264" s="110" t="s">
        <v>1183</v>
      </c>
      <c r="F264" s="99" t="n">
        <v>437.86</v>
      </c>
      <c r="G264" s="98" t="s">
        <v>333</v>
      </c>
      <c r="H264" s="112" t="str">
        <f aca="false">IF(AND(AE264="yes",ISNUMBER(AD264)),AD264,"")</f>
        <v/>
      </c>
      <c r="I264" s="95" t="str">
        <f aca="false">IF(AND(AE264="yes",ISNUMBER(AD264),ISNUMBER(INDEX(Sources!$G$7:$G$10,MATCH(AB264,Sources!$B$7:$B$10,0)))),ROUND(AD264/INDEX(Sources!$G$7:$G$10,MATCH(AB264,Sources!$B$7:$B$10,0)),6),"")</f>
        <v/>
      </c>
      <c r="J264" s="98" t="s">
        <v>629</v>
      </c>
      <c r="K264" s="98" t="s">
        <v>586</v>
      </c>
      <c r="L264" s="96"/>
      <c r="M264" s="110" t="s">
        <v>1184</v>
      </c>
      <c r="N264" s="117" t="s">
        <v>1185</v>
      </c>
      <c r="O264" s="110" t="s">
        <v>610</v>
      </c>
      <c r="P264" s="110" t="s">
        <v>590</v>
      </c>
      <c r="Q264" s="118" t="n">
        <v>0.19</v>
      </c>
      <c r="R264" s="110" t="n">
        <v>1</v>
      </c>
      <c r="S264" s="110" t="s">
        <v>632</v>
      </c>
      <c r="T264" s="110" t="s">
        <v>629</v>
      </c>
      <c r="U264" s="110" t="s">
        <v>591</v>
      </c>
      <c r="V264" s="119"/>
      <c r="W264" s="119"/>
      <c r="X264" s="110" t="s">
        <v>626</v>
      </c>
      <c r="Y264" s="110"/>
      <c r="Z264" s="110"/>
      <c r="AA264" s="110"/>
      <c r="AB264" s="110" t="s">
        <v>333</v>
      </c>
      <c r="AC264" s="110" t="s">
        <v>538</v>
      </c>
      <c r="AD264" s="110" t="n">
        <f aca="false">IF(OR(F264="",Q264="",R264=""),"",ROUND(IF(P264="incl.",F264/(1+Q264),F264)/IF(S264="per pack",R264,1),2))</f>
        <v>437.86</v>
      </c>
      <c r="AE264" s="110" t="str">
        <f aca="false">IF(AND(AC264="yes",ISNUMBER(F264),IF(Compare!$H$5="All mapped",TRUE(),IF(Compare!$H$5="EXACT only",J264="EXACT",OR(J264="EXACT",J264="CLOSE")))),"yes","no")</f>
        <v>no</v>
      </c>
      <c r="AF264" s="110" t="str">
        <f aca="false">IF(ISNUMBER(H264),COUNTIFS($B$7:$B$3000,B264,$C$7:$C$3000,C264,$H$7:$H$3000,"&lt;"&amp;H264,$AH$7:$AH$3000,"yes")+COUNTIFS($B$7:B264,B264,$C$7:C264,C264,$H$7:H264,H264,$AH$7:AH264,"yes"),"")</f>
        <v/>
      </c>
      <c r="AG264" s="110" t="str">
        <f aca="false">IF(ISNUMBER(I264),COUNTIFS($B$7:$B$3000,B264,$C$7:$C$3000,C264,$I$7:$I$3000,"&lt;"&amp;I264,$AI$7:$AI$3000,"yes")+COUNTIFS($B$7:B264,B264,$C$7:C264,C264,$I$7:I264,I264,$AI$7:AI264,"yes"),"")</f>
        <v/>
      </c>
      <c r="AH264" s="110" t="str">
        <f aca="false">IF(ISNUMBER(H264),"yes","no")</f>
        <v>no</v>
      </c>
      <c r="AI264" s="110" t="str">
        <f aca="false">IF(ISNUMBER(I264),"yes","no")</f>
        <v>no</v>
      </c>
      <c r="AJ264" s="120" t="n">
        <v>46295</v>
      </c>
      <c r="AK264" s="110"/>
    </row>
    <row r="265" customFormat="false" ht="48.75" hidden="false" customHeight="true" outlineLevel="0" collapsed="false">
      <c r="A265" s="3"/>
      <c r="B265" s="31" t="s">
        <v>33</v>
      </c>
      <c r="C265" s="91" t="s">
        <v>17</v>
      </c>
      <c r="D265" s="91" t="s">
        <v>342</v>
      </c>
      <c r="E265" s="109" t="s">
        <v>1186</v>
      </c>
      <c r="F265" s="92" t="n">
        <v>159</v>
      </c>
      <c r="G265" s="91" t="s">
        <v>333</v>
      </c>
      <c r="H265" s="112" t="n">
        <f aca="false">IF(AND(AE265="yes",ISNUMBER(AD265)),AD265,"")</f>
        <v>159</v>
      </c>
      <c r="I265" s="95" t="n">
        <f aca="false">IF(AND(AE265="yes",ISNUMBER(AD265),ISNUMBER(INDEX(Sources!$G$7:$G$10,MATCH(AB265,Sources!$B$7:$B$10,0)))),ROUND(AD265/INDEX(Sources!$G$7:$G$10,MATCH(AB265,Sources!$B$7:$B$10,0)),6),"")</f>
        <v>6.510093</v>
      </c>
      <c r="J265" s="91" t="s">
        <v>702</v>
      </c>
      <c r="K265" s="91" t="s">
        <v>586</v>
      </c>
      <c r="L265" s="96"/>
      <c r="M265" s="109" t="s">
        <v>1187</v>
      </c>
      <c r="N265" s="113" t="s">
        <v>1188</v>
      </c>
      <c r="O265" s="109" t="s">
        <v>388</v>
      </c>
      <c r="P265" s="109" t="s">
        <v>590</v>
      </c>
      <c r="Q265" s="114" t="n">
        <v>0.21</v>
      </c>
      <c r="R265" s="109" t="n">
        <v>1</v>
      </c>
      <c r="S265" s="109" t="s">
        <v>632</v>
      </c>
      <c r="T265" s="109" t="s">
        <v>702</v>
      </c>
      <c r="U265" s="109" t="s">
        <v>591</v>
      </c>
      <c r="V265" s="115"/>
      <c r="W265" s="115"/>
      <c r="X265" s="109" t="s">
        <v>626</v>
      </c>
      <c r="Y265" s="109"/>
      <c r="Z265" s="109"/>
      <c r="AA265" s="109"/>
      <c r="AB265" s="109" t="s">
        <v>333</v>
      </c>
      <c r="AC265" s="109" t="s">
        <v>538</v>
      </c>
      <c r="AD265" s="109" t="n">
        <f aca="false">IF(OR(F265="",Q265="",R265=""),"",ROUND(IF(P265="incl.",F265/(1+Q265),F265)/IF(S265="per pack",R265,1),2))</f>
        <v>159</v>
      </c>
      <c r="AE265" s="109" t="str">
        <f aca="false">IF(AND(AC265="yes",ISNUMBER(F265),IF(Compare!$H$5="All mapped",TRUE(),IF(Compare!$H$5="EXACT only",J265="EXACT",OR(J265="EXACT",J265="CLOSE")))),"yes","no")</f>
        <v>yes</v>
      </c>
      <c r="AF265" s="109" t="n">
        <f aca="false">IF(ISNUMBER(H265),COUNTIFS($B$7:$B$3000,B265,$C$7:$C$3000,C265,$H$7:$H$3000,"&lt;"&amp;H265,$AH$7:$AH$3000,"yes")+COUNTIFS($B$7:B265,B265,$C$7:C265,C265,$H$7:H265,H265,$AH$7:AH265,"yes"),"")</f>
        <v>3</v>
      </c>
      <c r="AG265" s="109" t="n">
        <f aca="false">IF(ISNUMBER(I265),COUNTIFS($B$7:$B$3000,B265,$C$7:$C$3000,C265,$I$7:$I$3000,"&lt;"&amp;I265,$AI$7:$AI$3000,"yes")+COUNTIFS($B$7:B265,B265,$C$7:C265,C265,$I$7:I265,I265,$AI$7:AI265,"yes"),"")</f>
        <v>3</v>
      </c>
      <c r="AH265" s="109" t="str">
        <f aca="false">IF(ISNUMBER(H265),"yes","no")</f>
        <v>yes</v>
      </c>
      <c r="AI265" s="109" t="str">
        <f aca="false">IF(ISNUMBER(I265),"yes","no")</f>
        <v>yes</v>
      </c>
      <c r="AJ265" s="116" t="n">
        <v>46295</v>
      </c>
      <c r="AK265" s="109"/>
    </row>
    <row r="266" customFormat="false" ht="42" hidden="false" customHeight="true" outlineLevel="0" collapsed="false">
      <c r="A266" s="3"/>
      <c r="B266" s="36" t="s">
        <v>33</v>
      </c>
      <c r="C266" s="98" t="s">
        <v>17</v>
      </c>
      <c r="D266" s="98" t="s">
        <v>346</v>
      </c>
      <c r="E266" s="110" t="s">
        <v>1189</v>
      </c>
      <c r="F266" s="99" t="n">
        <v>183</v>
      </c>
      <c r="G266" s="98" t="s">
        <v>333</v>
      </c>
      <c r="H266" s="112" t="n">
        <f aca="false">IF(AND(AE266="yes",ISNUMBER(AD266)),AD266,"")</f>
        <v>151.24</v>
      </c>
      <c r="I266" s="95" t="n">
        <f aca="false">IF(AND(AE266="yes",ISNUMBER(AD266),ISNUMBER(INDEX(Sources!$G$7:$G$10,MATCH(AB266,Sources!$B$7:$B$10,0)))),ROUND(AD266/INDEX(Sources!$G$7:$G$10,MATCH(AB266,Sources!$B$7:$B$10,0)),6),"")</f>
        <v>6.192367</v>
      </c>
      <c r="J266" s="98" t="s">
        <v>702</v>
      </c>
      <c r="K266" s="98" t="s">
        <v>586</v>
      </c>
      <c r="L266" s="96"/>
      <c r="M266" s="110" t="s">
        <v>1190</v>
      </c>
      <c r="N266" s="117" t="s">
        <v>1191</v>
      </c>
      <c r="O266" s="110" t="s">
        <v>388</v>
      </c>
      <c r="P266" s="110" t="s">
        <v>265</v>
      </c>
      <c r="Q266" s="118" t="n">
        <v>0.21</v>
      </c>
      <c r="R266" s="110" t="n">
        <v>1</v>
      </c>
      <c r="S266" s="110" t="s">
        <v>632</v>
      </c>
      <c r="T266" s="110" t="s">
        <v>702</v>
      </c>
      <c r="U266" s="110" t="s">
        <v>591</v>
      </c>
      <c r="V266" s="119"/>
      <c r="W266" s="119"/>
      <c r="X266" s="110" t="s">
        <v>626</v>
      </c>
      <c r="Y266" s="110"/>
      <c r="Z266" s="110"/>
      <c r="AA266" s="110"/>
      <c r="AB266" s="110" t="s">
        <v>333</v>
      </c>
      <c r="AC266" s="110" t="s">
        <v>538</v>
      </c>
      <c r="AD266" s="110" t="n">
        <f aca="false">IF(OR(F266="",Q266="",R266=""),"",ROUND(IF(P266="incl.",F266/(1+Q266),F266)/IF(S266="per pack",R266,1),2))</f>
        <v>151.24</v>
      </c>
      <c r="AE266" s="110" t="str">
        <f aca="false">IF(AND(AC266="yes",ISNUMBER(F266),IF(Compare!$H$5="All mapped",TRUE(),IF(Compare!$H$5="EXACT only",J266="EXACT",OR(J266="EXACT",J266="CLOSE")))),"yes","no")</f>
        <v>yes</v>
      </c>
      <c r="AF266" s="110" t="n">
        <f aca="false">IF(ISNUMBER(H266),COUNTIFS($B$7:$B$3000,B266,$C$7:$C$3000,C266,$H$7:$H$3000,"&lt;"&amp;H266,$AH$7:$AH$3000,"yes")+COUNTIFS($B$7:B266,B266,$C$7:C266,C266,$H$7:H266,H266,$AH$7:AH266,"yes"),"")</f>
        <v>2</v>
      </c>
      <c r="AG266" s="110" t="n">
        <f aca="false">IF(ISNUMBER(I266),COUNTIFS($B$7:$B$3000,B266,$C$7:$C$3000,C266,$I$7:$I$3000,"&lt;"&amp;I266,$AI$7:$AI$3000,"yes")+COUNTIFS($B$7:B266,B266,$C$7:C266,C266,$I$7:I266,I266,$AI$7:AI266,"yes"),"")</f>
        <v>2</v>
      </c>
      <c r="AH266" s="110" t="str">
        <f aca="false">IF(ISNUMBER(H266),"yes","no")</f>
        <v>yes</v>
      </c>
      <c r="AI266" s="110" t="str">
        <f aca="false">IF(ISNUMBER(I266),"yes","no")</f>
        <v>yes</v>
      </c>
      <c r="AJ266" s="120" t="n">
        <v>46295</v>
      </c>
      <c r="AK266" s="110"/>
    </row>
    <row r="267" customFormat="false" ht="42" hidden="false" customHeight="true" outlineLevel="0" collapsed="false">
      <c r="A267" s="3"/>
      <c r="B267" s="31" t="s">
        <v>33</v>
      </c>
      <c r="C267" s="91" t="s">
        <v>17</v>
      </c>
      <c r="D267" s="91" t="s">
        <v>361</v>
      </c>
      <c r="E267" s="109" t="s">
        <v>1192</v>
      </c>
      <c r="F267" s="92" t="n">
        <v>115</v>
      </c>
      <c r="G267" s="91" t="s">
        <v>333</v>
      </c>
      <c r="H267" s="112" t="n">
        <f aca="false">IF(AND(AE267="yes",ISNUMBER(AD267)),AD267,"")</f>
        <v>95.04</v>
      </c>
      <c r="I267" s="95" t="n">
        <f aca="false">IF(AND(AE267="yes",ISNUMBER(AD267),ISNUMBER(INDEX(Sources!$G$7:$G$10,MATCH(AB267,Sources!$B$7:$B$10,0)))),ROUND(AD267/INDEX(Sources!$G$7:$G$10,MATCH(AB267,Sources!$B$7:$B$10,0)),6),"")</f>
        <v>3.891316</v>
      </c>
      <c r="J267" s="91" t="s">
        <v>702</v>
      </c>
      <c r="K267" s="91" t="s">
        <v>586</v>
      </c>
      <c r="L267" s="96"/>
      <c r="M267" s="109" t="s">
        <v>1193</v>
      </c>
      <c r="N267" s="113" t="s">
        <v>1194</v>
      </c>
      <c r="O267" s="109" t="s">
        <v>361</v>
      </c>
      <c r="P267" s="109" t="s">
        <v>265</v>
      </c>
      <c r="Q267" s="114" t="n">
        <v>0.21</v>
      </c>
      <c r="R267" s="109" t="n">
        <v>1</v>
      </c>
      <c r="S267" s="109" t="s">
        <v>632</v>
      </c>
      <c r="T267" s="109" t="s">
        <v>702</v>
      </c>
      <c r="U267" s="109" t="s">
        <v>591</v>
      </c>
      <c r="V267" s="115"/>
      <c r="W267" s="115"/>
      <c r="X267" s="109" t="s">
        <v>626</v>
      </c>
      <c r="Y267" s="109"/>
      <c r="Z267" s="109"/>
      <c r="AA267" s="109"/>
      <c r="AB267" s="109" t="s">
        <v>333</v>
      </c>
      <c r="AC267" s="109" t="s">
        <v>538</v>
      </c>
      <c r="AD267" s="109" t="n">
        <f aca="false">IF(OR(F267="",Q267="",R267=""),"",ROUND(IF(P267="incl.",F267/(1+Q267),F267)/IF(S267="per pack",R267,1),2))</f>
        <v>95.04</v>
      </c>
      <c r="AE267" s="109" t="str">
        <f aca="false">IF(AND(AC267="yes",ISNUMBER(F267),IF(Compare!$H$5="All mapped",TRUE(),IF(Compare!$H$5="EXACT only",J267="EXACT",OR(J267="EXACT",J267="CLOSE")))),"yes","no")</f>
        <v>yes</v>
      </c>
      <c r="AF267" s="109" t="n">
        <f aca="false">IF(ISNUMBER(H267),COUNTIFS($B$7:$B$3000,B267,$C$7:$C$3000,C267,$H$7:$H$3000,"&lt;"&amp;H267,$AH$7:$AH$3000,"yes")+COUNTIFS($B$7:B267,B267,$C$7:C267,C267,$H$7:H267,H267,$AH$7:AH267,"yes"),"")</f>
        <v>1</v>
      </c>
      <c r="AG267" s="109" t="n">
        <f aca="false">IF(ISNUMBER(I267),COUNTIFS($B$7:$B$3000,B267,$C$7:$C$3000,C267,$I$7:$I$3000,"&lt;"&amp;I267,$AI$7:$AI$3000,"yes")+COUNTIFS($B$7:B267,B267,$C$7:C267,C267,$I$7:I267,I267,$AI$7:AI267,"yes"),"")</f>
        <v>1</v>
      </c>
      <c r="AH267" s="109" t="str">
        <f aca="false">IF(ISNUMBER(H267),"yes","no")</f>
        <v>yes</v>
      </c>
      <c r="AI267" s="109" t="str">
        <f aca="false">IF(ISNUMBER(I267),"yes","no")</f>
        <v>yes</v>
      </c>
      <c r="AJ267" s="116" t="n">
        <v>46295</v>
      </c>
      <c r="AK267" s="109"/>
    </row>
    <row r="268" customFormat="false" ht="48.75" hidden="false" customHeight="true" outlineLevel="0" collapsed="false">
      <c r="A268" s="3"/>
      <c r="B268" s="36" t="s">
        <v>33</v>
      </c>
      <c r="C268" s="98" t="s">
        <v>18</v>
      </c>
      <c r="D268" s="98" t="s">
        <v>365</v>
      </c>
      <c r="E268" s="110" t="s">
        <v>1195</v>
      </c>
      <c r="F268" s="99" t="n">
        <v>6.18</v>
      </c>
      <c r="G268" s="98" t="s">
        <v>244</v>
      </c>
      <c r="H268" s="112" t="n">
        <f aca="false">IF(AND(AE268="yes",ISNUMBER(AD268)),AD268,"")</f>
        <v>6.18</v>
      </c>
      <c r="I268" s="95" t="n">
        <f aca="false">IF(AND(AE268="yes",ISNUMBER(AD268),ISNUMBER(INDEX(Sources!$G$7:$G$10,MATCH(AB268,Sources!$B$7:$B$10,0)))),ROUND(AD268/INDEX(Sources!$G$7:$G$10,MATCH(AB268,Sources!$B$7:$B$10,0)),6),"")</f>
        <v>6.18</v>
      </c>
      <c r="J268" s="98" t="s">
        <v>702</v>
      </c>
      <c r="K268" s="98" t="s">
        <v>586</v>
      </c>
      <c r="L268" s="96"/>
      <c r="M268" s="110" t="s">
        <v>1196</v>
      </c>
      <c r="N268" s="117" t="s">
        <v>1197</v>
      </c>
      <c r="O268" s="110" t="s">
        <v>388</v>
      </c>
      <c r="P268" s="110" t="s">
        <v>590</v>
      </c>
      <c r="Q268" s="118" t="s">
        <v>647</v>
      </c>
      <c r="R268" s="110" t="n">
        <v>1</v>
      </c>
      <c r="S268" s="110" t="s">
        <v>632</v>
      </c>
      <c r="T268" s="110" t="s">
        <v>702</v>
      </c>
      <c r="U268" s="110" t="s">
        <v>591</v>
      </c>
      <c r="V268" s="119" t="n">
        <v>6.18</v>
      </c>
      <c r="W268" s="119"/>
      <c r="X268" s="110" t="s">
        <v>648</v>
      </c>
      <c r="Y268" s="110"/>
      <c r="Z268" s="110"/>
      <c r="AA268" s="110"/>
      <c r="AB268" s="110" t="s">
        <v>244</v>
      </c>
      <c r="AC268" s="110" t="s">
        <v>538</v>
      </c>
      <c r="AD268" s="110" t="n">
        <f aca="false">IF(ISNUMBER(V268),ROUND(V268,6),"")</f>
        <v>6.18</v>
      </c>
      <c r="AE268" s="110" t="str">
        <f aca="false">IF(AND(AC268="yes",ISNUMBER(F268),IF(Compare!$H$5="All mapped",TRUE(),IF(Compare!$H$5="EXACT only",J268="EXACT",OR(J268="EXACT",J268="CLOSE")))),"yes","no")</f>
        <v>yes</v>
      </c>
      <c r="AF268" s="110" t="n">
        <f aca="false">IF(ISNUMBER(H268),COUNTIFS($B$7:$B$3000,B268,$C$7:$C$3000,C268,$H$7:$H$3000,"&lt;"&amp;H268,$AH$7:$AH$3000,"yes")+COUNTIFS($B$7:B268,B268,$C$7:C268,C268,$H$7:H268,H268,$AH$7:AH268,"yes"),"")</f>
        <v>1</v>
      </c>
      <c r="AG268" s="110" t="n">
        <f aca="false">IF(ISNUMBER(I268),COUNTIFS($B$7:$B$3000,B268,$C$7:$C$3000,C268,$I$7:$I$3000,"&lt;"&amp;I268,$AI$7:$AI$3000,"yes")+COUNTIFS($B$7:B268,B268,$C$7:C268,C268,$I$7:I268,I268,$AI$7:AI268,"yes"),"")</f>
        <v>1</v>
      </c>
      <c r="AH268" s="110" t="str">
        <f aca="false">IF(ISNUMBER(H268),"yes","no")</f>
        <v>yes</v>
      </c>
      <c r="AI268" s="110" t="str">
        <f aca="false">IF(ISNUMBER(I268),"yes","no")</f>
        <v>yes</v>
      </c>
      <c r="AJ268" s="120" t="n">
        <v>46295</v>
      </c>
      <c r="AK268" s="110"/>
    </row>
    <row r="269" customFormat="false" ht="42" hidden="false" customHeight="true" outlineLevel="0" collapsed="false">
      <c r="A269" s="3"/>
      <c r="B269" s="31" t="s">
        <v>33</v>
      </c>
      <c r="C269" s="91" t="s">
        <v>18</v>
      </c>
      <c r="D269" s="91" t="s">
        <v>369</v>
      </c>
      <c r="E269" s="109" t="s">
        <v>1198</v>
      </c>
      <c r="F269" s="92" t="n">
        <v>8.61</v>
      </c>
      <c r="G269" s="91" t="s">
        <v>244</v>
      </c>
      <c r="H269" s="112" t="n">
        <f aca="false">IF(AND(AE269="yes",ISNUMBER(AD269)),AD269,"")</f>
        <v>7</v>
      </c>
      <c r="I269" s="95" t="n">
        <f aca="false">IF(AND(AE269="yes",ISNUMBER(AD269),ISNUMBER(INDEX(Sources!$G$7:$G$10,MATCH(AB269,Sources!$B$7:$B$10,0)))),ROUND(AD269/INDEX(Sources!$G$7:$G$10,MATCH(AB269,Sources!$B$7:$B$10,0)),6),"")</f>
        <v>7</v>
      </c>
      <c r="J269" s="91" t="s">
        <v>702</v>
      </c>
      <c r="K269" s="91" t="s">
        <v>586</v>
      </c>
      <c r="L269" s="96"/>
      <c r="M269" s="109" t="s">
        <v>1199</v>
      </c>
      <c r="N269" s="113" t="s">
        <v>1200</v>
      </c>
      <c r="O269" s="109" t="s">
        <v>388</v>
      </c>
      <c r="P269" s="109" t="s">
        <v>265</v>
      </c>
      <c r="Q269" s="114" t="n">
        <v>0.23</v>
      </c>
      <c r="R269" s="109" t="n">
        <v>1</v>
      </c>
      <c r="S269" s="109" t="s">
        <v>632</v>
      </c>
      <c r="T269" s="109" t="s">
        <v>702</v>
      </c>
      <c r="U269" s="109" t="s">
        <v>591</v>
      </c>
      <c r="V269" s="115" t="n">
        <v>7</v>
      </c>
      <c r="W269" s="115"/>
      <c r="X269" s="109" t="s">
        <v>648</v>
      </c>
      <c r="Y269" s="109"/>
      <c r="Z269" s="109"/>
      <c r="AA269" s="109"/>
      <c r="AB269" s="109" t="s">
        <v>244</v>
      </c>
      <c r="AC269" s="109" t="s">
        <v>538</v>
      </c>
      <c r="AD269" s="109" t="n">
        <f aca="false">IF(ISNUMBER(V269),ROUND(V269,6),"")</f>
        <v>7</v>
      </c>
      <c r="AE269" s="109" t="str">
        <f aca="false">IF(AND(AC269="yes",ISNUMBER(F269),IF(Compare!$H$5="All mapped",TRUE(),IF(Compare!$H$5="EXACT only",J269="EXACT",OR(J269="EXACT",J269="CLOSE")))),"yes","no")</f>
        <v>yes</v>
      </c>
      <c r="AF269" s="109" t="n">
        <f aca="false">IF(ISNUMBER(H269),COUNTIFS($B$7:$B$3000,B269,$C$7:$C$3000,C269,$H$7:$H$3000,"&lt;"&amp;H269,$AH$7:$AH$3000,"yes")+COUNTIFS($B$7:B269,B269,$C$7:C269,C269,$H$7:H269,H269,$AH$7:AH269,"yes"),"")</f>
        <v>2</v>
      </c>
      <c r="AG269" s="109" t="n">
        <f aca="false">IF(ISNUMBER(I269),COUNTIFS($B$7:$B$3000,B269,$C$7:$C$3000,C269,$I$7:$I$3000,"&lt;"&amp;I269,$AI$7:$AI$3000,"yes")+COUNTIFS($B$7:B269,B269,$C$7:C269,C269,$I$7:I269,I269,$AI$7:AI269,"yes"),"")</f>
        <v>2</v>
      </c>
      <c r="AH269" s="109" t="str">
        <f aca="false">IF(ISNUMBER(H269),"yes","no")</f>
        <v>yes</v>
      </c>
      <c r="AI269" s="109" t="str">
        <f aca="false">IF(ISNUMBER(I269),"yes","no")</f>
        <v>yes</v>
      </c>
      <c r="AJ269" s="116" t="n">
        <v>46295</v>
      </c>
      <c r="AK269" s="109"/>
    </row>
    <row r="270" customFormat="false" ht="42" hidden="false" customHeight="true" outlineLevel="0" collapsed="false">
      <c r="A270" s="3"/>
      <c r="B270" s="36" t="s">
        <v>34</v>
      </c>
      <c r="C270" s="98" t="s">
        <v>13</v>
      </c>
      <c r="D270" s="98" t="s">
        <v>528</v>
      </c>
      <c r="E270" s="110" t="s">
        <v>1201</v>
      </c>
      <c r="F270" s="99" t="n">
        <v>3560</v>
      </c>
      <c r="G270" s="98" t="s">
        <v>490</v>
      </c>
      <c r="H270" s="112" t="n">
        <f aca="false">IF(AND(AE270="yes",ISNUMBER(AD270)),AD270,"")</f>
        <v>3560</v>
      </c>
      <c r="I270" s="95" t="n">
        <f aca="false">IF(AND(AE270="yes",ISNUMBER(AD270),ISNUMBER(INDEX(Sources!$G$7:$G$10,MATCH(AB270,Sources!$B$7:$B$10,0)))),ROUND(AD270/INDEX(Sources!$G$7:$G$10,MATCH(AB270,Sources!$B$7:$B$10,0)),6),"")</f>
        <v>9.723853</v>
      </c>
      <c r="J270" s="98" t="s">
        <v>530</v>
      </c>
      <c r="K270" s="98" t="s">
        <v>1202</v>
      </c>
      <c r="L270" s="96"/>
      <c r="M270" s="110" t="s">
        <v>1203</v>
      </c>
      <c r="N270" s="117" t="s">
        <v>1204</v>
      </c>
      <c r="O270" s="110"/>
      <c r="P270" s="110"/>
      <c r="Q270" s="118"/>
      <c r="R270" s="110"/>
      <c r="S270" s="110"/>
      <c r="T270" s="110"/>
      <c r="U270" s="110" t="s">
        <v>1205</v>
      </c>
      <c r="V270" s="119"/>
      <c r="W270" s="119" t="n">
        <v>3560</v>
      </c>
      <c r="X270" s="110" t="s">
        <v>535</v>
      </c>
      <c r="Y270" s="110" t="s">
        <v>1018</v>
      </c>
      <c r="Z270" s="110"/>
      <c r="AA270" s="110" t="s">
        <v>537</v>
      </c>
      <c r="AB270" s="110" t="s">
        <v>490</v>
      </c>
      <c r="AC270" s="110" t="s">
        <v>538</v>
      </c>
      <c r="AD270" s="119" t="n">
        <f aca="false">IF(ISNUMBER(F270),IF(G270=AB270,F270,IF(AND(ISNUMBER(INDEX(Sources!$G$7:$G$10,MATCH(G270,Sources!$B$7:$B$10,0))),ISNUMBER(INDEX(Sources!$G$7:$G$10,MATCH(AB270,Sources!$B$7:$B$10,0)))),F270/INDEX(Sources!$G$7:$G$10,MATCH(G270,Sources!$B$7:$B$10,0))*INDEX(Sources!$G$7:$G$10,MATCH(AB270,Sources!$B$7:$B$10,0)),"")),"")</f>
        <v>3560</v>
      </c>
      <c r="AE270" s="110" t="str">
        <f aca="false">IF(AND(AC270="yes",ISNUMBER(F270),IF(Compare!$H$5="All mapped",TRUE(),IF(Compare!$H$5="EXACT only",J270="EXACT",OR(J270="EXACT",J270="CLOSE")))),"yes","no")</f>
        <v>yes</v>
      </c>
      <c r="AF270" s="110" t="n">
        <f aca="false">IF(ISNUMBER(H270),COUNTIFS($B$7:$B$3000,B270,$C$7:$C$3000,C270,$H$7:$H$3000,"&lt;"&amp;H270,$AH$7:$AH$3000,"yes")+COUNTIFS($B$7:B270,B270,$C$7:C270,C270,$H$7:H270,H270,$AH$7:AH270,"yes"),"")</f>
        <v>1</v>
      </c>
      <c r="AG270" s="110" t="n">
        <f aca="false">IF(ISNUMBER(I270),COUNTIFS($B$7:$B$3000,B270,$C$7:$C$3000,C270,$I$7:$I$3000,"&lt;"&amp;I270,$AI$7:$AI$3000,"yes")+COUNTIFS($B$7:B270,B270,$C$7:C270,C270,$I$7:I270,I270,$AI$7:AI270,"yes"),"")</f>
        <v>1</v>
      </c>
      <c r="AH270" s="110" t="str">
        <f aca="false">IF(ISNUMBER(H270),"yes","no")</f>
        <v>yes</v>
      </c>
      <c r="AI270" s="110" t="str">
        <f aca="false">IF(ISNUMBER(I270),"yes","no")</f>
        <v>yes</v>
      </c>
      <c r="AJ270" s="120" t="n">
        <v>46199</v>
      </c>
      <c r="AK270" s="110"/>
    </row>
    <row r="271" customFormat="false" ht="42" hidden="false" customHeight="true" outlineLevel="0" collapsed="false">
      <c r="A271" s="3"/>
      <c r="B271" s="31" t="s">
        <v>34</v>
      </c>
      <c r="C271" s="91" t="s">
        <v>13</v>
      </c>
      <c r="D271" s="91" t="s">
        <v>541</v>
      </c>
      <c r="E271" s="109" t="s">
        <v>1201</v>
      </c>
      <c r="F271" s="92" t="n">
        <v>5897</v>
      </c>
      <c r="G271" s="91" t="s">
        <v>490</v>
      </c>
      <c r="H271" s="112" t="n">
        <f aca="false">IF(AND(AE271="yes",ISNUMBER(AD271)),AD271,"")</f>
        <v>5897</v>
      </c>
      <c r="I271" s="95" t="n">
        <f aca="false">IF(AND(AE271="yes",ISNUMBER(AD271),ISNUMBER(INDEX(Sources!$G$7:$G$10,MATCH(AB271,Sources!$B$7:$B$10,0)))),ROUND(AD271/INDEX(Sources!$G$7:$G$10,MATCH(AB271,Sources!$B$7:$B$10,0)),6),"")</f>
        <v>16.107181</v>
      </c>
      <c r="J271" s="91" t="s">
        <v>530</v>
      </c>
      <c r="K271" s="91" t="s">
        <v>1202</v>
      </c>
      <c r="L271" s="96"/>
      <c r="M271" s="109" t="s">
        <v>1203</v>
      </c>
      <c r="N271" s="113" t="s">
        <v>1206</v>
      </c>
      <c r="O271" s="109"/>
      <c r="P271" s="109"/>
      <c r="Q271" s="114"/>
      <c r="R271" s="109"/>
      <c r="S271" s="109"/>
      <c r="T271" s="109"/>
      <c r="U271" s="109" t="s">
        <v>1205</v>
      </c>
      <c r="V271" s="115"/>
      <c r="W271" s="115" t="n">
        <v>5897</v>
      </c>
      <c r="X271" s="109" t="s">
        <v>535</v>
      </c>
      <c r="Y271" s="109" t="s">
        <v>1018</v>
      </c>
      <c r="Z271" s="109"/>
      <c r="AA271" s="109" t="s">
        <v>537</v>
      </c>
      <c r="AB271" s="109" t="s">
        <v>490</v>
      </c>
      <c r="AC271" s="109" t="s">
        <v>538</v>
      </c>
      <c r="AD271" s="115" t="n">
        <f aca="false">IF(ISNUMBER(F271),IF(G271=AB271,F271,IF(AND(ISNUMBER(INDEX(Sources!$G$7:$G$10,MATCH(G271,Sources!$B$7:$B$10,0))),ISNUMBER(INDEX(Sources!$G$7:$G$10,MATCH(AB271,Sources!$B$7:$B$10,0)))),F271/INDEX(Sources!$G$7:$G$10,MATCH(G271,Sources!$B$7:$B$10,0))*INDEX(Sources!$G$7:$G$10,MATCH(AB271,Sources!$B$7:$B$10,0)),"")),"")</f>
        <v>5897</v>
      </c>
      <c r="AE271" s="109" t="str">
        <f aca="false">IF(AND(AC271="yes",ISNUMBER(F271),IF(Compare!$H$5="All mapped",TRUE(),IF(Compare!$H$5="EXACT only",J271="EXACT",OR(J271="EXACT",J271="CLOSE")))),"yes","no")</f>
        <v>yes</v>
      </c>
      <c r="AF271" s="109" t="n">
        <f aca="false">IF(ISNUMBER(H271),COUNTIFS($B$7:$B$3000,B271,$C$7:$C$3000,C271,$H$7:$H$3000,"&lt;"&amp;H271,$AH$7:$AH$3000,"yes")+COUNTIFS($B$7:B271,B271,$C$7:C271,C271,$H$7:H271,H271,$AH$7:AH271,"yes"),"")</f>
        <v>3</v>
      </c>
      <c r="AG271" s="109" t="n">
        <f aca="false">IF(ISNUMBER(I271),COUNTIFS($B$7:$B$3000,B271,$C$7:$C$3000,C271,$I$7:$I$3000,"&lt;"&amp;I271,$AI$7:$AI$3000,"yes")+COUNTIFS($B$7:B271,B271,$C$7:C271,C271,$I$7:I271,I271,$AI$7:AI271,"yes"),"")</f>
        <v>3</v>
      </c>
      <c r="AH271" s="109" t="str">
        <f aca="false">IF(ISNUMBER(H271),"yes","no")</f>
        <v>yes</v>
      </c>
      <c r="AI271" s="109" t="str">
        <f aca="false">IF(ISNUMBER(I271),"yes","no")</f>
        <v>yes</v>
      </c>
      <c r="AJ271" s="116" t="n">
        <v>46199</v>
      </c>
      <c r="AK271" s="109"/>
    </row>
    <row r="272" customFormat="false" ht="42" hidden="false" customHeight="true" outlineLevel="0" collapsed="false">
      <c r="A272" s="3"/>
      <c r="B272" s="36" t="s">
        <v>34</v>
      </c>
      <c r="C272" s="98" t="s">
        <v>13</v>
      </c>
      <c r="D272" s="98" t="s">
        <v>1087</v>
      </c>
      <c r="E272" s="110" t="s">
        <v>1201</v>
      </c>
      <c r="F272" s="99" t="n">
        <v>3990</v>
      </c>
      <c r="G272" s="98" t="s">
        <v>490</v>
      </c>
      <c r="H272" s="112" t="n">
        <f aca="false">IF(AND(AE272="yes",ISNUMBER(AD272)),AD272,"")</f>
        <v>3990</v>
      </c>
      <c r="I272" s="95" t="n">
        <f aca="false">IF(AND(AE272="yes",ISNUMBER(AD272),ISNUMBER(INDEX(Sources!$G$7:$G$10,MATCH(AB272,Sources!$B$7:$B$10,0)))),ROUND(AD272/INDEX(Sources!$G$7:$G$10,MATCH(AB272,Sources!$B$7:$B$10,0)),6),"")</f>
        <v>10.898364</v>
      </c>
      <c r="J272" s="98" t="s">
        <v>530</v>
      </c>
      <c r="K272" s="98" t="s">
        <v>1202</v>
      </c>
      <c r="L272" s="96"/>
      <c r="M272" s="110" t="s">
        <v>1203</v>
      </c>
      <c r="N272" s="117" t="s">
        <v>1207</v>
      </c>
      <c r="O272" s="110"/>
      <c r="P272" s="110"/>
      <c r="Q272" s="118"/>
      <c r="R272" s="110"/>
      <c r="S272" s="110"/>
      <c r="T272" s="110"/>
      <c r="U272" s="110" t="s">
        <v>1205</v>
      </c>
      <c r="V272" s="119"/>
      <c r="W272" s="119" t="n">
        <v>3990</v>
      </c>
      <c r="X272" s="110" t="s">
        <v>535</v>
      </c>
      <c r="Y272" s="110" t="s">
        <v>1018</v>
      </c>
      <c r="Z272" s="110"/>
      <c r="AA272" s="110" t="s">
        <v>537</v>
      </c>
      <c r="AB272" s="110" t="s">
        <v>490</v>
      </c>
      <c r="AC272" s="110" t="s">
        <v>538</v>
      </c>
      <c r="AD272" s="119" t="n">
        <f aca="false">IF(ISNUMBER(F272),IF(G272=AB272,F272,IF(AND(ISNUMBER(INDEX(Sources!$G$7:$G$10,MATCH(G272,Sources!$B$7:$B$10,0))),ISNUMBER(INDEX(Sources!$G$7:$G$10,MATCH(AB272,Sources!$B$7:$B$10,0)))),F272/INDEX(Sources!$G$7:$G$10,MATCH(G272,Sources!$B$7:$B$10,0))*INDEX(Sources!$G$7:$G$10,MATCH(AB272,Sources!$B$7:$B$10,0)),"")),"")</f>
        <v>3990</v>
      </c>
      <c r="AE272" s="110" t="str">
        <f aca="false">IF(AND(AC272="yes",ISNUMBER(F272),IF(Compare!$H$5="All mapped",TRUE(),IF(Compare!$H$5="EXACT only",J272="EXACT",OR(J272="EXACT",J272="CLOSE")))),"yes","no")</f>
        <v>yes</v>
      </c>
      <c r="AF272" s="110" t="n">
        <f aca="false">IF(ISNUMBER(H272),COUNTIFS($B$7:$B$3000,B272,$C$7:$C$3000,C272,$H$7:$H$3000,"&lt;"&amp;H272,$AH$7:$AH$3000,"yes")+COUNTIFS($B$7:B272,B272,$C$7:C272,C272,$H$7:H272,H272,$AH$7:AH272,"yes"),"")</f>
        <v>2</v>
      </c>
      <c r="AG272" s="110" t="n">
        <f aca="false">IF(ISNUMBER(I272),COUNTIFS($B$7:$B$3000,B272,$C$7:$C$3000,C272,$I$7:$I$3000,"&lt;"&amp;I272,$AI$7:$AI$3000,"yes")+COUNTIFS($B$7:B272,B272,$C$7:C272,C272,$I$7:I272,I272,$AI$7:AI272,"yes"),"")</f>
        <v>2</v>
      </c>
      <c r="AH272" s="110" t="str">
        <f aca="false">IF(ISNUMBER(H272),"yes","no")</f>
        <v>yes</v>
      </c>
      <c r="AI272" s="110" t="str">
        <f aca="false">IF(ISNUMBER(I272),"yes","no")</f>
        <v>yes</v>
      </c>
      <c r="AJ272" s="120" t="n">
        <v>46199</v>
      </c>
      <c r="AK272" s="110"/>
    </row>
    <row r="273" customFormat="false" ht="42" hidden="false" customHeight="true" outlineLevel="0" collapsed="false">
      <c r="A273" s="3"/>
      <c r="B273" s="31" t="s">
        <v>34</v>
      </c>
      <c r="C273" s="91" t="s">
        <v>14</v>
      </c>
      <c r="D273" s="91" t="s">
        <v>381</v>
      </c>
      <c r="E273" s="109" t="s">
        <v>1208</v>
      </c>
      <c r="F273" s="92" t="n">
        <v>60.6</v>
      </c>
      <c r="G273" s="91" t="s">
        <v>374</v>
      </c>
      <c r="H273" s="112" t="n">
        <f aca="false">IF(AND(AE273="yes",ISNUMBER(AD273)),AD273,"")</f>
        <v>60.6</v>
      </c>
      <c r="I273" s="95" t="n">
        <f aca="false">IF(AND(AE273="yes",ISNUMBER(AD273),ISNUMBER(INDEX(Sources!$G$7:$G$10,MATCH(AB273,Sources!$B$7:$B$10,0)))),ROUND(AD273/INDEX(Sources!$G$7:$G$10,MATCH(AB273,Sources!$B$7:$B$10,0)),6),"")</f>
        <v>11.482401</v>
      </c>
      <c r="J273" s="91" t="s">
        <v>530</v>
      </c>
      <c r="K273" s="91" t="s">
        <v>788</v>
      </c>
      <c r="L273" s="96"/>
      <c r="M273" s="109" t="s">
        <v>729</v>
      </c>
      <c r="N273" s="113" t="s">
        <v>1209</v>
      </c>
      <c r="O273" s="109" t="s">
        <v>1210</v>
      </c>
      <c r="P273" s="109"/>
      <c r="Q273" s="114"/>
      <c r="R273" s="109"/>
      <c r="S273" s="109"/>
      <c r="T273" s="109"/>
      <c r="U273" s="109" t="s">
        <v>1211</v>
      </c>
      <c r="V273" s="115"/>
      <c r="W273" s="115" t="n">
        <v>12.12</v>
      </c>
      <c r="X273" s="109" t="s">
        <v>556</v>
      </c>
      <c r="Y273" s="109" t="s">
        <v>557</v>
      </c>
      <c r="Z273" s="109"/>
      <c r="AA273" s="109"/>
      <c r="AB273" s="109" t="s">
        <v>374</v>
      </c>
      <c r="AC273" s="109" t="s">
        <v>538</v>
      </c>
      <c r="AD273" s="115" t="n">
        <f aca="false">IF(ISNUMBER(F273),IF(G273=AB273,F273,IF(AND(ISNUMBER(INDEX(Sources!$G$7:$G$10,MATCH(G273,Sources!$B$7:$B$10,0))),ISNUMBER(INDEX(Sources!$G$7:$G$10,MATCH(AB273,Sources!$B$7:$B$10,0)))),F273/INDEX(Sources!$G$7:$G$10,MATCH(G273,Sources!$B$7:$B$10,0))*INDEX(Sources!$G$7:$G$10,MATCH(AB273,Sources!$B$7:$B$10,0)),"")),"")</f>
        <v>60.6</v>
      </c>
      <c r="AE273" s="109" t="str">
        <f aca="false">IF(AND(AC273="yes",ISNUMBER(F273),IF(Compare!$H$5="All mapped",TRUE(),IF(Compare!$H$5="EXACT only",J273="EXACT",OR(J273="EXACT",J273="CLOSE")))),"yes","no")</f>
        <v>yes</v>
      </c>
      <c r="AF273" s="109" t="n">
        <f aca="false">IF(ISNUMBER(H273),COUNTIFS($B$7:$B$3000,B273,$C$7:$C$3000,C273,$H$7:$H$3000,"&lt;"&amp;H273,$AH$7:$AH$3000,"yes")+COUNTIFS($B$7:B273,B273,$C$7:C273,C273,$H$7:H273,H273,$AH$7:AH273,"yes"),"")</f>
        <v>1</v>
      </c>
      <c r="AG273" s="109" t="n">
        <f aca="false">IF(ISNUMBER(I273),COUNTIFS($B$7:$B$3000,B273,$C$7:$C$3000,C273,$I$7:$I$3000,"&lt;"&amp;I273,$AI$7:$AI$3000,"yes")+COUNTIFS($B$7:B273,B273,$C$7:C273,C273,$I$7:I273,I273,$AI$7:AI273,"yes"),"")</f>
        <v>1</v>
      </c>
      <c r="AH273" s="109" t="str">
        <f aca="false">IF(ISNUMBER(H273),"yes","no")</f>
        <v>yes</v>
      </c>
      <c r="AI273" s="109" t="str">
        <f aca="false">IF(ISNUMBER(I273),"yes","no")</f>
        <v>yes</v>
      </c>
      <c r="AJ273" s="116" t="n">
        <v>46268</v>
      </c>
      <c r="AK273" s="109"/>
    </row>
    <row r="274" customFormat="false" ht="42" hidden="false" customHeight="true" outlineLevel="0" collapsed="false">
      <c r="A274" s="3"/>
      <c r="B274" s="36" t="s">
        <v>34</v>
      </c>
      <c r="C274" s="98" t="s">
        <v>15</v>
      </c>
      <c r="D274" s="98" t="s">
        <v>243</v>
      </c>
      <c r="E274" s="110" t="s">
        <v>1212</v>
      </c>
      <c r="F274" s="99" t="n">
        <v>13.95</v>
      </c>
      <c r="G274" s="98" t="s">
        <v>244</v>
      </c>
      <c r="H274" s="112" t="n">
        <f aca="false">IF(AND(AE274="yes",ISNUMBER(AD274)),AD274,"")</f>
        <v>13.95</v>
      </c>
      <c r="I274" s="95" t="n">
        <f aca="false">IF(AND(AE274="yes",ISNUMBER(AD274),ISNUMBER(INDEX(Sources!$G$7:$G$10,MATCH(AB274,Sources!$B$7:$B$10,0)))),ROUND(AD274/INDEX(Sources!$G$7:$G$10,MATCH(AB274,Sources!$B$7:$B$10,0)),6),"")</f>
        <v>13.95</v>
      </c>
      <c r="J274" s="98" t="s">
        <v>702</v>
      </c>
      <c r="K274" s="98" t="s">
        <v>586</v>
      </c>
      <c r="L274" s="96"/>
      <c r="M274" s="110" t="s">
        <v>1213</v>
      </c>
      <c r="N274" s="117" t="s">
        <v>1214</v>
      </c>
      <c r="O274" s="110" t="s">
        <v>1215</v>
      </c>
      <c r="P274" s="110" t="s">
        <v>590</v>
      </c>
      <c r="Q274" s="118"/>
      <c r="R274" s="110" t="n">
        <v>1</v>
      </c>
      <c r="S274" s="110"/>
      <c r="T274" s="110" t="s">
        <v>702</v>
      </c>
      <c r="U274" s="110" t="s">
        <v>591</v>
      </c>
      <c r="V274" s="119" t="n">
        <v>13.95</v>
      </c>
      <c r="W274" s="119"/>
      <c r="X274" s="110" t="s">
        <v>592</v>
      </c>
      <c r="Y274" s="110"/>
      <c r="Z274" s="110"/>
      <c r="AA274" s="110"/>
      <c r="AB274" s="110" t="s">
        <v>244</v>
      </c>
      <c r="AC274" s="110" t="s">
        <v>538</v>
      </c>
      <c r="AD274" s="110" t="n">
        <f aca="false">IF(ISNUMBER(V274),ROUND(V274,6),"")</f>
        <v>13.95</v>
      </c>
      <c r="AE274" s="110" t="str">
        <f aca="false">IF(AND(AC274="yes",ISNUMBER(F274),IF(Compare!$H$5="All mapped",TRUE(),IF(Compare!$H$5="EXACT only",J274="EXACT",OR(J274="EXACT",J274="CLOSE")))),"yes","no")</f>
        <v>yes</v>
      </c>
      <c r="AF274" s="110" t="n">
        <f aca="false">IF(ISNUMBER(H274),COUNTIFS($B$7:$B$3000,B274,$C$7:$C$3000,C274,$H$7:$H$3000,"&lt;"&amp;H274,$AH$7:$AH$3000,"yes")+COUNTIFS($B$7:B274,B274,$C$7:C274,C274,$H$7:H274,H274,$AH$7:AH274,"yes"),"")</f>
        <v>3</v>
      </c>
      <c r="AG274" s="110" t="n">
        <f aca="false">IF(ISNUMBER(I274),COUNTIFS($B$7:$B$3000,B274,$C$7:$C$3000,C274,$I$7:$I$3000,"&lt;"&amp;I274,$AI$7:$AI$3000,"yes")+COUNTIFS($B$7:B274,B274,$C$7:C274,C274,$I$7:I274,I274,$AI$7:AI274,"yes"),"")</f>
        <v>3</v>
      </c>
      <c r="AH274" s="110" t="str">
        <f aca="false">IF(ISNUMBER(H274),"yes","no")</f>
        <v>yes</v>
      </c>
      <c r="AI274" s="110" t="str">
        <f aca="false">IF(ISNUMBER(I274),"yes","no")</f>
        <v>yes</v>
      </c>
      <c r="AJ274" s="120" t="n">
        <v>46295</v>
      </c>
      <c r="AK274" s="110"/>
    </row>
    <row r="275" customFormat="false" ht="42" hidden="false" customHeight="true" outlineLevel="0" collapsed="false">
      <c r="A275" s="3"/>
      <c r="B275" s="31" t="s">
        <v>34</v>
      </c>
      <c r="C275" s="91" t="s">
        <v>15</v>
      </c>
      <c r="D275" s="91" t="s">
        <v>269</v>
      </c>
      <c r="E275" s="109" t="s">
        <v>1216</v>
      </c>
      <c r="F275" s="92" t="n">
        <v>28.49</v>
      </c>
      <c r="G275" s="91" t="s">
        <v>244</v>
      </c>
      <c r="H275" s="112" t="n">
        <f aca="false">IF(AND(AE275="yes",ISNUMBER(AD275)),AD275,"")</f>
        <v>28.49</v>
      </c>
      <c r="I275" s="95" t="n">
        <f aca="false">IF(AND(AE275="yes",ISNUMBER(AD275),ISNUMBER(INDEX(Sources!$G$7:$G$10,MATCH(AB275,Sources!$B$7:$B$10,0)))),ROUND(AD275/INDEX(Sources!$G$7:$G$10,MATCH(AB275,Sources!$B$7:$B$10,0)),6),"")</f>
        <v>28.49</v>
      </c>
      <c r="J275" s="91" t="s">
        <v>702</v>
      </c>
      <c r="K275" s="91" t="s">
        <v>586</v>
      </c>
      <c r="L275" s="96"/>
      <c r="M275" s="109" t="s">
        <v>1217</v>
      </c>
      <c r="N275" s="113" t="s">
        <v>1218</v>
      </c>
      <c r="O275" s="109" t="s">
        <v>388</v>
      </c>
      <c r="P275" s="109" t="s">
        <v>590</v>
      </c>
      <c r="Q275" s="114"/>
      <c r="R275" s="109" t="n">
        <v>1</v>
      </c>
      <c r="S275" s="109"/>
      <c r="T275" s="109" t="s">
        <v>702</v>
      </c>
      <c r="U275" s="109" t="s">
        <v>591</v>
      </c>
      <c r="V275" s="115" t="n">
        <v>28.49</v>
      </c>
      <c r="W275" s="115"/>
      <c r="X275" s="109" t="s">
        <v>592</v>
      </c>
      <c r="Y275" s="109"/>
      <c r="Z275" s="109"/>
      <c r="AA275" s="109"/>
      <c r="AB275" s="109" t="s">
        <v>244</v>
      </c>
      <c r="AC275" s="109" t="s">
        <v>538</v>
      </c>
      <c r="AD275" s="109" t="n">
        <f aca="false">IF(ISNUMBER(V275),ROUND(V275,6),"")</f>
        <v>28.49</v>
      </c>
      <c r="AE275" s="109" t="str">
        <f aca="false">IF(AND(AC275="yes",ISNUMBER(F275),IF(Compare!$H$5="All mapped",TRUE(),IF(Compare!$H$5="EXACT only",J275="EXACT",OR(J275="EXACT",J275="CLOSE")))),"yes","no")</f>
        <v>yes</v>
      </c>
      <c r="AF275" s="109" t="n">
        <f aca="false">IF(ISNUMBER(H275),COUNTIFS($B$7:$B$3000,B275,$C$7:$C$3000,C275,$H$7:$H$3000,"&lt;"&amp;H275,$AH$7:$AH$3000,"yes")+COUNTIFS($B$7:B275,B275,$C$7:C275,C275,$H$7:H275,H275,$AH$7:AH275,"yes"),"")</f>
        <v>7</v>
      </c>
      <c r="AG275" s="109" t="n">
        <f aca="false">IF(ISNUMBER(I275),COUNTIFS($B$7:$B$3000,B275,$C$7:$C$3000,C275,$I$7:$I$3000,"&lt;"&amp;I275,$AI$7:$AI$3000,"yes")+COUNTIFS($B$7:B275,B275,$C$7:C275,C275,$I$7:I275,I275,$AI$7:AI275,"yes"),"")</f>
        <v>7</v>
      </c>
      <c r="AH275" s="109" t="str">
        <f aca="false">IF(ISNUMBER(H275),"yes","no")</f>
        <v>yes</v>
      </c>
      <c r="AI275" s="109" t="str">
        <f aca="false">IF(ISNUMBER(I275),"yes","no")</f>
        <v>yes</v>
      </c>
      <c r="AJ275" s="116" t="n">
        <v>46295</v>
      </c>
      <c r="AK275" s="109"/>
    </row>
    <row r="276" customFormat="false" ht="42" hidden="false" customHeight="true" outlineLevel="0" collapsed="false">
      <c r="A276" s="3"/>
      <c r="B276" s="36" t="s">
        <v>34</v>
      </c>
      <c r="C276" s="98" t="s">
        <v>15</v>
      </c>
      <c r="D276" s="98" t="s">
        <v>264</v>
      </c>
      <c r="E276" s="110" t="s">
        <v>1219</v>
      </c>
      <c r="F276" s="99" t="n">
        <v>21.38</v>
      </c>
      <c r="G276" s="98" t="s">
        <v>244</v>
      </c>
      <c r="H276" s="112" t="n">
        <f aca="false">IF(AND(AE276="yes",ISNUMBER(AD276)),AD276,"")</f>
        <v>21.38</v>
      </c>
      <c r="I276" s="95" t="n">
        <f aca="false">IF(AND(AE276="yes",ISNUMBER(AD276),ISNUMBER(INDEX(Sources!$G$7:$G$10,MATCH(AB276,Sources!$B$7:$B$10,0)))),ROUND(AD276/INDEX(Sources!$G$7:$G$10,MATCH(AB276,Sources!$B$7:$B$10,0)),6),"")</f>
        <v>21.38</v>
      </c>
      <c r="J276" s="98" t="s">
        <v>702</v>
      </c>
      <c r="K276" s="98" t="s">
        <v>586</v>
      </c>
      <c r="L276" s="96"/>
      <c r="M276" s="110" t="s">
        <v>1220</v>
      </c>
      <c r="N276" s="117" t="s">
        <v>1221</v>
      </c>
      <c r="O276" s="110" t="s">
        <v>388</v>
      </c>
      <c r="P276" s="110" t="s">
        <v>590</v>
      </c>
      <c r="Q276" s="118"/>
      <c r="R276" s="110" t="n">
        <v>1</v>
      </c>
      <c r="S276" s="110"/>
      <c r="T276" s="110" t="s">
        <v>702</v>
      </c>
      <c r="U276" s="110" t="s">
        <v>591</v>
      </c>
      <c r="V276" s="119" t="n">
        <v>21.38</v>
      </c>
      <c r="W276" s="119"/>
      <c r="X276" s="110" t="s">
        <v>592</v>
      </c>
      <c r="Y276" s="110"/>
      <c r="Z276" s="110"/>
      <c r="AA276" s="110"/>
      <c r="AB276" s="110" t="s">
        <v>244</v>
      </c>
      <c r="AC276" s="110" t="s">
        <v>538</v>
      </c>
      <c r="AD276" s="110" t="n">
        <f aca="false">IF(ISNUMBER(V276),ROUND(V276,6),"")</f>
        <v>21.38</v>
      </c>
      <c r="AE276" s="110" t="str">
        <f aca="false">IF(AND(AC276="yes",ISNUMBER(F276),IF(Compare!$H$5="All mapped",TRUE(),IF(Compare!$H$5="EXACT only",J276="EXACT",OR(J276="EXACT",J276="CLOSE")))),"yes","no")</f>
        <v>yes</v>
      </c>
      <c r="AF276" s="110" t="n">
        <f aca="false">IF(ISNUMBER(H276),COUNTIFS($B$7:$B$3000,B276,$C$7:$C$3000,C276,$H$7:$H$3000,"&lt;"&amp;H276,$AH$7:$AH$3000,"yes")+COUNTIFS($B$7:B276,B276,$C$7:C276,C276,$H$7:H276,H276,$AH$7:AH276,"yes"),"")</f>
        <v>5</v>
      </c>
      <c r="AG276" s="110" t="n">
        <f aca="false">IF(ISNUMBER(I276),COUNTIFS($B$7:$B$3000,B276,$C$7:$C$3000,C276,$I$7:$I$3000,"&lt;"&amp;I276,$AI$7:$AI$3000,"yes")+COUNTIFS($B$7:B276,B276,$C$7:C276,C276,$I$7:I276,I276,$AI$7:AI276,"yes"),"")</f>
        <v>5</v>
      </c>
      <c r="AH276" s="110" t="str">
        <f aca="false">IF(ISNUMBER(H276),"yes","no")</f>
        <v>yes</v>
      </c>
      <c r="AI276" s="110" t="str">
        <f aca="false">IF(ISNUMBER(I276),"yes","no")</f>
        <v>yes</v>
      </c>
      <c r="AJ276" s="120" t="n">
        <v>46295</v>
      </c>
      <c r="AK276" s="110"/>
    </row>
    <row r="277" customFormat="false" ht="42" hidden="false" customHeight="true" outlineLevel="0" collapsed="false">
      <c r="A277" s="3"/>
      <c r="B277" s="31" t="s">
        <v>34</v>
      </c>
      <c r="C277" s="91" t="s">
        <v>15</v>
      </c>
      <c r="D277" s="91" t="s">
        <v>273</v>
      </c>
      <c r="E277" s="109" t="s">
        <v>1222</v>
      </c>
      <c r="F277" s="92" t="n">
        <v>31.9</v>
      </c>
      <c r="G277" s="91" t="s">
        <v>244</v>
      </c>
      <c r="H277" s="112" t="n">
        <f aca="false">IF(AND(AE277="yes",ISNUMBER(AD277)),AD277,"")</f>
        <v>26.58</v>
      </c>
      <c r="I277" s="95" t="n">
        <f aca="false">IF(AND(AE277="yes",ISNUMBER(AD277),ISNUMBER(INDEX(Sources!$G$7:$G$10,MATCH(AB277,Sources!$B$7:$B$10,0)))),ROUND(AD277/INDEX(Sources!$G$7:$G$10,MATCH(AB277,Sources!$B$7:$B$10,0)),6),"")</f>
        <v>26.58</v>
      </c>
      <c r="J277" s="91" t="s">
        <v>702</v>
      </c>
      <c r="K277" s="91" t="s">
        <v>586</v>
      </c>
      <c r="L277" s="96"/>
      <c r="M277" s="109" t="s">
        <v>1223</v>
      </c>
      <c r="N277" s="113" t="s">
        <v>1224</v>
      </c>
      <c r="O277" s="109" t="s">
        <v>1225</v>
      </c>
      <c r="P277" s="109" t="s">
        <v>265</v>
      </c>
      <c r="Q277" s="114"/>
      <c r="R277" s="109" t="n">
        <v>1</v>
      </c>
      <c r="S277" s="109"/>
      <c r="T277" s="109" t="s">
        <v>702</v>
      </c>
      <c r="U277" s="109" t="s">
        <v>591</v>
      </c>
      <c r="V277" s="115" t="n">
        <v>26.58</v>
      </c>
      <c r="W277" s="115"/>
      <c r="X277" s="109" t="s">
        <v>592</v>
      </c>
      <c r="Y277" s="109"/>
      <c r="Z277" s="109"/>
      <c r="AA277" s="109"/>
      <c r="AB277" s="109" t="s">
        <v>244</v>
      </c>
      <c r="AC277" s="109" t="s">
        <v>538</v>
      </c>
      <c r="AD277" s="109" t="n">
        <f aca="false">IF(ISNUMBER(V277),ROUND(V277,6),"")</f>
        <v>26.58</v>
      </c>
      <c r="AE277" s="109" t="str">
        <f aca="false">IF(AND(AC277="yes",ISNUMBER(F277),IF(Compare!$H$5="All mapped",TRUE(),IF(Compare!$H$5="EXACT only",J277="EXACT",OR(J277="EXACT",J277="CLOSE")))),"yes","no")</f>
        <v>yes</v>
      </c>
      <c r="AF277" s="109" t="n">
        <f aca="false">IF(ISNUMBER(H277),COUNTIFS($B$7:$B$3000,B277,$C$7:$C$3000,C277,$H$7:$H$3000,"&lt;"&amp;H277,$AH$7:$AH$3000,"yes")+COUNTIFS($B$7:B277,B277,$C$7:C277,C277,$H$7:H277,H277,$AH$7:AH277,"yes"),"")</f>
        <v>6</v>
      </c>
      <c r="AG277" s="109" t="n">
        <f aca="false">IF(ISNUMBER(I277),COUNTIFS($B$7:$B$3000,B277,$C$7:$C$3000,C277,$I$7:$I$3000,"&lt;"&amp;I277,$AI$7:$AI$3000,"yes")+COUNTIFS($B$7:B277,B277,$C$7:C277,C277,$I$7:I277,I277,$AI$7:AI277,"yes"),"")</f>
        <v>6</v>
      </c>
      <c r="AH277" s="109" t="str">
        <f aca="false">IF(ISNUMBER(H277),"yes","no")</f>
        <v>yes</v>
      </c>
      <c r="AI277" s="109" t="str">
        <f aca="false">IF(ISNUMBER(I277),"yes","no")</f>
        <v>yes</v>
      </c>
      <c r="AJ277" s="116" t="n">
        <v>46295</v>
      </c>
      <c r="AK277" s="109"/>
    </row>
    <row r="278" customFormat="false" ht="42" hidden="false" customHeight="true" outlineLevel="0" collapsed="false">
      <c r="A278" s="3"/>
      <c r="B278" s="36" t="s">
        <v>34</v>
      </c>
      <c r="C278" s="98" t="s">
        <v>15</v>
      </c>
      <c r="D278" s="98" t="s">
        <v>281</v>
      </c>
      <c r="E278" s="110" t="s">
        <v>1226</v>
      </c>
      <c r="F278" s="99" t="n">
        <v>21.18</v>
      </c>
      <c r="G278" s="98" t="s">
        <v>244</v>
      </c>
      <c r="H278" s="112" t="n">
        <f aca="false">IF(AND(AE278="yes",ISNUMBER(AD278)),AD278,"")</f>
        <v>21.18</v>
      </c>
      <c r="I278" s="95" t="n">
        <f aca="false">IF(AND(AE278="yes",ISNUMBER(AD278),ISNUMBER(INDEX(Sources!$G$7:$G$10,MATCH(AB278,Sources!$B$7:$B$10,0)))),ROUND(AD278/INDEX(Sources!$G$7:$G$10,MATCH(AB278,Sources!$B$7:$B$10,0)),6),"")</f>
        <v>21.18</v>
      </c>
      <c r="J278" s="98" t="s">
        <v>702</v>
      </c>
      <c r="K278" s="98" t="s">
        <v>586</v>
      </c>
      <c r="L278" s="96"/>
      <c r="M278" s="110" t="s">
        <v>1227</v>
      </c>
      <c r="N278" s="117" t="s">
        <v>1228</v>
      </c>
      <c r="O278" s="110" t="s">
        <v>733</v>
      </c>
      <c r="P278" s="110" t="s">
        <v>590</v>
      </c>
      <c r="Q278" s="118"/>
      <c r="R278" s="110" t="n">
        <v>1</v>
      </c>
      <c r="S278" s="110"/>
      <c r="T278" s="110" t="s">
        <v>702</v>
      </c>
      <c r="U278" s="110" t="s">
        <v>591</v>
      </c>
      <c r="V278" s="119" t="n">
        <v>21.18</v>
      </c>
      <c r="W278" s="119"/>
      <c r="X278" s="110" t="s">
        <v>592</v>
      </c>
      <c r="Y278" s="110"/>
      <c r="Z278" s="110"/>
      <c r="AA278" s="110"/>
      <c r="AB278" s="110" t="s">
        <v>244</v>
      </c>
      <c r="AC278" s="110" t="s">
        <v>538</v>
      </c>
      <c r="AD278" s="110" t="n">
        <f aca="false">IF(ISNUMBER(V278),ROUND(V278,6),"")</f>
        <v>21.18</v>
      </c>
      <c r="AE278" s="110" t="str">
        <f aca="false">IF(AND(AC278="yes",ISNUMBER(F278),IF(Compare!$H$5="All mapped",TRUE(),IF(Compare!$H$5="EXACT only",J278="EXACT",OR(J278="EXACT",J278="CLOSE")))),"yes","no")</f>
        <v>yes</v>
      </c>
      <c r="AF278" s="110" t="n">
        <f aca="false">IF(ISNUMBER(H278),COUNTIFS($B$7:$B$3000,B278,$C$7:$C$3000,C278,$H$7:$H$3000,"&lt;"&amp;H278,$AH$7:$AH$3000,"yes")+COUNTIFS($B$7:B278,B278,$C$7:C278,C278,$H$7:H278,H278,$AH$7:AH278,"yes"),"")</f>
        <v>4</v>
      </c>
      <c r="AG278" s="110" t="n">
        <f aca="false">IF(ISNUMBER(I278),COUNTIFS($B$7:$B$3000,B278,$C$7:$C$3000,C278,$I$7:$I$3000,"&lt;"&amp;I278,$AI$7:$AI$3000,"yes")+COUNTIFS($B$7:B278,B278,$C$7:C278,C278,$I$7:I278,I278,$AI$7:AI278,"yes"),"")</f>
        <v>4</v>
      </c>
      <c r="AH278" s="110" t="str">
        <f aca="false">IF(ISNUMBER(H278),"yes","no")</f>
        <v>yes</v>
      </c>
      <c r="AI278" s="110" t="str">
        <f aca="false">IF(ISNUMBER(I278),"yes","no")</f>
        <v>yes</v>
      </c>
      <c r="AJ278" s="120" t="n">
        <v>46295</v>
      </c>
      <c r="AK278" s="110"/>
    </row>
    <row r="279" customFormat="false" ht="42" hidden="false" customHeight="true" outlineLevel="0" collapsed="false">
      <c r="A279" s="3"/>
      <c r="B279" s="31" t="s">
        <v>34</v>
      </c>
      <c r="C279" s="91" t="s">
        <v>15</v>
      </c>
      <c r="D279" s="91" t="s">
        <v>285</v>
      </c>
      <c r="E279" s="109" t="s">
        <v>1229</v>
      </c>
      <c r="F279" s="92" t="n">
        <v>28.9</v>
      </c>
      <c r="G279" s="91" t="s">
        <v>244</v>
      </c>
      <c r="H279" s="112" t="n">
        <f aca="false">IF(AND(AE279="yes",ISNUMBER(AD279)),AD279,"")</f>
        <v>28.9</v>
      </c>
      <c r="I279" s="95" t="n">
        <f aca="false">IF(AND(AE279="yes",ISNUMBER(AD279),ISNUMBER(INDEX(Sources!$G$7:$G$10,MATCH(AB279,Sources!$B$7:$B$10,0)))),ROUND(AD279/INDEX(Sources!$G$7:$G$10,MATCH(AB279,Sources!$B$7:$B$10,0)),6),"")</f>
        <v>28.9</v>
      </c>
      <c r="J279" s="91" t="s">
        <v>702</v>
      </c>
      <c r="K279" s="91" t="s">
        <v>586</v>
      </c>
      <c r="L279" s="96"/>
      <c r="M279" s="109" t="s">
        <v>1230</v>
      </c>
      <c r="N279" s="113" t="s">
        <v>1231</v>
      </c>
      <c r="O279" s="109" t="s">
        <v>733</v>
      </c>
      <c r="P279" s="109" t="s">
        <v>590</v>
      </c>
      <c r="Q279" s="114"/>
      <c r="R279" s="109" t="n">
        <v>1</v>
      </c>
      <c r="S279" s="109"/>
      <c r="T279" s="109" t="s">
        <v>530</v>
      </c>
      <c r="U279" s="109" t="s">
        <v>1232</v>
      </c>
      <c r="V279" s="115" t="n">
        <v>28.9</v>
      </c>
      <c r="W279" s="115"/>
      <c r="X279" s="109" t="s">
        <v>592</v>
      </c>
      <c r="Y279" s="109"/>
      <c r="Z279" s="109"/>
      <c r="AA279" s="109"/>
      <c r="AB279" s="109" t="s">
        <v>244</v>
      </c>
      <c r="AC279" s="109" t="s">
        <v>538</v>
      </c>
      <c r="AD279" s="109" t="n">
        <f aca="false">IF(ISNUMBER(V279),ROUND(V279,6),"")</f>
        <v>28.9</v>
      </c>
      <c r="AE279" s="109" t="str">
        <f aca="false">IF(AND(AC279="yes",ISNUMBER(F279),IF(Compare!$H$5="All mapped",TRUE(),IF(Compare!$H$5="EXACT only",J279="EXACT",OR(J279="EXACT",J279="CLOSE")))),"yes","no")</f>
        <v>yes</v>
      </c>
      <c r="AF279" s="109" t="n">
        <f aca="false">IF(ISNUMBER(H279),COUNTIFS($B$7:$B$3000,B279,$C$7:$C$3000,C279,$H$7:$H$3000,"&lt;"&amp;H279,$AH$7:$AH$3000,"yes")+COUNTIFS($B$7:B279,B279,$C$7:C279,C279,$H$7:H279,H279,$AH$7:AH279,"yes"),"")</f>
        <v>8</v>
      </c>
      <c r="AG279" s="109" t="n">
        <f aca="false">IF(ISNUMBER(I279),COUNTIFS($B$7:$B$3000,B279,$C$7:$C$3000,C279,$I$7:$I$3000,"&lt;"&amp;I279,$AI$7:$AI$3000,"yes")+COUNTIFS($B$7:B279,B279,$C$7:C279,C279,$I$7:I279,I279,$AI$7:AI279,"yes"),"")</f>
        <v>8</v>
      </c>
      <c r="AH279" s="109" t="str">
        <f aca="false">IF(ISNUMBER(H279),"yes","no")</f>
        <v>yes</v>
      </c>
      <c r="AI279" s="109" t="str">
        <f aca="false">IF(ISNUMBER(I279),"yes","no")</f>
        <v>yes</v>
      </c>
      <c r="AJ279" s="116" t="n">
        <v>46295</v>
      </c>
      <c r="AK279" s="109"/>
    </row>
    <row r="280" customFormat="false" ht="42" hidden="false" customHeight="true" outlineLevel="0" collapsed="false">
      <c r="A280" s="3"/>
      <c r="B280" s="36" t="s">
        <v>34</v>
      </c>
      <c r="C280" s="98" t="s">
        <v>15</v>
      </c>
      <c r="D280" s="98" t="s">
        <v>293</v>
      </c>
      <c r="E280" s="110" t="s">
        <v>1233</v>
      </c>
      <c r="F280" s="99" t="n">
        <v>11</v>
      </c>
      <c r="G280" s="98" t="s">
        <v>244</v>
      </c>
      <c r="H280" s="112" t="n">
        <f aca="false">IF(AND(AE280="yes",ISNUMBER(AD280)),AD280,"")</f>
        <v>11</v>
      </c>
      <c r="I280" s="95" t="n">
        <f aca="false">IF(AND(AE280="yes",ISNUMBER(AD280),ISNUMBER(INDEX(Sources!$G$7:$G$10,MATCH(AB280,Sources!$B$7:$B$10,0)))),ROUND(AD280/INDEX(Sources!$G$7:$G$10,MATCH(AB280,Sources!$B$7:$B$10,0)),6),"")</f>
        <v>11</v>
      </c>
      <c r="J280" s="98" t="s">
        <v>702</v>
      </c>
      <c r="K280" s="98" t="s">
        <v>586</v>
      </c>
      <c r="L280" s="96"/>
      <c r="M280" s="110" t="s">
        <v>1234</v>
      </c>
      <c r="N280" s="117" t="s">
        <v>1235</v>
      </c>
      <c r="O280" s="110" t="s">
        <v>589</v>
      </c>
      <c r="P280" s="110" t="s">
        <v>590</v>
      </c>
      <c r="Q280" s="118"/>
      <c r="R280" s="110" t="n">
        <v>1</v>
      </c>
      <c r="S280" s="110"/>
      <c r="T280" s="110" t="s">
        <v>702</v>
      </c>
      <c r="U280" s="110" t="s">
        <v>591</v>
      </c>
      <c r="V280" s="119" t="n">
        <v>11</v>
      </c>
      <c r="W280" s="119"/>
      <c r="X280" s="110" t="s">
        <v>592</v>
      </c>
      <c r="Y280" s="110"/>
      <c r="Z280" s="110"/>
      <c r="AA280" s="110"/>
      <c r="AB280" s="110" t="s">
        <v>244</v>
      </c>
      <c r="AC280" s="110" t="s">
        <v>538</v>
      </c>
      <c r="AD280" s="110" t="n">
        <f aca="false">IF(ISNUMBER(V280),ROUND(V280,6),"")</f>
        <v>11</v>
      </c>
      <c r="AE280" s="110" t="str">
        <f aca="false">IF(AND(AC280="yes",ISNUMBER(F280),IF(Compare!$H$5="All mapped",TRUE(),IF(Compare!$H$5="EXACT only",J280="EXACT",OR(J280="EXACT",J280="CLOSE")))),"yes","no")</f>
        <v>yes</v>
      </c>
      <c r="AF280" s="110" t="n">
        <f aca="false">IF(ISNUMBER(H280),COUNTIFS($B$7:$B$3000,B280,$C$7:$C$3000,C280,$H$7:$H$3000,"&lt;"&amp;H280,$AH$7:$AH$3000,"yes")+COUNTIFS($B$7:B280,B280,$C$7:C280,C280,$H$7:H280,H280,$AH$7:AH280,"yes"),"")</f>
        <v>1</v>
      </c>
      <c r="AG280" s="110" t="n">
        <f aca="false">IF(ISNUMBER(I280),COUNTIFS($B$7:$B$3000,B280,$C$7:$C$3000,C280,$I$7:$I$3000,"&lt;"&amp;I280,$AI$7:$AI$3000,"yes")+COUNTIFS($B$7:B280,B280,$C$7:C280,C280,$I$7:I280,I280,$AI$7:AI280,"yes"),"")</f>
        <v>1</v>
      </c>
      <c r="AH280" s="110" t="str">
        <f aca="false">IF(ISNUMBER(H280),"yes","no")</f>
        <v>yes</v>
      </c>
      <c r="AI280" s="110" t="str">
        <f aca="false">IF(ISNUMBER(I280),"yes","no")</f>
        <v>yes</v>
      </c>
      <c r="AJ280" s="120" t="n">
        <v>46295</v>
      </c>
      <c r="AK280" s="110"/>
    </row>
    <row r="281" customFormat="false" ht="42" hidden="false" customHeight="true" outlineLevel="0" collapsed="false">
      <c r="A281" s="3"/>
      <c r="B281" s="31" t="s">
        <v>34</v>
      </c>
      <c r="C281" s="91" t="s">
        <v>16</v>
      </c>
      <c r="D281" s="91" t="s">
        <v>296</v>
      </c>
      <c r="E281" s="109" t="s">
        <v>1212</v>
      </c>
      <c r="F281" s="92" t="n">
        <v>13.95</v>
      </c>
      <c r="G281" s="91" t="s">
        <v>244</v>
      </c>
      <c r="H281" s="112" t="n">
        <f aca="false">IF(AND(AE281="yes",ISNUMBER(AD281)),AD281,"")</f>
        <v>13.95</v>
      </c>
      <c r="I281" s="95" t="n">
        <f aca="false">IF(AND(AE281="yes",ISNUMBER(AD281),ISNUMBER(INDEX(Sources!$G$7:$G$10,MATCH(AB281,Sources!$B$7:$B$10,0)))),ROUND(AD281/INDEX(Sources!$G$7:$G$10,MATCH(AB281,Sources!$B$7:$B$10,0)),6),"")</f>
        <v>13.95</v>
      </c>
      <c r="J281" s="91" t="s">
        <v>702</v>
      </c>
      <c r="K281" s="91" t="s">
        <v>586</v>
      </c>
      <c r="L281" s="96"/>
      <c r="M281" s="109" t="s">
        <v>1213</v>
      </c>
      <c r="N281" s="113" t="s">
        <v>1236</v>
      </c>
      <c r="O281" s="109" t="s">
        <v>1215</v>
      </c>
      <c r="P281" s="109" t="s">
        <v>590</v>
      </c>
      <c r="Q281" s="114"/>
      <c r="R281" s="109" t="n">
        <v>1</v>
      </c>
      <c r="S281" s="109"/>
      <c r="T281" s="109" t="s">
        <v>702</v>
      </c>
      <c r="U281" s="109" t="s">
        <v>591</v>
      </c>
      <c r="V281" s="115" t="n">
        <v>13.95</v>
      </c>
      <c r="W281" s="115"/>
      <c r="X281" s="109" t="s">
        <v>612</v>
      </c>
      <c r="Y281" s="109"/>
      <c r="Z281" s="109"/>
      <c r="AA281" s="109"/>
      <c r="AB281" s="109" t="s">
        <v>244</v>
      </c>
      <c r="AC281" s="109" t="s">
        <v>538</v>
      </c>
      <c r="AD281" s="109" t="n">
        <f aca="false">IF(ISNUMBER(V281),ROUND(V281,6),"")</f>
        <v>13.95</v>
      </c>
      <c r="AE281" s="109" t="str">
        <f aca="false">IF(AND(AC281="yes",ISNUMBER(F281),IF(Compare!$H$5="All mapped",TRUE(),IF(Compare!$H$5="EXACT only",J281="EXACT",OR(J281="EXACT",J281="CLOSE")))),"yes","no")</f>
        <v>yes</v>
      </c>
      <c r="AF281" s="109" t="n">
        <f aca="false">IF(ISNUMBER(H281),COUNTIFS($B$7:$B$3000,B281,$C$7:$C$3000,C281,$H$7:$H$3000,"&lt;"&amp;H281,$AH$7:$AH$3000,"yes")+COUNTIFS($B$7:B281,B281,$C$7:C281,C281,$H$7:H281,H281,$AH$7:AH281,"yes"),"")</f>
        <v>3</v>
      </c>
      <c r="AG281" s="109" t="n">
        <f aca="false">IF(ISNUMBER(I281),COUNTIFS($B$7:$B$3000,B281,$C$7:$C$3000,C281,$I$7:$I$3000,"&lt;"&amp;I281,$AI$7:$AI$3000,"yes")+COUNTIFS($B$7:B281,B281,$C$7:C281,C281,$I$7:I281,I281,$AI$7:AI281,"yes"),"")</f>
        <v>3</v>
      </c>
      <c r="AH281" s="109" t="str">
        <f aca="false">IF(ISNUMBER(H281),"yes","no")</f>
        <v>yes</v>
      </c>
      <c r="AI281" s="109" t="str">
        <f aca="false">IF(ISNUMBER(I281),"yes","no")</f>
        <v>yes</v>
      </c>
      <c r="AJ281" s="116" t="n">
        <v>46295</v>
      </c>
      <c r="AK281" s="109"/>
    </row>
    <row r="282" customFormat="false" ht="42" hidden="false" customHeight="true" outlineLevel="0" collapsed="false">
      <c r="A282" s="3"/>
      <c r="B282" s="36" t="s">
        <v>34</v>
      </c>
      <c r="C282" s="98" t="s">
        <v>16</v>
      </c>
      <c r="D282" s="98" t="s">
        <v>317</v>
      </c>
      <c r="E282" s="110" t="s">
        <v>1237</v>
      </c>
      <c r="F282" s="99" t="n">
        <v>73.99</v>
      </c>
      <c r="G282" s="98" t="s">
        <v>244</v>
      </c>
      <c r="H282" s="112" t="n">
        <f aca="false">IF(AND(AE282="yes",ISNUMBER(AD282)),AD282,"")</f>
        <v>9.25</v>
      </c>
      <c r="I282" s="95" t="n">
        <f aca="false">IF(AND(AE282="yes",ISNUMBER(AD282),ISNUMBER(INDEX(Sources!$G$7:$G$10,MATCH(AB282,Sources!$B$7:$B$10,0)))),ROUND(AD282/INDEX(Sources!$G$7:$G$10,MATCH(AB282,Sources!$B$7:$B$10,0)),6),"")</f>
        <v>9.25</v>
      </c>
      <c r="J282" s="98" t="s">
        <v>702</v>
      </c>
      <c r="K282" s="98" t="s">
        <v>586</v>
      </c>
      <c r="L282" s="96"/>
      <c r="M282" s="110" t="s">
        <v>1238</v>
      </c>
      <c r="N282" s="117" t="s">
        <v>1239</v>
      </c>
      <c r="O282" s="110" t="s">
        <v>610</v>
      </c>
      <c r="P282" s="110" t="s">
        <v>590</v>
      </c>
      <c r="Q282" s="118"/>
      <c r="R282" s="110" t="n">
        <v>8</v>
      </c>
      <c r="S282" s="110" t="s">
        <v>1240</v>
      </c>
      <c r="T282" s="110" t="s">
        <v>702</v>
      </c>
      <c r="U282" s="110" t="s">
        <v>591</v>
      </c>
      <c r="V282" s="119" t="n">
        <v>9.25</v>
      </c>
      <c r="W282" s="119"/>
      <c r="X282" s="110" t="s">
        <v>612</v>
      </c>
      <c r="Y282" s="110"/>
      <c r="Z282" s="110"/>
      <c r="AA282" s="110"/>
      <c r="AB282" s="110" t="s">
        <v>244</v>
      </c>
      <c r="AC282" s="110" t="s">
        <v>538</v>
      </c>
      <c r="AD282" s="110" t="n">
        <f aca="false">IF(ISNUMBER(V282),ROUND(V282,6),"")</f>
        <v>9.25</v>
      </c>
      <c r="AE282" s="110" t="str">
        <f aca="false">IF(AND(AC282="yes",ISNUMBER(F282),IF(Compare!$H$5="All mapped",TRUE(),IF(Compare!$H$5="EXACT only",J282="EXACT",OR(J282="EXACT",J282="CLOSE")))),"yes","no")</f>
        <v>yes</v>
      </c>
      <c r="AF282" s="110" t="n">
        <f aca="false">IF(ISNUMBER(H282),COUNTIFS($B$7:$B$3000,B282,$C$7:$C$3000,C282,$H$7:$H$3000,"&lt;"&amp;H282,$AH$7:$AH$3000,"yes")+COUNTIFS($B$7:B282,B282,$C$7:C282,C282,$H$7:H282,H282,$AH$7:AH282,"yes"),"")</f>
        <v>1</v>
      </c>
      <c r="AG282" s="110" t="n">
        <f aca="false">IF(ISNUMBER(I282),COUNTIFS($B$7:$B$3000,B282,$C$7:$C$3000,C282,$I$7:$I$3000,"&lt;"&amp;I282,$AI$7:$AI$3000,"yes")+COUNTIFS($B$7:B282,B282,$C$7:C282,C282,$I$7:I282,I282,$AI$7:AI282,"yes"),"")</f>
        <v>1</v>
      </c>
      <c r="AH282" s="110" t="str">
        <f aca="false">IF(ISNUMBER(H282),"yes","no")</f>
        <v>yes</v>
      </c>
      <c r="AI282" s="110" t="str">
        <f aca="false">IF(ISNUMBER(I282),"yes","no")</f>
        <v>yes</v>
      </c>
      <c r="AJ282" s="120" t="n">
        <v>46295</v>
      </c>
      <c r="AK282" s="110"/>
    </row>
    <row r="283" customFormat="false" ht="42" hidden="false" customHeight="true" outlineLevel="0" collapsed="false">
      <c r="A283" s="3"/>
      <c r="B283" s="31" t="s">
        <v>34</v>
      </c>
      <c r="C283" s="91" t="s">
        <v>16</v>
      </c>
      <c r="D283" s="91" t="s">
        <v>311</v>
      </c>
      <c r="E283" s="109" t="s">
        <v>1216</v>
      </c>
      <c r="F283" s="92" t="n">
        <v>11.89</v>
      </c>
      <c r="G283" s="91" t="s">
        <v>244</v>
      </c>
      <c r="H283" s="112" t="n">
        <f aca="false">IF(AND(AE283="yes",ISNUMBER(AD283)),AD283,"")</f>
        <v>11.89</v>
      </c>
      <c r="I283" s="95" t="n">
        <f aca="false">IF(AND(AE283="yes",ISNUMBER(AD283),ISNUMBER(INDEX(Sources!$G$7:$G$10,MATCH(AB283,Sources!$B$7:$B$10,0)))),ROUND(AD283/INDEX(Sources!$G$7:$G$10,MATCH(AB283,Sources!$B$7:$B$10,0)),6),"")</f>
        <v>11.89</v>
      </c>
      <c r="J283" s="91" t="s">
        <v>702</v>
      </c>
      <c r="K283" s="91" t="s">
        <v>586</v>
      </c>
      <c r="L283" s="96"/>
      <c r="M283" s="109" t="s">
        <v>1217</v>
      </c>
      <c r="N283" s="113" t="s">
        <v>1241</v>
      </c>
      <c r="O283" s="109" t="s">
        <v>388</v>
      </c>
      <c r="P283" s="109" t="s">
        <v>590</v>
      </c>
      <c r="Q283" s="114"/>
      <c r="R283" s="109" t="n">
        <v>1</v>
      </c>
      <c r="S283" s="109"/>
      <c r="T283" s="109" t="s">
        <v>702</v>
      </c>
      <c r="U283" s="109" t="s">
        <v>591</v>
      </c>
      <c r="V283" s="115" t="n">
        <v>11.89</v>
      </c>
      <c r="W283" s="115"/>
      <c r="X283" s="109" t="s">
        <v>612</v>
      </c>
      <c r="Y283" s="109"/>
      <c r="Z283" s="109"/>
      <c r="AA283" s="109"/>
      <c r="AB283" s="109" t="s">
        <v>244</v>
      </c>
      <c r="AC283" s="109" t="s">
        <v>538</v>
      </c>
      <c r="AD283" s="109" t="n">
        <f aca="false">IF(ISNUMBER(V283),ROUND(V283,6),"")</f>
        <v>11.89</v>
      </c>
      <c r="AE283" s="109" t="str">
        <f aca="false">IF(AND(AC283="yes",ISNUMBER(F283),IF(Compare!$H$5="All mapped",TRUE(),IF(Compare!$H$5="EXACT only",J283="EXACT",OR(J283="EXACT",J283="CLOSE")))),"yes","no")</f>
        <v>yes</v>
      </c>
      <c r="AF283" s="109" t="n">
        <f aca="false">IF(ISNUMBER(H283),COUNTIFS($B$7:$B$3000,B283,$C$7:$C$3000,C283,$H$7:$H$3000,"&lt;"&amp;H283,$AH$7:$AH$3000,"yes")+COUNTIFS($B$7:B283,B283,$C$7:C283,C283,$H$7:H283,H283,$AH$7:AH283,"yes"),"")</f>
        <v>2</v>
      </c>
      <c r="AG283" s="109" t="n">
        <f aca="false">IF(ISNUMBER(I283),COUNTIFS($B$7:$B$3000,B283,$C$7:$C$3000,C283,$I$7:$I$3000,"&lt;"&amp;I283,$AI$7:$AI$3000,"yes")+COUNTIFS($B$7:B283,B283,$C$7:C283,C283,$I$7:I283,I283,$AI$7:AI283,"yes"),"")</f>
        <v>2</v>
      </c>
      <c r="AH283" s="109" t="str">
        <f aca="false">IF(ISNUMBER(H283),"yes","no")</f>
        <v>yes</v>
      </c>
      <c r="AI283" s="109" t="str">
        <f aca="false">IF(ISNUMBER(I283),"yes","no")</f>
        <v>yes</v>
      </c>
      <c r="AJ283" s="116" t="n">
        <v>46295</v>
      </c>
      <c r="AK283" s="109"/>
    </row>
    <row r="284" customFormat="false" ht="42" hidden="false" customHeight="true" outlineLevel="0" collapsed="false">
      <c r="A284" s="3"/>
      <c r="B284" s="36" t="s">
        <v>34</v>
      </c>
      <c r="C284" s="98" t="s">
        <v>16</v>
      </c>
      <c r="D284" s="98" t="s">
        <v>309</v>
      </c>
      <c r="E284" s="110" t="s">
        <v>1219</v>
      </c>
      <c r="F284" s="99" t="n">
        <v>21.38</v>
      </c>
      <c r="G284" s="98" t="s">
        <v>244</v>
      </c>
      <c r="H284" s="112" t="n">
        <f aca="false">IF(AND(AE284="yes",ISNUMBER(AD284)),AD284,"")</f>
        <v>21.38</v>
      </c>
      <c r="I284" s="95" t="n">
        <f aca="false">IF(AND(AE284="yes",ISNUMBER(AD284),ISNUMBER(INDEX(Sources!$G$7:$G$10,MATCH(AB284,Sources!$B$7:$B$10,0)))),ROUND(AD284/INDEX(Sources!$G$7:$G$10,MATCH(AB284,Sources!$B$7:$B$10,0)),6),"")</f>
        <v>21.38</v>
      </c>
      <c r="J284" s="98" t="s">
        <v>702</v>
      </c>
      <c r="K284" s="98" t="s">
        <v>586</v>
      </c>
      <c r="L284" s="96"/>
      <c r="M284" s="110" t="s">
        <v>1220</v>
      </c>
      <c r="N284" s="117" t="s">
        <v>1221</v>
      </c>
      <c r="O284" s="110" t="s">
        <v>388</v>
      </c>
      <c r="P284" s="110" t="s">
        <v>590</v>
      </c>
      <c r="Q284" s="118"/>
      <c r="R284" s="110" t="n">
        <v>1</v>
      </c>
      <c r="S284" s="110"/>
      <c r="T284" s="110" t="s">
        <v>702</v>
      </c>
      <c r="U284" s="110" t="s">
        <v>591</v>
      </c>
      <c r="V284" s="119" t="n">
        <v>21.38</v>
      </c>
      <c r="W284" s="119"/>
      <c r="X284" s="110" t="s">
        <v>612</v>
      </c>
      <c r="Y284" s="110"/>
      <c r="Z284" s="110"/>
      <c r="AA284" s="110"/>
      <c r="AB284" s="110" t="s">
        <v>244</v>
      </c>
      <c r="AC284" s="110" t="s">
        <v>538</v>
      </c>
      <c r="AD284" s="110" t="n">
        <f aca="false">IF(ISNUMBER(V284),ROUND(V284,6),"")</f>
        <v>21.38</v>
      </c>
      <c r="AE284" s="110" t="str">
        <f aca="false">IF(AND(AC284="yes",ISNUMBER(F284),IF(Compare!$H$5="All mapped",TRUE(),IF(Compare!$H$5="EXACT only",J284="EXACT",OR(J284="EXACT",J284="CLOSE")))),"yes","no")</f>
        <v>yes</v>
      </c>
      <c r="AF284" s="110" t="n">
        <f aca="false">IF(ISNUMBER(H284),COUNTIFS($B$7:$B$3000,B284,$C$7:$C$3000,C284,$H$7:$H$3000,"&lt;"&amp;H284,$AH$7:$AH$3000,"yes")+COUNTIFS($B$7:B284,B284,$C$7:C284,C284,$H$7:H284,H284,$AH$7:AH284,"yes"),"")</f>
        <v>5</v>
      </c>
      <c r="AG284" s="110" t="n">
        <f aca="false">IF(ISNUMBER(I284),COUNTIFS($B$7:$B$3000,B284,$C$7:$C$3000,C284,$I$7:$I$3000,"&lt;"&amp;I284,$AI$7:$AI$3000,"yes")+COUNTIFS($B$7:B284,B284,$C$7:C284,C284,$I$7:I284,I284,$AI$7:AI284,"yes"),"")</f>
        <v>5</v>
      </c>
      <c r="AH284" s="110" t="str">
        <f aca="false">IF(ISNUMBER(H284),"yes","no")</f>
        <v>yes</v>
      </c>
      <c r="AI284" s="110" t="str">
        <f aca="false">IF(ISNUMBER(I284),"yes","no")</f>
        <v>yes</v>
      </c>
      <c r="AJ284" s="120" t="n">
        <v>46295</v>
      </c>
      <c r="AK284" s="110"/>
    </row>
    <row r="285" customFormat="false" ht="42" hidden="false" customHeight="true" outlineLevel="0" collapsed="false">
      <c r="A285" s="3"/>
      <c r="B285" s="31" t="s">
        <v>34</v>
      </c>
      <c r="C285" s="91" t="s">
        <v>16</v>
      </c>
      <c r="D285" s="91" t="s">
        <v>313</v>
      </c>
      <c r="E285" s="109" t="s">
        <v>1222</v>
      </c>
      <c r="F285" s="92" t="n">
        <v>31.9</v>
      </c>
      <c r="G285" s="91" t="s">
        <v>244</v>
      </c>
      <c r="H285" s="112" t="n">
        <f aca="false">IF(AND(AE285="yes",ISNUMBER(AD285)),AD285,"")</f>
        <v>26.81</v>
      </c>
      <c r="I285" s="95" t="n">
        <f aca="false">IF(AND(AE285="yes",ISNUMBER(AD285),ISNUMBER(INDEX(Sources!$G$7:$G$10,MATCH(AB285,Sources!$B$7:$B$10,0)))),ROUND(AD285/INDEX(Sources!$G$7:$G$10,MATCH(AB285,Sources!$B$7:$B$10,0)),6),"")</f>
        <v>26.81</v>
      </c>
      <c r="J285" s="91" t="s">
        <v>702</v>
      </c>
      <c r="K285" s="91" t="s">
        <v>586</v>
      </c>
      <c r="L285" s="96"/>
      <c r="M285" s="109" t="s">
        <v>1223</v>
      </c>
      <c r="N285" s="113" t="s">
        <v>1242</v>
      </c>
      <c r="O285" s="109" t="s">
        <v>1225</v>
      </c>
      <c r="P285" s="109" t="s">
        <v>265</v>
      </c>
      <c r="Q285" s="114"/>
      <c r="R285" s="109" t="n">
        <v>1</v>
      </c>
      <c r="S285" s="109"/>
      <c r="T285" s="109" t="s">
        <v>702</v>
      </c>
      <c r="U285" s="109" t="s">
        <v>591</v>
      </c>
      <c r="V285" s="115" t="n">
        <v>26.81</v>
      </c>
      <c r="W285" s="115"/>
      <c r="X285" s="109" t="s">
        <v>612</v>
      </c>
      <c r="Y285" s="109"/>
      <c r="Z285" s="109"/>
      <c r="AA285" s="109"/>
      <c r="AB285" s="109" t="s">
        <v>244</v>
      </c>
      <c r="AC285" s="109" t="s">
        <v>538</v>
      </c>
      <c r="AD285" s="109" t="n">
        <f aca="false">IF(ISNUMBER(V285),ROUND(V285,6),"")</f>
        <v>26.81</v>
      </c>
      <c r="AE285" s="109" t="str">
        <f aca="false">IF(AND(AC285="yes",ISNUMBER(F285),IF(Compare!$H$5="All mapped",TRUE(),IF(Compare!$H$5="EXACT only",J285="EXACT",OR(J285="EXACT",J285="CLOSE")))),"yes","no")</f>
        <v>yes</v>
      </c>
      <c r="AF285" s="109" t="n">
        <f aca="false">IF(ISNUMBER(H285),COUNTIFS($B$7:$B$3000,B285,$C$7:$C$3000,C285,$H$7:$H$3000,"&lt;"&amp;H285,$AH$7:$AH$3000,"yes")+COUNTIFS($B$7:B285,B285,$C$7:C285,C285,$H$7:H285,H285,$AH$7:AH285,"yes"),"")</f>
        <v>7</v>
      </c>
      <c r="AG285" s="109" t="n">
        <f aca="false">IF(ISNUMBER(I285),COUNTIFS($B$7:$B$3000,B285,$C$7:$C$3000,C285,$I$7:$I$3000,"&lt;"&amp;I285,$AI$7:$AI$3000,"yes")+COUNTIFS($B$7:B285,B285,$C$7:C285,C285,$I$7:I285,I285,$AI$7:AI285,"yes"),"")</f>
        <v>7</v>
      </c>
      <c r="AH285" s="109" t="str">
        <f aca="false">IF(ISNUMBER(H285),"yes","no")</f>
        <v>yes</v>
      </c>
      <c r="AI285" s="109" t="str">
        <f aca="false">IF(ISNUMBER(I285),"yes","no")</f>
        <v>yes</v>
      </c>
      <c r="AJ285" s="116" t="n">
        <v>46295</v>
      </c>
      <c r="AK285" s="109"/>
    </row>
    <row r="286" customFormat="false" ht="42" hidden="false" customHeight="true" outlineLevel="0" collapsed="false">
      <c r="A286" s="3"/>
      <c r="B286" s="36" t="s">
        <v>34</v>
      </c>
      <c r="C286" s="98" t="s">
        <v>16</v>
      </c>
      <c r="D286" s="98" t="s">
        <v>321</v>
      </c>
      <c r="E286" s="110" t="s">
        <v>1226</v>
      </c>
      <c r="F286" s="99" t="n">
        <v>21.18</v>
      </c>
      <c r="G286" s="98" t="s">
        <v>244</v>
      </c>
      <c r="H286" s="112" t="n">
        <f aca="false">IF(AND(AE286="yes",ISNUMBER(AD286)),AD286,"")</f>
        <v>21.18</v>
      </c>
      <c r="I286" s="95" t="n">
        <f aca="false">IF(AND(AE286="yes",ISNUMBER(AD286),ISNUMBER(INDEX(Sources!$G$7:$G$10,MATCH(AB286,Sources!$B$7:$B$10,0)))),ROUND(AD286/INDEX(Sources!$G$7:$G$10,MATCH(AB286,Sources!$B$7:$B$10,0)),6),"")</f>
        <v>21.18</v>
      </c>
      <c r="J286" s="98" t="s">
        <v>702</v>
      </c>
      <c r="K286" s="98" t="s">
        <v>586</v>
      </c>
      <c r="L286" s="96"/>
      <c r="M286" s="110" t="s">
        <v>1243</v>
      </c>
      <c r="N286" s="117" t="s">
        <v>1244</v>
      </c>
      <c r="O286" s="110" t="s">
        <v>733</v>
      </c>
      <c r="P286" s="110" t="s">
        <v>590</v>
      </c>
      <c r="Q286" s="118"/>
      <c r="R286" s="110" t="n">
        <v>1</v>
      </c>
      <c r="S286" s="110"/>
      <c r="T286" s="110" t="s">
        <v>702</v>
      </c>
      <c r="U286" s="110" t="s">
        <v>591</v>
      </c>
      <c r="V286" s="119" t="n">
        <v>21.18</v>
      </c>
      <c r="W286" s="119"/>
      <c r="X286" s="110" t="s">
        <v>612</v>
      </c>
      <c r="Y286" s="110"/>
      <c r="Z286" s="110"/>
      <c r="AA286" s="110"/>
      <c r="AB286" s="110" t="s">
        <v>244</v>
      </c>
      <c r="AC286" s="110" t="s">
        <v>538</v>
      </c>
      <c r="AD286" s="110" t="n">
        <f aca="false">IF(ISNUMBER(V286),ROUND(V286,6),"")</f>
        <v>21.18</v>
      </c>
      <c r="AE286" s="110" t="str">
        <f aca="false">IF(AND(AC286="yes",ISNUMBER(F286),IF(Compare!$H$5="All mapped",TRUE(),IF(Compare!$H$5="EXACT only",J286="EXACT",OR(J286="EXACT",J286="CLOSE")))),"yes","no")</f>
        <v>yes</v>
      </c>
      <c r="AF286" s="110" t="n">
        <f aca="false">IF(ISNUMBER(H286),COUNTIFS($B$7:$B$3000,B286,$C$7:$C$3000,C286,$H$7:$H$3000,"&lt;"&amp;H286,$AH$7:$AH$3000,"yes")+COUNTIFS($B$7:B286,B286,$C$7:C286,C286,$H$7:H286,H286,$AH$7:AH286,"yes"),"")</f>
        <v>4</v>
      </c>
      <c r="AG286" s="110" t="n">
        <f aca="false">IF(ISNUMBER(I286),COUNTIFS($B$7:$B$3000,B286,$C$7:$C$3000,C286,$I$7:$I$3000,"&lt;"&amp;I286,$AI$7:$AI$3000,"yes")+COUNTIFS($B$7:B286,B286,$C$7:C286,C286,$I$7:I286,I286,$AI$7:AI286,"yes"),"")</f>
        <v>4</v>
      </c>
      <c r="AH286" s="110" t="str">
        <f aca="false">IF(ISNUMBER(H286),"yes","no")</f>
        <v>yes</v>
      </c>
      <c r="AI286" s="110" t="str">
        <f aca="false">IF(ISNUMBER(I286),"yes","no")</f>
        <v>yes</v>
      </c>
      <c r="AJ286" s="120" t="n">
        <v>46295</v>
      </c>
      <c r="AK286" s="110"/>
    </row>
    <row r="287" customFormat="false" ht="42" hidden="false" customHeight="true" outlineLevel="0" collapsed="false">
      <c r="A287" s="3"/>
      <c r="B287" s="31" t="s">
        <v>34</v>
      </c>
      <c r="C287" s="91" t="s">
        <v>16</v>
      </c>
      <c r="D287" s="91" t="s">
        <v>329</v>
      </c>
      <c r="E287" s="109" t="s">
        <v>1245</v>
      </c>
      <c r="F287" s="92" t="n">
        <v>25.99</v>
      </c>
      <c r="G287" s="91" t="s">
        <v>244</v>
      </c>
      <c r="H287" s="112" t="n">
        <f aca="false">IF(AND(AE287="yes",ISNUMBER(AD287)),AD287,"")</f>
        <v>25.99</v>
      </c>
      <c r="I287" s="95" t="n">
        <f aca="false">IF(AND(AE287="yes",ISNUMBER(AD287),ISNUMBER(INDEX(Sources!$G$7:$G$10,MATCH(AB287,Sources!$B$7:$B$10,0)))),ROUND(AD287/INDEX(Sources!$G$7:$G$10,MATCH(AB287,Sources!$B$7:$B$10,0)),6),"")</f>
        <v>25.99</v>
      </c>
      <c r="J287" s="91" t="s">
        <v>702</v>
      </c>
      <c r="K287" s="91" t="s">
        <v>586</v>
      </c>
      <c r="L287" s="96"/>
      <c r="M287" s="109" t="s">
        <v>1223</v>
      </c>
      <c r="N287" s="113" t="s">
        <v>1246</v>
      </c>
      <c r="O287" s="109" t="s">
        <v>1225</v>
      </c>
      <c r="P287" s="109" t="s">
        <v>590</v>
      </c>
      <c r="Q287" s="114"/>
      <c r="R287" s="109" t="n">
        <v>1</v>
      </c>
      <c r="S287" s="109"/>
      <c r="T287" s="109" t="s">
        <v>702</v>
      </c>
      <c r="U287" s="109" t="s">
        <v>591</v>
      </c>
      <c r="V287" s="115" t="n">
        <v>25.99</v>
      </c>
      <c r="W287" s="115"/>
      <c r="X287" s="109" t="s">
        <v>612</v>
      </c>
      <c r="Y287" s="109"/>
      <c r="Z287" s="109"/>
      <c r="AA287" s="109"/>
      <c r="AB287" s="109" t="s">
        <v>244</v>
      </c>
      <c r="AC287" s="109" t="s">
        <v>538</v>
      </c>
      <c r="AD287" s="109" t="n">
        <f aca="false">IF(ISNUMBER(V287),ROUND(V287,6),"")</f>
        <v>25.99</v>
      </c>
      <c r="AE287" s="109" t="str">
        <f aca="false">IF(AND(AC287="yes",ISNUMBER(F287),IF(Compare!$H$5="All mapped",TRUE(),IF(Compare!$H$5="EXACT only",J287="EXACT",OR(J287="EXACT",J287="CLOSE")))),"yes","no")</f>
        <v>yes</v>
      </c>
      <c r="AF287" s="109" t="n">
        <f aca="false">IF(ISNUMBER(H287),COUNTIFS($B$7:$B$3000,B287,$C$7:$C$3000,C287,$H$7:$H$3000,"&lt;"&amp;H287,$AH$7:$AH$3000,"yes")+COUNTIFS($B$7:B287,B287,$C$7:C287,C287,$H$7:H287,H287,$AH$7:AH287,"yes"),"")</f>
        <v>6</v>
      </c>
      <c r="AG287" s="109" t="n">
        <f aca="false">IF(ISNUMBER(I287),COUNTIFS($B$7:$B$3000,B287,$C$7:$C$3000,C287,$I$7:$I$3000,"&lt;"&amp;I287,$AI$7:$AI$3000,"yes")+COUNTIFS($B$7:B287,B287,$C$7:C287,C287,$I$7:I287,I287,$AI$7:AI287,"yes"),"")</f>
        <v>6</v>
      </c>
      <c r="AH287" s="109" t="str">
        <f aca="false">IF(ISNUMBER(H287),"yes","no")</f>
        <v>yes</v>
      </c>
      <c r="AI287" s="109" t="str">
        <f aca="false">IF(ISNUMBER(I287),"yes","no")</f>
        <v>yes</v>
      </c>
      <c r="AJ287" s="116" t="n">
        <v>46295</v>
      </c>
      <c r="AK287" s="109"/>
    </row>
    <row r="288" customFormat="false" ht="61.5" hidden="false" customHeight="true" outlineLevel="0" collapsed="false">
      <c r="A288" s="3"/>
      <c r="B288" s="36" t="s">
        <v>34</v>
      </c>
      <c r="C288" s="98" t="s">
        <v>17</v>
      </c>
      <c r="D288" s="98" t="s">
        <v>354</v>
      </c>
      <c r="E288" s="110" t="s">
        <v>1247</v>
      </c>
      <c r="F288" s="99" t="n">
        <v>2044.23</v>
      </c>
      <c r="G288" s="98" t="s">
        <v>333</v>
      </c>
      <c r="H288" s="112" t="n">
        <f aca="false">IF(AND(AE288="yes",ISNUMBER(AD288)),AD288,"")</f>
        <v>255.53</v>
      </c>
      <c r="I288" s="95" t="n">
        <f aca="false">IF(AND(AE288="yes",ISNUMBER(AD288),ISNUMBER(INDEX(Sources!$G$7:$G$10,MATCH(AB288,Sources!$B$7:$B$10,0)))),ROUND(AD288/INDEX(Sources!$G$7:$G$10,MATCH(AB288,Sources!$B$7:$B$10,0)),6),"")</f>
        <v>10.462415</v>
      </c>
      <c r="J288" s="98" t="s">
        <v>702</v>
      </c>
      <c r="K288" s="98" t="s">
        <v>586</v>
      </c>
      <c r="L288" s="96"/>
      <c r="M288" s="110" t="s">
        <v>1248</v>
      </c>
      <c r="N288" s="117" t="s">
        <v>1249</v>
      </c>
      <c r="O288" s="110" t="s">
        <v>610</v>
      </c>
      <c r="P288" s="110" t="s">
        <v>590</v>
      </c>
      <c r="Q288" s="118" t="n">
        <v>0.19</v>
      </c>
      <c r="R288" s="110" t="n">
        <v>8</v>
      </c>
      <c r="S288" s="110" t="s">
        <v>625</v>
      </c>
      <c r="T288" s="110" t="s">
        <v>702</v>
      </c>
      <c r="U288" s="110" t="s">
        <v>591</v>
      </c>
      <c r="V288" s="119"/>
      <c r="W288" s="119"/>
      <c r="X288" s="110" t="s">
        <v>626</v>
      </c>
      <c r="Y288" s="110"/>
      <c r="Z288" s="110"/>
      <c r="AA288" s="110"/>
      <c r="AB288" s="110" t="s">
        <v>333</v>
      </c>
      <c r="AC288" s="110" t="s">
        <v>538</v>
      </c>
      <c r="AD288" s="110" t="n">
        <f aca="false">IF(OR(F288="",Q288="",R288=""),"",ROUND(IF(P288="incl.",F288/(1+Q288),F288)/IF(S288="per pack",R288,1),2))</f>
        <v>255.53</v>
      </c>
      <c r="AE288" s="110" t="str">
        <f aca="false">IF(AND(AC288="yes",ISNUMBER(F288),IF(Compare!$H$5="All mapped",TRUE(),IF(Compare!$H$5="EXACT only",J288="EXACT",OR(J288="EXACT",J288="CLOSE")))),"yes","no")</f>
        <v>yes</v>
      </c>
      <c r="AF288" s="110" t="n">
        <f aca="false">IF(ISNUMBER(H288),COUNTIFS($B$7:$B$3000,B288,$C$7:$C$3000,C288,$H$7:$H$3000,"&lt;"&amp;H288,$AH$7:$AH$3000,"yes")+COUNTIFS($B$7:B288,B288,$C$7:C288,C288,$H$7:H288,H288,$AH$7:AH288,"yes"),"")</f>
        <v>1</v>
      </c>
      <c r="AG288" s="110" t="n">
        <f aca="false">IF(ISNUMBER(I288),COUNTIFS($B$7:$B$3000,B288,$C$7:$C$3000,C288,$I$7:$I$3000,"&lt;"&amp;I288,$AI$7:$AI$3000,"yes")+COUNTIFS($B$7:B288,B288,$C$7:C288,C288,$I$7:I288,I288,$AI$7:AI288,"yes"),"")</f>
        <v>1</v>
      </c>
      <c r="AH288" s="110" t="str">
        <f aca="false">IF(ISNUMBER(H288),"yes","no")</f>
        <v>yes</v>
      </c>
      <c r="AI288" s="110" t="str">
        <f aca="false">IF(ISNUMBER(I288),"yes","no")</f>
        <v>yes</v>
      </c>
      <c r="AJ288" s="120" t="n">
        <v>46295</v>
      </c>
      <c r="AK288" s="110"/>
    </row>
    <row r="289" customFormat="false" ht="42" hidden="false" customHeight="true" outlineLevel="0" collapsed="false">
      <c r="A289" s="3"/>
      <c r="B289" s="31" t="s">
        <v>34</v>
      </c>
      <c r="C289" s="91" t="s">
        <v>17</v>
      </c>
      <c r="D289" s="91" t="s">
        <v>332</v>
      </c>
      <c r="E289" s="109" t="s">
        <v>1250</v>
      </c>
      <c r="F289" s="92" t="n">
        <v>390</v>
      </c>
      <c r="G289" s="91" t="s">
        <v>333</v>
      </c>
      <c r="H289" s="112" t="n">
        <f aca="false">IF(AND(AE289="yes",ISNUMBER(AD289)),AD289,"")</f>
        <v>390</v>
      </c>
      <c r="I289" s="95" t="n">
        <f aca="false">IF(AND(AE289="yes",ISNUMBER(AD289),ISNUMBER(INDEX(Sources!$G$7:$G$10,MATCH(AB289,Sources!$B$7:$B$10,0)))),ROUND(AD289/INDEX(Sources!$G$7:$G$10,MATCH(AB289,Sources!$B$7:$B$10,0)),6),"")</f>
        <v>15.968152</v>
      </c>
      <c r="J289" s="91" t="s">
        <v>702</v>
      </c>
      <c r="K289" s="91" t="s">
        <v>586</v>
      </c>
      <c r="L289" s="96"/>
      <c r="M289" s="109" t="s">
        <v>1251</v>
      </c>
      <c r="N289" s="113" t="s">
        <v>1252</v>
      </c>
      <c r="O289" s="109"/>
      <c r="P289" s="109" t="s">
        <v>590</v>
      </c>
      <c r="Q289" s="114" t="n">
        <v>0.21</v>
      </c>
      <c r="R289" s="109" t="n">
        <v>1</v>
      </c>
      <c r="S289" s="109" t="s">
        <v>632</v>
      </c>
      <c r="T289" s="109" t="s">
        <v>702</v>
      </c>
      <c r="U289" s="109" t="s">
        <v>591</v>
      </c>
      <c r="V289" s="115"/>
      <c r="W289" s="115"/>
      <c r="X289" s="109" t="s">
        <v>626</v>
      </c>
      <c r="Y289" s="109"/>
      <c r="Z289" s="109"/>
      <c r="AA289" s="109"/>
      <c r="AB289" s="109" t="s">
        <v>333</v>
      </c>
      <c r="AC289" s="109" t="s">
        <v>538</v>
      </c>
      <c r="AD289" s="109" t="n">
        <f aca="false">IF(OR(F289="",Q289="",R289=""),"",ROUND(IF(P289="incl.",F289/(1+Q289),F289)/IF(S289="per pack",R289,1),2))</f>
        <v>390</v>
      </c>
      <c r="AE289" s="109" t="str">
        <f aca="false">IF(AND(AC289="yes",ISNUMBER(F289),IF(Compare!$H$5="All mapped",TRUE(),IF(Compare!$H$5="EXACT only",J289="EXACT",OR(J289="EXACT",J289="CLOSE")))),"yes","no")</f>
        <v>yes</v>
      </c>
      <c r="AF289" s="109" t="n">
        <f aca="false">IF(ISNUMBER(H289),COUNTIFS($B$7:$B$3000,B289,$C$7:$C$3000,C289,$H$7:$H$3000,"&lt;"&amp;H289,$AH$7:$AH$3000,"yes")+COUNTIFS($B$7:B289,B289,$C$7:C289,C289,$H$7:H289,H289,$AH$7:AH289,"yes"),"")</f>
        <v>2</v>
      </c>
      <c r="AG289" s="109" t="n">
        <f aca="false">IF(ISNUMBER(I289),COUNTIFS($B$7:$B$3000,B289,$C$7:$C$3000,C289,$I$7:$I$3000,"&lt;"&amp;I289,$AI$7:$AI$3000,"yes")+COUNTIFS($B$7:B289,B289,$C$7:C289,C289,$I$7:I289,I289,$AI$7:AI289,"yes"),"")</f>
        <v>2</v>
      </c>
      <c r="AH289" s="109" t="str">
        <f aca="false">IF(ISNUMBER(H289),"yes","no")</f>
        <v>yes</v>
      </c>
      <c r="AI289" s="109" t="str">
        <f aca="false">IF(ISNUMBER(I289),"yes","no")</f>
        <v>yes</v>
      </c>
      <c r="AJ289" s="116" t="n">
        <v>46295</v>
      </c>
      <c r="AK289" s="109"/>
    </row>
    <row r="290" customFormat="false" ht="42" hidden="false" customHeight="true" outlineLevel="0" collapsed="false">
      <c r="A290" s="3"/>
      <c r="B290" s="36" t="s">
        <v>34</v>
      </c>
      <c r="C290" s="98" t="s">
        <v>17</v>
      </c>
      <c r="D290" s="98" t="s">
        <v>342</v>
      </c>
      <c r="E290" s="110" t="s">
        <v>1253</v>
      </c>
      <c r="F290" s="99" t="n">
        <v>463</v>
      </c>
      <c r="G290" s="98" t="s">
        <v>333</v>
      </c>
      <c r="H290" s="112" t="n">
        <f aca="false">IF(AND(AE290="yes",ISNUMBER(AD290)),AD290,"")</f>
        <v>463</v>
      </c>
      <c r="I290" s="95" t="n">
        <f aca="false">IF(AND(AE290="yes",ISNUMBER(AD290),ISNUMBER(INDEX(Sources!$G$7:$G$10,MATCH(AB290,Sources!$B$7:$B$10,0)))),ROUND(AD290/INDEX(Sources!$G$7:$G$10,MATCH(AB290,Sources!$B$7:$B$10,0)),6),"")</f>
        <v>18.957062</v>
      </c>
      <c r="J290" s="98" t="s">
        <v>702</v>
      </c>
      <c r="K290" s="98" t="s">
        <v>586</v>
      </c>
      <c r="L290" s="96"/>
      <c r="M290" s="110" t="s">
        <v>1254</v>
      </c>
      <c r="N290" s="117" t="s">
        <v>1255</v>
      </c>
      <c r="O290" s="110" t="s">
        <v>733</v>
      </c>
      <c r="P290" s="110" t="s">
        <v>590</v>
      </c>
      <c r="Q290" s="118" t="n">
        <v>0.21</v>
      </c>
      <c r="R290" s="110" t="n">
        <v>1</v>
      </c>
      <c r="S290" s="110" t="s">
        <v>632</v>
      </c>
      <c r="T290" s="110" t="s">
        <v>702</v>
      </c>
      <c r="U290" s="110" t="s">
        <v>591</v>
      </c>
      <c r="V290" s="119"/>
      <c r="W290" s="119"/>
      <c r="X290" s="110" t="s">
        <v>626</v>
      </c>
      <c r="Y290" s="110"/>
      <c r="Z290" s="110"/>
      <c r="AA290" s="110"/>
      <c r="AB290" s="110" t="s">
        <v>333</v>
      </c>
      <c r="AC290" s="110" t="s">
        <v>538</v>
      </c>
      <c r="AD290" s="110" t="n">
        <f aca="false">IF(OR(F290="",Q290="",R290=""),"",ROUND(IF(P290="incl.",F290/(1+Q290),F290)/IF(S290="per pack",R290,1),2))</f>
        <v>463</v>
      </c>
      <c r="AE290" s="110" t="str">
        <f aca="false">IF(AND(AC290="yes",ISNUMBER(F290),IF(Compare!$H$5="All mapped",TRUE(),IF(Compare!$H$5="EXACT only",J290="EXACT",OR(J290="EXACT",J290="CLOSE")))),"yes","no")</f>
        <v>yes</v>
      </c>
      <c r="AF290" s="110" t="n">
        <f aca="false">IF(ISNUMBER(H290),COUNTIFS($B$7:$B$3000,B290,$C$7:$C$3000,C290,$H$7:$H$3000,"&lt;"&amp;H290,$AH$7:$AH$3000,"yes")+COUNTIFS($B$7:B290,B290,$C$7:C290,C290,$H$7:H290,H290,$AH$7:AH290,"yes"),"")</f>
        <v>4</v>
      </c>
      <c r="AG290" s="110" t="n">
        <f aca="false">IF(ISNUMBER(I290),COUNTIFS($B$7:$B$3000,B290,$C$7:$C$3000,C290,$I$7:$I$3000,"&lt;"&amp;I290,$AI$7:$AI$3000,"yes")+COUNTIFS($B$7:B290,B290,$C$7:C290,C290,$I$7:I290,I290,$AI$7:AI290,"yes"),"")</f>
        <v>4</v>
      </c>
      <c r="AH290" s="110" t="str">
        <f aca="false">IF(ISNUMBER(H290),"yes","no")</f>
        <v>yes</v>
      </c>
      <c r="AI290" s="110" t="str">
        <f aca="false">IF(ISNUMBER(I290),"yes","no")</f>
        <v>yes</v>
      </c>
      <c r="AJ290" s="120" t="n">
        <v>46295</v>
      </c>
      <c r="AK290" s="110"/>
    </row>
    <row r="291" customFormat="false" ht="42" hidden="false" customHeight="true" outlineLevel="0" collapsed="false">
      <c r="A291" s="3"/>
      <c r="B291" s="31" t="s">
        <v>34</v>
      </c>
      <c r="C291" s="91" t="s">
        <v>17</v>
      </c>
      <c r="D291" s="91" t="s">
        <v>346</v>
      </c>
      <c r="E291" s="109" t="s">
        <v>1256</v>
      </c>
      <c r="F291" s="92" t="n">
        <v>546</v>
      </c>
      <c r="G291" s="91" t="s">
        <v>333</v>
      </c>
      <c r="H291" s="112" t="n">
        <f aca="false">IF(AND(AE291="yes",ISNUMBER(AD291)),AD291,"")</f>
        <v>451.24</v>
      </c>
      <c r="I291" s="95" t="n">
        <f aca="false">IF(AND(AE291="yes",ISNUMBER(AD291),ISNUMBER(INDEX(Sources!$G$7:$G$10,MATCH(AB291,Sources!$B$7:$B$10,0)))),ROUND(AD291/INDEX(Sources!$G$7:$G$10,MATCH(AB291,Sources!$B$7:$B$10,0)),6),"")</f>
        <v>18.475561</v>
      </c>
      <c r="J291" s="91" t="s">
        <v>530</v>
      </c>
      <c r="K291" s="91" t="s">
        <v>586</v>
      </c>
      <c r="L291" s="96"/>
      <c r="M291" s="109" t="s">
        <v>1257</v>
      </c>
      <c r="N291" s="113" t="s">
        <v>1258</v>
      </c>
      <c r="O291" s="109" t="s">
        <v>565</v>
      </c>
      <c r="P291" s="109" t="s">
        <v>265</v>
      </c>
      <c r="Q291" s="114" t="n">
        <v>0.21</v>
      </c>
      <c r="R291" s="109" t="n">
        <v>1</v>
      </c>
      <c r="S291" s="109" t="s">
        <v>632</v>
      </c>
      <c r="T291" s="109" t="s">
        <v>530</v>
      </c>
      <c r="U291" s="109" t="s">
        <v>591</v>
      </c>
      <c r="V291" s="115"/>
      <c r="W291" s="115"/>
      <c r="X291" s="109" t="s">
        <v>626</v>
      </c>
      <c r="Y291" s="109"/>
      <c r="Z291" s="109"/>
      <c r="AA291" s="109"/>
      <c r="AB291" s="109" t="s">
        <v>333</v>
      </c>
      <c r="AC291" s="109" t="s">
        <v>538</v>
      </c>
      <c r="AD291" s="109" t="n">
        <f aca="false">IF(OR(F291="",Q291="",R291=""),"",ROUND(IF(P291="incl.",F291/(1+Q291),F291)/IF(S291="per pack",R291,1),2))</f>
        <v>451.24</v>
      </c>
      <c r="AE291" s="109" t="str">
        <f aca="false">IF(AND(AC291="yes",ISNUMBER(F291),IF(Compare!$H$5="All mapped",TRUE(),IF(Compare!$H$5="EXACT only",J291="EXACT",OR(J291="EXACT",J291="CLOSE")))),"yes","no")</f>
        <v>yes</v>
      </c>
      <c r="AF291" s="109" t="n">
        <f aca="false">IF(ISNUMBER(H291),COUNTIFS($B$7:$B$3000,B291,$C$7:$C$3000,C291,$H$7:$H$3000,"&lt;"&amp;H291,$AH$7:$AH$3000,"yes")+COUNTIFS($B$7:B291,B291,$C$7:C291,C291,$H$7:H291,H291,$AH$7:AH291,"yes"),"")</f>
        <v>3</v>
      </c>
      <c r="AG291" s="109" t="n">
        <f aca="false">IF(ISNUMBER(I291),COUNTIFS($B$7:$B$3000,B291,$C$7:$C$3000,C291,$I$7:$I$3000,"&lt;"&amp;I291,$AI$7:$AI$3000,"yes")+COUNTIFS($B$7:B291,B291,$C$7:C291,C291,$I$7:I291,I291,$AI$7:AI291,"yes"),"")</f>
        <v>3</v>
      </c>
      <c r="AH291" s="109" t="str">
        <f aca="false">IF(ISNUMBER(H291),"yes","no")</f>
        <v>yes</v>
      </c>
      <c r="AI291" s="109" t="str">
        <f aca="false">IF(ISNUMBER(I291),"yes","no")</f>
        <v>yes</v>
      </c>
      <c r="AJ291" s="116" t="n">
        <v>46295</v>
      </c>
      <c r="AK291" s="109"/>
    </row>
    <row r="292" customFormat="false" ht="42" hidden="false" customHeight="true" outlineLevel="0" collapsed="false">
      <c r="A292" s="3"/>
      <c r="B292" s="36" t="s">
        <v>34</v>
      </c>
      <c r="C292" s="98" t="s">
        <v>17</v>
      </c>
      <c r="D292" s="98" t="s">
        <v>361</v>
      </c>
      <c r="E292" s="110" t="s">
        <v>1259</v>
      </c>
      <c r="F292" s="99" t="n">
        <v>339</v>
      </c>
      <c r="G292" s="98" t="s">
        <v>333</v>
      </c>
      <c r="H292" s="112" t="str">
        <f aca="false">IF(AND(AE292="yes",ISNUMBER(AD292)),AD292,"")</f>
        <v/>
      </c>
      <c r="I292" s="95" t="str">
        <f aca="false">IF(AND(AE292="yes",ISNUMBER(AD292),ISNUMBER(INDEX(Sources!$G$7:$G$10,MATCH(AB292,Sources!$B$7:$B$10,0)))),ROUND(AD292/INDEX(Sources!$G$7:$G$10,MATCH(AB292,Sources!$B$7:$B$10,0)),6),"")</f>
        <v/>
      </c>
      <c r="J292" s="98" t="s">
        <v>629</v>
      </c>
      <c r="K292" s="98" t="s">
        <v>586</v>
      </c>
      <c r="L292" s="96"/>
      <c r="M292" s="110" t="s">
        <v>1260</v>
      </c>
      <c r="N292" s="117" t="s">
        <v>1261</v>
      </c>
      <c r="O292" s="110" t="s">
        <v>361</v>
      </c>
      <c r="P292" s="110" t="s">
        <v>265</v>
      </c>
      <c r="Q292" s="118" t="n">
        <v>0.21</v>
      </c>
      <c r="R292" s="110" t="n">
        <v>1</v>
      </c>
      <c r="S292" s="110" t="s">
        <v>632</v>
      </c>
      <c r="T292" s="110" t="s">
        <v>629</v>
      </c>
      <c r="U292" s="110" t="s">
        <v>591</v>
      </c>
      <c r="V292" s="119"/>
      <c r="W292" s="119"/>
      <c r="X292" s="110" t="s">
        <v>626</v>
      </c>
      <c r="Y292" s="110"/>
      <c r="Z292" s="110"/>
      <c r="AA292" s="110"/>
      <c r="AB292" s="110" t="s">
        <v>333</v>
      </c>
      <c r="AC292" s="110" t="s">
        <v>538</v>
      </c>
      <c r="AD292" s="110" t="n">
        <f aca="false">IF(OR(F292="",Q292="",R292=""),"",ROUND(IF(P292="incl.",F292/(1+Q292),F292)/IF(S292="per pack",R292,1),2))</f>
        <v>280.17</v>
      </c>
      <c r="AE292" s="110" t="str">
        <f aca="false">IF(AND(AC292="yes",ISNUMBER(F292),IF(Compare!$H$5="All mapped",TRUE(),IF(Compare!$H$5="EXACT only",J292="EXACT",OR(J292="EXACT",J292="CLOSE")))),"yes","no")</f>
        <v>no</v>
      </c>
      <c r="AF292" s="110" t="str">
        <f aca="false">IF(ISNUMBER(H292),COUNTIFS($B$7:$B$3000,B292,$C$7:$C$3000,C292,$H$7:$H$3000,"&lt;"&amp;H292,$AH$7:$AH$3000,"yes")+COUNTIFS($B$7:B292,B292,$C$7:C292,C292,$H$7:H292,H292,$AH$7:AH292,"yes"),"")</f>
        <v/>
      </c>
      <c r="AG292" s="110" t="str">
        <f aca="false">IF(ISNUMBER(I292),COUNTIFS($B$7:$B$3000,B292,$C$7:$C$3000,C292,$I$7:$I$3000,"&lt;"&amp;I292,$AI$7:$AI$3000,"yes")+COUNTIFS($B$7:B292,B292,$C$7:C292,C292,$I$7:I292,I292,$AI$7:AI292,"yes"),"")</f>
        <v/>
      </c>
      <c r="AH292" s="110" t="str">
        <f aca="false">IF(ISNUMBER(H292),"yes","no")</f>
        <v>no</v>
      </c>
      <c r="AI292" s="110" t="str">
        <f aca="false">IF(ISNUMBER(I292),"yes","no")</f>
        <v>no</v>
      </c>
      <c r="AJ292" s="120" t="n">
        <v>46295</v>
      </c>
      <c r="AK292" s="110"/>
    </row>
    <row r="293" customFormat="false" ht="61.5" hidden="false" customHeight="true" outlineLevel="0" collapsed="false">
      <c r="A293" s="3"/>
      <c r="B293" s="31" t="s">
        <v>34</v>
      </c>
      <c r="C293" s="91" t="s">
        <v>18</v>
      </c>
      <c r="D293" s="91" t="s">
        <v>365</v>
      </c>
      <c r="E293" s="109" t="s">
        <v>1262</v>
      </c>
      <c r="F293" s="92" t="n">
        <v>12.65</v>
      </c>
      <c r="G293" s="91" t="s">
        <v>244</v>
      </c>
      <c r="H293" s="112" t="n">
        <f aca="false">IF(AND(AE293="yes",ISNUMBER(AD293)),AD293,"")</f>
        <v>12.65</v>
      </c>
      <c r="I293" s="95" t="n">
        <f aca="false">IF(AND(AE293="yes",ISNUMBER(AD293),ISNUMBER(INDEX(Sources!$G$7:$G$10,MATCH(AB293,Sources!$B$7:$B$10,0)))),ROUND(AD293/INDEX(Sources!$G$7:$G$10,MATCH(AB293,Sources!$B$7:$B$10,0)),6),"")</f>
        <v>12.65</v>
      </c>
      <c r="J293" s="91" t="s">
        <v>702</v>
      </c>
      <c r="K293" s="91" t="s">
        <v>586</v>
      </c>
      <c r="L293" s="96"/>
      <c r="M293" s="109" t="s">
        <v>1263</v>
      </c>
      <c r="N293" s="113" t="s">
        <v>1264</v>
      </c>
      <c r="O293" s="109" t="s">
        <v>388</v>
      </c>
      <c r="P293" s="109" t="s">
        <v>590</v>
      </c>
      <c r="Q293" s="114" t="s">
        <v>647</v>
      </c>
      <c r="R293" s="109" t="n">
        <v>1</v>
      </c>
      <c r="S293" s="109" t="s">
        <v>632</v>
      </c>
      <c r="T293" s="109" t="s">
        <v>702</v>
      </c>
      <c r="U293" s="109" t="s">
        <v>591</v>
      </c>
      <c r="V293" s="115" t="n">
        <v>12.65</v>
      </c>
      <c r="W293" s="115"/>
      <c r="X293" s="109" t="s">
        <v>648</v>
      </c>
      <c r="Y293" s="109"/>
      <c r="Z293" s="109"/>
      <c r="AA293" s="109"/>
      <c r="AB293" s="109" t="s">
        <v>244</v>
      </c>
      <c r="AC293" s="109" t="s">
        <v>538</v>
      </c>
      <c r="AD293" s="109" t="n">
        <f aca="false">IF(ISNUMBER(V293),ROUND(V293,6),"")</f>
        <v>12.65</v>
      </c>
      <c r="AE293" s="109" t="str">
        <f aca="false">IF(AND(AC293="yes",ISNUMBER(F293),IF(Compare!$H$5="All mapped",TRUE(),IF(Compare!$H$5="EXACT only",J293="EXACT",OR(J293="EXACT",J293="CLOSE")))),"yes","no")</f>
        <v>yes</v>
      </c>
      <c r="AF293" s="109" t="n">
        <f aca="false">IF(ISNUMBER(H293),COUNTIFS($B$7:$B$3000,B293,$C$7:$C$3000,C293,$H$7:$H$3000,"&lt;"&amp;H293,$AH$7:$AH$3000,"yes")+COUNTIFS($B$7:B293,B293,$C$7:C293,C293,$H$7:H293,H293,$AH$7:AH293,"yes"),"")</f>
        <v>1</v>
      </c>
      <c r="AG293" s="109" t="n">
        <f aca="false">IF(ISNUMBER(I293),COUNTIFS($B$7:$B$3000,B293,$C$7:$C$3000,C293,$I$7:$I$3000,"&lt;"&amp;I293,$AI$7:$AI$3000,"yes")+COUNTIFS($B$7:B293,B293,$C$7:C293,C293,$I$7:I293,I293,$AI$7:AI293,"yes"),"")</f>
        <v>1</v>
      </c>
      <c r="AH293" s="109" t="str">
        <f aca="false">IF(ISNUMBER(H293),"yes","no")</f>
        <v>yes</v>
      </c>
      <c r="AI293" s="109" t="str">
        <f aca="false">IF(ISNUMBER(I293),"yes","no")</f>
        <v>yes</v>
      </c>
      <c r="AJ293" s="116" t="n">
        <v>46295</v>
      </c>
      <c r="AK293" s="109"/>
    </row>
    <row r="294" customFormat="false" ht="42" hidden="false" customHeight="true" outlineLevel="0" collapsed="false">
      <c r="A294" s="3"/>
      <c r="B294" s="36" t="s">
        <v>34</v>
      </c>
      <c r="C294" s="98" t="s">
        <v>18</v>
      </c>
      <c r="D294" s="98" t="s">
        <v>369</v>
      </c>
      <c r="E294" s="110" t="s">
        <v>1265</v>
      </c>
      <c r="F294" s="99" t="n">
        <v>22.96</v>
      </c>
      <c r="G294" s="98" t="s">
        <v>244</v>
      </c>
      <c r="H294" s="112" t="n">
        <f aca="false">IF(AND(AE294="yes",ISNUMBER(AD294)),AD294,"")</f>
        <v>18.666667</v>
      </c>
      <c r="I294" s="95" t="n">
        <f aca="false">IF(AND(AE294="yes",ISNUMBER(AD294),ISNUMBER(INDEX(Sources!$G$7:$G$10,MATCH(AB294,Sources!$B$7:$B$10,0)))),ROUND(AD294/INDEX(Sources!$G$7:$G$10,MATCH(AB294,Sources!$B$7:$B$10,0)),6),"")</f>
        <v>18.666667</v>
      </c>
      <c r="J294" s="98" t="s">
        <v>530</v>
      </c>
      <c r="K294" s="98" t="s">
        <v>586</v>
      </c>
      <c r="L294" s="96"/>
      <c r="M294" s="110" t="s">
        <v>1266</v>
      </c>
      <c r="N294" s="117" t="s">
        <v>1267</v>
      </c>
      <c r="O294" s="110" t="s">
        <v>565</v>
      </c>
      <c r="P294" s="110" t="s">
        <v>265</v>
      </c>
      <c r="Q294" s="118" t="n">
        <v>0.23</v>
      </c>
      <c r="R294" s="110" t="n">
        <v>1</v>
      </c>
      <c r="S294" s="110" t="s">
        <v>632</v>
      </c>
      <c r="T294" s="110" t="s">
        <v>530</v>
      </c>
      <c r="U294" s="110" t="s">
        <v>591</v>
      </c>
      <c r="V294" s="119" t="n">
        <v>18.6666666666667</v>
      </c>
      <c r="W294" s="119"/>
      <c r="X294" s="110" t="s">
        <v>648</v>
      </c>
      <c r="Y294" s="110"/>
      <c r="Z294" s="110"/>
      <c r="AA294" s="110"/>
      <c r="AB294" s="110" t="s">
        <v>244</v>
      </c>
      <c r="AC294" s="110" t="s">
        <v>538</v>
      </c>
      <c r="AD294" s="110" t="n">
        <f aca="false">IF(ISNUMBER(V294),ROUND(V294,6),"")</f>
        <v>18.666667</v>
      </c>
      <c r="AE294" s="110" t="str">
        <f aca="false">IF(AND(AC294="yes",ISNUMBER(F294),IF(Compare!$H$5="All mapped",TRUE(),IF(Compare!$H$5="EXACT only",J294="EXACT",OR(J294="EXACT",J294="CLOSE")))),"yes","no")</f>
        <v>yes</v>
      </c>
      <c r="AF294" s="110" t="n">
        <f aca="false">IF(ISNUMBER(H294),COUNTIFS($B$7:$B$3000,B294,$C$7:$C$3000,C294,$H$7:$H$3000,"&lt;"&amp;H294,$AH$7:$AH$3000,"yes")+COUNTIFS($B$7:B294,B294,$C$7:C294,C294,$H$7:H294,H294,$AH$7:AH294,"yes"),"")</f>
        <v>2</v>
      </c>
      <c r="AG294" s="110" t="n">
        <f aca="false">IF(ISNUMBER(I294),COUNTIFS($B$7:$B$3000,B294,$C$7:$C$3000,C294,$I$7:$I$3000,"&lt;"&amp;I294,$AI$7:$AI$3000,"yes")+COUNTIFS($B$7:B294,B294,$C$7:C294,C294,$I$7:I294,I294,$AI$7:AI294,"yes"),"")</f>
        <v>2</v>
      </c>
      <c r="AH294" s="110" t="str">
        <f aca="false">IF(ISNUMBER(H294),"yes","no")</f>
        <v>yes</v>
      </c>
      <c r="AI294" s="110" t="str">
        <f aca="false">IF(ISNUMBER(I294),"yes","no")</f>
        <v>yes</v>
      </c>
      <c r="AJ294" s="120" t="n">
        <v>46295</v>
      </c>
      <c r="AK294" s="110"/>
    </row>
    <row r="295" customFormat="false" ht="42" hidden="false" customHeight="true" outlineLevel="0" collapsed="false">
      <c r="A295" s="3"/>
      <c r="B295" s="31" t="s">
        <v>35</v>
      </c>
      <c r="C295" s="91" t="s">
        <v>13</v>
      </c>
      <c r="D295" s="91" t="s">
        <v>528</v>
      </c>
      <c r="E295" s="109" t="s">
        <v>1268</v>
      </c>
      <c r="F295" s="92" t="n">
        <v>1522</v>
      </c>
      <c r="G295" s="91" t="s">
        <v>490</v>
      </c>
      <c r="H295" s="112" t="n">
        <f aca="false">IF(AND(AE295="yes",ISNUMBER(AD295)),AD295,"")</f>
        <v>1522</v>
      </c>
      <c r="I295" s="95" t="n">
        <f aca="false">IF(AND(AE295="yes",ISNUMBER(AD295),ISNUMBER(INDEX(Sources!$G$7:$G$10,MATCH(AB295,Sources!$B$7:$B$10,0)))),ROUND(AD295/INDEX(Sources!$G$7:$G$10,MATCH(AB295,Sources!$B$7:$B$10,0)),6),"")</f>
        <v>4.157221</v>
      </c>
      <c r="J295" s="91" t="s">
        <v>530</v>
      </c>
      <c r="K295" s="91" t="s">
        <v>1202</v>
      </c>
      <c r="L295" s="96"/>
      <c r="M295" s="109" t="s">
        <v>1203</v>
      </c>
      <c r="N295" s="113" t="s">
        <v>1204</v>
      </c>
      <c r="O295" s="109"/>
      <c r="P295" s="109"/>
      <c r="Q295" s="114"/>
      <c r="R295" s="109"/>
      <c r="S295" s="109"/>
      <c r="T295" s="109"/>
      <c r="U295" s="109" t="s">
        <v>1269</v>
      </c>
      <c r="V295" s="115"/>
      <c r="W295" s="115" t="n">
        <v>1522</v>
      </c>
      <c r="X295" s="109" t="s">
        <v>535</v>
      </c>
      <c r="Y295" s="109" t="s">
        <v>1018</v>
      </c>
      <c r="Z295" s="109"/>
      <c r="AA295" s="109" t="s">
        <v>537</v>
      </c>
      <c r="AB295" s="109" t="s">
        <v>490</v>
      </c>
      <c r="AC295" s="109" t="s">
        <v>538</v>
      </c>
      <c r="AD295" s="115" t="n">
        <f aca="false">IF(ISNUMBER(F295),IF(G295=AB295,F295,IF(AND(ISNUMBER(INDEX(Sources!$G$7:$G$10,MATCH(G295,Sources!$B$7:$B$10,0))),ISNUMBER(INDEX(Sources!$G$7:$G$10,MATCH(AB295,Sources!$B$7:$B$10,0)))),F295/INDEX(Sources!$G$7:$G$10,MATCH(G295,Sources!$B$7:$B$10,0))*INDEX(Sources!$G$7:$G$10,MATCH(AB295,Sources!$B$7:$B$10,0)),"")),"")</f>
        <v>1522</v>
      </c>
      <c r="AE295" s="109" t="str">
        <f aca="false">IF(AND(AC295="yes",ISNUMBER(F295),IF(Compare!$H$5="All mapped",TRUE(),IF(Compare!$H$5="EXACT only",J295="EXACT",OR(J295="EXACT",J295="CLOSE")))),"yes","no")</f>
        <v>yes</v>
      </c>
      <c r="AF295" s="109" t="n">
        <f aca="false">IF(ISNUMBER(H295),COUNTIFS($B$7:$B$3000,B295,$C$7:$C$3000,C295,$H$7:$H$3000,"&lt;"&amp;H295,$AH$7:$AH$3000,"yes")+COUNTIFS($B$7:B295,B295,$C$7:C295,C295,$H$7:H295,H295,$AH$7:AH295,"yes"),"")</f>
        <v>1</v>
      </c>
      <c r="AG295" s="109" t="n">
        <f aca="false">IF(ISNUMBER(I295),COUNTIFS($B$7:$B$3000,B295,$C$7:$C$3000,C295,$I$7:$I$3000,"&lt;"&amp;I295,$AI$7:$AI$3000,"yes")+COUNTIFS($B$7:B295,B295,$C$7:C295,C295,$I$7:I295,I295,$AI$7:AI295,"yes"),"")</f>
        <v>1</v>
      </c>
      <c r="AH295" s="109" t="str">
        <f aca="false">IF(ISNUMBER(H295),"yes","no")</f>
        <v>yes</v>
      </c>
      <c r="AI295" s="109" t="str">
        <f aca="false">IF(ISNUMBER(I295),"yes","no")</f>
        <v>yes</v>
      </c>
      <c r="AJ295" s="116" t="n">
        <v>46199</v>
      </c>
      <c r="AK295" s="109"/>
    </row>
    <row r="296" customFormat="false" ht="42" hidden="false" customHeight="true" outlineLevel="0" collapsed="false">
      <c r="A296" s="3"/>
      <c r="B296" s="36" t="s">
        <v>35</v>
      </c>
      <c r="C296" s="98" t="s">
        <v>13</v>
      </c>
      <c r="D296" s="98" t="s">
        <v>528</v>
      </c>
      <c r="E296" s="110" t="s">
        <v>1270</v>
      </c>
      <c r="F296" s="99" t="n">
        <v>1910</v>
      </c>
      <c r="G296" s="98" t="s">
        <v>490</v>
      </c>
      <c r="H296" s="112" t="n">
        <f aca="false">IF(AND(AE296="yes",ISNUMBER(AD296)),AD296,"")</f>
        <v>1910</v>
      </c>
      <c r="I296" s="95" t="n">
        <f aca="false">IF(AND(AE296="yes",ISNUMBER(AD296),ISNUMBER(INDEX(Sources!$G$7:$G$10,MATCH(AB296,Sources!$B$7:$B$10,0)))),ROUND(AD296/INDEX(Sources!$G$7:$G$10,MATCH(AB296,Sources!$B$7:$B$10,0)),6),"")</f>
        <v>5.217011</v>
      </c>
      <c r="J296" s="98" t="s">
        <v>530</v>
      </c>
      <c r="K296" s="98" t="s">
        <v>1202</v>
      </c>
      <c r="L296" s="96"/>
      <c r="M296" s="110" t="s">
        <v>1203</v>
      </c>
      <c r="N296" s="117" t="s">
        <v>1204</v>
      </c>
      <c r="O296" s="110"/>
      <c r="P296" s="110"/>
      <c r="Q296" s="118"/>
      <c r="R296" s="110"/>
      <c r="S296" s="110"/>
      <c r="T296" s="110"/>
      <c r="U296" s="110" t="s">
        <v>1269</v>
      </c>
      <c r="V296" s="119"/>
      <c r="W296" s="119" t="n">
        <v>1910</v>
      </c>
      <c r="X296" s="110" t="s">
        <v>535</v>
      </c>
      <c r="Y296" s="110" t="s">
        <v>1018</v>
      </c>
      <c r="Z296" s="110"/>
      <c r="AA296" s="110" t="s">
        <v>537</v>
      </c>
      <c r="AB296" s="110" t="s">
        <v>490</v>
      </c>
      <c r="AC296" s="110" t="s">
        <v>538</v>
      </c>
      <c r="AD296" s="119" t="n">
        <f aca="false">IF(ISNUMBER(F296),IF(G296=AB296,F296,IF(AND(ISNUMBER(INDEX(Sources!$G$7:$G$10,MATCH(G296,Sources!$B$7:$B$10,0))),ISNUMBER(INDEX(Sources!$G$7:$G$10,MATCH(AB296,Sources!$B$7:$B$10,0)))),F296/INDEX(Sources!$G$7:$G$10,MATCH(G296,Sources!$B$7:$B$10,0))*INDEX(Sources!$G$7:$G$10,MATCH(AB296,Sources!$B$7:$B$10,0)),"")),"")</f>
        <v>1910</v>
      </c>
      <c r="AE296" s="110" t="str">
        <f aca="false">IF(AND(AC296="yes",ISNUMBER(F296),IF(Compare!$H$5="All mapped",TRUE(),IF(Compare!$H$5="EXACT only",J296="EXACT",OR(J296="EXACT",J296="CLOSE")))),"yes","no")</f>
        <v>yes</v>
      </c>
      <c r="AF296" s="110" t="n">
        <f aca="false">IF(ISNUMBER(H296),COUNTIFS($B$7:$B$3000,B296,$C$7:$C$3000,C296,$H$7:$H$3000,"&lt;"&amp;H296,$AH$7:$AH$3000,"yes")+COUNTIFS($B$7:B296,B296,$C$7:C296,C296,$H$7:H296,H296,$AH$7:AH296,"yes"),"")</f>
        <v>2</v>
      </c>
      <c r="AG296" s="110" t="n">
        <f aca="false">IF(ISNUMBER(I296),COUNTIFS($B$7:$B$3000,B296,$C$7:$C$3000,C296,$I$7:$I$3000,"&lt;"&amp;I296,$AI$7:$AI$3000,"yes")+COUNTIFS($B$7:B296,B296,$C$7:C296,C296,$I$7:I296,I296,$AI$7:AI296,"yes"),"")</f>
        <v>2</v>
      </c>
      <c r="AH296" s="110" t="str">
        <f aca="false">IF(ISNUMBER(H296),"yes","no")</f>
        <v>yes</v>
      </c>
      <c r="AI296" s="110" t="str">
        <f aca="false">IF(ISNUMBER(I296),"yes","no")</f>
        <v>yes</v>
      </c>
      <c r="AJ296" s="120" t="n">
        <v>46199</v>
      </c>
      <c r="AK296" s="110"/>
    </row>
    <row r="297" customFormat="false" ht="42" hidden="false" customHeight="true" outlineLevel="0" collapsed="false">
      <c r="A297" s="3"/>
      <c r="B297" s="31" t="s">
        <v>35</v>
      </c>
      <c r="C297" s="91" t="s">
        <v>13</v>
      </c>
      <c r="D297" s="91" t="s">
        <v>541</v>
      </c>
      <c r="E297" s="109" t="s">
        <v>1270</v>
      </c>
      <c r="F297" s="92" t="n">
        <v>2826</v>
      </c>
      <c r="G297" s="91" t="s">
        <v>490</v>
      </c>
      <c r="H297" s="112" t="n">
        <f aca="false">IF(AND(AE297="yes",ISNUMBER(AD297)),AD297,"")</f>
        <v>2826</v>
      </c>
      <c r="I297" s="95" t="n">
        <f aca="false">IF(AND(AE297="yes",ISNUMBER(AD297),ISNUMBER(INDEX(Sources!$G$7:$G$10,MATCH(AB297,Sources!$B$7:$B$10,0)))),ROUND(AD297/INDEX(Sources!$G$7:$G$10,MATCH(AB297,Sources!$B$7:$B$10,0)),6),"")</f>
        <v>7.718992</v>
      </c>
      <c r="J297" s="91" t="s">
        <v>530</v>
      </c>
      <c r="K297" s="91" t="s">
        <v>1202</v>
      </c>
      <c r="L297" s="96"/>
      <c r="M297" s="109" t="s">
        <v>1203</v>
      </c>
      <c r="N297" s="113" t="s">
        <v>1206</v>
      </c>
      <c r="O297" s="109"/>
      <c r="P297" s="109"/>
      <c r="Q297" s="114"/>
      <c r="R297" s="109"/>
      <c r="S297" s="109"/>
      <c r="T297" s="109"/>
      <c r="U297" s="109" t="s">
        <v>1269</v>
      </c>
      <c r="V297" s="115"/>
      <c r="W297" s="115" t="n">
        <v>2826</v>
      </c>
      <c r="X297" s="109" t="s">
        <v>535</v>
      </c>
      <c r="Y297" s="109" t="s">
        <v>1018</v>
      </c>
      <c r="Z297" s="109"/>
      <c r="AA297" s="109" t="s">
        <v>537</v>
      </c>
      <c r="AB297" s="109" t="s">
        <v>490</v>
      </c>
      <c r="AC297" s="109" t="s">
        <v>538</v>
      </c>
      <c r="AD297" s="115" t="n">
        <f aca="false">IF(ISNUMBER(F297),IF(G297=AB297,F297,IF(AND(ISNUMBER(INDEX(Sources!$G$7:$G$10,MATCH(G297,Sources!$B$7:$B$10,0))),ISNUMBER(INDEX(Sources!$G$7:$G$10,MATCH(AB297,Sources!$B$7:$B$10,0)))),F297/INDEX(Sources!$G$7:$G$10,MATCH(G297,Sources!$B$7:$B$10,0))*INDEX(Sources!$G$7:$G$10,MATCH(AB297,Sources!$B$7:$B$10,0)),"")),"")</f>
        <v>2826</v>
      </c>
      <c r="AE297" s="109" t="str">
        <f aca="false">IF(AND(AC297="yes",ISNUMBER(F297),IF(Compare!$H$5="All mapped",TRUE(),IF(Compare!$H$5="EXACT only",J297="EXACT",OR(J297="EXACT",J297="CLOSE")))),"yes","no")</f>
        <v>yes</v>
      </c>
      <c r="AF297" s="109" t="n">
        <f aca="false">IF(ISNUMBER(H297),COUNTIFS($B$7:$B$3000,B297,$C$7:$C$3000,C297,$H$7:$H$3000,"&lt;"&amp;H297,$AH$7:$AH$3000,"yes")+COUNTIFS($B$7:B297,B297,$C$7:C297,C297,$H$7:H297,H297,$AH$7:AH297,"yes"),"")</f>
        <v>5</v>
      </c>
      <c r="AG297" s="109" t="n">
        <f aca="false">IF(ISNUMBER(I297),COUNTIFS($B$7:$B$3000,B297,$C$7:$C$3000,C297,$I$7:$I$3000,"&lt;"&amp;I297,$AI$7:$AI$3000,"yes")+COUNTIFS($B$7:B297,B297,$C$7:C297,C297,$I$7:I297,I297,$AI$7:AI297,"yes"),"")</f>
        <v>5</v>
      </c>
      <c r="AH297" s="109" t="str">
        <f aca="false">IF(ISNUMBER(H297),"yes","no")</f>
        <v>yes</v>
      </c>
      <c r="AI297" s="109" t="str">
        <f aca="false">IF(ISNUMBER(I297),"yes","no")</f>
        <v>yes</v>
      </c>
      <c r="AJ297" s="116" t="n">
        <v>46199</v>
      </c>
      <c r="AK297" s="109"/>
    </row>
    <row r="298" customFormat="false" ht="42" hidden="false" customHeight="true" outlineLevel="0" collapsed="false">
      <c r="A298" s="3"/>
      <c r="B298" s="36" t="s">
        <v>35</v>
      </c>
      <c r="C298" s="98" t="s">
        <v>13</v>
      </c>
      <c r="D298" s="98" t="s">
        <v>546</v>
      </c>
      <c r="E298" s="110" t="s">
        <v>1268</v>
      </c>
      <c r="F298" s="99" t="n">
        <v>3087</v>
      </c>
      <c r="G298" s="98" t="s">
        <v>490</v>
      </c>
      <c r="H298" s="112" t="n">
        <f aca="false">IF(AND(AE298="yes",ISNUMBER(AD298)),AD298,"")</f>
        <v>3087</v>
      </c>
      <c r="I298" s="95" t="n">
        <f aca="false">IF(AND(AE298="yes",ISNUMBER(AD298),ISNUMBER(INDEX(Sources!$G$7:$G$10,MATCH(AB298,Sources!$B$7:$B$10,0)))),ROUND(AD298/INDEX(Sources!$G$7:$G$10,MATCH(AB298,Sources!$B$7:$B$10,0)),6),"")</f>
        <v>8.431892</v>
      </c>
      <c r="J298" s="98" t="s">
        <v>530</v>
      </c>
      <c r="K298" s="98" t="s">
        <v>1202</v>
      </c>
      <c r="L298" s="96"/>
      <c r="M298" s="110" t="s">
        <v>1203</v>
      </c>
      <c r="N298" s="117" t="s">
        <v>1271</v>
      </c>
      <c r="O298" s="110"/>
      <c r="P298" s="110"/>
      <c r="Q298" s="118"/>
      <c r="R298" s="110"/>
      <c r="S298" s="110"/>
      <c r="T298" s="110"/>
      <c r="U298" s="110" t="s">
        <v>1269</v>
      </c>
      <c r="V298" s="119"/>
      <c r="W298" s="119" t="n">
        <v>3087</v>
      </c>
      <c r="X298" s="110" t="s">
        <v>535</v>
      </c>
      <c r="Y298" s="110" t="s">
        <v>1018</v>
      </c>
      <c r="Z298" s="110"/>
      <c r="AA298" s="110" t="s">
        <v>537</v>
      </c>
      <c r="AB298" s="110" t="s">
        <v>490</v>
      </c>
      <c r="AC298" s="110" t="s">
        <v>538</v>
      </c>
      <c r="AD298" s="119" t="n">
        <f aca="false">IF(ISNUMBER(F298),IF(G298=AB298,F298,IF(AND(ISNUMBER(INDEX(Sources!$G$7:$G$10,MATCH(G298,Sources!$B$7:$B$10,0))),ISNUMBER(INDEX(Sources!$G$7:$G$10,MATCH(AB298,Sources!$B$7:$B$10,0)))),F298/INDEX(Sources!$G$7:$G$10,MATCH(G298,Sources!$B$7:$B$10,0))*INDEX(Sources!$G$7:$G$10,MATCH(AB298,Sources!$B$7:$B$10,0)),"")),"")</f>
        <v>3087</v>
      </c>
      <c r="AE298" s="110" t="str">
        <f aca="false">IF(AND(AC298="yes",ISNUMBER(F298),IF(Compare!$H$5="All mapped",TRUE(),IF(Compare!$H$5="EXACT only",J298="EXACT",OR(J298="EXACT",J298="CLOSE")))),"yes","no")</f>
        <v>yes</v>
      </c>
      <c r="AF298" s="110" t="n">
        <f aca="false">IF(ISNUMBER(H298),COUNTIFS($B$7:$B$3000,B298,$C$7:$C$3000,C298,$H$7:$H$3000,"&lt;"&amp;H298,$AH$7:$AH$3000,"yes")+COUNTIFS($B$7:B298,B298,$C$7:C298,C298,$H$7:H298,H298,$AH$7:AH298,"yes"),"")</f>
        <v>6</v>
      </c>
      <c r="AG298" s="110" t="n">
        <f aca="false">IF(ISNUMBER(I298),COUNTIFS($B$7:$B$3000,B298,$C$7:$C$3000,C298,$I$7:$I$3000,"&lt;"&amp;I298,$AI$7:$AI$3000,"yes")+COUNTIFS($B$7:B298,B298,$C$7:C298,C298,$I$7:I298,I298,$AI$7:AI298,"yes"),"")</f>
        <v>6</v>
      </c>
      <c r="AH298" s="110" t="str">
        <f aca="false">IF(ISNUMBER(H298),"yes","no")</f>
        <v>yes</v>
      </c>
      <c r="AI298" s="110" t="str">
        <f aca="false">IF(ISNUMBER(I298),"yes","no")</f>
        <v>yes</v>
      </c>
      <c r="AJ298" s="120" t="n">
        <v>46199</v>
      </c>
      <c r="AK298" s="110"/>
    </row>
    <row r="299" customFormat="false" ht="42" hidden="false" customHeight="true" outlineLevel="0" collapsed="false">
      <c r="A299" s="3"/>
      <c r="B299" s="31" t="s">
        <v>35</v>
      </c>
      <c r="C299" s="91" t="s">
        <v>13</v>
      </c>
      <c r="D299" s="91" t="s">
        <v>548</v>
      </c>
      <c r="E299" s="109" t="s">
        <v>1268</v>
      </c>
      <c r="F299" s="92" t="n">
        <v>2536</v>
      </c>
      <c r="G299" s="91" t="s">
        <v>490</v>
      </c>
      <c r="H299" s="112" t="n">
        <f aca="false">IF(AND(AE299="yes",ISNUMBER(AD299)),AD299,"")</f>
        <v>2536</v>
      </c>
      <c r="I299" s="95" t="n">
        <f aca="false">IF(AND(AE299="yes",ISNUMBER(AD299),ISNUMBER(INDEX(Sources!$G$7:$G$10,MATCH(AB299,Sources!$B$7:$B$10,0)))),ROUND(AD299/INDEX(Sources!$G$7:$G$10,MATCH(AB299,Sources!$B$7:$B$10,0)),6),"")</f>
        <v>6.92688</v>
      </c>
      <c r="J299" s="91" t="s">
        <v>530</v>
      </c>
      <c r="K299" s="91" t="s">
        <v>1202</v>
      </c>
      <c r="L299" s="96"/>
      <c r="M299" s="109" t="s">
        <v>1203</v>
      </c>
      <c r="N299" s="113" t="s">
        <v>1272</v>
      </c>
      <c r="O299" s="109"/>
      <c r="P299" s="109"/>
      <c r="Q299" s="114"/>
      <c r="R299" s="109"/>
      <c r="S299" s="109"/>
      <c r="T299" s="109"/>
      <c r="U299" s="109" t="s">
        <v>1273</v>
      </c>
      <c r="V299" s="115"/>
      <c r="W299" s="115" t="n">
        <v>2536</v>
      </c>
      <c r="X299" s="109" t="s">
        <v>535</v>
      </c>
      <c r="Y299" s="109" t="s">
        <v>1018</v>
      </c>
      <c r="Z299" s="109"/>
      <c r="AA299" s="109" t="s">
        <v>537</v>
      </c>
      <c r="AB299" s="109" t="s">
        <v>490</v>
      </c>
      <c r="AC299" s="109" t="s">
        <v>538</v>
      </c>
      <c r="AD299" s="115" t="n">
        <f aca="false">IF(ISNUMBER(F299),IF(G299=AB299,F299,IF(AND(ISNUMBER(INDEX(Sources!$G$7:$G$10,MATCH(G299,Sources!$B$7:$B$10,0))),ISNUMBER(INDEX(Sources!$G$7:$G$10,MATCH(AB299,Sources!$B$7:$B$10,0)))),F299/INDEX(Sources!$G$7:$G$10,MATCH(G299,Sources!$B$7:$B$10,0))*INDEX(Sources!$G$7:$G$10,MATCH(AB299,Sources!$B$7:$B$10,0)),"")),"")</f>
        <v>2536</v>
      </c>
      <c r="AE299" s="109" t="str">
        <f aca="false">IF(AND(AC299="yes",ISNUMBER(F299),IF(Compare!$H$5="All mapped",TRUE(),IF(Compare!$H$5="EXACT only",J299="EXACT",OR(J299="EXACT",J299="CLOSE")))),"yes","no")</f>
        <v>yes</v>
      </c>
      <c r="AF299" s="109" t="n">
        <f aca="false">IF(ISNUMBER(H299),COUNTIFS($B$7:$B$3000,B299,$C$7:$C$3000,C299,$H$7:$H$3000,"&lt;"&amp;H299,$AH$7:$AH$3000,"yes")+COUNTIFS($B$7:B299,B299,$C$7:C299,C299,$H$7:H299,H299,$AH$7:AH299,"yes"),"")</f>
        <v>4</v>
      </c>
      <c r="AG299" s="109" t="n">
        <f aca="false">IF(ISNUMBER(I299),COUNTIFS($B$7:$B$3000,B299,$C$7:$C$3000,C299,$I$7:$I$3000,"&lt;"&amp;I299,$AI$7:$AI$3000,"yes")+COUNTIFS($B$7:B299,B299,$C$7:C299,C299,$I$7:I299,I299,$AI$7:AI299,"yes"),"")</f>
        <v>4</v>
      </c>
      <c r="AH299" s="109" t="str">
        <f aca="false">IF(ISNUMBER(H299),"yes","no")</f>
        <v>yes</v>
      </c>
      <c r="AI299" s="109" t="str">
        <f aca="false">IF(ISNUMBER(I299),"yes","no")</f>
        <v>yes</v>
      </c>
      <c r="AJ299" s="116" t="n">
        <v>46199</v>
      </c>
      <c r="AK299" s="109"/>
    </row>
    <row r="300" customFormat="false" ht="42" hidden="false" customHeight="true" outlineLevel="0" collapsed="false">
      <c r="A300" s="3"/>
      <c r="B300" s="36" t="s">
        <v>35</v>
      </c>
      <c r="C300" s="98" t="s">
        <v>13</v>
      </c>
      <c r="D300" s="98" t="s">
        <v>548</v>
      </c>
      <c r="E300" s="110" t="s">
        <v>1274</v>
      </c>
      <c r="F300" s="99" t="n">
        <v>7147</v>
      </c>
      <c r="G300" s="98" t="s">
        <v>490</v>
      </c>
      <c r="H300" s="112" t="n">
        <f aca="false">IF(AND(AE300="yes",ISNUMBER(AD300)),AD300,"")</f>
        <v>7147</v>
      </c>
      <c r="I300" s="95" t="n">
        <f aca="false">IF(AND(AE300="yes",ISNUMBER(AD300),ISNUMBER(INDEX(Sources!$G$7:$G$10,MATCH(AB300,Sources!$B$7:$B$10,0)))),ROUND(AD300/INDEX(Sources!$G$7:$G$10,MATCH(AB300,Sources!$B$7:$B$10,0)),6),"")</f>
        <v>19.521455</v>
      </c>
      <c r="J300" s="98" t="s">
        <v>530</v>
      </c>
      <c r="K300" s="98" t="s">
        <v>1202</v>
      </c>
      <c r="L300" s="96"/>
      <c r="M300" s="110" t="s">
        <v>1203</v>
      </c>
      <c r="N300" s="117" t="s">
        <v>1272</v>
      </c>
      <c r="O300" s="110"/>
      <c r="P300" s="110"/>
      <c r="Q300" s="118"/>
      <c r="R300" s="110"/>
      <c r="S300" s="110"/>
      <c r="T300" s="110"/>
      <c r="U300" s="110" t="s">
        <v>1269</v>
      </c>
      <c r="V300" s="119"/>
      <c r="W300" s="119" t="n">
        <v>7147</v>
      </c>
      <c r="X300" s="110" t="s">
        <v>535</v>
      </c>
      <c r="Y300" s="110" t="s">
        <v>1018</v>
      </c>
      <c r="Z300" s="110"/>
      <c r="AA300" s="110" t="s">
        <v>537</v>
      </c>
      <c r="AB300" s="110" t="s">
        <v>490</v>
      </c>
      <c r="AC300" s="110" t="s">
        <v>538</v>
      </c>
      <c r="AD300" s="119" t="n">
        <f aca="false">IF(ISNUMBER(F300),IF(G300=AB300,F300,IF(AND(ISNUMBER(INDEX(Sources!$G$7:$G$10,MATCH(G300,Sources!$B$7:$B$10,0))),ISNUMBER(INDEX(Sources!$G$7:$G$10,MATCH(AB300,Sources!$B$7:$B$10,0)))),F300/INDEX(Sources!$G$7:$G$10,MATCH(G300,Sources!$B$7:$B$10,0))*INDEX(Sources!$G$7:$G$10,MATCH(AB300,Sources!$B$7:$B$10,0)),"")),"")</f>
        <v>7147</v>
      </c>
      <c r="AE300" s="110" t="str">
        <f aca="false">IF(AND(AC300="yes",ISNUMBER(F300),IF(Compare!$H$5="All mapped",TRUE(),IF(Compare!$H$5="EXACT only",J300="EXACT",OR(J300="EXACT",J300="CLOSE")))),"yes","no")</f>
        <v>yes</v>
      </c>
      <c r="AF300" s="110" t="n">
        <f aca="false">IF(ISNUMBER(H300),COUNTIFS($B$7:$B$3000,B300,$C$7:$C$3000,C300,$H$7:$H$3000,"&lt;"&amp;H300,$AH$7:$AH$3000,"yes")+COUNTIFS($B$7:B300,B300,$C$7:C300,C300,$H$7:H300,H300,$AH$7:AH300,"yes"),"")</f>
        <v>8</v>
      </c>
      <c r="AG300" s="110" t="n">
        <f aca="false">IF(ISNUMBER(I300),COUNTIFS($B$7:$B$3000,B300,$C$7:$C$3000,C300,$I$7:$I$3000,"&lt;"&amp;I300,$AI$7:$AI$3000,"yes")+COUNTIFS($B$7:B300,B300,$C$7:C300,C300,$I$7:I300,I300,$AI$7:AI300,"yes"),"")</f>
        <v>8</v>
      </c>
      <c r="AH300" s="110" t="str">
        <f aca="false">IF(ISNUMBER(H300),"yes","no")</f>
        <v>yes</v>
      </c>
      <c r="AI300" s="110" t="str">
        <f aca="false">IF(ISNUMBER(I300),"yes","no")</f>
        <v>yes</v>
      </c>
      <c r="AJ300" s="120" t="n">
        <v>46199</v>
      </c>
      <c r="AK300" s="110"/>
    </row>
    <row r="301" customFormat="false" ht="42" hidden="false" customHeight="true" outlineLevel="0" collapsed="false">
      <c r="A301" s="3"/>
      <c r="B301" s="31" t="s">
        <v>35</v>
      </c>
      <c r="C301" s="91" t="s">
        <v>13</v>
      </c>
      <c r="D301" s="91" t="s">
        <v>1087</v>
      </c>
      <c r="E301" s="109" t="s">
        <v>1268</v>
      </c>
      <c r="F301" s="92" t="n">
        <v>2290</v>
      </c>
      <c r="G301" s="91" t="s">
        <v>490</v>
      </c>
      <c r="H301" s="112" t="n">
        <f aca="false">IF(AND(AE301="yes",ISNUMBER(AD301)),AD301,"")</f>
        <v>2290</v>
      </c>
      <c r="I301" s="95" t="n">
        <f aca="false">IF(AND(AE301="yes",ISNUMBER(AD301),ISNUMBER(INDEX(Sources!$G$7:$G$10,MATCH(AB301,Sources!$B$7:$B$10,0)))),ROUND(AD301/INDEX(Sources!$G$7:$G$10,MATCH(AB301,Sources!$B$7:$B$10,0)),6),"")</f>
        <v>6.254951</v>
      </c>
      <c r="J301" s="91" t="s">
        <v>530</v>
      </c>
      <c r="K301" s="91" t="s">
        <v>1202</v>
      </c>
      <c r="L301" s="96"/>
      <c r="M301" s="109" t="s">
        <v>1203</v>
      </c>
      <c r="N301" s="113" t="s">
        <v>1207</v>
      </c>
      <c r="O301" s="109"/>
      <c r="P301" s="109"/>
      <c r="Q301" s="114"/>
      <c r="R301" s="109"/>
      <c r="S301" s="109"/>
      <c r="T301" s="109"/>
      <c r="U301" s="109" t="s">
        <v>1269</v>
      </c>
      <c r="V301" s="115"/>
      <c r="W301" s="115" t="n">
        <v>2290</v>
      </c>
      <c r="X301" s="109" t="s">
        <v>535</v>
      </c>
      <c r="Y301" s="109" t="s">
        <v>1018</v>
      </c>
      <c r="Z301" s="109"/>
      <c r="AA301" s="109" t="s">
        <v>537</v>
      </c>
      <c r="AB301" s="109" t="s">
        <v>490</v>
      </c>
      <c r="AC301" s="109" t="s">
        <v>538</v>
      </c>
      <c r="AD301" s="115" t="n">
        <f aca="false">IF(ISNUMBER(F301),IF(G301=AB301,F301,IF(AND(ISNUMBER(INDEX(Sources!$G$7:$G$10,MATCH(G301,Sources!$B$7:$B$10,0))),ISNUMBER(INDEX(Sources!$G$7:$G$10,MATCH(AB301,Sources!$B$7:$B$10,0)))),F301/INDEX(Sources!$G$7:$G$10,MATCH(G301,Sources!$B$7:$B$10,0))*INDEX(Sources!$G$7:$G$10,MATCH(AB301,Sources!$B$7:$B$10,0)),"")),"")</f>
        <v>2290</v>
      </c>
      <c r="AE301" s="109" t="str">
        <f aca="false">IF(AND(AC301="yes",ISNUMBER(F301),IF(Compare!$H$5="All mapped",TRUE(),IF(Compare!$H$5="EXACT only",J301="EXACT",OR(J301="EXACT",J301="CLOSE")))),"yes","no")</f>
        <v>yes</v>
      </c>
      <c r="AF301" s="109" t="n">
        <f aca="false">IF(ISNUMBER(H301),COUNTIFS($B$7:$B$3000,B301,$C$7:$C$3000,C301,$H$7:$H$3000,"&lt;"&amp;H301,$AH$7:$AH$3000,"yes")+COUNTIFS($B$7:B301,B301,$C$7:C301,C301,$H$7:H301,H301,$AH$7:AH301,"yes"),"")</f>
        <v>3</v>
      </c>
      <c r="AG301" s="109" t="n">
        <f aca="false">IF(ISNUMBER(I301),COUNTIFS($B$7:$B$3000,B301,$C$7:$C$3000,C301,$I$7:$I$3000,"&lt;"&amp;I301,$AI$7:$AI$3000,"yes")+COUNTIFS($B$7:B301,B301,$C$7:C301,C301,$I$7:I301,I301,$AI$7:AI301,"yes"),"")</f>
        <v>3</v>
      </c>
      <c r="AH301" s="109" t="str">
        <f aca="false">IF(ISNUMBER(H301),"yes","no")</f>
        <v>yes</v>
      </c>
      <c r="AI301" s="109" t="str">
        <f aca="false">IF(ISNUMBER(I301),"yes","no")</f>
        <v>yes</v>
      </c>
      <c r="AJ301" s="116" t="n">
        <v>46199</v>
      </c>
      <c r="AK301" s="109"/>
    </row>
    <row r="302" customFormat="false" ht="42" hidden="false" customHeight="true" outlineLevel="0" collapsed="false">
      <c r="A302" s="3"/>
      <c r="B302" s="36" t="s">
        <v>35</v>
      </c>
      <c r="C302" s="98" t="s">
        <v>13</v>
      </c>
      <c r="D302" s="98" t="s">
        <v>550</v>
      </c>
      <c r="E302" s="110" t="s">
        <v>1268</v>
      </c>
      <c r="F302" s="99" t="n">
        <v>3400</v>
      </c>
      <c r="G302" s="98" t="s">
        <v>490</v>
      </c>
      <c r="H302" s="112" t="n">
        <f aca="false">IF(AND(AE302="yes",ISNUMBER(AD302)),AD302,"")</f>
        <v>3400</v>
      </c>
      <c r="I302" s="95" t="n">
        <f aca="false">IF(AND(AE302="yes",ISNUMBER(AD302),ISNUMBER(INDEX(Sources!$G$7:$G$10,MATCH(AB302,Sources!$B$7:$B$10,0)))),ROUND(AD302/INDEX(Sources!$G$7:$G$10,MATCH(AB302,Sources!$B$7:$B$10,0)),6),"")</f>
        <v>9.286826</v>
      </c>
      <c r="J302" s="98" t="s">
        <v>530</v>
      </c>
      <c r="K302" s="98" t="s">
        <v>1202</v>
      </c>
      <c r="L302" s="96"/>
      <c r="M302" s="110" t="s">
        <v>1203</v>
      </c>
      <c r="N302" s="117" t="s">
        <v>1275</v>
      </c>
      <c r="O302" s="110"/>
      <c r="P302" s="110"/>
      <c r="Q302" s="118"/>
      <c r="R302" s="110"/>
      <c r="S302" s="110"/>
      <c r="T302" s="110"/>
      <c r="U302" s="110" t="s">
        <v>1269</v>
      </c>
      <c r="V302" s="119"/>
      <c r="W302" s="119" t="n">
        <v>3400</v>
      </c>
      <c r="X302" s="110" t="s">
        <v>535</v>
      </c>
      <c r="Y302" s="110" t="s">
        <v>1018</v>
      </c>
      <c r="Z302" s="110"/>
      <c r="AA302" s="110" t="s">
        <v>537</v>
      </c>
      <c r="AB302" s="110" t="s">
        <v>490</v>
      </c>
      <c r="AC302" s="110" t="s">
        <v>538</v>
      </c>
      <c r="AD302" s="119" t="n">
        <f aca="false">IF(ISNUMBER(F302),IF(G302=AB302,F302,IF(AND(ISNUMBER(INDEX(Sources!$G$7:$G$10,MATCH(G302,Sources!$B$7:$B$10,0))),ISNUMBER(INDEX(Sources!$G$7:$G$10,MATCH(AB302,Sources!$B$7:$B$10,0)))),F302/INDEX(Sources!$G$7:$G$10,MATCH(G302,Sources!$B$7:$B$10,0))*INDEX(Sources!$G$7:$G$10,MATCH(AB302,Sources!$B$7:$B$10,0)),"")),"")</f>
        <v>3400</v>
      </c>
      <c r="AE302" s="110" t="str">
        <f aca="false">IF(AND(AC302="yes",ISNUMBER(F302),IF(Compare!$H$5="All mapped",TRUE(),IF(Compare!$H$5="EXACT only",J302="EXACT",OR(J302="EXACT",J302="CLOSE")))),"yes","no")</f>
        <v>yes</v>
      </c>
      <c r="AF302" s="110" t="n">
        <f aca="false">IF(ISNUMBER(H302),COUNTIFS($B$7:$B$3000,B302,$C$7:$C$3000,C302,$H$7:$H$3000,"&lt;"&amp;H302,$AH$7:$AH$3000,"yes")+COUNTIFS($B$7:B302,B302,$C$7:C302,C302,$H$7:H302,H302,$AH$7:AH302,"yes"),"")</f>
        <v>7</v>
      </c>
      <c r="AG302" s="110" t="n">
        <f aca="false">IF(ISNUMBER(I302),COUNTIFS($B$7:$B$3000,B302,$C$7:$C$3000,C302,$I$7:$I$3000,"&lt;"&amp;I302,$AI$7:$AI$3000,"yes")+COUNTIFS($B$7:B302,B302,$C$7:C302,C302,$I$7:I302,I302,$AI$7:AI302,"yes"),"")</f>
        <v>7</v>
      </c>
      <c r="AH302" s="110" t="str">
        <f aca="false">IF(ISNUMBER(H302),"yes","no")</f>
        <v>yes</v>
      </c>
      <c r="AI302" s="110" t="str">
        <f aca="false">IF(ISNUMBER(I302),"yes","no")</f>
        <v>yes</v>
      </c>
      <c r="AJ302" s="120" t="n">
        <v>46199</v>
      </c>
      <c r="AK302" s="110"/>
    </row>
    <row r="303" customFormat="false" ht="42" hidden="false" customHeight="true" outlineLevel="0" collapsed="false">
      <c r="A303" s="3"/>
      <c r="B303" s="31" t="s">
        <v>35</v>
      </c>
      <c r="C303" s="91" t="s">
        <v>14</v>
      </c>
      <c r="D303" s="91" t="s">
        <v>373</v>
      </c>
      <c r="E303" s="109" t="s">
        <v>1276</v>
      </c>
      <c r="F303" s="92" t="n">
        <v>45.12</v>
      </c>
      <c r="G303" s="91" t="s">
        <v>374</v>
      </c>
      <c r="H303" s="112" t="n">
        <f aca="false">IF(AND(AE303="yes",ISNUMBER(AD303)),AD303,"")</f>
        <v>45.12</v>
      </c>
      <c r="I303" s="95" t="n">
        <f aca="false">IF(AND(AE303="yes",ISNUMBER(AD303),ISNUMBER(INDEX(Sources!$G$7:$G$10,MATCH(AB303,Sources!$B$7:$B$10,0)))),ROUND(AD303/INDEX(Sources!$G$7:$G$10,MATCH(AB303,Sources!$B$7:$B$10,0)),6),"")</f>
        <v>8.549273</v>
      </c>
      <c r="J303" s="91" t="s">
        <v>530</v>
      </c>
      <c r="K303" s="91" t="s">
        <v>788</v>
      </c>
      <c r="L303" s="96"/>
      <c r="M303" s="109"/>
      <c r="N303" s="113" t="s">
        <v>1277</v>
      </c>
      <c r="O303" s="109" t="s">
        <v>1278</v>
      </c>
      <c r="P303" s="109"/>
      <c r="Q303" s="114"/>
      <c r="R303" s="109"/>
      <c r="S303" s="109"/>
      <c r="T303" s="109"/>
      <c r="U303" s="109" t="s">
        <v>1279</v>
      </c>
      <c r="V303" s="115"/>
      <c r="W303" s="115" t="n">
        <v>9.024</v>
      </c>
      <c r="X303" s="109" t="s">
        <v>556</v>
      </c>
      <c r="Y303" s="109" t="s">
        <v>557</v>
      </c>
      <c r="Z303" s="109"/>
      <c r="AA303" s="109"/>
      <c r="AB303" s="109" t="s">
        <v>374</v>
      </c>
      <c r="AC303" s="109" t="s">
        <v>538</v>
      </c>
      <c r="AD303" s="115" t="n">
        <f aca="false">IF(ISNUMBER(F303),IF(G303=AB303,F303,IF(AND(ISNUMBER(INDEX(Sources!$G$7:$G$10,MATCH(G303,Sources!$B$7:$B$10,0))),ISNUMBER(INDEX(Sources!$G$7:$G$10,MATCH(AB303,Sources!$B$7:$B$10,0)))),F303/INDEX(Sources!$G$7:$G$10,MATCH(G303,Sources!$B$7:$B$10,0))*INDEX(Sources!$G$7:$G$10,MATCH(AB303,Sources!$B$7:$B$10,0)),"")),"")</f>
        <v>45.12</v>
      </c>
      <c r="AE303" s="109" t="str">
        <f aca="false">IF(AND(AC303="yes",ISNUMBER(F303),IF(Compare!$H$5="All mapped",TRUE(),IF(Compare!$H$5="EXACT only",J303="EXACT",OR(J303="EXACT",J303="CLOSE")))),"yes","no")</f>
        <v>yes</v>
      </c>
      <c r="AF303" s="109" t="n">
        <f aca="false">IF(ISNUMBER(H303),COUNTIFS($B$7:$B$3000,B303,$C$7:$C$3000,C303,$H$7:$H$3000,"&lt;"&amp;H303,$AH$7:$AH$3000,"yes")+COUNTIFS($B$7:B303,B303,$C$7:C303,C303,$H$7:H303,H303,$AH$7:AH303,"yes"),"")</f>
        <v>5</v>
      </c>
      <c r="AG303" s="109" t="n">
        <f aca="false">IF(ISNUMBER(I303),COUNTIFS($B$7:$B$3000,B303,$C$7:$C$3000,C303,$I$7:$I$3000,"&lt;"&amp;I303,$AI$7:$AI$3000,"yes")+COUNTIFS($B$7:B303,B303,$C$7:C303,C303,$I$7:I303,I303,$AI$7:AI303,"yes"),"")</f>
        <v>5</v>
      </c>
      <c r="AH303" s="109" t="str">
        <f aca="false">IF(ISNUMBER(H303),"yes","no")</f>
        <v>yes</v>
      </c>
      <c r="AI303" s="109" t="str">
        <f aca="false">IF(ISNUMBER(I303),"yes","no")</f>
        <v>yes</v>
      </c>
      <c r="AJ303" s="116" t="n">
        <v>46268</v>
      </c>
      <c r="AK303" s="109"/>
    </row>
    <row r="304" customFormat="false" ht="42" hidden="false" customHeight="true" outlineLevel="0" collapsed="false">
      <c r="A304" s="3"/>
      <c r="B304" s="36" t="s">
        <v>35</v>
      </c>
      <c r="C304" s="98" t="s">
        <v>14</v>
      </c>
      <c r="D304" s="98" t="s">
        <v>378</v>
      </c>
      <c r="E304" s="110" t="s">
        <v>1280</v>
      </c>
      <c r="F304" s="99" t="n">
        <v>50.47</v>
      </c>
      <c r="G304" s="98" t="s">
        <v>374</v>
      </c>
      <c r="H304" s="112" t="n">
        <f aca="false">IF(AND(AE304="yes",ISNUMBER(AD304)),AD304,"")</f>
        <v>50.47</v>
      </c>
      <c r="I304" s="95" t="n">
        <f aca="false">IF(AND(AE304="yes",ISNUMBER(AD304),ISNUMBER(INDEX(Sources!$G$7:$G$10,MATCH(AB304,Sources!$B$7:$B$10,0)))),ROUND(AD304/INDEX(Sources!$G$7:$G$10,MATCH(AB304,Sources!$B$7:$B$10,0)),6),"")</f>
        <v>9.562984</v>
      </c>
      <c r="J304" s="98" t="s">
        <v>530</v>
      </c>
      <c r="K304" s="98" t="s">
        <v>788</v>
      </c>
      <c r="L304" s="96"/>
      <c r="M304" s="110"/>
      <c r="N304" s="117" t="s">
        <v>1281</v>
      </c>
      <c r="O304" s="110" t="s">
        <v>1095</v>
      </c>
      <c r="P304" s="110"/>
      <c r="Q304" s="118"/>
      <c r="R304" s="110"/>
      <c r="S304" s="110"/>
      <c r="T304" s="110"/>
      <c r="U304" s="110" t="s">
        <v>1279</v>
      </c>
      <c r="V304" s="119"/>
      <c r="W304" s="119" t="n">
        <v>10.094</v>
      </c>
      <c r="X304" s="110" t="s">
        <v>556</v>
      </c>
      <c r="Y304" s="110" t="s">
        <v>557</v>
      </c>
      <c r="Z304" s="110"/>
      <c r="AA304" s="110"/>
      <c r="AB304" s="110" t="s">
        <v>374</v>
      </c>
      <c r="AC304" s="110" t="s">
        <v>538</v>
      </c>
      <c r="AD304" s="119" t="n">
        <f aca="false">IF(ISNUMBER(F304),IF(G304=AB304,F304,IF(AND(ISNUMBER(INDEX(Sources!$G$7:$G$10,MATCH(G304,Sources!$B$7:$B$10,0))),ISNUMBER(INDEX(Sources!$G$7:$G$10,MATCH(AB304,Sources!$B$7:$B$10,0)))),F304/INDEX(Sources!$G$7:$G$10,MATCH(G304,Sources!$B$7:$B$10,0))*INDEX(Sources!$G$7:$G$10,MATCH(AB304,Sources!$B$7:$B$10,0)),"")),"")</f>
        <v>50.47</v>
      </c>
      <c r="AE304" s="110" t="str">
        <f aca="false">IF(AND(AC304="yes",ISNUMBER(F304),IF(Compare!$H$5="All mapped",TRUE(),IF(Compare!$H$5="EXACT only",J304="EXACT",OR(J304="EXACT",J304="CLOSE")))),"yes","no")</f>
        <v>yes</v>
      </c>
      <c r="AF304" s="110" t="n">
        <f aca="false">IF(ISNUMBER(H304),COUNTIFS($B$7:$B$3000,B304,$C$7:$C$3000,C304,$H$7:$H$3000,"&lt;"&amp;H304,$AH$7:$AH$3000,"yes")+COUNTIFS($B$7:B304,B304,$C$7:C304,C304,$H$7:H304,H304,$AH$7:AH304,"yes"),"")</f>
        <v>6</v>
      </c>
      <c r="AG304" s="110" t="n">
        <f aca="false">IF(ISNUMBER(I304),COUNTIFS($B$7:$B$3000,B304,$C$7:$C$3000,C304,$I$7:$I$3000,"&lt;"&amp;I304,$AI$7:$AI$3000,"yes")+COUNTIFS($B$7:B304,B304,$C$7:C304,C304,$I$7:I304,I304,$AI$7:AI304,"yes"),"")</f>
        <v>6</v>
      </c>
      <c r="AH304" s="110" t="str">
        <f aca="false">IF(ISNUMBER(H304),"yes","no")</f>
        <v>yes</v>
      </c>
      <c r="AI304" s="110" t="str">
        <f aca="false">IF(ISNUMBER(I304),"yes","no")</f>
        <v>yes</v>
      </c>
      <c r="AJ304" s="120" t="n">
        <v>46268</v>
      </c>
      <c r="AK304" s="110"/>
    </row>
    <row r="305" customFormat="false" ht="42" hidden="false" customHeight="true" outlineLevel="0" collapsed="false">
      <c r="A305" s="3"/>
      <c r="B305" s="31" t="s">
        <v>35</v>
      </c>
      <c r="C305" s="91" t="s">
        <v>14</v>
      </c>
      <c r="D305" s="91" t="s">
        <v>346</v>
      </c>
      <c r="E305" s="109" t="s">
        <v>1280</v>
      </c>
      <c r="F305" s="92" t="n">
        <v>62.24</v>
      </c>
      <c r="G305" s="91" t="s">
        <v>374</v>
      </c>
      <c r="H305" s="112" t="n">
        <f aca="false">IF(AND(AE305="yes",ISNUMBER(AD305)),AD305,"")</f>
        <v>62.24</v>
      </c>
      <c r="I305" s="95" t="n">
        <f aca="false">IF(AND(AE305="yes",ISNUMBER(AD305),ISNUMBER(INDEX(Sources!$G$7:$G$10,MATCH(AB305,Sources!$B$7:$B$10,0)))),ROUND(AD305/INDEX(Sources!$G$7:$G$10,MATCH(AB305,Sources!$B$7:$B$10,0)),6),"")</f>
        <v>11.793146</v>
      </c>
      <c r="J305" s="91" t="s">
        <v>530</v>
      </c>
      <c r="K305" s="91" t="s">
        <v>788</v>
      </c>
      <c r="L305" s="96"/>
      <c r="M305" s="109" t="s">
        <v>729</v>
      </c>
      <c r="N305" s="113" t="s">
        <v>1282</v>
      </c>
      <c r="O305" s="109" t="s">
        <v>565</v>
      </c>
      <c r="P305" s="109"/>
      <c r="Q305" s="114"/>
      <c r="R305" s="109"/>
      <c r="S305" s="109"/>
      <c r="T305" s="109"/>
      <c r="U305" s="109" t="s">
        <v>1279</v>
      </c>
      <c r="V305" s="115"/>
      <c r="W305" s="115" t="n">
        <v>12.448</v>
      </c>
      <c r="X305" s="109" t="s">
        <v>556</v>
      </c>
      <c r="Y305" s="109" t="s">
        <v>557</v>
      </c>
      <c r="Z305" s="109"/>
      <c r="AA305" s="109"/>
      <c r="AB305" s="109" t="s">
        <v>374</v>
      </c>
      <c r="AC305" s="109" t="s">
        <v>538</v>
      </c>
      <c r="AD305" s="115" t="n">
        <f aca="false">IF(ISNUMBER(F305),IF(G305=AB305,F305,IF(AND(ISNUMBER(INDEX(Sources!$G$7:$G$10,MATCH(G305,Sources!$B$7:$B$10,0))),ISNUMBER(INDEX(Sources!$G$7:$G$10,MATCH(AB305,Sources!$B$7:$B$10,0)))),F305/INDEX(Sources!$G$7:$G$10,MATCH(G305,Sources!$B$7:$B$10,0))*INDEX(Sources!$G$7:$G$10,MATCH(AB305,Sources!$B$7:$B$10,0)),"")),"")</f>
        <v>62.24</v>
      </c>
      <c r="AE305" s="109" t="str">
        <f aca="false">IF(AND(AC305="yes",ISNUMBER(F305),IF(Compare!$H$5="All mapped",TRUE(),IF(Compare!$H$5="EXACT only",J305="EXACT",OR(J305="EXACT",J305="CLOSE")))),"yes","no")</f>
        <v>yes</v>
      </c>
      <c r="AF305" s="109" t="n">
        <f aca="false">IF(ISNUMBER(H305),COUNTIFS($B$7:$B$3000,B305,$C$7:$C$3000,C305,$H$7:$H$3000,"&lt;"&amp;H305,$AH$7:$AH$3000,"yes")+COUNTIFS($B$7:B305,B305,$C$7:C305,C305,$H$7:H305,H305,$AH$7:AH305,"yes"),"")</f>
        <v>8</v>
      </c>
      <c r="AG305" s="109" t="n">
        <f aca="false">IF(ISNUMBER(I305),COUNTIFS($B$7:$B$3000,B305,$C$7:$C$3000,C305,$I$7:$I$3000,"&lt;"&amp;I305,$AI$7:$AI$3000,"yes")+COUNTIFS($B$7:B305,B305,$C$7:C305,C305,$I$7:I305,I305,$AI$7:AI305,"yes"),"")</f>
        <v>8</v>
      </c>
      <c r="AH305" s="109" t="str">
        <f aca="false">IF(ISNUMBER(H305),"yes","no")</f>
        <v>yes</v>
      </c>
      <c r="AI305" s="109" t="str">
        <f aca="false">IF(ISNUMBER(I305),"yes","no")</f>
        <v>yes</v>
      </c>
      <c r="AJ305" s="116" t="n">
        <v>46268</v>
      </c>
      <c r="AK305" s="109"/>
    </row>
    <row r="306" customFormat="false" ht="42" hidden="false" customHeight="true" outlineLevel="0" collapsed="false">
      <c r="A306" s="3"/>
      <c r="B306" s="36" t="s">
        <v>35</v>
      </c>
      <c r="C306" s="98" t="s">
        <v>14</v>
      </c>
      <c r="D306" s="98" t="s">
        <v>391</v>
      </c>
      <c r="E306" s="110" t="s">
        <v>1280</v>
      </c>
      <c r="F306" s="99" t="n">
        <v>39.21</v>
      </c>
      <c r="G306" s="98" t="s">
        <v>374</v>
      </c>
      <c r="H306" s="112" t="n">
        <f aca="false">IF(AND(AE306="yes",ISNUMBER(AD306)),AD306,"")</f>
        <v>39.21</v>
      </c>
      <c r="I306" s="95" t="n">
        <f aca="false">IF(AND(AE306="yes",ISNUMBER(AD306),ISNUMBER(INDEX(Sources!$G$7:$G$10,MATCH(AB306,Sources!$B$7:$B$10,0)))),ROUND(AD306/INDEX(Sources!$G$7:$G$10,MATCH(AB306,Sources!$B$7:$B$10,0)),6),"")</f>
        <v>7.429455</v>
      </c>
      <c r="J306" s="98" t="s">
        <v>530</v>
      </c>
      <c r="K306" s="98" t="s">
        <v>788</v>
      </c>
      <c r="L306" s="96"/>
      <c r="M306" s="110" t="s">
        <v>1024</v>
      </c>
      <c r="N306" s="117" t="s">
        <v>1283</v>
      </c>
      <c r="O306" s="110"/>
      <c r="P306" s="110"/>
      <c r="Q306" s="118"/>
      <c r="R306" s="110"/>
      <c r="S306" s="110"/>
      <c r="T306" s="110"/>
      <c r="U306" s="110" t="s">
        <v>1269</v>
      </c>
      <c r="V306" s="119"/>
      <c r="W306" s="119" t="n">
        <v>7.842</v>
      </c>
      <c r="X306" s="110" t="s">
        <v>556</v>
      </c>
      <c r="Y306" s="110" t="s">
        <v>557</v>
      </c>
      <c r="Z306" s="110"/>
      <c r="AA306" s="110"/>
      <c r="AB306" s="110" t="s">
        <v>374</v>
      </c>
      <c r="AC306" s="110" t="s">
        <v>538</v>
      </c>
      <c r="AD306" s="119" t="n">
        <f aca="false">IF(ISNUMBER(F306),IF(G306=AB306,F306,IF(AND(ISNUMBER(INDEX(Sources!$G$7:$G$10,MATCH(G306,Sources!$B$7:$B$10,0))),ISNUMBER(INDEX(Sources!$G$7:$G$10,MATCH(AB306,Sources!$B$7:$B$10,0)))),F306/INDEX(Sources!$G$7:$G$10,MATCH(G306,Sources!$B$7:$B$10,0))*INDEX(Sources!$G$7:$G$10,MATCH(AB306,Sources!$B$7:$B$10,0)),"")),"")</f>
        <v>39.21</v>
      </c>
      <c r="AE306" s="110" t="str">
        <f aca="false">IF(AND(AC306="yes",ISNUMBER(F306),IF(Compare!$H$5="All mapped",TRUE(),IF(Compare!$H$5="EXACT only",J306="EXACT",OR(J306="EXACT",J306="CLOSE")))),"yes","no")</f>
        <v>yes</v>
      </c>
      <c r="AF306" s="110" t="n">
        <f aca="false">IF(ISNUMBER(H306),COUNTIFS($B$7:$B$3000,B306,$C$7:$C$3000,C306,$H$7:$H$3000,"&lt;"&amp;H306,$AH$7:$AH$3000,"yes")+COUNTIFS($B$7:B306,B306,$C$7:C306,C306,$H$7:H306,H306,$AH$7:AH306,"yes"),"")</f>
        <v>4</v>
      </c>
      <c r="AG306" s="110" t="n">
        <f aca="false">IF(ISNUMBER(I306),COUNTIFS($B$7:$B$3000,B306,$C$7:$C$3000,C306,$I$7:$I$3000,"&lt;"&amp;I306,$AI$7:$AI$3000,"yes")+COUNTIFS($B$7:B306,B306,$C$7:C306,C306,$I$7:I306,I306,$AI$7:AI306,"yes"),"")</f>
        <v>4</v>
      </c>
      <c r="AH306" s="110" t="str">
        <f aca="false">IF(ISNUMBER(H306),"yes","no")</f>
        <v>yes</v>
      </c>
      <c r="AI306" s="110" t="str">
        <f aca="false">IF(ISNUMBER(I306),"yes","no")</f>
        <v>yes</v>
      </c>
      <c r="AJ306" s="120" t="n">
        <v>46268</v>
      </c>
      <c r="AK306" s="110"/>
    </row>
    <row r="307" customFormat="false" ht="48.75" hidden="false" customHeight="true" outlineLevel="0" collapsed="false">
      <c r="A307" s="3"/>
      <c r="B307" s="31" t="s">
        <v>35</v>
      </c>
      <c r="C307" s="91" t="s">
        <v>14</v>
      </c>
      <c r="D307" s="91" t="s">
        <v>407</v>
      </c>
      <c r="E307" s="109" t="s">
        <v>1280</v>
      </c>
      <c r="F307" s="92" t="n">
        <v>31.93</v>
      </c>
      <c r="G307" s="91" t="s">
        <v>374</v>
      </c>
      <c r="H307" s="112" t="n">
        <f aca="false">IF(AND(AE307="yes",ISNUMBER(AD307)),AD307,"")</f>
        <v>31.93</v>
      </c>
      <c r="I307" s="95" t="n">
        <f aca="false">IF(AND(AE307="yes",ISNUMBER(AD307),ISNUMBER(INDEX(Sources!$G$7:$G$10,MATCH(AB307,Sources!$B$7:$B$10,0)))),ROUND(AD307/INDEX(Sources!$G$7:$G$10,MATCH(AB307,Sources!$B$7:$B$10,0)),6),"")</f>
        <v>6.050051</v>
      </c>
      <c r="J307" s="91" t="s">
        <v>530</v>
      </c>
      <c r="K307" s="91" t="s">
        <v>542</v>
      </c>
      <c r="L307" s="96"/>
      <c r="M307" s="109" t="s">
        <v>729</v>
      </c>
      <c r="N307" s="113" t="s">
        <v>1284</v>
      </c>
      <c r="O307" s="109"/>
      <c r="P307" s="109"/>
      <c r="Q307" s="114"/>
      <c r="R307" s="109"/>
      <c r="S307" s="109"/>
      <c r="T307" s="109"/>
      <c r="U307" s="109" t="s">
        <v>1285</v>
      </c>
      <c r="V307" s="115"/>
      <c r="W307" s="115" t="n">
        <v>6.104</v>
      </c>
      <c r="X307" s="109" t="s">
        <v>556</v>
      </c>
      <c r="Y307" s="109" t="s">
        <v>557</v>
      </c>
      <c r="Z307" s="109" t="s">
        <v>1286</v>
      </c>
      <c r="AA307" s="109"/>
      <c r="AB307" s="109" t="s">
        <v>374</v>
      </c>
      <c r="AC307" s="109" t="s">
        <v>538</v>
      </c>
      <c r="AD307" s="115" t="n">
        <f aca="false">IF(ISNUMBER(F307),IF(G307=AB307,F307,IF(AND(ISNUMBER(INDEX(Sources!$G$7:$G$10,MATCH(G307,Sources!$B$7:$B$10,0))),ISNUMBER(INDEX(Sources!$G$7:$G$10,MATCH(AB307,Sources!$B$7:$B$10,0)))),F307/INDEX(Sources!$G$7:$G$10,MATCH(G307,Sources!$B$7:$B$10,0))*INDEX(Sources!$G$7:$G$10,MATCH(AB307,Sources!$B$7:$B$10,0)),"")),"")</f>
        <v>31.93</v>
      </c>
      <c r="AE307" s="109" t="str">
        <f aca="false">IF(AND(AC307="yes",ISNUMBER(F307),IF(Compare!$H$5="All mapped",TRUE(),IF(Compare!$H$5="EXACT only",J307="EXACT",OR(J307="EXACT",J307="CLOSE")))),"yes","no")</f>
        <v>yes</v>
      </c>
      <c r="AF307" s="109" t="n">
        <f aca="false">IF(ISNUMBER(H307),COUNTIFS($B$7:$B$3000,B307,$C$7:$C$3000,C307,$H$7:$H$3000,"&lt;"&amp;H307,$AH$7:$AH$3000,"yes")+COUNTIFS($B$7:B307,B307,$C$7:C307,C307,$H$7:H307,H307,$AH$7:AH307,"yes"),"")</f>
        <v>2</v>
      </c>
      <c r="AG307" s="109" t="n">
        <f aca="false">IF(ISNUMBER(I307),COUNTIFS($B$7:$B$3000,B307,$C$7:$C$3000,C307,$I$7:$I$3000,"&lt;"&amp;I307,$AI$7:$AI$3000,"yes")+COUNTIFS($B$7:B307,B307,$C$7:C307,C307,$I$7:I307,I307,$AI$7:AI307,"yes"),"")</f>
        <v>2</v>
      </c>
      <c r="AH307" s="109" t="str">
        <f aca="false">IF(ISNUMBER(H307),"yes","no")</f>
        <v>yes</v>
      </c>
      <c r="AI307" s="109" t="str">
        <f aca="false">IF(ISNUMBER(I307),"yes","no")</f>
        <v>yes</v>
      </c>
      <c r="AJ307" s="116" t="n">
        <v>46297</v>
      </c>
      <c r="AK307" s="109"/>
    </row>
    <row r="308" customFormat="false" ht="42" hidden="false" customHeight="true" outlineLevel="0" collapsed="false">
      <c r="A308" s="3"/>
      <c r="B308" s="36" t="s">
        <v>35</v>
      </c>
      <c r="C308" s="98" t="s">
        <v>14</v>
      </c>
      <c r="D308" s="98" t="s">
        <v>381</v>
      </c>
      <c r="E308" s="110" t="s">
        <v>1280</v>
      </c>
      <c r="F308" s="99" t="n">
        <v>52.31</v>
      </c>
      <c r="G308" s="98" t="s">
        <v>374</v>
      </c>
      <c r="H308" s="112" t="n">
        <f aca="false">IF(AND(AE308="yes",ISNUMBER(AD308)),AD308,"")</f>
        <v>52.31</v>
      </c>
      <c r="I308" s="95" t="n">
        <f aca="false">IF(AND(AE308="yes",ISNUMBER(AD308),ISNUMBER(INDEX(Sources!$G$7:$G$10,MATCH(AB308,Sources!$B$7:$B$10,0)))),ROUND(AD308/INDEX(Sources!$G$7:$G$10,MATCH(AB308,Sources!$B$7:$B$10,0)),6),"")</f>
        <v>9.911624</v>
      </c>
      <c r="J308" s="98" t="s">
        <v>530</v>
      </c>
      <c r="K308" s="98" t="s">
        <v>542</v>
      </c>
      <c r="L308" s="96"/>
      <c r="M308" s="110"/>
      <c r="N308" s="117" t="s">
        <v>1287</v>
      </c>
      <c r="O308" s="110" t="s">
        <v>733</v>
      </c>
      <c r="P308" s="110"/>
      <c r="Q308" s="118"/>
      <c r="R308" s="110"/>
      <c r="S308" s="110"/>
      <c r="T308" s="110"/>
      <c r="U308" s="110" t="s">
        <v>1288</v>
      </c>
      <c r="V308" s="119"/>
      <c r="W308" s="119" t="n">
        <v>9.998</v>
      </c>
      <c r="X308" s="110" t="s">
        <v>556</v>
      </c>
      <c r="Y308" s="110" t="s">
        <v>557</v>
      </c>
      <c r="Z308" s="110"/>
      <c r="AA308" s="110"/>
      <c r="AB308" s="110" t="s">
        <v>374</v>
      </c>
      <c r="AC308" s="110" t="s">
        <v>538</v>
      </c>
      <c r="AD308" s="119" t="n">
        <f aca="false">IF(ISNUMBER(F308),IF(G308=AB308,F308,IF(AND(ISNUMBER(INDEX(Sources!$G$7:$G$10,MATCH(G308,Sources!$B$7:$B$10,0))),ISNUMBER(INDEX(Sources!$G$7:$G$10,MATCH(AB308,Sources!$B$7:$B$10,0)))),F308/INDEX(Sources!$G$7:$G$10,MATCH(G308,Sources!$B$7:$B$10,0))*INDEX(Sources!$G$7:$G$10,MATCH(AB308,Sources!$B$7:$B$10,0)),"")),"")</f>
        <v>52.31</v>
      </c>
      <c r="AE308" s="110" t="str">
        <f aca="false">IF(AND(AC308="yes",ISNUMBER(F308),IF(Compare!$H$5="All mapped",TRUE(),IF(Compare!$H$5="EXACT only",J308="EXACT",OR(J308="EXACT",J308="CLOSE")))),"yes","no")</f>
        <v>yes</v>
      </c>
      <c r="AF308" s="110" t="n">
        <f aca="false">IF(ISNUMBER(H308),COUNTIFS($B$7:$B$3000,B308,$C$7:$C$3000,C308,$H$7:$H$3000,"&lt;"&amp;H308,$AH$7:$AH$3000,"yes")+COUNTIFS($B$7:B308,B308,$C$7:C308,C308,$H$7:H308,H308,$AH$7:AH308,"yes"),"")</f>
        <v>7</v>
      </c>
      <c r="AG308" s="110" t="n">
        <f aca="false">IF(ISNUMBER(I308),COUNTIFS($B$7:$B$3000,B308,$C$7:$C$3000,C308,$I$7:$I$3000,"&lt;"&amp;I308,$AI$7:$AI$3000,"yes")+COUNTIFS($B$7:B308,B308,$C$7:C308,C308,$I$7:I308,I308,$AI$7:AI308,"yes"),"")</f>
        <v>7</v>
      </c>
      <c r="AH308" s="110" t="str">
        <f aca="false">IF(ISNUMBER(H308),"yes","no")</f>
        <v>yes</v>
      </c>
      <c r="AI308" s="110" t="str">
        <f aca="false">IF(ISNUMBER(I308),"yes","no")</f>
        <v>yes</v>
      </c>
      <c r="AJ308" s="120" t="n">
        <v>46297</v>
      </c>
      <c r="AK308" s="110"/>
    </row>
    <row r="309" customFormat="false" ht="42" hidden="false" customHeight="true" outlineLevel="0" collapsed="false">
      <c r="A309" s="3"/>
      <c r="B309" s="31" t="s">
        <v>35</v>
      </c>
      <c r="C309" s="91" t="s">
        <v>14</v>
      </c>
      <c r="D309" s="91" t="s">
        <v>403</v>
      </c>
      <c r="E309" s="109" t="s">
        <v>1280</v>
      </c>
      <c r="F309" s="92" t="n">
        <v>31.68</v>
      </c>
      <c r="G309" s="91" t="s">
        <v>374</v>
      </c>
      <c r="H309" s="112" t="n">
        <f aca="false">IF(AND(AE309="yes",ISNUMBER(AD309)),AD309,"")</f>
        <v>31.68</v>
      </c>
      <c r="I309" s="95" t="n">
        <f aca="false">IF(AND(AE309="yes",ISNUMBER(AD309),ISNUMBER(INDEX(Sources!$G$7:$G$10,MATCH(AB309,Sources!$B$7:$B$10,0)))),ROUND(AD309/INDEX(Sources!$G$7:$G$10,MATCH(AB309,Sources!$B$7:$B$10,0)),6),"")</f>
        <v>6.002681</v>
      </c>
      <c r="J309" s="91" t="s">
        <v>530</v>
      </c>
      <c r="K309" s="91" t="s">
        <v>788</v>
      </c>
      <c r="L309" s="96"/>
      <c r="M309" s="109" t="s">
        <v>1024</v>
      </c>
      <c r="N309" s="113" t="s">
        <v>1289</v>
      </c>
      <c r="O309" s="109" t="s">
        <v>668</v>
      </c>
      <c r="P309" s="109"/>
      <c r="Q309" s="114"/>
      <c r="R309" s="109"/>
      <c r="S309" s="109"/>
      <c r="T309" s="109"/>
      <c r="U309" s="109" t="s">
        <v>1279</v>
      </c>
      <c r="V309" s="115"/>
      <c r="W309" s="115" t="n">
        <v>6.336</v>
      </c>
      <c r="X309" s="109" t="s">
        <v>556</v>
      </c>
      <c r="Y309" s="109" t="s">
        <v>557</v>
      </c>
      <c r="Z309" s="109"/>
      <c r="AA309" s="109"/>
      <c r="AB309" s="109" t="s">
        <v>374</v>
      </c>
      <c r="AC309" s="109" t="s">
        <v>538</v>
      </c>
      <c r="AD309" s="115" t="n">
        <f aca="false">IF(ISNUMBER(F309),IF(G309=AB309,F309,IF(AND(ISNUMBER(INDEX(Sources!$G$7:$G$10,MATCH(G309,Sources!$B$7:$B$10,0))),ISNUMBER(INDEX(Sources!$G$7:$G$10,MATCH(AB309,Sources!$B$7:$B$10,0)))),F309/INDEX(Sources!$G$7:$G$10,MATCH(G309,Sources!$B$7:$B$10,0))*INDEX(Sources!$G$7:$G$10,MATCH(AB309,Sources!$B$7:$B$10,0)),"")),"")</f>
        <v>31.68</v>
      </c>
      <c r="AE309" s="109" t="str">
        <f aca="false">IF(AND(AC309="yes",ISNUMBER(F309),IF(Compare!$H$5="All mapped",TRUE(),IF(Compare!$H$5="EXACT only",J309="EXACT",OR(J309="EXACT",J309="CLOSE")))),"yes","no")</f>
        <v>yes</v>
      </c>
      <c r="AF309" s="109" t="n">
        <f aca="false">IF(ISNUMBER(H309),COUNTIFS($B$7:$B$3000,B309,$C$7:$C$3000,C309,$H$7:$H$3000,"&lt;"&amp;H309,$AH$7:$AH$3000,"yes")+COUNTIFS($B$7:B309,B309,$C$7:C309,C309,$H$7:H309,H309,$AH$7:AH309,"yes"),"")</f>
        <v>1</v>
      </c>
      <c r="AG309" s="109" t="n">
        <f aca="false">IF(ISNUMBER(I309),COUNTIFS($B$7:$B$3000,B309,$C$7:$C$3000,C309,$I$7:$I$3000,"&lt;"&amp;I309,$AI$7:$AI$3000,"yes")+COUNTIFS($B$7:B309,B309,$C$7:C309,C309,$I$7:I309,I309,$AI$7:AI309,"yes"),"")</f>
        <v>1</v>
      </c>
      <c r="AH309" s="109" t="str">
        <f aca="false">IF(ISNUMBER(H309),"yes","no")</f>
        <v>yes</v>
      </c>
      <c r="AI309" s="109" t="str">
        <f aca="false">IF(ISNUMBER(I309),"yes","no")</f>
        <v>yes</v>
      </c>
      <c r="AJ309" s="116" t="n">
        <v>46268</v>
      </c>
      <c r="AK309" s="109"/>
    </row>
    <row r="310" customFormat="false" ht="42" hidden="false" customHeight="true" outlineLevel="0" collapsed="false">
      <c r="A310" s="3"/>
      <c r="B310" s="36" t="s">
        <v>35</v>
      </c>
      <c r="C310" s="98" t="s">
        <v>14</v>
      </c>
      <c r="D310" s="98" t="s">
        <v>403</v>
      </c>
      <c r="E310" s="110" t="s">
        <v>1280</v>
      </c>
      <c r="F310" s="99" t="n">
        <v>38.42</v>
      </c>
      <c r="G310" s="98" t="s">
        <v>374</v>
      </c>
      <c r="H310" s="112" t="n">
        <f aca="false">IF(AND(AE310="yes",ISNUMBER(AD310)),AD310,"")</f>
        <v>38.42</v>
      </c>
      <c r="I310" s="95" t="n">
        <f aca="false">IF(AND(AE310="yes",ISNUMBER(AD310),ISNUMBER(INDEX(Sources!$G$7:$G$10,MATCH(AB310,Sources!$B$7:$B$10,0)))),ROUND(AD310/INDEX(Sources!$G$7:$G$10,MATCH(AB310,Sources!$B$7:$B$10,0)),6),"")</f>
        <v>7.279767</v>
      </c>
      <c r="J310" s="98" t="s">
        <v>530</v>
      </c>
      <c r="K310" s="98" t="s">
        <v>788</v>
      </c>
      <c r="L310" s="96"/>
      <c r="M310" s="110" t="s">
        <v>1290</v>
      </c>
      <c r="N310" s="117" t="s">
        <v>1291</v>
      </c>
      <c r="O310" s="110" t="s">
        <v>1292</v>
      </c>
      <c r="P310" s="110"/>
      <c r="Q310" s="118"/>
      <c r="R310" s="110"/>
      <c r="S310" s="110"/>
      <c r="T310" s="110"/>
      <c r="U310" s="110" t="s">
        <v>1279</v>
      </c>
      <c r="V310" s="119"/>
      <c r="W310" s="119" t="n">
        <v>7.684</v>
      </c>
      <c r="X310" s="110" t="s">
        <v>556</v>
      </c>
      <c r="Y310" s="110" t="s">
        <v>557</v>
      </c>
      <c r="Z310" s="110"/>
      <c r="AA310" s="110"/>
      <c r="AB310" s="110" t="s">
        <v>374</v>
      </c>
      <c r="AC310" s="110" t="s">
        <v>538</v>
      </c>
      <c r="AD310" s="119" t="n">
        <f aca="false">IF(ISNUMBER(F310),IF(G310=AB310,F310,IF(AND(ISNUMBER(INDEX(Sources!$G$7:$G$10,MATCH(G310,Sources!$B$7:$B$10,0))),ISNUMBER(INDEX(Sources!$G$7:$G$10,MATCH(AB310,Sources!$B$7:$B$10,0)))),F310/INDEX(Sources!$G$7:$G$10,MATCH(G310,Sources!$B$7:$B$10,0))*INDEX(Sources!$G$7:$G$10,MATCH(AB310,Sources!$B$7:$B$10,0)),"")),"")</f>
        <v>38.42</v>
      </c>
      <c r="AE310" s="110" t="str">
        <f aca="false">IF(AND(AC310="yes",ISNUMBER(F310),IF(Compare!$H$5="All mapped",TRUE(),IF(Compare!$H$5="EXACT only",J310="EXACT",OR(J310="EXACT",J310="CLOSE")))),"yes","no")</f>
        <v>yes</v>
      </c>
      <c r="AF310" s="110" t="n">
        <f aca="false">IF(ISNUMBER(H310),COUNTIFS($B$7:$B$3000,B310,$C$7:$C$3000,C310,$H$7:$H$3000,"&lt;"&amp;H310,$AH$7:$AH$3000,"yes")+COUNTIFS($B$7:B310,B310,$C$7:C310,C310,$H$7:H310,H310,$AH$7:AH310,"yes"),"")</f>
        <v>3</v>
      </c>
      <c r="AG310" s="110" t="n">
        <f aca="false">IF(ISNUMBER(I310),COUNTIFS($B$7:$B$3000,B310,$C$7:$C$3000,C310,$I$7:$I$3000,"&lt;"&amp;I310,$AI$7:$AI$3000,"yes")+COUNTIFS($B$7:B310,B310,$C$7:C310,C310,$I$7:I310,I310,$AI$7:AI310,"yes"),"")</f>
        <v>3</v>
      </c>
      <c r="AH310" s="110" t="str">
        <f aca="false">IF(ISNUMBER(H310),"yes","no")</f>
        <v>yes</v>
      </c>
      <c r="AI310" s="110" t="str">
        <f aca="false">IF(ISNUMBER(I310),"yes","no")</f>
        <v>yes</v>
      </c>
      <c r="AJ310" s="120" t="n">
        <v>46268</v>
      </c>
      <c r="AK310" s="110"/>
    </row>
    <row r="311" customFormat="false" ht="42" hidden="false" customHeight="true" outlineLevel="0" collapsed="false">
      <c r="A311" s="3"/>
      <c r="B311" s="31" t="s">
        <v>35</v>
      </c>
      <c r="C311" s="91" t="s">
        <v>15</v>
      </c>
      <c r="D311" s="91" t="s">
        <v>269</v>
      </c>
      <c r="E311" s="109" t="s">
        <v>1293</v>
      </c>
      <c r="F311" s="92" t="n">
        <v>8.99</v>
      </c>
      <c r="G311" s="91" t="s">
        <v>244</v>
      </c>
      <c r="H311" s="112" t="n">
        <f aca="false">IF(AND(AE311="yes",ISNUMBER(AD311)),AD311,"")</f>
        <v>8.99</v>
      </c>
      <c r="I311" s="95" t="n">
        <f aca="false">IF(AND(AE311="yes",ISNUMBER(AD311),ISNUMBER(INDEX(Sources!$G$7:$G$10,MATCH(AB311,Sources!$B$7:$B$10,0)))),ROUND(AD311/INDEX(Sources!$G$7:$G$10,MATCH(AB311,Sources!$B$7:$B$10,0)),6),"")</f>
        <v>8.99</v>
      </c>
      <c r="J311" s="91" t="s">
        <v>530</v>
      </c>
      <c r="K311" s="91" t="s">
        <v>586</v>
      </c>
      <c r="L311" s="96"/>
      <c r="M311" s="109" t="s">
        <v>1294</v>
      </c>
      <c r="N311" s="113" t="s">
        <v>1295</v>
      </c>
      <c r="O311" s="109" t="s">
        <v>662</v>
      </c>
      <c r="P311" s="109" t="s">
        <v>590</v>
      </c>
      <c r="Q311" s="114"/>
      <c r="R311" s="109" t="n">
        <v>1</v>
      </c>
      <c r="S311" s="109"/>
      <c r="T311" s="109" t="s">
        <v>530</v>
      </c>
      <c r="U311" s="109" t="s">
        <v>591</v>
      </c>
      <c r="V311" s="115" t="n">
        <v>8.99</v>
      </c>
      <c r="W311" s="115"/>
      <c r="X311" s="109" t="s">
        <v>592</v>
      </c>
      <c r="Y311" s="109"/>
      <c r="Z311" s="109"/>
      <c r="AA311" s="109"/>
      <c r="AB311" s="109" t="s">
        <v>244</v>
      </c>
      <c r="AC311" s="109" t="s">
        <v>538</v>
      </c>
      <c r="AD311" s="109" t="n">
        <f aca="false">IF(ISNUMBER(V311),ROUND(V311,6),"")</f>
        <v>8.99</v>
      </c>
      <c r="AE311" s="109" t="str">
        <f aca="false">IF(AND(AC311="yes",ISNUMBER(F311),IF(Compare!$H$5="All mapped",TRUE(),IF(Compare!$H$5="EXACT only",J311="EXACT",OR(J311="EXACT",J311="CLOSE")))),"yes","no")</f>
        <v>yes</v>
      </c>
      <c r="AF311" s="109" t="n">
        <f aca="false">IF(ISNUMBER(H311),COUNTIFS($B$7:$B$3000,B311,$C$7:$C$3000,C311,$H$7:$H$3000,"&lt;"&amp;H311,$AH$7:$AH$3000,"yes")+COUNTIFS($B$7:B311,B311,$C$7:C311,C311,$H$7:H311,H311,$AH$7:AH311,"yes"),"")</f>
        <v>3</v>
      </c>
      <c r="AG311" s="109" t="n">
        <f aca="false">IF(ISNUMBER(I311),COUNTIFS($B$7:$B$3000,B311,$C$7:$C$3000,C311,$I$7:$I$3000,"&lt;"&amp;I311,$AI$7:$AI$3000,"yes")+COUNTIFS($B$7:B311,B311,$C$7:C311,C311,$I$7:I311,I311,$AI$7:AI311,"yes"),"")</f>
        <v>3</v>
      </c>
      <c r="AH311" s="109" t="str">
        <f aca="false">IF(ISNUMBER(H311),"yes","no")</f>
        <v>yes</v>
      </c>
      <c r="AI311" s="109" t="str">
        <f aca="false">IF(ISNUMBER(I311),"yes","no")</f>
        <v>yes</v>
      </c>
      <c r="AJ311" s="116" t="n">
        <v>46295</v>
      </c>
      <c r="AK311" s="109"/>
    </row>
    <row r="312" customFormat="false" ht="42" hidden="false" customHeight="true" outlineLevel="0" collapsed="false">
      <c r="A312" s="3"/>
      <c r="B312" s="36" t="s">
        <v>35</v>
      </c>
      <c r="C312" s="98" t="s">
        <v>15</v>
      </c>
      <c r="D312" s="98" t="s">
        <v>264</v>
      </c>
      <c r="E312" s="110" t="s">
        <v>1296</v>
      </c>
      <c r="F312" s="99" t="n">
        <v>8</v>
      </c>
      <c r="G312" s="98" t="s">
        <v>244</v>
      </c>
      <c r="H312" s="112" t="n">
        <f aca="false">IF(AND(AE312="yes",ISNUMBER(AD312)),AD312,"")</f>
        <v>8</v>
      </c>
      <c r="I312" s="95" t="n">
        <f aca="false">IF(AND(AE312="yes",ISNUMBER(AD312),ISNUMBER(INDEX(Sources!$G$7:$G$10,MATCH(AB312,Sources!$B$7:$B$10,0)))),ROUND(AD312/INDEX(Sources!$G$7:$G$10,MATCH(AB312,Sources!$B$7:$B$10,0)),6),"")</f>
        <v>8</v>
      </c>
      <c r="J312" s="98" t="s">
        <v>530</v>
      </c>
      <c r="K312" s="98" t="s">
        <v>586</v>
      </c>
      <c r="L312" s="96"/>
      <c r="M312" s="110" t="s">
        <v>1297</v>
      </c>
      <c r="N312" s="117" t="s">
        <v>1298</v>
      </c>
      <c r="O312" s="110" t="s">
        <v>646</v>
      </c>
      <c r="P312" s="110" t="s">
        <v>590</v>
      </c>
      <c r="Q312" s="118"/>
      <c r="R312" s="110" t="n">
        <v>1</v>
      </c>
      <c r="S312" s="110"/>
      <c r="T312" s="110" t="s">
        <v>530</v>
      </c>
      <c r="U312" s="110" t="s">
        <v>591</v>
      </c>
      <c r="V312" s="119" t="n">
        <v>8</v>
      </c>
      <c r="W312" s="119"/>
      <c r="X312" s="110" t="s">
        <v>592</v>
      </c>
      <c r="Y312" s="110"/>
      <c r="Z312" s="110"/>
      <c r="AA312" s="110"/>
      <c r="AB312" s="110" t="s">
        <v>244</v>
      </c>
      <c r="AC312" s="110" t="s">
        <v>538</v>
      </c>
      <c r="AD312" s="110" t="n">
        <f aca="false">IF(ISNUMBER(V312),ROUND(V312,6),"")</f>
        <v>8</v>
      </c>
      <c r="AE312" s="110" t="str">
        <f aca="false">IF(AND(AC312="yes",ISNUMBER(F312),IF(Compare!$H$5="All mapped",TRUE(),IF(Compare!$H$5="EXACT only",J312="EXACT",OR(J312="EXACT",J312="CLOSE")))),"yes","no")</f>
        <v>yes</v>
      </c>
      <c r="AF312" s="110" t="n">
        <f aca="false">IF(ISNUMBER(H312),COUNTIFS($B$7:$B$3000,B312,$C$7:$C$3000,C312,$H$7:$H$3000,"&lt;"&amp;H312,$AH$7:$AH$3000,"yes")+COUNTIFS($B$7:B312,B312,$C$7:C312,C312,$H$7:H312,H312,$AH$7:AH312,"yes"),"")</f>
        <v>2</v>
      </c>
      <c r="AG312" s="110" t="n">
        <f aca="false">IF(ISNUMBER(I312),COUNTIFS($B$7:$B$3000,B312,$C$7:$C$3000,C312,$I$7:$I$3000,"&lt;"&amp;I312,$AI$7:$AI$3000,"yes")+COUNTIFS($B$7:B312,B312,$C$7:C312,C312,$I$7:I312,I312,$AI$7:AI312,"yes"),"")</f>
        <v>2</v>
      </c>
      <c r="AH312" s="110" t="str">
        <f aca="false">IF(ISNUMBER(H312),"yes","no")</f>
        <v>yes</v>
      </c>
      <c r="AI312" s="110" t="str">
        <f aca="false">IF(ISNUMBER(I312),"yes","no")</f>
        <v>yes</v>
      </c>
      <c r="AJ312" s="120" t="n">
        <v>46295</v>
      </c>
      <c r="AK312" s="110"/>
    </row>
    <row r="313" customFormat="false" ht="42" hidden="false" customHeight="true" outlineLevel="0" collapsed="false">
      <c r="A313" s="3"/>
      <c r="B313" s="31" t="s">
        <v>35</v>
      </c>
      <c r="C313" s="91" t="s">
        <v>15</v>
      </c>
      <c r="D313" s="91" t="s">
        <v>273</v>
      </c>
      <c r="E313" s="109" t="s">
        <v>1299</v>
      </c>
      <c r="F313" s="92" t="n">
        <v>27.39</v>
      </c>
      <c r="G313" s="91" t="s">
        <v>244</v>
      </c>
      <c r="H313" s="112" t="n">
        <f aca="false">IF(AND(AE313="yes",ISNUMBER(AD313)),AD313,"")</f>
        <v>22.83</v>
      </c>
      <c r="I313" s="95" t="n">
        <f aca="false">IF(AND(AE313="yes",ISNUMBER(AD313),ISNUMBER(INDEX(Sources!$G$7:$G$10,MATCH(AB313,Sources!$B$7:$B$10,0)))),ROUND(AD313/INDEX(Sources!$G$7:$G$10,MATCH(AB313,Sources!$B$7:$B$10,0)),6),"")</f>
        <v>22.83</v>
      </c>
      <c r="J313" s="91" t="s">
        <v>530</v>
      </c>
      <c r="K313" s="91" t="s">
        <v>586</v>
      </c>
      <c r="L313" s="96"/>
      <c r="M313" s="109" t="s">
        <v>1300</v>
      </c>
      <c r="N313" s="113" t="s">
        <v>1301</v>
      </c>
      <c r="O313" s="109" t="s">
        <v>1225</v>
      </c>
      <c r="P313" s="109" t="s">
        <v>265</v>
      </c>
      <c r="Q313" s="114"/>
      <c r="R313" s="109" t="n">
        <v>1</v>
      </c>
      <c r="S313" s="109"/>
      <c r="T313" s="109" t="s">
        <v>530</v>
      </c>
      <c r="U313" s="109" t="s">
        <v>591</v>
      </c>
      <c r="V313" s="115" t="n">
        <v>22.83</v>
      </c>
      <c r="W313" s="115"/>
      <c r="X313" s="109" t="s">
        <v>592</v>
      </c>
      <c r="Y313" s="109"/>
      <c r="Z313" s="109"/>
      <c r="AA313" s="109"/>
      <c r="AB313" s="109" t="s">
        <v>244</v>
      </c>
      <c r="AC313" s="109" t="s">
        <v>538</v>
      </c>
      <c r="AD313" s="109" t="n">
        <f aca="false">IF(ISNUMBER(V313),ROUND(V313,6),"")</f>
        <v>22.83</v>
      </c>
      <c r="AE313" s="109" t="str">
        <f aca="false">IF(AND(AC313="yes",ISNUMBER(F313),IF(Compare!$H$5="All mapped",TRUE(),IF(Compare!$H$5="EXACT only",J313="EXACT",OR(J313="EXACT",J313="CLOSE")))),"yes","no")</f>
        <v>yes</v>
      </c>
      <c r="AF313" s="109" t="n">
        <f aca="false">IF(ISNUMBER(H313),COUNTIFS($B$7:$B$3000,B313,$C$7:$C$3000,C313,$H$7:$H$3000,"&lt;"&amp;H313,$AH$7:$AH$3000,"yes")+COUNTIFS($B$7:B313,B313,$C$7:C313,C313,$H$7:H313,H313,$AH$7:AH313,"yes"),"")</f>
        <v>6</v>
      </c>
      <c r="AG313" s="109" t="n">
        <f aca="false">IF(ISNUMBER(I313),COUNTIFS($B$7:$B$3000,B313,$C$7:$C$3000,C313,$I$7:$I$3000,"&lt;"&amp;I313,$AI$7:$AI$3000,"yes")+COUNTIFS($B$7:B313,B313,$C$7:C313,C313,$I$7:I313,I313,$AI$7:AI313,"yes"),"")</f>
        <v>6</v>
      </c>
      <c r="AH313" s="109" t="str">
        <f aca="false">IF(ISNUMBER(H313),"yes","no")</f>
        <v>yes</v>
      </c>
      <c r="AI313" s="109" t="str">
        <f aca="false">IF(ISNUMBER(I313),"yes","no")</f>
        <v>yes</v>
      </c>
      <c r="AJ313" s="116" t="n">
        <v>46295</v>
      </c>
      <c r="AK313" s="109"/>
    </row>
    <row r="314" customFormat="false" ht="42" hidden="false" customHeight="true" outlineLevel="0" collapsed="false">
      <c r="A314" s="3"/>
      <c r="B314" s="36" t="s">
        <v>35</v>
      </c>
      <c r="C314" s="98" t="s">
        <v>15</v>
      </c>
      <c r="D314" s="98" t="s">
        <v>281</v>
      </c>
      <c r="E314" s="110" t="s">
        <v>1302</v>
      </c>
      <c r="F314" s="99" t="n">
        <v>7.95</v>
      </c>
      <c r="G314" s="98" t="s">
        <v>244</v>
      </c>
      <c r="H314" s="112" t="n">
        <f aca="false">IF(AND(AE314="yes",ISNUMBER(AD314)),AD314,"")</f>
        <v>7.95</v>
      </c>
      <c r="I314" s="95" t="n">
        <f aca="false">IF(AND(AE314="yes",ISNUMBER(AD314),ISNUMBER(INDEX(Sources!$G$7:$G$10,MATCH(AB314,Sources!$B$7:$B$10,0)))),ROUND(AD314/INDEX(Sources!$G$7:$G$10,MATCH(AB314,Sources!$B$7:$B$10,0)),6),"")</f>
        <v>7.95</v>
      </c>
      <c r="J314" s="98" t="s">
        <v>530</v>
      </c>
      <c r="K314" s="98" t="s">
        <v>586</v>
      </c>
      <c r="L314" s="96"/>
      <c r="M314" s="110" t="s">
        <v>1303</v>
      </c>
      <c r="N314" s="117" t="s">
        <v>1304</v>
      </c>
      <c r="O314" s="110" t="s">
        <v>603</v>
      </c>
      <c r="P314" s="110" t="s">
        <v>590</v>
      </c>
      <c r="Q314" s="118"/>
      <c r="R314" s="110" t="n">
        <v>1</v>
      </c>
      <c r="S314" s="110"/>
      <c r="T314" s="110" t="s">
        <v>530</v>
      </c>
      <c r="U314" s="110" t="s">
        <v>591</v>
      </c>
      <c r="V314" s="119" t="n">
        <v>7.95</v>
      </c>
      <c r="W314" s="119"/>
      <c r="X314" s="110" t="s">
        <v>592</v>
      </c>
      <c r="Y314" s="110"/>
      <c r="Z314" s="110"/>
      <c r="AA314" s="110"/>
      <c r="AB314" s="110" t="s">
        <v>244</v>
      </c>
      <c r="AC314" s="110" t="s">
        <v>538</v>
      </c>
      <c r="AD314" s="110" t="n">
        <f aca="false">IF(ISNUMBER(V314),ROUND(V314,6),"")</f>
        <v>7.95</v>
      </c>
      <c r="AE314" s="110" t="str">
        <f aca="false">IF(AND(AC314="yes",ISNUMBER(F314),IF(Compare!$H$5="All mapped",TRUE(),IF(Compare!$H$5="EXACT only",J314="EXACT",OR(J314="EXACT",J314="CLOSE")))),"yes","no")</f>
        <v>yes</v>
      </c>
      <c r="AF314" s="110" t="n">
        <f aca="false">IF(ISNUMBER(H314),COUNTIFS($B$7:$B$3000,B314,$C$7:$C$3000,C314,$H$7:$H$3000,"&lt;"&amp;H314,$AH$7:$AH$3000,"yes")+COUNTIFS($B$7:B314,B314,$C$7:C314,C314,$H$7:H314,H314,$AH$7:AH314,"yes"),"")</f>
        <v>1</v>
      </c>
      <c r="AG314" s="110" t="n">
        <f aca="false">IF(ISNUMBER(I314),COUNTIFS($B$7:$B$3000,B314,$C$7:$C$3000,C314,$I$7:$I$3000,"&lt;"&amp;I314,$AI$7:$AI$3000,"yes")+COUNTIFS($B$7:B314,B314,$C$7:C314,C314,$I$7:I314,I314,$AI$7:AI314,"yes"),"")</f>
        <v>1</v>
      </c>
      <c r="AH314" s="110" t="str">
        <f aca="false">IF(ISNUMBER(H314),"yes","no")</f>
        <v>yes</v>
      </c>
      <c r="AI314" s="110" t="str">
        <f aca="false">IF(ISNUMBER(I314),"yes","no")</f>
        <v>yes</v>
      </c>
      <c r="AJ314" s="120" t="n">
        <v>46295</v>
      </c>
      <c r="AK314" s="110"/>
    </row>
    <row r="315" customFormat="false" ht="42" hidden="false" customHeight="true" outlineLevel="0" collapsed="false">
      <c r="A315" s="3"/>
      <c r="B315" s="31" t="s">
        <v>35</v>
      </c>
      <c r="C315" s="91" t="s">
        <v>15</v>
      </c>
      <c r="D315" s="91" t="s">
        <v>293</v>
      </c>
      <c r="E315" s="109" t="s">
        <v>1305</v>
      </c>
      <c r="F315" s="92" t="n">
        <v>16</v>
      </c>
      <c r="G315" s="91" t="s">
        <v>244</v>
      </c>
      <c r="H315" s="112" t="n">
        <f aca="false">IF(AND(AE315="yes",ISNUMBER(AD315)),AD315,"")</f>
        <v>16</v>
      </c>
      <c r="I315" s="95" t="n">
        <f aca="false">IF(AND(AE315="yes",ISNUMBER(AD315),ISNUMBER(INDEX(Sources!$G$7:$G$10,MATCH(AB315,Sources!$B$7:$B$10,0)))),ROUND(AD315/INDEX(Sources!$G$7:$G$10,MATCH(AB315,Sources!$B$7:$B$10,0)),6),"")</f>
        <v>16</v>
      </c>
      <c r="J315" s="91" t="s">
        <v>530</v>
      </c>
      <c r="K315" s="91" t="s">
        <v>586</v>
      </c>
      <c r="L315" s="96"/>
      <c r="M315" s="109" t="s">
        <v>1306</v>
      </c>
      <c r="N315" s="113" t="s">
        <v>1307</v>
      </c>
      <c r="O315" s="109" t="s">
        <v>589</v>
      </c>
      <c r="P315" s="109" t="s">
        <v>590</v>
      </c>
      <c r="Q315" s="114"/>
      <c r="R315" s="109" t="n">
        <v>1</v>
      </c>
      <c r="S315" s="109"/>
      <c r="T315" s="109" t="s">
        <v>530</v>
      </c>
      <c r="U315" s="109" t="s">
        <v>591</v>
      </c>
      <c r="V315" s="115" t="n">
        <v>16</v>
      </c>
      <c r="W315" s="115"/>
      <c r="X315" s="109" t="s">
        <v>592</v>
      </c>
      <c r="Y315" s="109"/>
      <c r="Z315" s="109"/>
      <c r="AA315" s="109"/>
      <c r="AB315" s="109" t="s">
        <v>244</v>
      </c>
      <c r="AC315" s="109" t="s">
        <v>538</v>
      </c>
      <c r="AD315" s="109" t="n">
        <f aca="false">IF(ISNUMBER(V315),ROUND(V315,6),"")</f>
        <v>16</v>
      </c>
      <c r="AE315" s="109" t="str">
        <f aca="false">IF(AND(AC315="yes",ISNUMBER(F315),IF(Compare!$H$5="All mapped",TRUE(),IF(Compare!$H$5="EXACT only",J315="EXACT",OR(J315="EXACT",J315="CLOSE")))),"yes","no")</f>
        <v>yes</v>
      </c>
      <c r="AF315" s="109" t="n">
        <f aca="false">IF(ISNUMBER(H315),COUNTIFS($B$7:$B$3000,B315,$C$7:$C$3000,C315,$H$7:$H$3000,"&lt;"&amp;H315,$AH$7:$AH$3000,"yes")+COUNTIFS($B$7:B315,B315,$C$7:C315,C315,$H$7:H315,H315,$AH$7:AH315,"yes"),"")</f>
        <v>5</v>
      </c>
      <c r="AG315" s="109" t="n">
        <f aca="false">IF(ISNUMBER(I315),COUNTIFS($B$7:$B$3000,B315,$C$7:$C$3000,C315,$I$7:$I$3000,"&lt;"&amp;I315,$AI$7:$AI$3000,"yes")+COUNTIFS($B$7:B315,B315,$C$7:C315,C315,$I$7:I315,I315,$AI$7:AI315,"yes"),"")</f>
        <v>5</v>
      </c>
      <c r="AH315" s="109" t="str">
        <f aca="false">IF(ISNUMBER(H315),"yes","no")</f>
        <v>yes</v>
      </c>
      <c r="AI315" s="109" t="str">
        <f aca="false">IF(ISNUMBER(I315),"yes","no")</f>
        <v>yes</v>
      </c>
      <c r="AJ315" s="116" t="n">
        <v>46295</v>
      </c>
      <c r="AK315" s="109"/>
    </row>
    <row r="316" customFormat="false" ht="42" hidden="false" customHeight="true" outlineLevel="0" collapsed="false">
      <c r="A316" s="3"/>
      <c r="B316" s="36" t="s">
        <v>35</v>
      </c>
      <c r="C316" s="98" t="s">
        <v>16</v>
      </c>
      <c r="D316" s="98" t="s">
        <v>311</v>
      </c>
      <c r="E316" s="110" t="s">
        <v>1293</v>
      </c>
      <c r="F316" s="99" t="n">
        <v>8.69</v>
      </c>
      <c r="G316" s="98" t="s">
        <v>244</v>
      </c>
      <c r="H316" s="112" t="n">
        <f aca="false">IF(AND(AE316="yes",ISNUMBER(AD316)),AD316,"")</f>
        <v>8.69</v>
      </c>
      <c r="I316" s="95" t="n">
        <f aca="false">IF(AND(AE316="yes",ISNUMBER(AD316),ISNUMBER(INDEX(Sources!$G$7:$G$10,MATCH(AB316,Sources!$B$7:$B$10,0)))),ROUND(AD316/INDEX(Sources!$G$7:$G$10,MATCH(AB316,Sources!$B$7:$B$10,0)),6),"")</f>
        <v>8.69</v>
      </c>
      <c r="J316" s="98" t="s">
        <v>530</v>
      </c>
      <c r="K316" s="98" t="s">
        <v>586</v>
      </c>
      <c r="L316" s="96"/>
      <c r="M316" s="110" t="s">
        <v>1294</v>
      </c>
      <c r="N316" s="117" t="s">
        <v>1308</v>
      </c>
      <c r="O316" s="110" t="s">
        <v>662</v>
      </c>
      <c r="P316" s="110" t="s">
        <v>590</v>
      </c>
      <c r="Q316" s="118"/>
      <c r="R316" s="110" t="n">
        <v>1</v>
      </c>
      <c r="S316" s="110"/>
      <c r="T316" s="110" t="s">
        <v>530</v>
      </c>
      <c r="U316" s="110" t="s">
        <v>591</v>
      </c>
      <c r="V316" s="119" t="n">
        <v>8.69</v>
      </c>
      <c r="W316" s="119"/>
      <c r="X316" s="110" t="s">
        <v>612</v>
      </c>
      <c r="Y316" s="110"/>
      <c r="Z316" s="110"/>
      <c r="AA316" s="110"/>
      <c r="AB316" s="110" t="s">
        <v>244</v>
      </c>
      <c r="AC316" s="110" t="s">
        <v>538</v>
      </c>
      <c r="AD316" s="110" t="n">
        <f aca="false">IF(ISNUMBER(V316),ROUND(V316,6),"")</f>
        <v>8.69</v>
      </c>
      <c r="AE316" s="110" t="str">
        <f aca="false">IF(AND(AC316="yes",ISNUMBER(F316),IF(Compare!$H$5="All mapped",TRUE(),IF(Compare!$H$5="EXACT only",J316="EXACT",OR(J316="EXACT",J316="CLOSE")))),"yes","no")</f>
        <v>yes</v>
      </c>
      <c r="AF316" s="110" t="n">
        <f aca="false">IF(ISNUMBER(H316),COUNTIFS($B$7:$B$3000,B316,$C$7:$C$3000,C316,$H$7:$H$3000,"&lt;"&amp;H316,$AH$7:$AH$3000,"yes")+COUNTIFS($B$7:B316,B316,$C$7:C316,C316,$H$7:H316,H316,$AH$7:AH316,"yes"),"")</f>
        <v>4</v>
      </c>
      <c r="AG316" s="110" t="n">
        <f aca="false">IF(ISNUMBER(I316),COUNTIFS($B$7:$B$3000,B316,$C$7:$C$3000,C316,$I$7:$I$3000,"&lt;"&amp;I316,$AI$7:$AI$3000,"yes")+COUNTIFS($B$7:B316,B316,$C$7:C316,C316,$I$7:I316,I316,$AI$7:AI316,"yes"),"")</f>
        <v>4</v>
      </c>
      <c r="AH316" s="110" t="str">
        <f aca="false">IF(ISNUMBER(H316),"yes","no")</f>
        <v>yes</v>
      </c>
      <c r="AI316" s="110" t="str">
        <f aca="false">IF(ISNUMBER(I316),"yes","no")</f>
        <v>yes</v>
      </c>
      <c r="AJ316" s="120" t="n">
        <v>46295</v>
      </c>
      <c r="AK316" s="110"/>
    </row>
    <row r="317" customFormat="false" ht="42" hidden="false" customHeight="true" outlineLevel="0" collapsed="false">
      <c r="A317" s="3"/>
      <c r="B317" s="31" t="s">
        <v>35</v>
      </c>
      <c r="C317" s="91" t="s">
        <v>16</v>
      </c>
      <c r="D317" s="91" t="s">
        <v>309</v>
      </c>
      <c r="E317" s="109" t="s">
        <v>1296</v>
      </c>
      <c r="F317" s="92" t="n">
        <v>8</v>
      </c>
      <c r="G317" s="91" t="s">
        <v>244</v>
      </c>
      <c r="H317" s="112" t="n">
        <f aca="false">IF(AND(AE317="yes",ISNUMBER(AD317)),AD317,"")</f>
        <v>8</v>
      </c>
      <c r="I317" s="95" t="n">
        <f aca="false">IF(AND(AE317="yes",ISNUMBER(AD317),ISNUMBER(INDEX(Sources!$G$7:$G$10,MATCH(AB317,Sources!$B$7:$B$10,0)))),ROUND(AD317/INDEX(Sources!$G$7:$G$10,MATCH(AB317,Sources!$B$7:$B$10,0)),6),"")</f>
        <v>8</v>
      </c>
      <c r="J317" s="91" t="s">
        <v>530</v>
      </c>
      <c r="K317" s="91" t="s">
        <v>586</v>
      </c>
      <c r="L317" s="96"/>
      <c r="M317" s="109" t="s">
        <v>1297</v>
      </c>
      <c r="N317" s="113" t="s">
        <v>1298</v>
      </c>
      <c r="O317" s="109" t="s">
        <v>646</v>
      </c>
      <c r="P317" s="109" t="s">
        <v>590</v>
      </c>
      <c r="Q317" s="114"/>
      <c r="R317" s="109" t="n">
        <v>1</v>
      </c>
      <c r="S317" s="109"/>
      <c r="T317" s="109" t="s">
        <v>530</v>
      </c>
      <c r="U317" s="109" t="s">
        <v>591</v>
      </c>
      <c r="V317" s="115" t="n">
        <v>8</v>
      </c>
      <c r="W317" s="115"/>
      <c r="X317" s="109" t="s">
        <v>612</v>
      </c>
      <c r="Y317" s="109"/>
      <c r="Z317" s="109"/>
      <c r="AA317" s="109"/>
      <c r="AB317" s="109" t="s">
        <v>244</v>
      </c>
      <c r="AC317" s="109" t="s">
        <v>538</v>
      </c>
      <c r="AD317" s="109" t="n">
        <f aca="false">IF(ISNUMBER(V317),ROUND(V317,6),"")</f>
        <v>8</v>
      </c>
      <c r="AE317" s="109" t="str">
        <f aca="false">IF(AND(AC317="yes",ISNUMBER(F317),IF(Compare!$H$5="All mapped",TRUE(),IF(Compare!$H$5="EXACT only",J317="EXACT",OR(J317="EXACT",J317="CLOSE")))),"yes","no")</f>
        <v>yes</v>
      </c>
      <c r="AF317" s="109" t="n">
        <f aca="false">IF(ISNUMBER(H317),COUNTIFS($B$7:$B$3000,B317,$C$7:$C$3000,C317,$H$7:$H$3000,"&lt;"&amp;H317,$AH$7:$AH$3000,"yes")+COUNTIFS($B$7:B317,B317,$C$7:C317,C317,$H$7:H317,H317,$AH$7:AH317,"yes"),"")</f>
        <v>3</v>
      </c>
      <c r="AG317" s="109" t="n">
        <f aca="false">IF(ISNUMBER(I317),COUNTIFS($B$7:$B$3000,B317,$C$7:$C$3000,C317,$I$7:$I$3000,"&lt;"&amp;I317,$AI$7:$AI$3000,"yes")+COUNTIFS($B$7:B317,B317,$C$7:C317,C317,$I$7:I317,I317,$AI$7:AI317,"yes"),"")</f>
        <v>3</v>
      </c>
      <c r="AH317" s="109" t="str">
        <f aca="false">IF(ISNUMBER(H317),"yes","no")</f>
        <v>yes</v>
      </c>
      <c r="AI317" s="109" t="str">
        <f aca="false">IF(ISNUMBER(I317),"yes","no")</f>
        <v>yes</v>
      </c>
      <c r="AJ317" s="116" t="n">
        <v>46295</v>
      </c>
      <c r="AK317" s="109"/>
    </row>
    <row r="318" customFormat="false" ht="42" hidden="false" customHeight="true" outlineLevel="0" collapsed="false">
      <c r="A318" s="3"/>
      <c r="B318" s="36" t="s">
        <v>35</v>
      </c>
      <c r="C318" s="98" t="s">
        <v>16</v>
      </c>
      <c r="D318" s="98" t="s">
        <v>313</v>
      </c>
      <c r="E318" s="110" t="s">
        <v>1299</v>
      </c>
      <c r="F318" s="99" t="n">
        <v>27.19</v>
      </c>
      <c r="G318" s="98" t="s">
        <v>244</v>
      </c>
      <c r="H318" s="112" t="n">
        <f aca="false">IF(AND(AE318="yes",ISNUMBER(AD318)),AD318,"")</f>
        <v>22.85</v>
      </c>
      <c r="I318" s="95" t="n">
        <f aca="false">IF(AND(AE318="yes",ISNUMBER(AD318),ISNUMBER(INDEX(Sources!$G$7:$G$10,MATCH(AB318,Sources!$B$7:$B$10,0)))),ROUND(AD318/INDEX(Sources!$G$7:$G$10,MATCH(AB318,Sources!$B$7:$B$10,0)),6),"")</f>
        <v>22.85</v>
      </c>
      <c r="J318" s="98" t="s">
        <v>530</v>
      </c>
      <c r="K318" s="98" t="s">
        <v>586</v>
      </c>
      <c r="L318" s="96"/>
      <c r="M318" s="110" t="s">
        <v>1300</v>
      </c>
      <c r="N318" s="117" t="s">
        <v>1309</v>
      </c>
      <c r="O318" s="110" t="s">
        <v>1225</v>
      </c>
      <c r="P318" s="110" t="s">
        <v>265</v>
      </c>
      <c r="Q318" s="118"/>
      <c r="R318" s="110" t="n">
        <v>1</v>
      </c>
      <c r="S318" s="110"/>
      <c r="T318" s="110" t="s">
        <v>530</v>
      </c>
      <c r="U318" s="110" t="s">
        <v>591</v>
      </c>
      <c r="V318" s="119" t="n">
        <v>22.85</v>
      </c>
      <c r="W318" s="119"/>
      <c r="X318" s="110" t="s">
        <v>612</v>
      </c>
      <c r="Y318" s="110"/>
      <c r="Z318" s="110"/>
      <c r="AA318" s="110"/>
      <c r="AB318" s="110" t="s">
        <v>244</v>
      </c>
      <c r="AC318" s="110" t="s">
        <v>538</v>
      </c>
      <c r="AD318" s="110" t="n">
        <f aca="false">IF(ISNUMBER(V318),ROUND(V318,6),"")</f>
        <v>22.85</v>
      </c>
      <c r="AE318" s="110" t="str">
        <f aca="false">IF(AND(AC318="yes",ISNUMBER(F318),IF(Compare!$H$5="All mapped",TRUE(),IF(Compare!$H$5="EXACT only",J318="EXACT",OR(J318="EXACT",J318="CLOSE")))),"yes","no")</f>
        <v>yes</v>
      </c>
      <c r="AF318" s="110" t="n">
        <f aca="false">IF(ISNUMBER(H318),COUNTIFS($B$7:$B$3000,B318,$C$7:$C$3000,C318,$H$7:$H$3000,"&lt;"&amp;H318,$AH$7:$AH$3000,"yes")+COUNTIFS($B$7:B318,B318,$C$7:C318,C318,$H$7:H318,H318,$AH$7:AH318,"yes"),"")</f>
        <v>7</v>
      </c>
      <c r="AG318" s="110" t="n">
        <f aca="false">IF(ISNUMBER(I318),COUNTIFS($B$7:$B$3000,B318,$C$7:$C$3000,C318,$I$7:$I$3000,"&lt;"&amp;I318,$AI$7:$AI$3000,"yes")+COUNTIFS($B$7:B318,B318,$C$7:C318,C318,$I$7:I318,I318,$AI$7:AI318,"yes"),"")</f>
        <v>7</v>
      </c>
      <c r="AH318" s="110" t="str">
        <f aca="false">IF(ISNUMBER(H318),"yes","no")</f>
        <v>yes</v>
      </c>
      <c r="AI318" s="110" t="str">
        <f aca="false">IF(ISNUMBER(I318),"yes","no")</f>
        <v>yes</v>
      </c>
      <c r="AJ318" s="120" t="n">
        <v>46295</v>
      </c>
      <c r="AK318" s="110"/>
    </row>
    <row r="319" customFormat="false" ht="42" hidden="false" customHeight="true" outlineLevel="0" collapsed="false">
      <c r="A319" s="3"/>
      <c r="B319" s="31" t="s">
        <v>35</v>
      </c>
      <c r="C319" s="91" t="s">
        <v>16</v>
      </c>
      <c r="D319" s="91" t="s">
        <v>321</v>
      </c>
      <c r="E319" s="109" t="s">
        <v>1302</v>
      </c>
      <c r="F319" s="92" t="n">
        <v>7.95</v>
      </c>
      <c r="G319" s="91" t="s">
        <v>244</v>
      </c>
      <c r="H319" s="112" t="n">
        <f aca="false">IF(AND(AE319="yes",ISNUMBER(AD319)),AD319,"")</f>
        <v>7.95</v>
      </c>
      <c r="I319" s="95" t="n">
        <f aca="false">IF(AND(AE319="yes",ISNUMBER(AD319),ISNUMBER(INDEX(Sources!$G$7:$G$10,MATCH(AB319,Sources!$B$7:$B$10,0)))),ROUND(AD319/INDEX(Sources!$G$7:$G$10,MATCH(AB319,Sources!$B$7:$B$10,0)),6),"")</f>
        <v>7.95</v>
      </c>
      <c r="J319" s="91" t="s">
        <v>530</v>
      </c>
      <c r="K319" s="91" t="s">
        <v>586</v>
      </c>
      <c r="L319" s="96"/>
      <c r="M319" s="109"/>
      <c r="N319" s="113" t="s">
        <v>1310</v>
      </c>
      <c r="O319" s="109" t="s">
        <v>603</v>
      </c>
      <c r="P319" s="109" t="s">
        <v>590</v>
      </c>
      <c r="Q319" s="114"/>
      <c r="R319" s="109" t="n">
        <v>1</v>
      </c>
      <c r="S319" s="109"/>
      <c r="T319" s="109" t="s">
        <v>530</v>
      </c>
      <c r="U319" s="109" t="s">
        <v>591</v>
      </c>
      <c r="V319" s="115" t="n">
        <v>7.95</v>
      </c>
      <c r="W319" s="115"/>
      <c r="X319" s="109" t="s">
        <v>612</v>
      </c>
      <c r="Y319" s="109"/>
      <c r="Z319" s="109"/>
      <c r="AA319" s="109"/>
      <c r="AB319" s="109" t="s">
        <v>244</v>
      </c>
      <c r="AC319" s="109" t="s">
        <v>538</v>
      </c>
      <c r="AD319" s="109" t="n">
        <f aca="false">IF(ISNUMBER(V319),ROUND(V319,6),"")</f>
        <v>7.95</v>
      </c>
      <c r="AE319" s="109" t="str">
        <f aca="false">IF(AND(AC319="yes",ISNUMBER(F319),IF(Compare!$H$5="All mapped",TRUE(),IF(Compare!$H$5="EXACT only",J319="EXACT",OR(J319="EXACT",J319="CLOSE")))),"yes","no")</f>
        <v>yes</v>
      </c>
      <c r="AF319" s="109" t="n">
        <f aca="false">IF(ISNUMBER(H319),COUNTIFS($B$7:$B$3000,B319,$C$7:$C$3000,C319,$H$7:$H$3000,"&lt;"&amp;H319,$AH$7:$AH$3000,"yes")+COUNTIFS($B$7:B319,B319,$C$7:C319,C319,$H$7:H319,H319,$AH$7:AH319,"yes"),"")</f>
        <v>2</v>
      </c>
      <c r="AG319" s="109" t="n">
        <f aca="false">IF(ISNUMBER(I319),COUNTIFS($B$7:$B$3000,B319,$C$7:$C$3000,C319,$I$7:$I$3000,"&lt;"&amp;I319,$AI$7:$AI$3000,"yes")+COUNTIFS($B$7:B319,B319,$C$7:C319,C319,$I$7:I319,I319,$AI$7:AI319,"yes"),"")</f>
        <v>2</v>
      </c>
      <c r="AH319" s="109" t="str">
        <f aca="false">IF(ISNUMBER(H319),"yes","no")</f>
        <v>yes</v>
      </c>
      <c r="AI319" s="109" t="str">
        <f aca="false">IF(ISNUMBER(I319),"yes","no")</f>
        <v>yes</v>
      </c>
      <c r="AJ319" s="116" t="n">
        <v>46295</v>
      </c>
      <c r="AK319" s="109"/>
    </row>
    <row r="320" customFormat="false" ht="42" hidden="false" customHeight="true" outlineLevel="0" collapsed="false">
      <c r="A320" s="3"/>
      <c r="B320" s="36" t="s">
        <v>35</v>
      </c>
      <c r="C320" s="98" t="s">
        <v>16</v>
      </c>
      <c r="D320" s="98" t="s">
        <v>329</v>
      </c>
      <c r="E320" s="110" t="s">
        <v>1311</v>
      </c>
      <c r="F320" s="99" t="n">
        <v>16.99</v>
      </c>
      <c r="G320" s="98" t="s">
        <v>244</v>
      </c>
      <c r="H320" s="112" t="n">
        <f aca="false">IF(AND(AE320="yes",ISNUMBER(AD320)),AD320,"")</f>
        <v>16.99</v>
      </c>
      <c r="I320" s="95" t="n">
        <f aca="false">IF(AND(AE320="yes",ISNUMBER(AD320),ISNUMBER(INDEX(Sources!$G$7:$G$10,MATCH(AB320,Sources!$B$7:$B$10,0)))),ROUND(AD320/INDEX(Sources!$G$7:$G$10,MATCH(AB320,Sources!$B$7:$B$10,0)),6),"")</f>
        <v>16.99</v>
      </c>
      <c r="J320" s="98" t="s">
        <v>530</v>
      </c>
      <c r="K320" s="98" t="s">
        <v>586</v>
      </c>
      <c r="L320" s="96"/>
      <c r="M320" s="110" t="s">
        <v>1024</v>
      </c>
      <c r="N320" s="117" t="s">
        <v>1312</v>
      </c>
      <c r="O320" s="110" t="s">
        <v>1225</v>
      </c>
      <c r="P320" s="110" t="s">
        <v>590</v>
      </c>
      <c r="Q320" s="118"/>
      <c r="R320" s="110" t="n">
        <v>1</v>
      </c>
      <c r="S320" s="110"/>
      <c r="T320" s="110" t="s">
        <v>530</v>
      </c>
      <c r="U320" s="110" t="s">
        <v>591</v>
      </c>
      <c r="V320" s="119" t="n">
        <v>16.99</v>
      </c>
      <c r="W320" s="119"/>
      <c r="X320" s="110" t="s">
        <v>612</v>
      </c>
      <c r="Y320" s="110"/>
      <c r="Z320" s="110"/>
      <c r="AA320" s="110"/>
      <c r="AB320" s="110" t="s">
        <v>244</v>
      </c>
      <c r="AC320" s="110" t="s">
        <v>538</v>
      </c>
      <c r="AD320" s="110" t="n">
        <f aca="false">IF(ISNUMBER(V320),ROUND(V320,6),"")</f>
        <v>16.99</v>
      </c>
      <c r="AE320" s="110" t="str">
        <f aca="false">IF(AND(AC320="yes",ISNUMBER(F320),IF(Compare!$H$5="All mapped",TRUE(),IF(Compare!$H$5="EXACT only",J320="EXACT",OR(J320="EXACT",J320="CLOSE")))),"yes","no")</f>
        <v>yes</v>
      </c>
      <c r="AF320" s="110" t="n">
        <f aca="false">IF(ISNUMBER(H320),COUNTIFS($B$7:$B$3000,B320,$C$7:$C$3000,C320,$H$7:$H$3000,"&lt;"&amp;H320,$AH$7:$AH$3000,"yes")+COUNTIFS($B$7:B320,B320,$C$7:C320,C320,$H$7:H320,H320,$AH$7:AH320,"yes"),"")</f>
        <v>6</v>
      </c>
      <c r="AG320" s="110" t="n">
        <f aca="false">IF(ISNUMBER(I320),COUNTIFS($B$7:$B$3000,B320,$C$7:$C$3000,C320,$I$7:$I$3000,"&lt;"&amp;I320,$AI$7:$AI$3000,"yes")+COUNTIFS($B$7:B320,B320,$C$7:C320,C320,$I$7:I320,I320,$AI$7:AI320,"yes"),"")</f>
        <v>6</v>
      </c>
      <c r="AH320" s="110" t="str">
        <f aca="false">IF(ISNUMBER(H320),"yes","no")</f>
        <v>yes</v>
      </c>
      <c r="AI320" s="110" t="str">
        <f aca="false">IF(ISNUMBER(I320),"yes","no")</f>
        <v>yes</v>
      </c>
      <c r="AJ320" s="120" t="n">
        <v>46295</v>
      </c>
      <c r="AK320" s="110"/>
    </row>
    <row r="321" customFormat="false" ht="42" hidden="false" customHeight="true" outlineLevel="0" collapsed="false">
      <c r="A321" s="3"/>
      <c r="B321" s="31" t="s">
        <v>35</v>
      </c>
      <c r="C321" s="91" t="s">
        <v>17</v>
      </c>
      <c r="D321" s="91" t="s">
        <v>342</v>
      </c>
      <c r="E321" s="109" t="s">
        <v>1313</v>
      </c>
      <c r="F321" s="92" t="n">
        <v>195</v>
      </c>
      <c r="G321" s="91" t="s">
        <v>333</v>
      </c>
      <c r="H321" s="112" t="n">
        <f aca="false">IF(AND(AE321="yes",ISNUMBER(AD321)),AD321,"")</f>
        <v>195</v>
      </c>
      <c r="I321" s="95" t="n">
        <f aca="false">IF(AND(AE321="yes",ISNUMBER(AD321),ISNUMBER(INDEX(Sources!$G$7:$G$10,MATCH(AB321,Sources!$B$7:$B$10,0)))),ROUND(AD321/INDEX(Sources!$G$7:$G$10,MATCH(AB321,Sources!$B$7:$B$10,0)),6),"")</f>
        <v>7.984076</v>
      </c>
      <c r="J321" s="91" t="s">
        <v>530</v>
      </c>
      <c r="K321" s="91" t="s">
        <v>586</v>
      </c>
      <c r="L321" s="96"/>
      <c r="M321" s="109" t="s">
        <v>1314</v>
      </c>
      <c r="N321" s="113" t="s">
        <v>1315</v>
      </c>
      <c r="O321" s="109" t="s">
        <v>361</v>
      </c>
      <c r="P321" s="109" t="s">
        <v>590</v>
      </c>
      <c r="Q321" s="114" t="n">
        <v>0.21</v>
      </c>
      <c r="R321" s="109" t="n">
        <v>1</v>
      </c>
      <c r="S321" s="109" t="s">
        <v>632</v>
      </c>
      <c r="T321" s="109" t="s">
        <v>530</v>
      </c>
      <c r="U321" s="109" t="s">
        <v>591</v>
      </c>
      <c r="V321" s="115"/>
      <c r="W321" s="115"/>
      <c r="X321" s="109" t="s">
        <v>626</v>
      </c>
      <c r="Y321" s="109"/>
      <c r="Z321" s="109"/>
      <c r="AA321" s="109"/>
      <c r="AB321" s="109" t="s">
        <v>333</v>
      </c>
      <c r="AC321" s="109" t="s">
        <v>538</v>
      </c>
      <c r="AD321" s="109" t="n">
        <f aca="false">IF(OR(F321="",Q321="",R321=""),"",ROUND(IF(P321="incl.",F321/(1+Q321),F321)/IF(S321="per pack",R321,1),2))</f>
        <v>195</v>
      </c>
      <c r="AE321" s="109" t="str">
        <f aca="false">IF(AND(AC321="yes",ISNUMBER(F321),IF(Compare!$H$5="All mapped",TRUE(),IF(Compare!$H$5="EXACT only",J321="EXACT",OR(J321="EXACT",J321="CLOSE")))),"yes","no")</f>
        <v>yes</v>
      </c>
      <c r="AF321" s="109" t="n">
        <f aca="false">IF(ISNUMBER(H321),COUNTIFS($B$7:$B$3000,B321,$C$7:$C$3000,C321,$H$7:$H$3000,"&lt;"&amp;H321,$AH$7:$AH$3000,"yes")+COUNTIFS($B$7:B321,B321,$C$7:C321,C321,$H$7:H321,H321,$AH$7:AH321,"yes"),"")</f>
        <v>3</v>
      </c>
      <c r="AG321" s="109" t="n">
        <f aca="false">IF(ISNUMBER(I321),COUNTIFS($B$7:$B$3000,B321,$C$7:$C$3000,C321,$I$7:$I$3000,"&lt;"&amp;I321,$AI$7:$AI$3000,"yes")+COUNTIFS($B$7:B321,B321,$C$7:C321,C321,$I$7:I321,I321,$AI$7:AI321,"yes"),"")</f>
        <v>3</v>
      </c>
      <c r="AH321" s="109" t="str">
        <f aca="false">IF(ISNUMBER(H321),"yes","no")</f>
        <v>yes</v>
      </c>
      <c r="AI321" s="109" t="str">
        <f aca="false">IF(ISNUMBER(I321),"yes","no")</f>
        <v>yes</v>
      </c>
      <c r="AJ321" s="116" t="n">
        <v>46295</v>
      </c>
      <c r="AK321" s="109"/>
    </row>
    <row r="322" customFormat="false" ht="42" hidden="false" customHeight="true" outlineLevel="0" collapsed="false">
      <c r="A322" s="3"/>
      <c r="B322" s="36" t="s">
        <v>35</v>
      </c>
      <c r="C322" s="98" t="s">
        <v>17</v>
      </c>
      <c r="D322" s="98" t="s">
        <v>346</v>
      </c>
      <c r="E322" s="110" t="s">
        <v>1316</v>
      </c>
      <c r="F322" s="99" t="n">
        <v>324</v>
      </c>
      <c r="G322" s="98" t="s">
        <v>333</v>
      </c>
      <c r="H322" s="112" t="n">
        <f aca="false">IF(AND(AE322="yes",ISNUMBER(AD322)),AD322,"")</f>
        <v>267.77</v>
      </c>
      <c r="I322" s="95" t="n">
        <f aca="false">IF(AND(AE322="yes",ISNUMBER(AD322),ISNUMBER(INDEX(Sources!$G$7:$G$10,MATCH(AB322,Sources!$B$7:$B$10,0)))),ROUND(AD322/INDEX(Sources!$G$7:$G$10,MATCH(AB322,Sources!$B$7:$B$10,0)),6),"")</f>
        <v>10.963569</v>
      </c>
      <c r="J322" s="98" t="s">
        <v>530</v>
      </c>
      <c r="K322" s="98" t="s">
        <v>586</v>
      </c>
      <c r="L322" s="96"/>
      <c r="M322" s="110" t="s">
        <v>1317</v>
      </c>
      <c r="N322" s="117" t="s">
        <v>1318</v>
      </c>
      <c r="O322" s="110" t="s">
        <v>565</v>
      </c>
      <c r="P322" s="110" t="s">
        <v>265</v>
      </c>
      <c r="Q322" s="118" t="n">
        <v>0.21</v>
      </c>
      <c r="R322" s="110" t="n">
        <v>1</v>
      </c>
      <c r="S322" s="110" t="s">
        <v>632</v>
      </c>
      <c r="T322" s="110" t="s">
        <v>530</v>
      </c>
      <c r="U322" s="110" t="s">
        <v>591</v>
      </c>
      <c r="V322" s="119"/>
      <c r="W322" s="119"/>
      <c r="X322" s="110" t="s">
        <v>626</v>
      </c>
      <c r="Y322" s="110"/>
      <c r="Z322" s="110"/>
      <c r="AA322" s="110"/>
      <c r="AB322" s="110" t="s">
        <v>333</v>
      </c>
      <c r="AC322" s="110" t="s">
        <v>538</v>
      </c>
      <c r="AD322" s="110" t="n">
        <f aca="false">IF(OR(F322="",Q322="",R322=""),"",ROUND(IF(P322="incl.",F322/(1+Q322),F322)/IF(S322="per pack",R322,1),2))</f>
        <v>267.77</v>
      </c>
      <c r="AE322" s="110" t="str">
        <f aca="false">IF(AND(AC322="yes",ISNUMBER(F322),IF(Compare!$H$5="All mapped",TRUE(),IF(Compare!$H$5="EXACT only",J322="EXACT",OR(J322="EXACT",J322="CLOSE")))),"yes","no")</f>
        <v>yes</v>
      </c>
      <c r="AF322" s="110" t="n">
        <f aca="false">IF(ISNUMBER(H322),COUNTIFS($B$7:$B$3000,B322,$C$7:$C$3000,C322,$H$7:$H$3000,"&lt;"&amp;H322,$AH$7:$AH$3000,"yes")+COUNTIFS($B$7:B322,B322,$C$7:C322,C322,$H$7:H322,H322,$AH$7:AH322,"yes"),"")</f>
        <v>5</v>
      </c>
      <c r="AG322" s="110" t="n">
        <f aca="false">IF(ISNUMBER(I322),COUNTIFS($B$7:$B$3000,B322,$C$7:$C$3000,C322,$I$7:$I$3000,"&lt;"&amp;I322,$AI$7:$AI$3000,"yes")+COUNTIFS($B$7:B322,B322,$C$7:C322,C322,$I$7:I322,I322,$AI$7:AI322,"yes"),"")</f>
        <v>5</v>
      </c>
      <c r="AH322" s="110" t="str">
        <f aca="false">IF(ISNUMBER(H322),"yes","no")</f>
        <v>yes</v>
      </c>
      <c r="AI322" s="110" t="str">
        <f aca="false">IF(ISNUMBER(I322),"yes","no")</f>
        <v>yes</v>
      </c>
      <c r="AJ322" s="120" t="n">
        <v>46295</v>
      </c>
      <c r="AK322" s="110"/>
    </row>
    <row r="323" customFormat="false" ht="42" hidden="false" customHeight="true" outlineLevel="0" collapsed="false">
      <c r="A323" s="3"/>
      <c r="B323" s="31" t="s">
        <v>35</v>
      </c>
      <c r="C323" s="91" t="s">
        <v>17</v>
      </c>
      <c r="D323" s="91" t="s">
        <v>361</v>
      </c>
      <c r="E323" s="109" t="s">
        <v>1319</v>
      </c>
      <c r="F323" s="92" t="n">
        <v>236</v>
      </c>
      <c r="G323" s="91" t="s">
        <v>333</v>
      </c>
      <c r="H323" s="112" t="n">
        <f aca="false">IF(AND(AE323="yes",ISNUMBER(AD323)),AD323,"")</f>
        <v>195.04</v>
      </c>
      <c r="I323" s="95" t="n">
        <f aca="false">IF(AND(AE323="yes",ISNUMBER(AD323),ISNUMBER(INDEX(Sources!$G$7:$G$10,MATCH(AB323,Sources!$B$7:$B$10,0)))),ROUND(AD323/INDEX(Sources!$G$7:$G$10,MATCH(AB323,Sources!$B$7:$B$10,0)),6),"")</f>
        <v>7.985714</v>
      </c>
      <c r="J323" s="91" t="s">
        <v>530</v>
      </c>
      <c r="K323" s="91" t="s">
        <v>586</v>
      </c>
      <c r="L323" s="96"/>
      <c r="M323" s="109" t="s">
        <v>1320</v>
      </c>
      <c r="N323" s="113" t="s">
        <v>1321</v>
      </c>
      <c r="O323" s="109" t="s">
        <v>361</v>
      </c>
      <c r="P323" s="109" t="s">
        <v>265</v>
      </c>
      <c r="Q323" s="114" t="n">
        <v>0.21</v>
      </c>
      <c r="R323" s="109" t="n">
        <v>1</v>
      </c>
      <c r="S323" s="109" t="s">
        <v>632</v>
      </c>
      <c r="T323" s="109" t="s">
        <v>530</v>
      </c>
      <c r="U323" s="109" t="s">
        <v>591</v>
      </c>
      <c r="V323" s="115"/>
      <c r="W323" s="115"/>
      <c r="X323" s="109" t="s">
        <v>626</v>
      </c>
      <c r="Y323" s="109"/>
      <c r="Z323" s="109"/>
      <c r="AA323" s="109"/>
      <c r="AB323" s="109" t="s">
        <v>333</v>
      </c>
      <c r="AC323" s="109" t="s">
        <v>538</v>
      </c>
      <c r="AD323" s="109" t="n">
        <f aca="false">IF(OR(F323="",Q323="",R323=""),"",ROUND(IF(P323="incl.",F323/(1+Q323),F323)/IF(S323="per pack",R323,1),2))</f>
        <v>195.04</v>
      </c>
      <c r="AE323" s="109" t="str">
        <f aca="false">IF(AND(AC323="yes",ISNUMBER(F323),IF(Compare!$H$5="All mapped",TRUE(),IF(Compare!$H$5="EXACT only",J323="EXACT",OR(J323="EXACT",J323="CLOSE")))),"yes","no")</f>
        <v>yes</v>
      </c>
      <c r="AF323" s="109" t="n">
        <f aca="false">IF(ISNUMBER(H323),COUNTIFS($B$7:$B$3000,B323,$C$7:$C$3000,C323,$H$7:$H$3000,"&lt;"&amp;H323,$AH$7:$AH$3000,"yes")+COUNTIFS($B$7:B323,B323,$C$7:C323,C323,$H$7:H323,H323,$AH$7:AH323,"yes"),"")</f>
        <v>4</v>
      </c>
      <c r="AG323" s="109" t="n">
        <f aca="false">IF(ISNUMBER(I323),COUNTIFS($B$7:$B$3000,B323,$C$7:$C$3000,C323,$I$7:$I$3000,"&lt;"&amp;I323,$AI$7:$AI$3000,"yes")+COUNTIFS($B$7:B323,B323,$C$7:C323,C323,$I$7:I323,I323,$AI$7:AI323,"yes"),"")</f>
        <v>4</v>
      </c>
      <c r="AH323" s="109" t="str">
        <f aca="false">IF(ISNUMBER(H323),"yes","no")</f>
        <v>yes</v>
      </c>
      <c r="AI323" s="109" t="str">
        <f aca="false">IF(ISNUMBER(I323),"yes","no")</f>
        <v>yes</v>
      </c>
      <c r="AJ323" s="116" t="n">
        <v>46295</v>
      </c>
      <c r="AK323" s="109"/>
    </row>
    <row r="324" customFormat="false" ht="42" hidden="false" customHeight="true" outlineLevel="0" collapsed="false">
      <c r="A324" s="3"/>
      <c r="B324" s="36" t="s">
        <v>35</v>
      </c>
      <c r="C324" s="98" t="s">
        <v>18</v>
      </c>
      <c r="D324" s="98" t="s">
        <v>365</v>
      </c>
      <c r="E324" s="110" t="s">
        <v>1322</v>
      </c>
      <c r="F324" s="99" t="n">
        <v>11.7</v>
      </c>
      <c r="G324" s="98" t="s">
        <v>244</v>
      </c>
      <c r="H324" s="112" t="n">
        <f aca="false">IF(AND(AE324="yes",ISNUMBER(AD324)),AD324,"")</f>
        <v>11.7</v>
      </c>
      <c r="I324" s="95" t="n">
        <f aca="false">IF(AND(AE324="yes",ISNUMBER(AD324),ISNUMBER(INDEX(Sources!$G$7:$G$10,MATCH(AB324,Sources!$B$7:$B$10,0)))),ROUND(AD324/INDEX(Sources!$G$7:$G$10,MATCH(AB324,Sources!$B$7:$B$10,0)),6),"")</f>
        <v>11.7</v>
      </c>
      <c r="J324" s="98" t="s">
        <v>530</v>
      </c>
      <c r="K324" s="98" t="s">
        <v>586</v>
      </c>
      <c r="L324" s="96"/>
      <c r="M324" s="110" t="s">
        <v>1323</v>
      </c>
      <c r="N324" s="117" t="s">
        <v>1324</v>
      </c>
      <c r="O324" s="110" t="s">
        <v>646</v>
      </c>
      <c r="P324" s="110" t="s">
        <v>590</v>
      </c>
      <c r="Q324" s="118" t="s">
        <v>647</v>
      </c>
      <c r="R324" s="110" t="n">
        <v>1</v>
      </c>
      <c r="S324" s="110" t="s">
        <v>632</v>
      </c>
      <c r="T324" s="110" t="s">
        <v>530</v>
      </c>
      <c r="U324" s="110" t="s">
        <v>591</v>
      </c>
      <c r="V324" s="119" t="n">
        <v>11.7</v>
      </c>
      <c r="W324" s="119"/>
      <c r="X324" s="110" t="s">
        <v>648</v>
      </c>
      <c r="Y324" s="110"/>
      <c r="Z324" s="110"/>
      <c r="AA324" s="110"/>
      <c r="AB324" s="110" t="s">
        <v>244</v>
      </c>
      <c r="AC324" s="110" t="s">
        <v>538</v>
      </c>
      <c r="AD324" s="110" t="n">
        <f aca="false">IF(ISNUMBER(V324),ROUND(V324,6),"")</f>
        <v>11.7</v>
      </c>
      <c r="AE324" s="110" t="str">
        <f aca="false">IF(AND(AC324="yes",ISNUMBER(F324),IF(Compare!$H$5="All mapped",TRUE(),IF(Compare!$H$5="EXACT only",J324="EXACT",OR(J324="EXACT",J324="CLOSE")))),"yes","no")</f>
        <v>yes</v>
      </c>
      <c r="AF324" s="110" t="n">
        <f aca="false">IF(ISNUMBER(H324),COUNTIFS($B$7:$B$3000,B324,$C$7:$C$3000,C324,$H$7:$H$3000,"&lt;"&amp;H324,$AH$7:$AH$3000,"yes")+COUNTIFS($B$7:B324,B324,$C$7:C324,C324,$H$7:H324,H324,$AH$7:AH324,"yes"),"")</f>
        <v>2</v>
      </c>
      <c r="AG324" s="110" t="n">
        <f aca="false">IF(ISNUMBER(I324),COUNTIFS($B$7:$B$3000,B324,$C$7:$C$3000,C324,$I$7:$I$3000,"&lt;"&amp;I324,$AI$7:$AI$3000,"yes")+COUNTIFS($B$7:B324,B324,$C$7:C324,C324,$I$7:I324,I324,$AI$7:AI324,"yes"),"")</f>
        <v>2</v>
      </c>
      <c r="AH324" s="110" t="str">
        <f aca="false">IF(ISNUMBER(H324),"yes","no")</f>
        <v>yes</v>
      </c>
      <c r="AI324" s="110" t="str">
        <f aca="false">IF(ISNUMBER(I324),"yes","no")</f>
        <v>yes</v>
      </c>
      <c r="AJ324" s="120" t="n">
        <v>46295</v>
      </c>
      <c r="AK324" s="110"/>
    </row>
    <row r="325" customFormat="false" ht="42" hidden="false" customHeight="true" outlineLevel="0" collapsed="false">
      <c r="A325" s="3"/>
      <c r="B325" s="31" t="s">
        <v>35</v>
      </c>
      <c r="C325" s="91" t="s">
        <v>18</v>
      </c>
      <c r="D325" s="91" t="s">
        <v>369</v>
      </c>
      <c r="E325" s="109" t="s">
        <v>1325</v>
      </c>
      <c r="F325" s="92" t="n">
        <v>13.61</v>
      </c>
      <c r="G325" s="91" t="s">
        <v>244</v>
      </c>
      <c r="H325" s="112" t="n">
        <f aca="false">IF(AND(AE325="yes",ISNUMBER(AD325)),AD325,"")</f>
        <v>11.065041</v>
      </c>
      <c r="I325" s="95" t="n">
        <f aca="false">IF(AND(AE325="yes",ISNUMBER(AD325),ISNUMBER(INDEX(Sources!$G$7:$G$10,MATCH(AB325,Sources!$B$7:$B$10,0)))),ROUND(AD325/INDEX(Sources!$G$7:$G$10,MATCH(AB325,Sources!$B$7:$B$10,0)),6),"")</f>
        <v>11.065041</v>
      </c>
      <c r="J325" s="91" t="s">
        <v>530</v>
      </c>
      <c r="K325" s="91" t="s">
        <v>586</v>
      </c>
      <c r="L325" s="96"/>
      <c r="M325" s="109" t="s">
        <v>1326</v>
      </c>
      <c r="N325" s="113" t="s">
        <v>1327</v>
      </c>
      <c r="O325" s="109" t="s">
        <v>565</v>
      </c>
      <c r="P325" s="109" t="s">
        <v>265</v>
      </c>
      <c r="Q325" s="114" t="n">
        <v>0.23</v>
      </c>
      <c r="R325" s="109" t="n">
        <v>1</v>
      </c>
      <c r="S325" s="109" t="s">
        <v>632</v>
      </c>
      <c r="T325" s="109" t="s">
        <v>530</v>
      </c>
      <c r="U325" s="109" t="s">
        <v>591</v>
      </c>
      <c r="V325" s="115" t="n">
        <v>11.0650406504065</v>
      </c>
      <c r="W325" s="115"/>
      <c r="X325" s="109" t="s">
        <v>648</v>
      </c>
      <c r="Y325" s="109"/>
      <c r="Z325" s="109"/>
      <c r="AA325" s="109"/>
      <c r="AB325" s="109" t="s">
        <v>244</v>
      </c>
      <c r="AC325" s="109" t="s">
        <v>538</v>
      </c>
      <c r="AD325" s="109" t="n">
        <f aca="false">IF(ISNUMBER(V325),ROUND(V325,6),"")</f>
        <v>11.065041</v>
      </c>
      <c r="AE325" s="109" t="str">
        <f aca="false">IF(AND(AC325="yes",ISNUMBER(F325),IF(Compare!$H$5="All mapped",TRUE(),IF(Compare!$H$5="EXACT only",J325="EXACT",OR(J325="EXACT",J325="CLOSE")))),"yes","no")</f>
        <v>yes</v>
      </c>
      <c r="AF325" s="109" t="n">
        <f aca="false">IF(ISNUMBER(H325),COUNTIFS($B$7:$B$3000,B325,$C$7:$C$3000,C325,$H$7:$H$3000,"&lt;"&amp;H325,$AH$7:$AH$3000,"yes")+COUNTIFS($B$7:B325,B325,$C$7:C325,C325,$H$7:H325,H325,$AH$7:AH325,"yes"),"")</f>
        <v>1</v>
      </c>
      <c r="AG325" s="109" t="n">
        <f aca="false">IF(ISNUMBER(I325),COUNTIFS($B$7:$B$3000,B325,$C$7:$C$3000,C325,$I$7:$I$3000,"&lt;"&amp;I325,$AI$7:$AI$3000,"yes")+COUNTIFS($B$7:B325,B325,$C$7:C325,C325,$I$7:I325,I325,$AI$7:AI325,"yes"),"")</f>
        <v>1</v>
      </c>
      <c r="AH325" s="109" t="str">
        <f aca="false">IF(ISNUMBER(H325),"yes","no")</f>
        <v>yes</v>
      </c>
      <c r="AI325" s="109" t="str">
        <f aca="false">IF(ISNUMBER(I325),"yes","no")</f>
        <v>yes</v>
      </c>
      <c r="AJ325" s="116" t="n">
        <v>46295</v>
      </c>
      <c r="AK325" s="109"/>
    </row>
    <row r="326" customFormat="false" ht="42" hidden="false" customHeight="true" outlineLevel="0" collapsed="false">
      <c r="A326" s="3"/>
      <c r="B326" s="36" t="s">
        <v>37</v>
      </c>
      <c r="C326" s="98" t="s">
        <v>13</v>
      </c>
      <c r="D326" s="98" t="s">
        <v>528</v>
      </c>
      <c r="E326" s="110" t="s">
        <v>1328</v>
      </c>
      <c r="F326" s="99" t="n">
        <v>2480</v>
      </c>
      <c r="G326" s="98" t="s">
        <v>490</v>
      </c>
      <c r="H326" s="112" t="n">
        <f aca="false">IF(AND(AE326="yes",ISNUMBER(AD326)),AD326,"")</f>
        <v>2480</v>
      </c>
      <c r="I326" s="95" t="n">
        <f aca="false">IF(AND(AE326="yes",ISNUMBER(AD326),ISNUMBER(INDEX(Sources!$G$7:$G$10,MATCH(AB326,Sources!$B$7:$B$10,0)))),ROUND(AD326/INDEX(Sources!$G$7:$G$10,MATCH(AB326,Sources!$B$7:$B$10,0)),6),"")</f>
        <v>6.77392</v>
      </c>
      <c r="J326" s="98" t="s">
        <v>530</v>
      </c>
      <c r="K326" s="98" t="s">
        <v>1202</v>
      </c>
      <c r="L326" s="96"/>
      <c r="M326" s="110" t="s">
        <v>1203</v>
      </c>
      <c r="N326" s="117" t="s">
        <v>1204</v>
      </c>
      <c r="O326" s="110"/>
      <c r="P326" s="110"/>
      <c r="Q326" s="118"/>
      <c r="R326" s="110"/>
      <c r="S326" s="110"/>
      <c r="T326" s="110"/>
      <c r="U326" s="110" t="s">
        <v>1329</v>
      </c>
      <c r="V326" s="119"/>
      <c r="W326" s="119" t="n">
        <v>2480</v>
      </c>
      <c r="X326" s="110" t="s">
        <v>535</v>
      </c>
      <c r="Y326" s="110" t="s">
        <v>1018</v>
      </c>
      <c r="Z326" s="110"/>
      <c r="AA326" s="110" t="s">
        <v>537</v>
      </c>
      <c r="AB326" s="110" t="s">
        <v>490</v>
      </c>
      <c r="AC326" s="110" t="s">
        <v>538</v>
      </c>
      <c r="AD326" s="119" t="n">
        <f aca="false">IF(ISNUMBER(F326),IF(G326=AB326,F326,IF(AND(ISNUMBER(INDEX(Sources!$G$7:$G$10,MATCH(G326,Sources!$B$7:$B$10,0))),ISNUMBER(INDEX(Sources!$G$7:$G$10,MATCH(AB326,Sources!$B$7:$B$10,0)))),F326/INDEX(Sources!$G$7:$G$10,MATCH(G326,Sources!$B$7:$B$10,0))*INDEX(Sources!$G$7:$G$10,MATCH(AB326,Sources!$B$7:$B$10,0)),"")),"")</f>
        <v>2480</v>
      </c>
      <c r="AE326" s="110" t="str">
        <f aca="false">IF(AND(AC326="yes",ISNUMBER(F326),IF(Compare!$H$5="All mapped",TRUE(),IF(Compare!$H$5="EXACT only",J326="EXACT",OR(J326="EXACT",J326="CLOSE")))),"yes","no")</f>
        <v>yes</v>
      </c>
      <c r="AF326" s="110" t="n">
        <f aca="false">IF(ISNUMBER(H326),COUNTIFS($B$7:$B$3000,B326,$C$7:$C$3000,C326,$H$7:$H$3000,"&lt;"&amp;H326,$AH$7:$AH$3000,"yes")+COUNTIFS($B$7:B326,B326,$C$7:C326,C326,$H$7:H326,H326,$AH$7:AH326,"yes"),"")</f>
        <v>1</v>
      </c>
      <c r="AG326" s="110" t="n">
        <f aca="false">IF(ISNUMBER(I326),COUNTIFS($B$7:$B$3000,B326,$C$7:$C$3000,C326,$I$7:$I$3000,"&lt;"&amp;I326,$AI$7:$AI$3000,"yes")+COUNTIFS($B$7:B326,B326,$C$7:C326,C326,$I$7:I326,I326,$AI$7:AI326,"yes"),"")</f>
        <v>1</v>
      </c>
      <c r="AH326" s="110" t="str">
        <f aca="false">IF(ISNUMBER(H326),"yes","no")</f>
        <v>yes</v>
      </c>
      <c r="AI326" s="110" t="str">
        <f aca="false">IF(ISNUMBER(I326),"yes","no")</f>
        <v>yes</v>
      </c>
      <c r="AJ326" s="120" t="n">
        <v>46199</v>
      </c>
      <c r="AK326" s="110"/>
    </row>
    <row r="327" customFormat="false" ht="42" hidden="false" customHeight="true" outlineLevel="0" collapsed="false">
      <c r="A327" s="3"/>
      <c r="B327" s="31" t="s">
        <v>37</v>
      </c>
      <c r="C327" s="91" t="s">
        <v>13</v>
      </c>
      <c r="D327" s="91" t="s">
        <v>546</v>
      </c>
      <c r="E327" s="109" t="s">
        <v>1328</v>
      </c>
      <c r="F327" s="92" t="n">
        <v>3614</v>
      </c>
      <c r="G327" s="91" t="s">
        <v>490</v>
      </c>
      <c r="H327" s="112" t="n">
        <f aca="false">IF(AND(AE327="yes",ISNUMBER(AD327)),AD327,"")</f>
        <v>3614</v>
      </c>
      <c r="I327" s="95" t="n">
        <f aca="false">IF(AND(AE327="yes",ISNUMBER(AD327),ISNUMBER(INDEX(Sources!$G$7:$G$10,MATCH(AB327,Sources!$B$7:$B$10,0)))),ROUND(AD327/INDEX(Sources!$G$7:$G$10,MATCH(AB327,Sources!$B$7:$B$10,0)),6),"")</f>
        <v>9.87135</v>
      </c>
      <c r="J327" s="91" t="s">
        <v>530</v>
      </c>
      <c r="K327" s="91" t="s">
        <v>1202</v>
      </c>
      <c r="L327" s="96"/>
      <c r="M327" s="109" t="s">
        <v>1203</v>
      </c>
      <c r="N327" s="113" t="s">
        <v>1271</v>
      </c>
      <c r="O327" s="109"/>
      <c r="P327" s="109"/>
      <c r="Q327" s="114"/>
      <c r="R327" s="109"/>
      <c r="S327" s="109"/>
      <c r="T327" s="109"/>
      <c r="U327" s="109" t="s">
        <v>1329</v>
      </c>
      <c r="V327" s="115"/>
      <c r="W327" s="115" t="n">
        <v>3614</v>
      </c>
      <c r="X327" s="109" t="s">
        <v>535</v>
      </c>
      <c r="Y327" s="109" t="s">
        <v>1018</v>
      </c>
      <c r="Z327" s="109"/>
      <c r="AA327" s="109" t="s">
        <v>537</v>
      </c>
      <c r="AB327" s="109" t="s">
        <v>490</v>
      </c>
      <c r="AC327" s="109" t="s">
        <v>538</v>
      </c>
      <c r="AD327" s="115" t="n">
        <f aca="false">IF(ISNUMBER(F327),IF(G327=AB327,F327,IF(AND(ISNUMBER(INDEX(Sources!$G$7:$G$10,MATCH(G327,Sources!$B$7:$B$10,0))),ISNUMBER(INDEX(Sources!$G$7:$G$10,MATCH(AB327,Sources!$B$7:$B$10,0)))),F327/INDEX(Sources!$G$7:$G$10,MATCH(G327,Sources!$B$7:$B$10,0))*INDEX(Sources!$G$7:$G$10,MATCH(AB327,Sources!$B$7:$B$10,0)),"")),"")</f>
        <v>3614</v>
      </c>
      <c r="AE327" s="109" t="str">
        <f aca="false">IF(AND(AC327="yes",ISNUMBER(F327),IF(Compare!$H$5="All mapped",TRUE(),IF(Compare!$H$5="EXACT only",J327="EXACT",OR(J327="EXACT",J327="CLOSE")))),"yes","no")</f>
        <v>yes</v>
      </c>
      <c r="AF327" s="109" t="n">
        <f aca="false">IF(ISNUMBER(H327),COUNTIFS($B$7:$B$3000,B327,$C$7:$C$3000,C327,$H$7:$H$3000,"&lt;"&amp;H327,$AH$7:$AH$3000,"yes")+COUNTIFS($B$7:B327,B327,$C$7:C327,C327,$H$7:H327,H327,$AH$7:AH327,"yes"),"")</f>
        <v>2</v>
      </c>
      <c r="AG327" s="109" t="n">
        <f aca="false">IF(ISNUMBER(I327),COUNTIFS($B$7:$B$3000,B327,$C$7:$C$3000,C327,$I$7:$I$3000,"&lt;"&amp;I327,$AI$7:$AI$3000,"yes")+COUNTIFS($B$7:B327,B327,$C$7:C327,C327,$I$7:I327,I327,$AI$7:AI327,"yes"),"")</f>
        <v>2</v>
      </c>
      <c r="AH327" s="109" t="str">
        <f aca="false">IF(ISNUMBER(H327),"yes","no")</f>
        <v>yes</v>
      </c>
      <c r="AI327" s="109" t="str">
        <f aca="false">IF(ISNUMBER(I327),"yes","no")</f>
        <v>yes</v>
      </c>
      <c r="AJ327" s="116" t="n">
        <v>46199</v>
      </c>
      <c r="AK327" s="109"/>
    </row>
    <row r="328" customFormat="false" ht="42" hidden="false" customHeight="true" outlineLevel="0" collapsed="false">
      <c r="A328" s="3"/>
      <c r="B328" s="36" t="s">
        <v>37</v>
      </c>
      <c r="C328" s="98" t="s">
        <v>13</v>
      </c>
      <c r="D328" s="98" t="s">
        <v>548</v>
      </c>
      <c r="E328" s="110" t="s">
        <v>1330</v>
      </c>
      <c r="F328" s="99" t="n">
        <v>5105</v>
      </c>
      <c r="G328" s="98" t="s">
        <v>490</v>
      </c>
      <c r="H328" s="112" t="n">
        <f aca="false">IF(AND(AE328="yes",ISNUMBER(AD328)),AD328,"")</f>
        <v>5105</v>
      </c>
      <c r="I328" s="95" t="n">
        <f aca="false">IF(AND(AE328="yes",ISNUMBER(AD328),ISNUMBER(INDEX(Sources!$G$7:$G$10,MATCH(AB328,Sources!$B$7:$B$10,0)))),ROUND(AD328/INDEX(Sources!$G$7:$G$10,MATCH(AB328,Sources!$B$7:$B$10,0)),6),"")</f>
        <v>13.943897</v>
      </c>
      <c r="J328" s="98" t="s">
        <v>530</v>
      </c>
      <c r="K328" s="98" t="s">
        <v>1202</v>
      </c>
      <c r="L328" s="96"/>
      <c r="M328" s="110" t="s">
        <v>1203</v>
      </c>
      <c r="N328" s="117" t="s">
        <v>1272</v>
      </c>
      <c r="O328" s="110"/>
      <c r="P328" s="110"/>
      <c r="Q328" s="118"/>
      <c r="R328" s="110"/>
      <c r="S328" s="110"/>
      <c r="T328" s="110"/>
      <c r="U328" s="110" t="s">
        <v>1329</v>
      </c>
      <c r="V328" s="119"/>
      <c r="W328" s="119" t="n">
        <v>5105</v>
      </c>
      <c r="X328" s="110" t="s">
        <v>535</v>
      </c>
      <c r="Y328" s="110" t="s">
        <v>1018</v>
      </c>
      <c r="Z328" s="110"/>
      <c r="AA328" s="110" t="s">
        <v>537</v>
      </c>
      <c r="AB328" s="110" t="s">
        <v>490</v>
      </c>
      <c r="AC328" s="110" t="s">
        <v>538</v>
      </c>
      <c r="AD328" s="119" t="n">
        <f aca="false">IF(ISNUMBER(F328),IF(G328=AB328,F328,IF(AND(ISNUMBER(INDEX(Sources!$G$7:$G$10,MATCH(G328,Sources!$B$7:$B$10,0))),ISNUMBER(INDEX(Sources!$G$7:$G$10,MATCH(AB328,Sources!$B$7:$B$10,0)))),F328/INDEX(Sources!$G$7:$G$10,MATCH(G328,Sources!$B$7:$B$10,0))*INDEX(Sources!$G$7:$G$10,MATCH(AB328,Sources!$B$7:$B$10,0)),"")),"")</f>
        <v>5105</v>
      </c>
      <c r="AE328" s="110" t="str">
        <f aca="false">IF(AND(AC328="yes",ISNUMBER(F328),IF(Compare!$H$5="All mapped",TRUE(),IF(Compare!$H$5="EXACT only",J328="EXACT",OR(J328="EXACT",J328="CLOSE")))),"yes","no")</f>
        <v>yes</v>
      </c>
      <c r="AF328" s="110" t="n">
        <f aca="false">IF(ISNUMBER(H328),COUNTIFS($B$7:$B$3000,B328,$C$7:$C$3000,C328,$H$7:$H$3000,"&lt;"&amp;H328,$AH$7:$AH$3000,"yes")+COUNTIFS($B$7:B328,B328,$C$7:C328,C328,$H$7:H328,H328,$AH$7:AH328,"yes"),"")</f>
        <v>5</v>
      </c>
      <c r="AG328" s="110" t="n">
        <f aca="false">IF(ISNUMBER(I328),COUNTIFS($B$7:$B$3000,B328,$C$7:$C$3000,C328,$I$7:$I$3000,"&lt;"&amp;I328,$AI$7:$AI$3000,"yes")+COUNTIFS($B$7:B328,B328,$C$7:C328,C328,$I$7:I328,I328,$AI$7:AI328,"yes"),"")</f>
        <v>5</v>
      </c>
      <c r="AH328" s="110" t="str">
        <f aca="false">IF(ISNUMBER(H328),"yes","no")</f>
        <v>yes</v>
      </c>
      <c r="AI328" s="110" t="str">
        <f aca="false">IF(ISNUMBER(I328),"yes","no")</f>
        <v>yes</v>
      </c>
      <c r="AJ328" s="120" t="n">
        <v>46199</v>
      </c>
      <c r="AK328" s="110"/>
    </row>
    <row r="329" customFormat="false" ht="42" hidden="false" customHeight="true" outlineLevel="0" collapsed="false">
      <c r="A329" s="3"/>
      <c r="B329" s="31" t="s">
        <v>37</v>
      </c>
      <c r="C329" s="91" t="s">
        <v>13</v>
      </c>
      <c r="D329" s="91" t="s">
        <v>548</v>
      </c>
      <c r="E329" s="109" t="s">
        <v>1328</v>
      </c>
      <c r="F329" s="92" t="n">
        <v>4518</v>
      </c>
      <c r="G329" s="91" t="s">
        <v>490</v>
      </c>
      <c r="H329" s="112" t="n">
        <f aca="false">IF(AND(AE329="yes",ISNUMBER(AD329)),AD329,"")</f>
        <v>4518</v>
      </c>
      <c r="I329" s="95" t="n">
        <f aca="false">IF(AND(AE329="yes",ISNUMBER(AD329),ISNUMBER(INDEX(Sources!$G$7:$G$10,MATCH(AB329,Sources!$B$7:$B$10,0)))),ROUND(AD329/INDEX(Sources!$G$7:$G$10,MATCH(AB329,Sources!$B$7:$B$10,0)),6),"")</f>
        <v>12.340553</v>
      </c>
      <c r="J329" s="91" t="s">
        <v>530</v>
      </c>
      <c r="K329" s="91" t="s">
        <v>1202</v>
      </c>
      <c r="L329" s="96"/>
      <c r="M329" s="109" t="s">
        <v>1203</v>
      </c>
      <c r="N329" s="113" t="s">
        <v>1272</v>
      </c>
      <c r="O329" s="109"/>
      <c r="P329" s="109"/>
      <c r="Q329" s="114"/>
      <c r="R329" s="109"/>
      <c r="S329" s="109"/>
      <c r="T329" s="109"/>
      <c r="U329" s="109" t="s">
        <v>1329</v>
      </c>
      <c r="V329" s="115"/>
      <c r="W329" s="115" t="n">
        <v>4518</v>
      </c>
      <c r="X329" s="109" t="s">
        <v>535</v>
      </c>
      <c r="Y329" s="109" t="s">
        <v>1018</v>
      </c>
      <c r="Z329" s="109"/>
      <c r="AA329" s="109" t="s">
        <v>537</v>
      </c>
      <c r="AB329" s="109" t="s">
        <v>490</v>
      </c>
      <c r="AC329" s="109" t="s">
        <v>538</v>
      </c>
      <c r="AD329" s="115" t="n">
        <f aca="false">IF(ISNUMBER(F329),IF(G329=AB329,F329,IF(AND(ISNUMBER(INDEX(Sources!$G$7:$G$10,MATCH(G329,Sources!$B$7:$B$10,0))),ISNUMBER(INDEX(Sources!$G$7:$G$10,MATCH(AB329,Sources!$B$7:$B$10,0)))),F329/INDEX(Sources!$G$7:$G$10,MATCH(G329,Sources!$B$7:$B$10,0))*INDEX(Sources!$G$7:$G$10,MATCH(AB329,Sources!$B$7:$B$10,0)),"")),"")</f>
        <v>4518</v>
      </c>
      <c r="AE329" s="109" t="str">
        <f aca="false">IF(AND(AC329="yes",ISNUMBER(F329),IF(Compare!$H$5="All mapped",TRUE(),IF(Compare!$H$5="EXACT only",J329="EXACT",OR(J329="EXACT",J329="CLOSE")))),"yes","no")</f>
        <v>yes</v>
      </c>
      <c r="AF329" s="109" t="n">
        <f aca="false">IF(ISNUMBER(H329),COUNTIFS($B$7:$B$3000,B329,$C$7:$C$3000,C329,$H$7:$H$3000,"&lt;"&amp;H329,$AH$7:$AH$3000,"yes")+COUNTIFS($B$7:B329,B329,$C$7:C329,C329,$H$7:H329,H329,$AH$7:AH329,"yes"),"")</f>
        <v>4</v>
      </c>
      <c r="AG329" s="109" t="n">
        <f aca="false">IF(ISNUMBER(I329),COUNTIFS($B$7:$B$3000,B329,$C$7:$C$3000,C329,$I$7:$I$3000,"&lt;"&amp;I329,$AI$7:$AI$3000,"yes")+COUNTIFS($B$7:B329,B329,$C$7:C329,C329,$I$7:I329,I329,$AI$7:AI329,"yes"),"")</f>
        <v>4</v>
      </c>
      <c r="AH329" s="109" t="str">
        <f aca="false">IF(ISNUMBER(H329),"yes","no")</f>
        <v>yes</v>
      </c>
      <c r="AI329" s="109" t="str">
        <f aca="false">IF(ISNUMBER(I329),"yes","no")</f>
        <v>yes</v>
      </c>
      <c r="AJ329" s="116" t="n">
        <v>46199</v>
      </c>
      <c r="AK329" s="109"/>
    </row>
    <row r="330" customFormat="false" ht="42" hidden="false" customHeight="true" outlineLevel="0" collapsed="false">
      <c r="A330" s="3"/>
      <c r="B330" s="36" t="s">
        <v>37</v>
      </c>
      <c r="C330" s="98" t="s">
        <v>13</v>
      </c>
      <c r="D330" s="98" t="s">
        <v>550</v>
      </c>
      <c r="E330" s="110" t="s">
        <v>1328</v>
      </c>
      <c r="F330" s="99" t="n">
        <v>4000</v>
      </c>
      <c r="G330" s="98" t="s">
        <v>490</v>
      </c>
      <c r="H330" s="112" t="n">
        <f aca="false">IF(AND(AE330="yes",ISNUMBER(AD330)),AD330,"")</f>
        <v>4000</v>
      </c>
      <c r="I330" s="95" t="n">
        <f aca="false">IF(AND(AE330="yes",ISNUMBER(AD330),ISNUMBER(INDEX(Sources!$G$7:$G$10,MATCH(AB330,Sources!$B$7:$B$10,0)))),ROUND(AD330/INDEX(Sources!$G$7:$G$10,MATCH(AB330,Sources!$B$7:$B$10,0)),6),"")</f>
        <v>10.925678</v>
      </c>
      <c r="J330" s="98" t="s">
        <v>530</v>
      </c>
      <c r="K330" s="98" t="s">
        <v>1202</v>
      </c>
      <c r="L330" s="96"/>
      <c r="M330" s="110" t="s">
        <v>1203</v>
      </c>
      <c r="N330" s="117" t="s">
        <v>1275</v>
      </c>
      <c r="O330" s="110"/>
      <c r="P330" s="110"/>
      <c r="Q330" s="118"/>
      <c r="R330" s="110"/>
      <c r="S330" s="110"/>
      <c r="T330" s="110"/>
      <c r="U330" s="110" t="s">
        <v>1329</v>
      </c>
      <c r="V330" s="119"/>
      <c r="W330" s="119" t="n">
        <v>4000</v>
      </c>
      <c r="X330" s="110" t="s">
        <v>535</v>
      </c>
      <c r="Y330" s="110" t="s">
        <v>1018</v>
      </c>
      <c r="Z330" s="110"/>
      <c r="AA330" s="110" t="s">
        <v>537</v>
      </c>
      <c r="AB330" s="110" t="s">
        <v>490</v>
      </c>
      <c r="AC330" s="110" t="s">
        <v>538</v>
      </c>
      <c r="AD330" s="119" t="n">
        <f aca="false">IF(ISNUMBER(F330),IF(G330=AB330,F330,IF(AND(ISNUMBER(INDEX(Sources!$G$7:$G$10,MATCH(G330,Sources!$B$7:$B$10,0))),ISNUMBER(INDEX(Sources!$G$7:$G$10,MATCH(AB330,Sources!$B$7:$B$10,0)))),F330/INDEX(Sources!$G$7:$G$10,MATCH(G330,Sources!$B$7:$B$10,0))*INDEX(Sources!$G$7:$G$10,MATCH(AB330,Sources!$B$7:$B$10,0)),"")),"")</f>
        <v>4000</v>
      </c>
      <c r="AE330" s="110" t="str">
        <f aca="false">IF(AND(AC330="yes",ISNUMBER(F330),IF(Compare!$H$5="All mapped",TRUE(),IF(Compare!$H$5="EXACT only",J330="EXACT",OR(J330="EXACT",J330="CLOSE")))),"yes","no")</f>
        <v>yes</v>
      </c>
      <c r="AF330" s="110" t="n">
        <f aca="false">IF(ISNUMBER(H330),COUNTIFS($B$7:$B$3000,B330,$C$7:$C$3000,C330,$H$7:$H$3000,"&lt;"&amp;H330,$AH$7:$AH$3000,"yes")+COUNTIFS($B$7:B330,B330,$C$7:C330,C330,$H$7:H330,H330,$AH$7:AH330,"yes"),"")</f>
        <v>3</v>
      </c>
      <c r="AG330" s="110" t="n">
        <f aca="false">IF(ISNUMBER(I330),COUNTIFS($B$7:$B$3000,B330,$C$7:$C$3000,C330,$I$7:$I$3000,"&lt;"&amp;I330,$AI$7:$AI$3000,"yes")+COUNTIFS($B$7:B330,B330,$C$7:C330,C330,$I$7:I330,I330,$AI$7:AI330,"yes"),"")</f>
        <v>3</v>
      </c>
      <c r="AH330" s="110" t="str">
        <f aca="false">IF(ISNUMBER(H330),"yes","no")</f>
        <v>yes</v>
      </c>
      <c r="AI330" s="110" t="str">
        <f aca="false">IF(ISNUMBER(I330),"yes","no")</f>
        <v>yes</v>
      </c>
      <c r="AJ330" s="120" t="n">
        <v>46199</v>
      </c>
      <c r="AK330" s="110"/>
    </row>
    <row r="331" customFormat="false" ht="42" hidden="false" customHeight="true" outlineLevel="0" collapsed="false">
      <c r="A331" s="3"/>
      <c r="B331" s="31" t="s">
        <v>37</v>
      </c>
      <c r="C331" s="91" t="s">
        <v>15</v>
      </c>
      <c r="D331" s="91" t="s">
        <v>243</v>
      </c>
      <c r="E331" s="109" t="s">
        <v>1331</v>
      </c>
      <c r="F331" s="92" t="n">
        <v>12.8</v>
      </c>
      <c r="G331" s="91" t="s">
        <v>244</v>
      </c>
      <c r="H331" s="112" t="n">
        <f aca="false">IF(AND(AE331="yes",ISNUMBER(AD331)),AD331,"")</f>
        <v>12.8</v>
      </c>
      <c r="I331" s="95" t="n">
        <f aca="false">IF(AND(AE331="yes",ISNUMBER(AD331),ISNUMBER(INDEX(Sources!$G$7:$G$10,MATCH(AB331,Sources!$B$7:$B$10,0)))),ROUND(AD331/INDEX(Sources!$G$7:$G$10,MATCH(AB331,Sources!$B$7:$B$10,0)),6),"")</f>
        <v>12.8</v>
      </c>
      <c r="J331" s="91" t="s">
        <v>530</v>
      </c>
      <c r="K331" s="91" t="s">
        <v>586</v>
      </c>
      <c r="L331" s="96"/>
      <c r="M331" s="109" t="s">
        <v>1332</v>
      </c>
      <c r="N331" s="113" t="s">
        <v>1333</v>
      </c>
      <c r="O331" s="109" t="s">
        <v>1215</v>
      </c>
      <c r="P331" s="109" t="s">
        <v>590</v>
      </c>
      <c r="Q331" s="114"/>
      <c r="R331" s="109" t="n">
        <v>1</v>
      </c>
      <c r="S331" s="109"/>
      <c r="T331" s="109" t="s">
        <v>530</v>
      </c>
      <c r="U331" s="109" t="s">
        <v>591</v>
      </c>
      <c r="V331" s="115" t="n">
        <v>12.8</v>
      </c>
      <c r="W331" s="115"/>
      <c r="X331" s="109" t="s">
        <v>592</v>
      </c>
      <c r="Y331" s="109"/>
      <c r="Z331" s="109"/>
      <c r="AA331" s="109"/>
      <c r="AB331" s="109" t="s">
        <v>244</v>
      </c>
      <c r="AC331" s="109" t="s">
        <v>538</v>
      </c>
      <c r="AD331" s="109" t="n">
        <f aca="false">IF(ISNUMBER(V331),ROUND(V331,6),"")</f>
        <v>12.8</v>
      </c>
      <c r="AE331" s="109" t="str">
        <f aca="false">IF(AND(AC331="yes",ISNUMBER(F331),IF(Compare!$H$5="All mapped",TRUE(),IF(Compare!$H$5="EXACT only",J331="EXACT",OR(J331="EXACT",J331="CLOSE")))),"yes","no")</f>
        <v>yes</v>
      </c>
      <c r="AF331" s="109" t="n">
        <f aca="false">IF(ISNUMBER(H331),COUNTIFS($B$7:$B$3000,B331,$C$7:$C$3000,C331,$H$7:$H$3000,"&lt;"&amp;H331,$AH$7:$AH$3000,"yes")+COUNTIFS($B$7:B331,B331,$C$7:C331,C331,$H$7:H331,H331,$AH$7:AH331,"yes"),"")</f>
        <v>5</v>
      </c>
      <c r="AG331" s="109" t="n">
        <f aca="false">IF(ISNUMBER(I331),COUNTIFS($B$7:$B$3000,B331,$C$7:$C$3000,C331,$I$7:$I$3000,"&lt;"&amp;I331,$AI$7:$AI$3000,"yes")+COUNTIFS($B$7:B331,B331,$C$7:C331,C331,$I$7:I331,I331,$AI$7:AI331,"yes"),"")</f>
        <v>5</v>
      </c>
      <c r="AH331" s="109" t="str">
        <f aca="false">IF(ISNUMBER(H331),"yes","no")</f>
        <v>yes</v>
      </c>
      <c r="AI331" s="109" t="str">
        <f aca="false">IF(ISNUMBER(I331),"yes","no")</f>
        <v>yes</v>
      </c>
      <c r="AJ331" s="116" t="n">
        <v>46295</v>
      </c>
      <c r="AK331" s="109"/>
    </row>
    <row r="332" customFormat="false" ht="42" hidden="false" customHeight="true" outlineLevel="0" collapsed="false">
      <c r="A332" s="3"/>
      <c r="B332" s="36" t="s">
        <v>37</v>
      </c>
      <c r="C332" s="98" t="s">
        <v>15</v>
      </c>
      <c r="D332" s="98" t="s">
        <v>269</v>
      </c>
      <c r="E332" s="110" t="s">
        <v>1334</v>
      </c>
      <c r="F332" s="99" t="n">
        <v>33.59</v>
      </c>
      <c r="G332" s="98" t="s">
        <v>244</v>
      </c>
      <c r="H332" s="112" t="n">
        <f aca="false">IF(AND(AE332="yes",ISNUMBER(AD332)),AD332,"")</f>
        <v>33.59</v>
      </c>
      <c r="I332" s="95" t="n">
        <f aca="false">IF(AND(AE332="yes",ISNUMBER(AD332),ISNUMBER(INDEX(Sources!$G$7:$G$10,MATCH(AB332,Sources!$B$7:$B$10,0)))),ROUND(AD332/INDEX(Sources!$G$7:$G$10,MATCH(AB332,Sources!$B$7:$B$10,0)),6),"")</f>
        <v>33.59</v>
      </c>
      <c r="J332" s="98" t="s">
        <v>530</v>
      </c>
      <c r="K332" s="98" t="s">
        <v>586</v>
      </c>
      <c r="L332" s="96"/>
      <c r="M332" s="110" t="s">
        <v>1335</v>
      </c>
      <c r="N332" s="117" t="s">
        <v>1336</v>
      </c>
      <c r="O332" s="110" t="s">
        <v>646</v>
      </c>
      <c r="P332" s="110" t="s">
        <v>590</v>
      </c>
      <c r="Q332" s="118"/>
      <c r="R332" s="110" t="n">
        <v>1</v>
      </c>
      <c r="S332" s="110"/>
      <c r="T332" s="110" t="s">
        <v>530</v>
      </c>
      <c r="U332" s="110" t="s">
        <v>591</v>
      </c>
      <c r="V332" s="119" t="n">
        <v>33.59</v>
      </c>
      <c r="W332" s="119"/>
      <c r="X332" s="110" t="s">
        <v>592</v>
      </c>
      <c r="Y332" s="110"/>
      <c r="Z332" s="110"/>
      <c r="AA332" s="110"/>
      <c r="AB332" s="110" t="s">
        <v>244</v>
      </c>
      <c r="AC332" s="110" t="s">
        <v>538</v>
      </c>
      <c r="AD332" s="110" t="n">
        <f aca="false">IF(ISNUMBER(V332),ROUND(V332,6),"")</f>
        <v>33.59</v>
      </c>
      <c r="AE332" s="110" t="str">
        <f aca="false">IF(AND(AC332="yes",ISNUMBER(F332),IF(Compare!$H$5="All mapped",TRUE(),IF(Compare!$H$5="EXACT only",J332="EXACT",OR(J332="EXACT",J332="CLOSE")))),"yes","no")</f>
        <v>yes</v>
      </c>
      <c r="AF332" s="110" t="n">
        <f aca="false">IF(ISNUMBER(H332),COUNTIFS($B$7:$B$3000,B332,$C$7:$C$3000,C332,$H$7:$H$3000,"&lt;"&amp;H332,$AH$7:$AH$3000,"yes")+COUNTIFS($B$7:B332,B332,$C$7:C332,C332,$H$7:H332,H332,$AH$7:AH332,"yes"),"")</f>
        <v>8</v>
      </c>
      <c r="AG332" s="110" t="n">
        <f aca="false">IF(ISNUMBER(I332),COUNTIFS($B$7:$B$3000,B332,$C$7:$C$3000,C332,$I$7:$I$3000,"&lt;"&amp;I332,$AI$7:$AI$3000,"yes")+COUNTIFS($B$7:B332,B332,$C$7:C332,C332,$I$7:I332,I332,$AI$7:AI332,"yes"),"")</f>
        <v>8</v>
      </c>
      <c r="AH332" s="110" t="str">
        <f aca="false">IF(ISNUMBER(H332),"yes","no")</f>
        <v>yes</v>
      </c>
      <c r="AI332" s="110" t="str">
        <f aca="false">IF(ISNUMBER(I332),"yes","no")</f>
        <v>yes</v>
      </c>
      <c r="AJ332" s="120" t="n">
        <v>46295</v>
      </c>
      <c r="AK332" s="110"/>
    </row>
    <row r="333" customFormat="false" ht="42" hidden="false" customHeight="true" outlineLevel="0" collapsed="false">
      <c r="A333" s="3"/>
      <c r="B333" s="31" t="s">
        <v>37</v>
      </c>
      <c r="C333" s="91" t="s">
        <v>15</v>
      </c>
      <c r="D333" s="91" t="s">
        <v>264</v>
      </c>
      <c r="E333" s="109" t="s">
        <v>1337</v>
      </c>
      <c r="F333" s="92" t="n">
        <v>9.88</v>
      </c>
      <c r="G333" s="91" t="s">
        <v>244</v>
      </c>
      <c r="H333" s="112" t="n">
        <f aca="false">IF(AND(AE333="yes",ISNUMBER(AD333)),AD333,"")</f>
        <v>9.88</v>
      </c>
      <c r="I333" s="95" t="n">
        <f aca="false">IF(AND(AE333="yes",ISNUMBER(AD333),ISNUMBER(INDEX(Sources!$G$7:$G$10,MATCH(AB333,Sources!$B$7:$B$10,0)))),ROUND(AD333/INDEX(Sources!$G$7:$G$10,MATCH(AB333,Sources!$B$7:$B$10,0)),6),"")</f>
        <v>9.88</v>
      </c>
      <c r="J333" s="91" t="s">
        <v>702</v>
      </c>
      <c r="K333" s="91" t="s">
        <v>586</v>
      </c>
      <c r="L333" s="96"/>
      <c r="M333" s="109" t="s">
        <v>1338</v>
      </c>
      <c r="N333" s="113" t="s">
        <v>1339</v>
      </c>
      <c r="O333" s="109" t="s">
        <v>646</v>
      </c>
      <c r="P333" s="109" t="s">
        <v>590</v>
      </c>
      <c r="Q333" s="114"/>
      <c r="R333" s="109" t="n">
        <v>1</v>
      </c>
      <c r="S333" s="109"/>
      <c r="T333" s="109" t="s">
        <v>702</v>
      </c>
      <c r="U333" s="109" t="s">
        <v>591</v>
      </c>
      <c r="V333" s="115" t="n">
        <v>9.88</v>
      </c>
      <c r="W333" s="115"/>
      <c r="X333" s="109" t="s">
        <v>592</v>
      </c>
      <c r="Y333" s="109"/>
      <c r="Z333" s="109"/>
      <c r="AA333" s="109"/>
      <c r="AB333" s="109" t="s">
        <v>244</v>
      </c>
      <c r="AC333" s="109" t="s">
        <v>538</v>
      </c>
      <c r="AD333" s="109" t="n">
        <f aca="false">IF(ISNUMBER(V333),ROUND(V333,6),"")</f>
        <v>9.88</v>
      </c>
      <c r="AE333" s="109" t="str">
        <f aca="false">IF(AND(AC333="yes",ISNUMBER(F333),IF(Compare!$H$5="All mapped",TRUE(),IF(Compare!$H$5="EXACT only",J333="EXACT",OR(J333="EXACT",J333="CLOSE")))),"yes","no")</f>
        <v>yes</v>
      </c>
      <c r="AF333" s="109" t="n">
        <f aca="false">IF(ISNUMBER(H333),COUNTIFS($B$7:$B$3000,B333,$C$7:$C$3000,C333,$H$7:$H$3000,"&lt;"&amp;H333,$AH$7:$AH$3000,"yes")+COUNTIFS($B$7:B333,B333,$C$7:C333,C333,$H$7:H333,H333,$AH$7:AH333,"yes"),"")</f>
        <v>3</v>
      </c>
      <c r="AG333" s="109" t="n">
        <f aca="false">IF(ISNUMBER(I333),COUNTIFS($B$7:$B$3000,B333,$C$7:$C$3000,C333,$I$7:$I$3000,"&lt;"&amp;I333,$AI$7:$AI$3000,"yes")+COUNTIFS($B$7:B333,B333,$C$7:C333,C333,$I$7:I333,I333,$AI$7:AI333,"yes"),"")</f>
        <v>3</v>
      </c>
      <c r="AH333" s="109" t="str">
        <f aca="false">IF(ISNUMBER(H333),"yes","no")</f>
        <v>yes</v>
      </c>
      <c r="AI333" s="109" t="str">
        <f aca="false">IF(ISNUMBER(I333),"yes","no")</f>
        <v>yes</v>
      </c>
      <c r="AJ333" s="116" t="n">
        <v>46295</v>
      </c>
      <c r="AK333" s="109"/>
    </row>
    <row r="334" customFormat="false" ht="42" hidden="false" customHeight="true" outlineLevel="0" collapsed="false">
      <c r="A334" s="3"/>
      <c r="B334" s="36" t="s">
        <v>37</v>
      </c>
      <c r="C334" s="98" t="s">
        <v>15</v>
      </c>
      <c r="D334" s="98" t="s">
        <v>273</v>
      </c>
      <c r="E334" s="110" t="s">
        <v>1340</v>
      </c>
      <c r="F334" s="99" t="n">
        <v>31.9</v>
      </c>
      <c r="G334" s="98" t="s">
        <v>244</v>
      </c>
      <c r="H334" s="112" t="n">
        <f aca="false">IF(AND(AE334="yes",ISNUMBER(AD334)),AD334,"")</f>
        <v>26.58</v>
      </c>
      <c r="I334" s="95" t="n">
        <f aca="false">IF(AND(AE334="yes",ISNUMBER(AD334),ISNUMBER(INDEX(Sources!$G$7:$G$10,MATCH(AB334,Sources!$B$7:$B$10,0)))),ROUND(AD334/INDEX(Sources!$G$7:$G$10,MATCH(AB334,Sources!$B$7:$B$10,0)),6),"")</f>
        <v>26.58</v>
      </c>
      <c r="J334" s="98" t="s">
        <v>530</v>
      </c>
      <c r="K334" s="98" t="s">
        <v>586</v>
      </c>
      <c r="L334" s="96"/>
      <c r="M334" s="110" t="s">
        <v>1024</v>
      </c>
      <c r="N334" s="117" t="s">
        <v>1341</v>
      </c>
      <c r="O334" s="110" t="s">
        <v>1225</v>
      </c>
      <c r="P334" s="110" t="s">
        <v>265</v>
      </c>
      <c r="Q334" s="118"/>
      <c r="R334" s="110" t="n">
        <v>1</v>
      </c>
      <c r="S334" s="110"/>
      <c r="T334" s="110" t="s">
        <v>530</v>
      </c>
      <c r="U334" s="110" t="s">
        <v>591</v>
      </c>
      <c r="V334" s="119" t="n">
        <v>26.58</v>
      </c>
      <c r="W334" s="119"/>
      <c r="X334" s="110" t="s">
        <v>592</v>
      </c>
      <c r="Y334" s="110"/>
      <c r="Z334" s="110"/>
      <c r="AA334" s="110"/>
      <c r="AB334" s="110" t="s">
        <v>244</v>
      </c>
      <c r="AC334" s="110" t="s">
        <v>538</v>
      </c>
      <c r="AD334" s="110" t="n">
        <f aca="false">IF(ISNUMBER(V334),ROUND(V334,6),"")</f>
        <v>26.58</v>
      </c>
      <c r="AE334" s="110" t="str">
        <f aca="false">IF(AND(AC334="yes",ISNUMBER(F334),IF(Compare!$H$5="All mapped",TRUE(),IF(Compare!$H$5="EXACT only",J334="EXACT",OR(J334="EXACT",J334="CLOSE")))),"yes","no")</f>
        <v>yes</v>
      </c>
      <c r="AF334" s="110" t="n">
        <f aca="false">IF(ISNUMBER(H334),COUNTIFS($B$7:$B$3000,B334,$C$7:$C$3000,C334,$H$7:$H$3000,"&lt;"&amp;H334,$AH$7:$AH$3000,"yes")+COUNTIFS($B$7:B334,B334,$C$7:C334,C334,$H$7:H334,H334,$AH$7:AH334,"yes"),"")</f>
        <v>7</v>
      </c>
      <c r="AG334" s="110" t="n">
        <f aca="false">IF(ISNUMBER(I334),COUNTIFS($B$7:$B$3000,B334,$C$7:$C$3000,C334,$I$7:$I$3000,"&lt;"&amp;I334,$AI$7:$AI$3000,"yes")+COUNTIFS($B$7:B334,B334,$C$7:C334,C334,$I$7:I334,I334,$AI$7:AI334,"yes"),"")</f>
        <v>7</v>
      </c>
      <c r="AH334" s="110" t="str">
        <f aca="false">IF(ISNUMBER(H334),"yes","no")</f>
        <v>yes</v>
      </c>
      <c r="AI334" s="110" t="str">
        <f aca="false">IF(ISNUMBER(I334),"yes","no")</f>
        <v>yes</v>
      </c>
      <c r="AJ334" s="120" t="n">
        <v>46295</v>
      </c>
      <c r="AK334" s="110"/>
    </row>
    <row r="335" customFormat="false" ht="42" hidden="false" customHeight="true" outlineLevel="0" collapsed="false">
      <c r="A335" s="3"/>
      <c r="B335" s="31" t="s">
        <v>37</v>
      </c>
      <c r="C335" s="91" t="s">
        <v>15</v>
      </c>
      <c r="D335" s="91" t="s">
        <v>281</v>
      </c>
      <c r="E335" s="109" t="s">
        <v>1342</v>
      </c>
      <c r="F335" s="92" t="n">
        <v>9.97</v>
      </c>
      <c r="G335" s="91" t="s">
        <v>244</v>
      </c>
      <c r="H335" s="112" t="n">
        <f aca="false">IF(AND(AE335="yes",ISNUMBER(AD335)),AD335,"")</f>
        <v>9.97</v>
      </c>
      <c r="I335" s="95" t="n">
        <f aca="false">IF(AND(AE335="yes",ISNUMBER(AD335),ISNUMBER(INDEX(Sources!$G$7:$G$10,MATCH(AB335,Sources!$B$7:$B$10,0)))),ROUND(AD335/INDEX(Sources!$G$7:$G$10,MATCH(AB335,Sources!$B$7:$B$10,0)),6),"")</f>
        <v>9.97</v>
      </c>
      <c r="J335" s="91" t="s">
        <v>530</v>
      </c>
      <c r="K335" s="91" t="s">
        <v>586</v>
      </c>
      <c r="L335" s="96"/>
      <c r="M335" s="109" t="s">
        <v>1343</v>
      </c>
      <c r="N335" s="113" t="s">
        <v>1344</v>
      </c>
      <c r="O335" s="109" t="s">
        <v>662</v>
      </c>
      <c r="P335" s="109" t="s">
        <v>590</v>
      </c>
      <c r="Q335" s="114"/>
      <c r="R335" s="109" t="n">
        <v>1</v>
      </c>
      <c r="S335" s="109"/>
      <c r="T335" s="109" t="s">
        <v>530</v>
      </c>
      <c r="U335" s="109" t="s">
        <v>591</v>
      </c>
      <c r="V335" s="115" t="n">
        <v>9.97</v>
      </c>
      <c r="W335" s="115"/>
      <c r="X335" s="109" t="s">
        <v>592</v>
      </c>
      <c r="Y335" s="109"/>
      <c r="Z335" s="109"/>
      <c r="AA335" s="109"/>
      <c r="AB335" s="109" t="s">
        <v>244</v>
      </c>
      <c r="AC335" s="109" t="s">
        <v>538</v>
      </c>
      <c r="AD335" s="109" t="n">
        <f aca="false">IF(ISNUMBER(V335),ROUND(V335,6),"")</f>
        <v>9.97</v>
      </c>
      <c r="AE335" s="109" t="str">
        <f aca="false">IF(AND(AC335="yes",ISNUMBER(F335),IF(Compare!$H$5="All mapped",TRUE(),IF(Compare!$H$5="EXACT only",J335="EXACT",OR(J335="EXACT",J335="CLOSE")))),"yes","no")</f>
        <v>yes</v>
      </c>
      <c r="AF335" s="109" t="n">
        <f aca="false">IF(ISNUMBER(H335),COUNTIFS($B$7:$B$3000,B335,$C$7:$C$3000,C335,$H$7:$H$3000,"&lt;"&amp;H335,$AH$7:$AH$3000,"yes")+COUNTIFS($B$7:B335,B335,$C$7:C335,C335,$H$7:H335,H335,$AH$7:AH335,"yes"),"")</f>
        <v>4</v>
      </c>
      <c r="AG335" s="109" t="n">
        <f aca="false">IF(ISNUMBER(I335),COUNTIFS($B$7:$B$3000,B335,$C$7:$C$3000,C335,$I$7:$I$3000,"&lt;"&amp;I335,$AI$7:$AI$3000,"yes")+COUNTIFS($B$7:B335,B335,$C$7:C335,C335,$I$7:I335,I335,$AI$7:AI335,"yes"),"")</f>
        <v>4</v>
      </c>
      <c r="AH335" s="109" t="str">
        <f aca="false">IF(ISNUMBER(H335),"yes","no")</f>
        <v>yes</v>
      </c>
      <c r="AI335" s="109" t="str">
        <f aca="false">IF(ISNUMBER(I335),"yes","no")</f>
        <v>yes</v>
      </c>
      <c r="AJ335" s="116" t="n">
        <v>46295</v>
      </c>
      <c r="AK335" s="109"/>
    </row>
    <row r="336" customFormat="false" ht="42" hidden="false" customHeight="true" outlineLevel="0" collapsed="false">
      <c r="A336" s="3"/>
      <c r="B336" s="36" t="s">
        <v>37</v>
      </c>
      <c r="C336" s="98" t="s">
        <v>15</v>
      </c>
      <c r="D336" s="98" t="s">
        <v>285</v>
      </c>
      <c r="E336" s="110" t="s">
        <v>1345</v>
      </c>
      <c r="F336" s="99" t="n">
        <v>34.9</v>
      </c>
      <c r="G336" s="98" t="s">
        <v>244</v>
      </c>
      <c r="H336" s="112" t="n">
        <f aca="false">IF(AND(AE336="yes",ISNUMBER(AD336)),AD336,"")</f>
        <v>34.9</v>
      </c>
      <c r="I336" s="95" t="n">
        <f aca="false">IF(AND(AE336="yes",ISNUMBER(AD336),ISNUMBER(INDEX(Sources!$G$7:$G$10,MATCH(AB336,Sources!$B$7:$B$10,0)))),ROUND(AD336/INDEX(Sources!$G$7:$G$10,MATCH(AB336,Sources!$B$7:$B$10,0)),6),"")</f>
        <v>34.9</v>
      </c>
      <c r="J336" s="98" t="s">
        <v>702</v>
      </c>
      <c r="K336" s="98" t="s">
        <v>586</v>
      </c>
      <c r="L336" s="96"/>
      <c r="M336" s="110" t="s">
        <v>1346</v>
      </c>
      <c r="N336" s="117" t="s">
        <v>1347</v>
      </c>
      <c r="O336" s="110" t="s">
        <v>733</v>
      </c>
      <c r="P336" s="110" t="s">
        <v>590</v>
      </c>
      <c r="Q336" s="118"/>
      <c r="R336" s="110" t="n">
        <v>1</v>
      </c>
      <c r="S336" s="110"/>
      <c r="T336" s="110" t="s">
        <v>702</v>
      </c>
      <c r="U336" s="110" t="s">
        <v>591</v>
      </c>
      <c r="V336" s="119" t="n">
        <v>34.9</v>
      </c>
      <c r="W336" s="119"/>
      <c r="X336" s="110" t="s">
        <v>592</v>
      </c>
      <c r="Y336" s="110"/>
      <c r="Z336" s="110"/>
      <c r="AA336" s="110"/>
      <c r="AB336" s="110" t="s">
        <v>244</v>
      </c>
      <c r="AC336" s="110" t="s">
        <v>538</v>
      </c>
      <c r="AD336" s="110" t="n">
        <f aca="false">IF(ISNUMBER(V336),ROUND(V336,6),"")</f>
        <v>34.9</v>
      </c>
      <c r="AE336" s="110" t="str">
        <f aca="false">IF(AND(AC336="yes",ISNUMBER(F336),IF(Compare!$H$5="All mapped",TRUE(),IF(Compare!$H$5="EXACT only",J336="EXACT",OR(J336="EXACT",J336="CLOSE")))),"yes","no")</f>
        <v>yes</v>
      </c>
      <c r="AF336" s="110" t="n">
        <f aca="false">IF(ISNUMBER(H336),COUNTIFS($B$7:$B$3000,B336,$C$7:$C$3000,C336,$H$7:$H$3000,"&lt;"&amp;H336,$AH$7:$AH$3000,"yes")+COUNTIFS($B$7:B336,B336,$C$7:C336,C336,$H$7:H336,H336,$AH$7:AH336,"yes"),"")</f>
        <v>9</v>
      </c>
      <c r="AG336" s="110" t="n">
        <f aca="false">IF(ISNUMBER(I336),COUNTIFS($B$7:$B$3000,B336,$C$7:$C$3000,C336,$I$7:$I$3000,"&lt;"&amp;I336,$AI$7:$AI$3000,"yes")+COUNTIFS($B$7:B336,B336,$C$7:C336,C336,$I$7:I336,I336,$AI$7:AI336,"yes"),"")</f>
        <v>9</v>
      </c>
      <c r="AH336" s="110" t="str">
        <f aca="false">IF(ISNUMBER(H336),"yes","no")</f>
        <v>yes</v>
      </c>
      <c r="AI336" s="110" t="str">
        <f aca="false">IF(ISNUMBER(I336),"yes","no")</f>
        <v>yes</v>
      </c>
      <c r="AJ336" s="120" t="n">
        <v>46295</v>
      </c>
      <c r="AK336" s="110"/>
    </row>
    <row r="337" customFormat="false" ht="42" hidden="false" customHeight="true" outlineLevel="0" collapsed="false">
      <c r="A337" s="3"/>
      <c r="B337" s="31" t="s">
        <v>37</v>
      </c>
      <c r="C337" s="91" t="s">
        <v>15</v>
      </c>
      <c r="D337" s="91" t="s">
        <v>293</v>
      </c>
      <c r="E337" s="109" t="s">
        <v>1348</v>
      </c>
      <c r="F337" s="92" t="n">
        <v>8.8</v>
      </c>
      <c r="G337" s="91" t="s">
        <v>244</v>
      </c>
      <c r="H337" s="112" t="n">
        <f aca="false">IF(AND(AE337="yes",ISNUMBER(AD337)),AD337,"")</f>
        <v>8.8</v>
      </c>
      <c r="I337" s="95" t="n">
        <f aca="false">IF(AND(AE337="yes",ISNUMBER(AD337),ISNUMBER(INDEX(Sources!$G$7:$G$10,MATCH(AB337,Sources!$B$7:$B$10,0)))),ROUND(AD337/INDEX(Sources!$G$7:$G$10,MATCH(AB337,Sources!$B$7:$B$10,0)),6),"")</f>
        <v>8.8</v>
      </c>
      <c r="J337" s="91" t="s">
        <v>530</v>
      </c>
      <c r="K337" s="91" t="s">
        <v>586</v>
      </c>
      <c r="L337" s="96"/>
      <c r="M337" s="109" t="s">
        <v>1349</v>
      </c>
      <c r="N337" s="113" t="s">
        <v>1350</v>
      </c>
      <c r="O337" s="109" t="s">
        <v>662</v>
      </c>
      <c r="P337" s="109" t="s">
        <v>590</v>
      </c>
      <c r="Q337" s="114"/>
      <c r="R337" s="109" t="n">
        <v>1</v>
      </c>
      <c r="S337" s="109"/>
      <c r="T337" s="109" t="s">
        <v>530</v>
      </c>
      <c r="U337" s="109" t="s">
        <v>591</v>
      </c>
      <c r="V337" s="115" t="n">
        <v>8.8</v>
      </c>
      <c r="W337" s="115"/>
      <c r="X337" s="109" t="s">
        <v>592</v>
      </c>
      <c r="Y337" s="109"/>
      <c r="Z337" s="109"/>
      <c r="AA337" s="109"/>
      <c r="AB337" s="109" t="s">
        <v>244</v>
      </c>
      <c r="AC337" s="109" t="s">
        <v>538</v>
      </c>
      <c r="AD337" s="109" t="n">
        <f aca="false">IF(ISNUMBER(V337),ROUND(V337,6),"")</f>
        <v>8.8</v>
      </c>
      <c r="AE337" s="109" t="str">
        <f aca="false">IF(AND(AC337="yes",ISNUMBER(F337),IF(Compare!$H$5="All mapped",TRUE(),IF(Compare!$H$5="EXACT only",J337="EXACT",OR(J337="EXACT",J337="CLOSE")))),"yes","no")</f>
        <v>yes</v>
      </c>
      <c r="AF337" s="109" t="n">
        <f aca="false">IF(ISNUMBER(H337),COUNTIFS($B$7:$B$3000,B337,$C$7:$C$3000,C337,$H$7:$H$3000,"&lt;"&amp;H337,$AH$7:$AH$3000,"yes")+COUNTIFS($B$7:B337,B337,$C$7:C337,C337,$H$7:H337,H337,$AH$7:AH337,"yes"),"")</f>
        <v>1</v>
      </c>
      <c r="AG337" s="109" t="n">
        <f aca="false">IF(ISNUMBER(I337),COUNTIFS($B$7:$B$3000,B337,$C$7:$C$3000,C337,$I$7:$I$3000,"&lt;"&amp;I337,$AI$7:$AI$3000,"yes")+COUNTIFS($B$7:B337,B337,$C$7:C337,C337,$I$7:I337,I337,$AI$7:AI337,"yes"),"")</f>
        <v>1</v>
      </c>
      <c r="AH337" s="109" t="str">
        <f aca="false">IF(ISNUMBER(H337),"yes","no")</f>
        <v>yes</v>
      </c>
      <c r="AI337" s="109" t="str">
        <f aca="false">IF(ISNUMBER(I337),"yes","no")</f>
        <v>yes</v>
      </c>
      <c r="AJ337" s="116" t="n">
        <v>46295</v>
      </c>
      <c r="AK337" s="109"/>
    </row>
    <row r="338" customFormat="false" ht="42" hidden="false" customHeight="true" outlineLevel="0" collapsed="false">
      <c r="A338" s="3"/>
      <c r="B338" s="36" t="s">
        <v>37</v>
      </c>
      <c r="C338" s="98" t="s">
        <v>16</v>
      </c>
      <c r="D338" s="98" t="s">
        <v>296</v>
      </c>
      <c r="E338" s="110" t="s">
        <v>1331</v>
      </c>
      <c r="F338" s="99" t="n">
        <v>12.8</v>
      </c>
      <c r="G338" s="98" t="s">
        <v>244</v>
      </c>
      <c r="H338" s="112" t="n">
        <f aca="false">IF(AND(AE338="yes",ISNUMBER(AD338)),AD338,"")</f>
        <v>12.8</v>
      </c>
      <c r="I338" s="95" t="n">
        <f aca="false">IF(AND(AE338="yes",ISNUMBER(AD338),ISNUMBER(INDEX(Sources!$G$7:$G$10,MATCH(AB338,Sources!$B$7:$B$10,0)))),ROUND(AD338/INDEX(Sources!$G$7:$G$10,MATCH(AB338,Sources!$B$7:$B$10,0)),6),"")</f>
        <v>12.8</v>
      </c>
      <c r="J338" s="98" t="s">
        <v>530</v>
      </c>
      <c r="K338" s="98" t="s">
        <v>586</v>
      </c>
      <c r="L338" s="96"/>
      <c r="M338" s="110" t="s">
        <v>1332</v>
      </c>
      <c r="N338" s="117" t="s">
        <v>1351</v>
      </c>
      <c r="O338" s="110" t="s">
        <v>1215</v>
      </c>
      <c r="P338" s="110" t="s">
        <v>590</v>
      </c>
      <c r="Q338" s="118"/>
      <c r="R338" s="110" t="n">
        <v>1</v>
      </c>
      <c r="S338" s="110"/>
      <c r="T338" s="110" t="s">
        <v>530</v>
      </c>
      <c r="U338" s="110" t="s">
        <v>591</v>
      </c>
      <c r="V338" s="119" t="n">
        <v>12.8</v>
      </c>
      <c r="W338" s="119"/>
      <c r="X338" s="110" t="s">
        <v>612</v>
      </c>
      <c r="Y338" s="110"/>
      <c r="Z338" s="110"/>
      <c r="AA338" s="110"/>
      <c r="AB338" s="110" t="s">
        <v>244</v>
      </c>
      <c r="AC338" s="110" t="s">
        <v>538</v>
      </c>
      <c r="AD338" s="110" t="n">
        <f aca="false">IF(ISNUMBER(V338),ROUND(V338,6),"")</f>
        <v>12.8</v>
      </c>
      <c r="AE338" s="110" t="str">
        <f aca="false">IF(AND(AC338="yes",ISNUMBER(F338),IF(Compare!$H$5="All mapped",TRUE(),IF(Compare!$H$5="EXACT only",J338="EXACT",OR(J338="EXACT",J338="CLOSE")))),"yes","no")</f>
        <v>yes</v>
      </c>
      <c r="AF338" s="110" t="n">
        <f aca="false">IF(ISNUMBER(H338),COUNTIFS($B$7:$B$3000,B338,$C$7:$C$3000,C338,$H$7:$H$3000,"&lt;"&amp;H338,$AH$7:$AH$3000,"yes")+COUNTIFS($B$7:B338,B338,$C$7:C338,C338,$H$7:H338,H338,$AH$7:AH338,"yes"),"")</f>
        <v>5</v>
      </c>
      <c r="AG338" s="110" t="n">
        <f aca="false">IF(ISNUMBER(I338),COUNTIFS($B$7:$B$3000,B338,$C$7:$C$3000,C338,$I$7:$I$3000,"&lt;"&amp;I338,$AI$7:$AI$3000,"yes")+COUNTIFS($B$7:B338,B338,$C$7:C338,C338,$I$7:I338,I338,$AI$7:AI338,"yes"),"")</f>
        <v>5</v>
      </c>
      <c r="AH338" s="110" t="str">
        <f aca="false">IF(ISNUMBER(H338),"yes","no")</f>
        <v>yes</v>
      </c>
      <c r="AI338" s="110" t="str">
        <f aca="false">IF(ISNUMBER(I338),"yes","no")</f>
        <v>yes</v>
      </c>
      <c r="AJ338" s="120" t="n">
        <v>46295</v>
      </c>
      <c r="AK338" s="110"/>
    </row>
    <row r="339" customFormat="false" ht="42" hidden="false" customHeight="true" outlineLevel="0" collapsed="false">
      <c r="A339" s="3"/>
      <c r="B339" s="31" t="s">
        <v>37</v>
      </c>
      <c r="C339" s="91" t="s">
        <v>16</v>
      </c>
      <c r="D339" s="91" t="s">
        <v>317</v>
      </c>
      <c r="E339" s="109" t="s">
        <v>1352</v>
      </c>
      <c r="F339" s="92" t="n">
        <v>74.99</v>
      </c>
      <c r="G339" s="91" t="s">
        <v>244</v>
      </c>
      <c r="H339" s="112" t="n">
        <f aca="false">IF(AND(AE339="yes",ISNUMBER(AD339)),AD339,"")</f>
        <v>9.37</v>
      </c>
      <c r="I339" s="95" t="n">
        <f aca="false">IF(AND(AE339="yes",ISNUMBER(AD339),ISNUMBER(INDEX(Sources!$G$7:$G$10,MATCH(AB339,Sources!$B$7:$B$10,0)))),ROUND(AD339/INDEX(Sources!$G$7:$G$10,MATCH(AB339,Sources!$B$7:$B$10,0)),6),"")</f>
        <v>9.37</v>
      </c>
      <c r="J339" s="91" t="s">
        <v>702</v>
      </c>
      <c r="K339" s="91" t="s">
        <v>586</v>
      </c>
      <c r="L339" s="96"/>
      <c r="M339" s="109" t="s">
        <v>1353</v>
      </c>
      <c r="N339" s="113" t="s">
        <v>1354</v>
      </c>
      <c r="O339" s="109" t="s">
        <v>610</v>
      </c>
      <c r="P339" s="109" t="s">
        <v>590</v>
      </c>
      <c r="Q339" s="114"/>
      <c r="R339" s="109" t="n">
        <v>8</v>
      </c>
      <c r="S339" s="109" t="s">
        <v>1355</v>
      </c>
      <c r="T339" s="109" t="s">
        <v>702</v>
      </c>
      <c r="U339" s="109" t="s">
        <v>591</v>
      </c>
      <c r="V339" s="115" t="n">
        <v>9.37</v>
      </c>
      <c r="W339" s="115"/>
      <c r="X339" s="109" t="s">
        <v>612</v>
      </c>
      <c r="Y339" s="109"/>
      <c r="Z339" s="109"/>
      <c r="AA339" s="109"/>
      <c r="AB339" s="109" t="s">
        <v>244</v>
      </c>
      <c r="AC339" s="109" t="s">
        <v>538</v>
      </c>
      <c r="AD339" s="109" t="n">
        <f aca="false">IF(ISNUMBER(V339),ROUND(V339,6),"")</f>
        <v>9.37</v>
      </c>
      <c r="AE339" s="109" t="str">
        <f aca="false">IF(AND(AC339="yes",ISNUMBER(F339),IF(Compare!$H$5="All mapped",TRUE(),IF(Compare!$H$5="EXACT only",J339="EXACT",OR(J339="EXACT",J339="CLOSE")))),"yes","no")</f>
        <v>yes</v>
      </c>
      <c r="AF339" s="109" t="n">
        <f aca="false">IF(ISNUMBER(H339),COUNTIFS($B$7:$B$3000,B339,$C$7:$C$3000,C339,$H$7:$H$3000,"&lt;"&amp;H339,$AH$7:$AH$3000,"yes")+COUNTIFS($B$7:B339,B339,$C$7:C339,C339,$H$7:H339,H339,$AH$7:AH339,"yes"),"")</f>
        <v>1</v>
      </c>
      <c r="AG339" s="109" t="n">
        <f aca="false">IF(ISNUMBER(I339),COUNTIFS($B$7:$B$3000,B339,$C$7:$C$3000,C339,$I$7:$I$3000,"&lt;"&amp;I339,$AI$7:$AI$3000,"yes")+COUNTIFS($B$7:B339,B339,$C$7:C339,C339,$I$7:I339,I339,$AI$7:AI339,"yes"),"")</f>
        <v>1</v>
      </c>
      <c r="AH339" s="109" t="str">
        <f aca="false">IF(ISNUMBER(H339),"yes","no")</f>
        <v>yes</v>
      </c>
      <c r="AI339" s="109" t="str">
        <f aca="false">IF(ISNUMBER(I339),"yes","no")</f>
        <v>yes</v>
      </c>
      <c r="AJ339" s="116" t="n">
        <v>46295</v>
      </c>
      <c r="AK339" s="109"/>
    </row>
    <row r="340" customFormat="false" ht="42" hidden="false" customHeight="true" outlineLevel="0" collapsed="false">
      <c r="A340" s="3"/>
      <c r="B340" s="36" t="s">
        <v>37</v>
      </c>
      <c r="C340" s="98" t="s">
        <v>16</v>
      </c>
      <c r="D340" s="98" t="s">
        <v>311</v>
      </c>
      <c r="E340" s="110" t="s">
        <v>1334</v>
      </c>
      <c r="F340" s="99" t="n">
        <v>9.99</v>
      </c>
      <c r="G340" s="98" t="s">
        <v>244</v>
      </c>
      <c r="H340" s="112" t="n">
        <f aca="false">IF(AND(AE340="yes",ISNUMBER(AD340)),AD340,"")</f>
        <v>9.99</v>
      </c>
      <c r="I340" s="95" t="n">
        <f aca="false">IF(AND(AE340="yes",ISNUMBER(AD340),ISNUMBER(INDEX(Sources!$G$7:$G$10,MATCH(AB340,Sources!$B$7:$B$10,0)))),ROUND(AD340/INDEX(Sources!$G$7:$G$10,MATCH(AB340,Sources!$B$7:$B$10,0)),6),"")</f>
        <v>9.99</v>
      </c>
      <c r="J340" s="98" t="s">
        <v>530</v>
      </c>
      <c r="K340" s="98" t="s">
        <v>586</v>
      </c>
      <c r="L340" s="96"/>
      <c r="M340" s="110"/>
      <c r="N340" s="117" t="s">
        <v>1356</v>
      </c>
      <c r="O340" s="110" t="s">
        <v>646</v>
      </c>
      <c r="P340" s="110" t="s">
        <v>590</v>
      </c>
      <c r="Q340" s="118"/>
      <c r="R340" s="110" t="n">
        <v>1</v>
      </c>
      <c r="S340" s="110"/>
      <c r="T340" s="110" t="s">
        <v>530</v>
      </c>
      <c r="U340" s="110" t="s">
        <v>591</v>
      </c>
      <c r="V340" s="119" t="n">
        <v>9.99</v>
      </c>
      <c r="W340" s="119"/>
      <c r="X340" s="110" t="s">
        <v>612</v>
      </c>
      <c r="Y340" s="110"/>
      <c r="Z340" s="110"/>
      <c r="AA340" s="110"/>
      <c r="AB340" s="110" t="s">
        <v>244</v>
      </c>
      <c r="AC340" s="110" t="s">
        <v>538</v>
      </c>
      <c r="AD340" s="110" t="n">
        <f aca="false">IF(ISNUMBER(V340),ROUND(V340,6),"")</f>
        <v>9.99</v>
      </c>
      <c r="AE340" s="110" t="str">
        <f aca="false">IF(AND(AC340="yes",ISNUMBER(F340),IF(Compare!$H$5="All mapped",TRUE(),IF(Compare!$H$5="EXACT only",J340="EXACT",OR(J340="EXACT",J340="CLOSE")))),"yes","no")</f>
        <v>yes</v>
      </c>
      <c r="AF340" s="110" t="n">
        <f aca="false">IF(ISNUMBER(H340),COUNTIFS($B$7:$B$3000,B340,$C$7:$C$3000,C340,$H$7:$H$3000,"&lt;"&amp;H340,$AH$7:$AH$3000,"yes")+COUNTIFS($B$7:B340,B340,$C$7:C340,C340,$H$7:H340,H340,$AH$7:AH340,"yes"),"")</f>
        <v>4</v>
      </c>
      <c r="AG340" s="110" t="n">
        <f aca="false">IF(ISNUMBER(I340),COUNTIFS($B$7:$B$3000,B340,$C$7:$C$3000,C340,$I$7:$I$3000,"&lt;"&amp;I340,$AI$7:$AI$3000,"yes")+COUNTIFS($B$7:B340,B340,$C$7:C340,C340,$I$7:I340,I340,$AI$7:AI340,"yes"),"")</f>
        <v>4</v>
      </c>
      <c r="AH340" s="110" t="str">
        <f aca="false">IF(ISNUMBER(H340),"yes","no")</f>
        <v>yes</v>
      </c>
      <c r="AI340" s="110" t="str">
        <f aca="false">IF(ISNUMBER(I340),"yes","no")</f>
        <v>yes</v>
      </c>
      <c r="AJ340" s="120" t="n">
        <v>46295</v>
      </c>
      <c r="AK340" s="110"/>
    </row>
    <row r="341" customFormat="false" ht="42" hidden="false" customHeight="true" outlineLevel="0" collapsed="false">
      <c r="A341" s="3"/>
      <c r="B341" s="31" t="s">
        <v>37</v>
      </c>
      <c r="C341" s="91" t="s">
        <v>16</v>
      </c>
      <c r="D341" s="91" t="s">
        <v>309</v>
      </c>
      <c r="E341" s="109" t="s">
        <v>1337</v>
      </c>
      <c r="F341" s="92" t="n">
        <v>9.88</v>
      </c>
      <c r="G341" s="91" t="s">
        <v>244</v>
      </c>
      <c r="H341" s="112" t="n">
        <f aca="false">IF(AND(AE341="yes",ISNUMBER(AD341)),AD341,"")</f>
        <v>9.88</v>
      </c>
      <c r="I341" s="95" t="n">
        <f aca="false">IF(AND(AE341="yes",ISNUMBER(AD341),ISNUMBER(INDEX(Sources!$G$7:$G$10,MATCH(AB341,Sources!$B$7:$B$10,0)))),ROUND(AD341/INDEX(Sources!$G$7:$G$10,MATCH(AB341,Sources!$B$7:$B$10,0)),6),"")</f>
        <v>9.88</v>
      </c>
      <c r="J341" s="91" t="s">
        <v>702</v>
      </c>
      <c r="K341" s="91" t="s">
        <v>586</v>
      </c>
      <c r="L341" s="96"/>
      <c r="M341" s="109" t="s">
        <v>1338</v>
      </c>
      <c r="N341" s="113" t="s">
        <v>1339</v>
      </c>
      <c r="O341" s="109" t="s">
        <v>646</v>
      </c>
      <c r="P341" s="109" t="s">
        <v>590</v>
      </c>
      <c r="Q341" s="114"/>
      <c r="R341" s="109" t="n">
        <v>1</v>
      </c>
      <c r="S341" s="109"/>
      <c r="T341" s="109" t="s">
        <v>702</v>
      </c>
      <c r="U341" s="109" t="s">
        <v>591</v>
      </c>
      <c r="V341" s="115" t="n">
        <v>9.88</v>
      </c>
      <c r="W341" s="115"/>
      <c r="X341" s="109" t="s">
        <v>612</v>
      </c>
      <c r="Y341" s="109"/>
      <c r="Z341" s="109"/>
      <c r="AA341" s="109"/>
      <c r="AB341" s="109" t="s">
        <v>244</v>
      </c>
      <c r="AC341" s="109" t="s">
        <v>538</v>
      </c>
      <c r="AD341" s="109" t="n">
        <f aca="false">IF(ISNUMBER(V341),ROUND(V341,6),"")</f>
        <v>9.88</v>
      </c>
      <c r="AE341" s="109" t="str">
        <f aca="false">IF(AND(AC341="yes",ISNUMBER(F341),IF(Compare!$H$5="All mapped",TRUE(),IF(Compare!$H$5="EXACT only",J341="EXACT",OR(J341="EXACT",J341="CLOSE")))),"yes","no")</f>
        <v>yes</v>
      </c>
      <c r="AF341" s="109" t="n">
        <f aca="false">IF(ISNUMBER(H341),COUNTIFS($B$7:$B$3000,B341,$C$7:$C$3000,C341,$H$7:$H$3000,"&lt;"&amp;H341,$AH$7:$AH$3000,"yes")+COUNTIFS($B$7:B341,B341,$C$7:C341,C341,$H$7:H341,H341,$AH$7:AH341,"yes"),"")</f>
        <v>2</v>
      </c>
      <c r="AG341" s="109" t="n">
        <f aca="false">IF(ISNUMBER(I341),COUNTIFS($B$7:$B$3000,B341,$C$7:$C$3000,C341,$I$7:$I$3000,"&lt;"&amp;I341,$AI$7:$AI$3000,"yes")+COUNTIFS($B$7:B341,B341,$C$7:C341,C341,$I$7:I341,I341,$AI$7:AI341,"yes"),"")</f>
        <v>2</v>
      </c>
      <c r="AH341" s="109" t="str">
        <f aca="false">IF(ISNUMBER(H341),"yes","no")</f>
        <v>yes</v>
      </c>
      <c r="AI341" s="109" t="str">
        <f aca="false">IF(ISNUMBER(I341),"yes","no")</f>
        <v>yes</v>
      </c>
      <c r="AJ341" s="116" t="n">
        <v>46295</v>
      </c>
      <c r="AK341" s="109"/>
    </row>
    <row r="342" customFormat="false" ht="42" hidden="false" customHeight="true" outlineLevel="0" collapsed="false">
      <c r="A342" s="3"/>
      <c r="B342" s="36" t="s">
        <v>37</v>
      </c>
      <c r="C342" s="98" t="s">
        <v>16</v>
      </c>
      <c r="D342" s="98" t="s">
        <v>313</v>
      </c>
      <c r="E342" s="110" t="s">
        <v>1340</v>
      </c>
      <c r="F342" s="99" t="n">
        <v>31.9</v>
      </c>
      <c r="G342" s="98" t="s">
        <v>244</v>
      </c>
      <c r="H342" s="112" t="n">
        <f aca="false">IF(AND(AE342="yes",ISNUMBER(AD342)),AD342,"")</f>
        <v>26.81</v>
      </c>
      <c r="I342" s="95" t="n">
        <f aca="false">IF(AND(AE342="yes",ISNUMBER(AD342),ISNUMBER(INDEX(Sources!$G$7:$G$10,MATCH(AB342,Sources!$B$7:$B$10,0)))),ROUND(AD342/INDEX(Sources!$G$7:$G$10,MATCH(AB342,Sources!$B$7:$B$10,0)),6),"")</f>
        <v>26.81</v>
      </c>
      <c r="J342" s="98" t="s">
        <v>530</v>
      </c>
      <c r="K342" s="98" t="s">
        <v>586</v>
      </c>
      <c r="L342" s="96"/>
      <c r="M342" s="110" t="s">
        <v>1024</v>
      </c>
      <c r="N342" s="117" t="s">
        <v>1357</v>
      </c>
      <c r="O342" s="110" t="s">
        <v>1225</v>
      </c>
      <c r="P342" s="110" t="s">
        <v>265</v>
      </c>
      <c r="Q342" s="118"/>
      <c r="R342" s="110" t="n">
        <v>1</v>
      </c>
      <c r="S342" s="110"/>
      <c r="T342" s="110" t="s">
        <v>530</v>
      </c>
      <c r="U342" s="110" t="s">
        <v>591</v>
      </c>
      <c r="V342" s="119" t="n">
        <v>26.81</v>
      </c>
      <c r="W342" s="119"/>
      <c r="X342" s="110" t="s">
        <v>612</v>
      </c>
      <c r="Y342" s="110"/>
      <c r="Z342" s="110"/>
      <c r="AA342" s="110"/>
      <c r="AB342" s="110" t="s">
        <v>244</v>
      </c>
      <c r="AC342" s="110" t="s">
        <v>538</v>
      </c>
      <c r="AD342" s="110" t="n">
        <f aca="false">IF(ISNUMBER(V342),ROUND(V342,6),"")</f>
        <v>26.81</v>
      </c>
      <c r="AE342" s="110" t="str">
        <f aca="false">IF(AND(AC342="yes",ISNUMBER(F342),IF(Compare!$H$5="All mapped",TRUE(),IF(Compare!$H$5="EXACT only",J342="EXACT",OR(J342="EXACT",J342="CLOSE")))),"yes","no")</f>
        <v>yes</v>
      </c>
      <c r="AF342" s="110" t="n">
        <f aca="false">IF(ISNUMBER(H342),COUNTIFS($B$7:$B$3000,B342,$C$7:$C$3000,C342,$H$7:$H$3000,"&lt;"&amp;H342,$AH$7:$AH$3000,"yes")+COUNTIFS($B$7:B342,B342,$C$7:C342,C342,$H$7:H342,H342,$AH$7:AH342,"yes"),"")</f>
        <v>8</v>
      </c>
      <c r="AG342" s="110" t="n">
        <f aca="false">IF(ISNUMBER(I342),COUNTIFS($B$7:$B$3000,B342,$C$7:$C$3000,C342,$I$7:$I$3000,"&lt;"&amp;I342,$AI$7:$AI$3000,"yes")+COUNTIFS($B$7:B342,B342,$C$7:C342,C342,$I$7:I342,I342,$AI$7:AI342,"yes"),"")</f>
        <v>8</v>
      </c>
      <c r="AH342" s="110" t="str">
        <f aca="false">IF(ISNUMBER(H342),"yes","no")</f>
        <v>yes</v>
      </c>
      <c r="AI342" s="110" t="str">
        <f aca="false">IF(ISNUMBER(I342),"yes","no")</f>
        <v>yes</v>
      </c>
      <c r="AJ342" s="120" t="n">
        <v>46295</v>
      </c>
      <c r="AK342" s="110"/>
    </row>
    <row r="343" customFormat="false" ht="42" hidden="false" customHeight="true" outlineLevel="0" collapsed="false">
      <c r="A343" s="3"/>
      <c r="B343" s="31" t="s">
        <v>37</v>
      </c>
      <c r="C343" s="91" t="s">
        <v>16</v>
      </c>
      <c r="D343" s="91" t="s">
        <v>321</v>
      </c>
      <c r="E343" s="109" t="s">
        <v>1342</v>
      </c>
      <c r="F343" s="92" t="n">
        <v>9.97</v>
      </c>
      <c r="G343" s="91" t="s">
        <v>244</v>
      </c>
      <c r="H343" s="112" t="n">
        <f aca="false">IF(AND(AE343="yes",ISNUMBER(AD343)),AD343,"")</f>
        <v>9.97</v>
      </c>
      <c r="I343" s="95" t="n">
        <f aca="false">IF(AND(AE343="yes",ISNUMBER(AD343),ISNUMBER(INDEX(Sources!$G$7:$G$10,MATCH(AB343,Sources!$B$7:$B$10,0)))),ROUND(AD343/INDEX(Sources!$G$7:$G$10,MATCH(AB343,Sources!$B$7:$B$10,0)),6),"")</f>
        <v>9.97</v>
      </c>
      <c r="J343" s="91" t="s">
        <v>530</v>
      </c>
      <c r="K343" s="91" t="s">
        <v>586</v>
      </c>
      <c r="L343" s="96"/>
      <c r="M343" s="109"/>
      <c r="N343" s="113" t="s">
        <v>1358</v>
      </c>
      <c r="O343" s="109" t="s">
        <v>662</v>
      </c>
      <c r="P343" s="109" t="s">
        <v>590</v>
      </c>
      <c r="Q343" s="114"/>
      <c r="R343" s="109" t="n">
        <v>1</v>
      </c>
      <c r="S343" s="109"/>
      <c r="T343" s="109" t="s">
        <v>530</v>
      </c>
      <c r="U343" s="109" t="s">
        <v>591</v>
      </c>
      <c r="V343" s="115" t="n">
        <v>9.97</v>
      </c>
      <c r="W343" s="115"/>
      <c r="X343" s="109" t="s">
        <v>612</v>
      </c>
      <c r="Y343" s="109"/>
      <c r="Z343" s="109"/>
      <c r="AA343" s="109"/>
      <c r="AB343" s="109" t="s">
        <v>244</v>
      </c>
      <c r="AC343" s="109" t="s">
        <v>538</v>
      </c>
      <c r="AD343" s="109" t="n">
        <f aca="false">IF(ISNUMBER(V343),ROUND(V343,6),"")</f>
        <v>9.97</v>
      </c>
      <c r="AE343" s="109" t="str">
        <f aca="false">IF(AND(AC343="yes",ISNUMBER(F343),IF(Compare!$H$5="All mapped",TRUE(),IF(Compare!$H$5="EXACT only",J343="EXACT",OR(J343="EXACT",J343="CLOSE")))),"yes","no")</f>
        <v>yes</v>
      </c>
      <c r="AF343" s="109" t="n">
        <f aca="false">IF(ISNUMBER(H343),COUNTIFS($B$7:$B$3000,B343,$C$7:$C$3000,C343,$H$7:$H$3000,"&lt;"&amp;H343,$AH$7:$AH$3000,"yes")+COUNTIFS($B$7:B343,B343,$C$7:C343,C343,$H$7:H343,H343,$AH$7:AH343,"yes"),"")</f>
        <v>3</v>
      </c>
      <c r="AG343" s="109" t="n">
        <f aca="false">IF(ISNUMBER(I343),COUNTIFS($B$7:$B$3000,B343,$C$7:$C$3000,C343,$I$7:$I$3000,"&lt;"&amp;I343,$AI$7:$AI$3000,"yes")+COUNTIFS($B$7:B343,B343,$C$7:C343,C343,$I$7:I343,I343,$AI$7:AI343,"yes"),"")</f>
        <v>3</v>
      </c>
      <c r="AH343" s="109" t="str">
        <f aca="false">IF(ISNUMBER(H343),"yes","no")</f>
        <v>yes</v>
      </c>
      <c r="AI343" s="109" t="str">
        <f aca="false">IF(ISNUMBER(I343),"yes","no")</f>
        <v>yes</v>
      </c>
      <c r="AJ343" s="116" t="n">
        <v>46295</v>
      </c>
      <c r="AK343" s="109"/>
    </row>
    <row r="344" customFormat="false" ht="42" hidden="false" customHeight="true" outlineLevel="0" collapsed="false">
      <c r="A344" s="3"/>
      <c r="B344" s="36" t="s">
        <v>37</v>
      </c>
      <c r="C344" s="98" t="s">
        <v>16</v>
      </c>
      <c r="D344" s="98" t="s">
        <v>329</v>
      </c>
      <c r="E344" s="110" t="s">
        <v>1359</v>
      </c>
      <c r="F344" s="99" t="n">
        <v>25.99</v>
      </c>
      <c r="G344" s="98" t="s">
        <v>244</v>
      </c>
      <c r="H344" s="112" t="n">
        <f aca="false">IF(AND(AE344="yes",ISNUMBER(AD344)),AD344,"")</f>
        <v>25.99</v>
      </c>
      <c r="I344" s="95" t="n">
        <f aca="false">IF(AND(AE344="yes",ISNUMBER(AD344),ISNUMBER(INDEX(Sources!$G$7:$G$10,MATCH(AB344,Sources!$B$7:$B$10,0)))),ROUND(AD344/INDEX(Sources!$G$7:$G$10,MATCH(AB344,Sources!$B$7:$B$10,0)),6),"")</f>
        <v>25.99</v>
      </c>
      <c r="J344" s="98" t="s">
        <v>530</v>
      </c>
      <c r="K344" s="98" t="s">
        <v>586</v>
      </c>
      <c r="L344" s="96"/>
      <c r="M344" s="110" t="s">
        <v>1360</v>
      </c>
      <c r="N344" s="117" t="s">
        <v>1361</v>
      </c>
      <c r="O344" s="110" t="s">
        <v>1225</v>
      </c>
      <c r="P344" s="110" t="s">
        <v>590</v>
      </c>
      <c r="Q344" s="118"/>
      <c r="R344" s="110" t="n">
        <v>1</v>
      </c>
      <c r="S344" s="110"/>
      <c r="T344" s="110" t="s">
        <v>530</v>
      </c>
      <c r="U344" s="110" t="s">
        <v>591</v>
      </c>
      <c r="V344" s="119" t="n">
        <v>25.99</v>
      </c>
      <c r="W344" s="119"/>
      <c r="X344" s="110" t="s">
        <v>612</v>
      </c>
      <c r="Y344" s="110"/>
      <c r="Z344" s="110"/>
      <c r="AA344" s="110"/>
      <c r="AB344" s="110" t="s">
        <v>244</v>
      </c>
      <c r="AC344" s="110" t="s">
        <v>538</v>
      </c>
      <c r="AD344" s="110" t="n">
        <f aca="false">IF(ISNUMBER(V344),ROUND(V344,6),"")</f>
        <v>25.99</v>
      </c>
      <c r="AE344" s="110" t="str">
        <f aca="false">IF(AND(AC344="yes",ISNUMBER(F344),IF(Compare!$H$5="All mapped",TRUE(),IF(Compare!$H$5="EXACT only",J344="EXACT",OR(J344="EXACT",J344="CLOSE")))),"yes","no")</f>
        <v>yes</v>
      </c>
      <c r="AF344" s="110" t="n">
        <f aca="false">IF(ISNUMBER(H344),COUNTIFS($B$7:$B$3000,B344,$C$7:$C$3000,C344,$H$7:$H$3000,"&lt;"&amp;H344,$AH$7:$AH$3000,"yes")+COUNTIFS($B$7:B344,B344,$C$7:C344,C344,$H$7:H344,H344,$AH$7:AH344,"yes"),"")</f>
        <v>7</v>
      </c>
      <c r="AG344" s="110" t="n">
        <f aca="false">IF(ISNUMBER(I344),COUNTIFS($B$7:$B$3000,B344,$C$7:$C$3000,C344,$I$7:$I$3000,"&lt;"&amp;I344,$AI$7:$AI$3000,"yes")+COUNTIFS($B$7:B344,B344,$C$7:C344,C344,$I$7:I344,I344,$AI$7:AI344,"yes"),"")</f>
        <v>7</v>
      </c>
      <c r="AH344" s="110" t="str">
        <f aca="false">IF(ISNUMBER(H344),"yes","no")</f>
        <v>yes</v>
      </c>
      <c r="AI344" s="110" t="str">
        <f aca="false">IF(ISNUMBER(I344),"yes","no")</f>
        <v>yes</v>
      </c>
      <c r="AJ344" s="120" t="n">
        <v>46295</v>
      </c>
      <c r="AK344" s="110"/>
    </row>
    <row r="345" customFormat="false" ht="61.5" hidden="false" customHeight="true" outlineLevel="0" collapsed="false">
      <c r="A345" s="3"/>
      <c r="B345" s="31" t="s">
        <v>37</v>
      </c>
      <c r="C345" s="91" t="s">
        <v>17</v>
      </c>
      <c r="D345" s="91" t="s">
        <v>354</v>
      </c>
      <c r="E345" s="109" t="s">
        <v>1362</v>
      </c>
      <c r="F345" s="92" t="n">
        <v>1752.16</v>
      </c>
      <c r="G345" s="91" t="s">
        <v>333</v>
      </c>
      <c r="H345" s="112" t="n">
        <f aca="false">IF(AND(AE345="yes",ISNUMBER(AD345)),AD345,"")</f>
        <v>219.02</v>
      </c>
      <c r="I345" s="95" t="n">
        <f aca="false">IF(AND(AE345="yes",ISNUMBER(AD345),ISNUMBER(INDEX(Sources!$G$7:$G$10,MATCH(AB345,Sources!$B$7:$B$10,0)))),ROUND(AD345/INDEX(Sources!$G$7:$G$10,MATCH(AB345,Sources!$B$7:$B$10,0)),6),"")</f>
        <v>8.96755</v>
      </c>
      <c r="J345" s="91" t="s">
        <v>702</v>
      </c>
      <c r="K345" s="91" t="s">
        <v>586</v>
      </c>
      <c r="L345" s="96"/>
      <c r="M345" s="109" t="s">
        <v>1363</v>
      </c>
      <c r="N345" s="113" t="s">
        <v>1364</v>
      </c>
      <c r="O345" s="109" t="s">
        <v>610</v>
      </c>
      <c r="P345" s="109" t="s">
        <v>590</v>
      </c>
      <c r="Q345" s="114" t="n">
        <v>0.19</v>
      </c>
      <c r="R345" s="109" t="n">
        <v>8</v>
      </c>
      <c r="S345" s="109" t="s">
        <v>625</v>
      </c>
      <c r="T345" s="109" t="s">
        <v>702</v>
      </c>
      <c r="U345" s="109" t="s">
        <v>591</v>
      </c>
      <c r="V345" s="115"/>
      <c r="W345" s="115"/>
      <c r="X345" s="109" t="s">
        <v>626</v>
      </c>
      <c r="Y345" s="109"/>
      <c r="Z345" s="109"/>
      <c r="AA345" s="109"/>
      <c r="AB345" s="109" t="s">
        <v>333</v>
      </c>
      <c r="AC345" s="109" t="s">
        <v>538</v>
      </c>
      <c r="AD345" s="109" t="n">
        <f aca="false">IF(OR(F345="",Q345="",R345=""),"",ROUND(IF(P345="incl.",F345/(1+Q345),F345)/IF(S345="per pack",R345,1),2))</f>
        <v>219.02</v>
      </c>
      <c r="AE345" s="109" t="str">
        <f aca="false">IF(AND(AC345="yes",ISNUMBER(F345),IF(Compare!$H$5="All mapped",TRUE(),IF(Compare!$H$5="EXACT only",J345="EXACT",OR(J345="EXACT",J345="CLOSE")))),"yes","no")</f>
        <v>yes</v>
      </c>
      <c r="AF345" s="109" t="n">
        <f aca="false">IF(ISNUMBER(H345),COUNTIFS($B$7:$B$3000,B345,$C$7:$C$3000,C345,$H$7:$H$3000,"&lt;"&amp;H345,$AH$7:$AH$3000,"yes")+COUNTIFS($B$7:B345,B345,$C$7:C345,C345,$H$7:H345,H345,$AH$7:AH345,"yes"),"")</f>
        <v>1</v>
      </c>
      <c r="AG345" s="109" t="n">
        <f aca="false">IF(ISNUMBER(I345),COUNTIFS($B$7:$B$3000,B345,$C$7:$C$3000,C345,$I$7:$I$3000,"&lt;"&amp;I345,$AI$7:$AI$3000,"yes")+COUNTIFS($B$7:B345,B345,$C$7:C345,C345,$I$7:I345,I345,$AI$7:AI345,"yes"),"")</f>
        <v>1</v>
      </c>
      <c r="AH345" s="109" t="str">
        <f aca="false">IF(ISNUMBER(H345),"yes","no")</f>
        <v>yes</v>
      </c>
      <c r="AI345" s="109" t="str">
        <f aca="false">IF(ISNUMBER(I345),"yes","no")</f>
        <v>yes</v>
      </c>
      <c r="AJ345" s="116" t="n">
        <v>46295</v>
      </c>
      <c r="AK345" s="109"/>
    </row>
    <row r="346" customFormat="false" ht="42" hidden="false" customHeight="true" outlineLevel="0" collapsed="false">
      <c r="A346" s="3"/>
      <c r="B346" s="36" t="s">
        <v>37</v>
      </c>
      <c r="C346" s="98" t="s">
        <v>17</v>
      </c>
      <c r="D346" s="98" t="s">
        <v>332</v>
      </c>
      <c r="E346" s="110" t="s">
        <v>1250</v>
      </c>
      <c r="F346" s="99" t="n">
        <v>390</v>
      </c>
      <c r="G346" s="98" t="s">
        <v>333</v>
      </c>
      <c r="H346" s="112" t="str">
        <f aca="false">IF(AND(AE346="yes",ISNUMBER(AD346)),AD346,"")</f>
        <v/>
      </c>
      <c r="I346" s="95" t="str">
        <f aca="false">IF(AND(AE346="yes",ISNUMBER(AD346),ISNUMBER(INDEX(Sources!$G$7:$G$10,MATCH(AB346,Sources!$B$7:$B$10,0)))),ROUND(AD346/INDEX(Sources!$G$7:$G$10,MATCH(AB346,Sources!$B$7:$B$10,0)),6),"")</f>
        <v/>
      </c>
      <c r="J346" s="98" t="s">
        <v>629</v>
      </c>
      <c r="K346" s="98" t="s">
        <v>586</v>
      </c>
      <c r="L346" s="96"/>
      <c r="M346" s="110" t="s">
        <v>1365</v>
      </c>
      <c r="N346" s="117" t="s">
        <v>1252</v>
      </c>
      <c r="O346" s="110"/>
      <c r="P346" s="110" t="s">
        <v>590</v>
      </c>
      <c r="Q346" s="118" t="n">
        <v>0.21</v>
      </c>
      <c r="R346" s="110" t="n">
        <v>1</v>
      </c>
      <c r="S346" s="110" t="s">
        <v>632</v>
      </c>
      <c r="T346" s="110" t="s">
        <v>629</v>
      </c>
      <c r="U346" s="110" t="s">
        <v>591</v>
      </c>
      <c r="V346" s="119"/>
      <c r="W346" s="119"/>
      <c r="X346" s="110" t="s">
        <v>626</v>
      </c>
      <c r="Y346" s="110"/>
      <c r="Z346" s="110"/>
      <c r="AA346" s="110"/>
      <c r="AB346" s="110" t="s">
        <v>333</v>
      </c>
      <c r="AC346" s="110" t="s">
        <v>538</v>
      </c>
      <c r="AD346" s="110" t="n">
        <f aca="false">IF(OR(F346="",Q346="",R346=""),"",ROUND(IF(P346="incl.",F346/(1+Q346),F346)/IF(S346="per pack",R346,1),2))</f>
        <v>390</v>
      </c>
      <c r="AE346" s="110" t="str">
        <f aca="false">IF(AND(AC346="yes",ISNUMBER(F346),IF(Compare!$H$5="All mapped",TRUE(),IF(Compare!$H$5="EXACT only",J346="EXACT",OR(J346="EXACT",J346="CLOSE")))),"yes","no")</f>
        <v>no</v>
      </c>
      <c r="AF346" s="110" t="str">
        <f aca="false">IF(ISNUMBER(H346),COUNTIFS($B$7:$B$3000,B346,$C$7:$C$3000,C346,$H$7:$H$3000,"&lt;"&amp;H346,$AH$7:$AH$3000,"yes")+COUNTIFS($B$7:B346,B346,$C$7:C346,C346,$H$7:H346,H346,$AH$7:AH346,"yes"),"")</f>
        <v/>
      </c>
      <c r="AG346" s="110" t="str">
        <f aca="false">IF(ISNUMBER(I346),COUNTIFS($B$7:$B$3000,B346,$C$7:$C$3000,C346,$I$7:$I$3000,"&lt;"&amp;I346,$AI$7:$AI$3000,"yes")+COUNTIFS($B$7:B346,B346,$C$7:C346,C346,$I$7:I346,I346,$AI$7:AI346,"yes"),"")</f>
        <v/>
      </c>
      <c r="AH346" s="110" t="str">
        <f aca="false">IF(ISNUMBER(H346),"yes","no")</f>
        <v>no</v>
      </c>
      <c r="AI346" s="110" t="str">
        <f aca="false">IF(ISNUMBER(I346),"yes","no")</f>
        <v>no</v>
      </c>
      <c r="AJ346" s="120" t="n">
        <v>46295</v>
      </c>
      <c r="AK346" s="110"/>
    </row>
    <row r="347" customFormat="false" ht="42" hidden="false" customHeight="true" outlineLevel="0" collapsed="false">
      <c r="A347" s="3"/>
      <c r="B347" s="31" t="s">
        <v>37</v>
      </c>
      <c r="C347" s="91" t="s">
        <v>17</v>
      </c>
      <c r="D347" s="91" t="s">
        <v>342</v>
      </c>
      <c r="E347" s="109" t="s">
        <v>1366</v>
      </c>
      <c r="F347" s="92" t="n">
        <v>391</v>
      </c>
      <c r="G347" s="91" t="s">
        <v>333</v>
      </c>
      <c r="H347" s="112" t="n">
        <f aca="false">IF(AND(AE347="yes",ISNUMBER(AD347)),AD347,"")</f>
        <v>391</v>
      </c>
      <c r="I347" s="95" t="n">
        <f aca="false">IF(AND(AE347="yes",ISNUMBER(AD347),ISNUMBER(INDEX(Sources!$G$7:$G$10,MATCH(AB347,Sources!$B$7:$B$10,0)))),ROUND(AD347/INDEX(Sources!$G$7:$G$10,MATCH(AB347,Sources!$B$7:$B$10,0)),6),"")</f>
        <v>16.009096</v>
      </c>
      <c r="J347" s="91" t="s">
        <v>530</v>
      </c>
      <c r="K347" s="91" t="s">
        <v>586</v>
      </c>
      <c r="L347" s="96"/>
      <c r="M347" s="109" t="s">
        <v>1367</v>
      </c>
      <c r="N347" s="113" t="s">
        <v>1368</v>
      </c>
      <c r="O347" s="109" t="s">
        <v>646</v>
      </c>
      <c r="P347" s="109" t="s">
        <v>590</v>
      </c>
      <c r="Q347" s="114" t="n">
        <v>0.21</v>
      </c>
      <c r="R347" s="109" t="n">
        <v>1</v>
      </c>
      <c r="S347" s="109" t="s">
        <v>632</v>
      </c>
      <c r="T347" s="109" t="s">
        <v>530</v>
      </c>
      <c r="U347" s="109" t="s">
        <v>591</v>
      </c>
      <c r="V347" s="115"/>
      <c r="W347" s="115"/>
      <c r="X347" s="109" t="s">
        <v>626</v>
      </c>
      <c r="Y347" s="109"/>
      <c r="Z347" s="109"/>
      <c r="AA347" s="109"/>
      <c r="AB347" s="109" t="s">
        <v>333</v>
      </c>
      <c r="AC347" s="109" t="s">
        <v>538</v>
      </c>
      <c r="AD347" s="109" t="n">
        <f aca="false">IF(OR(F347="",Q347="",R347=""),"",ROUND(IF(P347="incl.",F347/(1+Q347),F347)/IF(S347="per pack",R347,1),2))</f>
        <v>391</v>
      </c>
      <c r="AE347" s="109" t="str">
        <f aca="false">IF(AND(AC347="yes",ISNUMBER(F347),IF(Compare!$H$5="All mapped",TRUE(),IF(Compare!$H$5="EXACT only",J347="EXACT",OR(J347="EXACT",J347="CLOSE")))),"yes","no")</f>
        <v>yes</v>
      </c>
      <c r="AF347" s="109" t="n">
        <f aca="false">IF(ISNUMBER(H347),COUNTIFS($B$7:$B$3000,B347,$C$7:$C$3000,C347,$H$7:$H$3000,"&lt;"&amp;H347,$AH$7:$AH$3000,"yes")+COUNTIFS($B$7:B347,B347,$C$7:C347,C347,$H$7:H347,H347,$AH$7:AH347,"yes"),"")</f>
        <v>4</v>
      </c>
      <c r="AG347" s="109" t="n">
        <f aca="false">IF(ISNUMBER(I347),COUNTIFS($B$7:$B$3000,B347,$C$7:$C$3000,C347,$I$7:$I$3000,"&lt;"&amp;I347,$AI$7:$AI$3000,"yes")+COUNTIFS($B$7:B347,B347,$C$7:C347,C347,$I$7:I347,I347,$AI$7:AI347,"yes"),"")</f>
        <v>4</v>
      </c>
      <c r="AH347" s="109" t="str">
        <f aca="false">IF(ISNUMBER(H347),"yes","no")</f>
        <v>yes</v>
      </c>
      <c r="AI347" s="109" t="str">
        <f aca="false">IF(ISNUMBER(I347),"yes","no")</f>
        <v>yes</v>
      </c>
      <c r="AJ347" s="116" t="n">
        <v>46295</v>
      </c>
      <c r="AK347" s="109"/>
    </row>
    <row r="348" customFormat="false" ht="42" hidden="false" customHeight="true" outlineLevel="0" collapsed="false">
      <c r="A348" s="3"/>
      <c r="B348" s="36" t="s">
        <v>37</v>
      </c>
      <c r="C348" s="98" t="s">
        <v>17</v>
      </c>
      <c r="D348" s="98" t="s">
        <v>346</v>
      </c>
      <c r="E348" s="110" t="s">
        <v>1369</v>
      </c>
      <c r="F348" s="99" t="n">
        <v>285</v>
      </c>
      <c r="G348" s="98" t="s">
        <v>333</v>
      </c>
      <c r="H348" s="112" t="n">
        <f aca="false">IF(AND(AE348="yes",ISNUMBER(AD348)),AD348,"")</f>
        <v>235.54</v>
      </c>
      <c r="I348" s="95" t="n">
        <f aca="false">IF(AND(AE348="yes",ISNUMBER(AD348),ISNUMBER(INDEX(Sources!$G$7:$G$10,MATCH(AB348,Sources!$B$7:$B$10,0)))),ROUND(AD348/INDEX(Sources!$G$7:$G$10,MATCH(AB348,Sources!$B$7:$B$10,0)),6),"")</f>
        <v>9.643945</v>
      </c>
      <c r="J348" s="98" t="s">
        <v>702</v>
      </c>
      <c r="K348" s="98" t="s">
        <v>586</v>
      </c>
      <c r="L348" s="96"/>
      <c r="M348" s="110" t="s">
        <v>1370</v>
      </c>
      <c r="N348" s="117" t="s">
        <v>1371</v>
      </c>
      <c r="O348" s="110" t="s">
        <v>1372</v>
      </c>
      <c r="P348" s="110" t="s">
        <v>265</v>
      </c>
      <c r="Q348" s="118" t="n">
        <v>0.21</v>
      </c>
      <c r="R348" s="110" t="n">
        <v>1</v>
      </c>
      <c r="S348" s="110" t="s">
        <v>632</v>
      </c>
      <c r="T348" s="110" t="s">
        <v>702</v>
      </c>
      <c r="U348" s="110" t="s">
        <v>591</v>
      </c>
      <c r="V348" s="119"/>
      <c r="W348" s="119"/>
      <c r="X348" s="110" t="s">
        <v>626</v>
      </c>
      <c r="Y348" s="110"/>
      <c r="Z348" s="110"/>
      <c r="AA348" s="110"/>
      <c r="AB348" s="110" t="s">
        <v>333</v>
      </c>
      <c r="AC348" s="110" t="s">
        <v>538</v>
      </c>
      <c r="AD348" s="110" t="n">
        <f aca="false">IF(OR(F348="",Q348="",R348=""),"",ROUND(IF(P348="incl.",F348/(1+Q348),F348)/IF(S348="per pack",R348,1),2))</f>
        <v>235.54</v>
      </c>
      <c r="AE348" s="110" t="str">
        <f aca="false">IF(AND(AC348="yes",ISNUMBER(F348),IF(Compare!$H$5="All mapped",TRUE(),IF(Compare!$H$5="EXACT only",J348="EXACT",OR(J348="EXACT",J348="CLOSE")))),"yes","no")</f>
        <v>yes</v>
      </c>
      <c r="AF348" s="110" t="n">
        <f aca="false">IF(ISNUMBER(H348),COUNTIFS($B$7:$B$3000,B348,$C$7:$C$3000,C348,$H$7:$H$3000,"&lt;"&amp;H348,$AH$7:$AH$3000,"yes")+COUNTIFS($B$7:B348,B348,$C$7:C348,C348,$H$7:H348,H348,$AH$7:AH348,"yes"),"")</f>
        <v>2</v>
      </c>
      <c r="AG348" s="110" t="n">
        <f aca="false">IF(ISNUMBER(I348),COUNTIFS($B$7:$B$3000,B348,$C$7:$C$3000,C348,$I$7:$I$3000,"&lt;"&amp;I348,$AI$7:$AI$3000,"yes")+COUNTIFS($B$7:B348,B348,$C$7:C348,C348,$I$7:I348,I348,$AI$7:AI348,"yes"),"")</f>
        <v>2</v>
      </c>
      <c r="AH348" s="110" t="str">
        <f aca="false">IF(ISNUMBER(H348),"yes","no")</f>
        <v>yes</v>
      </c>
      <c r="AI348" s="110" t="str">
        <f aca="false">IF(ISNUMBER(I348),"yes","no")</f>
        <v>yes</v>
      </c>
      <c r="AJ348" s="120" t="n">
        <v>46295</v>
      </c>
      <c r="AK348" s="110"/>
    </row>
    <row r="349" customFormat="false" ht="42" hidden="false" customHeight="true" outlineLevel="0" collapsed="false">
      <c r="A349" s="3"/>
      <c r="B349" s="31" t="s">
        <v>37</v>
      </c>
      <c r="C349" s="91" t="s">
        <v>17</v>
      </c>
      <c r="D349" s="91" t="s">
        <v>361</v>
      </c>
      <c r="E349" s="109" t="s">
        <v>1259</v>
      </c>
      <c r="F349" s="92" t="n">
        <v>339</v>
      </c>
      <c r="G349" s="91" t="s">
        <v>333</v>
      </c>
      <c r="H349" s="112" t="n">
        <f aca="false">IF(AND(AE349="yes",ISNUMBER(AD349)),AD349,"")</f>
        <v>280.17</v>
      </c>
      <c r="I349" s="95" t="n">
        <f aca="false">IF(AND(AE349="yes",ISNUMBER(AD349),ISNUMBER(INDEX(Sources!$G$7:$G$10,MATCH(AB349,Sources!$B$7:$B$10,0)))),ROUND(AD349/INDEX(Sources!$G$7:$G$10,MATCH(AB349,Sources!$B$7:$B$10,0)),6),"")</f>
        <v>11.471274</v>
      </c>
      <c r="J349" s="91" t="s">
        <v>702</v>
      </c>
      <c r="K349" s="91" t="s">
        <v>586</v>
      </c>
      <c r="L349" s="96"/>
      <c r="M349" s="109" t="s">
        <v>1373</v>
      </c>
      <c r="N349" s="113" t="s">
        <v>1261</v>
      </c>
      <c r="O349" s="109" t="s">
        <v>361</v>
      </c>
      <c r="P349" s="109" t="s">
        <v>265</v>
      </c>
      <c r="Q349" s="114" t="n">
        <v>0.21</v>
      </c>
      <c r="R349" s="109" t="n">
        <v>1</v>
      </c>
      <c r="S349" s="109" t="s">
        <v>632</v>
      </c>
      <c r="T349" s="109" t="s">
        <v>702</v>
      </c>
      <c r="U349" s="109" t="s">
        <v>591</v>
      </c>
      <c r="V349" s="115"/>
      <c r="W349" s="115"/>
      <c r="X349" s="109" t="s">
        <v>626</v>
      </c>
      <c r="Y349" s="109"/>
      <c r="Z349" s="109"/>
      <c r="AA349" s="109"/>
      <c r="AB349" s="109" t="s">
        <v>333</v>
      </c>
      <c r="AC349" s="109" t="s">
        <v>538</v>
      </c>
      <c r="AD349" s="109" t="n">
        <f aca="false">IF(OR(F349="",Q349="",R349=""),"",ROUND(IF(P349="incl.",F349/(1+Q349),F349)/IF(S349="per pack",R349,1),2))</f>
        <v>280.17</v>
      </c>
      <c r="AE349" s="109" t="str">
        <f aca="false">IF(AND(AC349="yes",ISNUMBER(F349),IF(Compare!$H$5="All mapped",TRUE(),IF(Compare!$H$5="EXACT only",J349="EXACT",OR(J349="EXACT",J349="CLOSE")))),"yes","no")</f>
        <v>yes</v>
      </c>
      <c r="AF349" s="109" t="n">
        <f aca="false">IF(ISNUMBER(H349),COUNTIFS($B$7:$B$3000,B349,$C$7:$C$3000,C349,$H$7:$H$3000,"&lt;"&amp;H349,$AH$7:$AH$3000,"yes")+COUNTIFS($B$7:B349,B349,$C$7:C349,C349,$H$7:H349,H349,$AH$7:AH349,"yes"),"")</f>
        <v>3</v>
      </c>
      <c r="AG349" s="109" t="n">
        <f aca="false">IF(ISNUMBER(I349),COUNTIFS($B$7:$B$3000,B349,$C$7:$C$3000,C349,$I$7:$I$3000,"&lt;"&amp;I349,$AI$7:$AI$3000,"yes")+COUNTIFS($B$7:B349,B349,$C$7:C349,C349,$I$7:I349,I349,$AI$7:AI349,"yes"),"")</f>
        <v>3</v>
      </c>
      <c r="AH349" s="109" t="str">
        <f aca="false">IF(ISNUMBER(H349),"yes","no")</f>
        <v>yes</v>
      </c>
      <c r="AI349" s="109" t="str">
        <f aca="false">IF(ISNUMBER(I349),"yes","no")</f>
        <v>yes</v>
      </c>
      <c r="AJ349" s="116" t="n">
        <v>46295</v>
      </c>
      <c r="AK349" s="109"/>
    </row>
    <row r="350" customFormat="false" ht="42" hidden="false" customHeight="true" outlineLevel="0" collapsed="false">
      <c r="A350" s="3"/>
      <c r="B350" s="36" t="s">
        <v>37</v>
      </c>
      <c r="C350" s="98" t="s">
        <v>18</v>
      </c>
      <c r="D350" s="98" t="s">
        <v>365</v>
      </c>
      <c r="E350" s="110" t="s">
        <v>1374</v>
      </c>
      <c r="F350" s="99" t="n">
        <v>15.21</v>
      </c>
      <c r="G350" s="98" t="s">
        <v>244</v>
      </c>
      <c r="H350" s="112" t="n">
        <f aca="false">IF(AND(AE350="yes",ISNUMBER(AD350)),AD350,"")</f>
        <v>15.21</v>
      </c>
      <c r="I350" s="95" t="n">
        <f aca="false">IF(AND(AE350="yes",ISNUMBER(AD350),ISNUMBER(INDEX(Sources!$G$7:$G$10,MATCH(AB350,Sources!$B$7:$B$10,0)))),ROUND(AD350/INDEX(Sources!$G$7:$G$10,MATCH(AB350,Sources!$B$7:$B$10,0)),6),"")</f>
        <v>15.21</v>
      </c>
      <c r="J350" s="98" t="s">
        <v>530</v>
      </c>
      <c r="K350" s="98" t="s">
        <v>586</v>
      </c>
      <c r="L350" s="96"/>
      <c r="M350" s="110" t="s">
        <v>1375</v>
      </c>
      <c r="N350" s="117" t="s">
        <v>1376</v>
      </c>
      <c r="O350" s="110" t="s">
        <v>646</v>
      </c>
      <c r="P350" s="110" t="s">
        <v>590</v>
      </c>
      <c r="Q350" s="118" t="s">
        <v>647</v>
      </c>
      <c r="R350" s="110" t="n">
        <v>1</v>
      </c>
      <c r="S350" s="110" t="s">
        <v>632</v>
      </c>
      <c r="T350" s="110" t="s">
        <v>530</v>
      </c>
      <c r="U350" s="110" t="s">
        <v>591</v>
      </c>
      <c r="V350" s="119" t="n">
        <v>15.21</v>
      </c>
      <c r="W350" s="119"/>
      <c r="X350" s="110" t="s">
        <v>648</v>
      </c>
      <c r="Y350" s="110"/>
      <c r="Z350" s="110"/>
      <c r="AA350" s="110"/>
      <c r="AB350" s="110" t="s">
        <v>244</v>
      </c>
      <c r="AC350" s="110" t="s">
        <v>538</v>
      </c>
      <c r="AD350" s="110" t="n">
        <f aca="false">IF(ISNUMBER(V350),ROUND(V350,6),"")</f>
        <v>15.21</v>
      </c>
      <c r="AE350" s="110" t="str">
        <f aca="false">IF(AND(AC350="yes",ISNUMBER(F350),IF(Compare!$H$5="All mapped",TRUE(),IF(Compare!$H$5="EXACT only",J350="EXACT",OR(J350="EXACT",J350="CLOSE")))),"yes","no")</f>
        <v>yes</v>
      </c>
      <c r="AF350" s="110" t="n">
        <f aca="false">IF(ISNUMBER(H350),COUNTIFS($B$7:$B$3000,B350,$C$7:$C$3000,C350,$H$7:$H$3000,"&lt;"&amp;H350,$AH$7:$AH$3000,"yes")+COUNTIFS($B$7:B350,B350,$C$7:C350,C350,$H$7:H350,H350,$AH$7:AH350,"yes"),"")</f>
        <v>1</v>
      </c>
      <c r="AG350" s="110" t="n">
        <f aca="false">IF(ISNUMBER(I350),COUNTIFS($B$7:$B$3000,B350,$C$7:$C$3000,C350,$I$7:$I$3000,"&lt;"&amp;I350,$AI$7:$AI$3000,"yes")+COUNTIFS($B$7:B350,B350,$C$7:C350,C350,$I$7:I350,I350,$AI$7:AI350,"yes"),"")</f>
        <v>1</v>
      </c>
      <c r="AH350" s="110" t="str">
        <f aca="false">IF(ISNUMBER(H350),"yes","no")</f>
        <v>yes</v>
      </c>
      <c r="AI350" s="110" t="str">
        <f aca="false">IF(ISNUMBER(I350),"yes","no")</f>
        <v>yes</v>
      </c>
      <c r="AJ350" s="120" t="n">
        <v>46295</v>
      </c>
      <c r="AK350" s="110"/>
    </row>
    <row r="351" customFormat="false" ht="42" hidden="false" customHeight="true" outlineLevel="0" collapsed="false">
      <c r="A351" s="3"/>
      <c r="B351" s="31" t="s">
        <v>37</v>
      </c>
      <c r="C351" s="91" t="s">
        <v>18</v>
      </c>
      <c r="D351" s="91" t="s">
        <v>369</v>
      </c>
      <c r="E351" s="109" t="s">
        <v>1377</v>
      </c>
      <c r="F351" s="92" t="n">
        <v>12.3</v>
      </c>
      <c r="G351" s="91" t="s">
        <v>244</v>
      </c>
      <c r="H351" s="112" t="str">
        <f aca="false">IF(AND(AE351="yes",ISNUMBER(AD351)),AD351,"")</f>
        <v/>
      </c>
      <c r="I351" s="95" t="str">
        <f aca="false">IF(AND(AE351="yes",ISNUMBER(AD351),ISNUMBER(INDEX(Sources!$G$7:$G$10,MATCH(AB351,Sources!$B$7:$B$10,0)))),ROUND(AD351/INDEX(Sources!$G$7:$G$10,MATCH(AB351,Sources!$B$7:$B$10,0)),6),"")</f>
        <v/>
      </c>
      <c r="J351" s="91" t="s">
        <v>629</v>
      </c>
      <c r="K351" s="91" t="s">
        <v>586</v>
      </c>
      <c r="L351" s="96"/>
      <c r="M351" s="109" t="s">
        <v>1378</v>
      </c>
      <c r="N351" s="113" t="s">
        <v>1379</v>
      </c>
      <c r="O351" s="109" t="s">
        <v>1380</v>
      </c>
      <c r="P351" s="109" t="s">
        <v>265</v>
      </c>
      <c r="Q351" s="114" t="n">
        <v>0.23</v>
      </c>
      <c r="R351" s="109" t="n">
        <v>1</v>
      </c>
      <c r="S351" s="109" t="s">
        <v>632</v>
      </c>
      <c r="T351" s="109" t="s">
        <v>629</v>
      </c>
      <c r="U351" s="109" t="s">
        <v>591</v>
      </c>
      <c r="V351" s="115" t="n">
        <v>10</v>
      </c>
      <c r="W351" s="115"/>
      <c r="X351" s="109" t="s">
        <v>648</v>
      </c>
      <c r="Y351" s="109"/>
      <c r="Z351" s="109"/>
      <c r="AA351" s="109"/>
      <c r="AB351" s="109" t="s">
        <v>244</v>
      </c>
      <c r="AC351" s="109" t="s">
        <v>538</v>
      </c>
      <c r="AD351" s="109" t="n">
        <f aca="false">IF(ISNUMBER(V351),ROUND(V351,6),"")</f>
        <v>10</v>
      </c>
      <c r="AE351" s="109" t="str">
        <f aca="false">IF(AND(AC351="yes",ISNUMBER(F351),IF(Compare!$H$5="All mapped",TRUE(),IF(Compare!$H$5="EXACT only",J351="EXACT",OR(J351="EXACT",J351="CLOSE")))),"yes","no")</f>
        <v>no</v>
      </c>
      <c r="AF351" s="109" t="str">
        <f aca="false">IF(ISNUMBER(H351),COUNTIFS($B$7:$B$3000,B351,$C$7:$C$3000,C351,$H$7:$H$3000,"&lt;"&amp;H351,$AH$7:$AH$3000,"yes")+COUNTIFS($B$7:B351,B351,$C$7:C351,C351,$H$7:H351,H351,$AH$7:AH351,"yes"),"")</f>
        <v/>
      </c>
      <c r="AG351" s="109" t="str">
        <f aca="false">IF(ISNUMBER(I351),COUNTIFS($B$7:$B$3000,B351,$C$7:$C$3000,C351,$I$7:$I$3000,"&lt;"&amp;I351,$AI$7:$AI$3000,"yes")+COUNTIFS($B$7:B351,B351,$C$7:C351,C351,$I$7:I351,I351,$AI$7:AI351,"yes"),"")</f>
        <v/>
      </c>
      <c r="AH351" s="109" t="str">
        <f aca="false">IF(ISNUMBER(H351),"yes","no")</f>
        <v>no</v>
      </c>
      <c r="AI351" s="109" t="str">
        <f aca="false">IF(ISNUMBER(I351),"yes","no")</f>
        <v>no</v>
      </c>
      <c r="AJ351" s="116" t="n">
        <v>46295</v>
      </c>
      <c r="AK351" s="109"/>
    </row>
    <row r="352" customFormat="false" ht="42" hidden="false" customHeight="true" outlineLevel="0" collapsed="false">
      <c r="A352" s="3"/>
      <c r="B352" s="36" t="s">
        <v>39</v>
      </c>
      <c r="C352" s="98" t="s">
        <v>15</v>
      </c>
      <c r="D352" s="98" t="s">
        <v>243</v>
      </c>
      <c r="E352" s="110" t="s">
        <v>1381</v>
      </c>
      <c r="F352" s="99" t="n">
        <v>284</v>
      </c>
      <c r="G352" s="98" t="s">
        <v>244</v>
      </c>
      <c r="H352" s="112" t="n">
        <f aca="false">IF(AND(AE352="yes",ISNUMBER(AD352)),AD352,"")</f>
        <v>284</v>
      </c>
      <c r="I352" s="95" t="n">
        <f aca="false">IF(AND(AE352="yes",ISNUMBER(AD352),ISNUMBER(INDEX(Sources!$G$7:$G$10,MATCH(AB352,Sources!$B$7:$B$10,0)))),ROUND(AD352/INDEX(Sources!$G$7:$G$10,MATCH(AB352,Sources!$B$7:$B$10,0)),6),"")</f>
        <v>284</v>
      </c>
      <c r="J352" s="98" t="s">
        <v>702</v>
      </c>
      <c r="K352" s="98" t="s">
        <v>586</v>
      </c>
      <c r="L352" s="96"/>
      <c r="M352" s="110" t="s">
        <v>1382</v>
      </c>
      <c r="N352" s="117" t="s">
        <v>1383</v>
      </c>
      <c r="O352" s="110" t="s">
        <v>388</v>
      </c>
      <c r="P352" s="110" t="s">
        <v>590</v>
      </c>
      <c r="Q352" s="118"/>
      <c r="R352" s="110" t="n">
        <v>1</v>
      </c>
      <c r="S352" s="110"/>
      <c r="T352" s="110" t="s">
        <v>702</v>
      </c>
      <c r="U352" s="110" t="s">
        <v>591</v>
      </c>
      <c r="V352" s="119" t="n">
        <v>284</v>
      </c>
      <c r="W352" s="119"/>
      <c r="X352" s="110" t="s">
        <v>592</v>
      </c>
      <c r="Y352" s="110"/>
      <c r="Z352" s="110"/>
      <c r="AA352" s="110"/>
      <c r="AB352" s="110" t="s">
        <v>244</v>
      </c>
      <c r="AC352" s="110" t="s">
        <v>538</v>
      </c>
      <c r="AD352" s="110" t="n">
        <f aca="false">IF(ISNUMBER(V352),ROUND(V352,6),"")</f>
        <v>284</v>
      </c>
      <c r="AE352" s="110" t="str">
        <f aca="false">IF(AND(AC352="yes",ISNUMBER(F352),IF(Compare!$H$5="All mapped",TRUE(),IF(Compare!$H$5="EXACT only",J352="EXACT",OR(J352="EXACT",J352="CLOSE")))),"yes","no")</f>
        <v>yes</v>
      </c>
      <c r="AF352" s="110" t="n">
        <f aca="false">IF(ISNUMBER(H352),COUNTIFS($B$7:$B$3000,B352,$C$7:$C$3000,C352,$H$7:$H$3000,"&lt;"&amp;H352,$AH$7:$AH$3000,"yes")+COUNTIFS($B$7:B352,B352,$C$7:C352,C352,$H$7:H352,H352,$AH$7:AH352,"yes"),"")</f>
        <v>8</v>
      </c>
      <c r="AG352" s="110" t="n">
        <f aca="false">IF(ISNUMBER(I352),COUNTIFS($B$7:$B$3000,B352,$C$7:$C$3000,C352,$I$7:$I$3000,"&lt;"&amp;I352,$AI$7:$AI$3000,"yes")+COUNTIFS($B$7:B352,B352,$C$7:C352,C352,$I$7:I352,I352,$AI$7:AI352,"yes"),"")</f>
        <v>8</v>
      </c>
      <c r="AH352" s="110" t="str">
        <f aca="false">IF(ISNUMBER(H352),"yes","no")</f>
        <v>yes</v>
      </c>
      <c r="AI352" s="110" t="str">
        <f aca="false">IF(ISNUMBER(I352),"yes","no")</f>
        <v>yes</v>
      </c>
      <c r="AJ352" s="120" t="n">
        <v>46295</v>
      </c>
      <c r="AK352" s="110"/>
    </row>
    <row r="353" customFormat="false" ht="42" hidden="false" customHeight="true" outlineLevel="0" collapsed="false">
      <c r="A353" s="3"/>
      <c r="B353" s="31" t="s">
        <v>39</v>
      </c>
      <c r="C353" s="91" t="s">
        <v>15</v>
      </c>
      <c r="D353" s="91" t="s">
        <v>269</v>
      </c>
      <c r="E353" s="109" t="s">
        <v>1384</v>
      </c>
      <c r="F353" s="92" t="n">
        <v>169.9</v>
      </c>
      <c r="G353" s="91" t="s">
        <v>244</v>
      </c>
      <c r="H353" s="112" t="n">
        <f aca="false">IF(AND(AE353="yes",ISNUMBER(AD353)),AD353,"")</f>
        <v>169.9</v>
      </c>
      <c r="I353" s="95" t="n">
        <f aca="false">IF(AND(AE353="yes",ISNUMBER(AD353),ISNUMBER(INDEX(Sources!$G$7:$G$10,MATCH(AB353,Sources!$B$7:$B$10,0)))),ROUND(AD353/INDEX(Sources!$G$7:$G$10,MATCH(AB353,Sources!$B$7:$B$10,0)),6),"")</f>
        <v>169.9</v>
      </c>
      <c r="J353" s="91" t="s">
        <v>530</v>
      </c>
      <c r="K353" s="91" t="s">
        <v>586</v>
      </c>
      <c r="L353" s="96"/>
      <c r="M353" s="109" t="s">
        <v>1385</v>
      </c>
      <c r="N353" s="113" t="s">
        <v>1386</v>
      </c>
      <c r="O353" s="109" t="s">
        <v>311</v>
      </c>
      <c r="P353" s="109" t="s">
        <v>590</v>
      </c>
      <c r="Q353" s="114"/>
      <c r="R353" s="109" t="n">
        <v>1</v>
      </c>
      <c r="S353" s="109"/>
      <c r="T353" s="109" t="s">
        <v>530</v>
      </c>
      <c r="U353" s="109" t="s">
        <v>591</v>
      </c>
      <c r="V353" s="115" t="n">
        <v>169.9</v>
      </c>
      <c r="W353" s="115"/>
      <c r="X353" s="109" t="s">
        <v>592</v>
      </c>
      <c r="Y353" s="109"/>
      <c r="Z353" s="109" t="s">
        <v>1387</v>
      </c>
      <c r="AA353" s="109"/>
      <c r="AB353" s="109" t="s">
        <v>244</v>
      </c>
      <c r="AC353" s="109" t="s">
        <v>538</v>
      </c>
      <c r="AD353" s="109" t="n">
        <f aca="false">IF(ISNUMBER(V353),ROUND(V353,6),"")</f>
        <v>169.9</v>
      </c>
      <c r="AE353" s="109" t="str">
        <f aca="false">IF(AND(AC353="yes",ISNUMBER(F353),IF(Compare!$H$5="All mapped",TRUE(),IF(Compare!$H$5="EXACT only",J353="EXACT",OR(J353="EXACT",J353="CLOSE")))),"yes","no")</f>
        <v>yes</v>
      </c>
      <c r="AF353" s="109" t="n">
        <f aca="false">IF(ISNUMBER(H353),COUNTIFS($B$7:$B$3000,B353,$C$7:$C$3000,C353,$H$7:$H$3000,"&lt;"&amp;H353,$AH$7:$AH$3000,"yes")+COUNTIFS($B$7:B353,B353,$C$7:C353,C353,$H$7:H353,H353,$AH$7:AH353,"yes"),"")</f>
        <v>1</v>
      </c>
      <c r="AG353" s="109" t="n">
        <f aca="false">IF(ISNUMBER(I353),COUNTIFS($B$7:$B$3000,B353,$C$7:$C$3000,C353,$I$7:$I$3000,"&lt;"&amp;I353,$AI$7:$AI$3000,"yes")+COUNTIFS($B$7:B353,B353,$C$7:C353,C353,$I$7:I353,I353,$AI$7:AI353,"yes"),"")</f>
        <v>1</v>
      </c>
      <c r="AH353" s="109" t="str">
        <f aca="false">IF(ISNUMBER(H353),"yes","no")</f>
        <v>yes</v>
      </c>
      <c r="AI353" s="109" t="str">
        <f aca="false">IF(ISNUMBER(I353),"yes","no")</f>
        <v>yes</v>
      </c>
      <c r="AJ353" s="116" t="n">
        <v>46295</v>
      </c>
      <c r="AK353" s="109"/>
    </row>
    <row r="354" customFormat="false" ht="42" hidden="false" customHeight="true" outlineLevel="0" collapsed="false">
      <c r="A354" s="3"/>
      <c r="B354" s="36" t="s">
        <v>39</v>
      </c>
      <c r="C354" s="98" t="s">
        <v>15</v>
      </c>
      <c r="D354" s="98" t="s">
        <v>264</v>
      </c>
      <c r="E354" s="110" t="s">
        <v>1388</v>
      </c>
      <c r="F354" s="99" t="n">
        <v>229.14</v>
      </c>
      <c r="G354" s="98" t="s">
        <v>244</v>
      </c>
      <c r="H354" s="112" t="n">
        <f aca="false">IF(AND(AE354="yes",ISNUMBER(AD354)),AD354,"")</f>
        <v>229.14</v>
      </c>
      <c r="I354" s="95" t="n">
        <f aca="false">IF(AND(AE354="yes",ISNUMBER(AD354),ISNUMBER(INDEX(Sources!$G$7:$G$10,MATCH(AB354,Sources!$B$7:$B$10,0)))),ROUND(AD354/INDEX(Sources!$G$7:$G$10,MATCH(AB354,Sources!$B$7:$B$10,0)),6),"")</f>
        <v>229.14</v>
      </c>
      <c r="J354" s="98" t="s">
        <v>702</v>
      </c>
      <c r="K354" s="98" t="s">
        <v>586</v>
      </c>
      <c r="L354" s="96"/>
      <c r="M354" s="110" t="s">
        <v>1389</v>
      </c>
      <c r="N354" s="117" t="s">
        <v>1390</v>
      </c>
      <c r="O354" s="110" t="s">
        <v>646</v>
      </c>
      <c r="P354" s="110" t="s">
        <v>590</v>
      </c>
      <c r="Q354" s="118"/>
      <c r="R354" s="110" t="n">
        <v>1</v>
      </c>
      <c r="S354" s="110"/>
      <c r="T354" s="110" t="s">
        <v>702</v>
      </c>
      <c r="U354" s="110" t="s">
        <v>591</v>
      </c>
      <c r="V354" s="119" t="n">
        <v>229.14</v>
      </c>
      <c r="W354" s="119"/>
      <c r="X354" s="110" t="s">
        <v>592</v>
      </c>
      <c r="Y354" s="110"/>
      <c r="Z354" s="110"/>
      <c r="AA354" s="110"/>
      <c r="AB354" s="110" t="s">
        <v>244</v>
      </c>
      <c r="AC354" s="110" t="s">
        <v>538</v>
      </c>
      <c r="AD354" s="110" t="n">
        <f aca="false">IF(ISNUMBER(V354),ROUND(V354,6),"")</f>
        <v>229.14</v>
      </c>
      <c r="AE354" s="110" t="str">
        <f aca="false">IF(AND(AC354="yes",ISNUMBER(F354),IF(Compare!$H$5="All mapped",TRUE(),IF(Compare!$H$5="EXACT only",J354="EXACT",OR(J354="EXACT",J354="CLOSE")))),"yes","no")</f>
        <v>yes</v>
      </c>
      <c r="AF354" s="110" t="n">
        <f aca="false">IF(ISNUMBER(H354),COUNTIFS($B$7:$B$3000,B354,$C$7:$C$3000,C354,$H$7:$H$3000,"&lt;"&amp;H354,$AH$7:$AH$3000,"yes")+COUNTIFS($B$7:B354,B354,$C$7:C354,C354,$H$7:H354,H354,$AH$7:AH354,"yes"),"")</f>
        <v>3</v>
      </c>
      <c r="AG354" s="110" t="n">
        <f aca="false">IF(ISNUMBER(I354),COUNTIFS($B$7:$B$3000,B354,$C$7:$C$3000,C354,$I$7:$I$3000,"&lt;"&amp;I354,$AI$7:$AI$3000,"yes")+COUNTIFS($B$7:B354,B354,$C$7:C354,C354,$I$7:I354,I354,$AI$7:AI354,"yes"),"")</f>
        <v>3</v>
      </c>
      <c r="AH354" s="110" t="str">
        <f aca="false">IF(ISNUMBER(H354),"yes","no")</f>
        <v>yes</v>
      </c>
      <c r="AI354" s="110" t="str">
        <f aca="false">IF(ISNUMBER(I354),"yes","no")</f>
        <v>yes</v>
      </c>
      <c r="AJ354" s="120" t="n">
        <v>46295</v>
      </c>
      <c r="AK354" s="110"/>
    </row>
    <row r="355" customFormat="false" ht="42" hidden="false" customHeight="true" outlineLevel="0" collapsed="false">
      <c r="A355" s="3"/>
      <c r="B355" s="31" t="s">
        <v>39</v>
      </c>
      <c r="C355" s="91" t="s">
        <v>15</v>
      </c>
      <c r="D355" s="91" t="s">
        <v>273</v>
      </c>
      <c r="E355" s="109" t="s">
        <v>1391</v>
      </c>
      <c r="F355" s="92" t="n">
        <v>305.9</v>
      </c>
      <c r="G355" s="91" t="s">
        <v>244</v>
      </c>
      <c r="H355" s="112" t="n">
        <f aca="false">IF(AND(AE355="yes",ISNUMBER(AD355)),AD355,"")</f>
        <v>254.92</v>
      </c>
      <c r="I355" s="95" t="n">
        <f aca="false">IF(AND(AE355="yes",ISNUMBER(AD355),ISNUMBER(INDEX(Sources!$G$7:$G$10,MATCH(AB355,Sources!$B$7:$B$10,0)))),ROUND(AD355/INDEX(Sources!$G$7:$G$10,MATCH(AB355,Sources!$B$7:$B$10,0)),6),"")</f>
        <v>254.92</v>
      </c>
      <c r="J355" s="91" t="s">
        <v>530</v>
      </c>
      <c r="K355" s="91" t="s">
        <v>586</v>
      </c>
      <c r="L355" s="96"/>
      <c r="M355" s="109" t="s">
        <v>1392</v>
      </c>
      <c r="N355" s="113" t="s">
        <v>1393</v>
      </c>
      <c r="O355" s="109" t="s">
        <v>642</v>
      </c>
      <c r="P355" s="109" t="s">
        <v>265</v>
      </c>
      <c r="Q355" s="114"/>
      <c r="R355" s="109" t="n">
        <v>1</v>
      </c>
      <c r="S355" s="109"/>
      <c r="T355" s="109" t="s">
        <v>530</v>
      </c>
      <c r="U355" s="109" t="s">
        <v>591</v>
      </c>
      <c r="V355" s="115" t="n">
        <v>254.92</v>
      </c>
      <c r="W355" s="115"/>
      <c r="X355" s="109" t="s">
        <v>592</v>
      </c>
      <c r="Y355" s="109"/>
      <c r="Z355" s="109" t="s">
        <v>599</v>
      </c>
      <c r="AA355" s="109"/>
      <c r="AB355" s="109" t="s">
        <v>244</v>
      </c>
      <c r="AC355" s="109" t="s">
        <v>538</v>
      </c>
      <c r="AD355" s="109" t="n">
        <f aca="false">IF(ISNUMBER(V355),ROUND(V355,6),"")</f>
        <v>254.92</v>
      </c>
      <c r="AE355" s="109" t="str">
        <f aca="false">IF(AND(AC355="yes",ISNUMBER(F355),IF(Compare!$H$5="All mapped",TRUE(),IF(Compare!$H$5="EXACT only",J355="EXACT",OR(J355="EXACT",J355="CLOSE")))),"yes","no")</f>
        <v>yes</v>
      </c>
      <c r="AF355" s="109" t="n">
        <f aca="false">IF(ISNUMBER(H355),COUNTIFS($B$7:$B$3000,B355,$C$7:$C$3000,C355,$H$7:$H$3000,"&lt;"&amp;H355,$AH$7:$AH$3000,"yes")+COUNTIFS($B$7:B355,B355,$C$7:C355,C355,$H$7:H355,H355,$AH$7:AH355,"yes"),"")</f>
        <v>5</v>
      </c>
      <c r="AG355" s="109" t="n">
        <f aca="false">IF(ISNUMBER(I355),COUNTIFS($B$7:$B$3000,B355,$C$7:$C$3000,C355,$I$7:$I$3000,"&lt;"&amp;I355,$AI$7:$AI$3000,"yes")+COUNTIFS($B$7:B355,B355,$C$7:C355,C355,$I$7:I355,I355,$AI$7:AI355,"yes"),"")</f>
        <v>5</v>
      </c>
      <c r="AH355" s="109" t="str">
        <f aca="false">IF(ISNUMBER(H355),"yes","no")</f>
        <v>yes</v>
      </c>
      <c r="AI355" s="109" t="str">
        <f aca="false">IF(ISNUMBER(I355),"yes","no")</f>
        <v>yes</v>
      </c>
      <c r="AJ355" s="116" t="n">
        <v>46295</v>
      </c>
      <c r="AK355" s="109"/>
    </row>
    <row r="356" customFormat="false" ht="42" hidden="false" customHeight="true" outlineLevel="0" collapsed="false">
      <c r="A356" s="3"/>
      <c r="B356" s="36" t="s">
        <v>39</v>
      </c>
      <c r="C356" s="98" t="s">
        <v>15</v>
      </c>
      <c r="D356" s="98" t="s">
        <v>281</v>
      </c>
      <c r="E356" s="110" t="s">
        <v>1394</v>
      </c>
      <c r="F356" s="99" t="n">
        <v>265.95</v>
      </c>
      <c r="G356" s="98" t="s">
        <v>244</v>
      </c>
      <c r="H356" s="112" t="n">
        <f aca="false">IF(AND(AE356="yes",ISNUMBER(AD356)),AD356,"")</f>
        <v>265.95</v>
      </c>
      <c r="I356" s="95" t="n">
        <f aca="false">IF(AND(AE356="yes",ISNUMBER(AD356),ISNUMBER(INDEX(Sources!$G$7:$G$10,MATCH(AB356,Sources!$B$7:$B$10,0)))),ROUND(AD356/INDEX(Sources!$G$7:$G$10,MATCH(AB356,Sources!$B$7:$B$10,0)),6),"")</f>
        <v>265.95</v>
      </c>
      <c r="J356" s="98" t="s">
        <v>530</v>
      </c>
      <c r="K356" s="98" t="s">
        <v>586</v>
      </c>
      <c r="L356" s="96"/>
      <c r="M356" s="110" t="s">
        <v>1395</v>
      </c>
      <c r="N356" s="117" t="s">
        <v>1396</v>
      </c>
      <c r="O356" s="110" t="s">
        <v>1397</v>
      </c>
      <c r="P356" s="110" t="s">
        <v>590</v>
      </c>
      <c r="Q356" s="118"/>
      <c r="R356" s="110" t="n">
        <v>1</v>
      </c>
      <c r="S356" s="110"/>
      <c r="T356" s="110" t="s">
        <v>530</v>
      </c>
      <c r="U356" s="110" t="s">
        <v>591</v>
      </c>
      <c r="V356" s="119" t="n">
        <v>265.95</v>
      </c>
      <c r="W356" s="119"/>
      <c r="X356" s="110" t="s">
        <v>592</v>
      </c>
      <c r="Y356" s="110"/>
      <c r="Z356" s="110"/>
      <c r="AA356" s="110"/>
      <c r="AB356" s="110" t="s">
        <v>244</v>
      </c>
      <c r="AC356" s="110" t="s">
        <v>538</v>
      </c>
      <c r="AD356" s="110" t="n">
        <f aca="false">IF(ISNUMBER(V356),ROUND(V356,6),"")</f>
        <v>265.95</v>
      </c>
      <c r="AE356" s="110" t="str">
        <f aca="false">IF(AND(AC356="yes",ISNUMBER(F356),IF(Compare!$H$5="All mapped",TRUE(),IF(Compare!$H$5="EXACT only",J356="EXACT",OR(J356="EXACT",J356="CLOSE")))),"yes","no")</f>
        <v>yes</v>
      </c>
      <c r="AF356" s="110" t="n">
        <f aca="false">IF(ISNUMBER(H356),COUNTIFS($B$7:$B$3000,B356,$C$7:$C$3000,C356,$H$7:$H$3000,"&lt;"&amp;H356,$AH$7:$AH$3000,"yes")+COUNTIFS($B$7:B356,B356,$C$7:C356,C356,$H$7:H356,H356,$AH$7:AH356,"yes"),"")</f>
        <v>6</v>
      </c>
      <c r="AG356" s="110" t="n">
        <f aca="false">IF(ISNUMBER(I356),COUNTIFS($B$7:$B$3000,B356,$C$7:$C$3000,C356,$I$7:$I$3000,"&lt;"&amp;I356,$AI$7:$AI$3000,"yes")+COUNTIFS($B$7:B356,B356,$C$7:C356,C356,$I$7:I356,I356,$AI$7:AI356,"yes"),"")</f>
        <v>6</v>
      </c>
      <c r="AH356" s="110" t="str">
        <f aca="false">IF(ISNUMBER(H356),"yes","no")</f>
        <v>yes</v>
      </c>
      <c r="AI356" s="110" t="str">
        <f aca="false">IF(ISNUMBER(I356),"yes","no")</f>
        <v>yes</v>
      </c>
      <c r="AJ356" s="120" t="n">
        <v>46295</v>
      </c>
      <c r="AK356" s="110"/>
    </row>
    <row r="357" customFormat="false" ht="42" hidden="false" customHeight="true" outlineLevel="0" collapsed="false">
      <c r="A357" s="3"/>
      <c r="B357" s="31" t="s">
        <v>39</v>
      </c>
      <c r="C357" s="91" t="s">
        <v>15</v>
      </c>
      <c r="D357" s="91" t="s">
        <v>293</v>
      </c>
      <c r="E357" s="109" t="s">
        <v>1398</v>
      </c>
      <c r="F357" s="92" t="n">
        <v>196</v>
      </c>
      <c r="G357" s="91" t="s">
        <v>244</v>
      </c>
      <c r="H357" s="112" t="n">
        <f aca="false">IF(AND(AE357="yes",ISNUMBER(AD357)),AD357,"")</f>
        <v>196</v>
      </c>
      <c r="I357" s="95" t="n">
        <f aca="false">IF(AND(AE357="yes",ISNUMBER(AD357),ISNUMBER(INDEX(Sources!$G$7:$G$10,MATCH(AB357,Sources!$B$7:$B$10,0)))),ROUND(AD357/INDEX(Sources!$G$7:$G$10,MATCH(AB357,Sources!$B$7:$B$10,0)),6),"")</f>
        <v>196</v>
      </c>
      <c r="J357" s="91" t="s">
        <v>702</v>
      </c>
      <c r="K357" s="91" t="s">
        <v>586</v>
      </c>
      <c r="L357" s="96"/>
      <c r="M357" s="109" t="s">
        <v>1399</v>
      </c>
      <c r="N357" s="113" t="s">
        <v>1400</v>
      </c>
      <c r="O357" s="109" t="s">
        <v>589</v>
      </c>
      <c r="P357" s="109" t="s">
        <v>590</v>
      </c>
      <c r="Q357" s="114"/>
      <c r="R357" s="109" t="n">
        <v>1</v>
      </c>
      <c r="S357" s="109"/>
      <c r="T357" s="109" t="s">
        <v>702</v>
      </c>
      <c r="U357" s="109" t="s">
        <v>591</v>
      </c>
      <c r="V357" s="115" t="n">
        <v>196</v>
      </c>
      <c r="W357" s="115"/>
      <c r="X357" s="109" t="s">
        <v>592</v>
      </c>
      <c r="Y357" s="109"/>
      <c r="Z357" s="109"/>
      <c r="AA357" s="109"/>
      <c r="AB357" s="109" t="s">
        <v>244</v>
      </c>
      <c r="AC357" s="109" t="s">
        <v>538</v>
      </c>
      <c r="AD357" s="109" t="n">
        <f aca="false">IF(ISNUMBER(V357),ROUND(V357,6),"")</f>
        <v>196</v>
      </c>
      <c r="AE357" s="109" t="str">
        <f aca="false">IF(AND(AC357="yes",ISNUMBER(F357),IF(Compare!$H$5="All mapped",TRUE(),IF(Compare!$H$5="EXACT only",J357="EXACT",OR(J357="EXACT",J357="CLOSE")))),"yes","no")</f>
        <v>yes</v>
      </c>
      <c r="AF357" s="109" t="n">
        <f aca="false">IF(ISNUMBER(H357),COUNTIFS($B$7:$B$3000,B357,$C$7:$C$3000,C357,$H$7:$H$3000,"&lt;"&amp;H357,$AH$7:$AH$3000,"yes")+COUNTIFS($B$7:B357,B357,$C$7:C357,C357,$H$7:H357,H357,$AH$7:AH357,"yes"),"")</f>
        <v>2</v>
      </c>
      <c r="AG357" s="109" t="n">
        <f aca="false">IF(ISNUMBER(I357),COUNTIFS($B$7:$B$3000,B357,$C$7:$C$3000,C357,$I$7:$I$3000,"&lt;"&amp;I357,$AI$7:$AI$3000,"yes")+COUNTIFS($B$7:B357,B357,$C$7:C357,C357,$I$7:I357,I357,$AI$7:AI357,"yes"),"")</f>
        <v>2</v>
      </c>
      <c r="AH357" s="109" t="str">
        <f aca="false">IF(ISNUMBER(H357),"yes","no")</f>
        <v>yes</v>
      </c>
      <c r="AI357" s="109" t="str">
        <f aca="false">IF(ISNUMBER(I357),"yes","no")</f>
        <v>yes</v>
      </c>
      <c r="AJ357" s="116" t="n">
        <v>46295</v>
      </c>
      <c r="AK357" s="109"/>
    </row>
    <row r="358" customFormat="false" ht="42" hidden="false" customHeight="true" outlineLevel="0" collapsed="false">
      <c r="A358" s="3"/>
      <c r="B358" s="36" t="s">
        <v>39</v>
      </c>
      <c r="C358" s="98" t="s">
        <v>16</v>
      </c>
      <c r="D358" s="98" t="s">
        <v>296</v>
      </c>
      <c r="E358" s="110" t="s">
        <v>1381</v>
      </c>
      <c r="F358" s="99" t="n">
        <v>284</v>
      </c>
      <c r="G358" s="98" t="s">
        <v>244</v>
      </c>
      <c r="H358" s="112" t="n">
        <f aca="false">IF(AND(AE358="yes",ISNUMBER(AD358)),AD358,"")</f>
        <v>284</v>
      </c>
      <c r="I358" s="95" t="n">
        <f aca="false">IF(AND(AE358="yes",ISNUMBER(AD358),ISNUMBER(INDEX(Sources!$G$7:$G$10,MATCH(AB358,Sources!$B$7:$B$10,0)))),ROUND(AD358/INDEX(Sources!$G$7:$G$10,MATCH(AB358,Sources!$B$7:$B$10,0)),6),"")</f>
        <v>284</v>
      </c>
      <c r="J358" s="98" t="s">
        <v>702</v>
      </c>
      <c r="K358" s="98" t="s">
        <v>586</v>
      </c>
      <c r="L358" s="96"/>
      <c r="M358" s="110" t="s">
        <v>1382</v>
      </c>
      <c r="N358" s="117" t="s">
        <v>1401</v>
      </c>
      <c r="O358" s="110" t="s">
        <v>388</v>
      </c>
      <c r="P358" s="110" t="s">
        <v>590</v>
      </c>
      <c r="Q358" s="118"/>
      <c r="R358" s="110" t="n">
        <v>1</v>
      </c>
      <c r="S358" s="110"/>
      <c r="T358" s="110" t="s">
        <v>702</v>
      </c>
      <c r="U358" s="110" t="s">
        <v>591</v>
      </c>
      <c r="V358" s="119" t="n">
        <v>284</v>
      </c>
      <c r="W358" s="119"/>
      <c r="X358" s="110" t="s">
        <v>612</v>
      </c>
      <c r="Y358" s="110"/>
      <c r="Z358" s="110"/>
      <c r="AA358" s="110"/>
      <c r="AB358" s="110" t="s">
        <v>244</v>
      </c>
      <c r="AC358" s="110" t="s">
        <v>538</v>
      </c>
      <c r="AD358" s="110" t="n">
        <f aca="false">IF(ISNUMBER(V358),ROUND(V358,6),"")</f>
        <v>284</v>
      </c>
      <c r="AE358" s="110" t="str">
        <f aca="false">IF(AND(AC358="yes",ISNUMBER(F358),IF(Compare!$H$5="All mapped",TRUE(),IF(Compare!$H$5="EXACT only",J358="EXACT",OR(J358="EXACT",J358="CLOSE")))),"yes","no")</f>
        <v>yes</v>
      </c>
      <c r="AF358" s="110" t="n">
        <f aca="false">IF(ISNUMBER(H358),COUNTIFS($B$7:$B$3000,B358,$C$7:$C$3000,C358,$H$7:$H$3000,"&lt;"&amp;H358,$AH$7:$AH$3000,"yes")+COUNTIFS($B$7:B358,B358,$C$7:C358,C358,$H$7:H358,H358,$AH$7:AH358,"yes"),"")</f>
        <v>10</v>
      </c>
      <c r="AG358" s="110" t="n">
        <f aca="false">IF(ISNUMBER(I358),COUNTIFS($B$7:$B$3000,B358,$C$7:$C$3000,C358,$I$7:$I$3000,"&lt;"&amp;I358,$AI$7:$AI$3000,"yes")+COUNTIFS($B$7:B358,B358,$C$7:C358,C358,$I$7:I358,I358,$AI$7:AI358,"yes"),"")</f>
        <v>10</v>
      </c>
      <c r="AH358" s="110" t="str">
        <f aca="false">IF(ISNUMBER(H358),"yes","no")</f>
        <v>yes</v>
      </c>
      <c r="AI358" s="110" t="str">
        <f aca="false">IF(ISNUMBER(I358),"yes","no")</f>
        <v>yes</v>
      </c>
      <c r="AJ358" s="120" t="n">
        <v>46295</v>
      </c>
      <c r="AK358" s="110"/>
    </row>
    <row r="359" customFormat="false" ht="42" hidden="false" customHeight="true" outlineLevel="0" collapsed="false">
      <c r="A359" s="3"/>
      <c r="B359" s="31" t="s">
        <v>39</v>
      </c>
      <c r="C359" s="91" t="s">
        <v>16</v>
      </c>
      <c r="D359" s="91" t="s">
        <v>317</v>
      </c>
      <c r="E359" s="109" t="s">
        <v>1402</v>
      </c>
      <c r="F359" s="92" t="n">
        <v>274.99</v>
      </c>
      <c r="G359" s="91" t="s">
        <v>244</v>
      </c>
      <c r="H359" s="112" t="n">
        <f aca="false">IF(AND(AE359="yes",ISNUMBER(AD359)),AD359,"")</f>
        <v>274.99</v>
      </c>
      <c r="I359" s="95" t="n">
        <f aca="false">IF(AND(AE359="yes",ISNUMBER(AD359),ISNUMBER(INDEX(Sources!$G$7:$G$10,MATCH(AB359,Sources!$B$7:$B$10,0)))),ROUND(AD359/INDEX(Sources!$G$7:$G$10,MATCH(AB359,Sources!$B$7:$B$10,0)),6),"")</f>
        <v>274.99</v>
      </c>
      <c r="J359" s="91" t="s">
        <v>530</v>
      </c>
      <c r="K359" s="91" t="s">
        <v>586</v>
      </c>
      <c r="L359" s="96"/>
      <c r="M359" s="109" t="s">
        <v>1403</v>
      </c>
      <c r="N359" s="113" t="s">
        <v>1404</v>
      </c>
      <c r="O359" s="109" t="s">
        <v>610</v>
      </c>
      <c r="P359" s="109" t="s">
        <v>590</v>
      </c>
      <c r="Q359" s="114"/>
      <c r="R359" s="109" t="n">
        <v>1</v>
      </c>
      <c r="S359" s="109"/>
      <c r="T359" s="109" t="s">
        <v>530</v>
      </c>
      <c r="U359" s="109" t="s">
        <v>591</v>
      </c>
      <c r="V359" s="115" t="n">
        <v>274.99</v>
      </c>
      <c r="W359" s="115"/>
      <c r="X359" s="109" t="s">
        <v>612</v>
      </c>
      <c r="Y359" s="109"/>
      <c r="Z359" s="109"/>
      <c r="AA359" s="109"/>
      <c r="AB359" s="109" t="s">
        <v>244</v>
      </c>
      <c r="AC359" s="109" t="s">
        <v>538</v>
      </c>
      <c r="AD359" s="109" t="n">
        <f aca="false">IF(ISNUMBER(V359),ROUND(V359,6),"")</f>
        <v>274.99</v>
      </c>
      <c r="AE359" s="109" t="str">
        <f aca="false">IF(AND(AC359="yes",ISNUMBER(F359),IF(Compare!$H$5="All mapped",TRUE(),IF(Compare!$H$5="EXACT only",J359="EXACT",OR(J359="EXACT",J359="CLOSE")))),"yes","no")</f>
        <v>yes</v>
      </c>
      <c r="AF359" s="109" t="n">
        <f aca="false">IF(ISNUMBER(H359),COUNTIFS($B$7:$B$3000,B359,$C$7:$C$3000,C359,$H$7:$H$3000,"&lt;"&amp;H359,$AH$7:$AH$3000,"yes")+COUNTIFS($B$7:B359,B359,$C$7:C359,C359,$H$7:H359,H359,$AH$7:AH359,"yes"),"")</f>
        <v>9</v>
      </c>
      <c r="AG359" s="109" t="n">
        <f aca="false">IF(ISNUMBER(I359),COUNTIFS($B$7:$B$3000,B359,$C$7:$C$3000,C359,$I$7:$I$3000,"&lt;"&amp;I359,$AI$7:$AI$3000,"yes")+COUNTIFS($B$7:B359,B359,$C$7:C359,C359,$I$7:I359,I359,$AI$7:AI359,"yes"),"")</f>
        <v>9</v>
      </c>
      <c r="AH359" s="109" t="str">
        <f aca="false">IF(ISNUMBER(H359),"yes","no")</f>
        <v>yes</v>
      </c>
      <c r="AI359" s="109" t="str">
        <f aca="false">IF(ISNUMBER(I359),"yes","no")</f>
        <v>yes</v>
      </c>
      <c r="AJ359" s="116" t="n">
        <v>46295</v>
      </c>
      <c r="AK359" s="109"/>
    </row>
    <row r="360" customFormat="false" ht="42" hidden="false" customHeight="true" outlineLevel="0" collapsed="false">
      <c r="A360" s="3"/>
      <c r="B360" s="36" t="s">
        <v>39</v>
      </c>
      <c r="C360" s="98" t="s">
        <v>16</v>
      </c>
      <c r="D360" s="98" t="s">
        <v>311</v>
      </c>
      <c r="E360" s="110" t="s">
        <v>1384</v>
      </c>
      <c r="F360" s="99" t="n">
        <v>169.9</v>
      </c>
      <c r="G360" s="98" t="s">
        <v>244</v>
      </c>
      <c r="H360" s="112" t="n">
        <f aca="false">IF(AND(AE360="yes",ISNUMBER(AD360)),AD360,"")</f>
        <v>169.9</v>
      </c>
      <c r="I360" s="95" t="n">
        <f aca="false">IF(AND(AE360="yes",ISNUMBER(AD360),ISNUMBER(INDEX(Sources!$G$7:$G$10,MATCH(AB360,Sources!$B$7:$B$10,0)))),ROUND(AD360/INDEX(Sources!$G$7:$G$10,MATCH(AB360,Sources!$B$7:$B$10,0)),6),"")</f>
        <v>169.9</v>
      </c>
      <c r="J360" s="98" t="s">
        <v>530</v>
      </c>
      <c r="K360" s="98" t="s">
        <v>586</v>
      </c>
      <c r="L360" s="96"/>
      <c r="M360" s="110" t="s">
        <v>1405</v>
      </c>
      <c r="N360" s="117" t="s">
        <v>1406</v>
      </c>
      <c r="O360" s="110" t="s">
        <v>311</v>
      </c>
      <c r="P360" s="110" t="s">
        <v>590</v>
      </c>
      <c r="Q360" s="118"/>
      <c r="R360" s="110" t="n">
        <v>1</v>
      </c>
      <c r="S360" s="110"/>
      <c r="T360" s="110" t="s">
        <v>530</v>
      </c>
      <c r="U360" s="110" t="s">
        <v>591</v>
      </c>
      <c r="V360" s="119" t="n">
        <v>169.9</v>
      </c>
      <c r="W360" s="119"/>
      <c r="X360" s="110" t="s">
        <v>612</v>
      </c>
      <c r="Y360" s="110"/>
      <c r="Z360" s="110" t="s">
        <v>1407</v>
      </c>
      <c r="AA360" s="110"/>
      <c r="AB360" s="110" t="s">
        <v>244</v>
      </c>
      <c r="AC360" s="110" t="s">
        <v>538</v>
      </c>
      <c r="AD360" s="110" t="n">
        <f aca="false">IF(ISNUMBER(V360),ROUND(V360,6),"")</f>
        <v>169.9</v>
      </c>
      <c r="AE360" s="110" t="str">
        <f aca="false">IF(AND(AC360="yes",ISNUMBER(F360),IF(Compare!$H$5="All mapped",TRUE(),IF(Compare!$H$5="EXACT only",J360="EXACT",OR(J360="EXACT",J360="CLOSE")))),"yes","no")</f>
        <v>yes</v>
      </c>
      <c r="AF360" s="110" t="n">
        <f aca="false">IF(ISNUMBER(H360),COUNTIFS($B$7:$B$3000,B360,$C$7:$C$3000,C360,$H$7:$H$3000,"&lt;"&amp;H360,$AH$7:$AH$3000,"yes")+COUNTIFS($B$7:B360,B360,$C$7:C360,C360,$H$7:H360,H360,$AH$7:AH360,"yes"),"")</f>
        <v>1</v>
      </c>
      <c r="AG360" s="110" t="n">
        <f aca="false">IF(ISNUMBER(I360),COUNTIFS($B$7:$B$3000,B360,$C$7:$C$3000,C360,$I$7:$I$3000,"&lt;"&amp;I360,$AI$7:$AI$3000,"yes")+COUNTIFS($B$7:B360,B360,$C$7:C360,C360,$I$7:I360,I360,$AI$7:AI360,"yes"),"")</f>
        <v>1</v>
      </c>
      <c r="AH360" s="110" t="str">
        <f aca="false">IF(ISNUMBER(H360),"yes","no")</f>
        <v>yes</v>
      </c>
      <c r="AI360" s="110" t="str">
        <f aca="false">IF(ISNUMBER(I360),"yes","no")</f>
        <v>yes</v>
      </c>
      <c r="AJ360" s="120" t="n">
        <v>46295</v>
      </c>
      <c r="AK360" s="110"/>
    </row>
    <row r="361" customFormat="false" ht="42" hidden="false" customHeight="true" outlineLevel="0" collapsed="false">
      <c r="A361" s="3"/>
      <c r="B361" s="31" t="s">
        <v>39</v>
      </c>
      <c r="C361" s="91" t="s">
        <v>16</v>
      </c>
      <c r="D361" s="91" t="s">
        <v>309</v>
      </c>
      <c r="E361" s="109" t="s">
        <v>1388</v>
      </c>
      <c r="F361" s="92" t="n">
        <v>229.14</v>
      </c>
      <c r="G361" s="91" t="s">
        <v>244</v>
      </c>
      <c r="H361" s="112" t="n">
        <f aca="false">IF(AND(AE361="yes",ISNUMBER(AD361)),AD361,"")</f>
        <v>229.14</v>
      </c>
      <c r="I361" s="95" t="n">
        <f aca="false">IF(AND(AE361="yes",ISNUMBER(AD361),ISNUMBER(INDEX(Sources!$G$7:$G$10,MATCH(AB361,Sources!$B$7:$B$10,0)))),ROUND(AD361/INDEX(Sources!$G$7:$G$10,MATCH(AB361,Sources!$B$7:$B$10,0)),6),"")</f>
        <v>229.14</v>
      </c>
      <c r="J361" s="91" t="s">
        <v>702</v>
      </c>
      <c r="K361" s="91" t="s">
        <v>586</v>
      </c>
      <c r="L361" s="96"/>
      <c r="M361" s="109" t="s">
        <v>1389</v>
      </c>
      <c r="N361" s="113" t="s">
        <v>1390</v>
      </c>
      <c r="O361" s="109" t="s">
        <v>646</v>
      </c>
      <c r="P361" s="109" t="s">
        <v>590</v>
      </c>
      <c r="Q361" s="114"/>
      <c r="R361" s="109" t="n">
        <v>1</v>
      </c>
      <c r="S361" s="109"/>
      <c r="T361" s="109" t="s">
        <v>702</v>
      </c>
      <c r="U361" s="109" t="s">
        <v>591</v>
      </c>
      <c r="V361" s="115" t="n">
        <v>229.14</v>
      </c>
      <c r="W361" s="115"/>
      <c r="X361" s="109" t="s">
        <v>612</v>
      </c>
      <c r="Y361" s="109"/>
      <c r="Z361" s="109"/>
      <c r="AA361" s="109"/>
      <c r="AB361" s="109" t="s">
        <v>244</v>
      </c>
      <c r="AC361" s="109" t="s">
        <v>538</v>
      </c>
      <c r="AD361" s="109" t="n">
        <f aca="false">IF(ISNUMBER(V361),ROUND(V361,6),"")</f>
        <v>229.14</v>
      </c>
      <c r="AE361" s="109" t="str">
        <f aca="false">IF(AND(AC361="yes",ISNUMBER(F361),IF(Compare!$H$5="All mapped",TRUE(),IF(Compare!$H$5="EXACT only",J361="EXACT",OR(J361="EXACT",J361="CLOSE")))),"yes","no")</f>
        <v>yes</v>
      </c>
      <c r="AF361" s="109" t="n">
        <f aca="false">IF(ISNUMBER(H361),COUNTIFS($B$7:$B$3000,B361,$C$7:$C$3000,C361,$H$7:$H$3000,"&lt;"&amp;H361,$AH$7:$AH$3000,"yes")+COUNTIFS($B$7:B361,B361,$C$7:C361,C361,$H$7:H361,H361,$AH$7:AH361,"yes"),"")</f>
        <v>4</v>
      </c>
      <c r="AG361" s="109" t="n">
        <f aca="false">IF(ISNUMBER(I361),COUNTIFS($B$7:$B$3000,B361,$C$7:$C$3000,C361,$I$7:$I$3000,"&lt;"&amp;I361,$AI$7:$AI$3000,"yes")+COUNTIFS($B$7:B361,B361,$C$7:C361,C361,$I$7:I361,I361,$AI$7:AI361,"yes"),"")</f>
        <v>4</v>
      </c>
      <c r="AH361" s="109" t="str">
        <f aca="false">IF(ISNUMBER(H361),"yes","no")</f>
        <v>yes</v>
      </c>
      <c r="AI361" s="109" t="str">
        <f aca="false">IF(ISNUMBER(I361),"yes","no")</f>
        <v>yes</v>
      </c>
      <c r="AJ361" s="116" t="n">
        <v>46295</v>
      </c>
      <c r="AK361" s="109"/>
    </row>
    <row r="362" customFormat="false" ht="42" hidden="false" customHeight="true" outlineLevel="0" collapsed="false">
      <c r="A362" s="3"/>
      <c r="B362" s="36" t="s">
        <v>39</v>
      </c>
      <c r="C362" s="98" t="s">
        <v>16</v>
      </c>
      <c r="D362" s="98" t="s">
        <v>313</v>
      </c>
      <c r="E362" s="110" t="s">
        <v>1391</v>
      </c>
      <c r="F362" s="99" t="n">
        <v>324.9</v>
      </c>
      <c r="G362" s="98" t="s">
        <v>244</v>
      </c>
      <c r="H362" s="112" t="n">
        <f aca="false">IF(AND(AE362="yes",ISNUMBER(AD362)),AD362,"")</f>
        <v>273.03</v>
      </c>
      <c r="I362" s="95" t="n">
        <f aca="false">IF(AND(AE362="yes",ISNUMBER(AD362),ISNUMBER(INDEX(Sources!$G$7:$G$10,MATCH(AB362,Sources!$B$7:$B$10,0)))),ROUND(AD362/INDEX(Sources!$G$7:$G$10,MATCH(AB362,Sources!$B$7:$B$10,0)),6),"")</f>
        <v>273.03</v>
      </c>
      <c r="J362" s="98" t="s">
        <v>530</v>
      </c>
      <c r="K362" s="98" t="s">
        <v>586</v>
      </c>
      <c r="L362" s="96"/>
      <c r="M362" s="110" t="s">
        <v>1408</v>
      </c>
      <c r="N362" s="117" t="s">
        <v>1409</v>
      </c>
      <c r="O362" s="110" t="s">
        <v>642</v>
      </c>
      <c r="P362" s="110" t="s">
        <v>265</v>
      </c>
      <c r="Q362" s="118"/>
      <c r="R362" s="110" t="n">
        <v>1</v>
      </c>
      <c r="S362" s="110"/>
      <c r="T362" s="110" t="s">
        <v>530</v>
      </c>
      <c r="U362" s="110" t="s">
        <v>591</v>
      </c>
      <c r="V362" s="119" t="n">
        <v>273.03</v>
      </c>
      <c r="W362" s="119"/>
      <c r="X362" s="110" t="s">
        <v>612</v>
      </c>
      <c r="Y362" s="110"/>
      <c r="Z362" s="110" t="s">
        <v>599</v>
      </c>
      <c r="AA362" s="110"/>
      <c r="AB362" s="110" t="s">
        <v>244</v>
      </c>
      <c r="AC362" s="110" t="s">
        <v>538</v>
      </c>
      <c r="AD362" s="110" t="n">
        <f aca="false">IF(ISNUMBER(V362),ROUND(V362,6),"")</f>
        <v>273.03</v>
      </c>
      <c r="AE362" s="110" t="str">
        <f aca="false">IF(AND(AC362="yes",ISNUMBER(F362),IF(Compare!$H$5="All mapped",TRUE(),IF(Compare!$H$5="EXACT only",J362="EXACT",OR(J362="EXACT",J362="CLOSE")))),"yes","no")</f>
        <v>yes</v>
      </c>
      <c r="AF362" s="110" t="n">
        <f aca="false">IF(ISNUMBER(H362),COUNTIFS($B$7:$B$3000,B362,$C$7:$C$3000,C362,$H$7:$H$3000,"&lt;"&amp;H362,$AH$7:$AH$3000,"yes")+COUNTIFS($B$7:B362,B362,$C$7:C362,C362,$H$7:H362,H362,$AH$7:AH362,"yes"),"")</f>
        <v>7</v>
      </c>
      <c r="AG362" s="110" t="n">
        <f aca="false">IF(ISNUMBER(I362),COUNTIFS($B$7:$B$3000,B362,$C$7:$C$3000,C362,$I$7:$I$3000,"&lt;"&amp;I362,$AI$7:$AI$3000,"yes")+COUNTIFS($B$7:B362,B362,$C$7:C362,C362,$I$7:I362,I362,$AI$7:AI362,"yes"),"")</f>
        <v>7</v>
      </c>
      <c r="AH362" s="110" t="str">
        <f aca="false">IF(ISNUMBER(H362),"yes","no")</f>
        <v>yes</v>
      </c>
      <c r="AI362" s="110" t="str">
        <f aca="false">IF(ISNUMBER(I362),"yes","no")</f>
        <v>yes</v>
      </c>
      <c r="AJ362" s="120" t="n">
        <v>46295</v>
      </c>
      <c r="AK362" s="110"/>
    </row>
    <row r="363" customFormat="false" ht="42" hidden="false" customHeight="true" outlineLevel="0" collapsed="false">
      <c r="A363" s="3"/>
      <c r="B363" s="31" t="s">
        <v>39</v>
      </c>
      <c r="C363" s="91" t="s">
        <v>16</v>
      </c>
      <c r="D363" s="91" t="s">
        <v>321</v>
      </c>
      <c r="E363" s="109" t="s">
        <v>1394</v>
      </c>
      <c r="F363" s="92" t="n">
        <v>265.95</v>
      </c>
      <c r="G363" s="91" t="s">
        <v>244</v>
      </c>
      <c r="H363" s="112" t="n">
        <f aca="false">IF(AND(AE363="yes",ISNUMBER(AD363)),AD363,"")</f>
        <v>265.95</v>
      </c>
      <c r="I363" s="95" t="n">
        <f aca="false">IF(AND(AE363="yes",ISNUMBER(AD363),ISNUMBER(INDEX(Sources!$G$7:$G$10,MATCH(AB363,Sources!$B$7:$B$10,0)))),ROUND(AD363/INDEX(Sources!$G$7:$G$10,MATCH(AB363,Sources!$B$7:$B$10,0)),6),"")</f>
        <v>265.95</v>
      </c>
      <c r="J363" s="91" t="s">
        <v>530</v>
      </c>
      <c r="K363" s="91" t="s">
        <v>586</v>
      </c>
      <c r="L363" s="96"/>
      <c r="M363" s="109" t="s">
        <v>1395</v>
      </c>
      <c r="N363" s="113" t="s">
        <v>1410</v>
      </c>
      <c r="O363" s="109" t="s">
        <v>1397</v>
      </c>
      <c r="P363" s="109" t="s">
        <v>590</v>
      </c>
      <c r="Q363" s="114"/>
      <c r="R363" s="109" t="n">
        <v>1</v>
      </c>
      <c r="S363" s="109"/>
      <c r="T363" s="109" t="s">
        <v>530</v>
      </c>
      <c r="U363" s="109" t="s">
        <v>591</v>
      </c>
      <c r="V363" s="115" t="n">
        <v>265.95</v>
      </c>
      <c r="W363" s="115"/>
      <c r="X363" s="109" t="s">
        <v>612</v>
      </c>
      <c r="Y363" s="109"/>
      <c r="Z363" s="109"/>
      <c r="AA363" s="109"/>
      <c r="AB363" s="109" t="s">
        <v>244</v>
      </c>
      <c r="AC363" s="109" t="s">
        <v>538</v>
      </c>
      <c r="AD363" s="109" t="n">
        <f aca="false">IF(ISNUMBER(V363),ROUND(V363,6),"")</f>
        <v>265.95</v>
      </c>
      <c r="AE363" s="109" t="str">
        <f aca="false">IF(AND(AC363="yes",ISNUMBER(F363),IF(Compare!$H$5="All mapped",TRUE(),IF(Compare!$H$5="EXACT only",J363="EXACT",OR(J363="EXACT",J363="CLOSE")))),"yes","no")</f>
        <v>yes</v>
      </c>
      <c r="AF363" s="109" t="n">
        <f aca="false">IF(ISNUMBER(H363),COUNTIFS($B$7:$B$3000,B363,$C$7:$C$3000,C363,$H$7:$H$3000,"&lt;"&amp;H363,$AH$7:$AH$3000,"yes")+COUNTIFS($B$7:B363,B363,$C$7:C363,C363,$H$7:H363,H363,$AH$7:AH363,"yes"),"")</f>
        <v>6</v>
      </c>
      <c r="AG363" s="109" t="n">
        <f aca="false">IF(ISNUMBER(I363),COUNTIFS($B$7:$B$3000,B363,$C$7:$C$3000,C363,$I$7:$I$3000,"&lt;"&amp;I363,$AI$7:$AI$3000,"yes")+COUNTIFS($B$7:B363,B363,$C$7:C363,C363,$I$7:I363,I363,$AI$7:AI363,"yes"),"")</f>
        <v>6</v>
      </c>
      <c r="AH363" s="109" t="str">
        <f aca="false">IF(ISNUMBER(H363),"yes","no")</f>
        <v>yes</v>
      </c>
      <c r="AI363" s="109" t="str">
        <f aca="false">IF(ISNUMBER(I363),"yes","no")</f>
        <v>yes</v>
      </c>
      <c r="AJ363" s="116" t="n">
        <v>46295</v>
      </c>
      <c r="AK363" s="109"/>
    </row>
    <row r="364" customFormat="false" ht="42" hidden="false" customHeight="true" outlineLevel="0" collapsed="false">
      <c r="A364" s="3"/>
      <c r="B364" s="36" t="s">
        <v>39</v>
      </c>
      <c r="C364" s="98" t="s">
        <v>16</v>
      </c>
      <c r="D364" s="98" t="s">
        <v>329</v>
      </c>
      <c r="E364" s="110" t="s">
        <v>1411</v>
      </c>
      <c r="F364" s="99" t="n">
        <v>239.99</v>
      </c>
      <c r="G364" s="98" t="s">
        <v>244</v>
      </c>
      <c r="H364" s="112" t="n">
        <f aca="false">IF(AND(AE364="yes",ISNUMBER(AD364)),AD364,"")</f>
        <v>239.99</v>
      </c>
      <c r="I364" s="95" t="n">
        <f aca="false">IF(AND(AE364="yes",ISNUMBER(AD364),ISNUMBER(INDEX(Sources!$G$7:$G$10,MATCH(AB364,Sources!$B$7:$B$10,0)))),ROUND(AD364/INDEX(Sources!$G$7:$G$10,MATCH(AB364,Sources!$B$7:$B$10,0)),6),"")</f>
        <v>239.99</v>
      </c>
      <c r="J364" s="98" t="s">
        <v>530</v>
      </c>
      <c r="K364" s="98" t="s">
        <v>586</v>
      </c>
      <c r="L364" s="96"/>
      <c r="M364" s="110" t="s">
        <v>1412</v>
      </c>
      <c r="N364" s="117" t="s">
        <v>1413</v>
      </c>
      <c r="O364" s="110" t="s">
        <v>642</v>
      </c>
      <c r="P364" s="110" t="s">
        <v>590</v>
      </c>
      <c r="Q364" s="118"/>
      <c r="R364" s="110" t="n">
        <v>1</v>
      </c>
      <c r="S364" s="110"/>
      <c r="T364" s="110" t="s">
        <v>530</v>
      </c>
      <c r="U364" s="110" t="s">
        <v>591</v>
      </c>
      <c r="V364" s="119" t="n">
        <v>239.99</v>
      </c>
      <c r="W364" s="119"/>
      <c r="X364" s="110" t="s">
        <v>612</v>
      </c>
      <c r="Y364" s="110"/>
      <c r="Z364" s="110"/>
      <c r="AA364" s="110"/>
      <c r="AB364" s="110" t="s">
        <v>244</v>
      </c>
      <c r="AC364" s="110" t="s">
        <v>538</v>
      </c>
      <c r="AD364" s="110" t="n">
        <f aca="false">IF(ISNUMBER(V364),ROUND(V364,6),"")</f>
        <v>239.99</v>
      </c>
      <c r="AE364" s="110" t="str">
        <f aca="false">IF(AND(AC364="yes",ISNUMBER(F364),IF(Compare!$H$5="All mapped",TRUE(),IF(Compare!$H$5="EXACT only",J364="EXACT",OR(J364="EXACT",J364="CLOSE")))),"yes","no")</f>
        <v>yes</v>
      </c>
      <c r="AF364" s="110" t="n">
        <f aca="false">IF(ISNUMBER(H364),COUNTIFS($B$7:$B$3000,B364,$C$7:$C$3000,C364,$H$7:$H$3000,"&lt;"&amp;H364,$AH$7:$AH$3000,"yes")+COUNTIFS($B$7:B364,B364,$C$7:C364,C364,$H$7:H364,H364,$AH$7:AH364,"yes"),"")</f>
        <v>5</v>
      </c>
      <c r="AG364" s="110" t="n">
        <f aca="false">IF(ISNUMBER(I364),COUNTIFS($B$7:$B$3000,B364,$C$7:$C$3000,C364,$I$7:$I$3000,"&lt;"&amp;I364,$AI$7:$AI$3000,"yes")+COUNTIFS($B$7:B364,B364,$C$7:C364,C364,$I$7:I364,I364,$AI$7:AI364,"yes"),"")</f>
        <v>5</v>
      </c>
      <c r="AH364" s="110" t="str">
        <f aca="false">IF(ISNUMBER(H364),"yes","no")</f>
        <v>yes</v>
      </c>
      <c r="AI364" s="110" t="str">
        <f aca="false">IF(ISNUMBER(I364),"yes","no")</f>
        <v>yes</v>
      </c>
      <c r="AJ364" s="120" t="n">
        <v>46295</v>
      </c>
      <c r="AK364" s="110"/>
    </row>
    <row r="365" customFormat="false" ht="61.5" hidden="false" customHeight="true" outlineLevel="0" collapsed="false">
      <c r="A365" s="3"/>
      <c r="B365" s="31" t="s">
        <v>39</v>
      </c>
      <c r="C365" s="91" t="s">
        <v>17</v>
      </c>
      <c r="D365" s="91" t="s">
        <v>354</v>
      </c>
      <c r="E365" s="109" t="s">
        <v>1414</v>
      </c>
      <c r="F365" s="92" t="n">
        <v>4088.71</v>
      </c>
      <c r="G365" s="91" t="s">
        <v>333</v>
      </c>
      <c r="H365" s="112" t="n">
        <f aca="false">IF(AND(AE365="yes",ISNUMBER(AD365)),AD365,"")</f>
        <v>4088.71</v>
      </c>
      <c r="I365" s="95" t="n">
        <f aca="false">IF(AND(AE365="yes",ISNUMBER(AD365),ISNUMBER(INDEX(Sources!$G$7:$G$10,MATCH(AB365,Sources!$B$7:$B$10,0)))),ROUND(AD365/INDEX(Sources!$G$7:$G$10,MATCH(AB365,Sources!$B$7:$B$10,0)),6),"")</f>
        <v>167.408055</v>
      </c>
      <c r="J365" s="91" t="s">
        <v>530</v>
      </c>
      <c r="K365" s="91" t="s">
        <v>586</v>
      </c>
      <c r="L365" s="96"/>
      <c r="M365" s="109" t="s">
        <v>1415</v>
      </c>
      <c r="N365" s="113" t="s">
        <v>1416</v>
      </c>
      <c r="O365" s="109" t="s">
        <v>642</v>
      </c>
      <c r="P365" s="109" t="s">
        <v>590</v>
      </c>
      <c r="Q365" s="114" t="n">
        <v>0.19</v>
      </c>
      <c r="R365" s="109" t="n">
        <v>1</v>
      </c>
      <c r="S365" s="109" t="s">
        <v>632</v>
      </c>
      <c r="T365" s="109" t="s">
        <v>530</v>
      </c>
      <c r="U365" s="109" t="s">
        <v>591</v>
      </c>
      <c r="V365" s="115"/>
      <c r="W365" s="115"/>
      <c r="X365" s="109" t="s">
        <v>626</v>
      </c>
      <c r="Y365" s="109"/>
      <c r="Z365" s="109"/>
      <c r="AA365" s="109"/>
      <c r="AB365" s="109" t="s">
        <v>333</v>
      </c>
      <c r="AC365" s="109" t="s">
        <v>538</v>
      </c>
      <c r="AD365" s="109" t="n">
        <f aca="false">IF(OR(F365="",Q365="",R365=""),"",ROUND(IF(P365="incl.",F365/(1+Q365),F365)/IF(S365="per pack",R365,1),2))</f>
        <v>4088.71</v>
      </c>
      <c r="AE365" s="109" t="str">
        <f aca="false">IF(AND(AC365="yes",ISNUMBER(F365),IF(Compare!$H$5="All mapped",TRUE(),IF(Compare!$H$5="EXACT only",J365="EXACT",OR(J365="EXACT",J365="CLOSE")))),"yes","no")</f>
        <v>yes</v>
      </c>
      <c r="AF365" s="109" t="n">
        <f aca="false">IF(ISNUMBER(H365),COUNTIFS($B$7:$B$3000,B365,$C$7:$C$3000,C365,$H$7:$H$3000,"&lt;"&amp;H365,$AH$7:$AH$3000,"yes")+COUNTIFS($B$7:B365,B365,$C$7:C365,C365,$H$7:H365,H365,$AH$7:AH365,"yes"),"")</f>
        <v>1</v>
      </c>
      <c r="AG365" s="109" t="n">
        <f aca="false">IF(ISNUMBER(I365),COUNTIFS($B$7:$B$3000,B365,$C$7:$C$3000,C365,$I$7:$I$3000,"&lt;"&amp;I365,$AI$7:$AI$3000,"yes")+COUNTIFS($B$7:B365,B365,$C$7:C365,C365,$I$7:I365,I365,$AI$7:AI365,"yes"),"")</f>
        <v>1</v>
      </c>
      <c r="AH365" s="109" t="str">
        <f aca="false">IF(ISNUMBER(H365),"yes","no")</f>
        <v>yes</v>
      </c>
      <c r="AI365" s="109" t="str">
        <f aca="false">IF(ISNUMBER(I365),"yes","no")</f>
        <v>yes</v>
      </c>
      <c r="AJ365" s="116" t="n">
        <v>46295</v>
      </c>
      <c r="AK365" s="109"/>
    </row>
    <row r="366" customFormat="false" ht="48.75" hidden="false" customHeight="true" outlineLevel="0" collapsed="false">
      <c r="A366" s="3"/>
      <c r="B366" s="36" t="s">
        <v>39</v>
      </c>
      <c r="C366" s="98" t="s">
        <v>17</v>
      </c>
      <c r="D366" s="98" t="s">
        <v>332</v>
      </c>
      <c r="E366" s="110" t="s">
        <v>1417</v>
      </c>
      <c r="F366" s="99" t="n">
        <v>5900</v>
      </c>
      <c r="G366" s="98" t="s">
        <v>333</v>
      </c>
      <c r="H366" s="112" t="n">
        <f aca="false">IF(AND(AE366="yes",ISNUMBER(AD366)),AD366,"")</f>
        <v>5900</v>
      </c>
      <c r="I366" s="95" t="n">
        <f aca="false">IF(AND(AE366="yes",ISNUMBER(AD366),ISNUMBER(INDEX(Sources!$G$7:$G$10,MATCH(AB366,Sources!$B$7:$B$10,0)))),ROUND(AD366/INDEX(Sources!$G$7:$G$10,MATCH(AB366,Sources!$B$7:$B$10,0)),6),"")</f>
        <v>241.569474</v>
      </c>
      <c r="J366" s="98" t="s">
        <v>702</v>
      </c>
      <c r="K366" s="98" t="s">
        <v>586</v>
      </c>
      <c r="L366" s="96"/>
      <c r="M366" s="110" t="s">
        <v>1418</v>
      </c>
      <c r="N366" s="117" t="s">
        <v>1419</v>
      </c>
      <c r="O366" s="110" t="s">
        <v>1420</v>
      </c>
      <c r="P366" s="110" t="s">
        <v>590</v>
      </c>
      <c r="Q366" s="118" t="n">
        <v>0.21</v>
      </c>
      <c r="R366" s="110" t="n">
        <v>1</v>
      </c>
      <c r="S366" s="110" t="s">
        <v>632</v>
      </c>
      <c r="T366" s="110" t="s">
        <v>702</v>
      </c>
      <c r="U366" s="110" t="s">
        <v>591</v>
      </c>
      <c r="V366" s="119"/>
      <c r="W366" s="119"/>
      <c r="X366" s="110" t="s">
        <v>626</v>
      </c>
      <c r="Y366" s="110"/>
      <c r="Z366" s="110"/>
      <c r="AA366" s="110"/>
      <c r="AB366" s="110" t="s">
        <v>333</v>
      </c>
      <c r="AC366" s="110" t="s">
        <v>538</v>
      </c>
      <c r="AD366" s="110" t="n">
        <f aca="false">IF(OR(F366="",Q366="",R366=""),"",ROUND(IF(P366="incl.",F366/(1+Q366),F366)/IF(S366="per pack",R366,1),2))</f>
        <v>5900</v>
      </c>
      <c r="AE366" s="110" t="str">
        <f aca="false">IF(AND(AC366="yes",ISNUMBER(F366),IF(Compare!$H$5="All mapped",TRUE(),IF(Compare!$H$5="EXACT only",J366="EXACT",OR(J366="EXACT",J366="CLOSE")))),"yes","no")</f>
        <v>yes</v>
      </c>
      <c r="AF366" s="110" t="n">
        <f aca="false">IF(ISNUMBER(H366),COUNTIFS($B$7:$B$3000,B366,$C$7:$C$3000,C366,$H$7:$H$3000,"&lt;"&amp;H366,$AH$7:$AH$3000,"yes")+COUNTIFS($B$7:B366,B366,$C$7:C366,C366,$H$7:H366,H366,$AH$7:AH366,"yes"),"")</f>
        <v>7</v>
      </c>
      <c r="AG366" s="110" t="n">
        <f aca="false">IF(ISNUMBER(I366),COUNTIFS($B$7:$B$3000,B366,$C$7:$C$3000,C366,$I$7:$I$3000,"&lt;"&amp;I366,$AI$7:$AI$3000,"yes")+COUNTIFS($B$7:B366,B366,$C$7:C366,C366,$I$7:I366,I366,$AI$7:AI366,"yes"),"")</f>
        <v>7</v>
      </c>
      <c r="AH366" s="110" t="str">
        <f aca="false">IF(ISNUMBER(H366),"yes","no")</f>
        <v>yes</v>
      </c>
      <c r="AI366" s="110" t="str">
        <f aca="false">IF(ISNUMBER(I366),"yes","no")</f>
        <v>yes</v>
      </c>
      <c r="AJ366" s="120" t="n">
        <v>46295</v>
      </c>
      <c r="AK366" s="110"/>
    </row>
    <row r="367" customFormat="false" ht="42" hidden="false" customHeight="true" outlineLevel="0" collapsed="false">
      <c r="A367" s="3"/>
      <c r="B367" s="31" t="s">
        <v>39</v>
      </c>
      <c r="C367" s="91" t="s">
        <v>17</v>
      </c>
      <c r="D367" s="91" t="s">
        <v>342</v>
      </c>
      <c r="E367" s="109" t="s">
        <v>1421</v>
      </c>
      <c r="F367" s="92" t="n">
        <v>5706</v>
      </c>
      <c r="G367" s="91" t="s">
        <v>333</v>
      </c>
      <c r="H367" s="112" t="n">
        <f aca="false">IF(AND(AE367="yes",ISNUMBER(AD367)),AD367,"")</f>
        <v>5706</v>
      </c>
      <c r="I367" s="95" t="n">
        <f aca="false">IF(AND(AE367="yes",ISNUMBER(AD367),ISNUMBER(INDEX(Sources!$G$7:$G$10,MATCH(AB367,Sources!$B$7:$B$10,0)))),ROUND(AD367/INDEX(Sources!$G$7:$G$10,MATCH(AB367,Sources!$B$7:$B$10,0)),6),"")</f>
        <v>233.626342</v>
      </c>
      <c r="J367" s="91" t="s">
        <v>530</v>
      </c>
      <c r="K367" s="91" t="s">
        <v>586</v>
      </c>
      <c r="L367" s="96"/>
      <c r="M367" s="109" t="s">
        <v>1422</v>
      </c>
      <c r="N367" s="113" t="s">
        <v>1423</v>
      </c>
      <c r="O367" s="109" t="s">
        <v>642</v>
      </c>
      <c r="P367" s="109" t="s">
        <v>590</v>
      </c>
      <c r="Q367" s="114" t="n">
        <v>0.21</v>
      </c>
      <c r="R367" s="109" t="n">
        <v>1</v>
      </c>
      <c r="S367" s="109" t="s">
        <v>632</v>
      </c>
      <c r="T367" s="109" t="s">
        <v>530</v>
      </c>
      <c r="U367" s="109" t="s">
        <v>591</v>
      </c>
      <c r="V367" s="115"/>
      <c r="W367" s="115"/>
      <c r="X367" s="109" t="s">
        <v>626</v>
      </c>
      <c r="Y367" s="109"/>
      <c r="Z367" s="109"/>
      <c r="AA367" s="109"/>
      <c r="AB367" s="109" t="s">
        <v>333</v>
      </c>
      <c r="AC367" s="109" t="s">
        <v>538</v>
      </c>
      <c r="AD367" s="109" t="n">
        <f aca="false">IF(OR(F367="",Q367="",R367=""),"",ROUND(IF(P367="incl.",F367/(1+Q367),F367)/IF(S367="per pack",R367,1),2))</f>
        <v>5706</v>
      </c>
      <c r="AE367" s="109" t="str">
        <f aca="false">IF(AND(AC367="yes",ISNUMBER(F367),IF(Compare!$H$5="All mapped",TRUE(),IF(Compare!$H$5="EXACT only",J367="EXACT",OR(J367="EXACT",J367="CLOSE")))),"yes","no")</f>
        <v>yes</v>
      </c>
      <c r="AF367" s="109" t="n">
        <f aca="false">IF(ISNUMBER(H367),COUNTIFS($B$7:$B$3000,B367,$C$7:$C$3000,C367,$H$7:$H$3000,"&lt;"&amp;H367,$AH$7:$AH$3000,"yes")+COUNTIFS($B$7:B367,B367,$C$7:C367,C367,$H$7:H367,H367,$AH$7:AH367,"yes"),"")</f>
        <v>6</v>
      </c>
      <c r="AG367" s="109" t="n">
        <f aca="false">IF(ISNUMBER(I367),COUNTIFS($B$7:$B$3000,B367,$C$7:$C$3000,C367,$I$7:$I$3000,"&lt;"&amp;I367,$AI$7:$AI$3000,"yes")+COUNTIFS($B$7:B367,B367,$C$7:C367,C367,$I$7:I367,I367,$AI$7:AI367,"yes"),"")</f>
        <v>6</v>
      </c>
      <c r="AH367" s="109" t="str">
        <f aca="false">IF(ISNUMBER(H367),"yes","no")</f>
        <v>yes</v>
      </c>
      <c r="AI367" s="109" t="str">
        <f aca="false">IF(ISNUMBER(I367),"yes","no")</f>
        <v>yes</v>
      </c>
      <c r="AJ367" s="116" t="n">
        <v>46295</v>
      </c>
      <c r="AK367" s="109"/>
    </row>
    <row r="368" customFormat="false" ht="61.5" hidden="false" customHeight="true" outlineLevel="0" collapsed="false">
      <c r="A368" s="3"/>
      <c r="B368" s="36" t="s">
        <v>39</v>
      </c>
      <c r="C368" s="98" t="s">
        <v>17</v>
      </c>
      <c r="D368" s="98" t="s">
        <v>346</v>
      </c>
      <c r="E368" s="110" t="s">
        <v>1424</v>
      </c>
      <c r="F368" s="99" t="n">
        <v>5446</v>
      </c>
      <c r="G368" s="98" t="s">
        <v>333</v>
      </c>
      <c r="H368" s="112" t="n">
        <f aca="false">IF(AND(AE368="yes",ISNUMBER(AD368)),AD368,"")</f>
        <v>4500.83</v>
      </c>
      <c r="I368" s="95" t="n">
        <f aca="false">IF(AND(AE368="yes",ISNUMBER(AD368),ISNUMBER(INDEX(Sources!$G$7:$G$10,MATCH(AB368,Sources!$B$7:$B$10,0)))),ROUND(AD368/INDEX(Sources!$G$7:$G$10,MATCH(AB368,Sources!$B$7:$B$10,0)),6),"")</f>
        <v>184.281887</v>
      </c>
      <c r="J368" s="98" t="s">
        <v>702</v>
      </c>
      <c r="K368" s="98" t="s">
        <v>586</v>
      </c>
      <c r="L368" s="96"/>
      <c r="M368" s="110" t="s">
        <v>1425</v>
      </c>
      <c r="N368" s="117" t="s">
        <v>1426</v>
      </c>
      <c r="O368" s="110" t="s">
        <v>642</v>
      </c>
      <c r="P368" s="110" t="s">
        <v>265</v>
      </c>
      <c r="Q368" s="118" t="n">
        <v>0.21</v>
      </c>
      <c r="R368" s="110" t="n">
        <v>1</v>
      </c>
      <c r="S368" s="110" t="s">
        <v>632</v>
      </c>
      <c r="T368" s="110" t="s">
        <v>702</v>
      </c>
      <c r="U368" s="110" t="s">
        <v>591</v>
      </c>
      <c r="V368" s="119"/>
      <c r="W368" s="119"/>
      <c r="X368" s="110" t="s">
        <v>626</v>
      </c>
      <c r="Y368" s="110"/>
      <c r="Z368" s="110"/>
      <c r="AA368" s="110"/>
      <c r="AB368" s="110" t="s">
        <v>333</v>
      </c>
      <c r="AC368" s="110" t="s">
        <v>538</v>
      </c>
      <c r="AD368" s="110" t="n">
        <f aca="false">IF(OR(F368="",Q368="",R368=""),"",ROUND(IF(P368="incl.",F368/(1+Q368),F368)/IF(S368="per pack",R368,1),2))</f>
        <v>4500.83</v>
      </c>
      <c r="AE368" s="110" t="str">
        <f aca="false">IF(AND(AC368="yes",ISNUMBER(F368),IF(Compare!$H$5="All mapped",TRUE(),IF(Compare!$H$5="EXACT only",J368="EXACT",OR(J368="EXACT",J368="CLOSE")))),"yes","no")</f>
        <v>yes</v>
      </c>
      <c r="AF368" s="110" t="n">
        <f aca="false">IF(ISNUMBER(H368),COUNTIFS($B$7:$B$3000,B368,$C$7:$C$3000,C368,$H$7:$H$3000,"&lt;"&amp;H368,$AH$7:$AH$3000,"yes")+COUNTIFS($B$7:B368,B368,$C$7:C368,C368,$H$7:H368,H368,$AH$7:AH368,"yes"),"")</f>
        <v>2</v>
      </c>
      <c r="AG368" s="110" t="n">
        <f aca="false">IF(ISNUMBER(I368),COUNTIFS($B$7:$B$3000,B368,$C$7:$C$3000,C368,$I$7:$I$3000,"&lt;"&amp;I368,$AI$7:$AI$3000,"yes")+COUNTIFS($B$7:B368,B368,$C$7:C368,C368,$I$7:I368,I368,$AI$7:AI368,"yes"),"")</f>
        <v>2</v>
      </c>
      <c r="AH368" s="110" t="str">
        <f aca="false">IF(ISNUMBER(H368),"yes","no")</f>
        <v>yes</v>
      </c>
      <c r="AI368" s="110" t="str">
        <f aca="false">IF(ISNUMBER(I368),"yes","no")</f>
        <v>yes</v>
      </c>
      <c r="AJ368" s="120" t="n">
        <v>46295</v>
      </c>
      <c r="AK368" s="110"/>
    </row>
    <row r="369" customFormat="false" ht="42" hidden="false" customHeight="true" outlineLevel="0" collapsed="false">
      <c r="A369" s="3"/>
      <c r="B369" s="31" t="s">
        <v>39</v>
      </c>
      <c r="C369" s="91" t="s">
        <v>17</v>
      </c>
      <c r="D369" s="91" t="s">
        <v>361</v>
      </c>
      <c r="E369" s="109" t="s">
        <v>1427</v>
      </c>
      <c r="F369" s="92" t="n">
        <v>6904</v>
      </c>
      <c r="G369" s="91" t="s">
        <v>333</v>
      </c>
      <c r="H369" s="112" t="n">
        <f aca="false">IF(AND(AE369="yes",ISNUMBER(AD369)),AD369,"")</f>
        <v>5705.79</v>
      </c>
      <c r="I369" s="95" t="n">
        <f aca="false">IF(AND(AE369="yes",ISNUMBER(AD369),ISNUMBER(INDEX(Sources!$G$7:$G$10,MATCH(AB369,Sources!$B$7:$B$10,0)))),ROUND(AD369/INDEX(Sources!$G$7:$G$10,MATCH(AB369,Sources!$B$7:$B$10,0)),6),"")</f>
        <v>233.617744</v>
      </c>
      <c r="J369" s="91" t="s">
        <v>530</v>
      </c>
      <c r="K369" s="91" t="s">
        <v>586</v>
      </c>
      <c r="L369" s="96"/>
      <c r="M369" s="109" t="s">
        <v>1428</v>
      </c>
      <c r="N369" s="113" t="s">
        <v>1429</v>
      </c>
      <c r="O369" s="109" t="s">
        <v>642</v>
      </c>
      <c r="P369" s="109" t="s">
        <v>265</v>
      </c>
      <c r="Q369" s="114" t="n">
        <v>0.21</v>
      </c>
      <c r="R369" s="109" t="n">
        <v>1</v>
      </c>
      <c r="S369" s="109" t="s">
        <v>632</v>
      </c>
      <c r="T369" s="109" t="s">
        <v>530</v>
      </c>
      <c r="U369" s="109" t="s">
        <v>591</v>
      </c>
      <c r="V369" s="115"/>
      <c r="W369" s="115"/>
      <c r="X369" s="109" t="s">
        <v>626</v>
      </c>
      <c r="Y369" s="109"/>
      <c r="Z369" s="109"/>
      <c r="AA369" s="109"/>
      <c r="AB369" s="109" t="s">
        <v>333</v>
      </c>
      <c r="AC369" s="109" t="s">
        <v>538</v>
      </c>
      <c r="AD369" s="109" t="n">
        <f aca="false">IF(OR(F369="",Q369="",R369=""),"",ROUND(IF(P369="incl.",F369/(1+Q369),F369)/IF(S369="per pack",R369,1),2))</f>
        <v>5705.79</v>
      </c>
      <c r="AE369" s="109" t="str">
        <f aca="false">IF(AND(AC369="yes",ISNUMBER(F369),IF(Compare!$H$5="All mapped",TRUE(),IF(Compare!$H$5="EXACT only",J369="EXACT",OR(J369="EXACT",J369="CLOSE")))),"yes","no")</f>
        <v>yes</v>
      </c>
      <c r="AF369" s="109" t="n">
        <f aca="false">IF(ISNUMBER(H369),COUNTIFS($B$7:$B$3000,B369,$C$7:$C$3000,C369,$H$7:$H$3000,"&lt;"&amp;H369,$AH$7:$AH$3000,"yes")+COUNTIFS($B$7:B369,B369,$C$7:C369,C369,$H$7:H369,H369,$AH$7:AH369,"yes"),"")</f>
        <v>5</v>
      </c>
      <c r="AG369" s="109" t="n">
        <f aca="false">IF(ISNUMBER(I369),COUNTIFS($B$7:$B$3000,B369,$C$7:$C$3000,C369,$I$7:$I$3000,"&lt;"&amp;I369,$AI$7:$AI$3000,"yes")+COUNTIFS($B$7:B369,B369,$C$7:C369,C369,$I$7:I369,I369,$AI$7:AI369,"yes"),"")</f>
        <v>5</v>
      </c>
      <c r="AH369" s="109" t="str">
        <f aca="false">IF(ISNUMBER(H369),"yes","no")</f>
        <v>yes</v>
      </c>
      <c r="AI369" s="109" t="str">
        <f aca="false">IF(ISNUMBER(I369),"yes","no")</f>
        <v>yes</v>
      </c>
      <c r="AJ369" s="116" t="n">
        <v>46295</v>
      </c>
      <c r="AK369" s="109"/>
    </row>
    <row r="370" customFormat="false" ht="42" hidden="false" customHeight="true" outlineLevel="0" collapsed="false">
      <c r="A370" s="3"/>
      <c r="B370" s="36" t="s">
        <v>39</v>
      </c>
      <c r="C370" s="98" t="s">
        <v>18</v>
      </c>
      <c r="D370" s="98" t="s">
        <v>365</v>
      </c>
      <c r="E370" s="110" t="s">
        <v>1430</v>
      </c>
      <c r="F370" s="99" t="n">
        <v>228.24</v>
      </c>
      <c r="G370" s="98" t="s">
        <v>244</v>
      </c>
      <c r="H370" s="112" t="n">
        <f aca="false">IF(AND(AE370="yes",ISNUMBER(AD370)),AD370,"")</f>
        <v>228.24</v>
      </c>
      <c r="I370" s="95" t="n">
        <f aca="false">IF(AND(AE370="yes",ISNUMBER(AD370),ISNUMBER(INDEX(Sources!$G$7:$G$10,MATCH(AB370,Sources!$B$7:$B$10,0)))),ROUND(AD370/INDEX(Sources!$G$7:$G$10,MATCH(AB370,Sources!$B$7:$B$10,0)),6),"")</f>
        <v>228.24</v>
      </c>
      <c r="J370" s="98" t="s">
        <v>530</v>
      </c>
      <c r="K370" s="98" t="s">
        <v>586</v>
      </c>
      <c r="L370" s="96"/>
      <c r="M370" s="110" t="s">
        <v>1431</v>
      </c>
      <c r="N370" s="117" t="s">
        <v>1432</v>
      </c>
      <c r="O370" s="110" t="s">
        <v>642</v>
      </c>
      <c r="P370" s="110" t="s">
        <v>590</v>
      </c>
      <c r="Q370" s="118" t="s">
        <v>647</v>
      </c>
      <c r="R370" s="110" t="n">
        <v>1</v>
      </c>
      <c r="S370" s="110" t="s">
        <v>632</v>
      </c>
      <c r="T370" s="110" t="s">
        <v>530</v>
      </c>
      <c r="U370" s="110" t="s">
        <v>591</v>
      </c>
      <c r="V370" s="119" t="n">
        <v>228.24</v>
      </c>
      <c r="W370" s="119"/>
      <c r="X370" s="110" t="s">
        <v>648</v>
      </c>
      <c r="Y370" s="110"/>
      <c r="Z370" s="110"/>
      <c r="AA370" s="110"/>
      <c r="AB370" s="110" t="s">
        <v>244</v>
      </c>
      <c r="AC370" s="110" t="s">
        <v>538</v>
      </c>
      <c r="AD370" s="110" t="n">
        <f aca="false">IF(ISNUMBER(V370),ROUND(V370,6),"")</f>
        <v>228.24</v>
      </c>
      <c r="AE370" s="110" t="str">
        <f aca="false">IF(AND(AC370="yes",ISNUMBER(F370),IF(Compare!$H$5="All mapped",TRUE(),IF(Compare!$H$5="EXACT only",J370="EXACT",OR(J370="EXACT",J370="CLOSE")))),"yes","no")</f>
        <v>yes</v>
      </c>
      <c r="AF370" s="110" t="n">
        <f aca="false">IF(ISNUMBER(H370),COUNTIFS($B$7:$B$3000,B370,$C$7:$C$3000,C370,$H$7:$H$3000,"&lt;"&amp;H370,$AH$7:$AH$3000,"yes")+COUNTIFS($B$7:B370,B370,$C$7:C370,C370,$H$7:H370,H370,$AH$7:AH370,"yes"),"")</f>
        <v>2</v>
      </c>
      <c r="AG370" s="110" t="n">
        <f aca="false">IF(ISNUMBER(I370),COUNTIFS($B$7:$B$3000,B370,$C$7:$C$3000,C370,$I$7:$I$3000,"&lt;"&amp;I370,$AI$7:$AI$3000,"yes")+COUNTIFS($B$7:B370,B370,$C$7:C370,C370,$I$7:I370,I370,$AI$7:AI370,"yes"),"")</f>
        <v>2</v>
      </c>
      <c r="AH370" s="110" t="str">
        <f aca="false">IF(ISNUMBER(H370),"yes","no")</f>
        <v>yes</v>
      </c>
      <c r="AI370" s="110" t="str">
        <f aca="false">IF(ISNUMBER(I370),"yes","no")</f>
        <v>yes</v>
      </c>
      <c r="AJ370" s="120" t="n">
        <v>46295</v>
      </c>
      <c r="AK370" s="110"/>
    </row>
    <row r="371" customFormat="false" ht="61.5" hidden="false" customHeight="true" outlineLevel="0" collapsed="false">
      <c r="A371" s="3"/>
      <c r="B371" s="31" t="s">
        <v>39</v>
      </c>
      <c r="C371" s="91" t="s">
        <v>18</v>
      </c>
      <c r="D371" s="91" t="s">
        <v>369</v>
      </c>
      <c r="E371" s="109" t="s">
        <v>1433</v>
      </c>
      <c r="F371" s="92" t="n">
        <v>228.78</v>
      </c>
      <c r="G371" s="91" t="s">
        <v>244</v>
      </c>
      <c r="H371" s="112" t="n">
        <f aca="false">IF(AND(AE371="yes",ISNUMBER(AD371)),AD371,"")</f>
        <v>186</v>
      </c>
      <c r="I371" s="95" t="n">
        <f aca="false">IF(AND(AE371="yes",ISNUMBER(AD371),ISNUMBER(INDEX(Sources!$G$7:$G$10,MATCH(AB371,Sources!$B$7:$B$10,0)))),ROUND(AD371/INDEX(Sources!$G$7:$G$10,MATCH(AB371,Sources!$B$7:$B$10,0)),6),"")</f>
        <v>186</v>
      </c>
      <c r="J371" s="91" t="s">
        <v>702</v>
      </c>
      <c r="K371" s="91" t="s">
        <v>586</v>
      </c>
      <c r="L371" s="96"/>
      <c r="M371" s="109" t="s">
        <v>1434</v>
      </c>
      <c r="N371" s="113" t="s">
        <v>1435</v>
      </c>
      <c r="O371" s="109" t="s">
        <v>642</v>
      </c>
      <c r="P371" s="109" t="s">
        <v>265</v>
      </c>
      <c r="Q371" s="114" t="n">
        <v>0.23</v>
      </c>
      <c r="R371" s="109" t="n">
        <v>1</v>
      </c>
      <c r="S371" s="109" t="s">
        <v>632</v>
      </c>
      <c r="T371" s="109" t="s">
        <v>702</v>
      </c>
      <c r="U371" s="109" t="s">
        <v>591</v>
      </c>
      <c r="V371" s="115" t="n">
        <v>186</v>
      </c>
      <c r="W371" s="115"/>
      <c r="X371" s="109" t="s">
        <v>648</v>
      </c>
      <c r="Y371" s="109"/>
      <c r="Z371" s="109"/>
      <c r="AA371" s="109"/>
      <c r="AB371" s="109" t="s">
        <v>244</v>
      </c>
      <c r="AC371" s="109" t="s">
        <v>538</v>
      </c>
      <c r="AD371" s="109" t="n">
        <f aca="false">IF(ISNUMBER(V371),ROUND(V371,6),"")</f>
        <v>186</v>
      </c>
      <c r="AE371" s="109" t="str">
        <f aca="false">IF(AND(AC371="yes",ISNUMBER(F371),IF(Compare!$H$5="All mapped",TRUE(),IF(Compare!$H$5="EXACT only",J371="EXACT",OR(J371="EXACT",J371="CLOSE")))),"yes","no")</f>
        <v>yes</v>
      </c>
      <c r="AF371" s="109" t="n">
        <f aca="false">IF(ISNUMBER(H371),COUNTIFS($B$7:$B$3000,B371,$C$7:$C$3000,C371,$H$7:$H$3000,"&lt;"&amp;H371,$AH$7:$AH$3000,"yes")+COUNTIFS($B$7:B371,B371,$C$7:C371,C371,$H$7:H371,H371,$AH$7:AH371,"yes"),"")</f>
        <v>1</v>
      </c>
      <c r="AG371" s="109" t="n">
        <f aca="false">IF(ISNUMBER(I371),COUNTIFS($B$7:$B$3000,B371,$C$7:$C$3000,C371,$I$7:$I$3000,"&lt;"&amp;I371,$AI$7:$AI$3000,"yes")+COUNTIFS($B$7:B371,B371,$C$7:C371,C371,$I$7:I371,I371,$AI$7:AI371,"yes"),"")</f>
        <v>1</v>
      </c>
      <c r="AH371" s="109" t="str">
        <f aca="false">IF(ISNUMBER(H371),"yes","no")</f>
        <v>yes</v>
      </c>
      <c r="AI371" s="109" t="str">
        <f aca="false">IF(ISNUMBER(I371),"yes","no")</f>
        <v>yes</v>
      </c>
      <c r="AJ371" s="116" t="n">
        <v>46295</v>
      </c>
      <c r="AK371" s="109"/>
    </row>
    <row r="372" customFormat="false" ht="42" hidden="false" customHeight="true" outlineLevel="0" collapsed="false">
      <c r="A372" s="3"/>
      <c r="B372" s="36" t="s">
        <v>40</v>
      </c>
      <c r="C372" s="98" t="s">
        <v>13</v>
      </c>
      <c r="D372" s="98" t="s">
        <v>548</v>
      </c>
      <c r="E372" s="110" t="s">
        <v>1436</v>
      </c>
      <c r="F372" s="99" t="n">
        <v>2020</v>
      </c>
      <c r="G372" s="98" t="s">
        <v>490</v>
      </c>
      <c r="H372" s="112" t="str">
        <f aca="false">IF(AND(AE372="yes",ISNUMBER(AD372)),AD372,"")</f>
        <v/>
      </c>
      <c r="I372" s="95" t="str">
        <f aca="false">IF(AND(AE372="yes",ISNUMBER(AD372),ISNUMBER(INDEX(Sources!$G$7:$G$10,MATCH(AB372,Sources!$B$7:$B$10,0)))),ROUND(AD372/INDEX(Sources!$G$7:$G$10,MATCH(AB372,Sources!$B$7:$B$10,0)),6),"")</f>
        <v/>
      </c>
      <c r="J372" s="98" t="s">
        <v>956</v>
      </c>
      <c r="K372" s="98" t="s">
        <v>1437</v>
      </c>
      <c r="L372" s="96"/>
      <c r="M372" s="110" t="s">
        <v>1438</v>
      </c>
      <c r="N372" s="117" t="s">
        <v>1439</v>
      </c>
      <c r="O372" s="110"/>
      <c r="P372" s="110"/>
      <c r="Q372" s="118"/>
      <c r="R372" s="110"/>
      <c r="S372" s="110"/>
      <c r="T372" s="110"/>
      <c r="U372" s="110" t="s">
        <v>1440</v>
      </c>
      <c r="V372" s="119"/>
      <c r="W372" s="119" t="n">
        <v>2020</v>
      </c>
      <c r="X372" s="110" t="s">
        <v>535</v>
      </c>
      <c r="Y372" s="110" t="s">
        <v>1018</v>
      </c>
      <c r="Z372" s="110"/>
      <c r="AA372" s="110" t="s">
        <v>537</v>
      </c>
      <c r="AB372" s="110" t="s">
        <v>490</v>
      </c>
      <c r="AC372" s="110" t="s">
        <v>538</v>
      </c>
      <c r="AD372" s="119" t="n">
        <f aca="false">IF(ISNUMBER(F372),IF(G372=AB372,F372,IF(AND(ISNUMBER(INDEX(Sources!$G$7:$G$10,MATCH(G372,Sources!$B$7:$B$10,0))),ISNUMBER(INDEX(Sources!$G$7:$G$10,MATCH(AB372,Sources!$B$7:$B$10,0)))),F372/INDEX(Sources!$G$7:$G$10,MATCH(G372,Sources!$B$7:$B$10,0))*INDEX(Sources!$G$7:$G$10,MATCH(AB372,Sources!$B$7:$B$10,0)),"")),"")</f>
        <v>2020</v>
      </c>
      <c r="AE372" s="110" t="str">
        <f aca="false">IF(AND(AC372="yes",ISNUMBER(F372),IF(Compare!$H$5="All mapped",TRUE(),IF(Compare!$H$5="EXACT only",J372="EXACT",OR(J372="EXACT",J372="CLOSE")))),"yes","no")</f>
        <v>no</v>
      </c>
      <c r="AF372" s="110" t="str">
        <f aca="false">IF(ISNUMBER(H372),COUNTIFS($B$7:$B$3000,B372,$C$7:$C$3000,C372,$H$7:$H$3000,"&lt;"&amp;H372,$AH$7:$AH$3000,"yes")+COUNTIFS($B$7:B372,B372,$C$7:C372,C372,$H$7:H372,H372,$AH$7:AH372,"yes"),"")</f>
        <v/>
      </c>
      <c r="AG372" s="110" t="str">
        <f aca="false">IF(ISNUMBER(I372),COUNTIFS($B$7:$B$3000,B372,$C$7:$C$3000,C372,$I$7:$I$3000,"&lt;"&amp;I372,$AI$7:$AI$3000,"yes")+COUNTIFS($B$7:B372,B372,$C$7:C372,C372,$I$7:I372,I372,$AI$7:AI372,"yes"),"")</f>
        <v/>
      </c>
      <c r="AH372" s="110" t="str">
        <f aca="false">IF(ISNUMBER(H372),"yes","no")</f>
        <v>no</v>
      </c>
      <c r="AI372" s="110" t="str">
        <f aca="false">IF(ISNUMBER(I372),"yes","no")</f>
        <v>no</v>
      </c>
      <c r="AJ372" s="120" t="n">
        <v>46200</v>
      </c>
      <c r="AK372" s="110"/>
    </row>
    <row r="373" customFormat="false" ht="42" hidden="false" customHeight="true" outlineLevel="0" collapsed="false">
      <c r="A373" s="3"/>
      <c r="B373" s="31" t="s">
        <v>40</v>
      </c>
      <c r="C373" s="91" t="s">
        <v>15</v>
      </c>
      <c r="D373" s="91" t="s">
        <v>243</v>
      </c>
      <c r="E373" s="109" t="s">
        <v>1441</v>
      </c>
      <c r="F373" s="92" t="n">
        <v>19.22</v>
      </c>
      <c r="G373" s="91" t="s">
        <v>244</v>
      </c>
      <c r="H373" s="112" t="str">
        <f aca="false">IF(AND(AE373="yes",ISNUMBER(AD373)),AD373,"")</f>
        <v/>
      </c>
      <c r="I373" s="95" t="str">
        <f aca="false">IF(AND(AE373="yes",ISNUMBER(AD373),ISNUMBER(INDEX(Sources!$G$7:$G$10,MATCH(AB373,Sources!$B$7:$B$10,0)))),ROUND(AD373/INDEX(Sources!$G$7:$G$10,MATCH(AB373,Sources!$B$7:$B$10,0)),6),"")</f>
        <v/>
      </c>
      <c r="J373" s="91" t="s">
        <v>629</v>
      </c>
      <c r="K373" s="91" t="s">
        <v>586</v>
      </c>
      <c r="L373" s="96"/>
      <c r="M373" s="109" t="s">
        <v>1442</v>
      </c>
      <c r="N373" s="113" t="s">
        <v>1443</v>
      </c>
      <c r="O373" s="109"/>
      <c r="P373" s="109" t="s">
        <v>590</v>
      </c>
      <c r="Q373" s="114"/>
      <c r="R373" s="109" t="n">
        <v>1</v>
      </c>
      <c r="S373" s="109"/>
      <c r="T373" s="109" t="s">
        <v>629</v>
      </c>
      <c r="U373" s="109" t="s">
        <v>591</v>
      </c>
      <c r="V373" s="115" t="n">
        <v>19.22</v>
      </c>
      <c r="W373" s="115"/>
      <c r="X373" s="109" t="s">
        <v>592</v>
      </c>
      <c r="Y373" s="109"/>
      <c r="Z373" s="109"/>
      <c r="AA373" s="109"/>
      <c r="AB373" s="109" t="s">
        <v>244</v>
      </c>
      <c r="AC373" s="109" t="s">
        <v>538</v>
      </c>
      <c r="AD373" s="109" t="n">
        <f aca="false">IF(ISNUMBER(V373),ROUND(V373,6),"")</f>
        <v>19.22</v>
      </c>
      <c r="AE373" s="109" t="str">
        <f aca="false">IF(AND(AC373="yes",ISNUMBER(F373),IF(Compare!$H$5="All mapped",TRUE(),IF(Compare!$H$5="EXACT only",J373="EXACT",OR(J373="EXACT",J373="CLOSE")))),"yes","no")</f>
        <v>no</v>
      </c>
      <c r="AF373" s="109" t="str">
        <f aca="false">IF(ISNUMBER(H373),COUNTIFS($B$7:$B$3000,B373,$C$7:$C$3000,C373,$H$7:$H$3000,"&lt;"&amp;H373,$AH$7:$AH$3000,"yes")+COUNTIFS($B$7:B373,B373,$C$7:C373,C373,$H$7:H373,H373,$AH$7:AH373,"yes"),"")</f>
        <v/>
      </c>
      <c r="AG373" s="109" t="str">
        <f aca="false">IF(ISNUMBER(I373),COUNTIFS($B$7:$B$3000,B373,$C$7:$C$3000,C373,$I$7:$I$3000,"&lt;"&amp;I373,$AI$7:$AI$3000,"yes")+COUNTIFS($B$7:B373,B373,$C$7:C373,C373,$I$7:I373,I373,$AI$7:AI373,"yes"),"")</f>
        <v/>
      </c>
      <c r="AH373" s="109" t="str">
        <f aca="false">IF(ISNUMBER(H373),"yes","no")</f>
        <v>no</v>
      </c>
      <c r="AI373" s="109" t="str">
        <f aca="false">IF(ISNUMBER(I373),"yes","no")</f>
        <v>no</v>
      </c>
      <c r="AJ373" s="116" t="n">
        <v>46295</v>
      </c>
      <c r="AK373" s="109"/>
    </row>
    <row r="374" customFormat="false" ht="42" hidden="false" customHeight="true" outlineLevel="0" collapsed="false">
      <c r="A374" s="3"/>
      <c r="B374" s="36" t="s">
        <v>40</v>
      </c>
      <c r="C374" s="98" t="s">
        <v>15</v>
      </c>
      <c r="D374" s="98" t="s">
        <v>269</v>
      </c>
      <c r="E374" s="110" t="s">
        <v>1444</v>
      </c>
      <c r="F374" s="99" t="n">
        <v>6.79</v>
      </c>
      <c r="G374" s="98" t="s">
        <v>244</v>
      </c>
      <c r="H374" s="112" t="str">
        <f aca="false">IF(AND(AE374="yes",ISNUMBER(AD374)),AD374,"")</f>
        <v/>
      </c>
      <c r="I374" s="95" t="str">
        <f aca="false">IF(AND(AE374="yes",ISNUMBER(AD374),ISNUMBER(INDEX(Sources!$G$7:$G$10,MATCH(AB374,Sources!$B$7:$B$10,0)))),ROUND(AD374/INDEX(Sources!$G$7:$G$10,MATCH(AB374,Sources!$B$7:$B$10,0)),6),"")</f>
        <v/>
      </c>
      <c r="J374" s="98" t="s">
        <v>629</v>
      </c>
      <c r="K374" s="98" t="s">
        <v>586</v>
      </c>
      <c r="L374" s="96"/>
      <c r="M374" s="110" t="s">
        <v>1445</v>
      </c>
      <c r="N374" s="117" t="s">
        <v>1446</v>
      </c>
      <c r="O374" s="110" t="s">
        <v>603</v>
      </c>
      <c r="P374" s="110" t="s">
        <v>590</v>
      </c>
      <c r="Q374" s="118"/>
      <c r="R374" s="110" t="n">
        <v>1</v>
      </c>
      <c r="S374" s="110"/>
      <c r="T374" s="110" t="s">
        <v>629</v>
      </c>
      <c r="U374" s="110" t="s">
        <v>591</v>
      </c>
      <c r="V374" s="119" t="n">
        <v>6.79</v>
      </c>
      <c r="W374" s="119"/>
      <c r="X374" s="110" t="s">
        <v>592</v>
      </c>
      <c r="Y374" s="110"/>
      <c r="Z374" s="110"/>
      <c r="AA374" s="110"/>
      <c r="AB374" s="110" t="s">
        <v>244</v>
      </c>
      <c r="AC374" s="110" t="s">
        <v>538</v>
      </c>
      <c r="AD374" s="110" t="n">
        <f aca="false">IF(ISNUMBER(V374),ROUND(V374,6),"")</f>
        <v>6.79</v>
      </c>
      <c r="AE374" s="110" t="str">
        <f aca="false">IF(AND(AC374="yes",ISNUMBER(F374),IF(Compare!$H$5="All mapped",TRUE(),IF(Compare!$H$5="EXACT only",J374="EXACT",OR(J374="EXACT",J374="CLOSE")))),"yes","no")</f>
        <v>no</v>
      </c>
      <c r="AF374" s="110" t="str">
        <f aca="false">IF(ISNUMBER(H374),COUNTIFS($B$7:$B$3000,B374,$C$7:$C$3000,C374,$H$7:$H$3000,"&lt;"&amp;H374,$AH$7:$AH$3000,"yes")+COUNTIFS($B$7:B374,B374,$C$7:C374,C374,$H$7:H374,H374,$AH$7:AH374,"yes"),"")</f>
        <v/>
      </c>
      <c r="AG374" s="110" t="str">
        <f aca="false">IF(ISNUMBER(I374),COUNTIFS($B$7:$B$3000,B374,$C$7:$C$3000,C374,$I$7:$I$3000,"&lt;"&amp;I374,$AI$7:$AI$3000,"yes")+COUNTIFS($B$7:B374,B374,$C$7:C374,C374,$I$7:I374,I374,$AI$7:AI374,"yes"),"")</f>
        <v/>
      </c>
      <c r="AH374" s="110" t="str">
        <f aca="false">IF(ISNUMBER(H374),"yes","no")</f>
        <v>no</v>
      </c>
      <c r="AI374" s="110" t="str">
        <f aca="false">IF(ISNUMBER(I374),"yes","no")</f>
        <v>no</v>
      </c>
      <c r="AJ374" s="120" t="n">
        <v>46295</v>
      </c>
      <c r="AK374" s="110"/>
    </row>
    <row r="375" customFormat="false" ht="42" hidden="false" customHeight="true" outlineLevel="0" collapsed="false">
      <c r="A375" s="3"/>
      <c r="B375" s="31" t="s">
        <v>40</v>
      </c>
      <c r="C375" s="91" t="s">
        <v>15</v>
      </c>
      <c r="D375" s="91" t="s">
        <v>264</v>
      </c>
      <c r="E375" s="109" t="s">
        <v>1447</v>
      </c>
      <c r="F375" s="92" t="n">
        <v>15.25</v>
      </c>
      <c r="G375" s="91" t="s">
        <v>244</v>
      </c>
      <c r="H375" s="112" t="n">
        <f aca="false">IF(AND(AE375="yes",ISNUMBER(AD375)),AD375,"")</f>
        <v>15.25</v>
      </c>
      <c r="I375" s="95" t="n">
        <f aca="false">IF(AND(AE375="yes",ISNUMBER(AD375),ISNUMBER(INDEX(Sources!$G$7:$G$10,MATCH(AB375,Sources!$B$7:$B$10,0)))),ROUND(AD375/INDEX(Sources!$G$7:$G$10,MATCH(AB375,Sources!$B$7:$B$10,0)),6),"")</f>
        <v>15.25</v>
      </c>
      <c r="J375" s="91" t="s">
        <v>702</v>
      </c>
      <c r="K375" s="91" t="s">
        <v>586</v>
      </c>
      <c r="L375" s="96"/>
      <c r="M375" s="109" t="s">
        <v>1448</v>
      </c>
      <c r="N375" s="113" t="s">
        <v>1449</v>
      </c>
      <c r="O375" s="109" t="s">
        <v>388</v>
      </c>
      <c r="P375" s="109" t="s">
        <v>590</v>
      </c>
      <c r="Q375" s="114"/>
      <c r="R375" s="109" t="n">
        <v>1</v>
      </c>
      <c r="S375" s="109"/>
      <c r="T375" s="109" t="s">
        <v>702</v>
      </c>
      <c r="U375" s="109" t="s">
        <v>591</v>
      </c>
      <c r="V375" s="115" t="n">
        <v>15.25</v>
      </c>
      <c r="W375" s="115"/>
      <c r="X375" s="109" t="s">
        <v>592</v>
      </c>
      <c r="Y375" s="109"/>
      <c r="Z375" s="109"/>
      <c r="AA375" s="109"/>
      <c r="AB375" s="109" t="s">
        <v>244</v>
      </c>
      <c r="AC375" s="109" t="s">
        <v>538</v>
      </c>
      <c r="AD375" s="109" t="n">
        <f aca="false">IF(ISNUMBER(V375),ROUND(V375,6),"")</f>
        <v>15.25</v>
      </c>
      <c r="AE375" s="109" t="str">
        <f aca="false">IF(AND(AC375="yes",ISNUMBER(F375),IF(Compare!$H$5="All mapped",TRUE(),IF(Compare!$H$5="EXACT only",J375="EXACT",OR(J375="EXACT",J375="CLOSE")))),"yes","no")</f>
        <v>yes</v>
      </c>
      <c r="AF375" s="109" t="n">
        <f aca="false">IF(ISNUMBER(H375),COUNTIFS($B$7:$B$3000,B375,$C$7:$C$3000,C375,$H$7:$H$3000,"&lt;"&amp;H375,$AH$7:$AH$3000,"yes")+COUNTIFS($B$7:B375,B375,$C$7:C375,C375,$H$7:H375,H375,$AH$7:AH375,"yes"),"")</f>
        <v>2</v>
      </c>
      <c r="AG375" s="109" t="n">
        <f aca="false">IF(ISNUMBER(I375),COUNTIFS($B$7:$B$3000,B375,$C$7:$C$3000,C375,$I$7:$I$3000,"&lt;"&amp;I375,$AI$7:$AI$3000,"yes")+COUNTIFS($B$7:B375,B375,$C$7:C375,C375,$I$7:I375,I375,$AI$7:AI375,"yes"),"")</f>
        <v>2</v>
      </c>
      <c r="AH375" s="109" t="str">
        <f aca="false">IF(ISNUMBER(H375),"yes","no")</f>
        <v>yes</v>
      </c>
      <c r="AI375" s="109" t="str">
        <f aca="false">IF(ISNUMBER(I375),"yes","no")</f>
        <v>yes</v>
      </c>
      <c r="AJ375" s="116" t="n">
        <v>46295</v>
      </c>
      <c r="AK375" s="109"/>
    </row>
    <row r="376" customFormat="false" ht="42" hidden="false" customHeight="true" outlineLevel="0" collapsed="false">
      <c r="A376" s="3"/>
      <c r="B376" s="36" t="s">
        <v>40</v>
      </c>
      <c r="C376" s="98" t="s">
        <v>15</v>
      </c>
      <c r="D376" s="98" t="s">
        <v>273</v>
      </c>
      <c r="E376" s="110" t="s">
        <v>1450</v>
      </c>
      <c r="F376" s="99" t="n">
        <v>8.98</v>
      </c>
      <c r="G376" s="98" t="s">
        <v>244</v>
      </c>
      <c r="H376" s="112" t="n">
        <f aca="false">IF(AND(AE376="yes",ISNUMBER(AD376)),AD376,"")</f>
        <v>7.48</v>
      </c>
      <c r="I376" s="95" t="n">
        <f aca="false">IF(AND(AE376="yes",ISNUMBER(AD376),ISNUMBER(INDEX(Sources!$G$7:$G$10,MATCH(AB376,Sources!$B$7:$B$10,0)))),ROUND(AD376/INDEX(Sources!$G$7:$G$10,MATCH(AB376,Sources!$B$7:$B$10,0)),6),"")</f>
        <v>7.48</v>
      </c>
      <c r="J376" s="98" t="s">
        <v>702</v>
      </c>
      <c r="K376" s="98" t="s">
        <v>586</v>
      </c>
      <c r="L376" s="96"/>
      <c r="M376" s="110" t="s">
        <v>1451</v>
      </c>
      <c r="N376" s="117" t="s">
        <v>1452</v>
      </c>
      <c r="O376" s="110" t="s">
        <v>1453</v>
      </c>
      <c r="P376" s="110" t="s">
        <v>265</v>
      </c>
      <c r="Q376" s="118"/>
      <c r="R376" s="110" t="n">
        <v>1</v>
      </c>
      <c r="S376" s="110"/>
      <c r="T376" s="110" t="s">
        <v>702</v>
      </c>
      <c r="U376" s="110" t="s">
        <v>591</v>
      </c>
      <c r="V376" s="119" t="n">
        <v>7.48</v>
      </c>
      <c r="W376" s="119"/>
      <c r="X376" s="110" t="s">
        <v>592</v>
      </c>
      <c r="Y376" s="110"/>
      <c r="Z376" s="110"/>
      <c r="AA376" s="110"/>
      <c r="AB376" s="110" t="s">
        <v>244</v>
      </c>
      <c r="AC376" s="110" t="s">
        <v>538</v>
      </c>
      <c r="AD376" s="110" t="n">
        <f aca="false">IF(ISNUMBER(V376),ROUND(V376,6),"")</f>
        <v>7.48</v>
      </c>
      <c r="AE376" s="110" t="str">
        <f aca="false">IF(AND(AC376="yes",ISNUMBER(F376),IF(Compare!$H$5="All mapped",TRUE(),IF(Compare!$H$5="EXACT only",J376="EXACT",OR(J376="EXACT",J376="CLOSE")))),"yes","no")</f>
        <v>yes</v>
      </c>
      <c r="AF376" s="110" t="n">
        <f aca="false">IF(ISNUMBER(H376),COUNTIFS($B$7:$B$3000,B376,$C$7:$C$3000,C376,$H$7:$H$3000,"&lt;"&amp;H376,$AH$7:$AH$3000,"yes")+COUNTIFS($B$7:B376,B376,$C$7:C376,C376,$H$7:H376,H376,$AH$7:AH376,"yes"),"")</f>
        <v>1</v>
      </c>
      <c r="AG376" s="110" t="n">
        <f aca="false">IF(ISNUMBER(I376),COUNTIFS($B$7:$B$3000,B376,$C$7:$C$3000,C376,$I$7:$I$3000,"&lt;"&amp;I376,$AI$7:$AI$3000,"yes")+COUNTIFS($B$7:B376,B376,$C$7:C376,C376,$I$7:I376,I376,$AI$7:AI376,"yes"),"")</f>
        <v>1</v>
      </c>
      <c r="AH376" s="110" t="str">
        <f aca="false">IF(ISNUMBER(H376),"yes","no")</f>
        <v>yes</v>
      </c>
      <c r="AI376" s="110" t="str">
        <f aca="false">IF(ISNUMBER(I376),"yes","no")</f>
        <v>yes</v>
      </c>
      <c r="AJ376" s="120" t="n">
        <v>46295</v>
      </c>
      <c r="AK376" s="110"/>
    </row>
    <row r="377" customFormat="false" ht="42" hidden="false" customHeight="true" outlineLevel="0" collapsed="false">
      <c r="A377" s="3"/>
      <c r="B377" s="31" t="s">
        <v>40</v>
      </c>
      <c r="C377" s="91" t="s">
        <v>15</v>
      </c>
      <c r="D377" s="91" t="s">
        <v>281</v>
      </c>
      <c r="E377" s="109" t="s">
        <v>1454</v>
      </c>
      <c r="F377" s="92" t="n">
        <v>18.19</v>
      </c>
      <c r="G377" s="91" t="s">
        <v>244</v>
      </c>
      <c r="H377" s="112" t="str">
        <f aca="false">IF(AND(AE377="yes",ISNUMBER(AD377)),AD377,"")</f>
        <v/>
      </c>
      <c r="I377" s="95" t="str">
        <f aca="false">IF(AND(AE377="yes",ISNUMBER(AD377),ISNUMBER(INDEX(Sources!$G$7:$G$10,MATCH(AB377,Sources!$B$7:$B$10,0)))),ROUND(AD377/INDEX(Sources!$G$7:$G$10,MATCH(AB377,Sources!$B$7:$B$10,0)),6),"")</f>
        <v/>
      </c>
      <c r="J377" s="91" t="s">
        <v>629</v>
      </c>
      <c r="K377" s="91" t="s">
        <v>586</v>
      </c>
      <c r="L377" s="96"/>
      <c r="M377" s="109" t="s">
        <v>1455</v>
      </c>
      <c r="N377" s="113" t="s">
        <v>1456</v>
      </c>
      <c r="O377" s="109" t="s">
        <v>642</v>
      </c>
      <c r="P377" s="109" t="s">
        <v>590</v>
      </c>
      <c r="Q377" s="114"/>
      <c r="R377" s="109" t="n">
        <v>1</v>
      </c>
      <c r="S377" s="109"/>
      <c r="T377" s="109" t="s">
        <v>629</v>
      </c>
      <c r="U377" s="109" t="s">
        <v>591</v>
      </c>
      <c r="V377" s="115" t="n">
        <v>18.19</v>
      </c>
      <c r="W377" s="115"/>
      <c r="X377" s="109" t="s">
        <v>592</v>
      </c>
      <c r="Y377" s="109"/>
      <c r="Z377" s="109"/>
      <c r="AA377" s="109"/>
      <c r="AB377" s="109" t="s">
        <v>244</v>
      </c>
      <c r="AC377" s="109" t="s">
        <v>538</v>
      </c>
      <c r="AD377" s="109" t="n">
        <f aca="false">IF(ISNUMBER(V377),ROUND(V377,6),"")</f>
        <v>18.19</v>
      </c>
      <c r="AE377" s="109" t="str">
        <f aca="false">IF(AND(AC377="yes",ISNUMBER(F377),IF(Compare!$H$5="All mapped",TRUE(),IF(Compare!$H$5="EXACT only",J377="EXACT",OR(J377="EXACT",J377="CLOSE")))),"yes","no")</f>
        <v>no</v>
      </c>
      <c r="AF377" s="109" t="str">
        <f aca="false">IF(ISNUMBER(H377),COUNTIFS($B$7:$B$3000,B377,$C$7:$C$3000,C377,$H$7:$H$3000,"&lt;"&amp;H377,$AH$7:$AH$3000,"yes")+COUNTIFS($B$7:B377,B377,$C$7:C377,C377,$H$7:H377,H377,$AH$7:AH377,"yes"),"")</f>
        <v/>
      </c>
      <c r="AG377" s="109" t="str">
        <f aca="false">IF(ISNUMBER(I377),COUNTIFS($B$7:$B$3000,B377,$C$7:$C$3000,C377,$I$7:$I$3000,"&lt;"&amp;I377,$AI$7:$AI$3000,"yes")+COUNTIFS($B$7:B377,B377,$C$7:C377,C377,$I$7:I377,I377,$AI$7:AI377,"yes"),"")</f>
        <v/>
      </c>
      <c r="AH377" s="109" t="str">
        <f aca="false">IF(ISNUMBER(H377),"yes","no")</f>
        <v>no</v>
      </c>
      <c r="AI377" s="109" t="str">
        <f aca="false">IF(ISNUMBER(I377),"yes","no")</f>
        <v>no</v>
      </c>
      <c r="AJ377" s="116" t="n">
        <v>46295</v>
      </c>
      <c r="AK377" s="109"/>
    </row>
    <row r="378" customFormat="false" ht="42" hidden="false" customHeight="true" outlineLevel="0" collapsed="false">
      <c r="A378" s="3"/>
      <c r="B378" s="36" t="s">
        <v>40</v>
      </c>
      <c r="C378" s="98" t="s">
        <v>15</v>
      </c>
      <c r="D378" s="98" t="s">
        <v>293</v>
      </c>
      <c r="E378" s="110" t="s">
        <v>1457</v>
      </c>
      <c r="F378" s="99" t="n">
        <v>11.9</v>
      </c>
      <c r="G378" s="98" t="s">
        <v>244</v>
      </c>
      <c r="H378" s="112" t="str">
        <f aca="false">IF(AND(AE378="yes",ISNUMBER(AD378)),AD378,"")</f>
        <v/>
      </c>
      <c r="I378" s="95" t="str">
        <f aca="false">IF(AND(AE378="yes",ISNUMBER(AD378),ISNUMBER(INDEX(Sources!$G$7:$G$10,MATCH(AB378,Sources!$B$7:$B$10,0)))),ROUND(AD378/INDEX(Sources!$G$7:$G$10,MATCH(AB378,Sources!$B$7:$B$10,0)),6),"")</f>
        <v/>
      </c>
      <c r="J378" s="98" t="s">
        <v>629</v>
      </c>
      <c r="K378" s="98" t="s">
        <v>586</v>
      </c>
      <c r="L378" s="96"/>
      <c r="M378" s="110" t="s">
        <v>1458</v>
      </c>
      <c r="N378" s="117" t="s">
        <v>1459</v>
      </c>
      <c r="O378" s="110" t="s">
        <v>603</v>
      </c>
      <c r="P378" s="110" t="s">
        <v>590</v>
      </c>
      <c r="Q378" s="118"/>
      <c r="R378" s="110" t="n">
        <v>1</v>
      </c>
      <c r="S378" s="110"/>
      <c r="T378" s="110" t="s">
        <v>629</v>
      </c>
      <c r="U378" s="110" t="s">
        <v>591</v>
      </c>
      <c r="V378" s="119" t="n">
        <v>11.9</v>
      </c>
      <c r="W378" s="119"/>
      <c r="X378" s="110" t="s">
        <v>592</v>
      </c>
      <c r="Y378" s="110"/>
      <c r="Z378" s="110"/>
      <c r="AA378" s="110"/>
      <c r="AB378" s="110" t="s">
        <v>244</v>
      </c>
      <c r="AC378" s="110" t="s">
        <v>538</v>
      </c>
      <c r="AD378" s="110" t="n">
        <f aca="false">IF(ISNUMBER(V378),ROUND(V378,6),"")</f>
        <v>11.9</v>
      </c>
      <c r="AE378" s="110" t="str">
        <f aca="false">IF(AND(AC378="yes",ISNUMBER(F378),IF(Compare!$H$5="All mapped",TRUE(),IF(Compare!$H$5="EXACT only",J378="EXACT",OR(J378="EXACT",J378="CLOSE")))),"yes","no")</f>
        <v>no</v>
      </c>
      <c r="AF378" s="110" t="str">
        <f aca="false">IF(ISNUMBER(H378),COUNTIFS($B$7:$B$3000,B378,$C$7:$C$3000,C378,$H$7:$H$3000,"&lt;"&amp;H378,$AH$7:$AH$3000,"yes")+COUNTIFS($B$7:B378,B378,$C$7:C378,C378,$H$7:H378,H378,$AH$7:AH378,"yes"),"")</f>
        <v/>
      </c>
      <c r="AG378" s="110" t="str">
        <f aca="false">IF(ISNUMBER(I378),COUNTIFS($B$7:$B$3000,B378,$C$7:$C$3000,C378,$I$7:$I$3000,"&lt;"&amp;I378,$AI$7:$AI$3000,"yes")+COUNTIFS($B$7:B378,B378,$C$7:C378,C378,$I$7:I378,I378,$AI$7:AI378,"yes"),"")</f>
        <v/>
      </c>
      <c r="AH378" s="110" t="str">
        <f aca="false">IF(ISNUMBER(H378),"yes","no")</f>
        <v>no</v>
      </c>
      <c r="AI378" s="110" t="str">
        <f aca="false">IF(ISNUMBER(I378),"yes","no")</f>
        <v>no</v>
      </c>
      <c r="AJ378" s="120" t="n">
        <v>46295</v>
      </c>
      <c r="AK378" s="110"/>
    </row>
    <row r="379" customFormat="false" ht="42" hidden="false" customHeight="true" outlineLevel="0" collapsed="false">
      <c r="A379" s="3"/>
      <c r="B379" s="31" t="s">
        <v>40</v>
      </c>
      <c r="C379" s="91" t="s">
        <v>16</v>
      </c>
      <c r="D379" s="91" t="s">
        <v>296</v>
      </c>
      <c r="E379" s="109" t="s">
        <v>1441</v>
      </c>
      <c r="F379" s="92" t="n">
        <v>19.22</v>
      </c>
      <c r="G379" s="91" t="s">
        <v>244</v>
      </c>
      <c r="H379" s="112" t="str">
        <f aca="false">IF(AND(AE379="yes",ISNUMBER(AD379)),AD379,"")</f>
        <v/>
      </c>
      <c r="I379" s="95" t="str">
        <f aca="false">IF(AND(AE379="yes",ISNUMBER(AD379),ISNUMBER(INDEX(Sources!$G$7:$G$10,MATCH(AB379,Sources!$B$7:$B$10,0)))),ROUND(AD379/INDEX(Sources!$G$7:$G$10,MATCH(AB379,Sources!$B$7:$B$10,0)),6),"")</f>
        <v/>
      </c>
      <c r="J379" s="91" t="s">
        <v>629</v>
      </c>
      <c r="K379" s="91" t="s">
        <v>586</v>
      </c>
      <c r="L379" s="96"/>
      <c r="M379" s="109" t="s">
        <v>1442</v>
      </c>
      <c r="N379" s="113" t="s">
        <v>1460</v>
      </c>
      <c r="O379" s="109"/>
      <c r="P379" s="109" t="s">
        <v>590</v>
      </c>
      <c r="Q379" s="114"/>
      <c r="R379" s="109" t="n">
        <v>1</v>
      </c>
      <c r="S379" s="109"/>
      <c r="T379" s="109" t="s">
        <v>629</v>
      </c>
      <c r="U379" s="109" t="s">
        <v>591</v>
      </c>
      <c r="V379" s="115" t="n">
        <v>19.22</v>
      </c>
      <c r="W379" s="115"/>
      <c r="X379" s="109" t="s">
        <v>612</v>
      </c>
      <c r="Y379" s="109"/>
      <c r="Z379" s="109"/>
      <c r="AA379" s="109"/>
      <c r="AB379" s="109" t="s">
        <v>244</v>
      </c>
      <c r="AC379" s="109" t="s">
        <v>538</v>
      </c>
      <c r="AD379" s="109" t="n">
        <f aca="false">IF(ISNUMBER(V379),ROUND(V379,6),"")</f>
        <v>19.22</v>
      </c>
      <c r="AE379" s="109" t="str">
        <f aca="false">IF(AND(AC379="yes",ISNUMBER(F379),IF(Compare!$H$5="All mapped",TRUE(),IF(Compare!$H$5="EXACT only",J379="EXACT",OR(J379="EXACT",J379="CLOSE")))),"yes","no")</f>
        <v>no</v>
      </c>
      <c r="AF379" s="109" t="str">
        <f aca="false">IF(ISNUMBER(H379),COUNTIFS($B$7:$B$3000,B379,$C$7:$C$3000,C379,$H$7:$H$3000,"&lt;"&amp;H379,$AH$7:$AH$3000,"yes")+COUNTIFS($B$7:B379,B379,$C$7:C379,C379,$H$7:H379,H379,$AH$7:AH379,"yes"),"")</f>
        <v/>
      </c>
      <c r="AG379" s="109" t="str">
        <f aca="false">IF(ISNUMBER(I379),COUNTIFS($B$7:$B$3000,B379,$C$7:$C$3000,C379,$I$7:$I$3000,"&lt;"&amp;I379,$AI$7:$AI$3000,"yes")+COUNTIFS($B$7:B379,B379,$C$7:C379,C379,$I$7:I379,I379,$AI$7:AI379,"yes"),"")</f>
        <v/>
      </c>
      <c r="AH379" s="109" t="str">
        <f aca="false">IF(ISNUMBER(H379),"yes","no")</f>
        <v>no</v>
      </c>
      <c r="AI379" s="109" t="str">
        <f aca="false">IF(ISNUMBER(I379),"yes","no")</f>
        <v>no</v>
      </c>
      <c r="AJ379" s="116" t="n">
        <v>46295</v>
      </c>
      <c r="AK379" s="109"/>
    </row>
    <row r="380" customFormat="false" ht="42" hidden="false" customHeight="true" outlineLevel="0" collapsed="false">
      <c r="A380" s="3"/>
      <c r="B380" s="36" t="s">
        <v>40</v>
      </c>
      <c r="C380" s="98" t="s">
        <v>16</v>
      </c>
      <c r="D380" s="98" t="s">
        <v>317</v>
      </c>
      <c r="E380" s="110" t="s">
        <v>1461</v>
      </c>
      <c r="F380" s="99" t="n">
        <v>34.99</v>
      </c>
      <c r="G380" s="98" t="s">
        <v>244</v>
      </c>
      <c r="H380" s="112" t="str">
        <f aca="false">IF(AND(AE380="yes",ISNUMBER(AD380)),AD380,"")</f>
        <v/>
      </c>
      <c r="I380" s="95" t="str">
        <f aca="false">IF(AND(AE380="yes",ISNUMBER(AD380),ISNUMBER(INDEX(Sources!$G$7:$G$10,MATCH(AB380,Sources!$B$7:$B$10,0)))),ROUND(AD380/INDEX(Sources!$G$7:$G$10,MATCH(AB380,Sources!$B$7:$B$10,0)),6),"")</f>
        <v/>
      </c>
      <c r="J380" s="98" t="s">
        <v>629</v>
      </c>
      <c r="K380" s="98" t="s">
        <v>586</v>
      </c>
      <c r="L380" s="96"/>
      <c r="M380" s="110" t="s">
        <v>1462</v>
      </c>
      <c r="N380" s="117" t="s">
        <v>1463</v>
      </c>
      <c r="O380" s="110" t="s">
        <v>610</v>
      </c>
      <c r="P380" s="110" t="s">
        <v>590</v>
      </c>
      <c r="Q380" s="118"/>
      <c r="R380" s="110" t="n">
        <v>6</v>
      </c>
      <c r="S380" s="110" t="s">
        <v>611</v>
      </c>
      <c r="T380" s="110" t="s">
        <v>629</v>
      </c>
      <c r="U380" s="110" t="s">
        <v>591</v>
      </c>
      <c r="V380" s="119" t="n">
        <v>5.83</v>
      </c>
      <c r="W380" s="119"/>
      <c r="X380" s="110" t="s">
        <v>612</v>
      </c>
      <c r="Y380" s="110"/>
      <c r="Z380" s="110"/>
      <c r="AA380" s="110"/>
      <c r="AB380" s="110" t="s">
        <v>244</v>
      </c>
      <c r="AC380" s="110" t="s">
        <v>538</v>
      </c>
      <c r="AD380" s="110" t="n">
        <f aca="false">IF(ISNUMBER(V380),ROUND(V380,6),"")</f>
        <v>5.83</v>
      </c>
      <c r="AE380" s="110" t="str">
        <f aca="false">IF(AND(AC380="yes",ISNUMBER(F380),IF(Compare!$H$5="All mapped",TRUE(),IF(Compare!$H$5="EXACT only",J380="EXACT",OR(J380="EXACT",J380="CLOSE")))),"yes","no")</f>
        <v>no</v>
      </c>
      <c r="AF380" s="110" t="str">
        <f aca="false">IF(ISNUMBER(H380),COUNTIFS($B$7:$B$3000,B380,$C$7:$C$3000,C380,$H$7:$H$3000,"&lt;"&amp;H380,$AH$7:$AH$3000,"yes")+COUNTIFS($B$7:B380,B380,$C$7:C380,C380,$H$7:H380,H380,$AH$7:AH380,"yes"),"")</f>
        <v/>
      </c>
      <c r="AG380" s="110" t="str">
        <f aca="false">IF(ISNUMBER(I380),COUNTIFS($B$7:$B$3000,B380,$C$7:$C$3000,C380,$I$7:$I$3000,"&lt;"&amp;I380,$AI$7:$AI$3000,"yes")+COUNTIFS($B$7:B380,B380,$C$7:C380,C380,$I$7:I380,I380,$AI$7:AI380,"yes"),"")</f>
        <v/>
      </c>
      <c r="AH380" s="110" t="str">
        <f aca="false">IF(ISNUMBER(H380),"yes","no")</f>
        <v>no</v>
      </c>
      <c r="AI380" s="110" t="str">
        <f aca="false">IF(ISNUMBER(I380),"yes","no")</f>
        <v>no</v>
      </c>
      <c r="AJ380" s="120" t="n">
        <v>46295</v>
      </c>
      <c r="AK380" s="110"/>
    </row>
    <row r="381" customFormat="false" ht="42" hidden="false" customHeight="true" outlineLevel="0" collapsed="false">
      <c r="A381" s="3"/>
      <c r="B381" s="31" t="s">
        <v>40</v>
      </c>
      <c r="C381" s="91" t="s">
        <v>16</v>
      </c>
      <c r="D381" s="91" t="s">
        <v>311</v>
      </c>
      <c r="E381" s="109" t="s">
        <v>1444</v>
      </c>
      <c r="F381" s="92" t="n">
        <v>6.59</v>
      </c>
      <c r="G381" s="91" t="s">
        <v>244</v>
      </c>
      <c r="H381" s="112" t="str">
        <f aca="false">IF(AND(AE381="yes",ISNUMBER(AD381)),AD381,"")</f>
        <v/>
      </c>
      <c r="I381" s="95" t="str">
        <f aca="false">IF(AND(AE381="yes",ISNUMBER(AD381),ISNUMBER(INDEX(Sources!$G$7:$G$10,MATCH(AB381,Sources!$B$7:$B$10,0)))),ROUND(AD381/INDEX(Sources!$G$7:$G$10,MATCH(AB381,Sources!$B$7:$B$10,0)),6),"")</f>
        <v/>
      </c>
      <c r="J381" s="91" t="s">
        <v>629</v>
      </c>
      <c r="K381" s="91" t="s">
        <v>586</v>
      </c>
      <c r="L381" s="96"/>
      <c r="M381" s="109" t="s">
        <v>1464</v>
      </c>
      <c r="N381" s="113" t="s">
        <v>1465</v>
      </c>
      <c r="O381" s="109" t="s">
        <v>603</v>
      </c>
      <c r="P381" s="109" t="s">
        <v>590</v>
      </c>
      <c r="Q381" s="114"/>
      <c r="R381" s="109" t="n">
        <v>1</v>
      </c>
      <c r="S381" s="109"/>
      <c r="T381" s="109" t="s">
        <v>629</v>
      </c>
      <c r="U381" s="109" t="s">
        <v>591</v>
      </c>
      <c r="V381" s="115" t="n">
        <v>6.59</v>
      </c>
      <c r="W381" s="115"/>
      <c r="X381" s="109" t="s">
        <v>612</v>
      </c>
      <c r="Y381" s="109"/>
      <c r="Z381" s="109"/>
      <c r="AA381" s="109"/>
      <c r="AB381" s="109" t="s">
        <v>244</v>
      </c>
      <c r="AC381" s="109" t="s">
        <v>538</v>
      </c>
      <c r="AD381" s="109" t="n">
        <f aca="false">IF(ISNUMBER(V381),ROUND(V381,6),"")</f>
        <v>6.59</v>
      </c>
      <c r="AE381" s="109" t="str">
        <f aca="false">IF(AND(AC381="yes",ISNUMBER(F381),IF(Compare!$H$5="All mapped",TRUE(),IF(Compare!$H$5="EXACT only",J381="EXACT",OR(J381="EXACT",J381="CLOSE")))),"yes","no")</f>
        <v>no</v>
      </c>
      <c r="AF381" s="109" t="str">
        <f aca="false">IF(ISNUMBER(H381),COUNTIFS($B$7:$B$3000,B381,$C$7:$C$3000,C381,$H$7:$H$3000,"&lt;"&amp;H381,$AH$7:$AH$3000,"yes")+COUNTIFS($B$7:B381,B381,$C$7:C381,C381,$H$7:H381,H381,$AH$7:AH381,"yes"),"")</f>
        <v/>
      </c>
      <c r="AG381" s="109" t="str">
        <f aca="false">IF(ISNUMBER(I381),COUNTIFS($B$7:$B$3000,B381,$C$7:$C$3000,C381,$I$7:$I$3000,"&lt;"&amp;I381,$AI$7:$AI$3000,"yes")+COUNTIFS($B$7:B381,B381,$C$7:C381,C381,$I$7:I381,I381,$AI$7:AI381,"yes"),"")</f>
        <v/>
      </c>
      <c r="AH381" s="109" t="str">
        <f aca="false">IF(ISNUMBER(H381),"yes","no")</f>
        <v>no</v>
      </c>
      <c r="AI381" s="109" t="str">
        <f aca="false">IF(ISNUMBER(I381),"yes","no")</f>
        <v>no</v>
      </c>
      <c r="AJ381" s="116" t="n">
        <v>46295</v>
      </c>
      <c r="AK381" s="109"/>
    </row>
    <row r="382" customFormat="false" ht="42" hidden="false" customHeight="true" outlineLevel="0" collapsed="false">
      <c r="A382" s="3"/>
      <c r="B382" s="36" t="s">
        <v>40</v>
      </c>
      <c r="C382" s="98" t="s">
        <v>16</v>
      </c>
      <c r="D382" s="98" t="s">
        <v>309</v>
      </c>
      <c r="E382" s="110" t="s">
        <v>1447</v>
      </c>
      <c r="F382" s="99" t="n">
        <v>15.25</v>
      </c>
      <c r="G382" s="98" t="s">
        <v>244</v>
      </c>
      <c r="H382" s="112" t="n">
        <f aca="false">IF(AND(AE382="yes",ISNUMBER(AD382)),AD382,"")</f>
        <v>15.25</v>
      </c>
      <c r="I382" s="95" t="n">
        <f aca="false">IF(AND(AE382="yes",ISNUMBER(AD382),ISNUMBER(INDEX(Sources!$G$7:$G$10,MATCH(AB382,Sources!$B$7:$B$10,0)))),ROUND(AD382/INDEX(Sources!$G$7:$G$10,MATCH(AB382,Sources!$B$7:$B$10,0)),6),"")</f>
        <v>15.25</v>
      </c>
      <c r="J382" s="98" t="s">
        <v>702</v>
      </c>
      <c r="K382" s="98" t="s">
        <v>586</v>
      </c>
      <c r="L382" s="96"/>
      <c r="M382" s="110" t="s">
        <v>1448</v>
      </c>
      <c r="N382" s="117" t="s">
        <v>1449</v>
      </c>
      <c r="O382" s="110" t="s">
        <v>388</v>
      </c>
      <c r="P382" s="110" t="s">
        <v>590</v>
      </c>
      <c r="Q382" s="118"/>
      <c r="R382" s="110" t="n">
        <v>1</v>
      </c>
      <c r="S382" s="110"/>
      <c r="T382" s="110" t="s">
        <v>702</v>
      </c>
      <c r="U382" s="110" t="s">
        <v>591</v>
      </c>
      <c r="V382" s="119" t="n">
        <v>15.25</v>
      </c>
      <c r="W382" s="119"/>
      <c r="X382" s="110" t="s">
        <v>612</v>
      </c>
      <c r="Y382" s="110"/>
      <c r="Z382" s="110"/>
      <c r="AA382" s="110"/>
      <c r="AB382" s="110" t="s">
        <v>244</v>
      </c>
      <c r="AC382" s="110" t="s">
        <v>538</v>
      </c>
      <c r="AD382" s="110" t="n">
        <f aca="false">IF(ISNUMBER(V382),ROUND(V382,6),"")</f>
        <v>15.25</v>
      </c>
      <c r="AE382" s="110" t="str">
        <f aca="false">IF(AND(AC382="yes",ISNUMBER(F382),IF(Compare!$H$5="All mapped",TRUE(),IF(Compare!$H$5="EXACT only",J382="EXACT",OR(J382="EXACT",J382="CLOSE")))),"yes","no")</f>
        <v>yes</v>
      </c>
      <c r="AF382" s="110" t="n">
        <f aca="false">IF(ISNUMBER(H382),COUNTIFS($B$7:$B$3000,B382,$C$7:$C$3000,C382,$H$7:$H$3000,"&lt;"&amp;H382,$AH$7:$AH$3000,"yes")+COUNTIFS($B$7:B382,B382,$C$7:C382,C382,$H$7:H382,H382,$AH$7:AH382,"yes"),"")</f>
        <v>3</v>
      </c>
      <c r="AG382" s="110" t="n">
        <f aca="false">IF(ISNUMBER(I382),COUNTIFS($B$7:$B$3000,B382,$C$7:$C$3000,C382,$I$7:$I$3000,"&lt;"&amp;I382,$AI$7:$AI$3000,"yes")+COUNTIFS($B$7:B382,B382,$C$7:C382,C382,$I$7:I382,I382,$AI$7:AI382,"yes"),"")</f>
        <v>3</v>
      </c>
      <c r="AH382" s="110" t="str">
        <f aca="false">IF(ISNUMBER(H382),"yes","no")</f>
        <v>yes</v>
      </c>
      <c r="AI382" s="110" t="str">
        <f aca="false">IF(ISNUMBER(I382),"yes","no")</f>
        <v>yes</v>
      </c>
      <c r="AJ382" s="120" t="n">
        <v>46295</v>
      </c>
      <c r="AK382" s="110"/>
    </row>
    <row r="383" customFormat="false" ht="42" hidden="false" customHeight="true" outlineLevel="0" collapsed="false">
      <c r="A383" s="3"/>
      <c r="B383" s="31" t="s">
        <v>40</v>
      </c>
      <c r="C383" s="91" t="s">
        <v>16</v>
      </c>
      <c r="D383" s="91" t="s">
        <v>313</v>
      </c>
      <c r="E383" s="109" t="s">
        <v>1450</v>
      </c>
      <c r="F383" s="92" t="n">
        <v>8.89</v>
      </c>
      <c r="G383" s="91" t="s">
        <v>244</v>
      </c>
      <c r="H383" s="112" t="n">
        <f aca="false">IF(AND(AE383="yes",ISNUMBER(AD383)),AD383,"")</f>
        <v>7.47</v>
      </c>
      <c r="I383" s="95" t="n">
        <f aca="false">IF(AND(AE383="yes",ISNUMBER(AD383),ISNUMBER(INDEX(Sources!$G$7:$G$10,MATCH(AB383,Sources!$B$7:$B$10,0)))),ROUND(AD383/INDEX(Sources!$G$7:$G$10,MATCH(AB383,Sources!$B$7:$B$10,0)),6),"")</f>
        <v>7.47</v>
      </c>
      <c r="J383" s="91" t="s">
        <v>702</v>
      </c>
      <c r="K383" s="91" t="s">
        <v>586</v>
      </c>
      <c r="L383" s="96"/>
      <c r="M383" s="109" t="s">
        <v>1451</v>
      </c>
      <c r="N383" s="113" t="s">
        <v>1466</v>
      </c>
      <c r="O383" s="109" t="s">
        <v>1453</v>
      </c>
      <c r="P383" s="109" t="s">
        <v>265</v>
      </c>
      <c r="Q383" s="114"/>
      <c r="R383" s="109" t="n">
        <v>1</v>
      </c>
      <c r="S383" s="109"/>
      <c r="T383" s="109" t="s">
        <v>702</v>
      </c>
      <c r="U383" s="109" t="s">
        <v>591</v>
      </c>
      <c r="V383" s="115" t="n">
        <v>7.47</v>
      </c>
      <c r="W383" s="115"/>
      <c r="X383" s="109" t="s">
        <v>612</v>
      </c>
      <c r="Y383" s="109"/>
      <c r="Z383" s="109"/>
      <c r="AA383" s="109"/>
      <c r="AB383" s="109" t="s">
        <v>244</v>
      </c>
      <c r="AC383" s="109" t="s">
        <v>538</v>
      </c>
      <c r="AD383" s="109" t="n">
        <f aca="false">IF(ISNUMBER(V383),ROUND(V383,6),"")</f>
        <v>7.47</v>
      </c>
      <c r="AE383" s="109" t="str">
        <f aca="false">IF(AND(AC383="yes",ISNUMBER(F383),IF(Compare!$H$5="All mapped",TRUE(),IF(Compare!$H$5="EXACT only",J383="EXACT",OR(J383="EXACT",J383="CLOSE")))),"yes","no")</f>
        <v>yes</v>
      </c>
      <c r="AF383" s="109" t="n">
        <f aca="false">IF(ISNUMBER(H383),COUNTIFS($B$7:$B$3000,B383,$C$7:$C$3000,C383,$H$7:$H$3000,"&lt;"&amp;H383,$AH$7:$AH$3000,"yes")+COUNTIFS($B$7:B383,B383,$C$7:C383,C383,$H$7:H383,H383,$AH$7:AH383,"yes"),"")</f>
        <v>2</v>
      </c>
      <c r="AG383" s="109" t="n">
        <f aca="false">IF(ISNUMBER(I383),COUNTIFS($B$7:$B$3000,B383,$C$7:$C$3000,C383,$I$7:$I$3000,"&lt;"&amp;I383,$AI$7:$AI$3000,"yes")+COUNTIFS($B$7:B383,B383,$C$7:C383,C383,$I$7:I383,I383,$AI$7:AI383,"yes"),"")</f>
        <v>2</v>
      </c>
      <c r="AH383" s="109" t="str">
        <f aca="false">IF(ISNUMBER(H383),"yes","no")</f>
        <v>yes</v>
      </c>
      <c r="AI383" s="109" t="str">
        <f aca="false">IF(ISNUMBER(I383),"yes","no")</f>
        <v>yes</v>
      </c>
      <c r="AJ383" s="116" t="n">
        <v>46295</v>
      </c>
      <c r="AK383" s="109"/>
    </row>
    <row r="384" customFormat="false" ht="42" hidden="false" customHeight="true" outlineLevel="0" collapsed="false">
      <c r="A384" s="3"/>
      <c r="B384" s="36" t="s">
        <v>40</v>
      </c>
      <c r="C384" s="98" t="s">
        <v>16</v>
      </c>
      <c r="D384" s="98" t="s">
        <v>321</v>
      </c>
      <c r="E384" s="110" t="s">
        <v>1454</v>
      </c>
      <c r="F384" s="99" t="n">
        <v>18.19</v>
      </c>
      <c r="G384" s="98" t="s">
        <v>244</v>
      </c>
      <c r="H384" s="112" t="str">
        <f aca="false">IF(AND(AE384="yes",ISNUMBER(AD384)),AD384,"")</f>
        <v/>
      </c>
      <c r="I384" s="95" t="str">
        <f aca="false">IF(AND(AE384="yes",ISNUMBER(AD384),ISNUMBER(INDEX(Sources!$G$7:$G$10,MATCH(AB384,Sources!$B$7:$B$10,0)))),ROUND(AD384/INDEX(Sources!$G$7:$G$10,MATCH(AB384,Sources!$B$7:$B$10,0)),6),"")</f>
        <v/>
      </c>
      <c r="J384" s="98" t="s">
        <v>629</v>
      </c>
      <c r="K384" s="98" t="s">
        <v>586</v>
      </c>
      <c r="L384" s="96"/>
      <c r="M384" s="110" t="s">
        <v>1455</v>
      </c>
      <c r="N384" s="117" t="s">
        <v>1467</v>
      </c>
      <c r="O384" s="110" t="s">
        <v>642</v>
      </c>
      <c r="P384" s="110" t="s">
        <v>590</v>
      </c>
      <c r="Q384" s="118"/>
      <c r="R384" s="110" t="n">
        <v>1</v>
      </c>
      <c r="S384" s="110"/>
      <c r="T384" s="110" t="s">
        <v>629</v>
      </c>
      <c r="U384" s="110" t="s">
        <v>591</v>
      </c>
      <c r="V384" s="119" t="n">
        <v>18.19</v>
      </c>
      <c r="W384" s="119"/>
      <c r="X384" s="110" t="s">
        <v>612</v>
      </c>
      <c r="Y384" s="110"/>
      <c r="Z384" s="110"/>
      <c r="AA384" s="110"/>
      <c r="AB384" s="110" t="s">
        <v>244</v>
      </c>
      <c r="AC384" s="110" t="s">
        <v>538</v>
      </c>
      <c r="AD384" s="110" t="n">
        <f aca="false">IF(ISNUMBER(V384),ROUND(V384,6),"")</f>
        <v>18.19</v>
      </c>
      <c r="AE384" s="110" t="str">
        <f aca="false">IF(AND(AC384="yes",ISNUMBER(F384),IF(Compare!$H$5="All mapped",TRUE(),IF(Compare!$H$5="EXACT only",J384="EXACT",OR(J384="EXACT",J384="CLOSE")))),"yes","no")</f>
        <v>no</v>
      </c>
      <c r="AF384" s="110" t="str">
        <f aca="false">IF(ISNUMBER(H384),COUNTIFS($B$7:$B$3000,B384,$C$7:$C$3000,C384,$H$7:$H$3000,"&lt;"&amp;H384,$AH$7:$AH$3000,"yes")+COUNTIFS($B$7:B384,B384,$C$7:C384,C384,$H$7:H384,H384,$AH$7:AH384,"yes"),"")</f>
        <v/>
      </c>
      <c r="AG384" s="110" t="str">
        <f aca="false">IF(ISNUMBER(I384),COUNTIFS($B$7:$B$3000,B384,$C$7:$C$3000,C384,$I$7:$I$3000,"&lt;"&amp;I384,$AI$7:$AI$3000,"yes")+COUNTIFS($B$7:B384,B384,$C$7:C384,C384,$I$7:I384,I384,$AI$7:AI384,"yes"),"")</f>
        <v/>
      </c>
      <c r="AH384" s="110" t="str">
        <f aca="false">IF(ISNUMBER(H384),"yes","no")</f>
        <v>no</v>
      </c>
      <c r="AI384" s="110" t="str">
        <f aca="false">IF(ISNUMBER(I384),"yes","no")</f>
        <v>no</v>
      </c>
      <c r="AJ384" s="120" t="n">
        <v>46295</v>
      </c>
      <c r="AK384" s="110"/>
    </row>
    <row r="385" customFormat="false" ht="42" hidden="false" customHeight="true" outlineLevel="0" collapsed="false">
      <c r="A385" s="3"/>
      <c r="B385" s="31" t="s">
        <v>40</v>
      </c>
      <c r="C385" s="91" t="s">
        <v>16</v>
      </c>
      <c r="D385" s="91" t="s">
        <v>329</v>
      </c>
      <c r="E385" s="109" t="s">
        <v>1468</v>
      </c>
      <c r="F385" s="92" t="n">
        <v>5.09</v>
      </c>
      <c r="G385" s="91" t="s">
        <v>244</v>
      </c>
      <c r="H385" s="112" t="n">
        <f aca="false">IF(AND(AE385="yes",ISNUMBER(AD385)),AD385,"")</f>
        <v>5.09</v>
      </c>
      <c r="I385" s="95" t="n">
        <f aca="false">IF(AND(AE385="yes",ISNUMBER(AD385),ISNUMBER(INDEX(Sources!$G$7:$G$10,MATCH(AB385,Sources!$B$7:$B$10,0)))),ROUND(AD385/INDEX(Sources!$G$7:$G$10,MATCH(AB385,Sources!$B$7:$B$10,0)),6),"")</f>
        <v>5.09</v>
      </c>
      <c r="J385" s="91" t="s">
        <v>702</v>
      </c>
      <c r="K385" s="91" t="s">
        <v>586</v>
      </c>
      <c r="L385" s="96"/>
      <c r="M385" s="109" t="s">
        <v>1469</v>
      </c>
      <c r="N385" s="113" t="s">
        <v>1470</v>
      </c>
      <c r="O385" s="109" t="s">
        <v>1471</v>
      </c>
      <c r="P385" s="109" t="s">
        <v>590</v>
      </c>
      <c r="Q385" s="114"/>
      <c r="R385" s="109" t="n">
        <v>1</v>
      </c>
      <c r="S385" s="109"/>
      <c r="T385" s="109" t="s">
        <v>702</v>
      </c>
      <c r="U385" s="109" t="s">
        <v>591</v>
      </c>
      <c r="V385" s="115" t="n">
        <v>5.09</v>
      </c>
      <c r="W385" s="115"/>
      <c r="X385" s="109" t="s">
        <v>612</v>
      </c>
      <c r="Y385" s="109"/>
      <c r="Z385" s="109"/>
      <c r="AA385" s="109"/>
      <c r="AB385" s="109" t="s">
        <v>244</v>
      </c>
      <c r="AC385" s="109" t="s">
        <v>538</v>
      </c>
      <c r="AD385" s="109" t="n">
        <f aca="false">IF(ISNUMBER(V385),ROUND(V385,6),"")</f>
        <v>5.09</v>
      </c>
      <c r="AE385" s="109" t="str">
        <f aca="false">IF(AND(AC385="yes",ISNUMBER(F385),IF(Compare!$H$5="All mapped",TRUE(),IF(Compare!$H$5="EXACT only",J385="EXACT",OR(J385="EXACT",J385="CLOSE")))),"yes","no")</f>
        <v>yes</v>
      </c>
      <c r="AF385" s="109" t="n">
        <f aca="false">IF(ISNUMBER(H385),COUNTIFS($B$7:$B$3000,B385,$C$7:$C$3000,C385,$H$7:$H$3000,"&lt;"&amp;H385,$AH$7:$AH$3000,"yes")+COUNTIFS($B$7:B385,B385,$C$7:C385,C385,$H$7:H385,H385,$AH$7:AH385,"yes"),"")</f>
        <v>1</v>
      </c>
      <c r="AG385" s="109" t="n">
        <f aca="false">IF(ISNUMBER(I385),COUNTIFS($B$7:$B$3000,B385,$C$7:$C$3000,C385,$I$7:$I$3000,"&lt;"&amp;I385,$AI$7:$AI$3000,"yes")+COUNTIFS($B$7:B385,B385,$C$7:C385,C385,$I$7:I385,I385,$AI$7:AI385,"yes"),"")</f>
        <v>1</v>
      </c>
      <c r="AH385" s="109" t="str">
        <f aca="false">IF(ISNUMBER(H385),"yes","no")</f>
        <v>yes</v>
      </c>
      <c r="AI385" s="109" t="str">
        <f aca="false">IF(ISNUMBER(I385),"yes","no")</f>
        <v>yes</v>
      </c>
      <c r="AJ385" s="116" t="n">
        <v>46295</v>
      </c>
      <c r="AK385" s="109"/>
    </row>
    <row r="386" customFormat="false" ht="48.75" hidden="false" customHeight="true" outlineLevel="0" collapsed="false">
      <c r="A386" s="3"/>
      <c r="B386" s="36" t="s">
        <v>40</v>
      </c>
      <c r="C386" s="98" t="s">
        <v>17</v>
      </c>
      <c r="D386" s="98" t="s">
        <v>354</v>
      </c>
      <c r="E386" s="110" t="s">
        <v>1472</v>
      </c>
      <c r="F386" s="99" t="n">
        <v>1825.18</v>
      </c>
      <c r="G386" s="98" t="s">
        <v>333</v>
      </c>
      <c r="H386" s="112" t="n">
        <f aca="false">IF(AND(AE386="yes",ISNUMBER(AD386)),AD386,"")</f>
        <v>182.52</v>
      </c>
      <c r="I386" s="95" t="n">
        <f aca="false">IF(AND(AE386="yes",ISNUMBER(AD386),ISNUMBER(INDEX(Sources!$G$7:$G$10,MATCH(AB386,Sources!$B$7:$B$10,0)))),ROUND(AD386/INDEX(Sources!$G$7:$G$10,MATCH(AB386,Sources!$B$7:$B$10,0)),6),"")</f>
        <v>7.473095</v>
      </c>
      <c r="J386" s="98" t="s">
        <v>530</v>
      </c>
      <c r="K386" s="98" t="s">
        <v>586</v>
      </c>
      <c r="L386" s="96"/>
      <c r="M386" s="110" t="s">
        <v>1473</v>
      </c>
      <c r="N386" s="117" t="s">
        <v>1474</v>
      </c>
      <c r="O386" s="110" t="s">
        <v>610</v>
      </c>
      <c r="P386" s="110" t="s">
        <v>590</v>
      </c>
      <c r="Q386" s="118" t="n">
        <v>0.19</v>
      </c>
      <c r="R386" s="110" t="n">
        <v>10</v>
      </c>
      <c r="S386" s="110" t="s">
        <v>625</v>
      </c>
      <c r="T386" s="110" t="s">
        <v>530</v>
      </c>
      <c r="U386" s="110" t="s">
        <v>591</v>
      </c>
      <c r="V386" s="119"/>
      <c r="W386" s="119"/>
      <c r="X386" s="110" t="s">
        <v>626</v>
      </c>
      <c r="Y386" s="110"/>
      <c r="Z386" s="110"/>
      <c r="AA386" s="110"/>
      <c r="AB386" s="110" t="s">
        <v>333</v>
      </c>
      <c r="AC386" s="110" t="s">
        <v>538</v>
      </c>
      <c r="AD386" s="110" t="n">
        <f aca="false">IF(OR(F386="",Q386="",R386=""),"",ROUND(IF(P386="incl.",F386/(1+Q386),F386)/IF(S386="per pack",R386,1),2))</f>
        <v>182.52</v>
      </c>
      <c r="AE386" s="110" t="str">
        <f aca="false">IF(AND(AC386="yes",ISNUMBER(F386),IF(Compare!$H$5="All mapped",TRUE(),IF(Compare!$H$5="EXACT only",J386="EXACT",OR(J386="EXACT",J386="CLOSE")))),"yes","no")</f>
        <v>yes</v>
      </c>
      <c r="AF386" s="110" t="n">
        <f aca="false">IF(ISNUMBER(H386),COUNTIFS($B$7:$B$3000,B386,$C$7:$C$3000,C386,$H$7:$H$3000,"&lt;"&amp;H386,$AH$7:$AH$3000,"yes")+COUNTIFS($B$7:B386,B386,$C$7:C386,C386,$H$7:H386,H386,$AH$7:AH386,"yes"),"")</f>
        <v>1</v>
      </c>
      <c r="AG386" s="110" t="n">
        <f aca="false">IF(ISNUMBER(I386),COUNTIFS($B$7:$B$3000,B386,$C$7:$C$3000,C386,$I$7:$I$3000,"&lt;"&amp;I386,$AI$7:$AI$3000,"yes")+COUNTIFS($B$7:B386,B386,$C$7:C386,C386,$I$7:I386,I386,$AI$7:AI386,"yes"),"")</f>
        <v>1</v>
      </c>
      <c r="AH386" s="110" t="str">
        <f aca="false">IF(ISNUMBER(H386),"yes","no")</f>
        <v>yes</v>
      </c>
      <c r="AI386" s="110" t="str">
        <f aca="false">IF(ISNUMBER(I386),"yes","no")</f>
        <v>yes</v>
      </c>
      <c r="AJ386" s="120" t="n">
        <v>46295</v>
      </c>
      <c r="AK386" s="110"/>
    </row>
    <row r="387" customFormat="false" ht="48.75" hidden="false" customHeight="true" outlineLevel="0" collapsed="false">
      <c r="A387" s="3"/>
      <c r="B387" s="31" t="s">
        <v>40</v>
      </c>
      <c r="C387" s="91" t="s">
        <v>17</v>
      </c>
      <c r="D387" s="91" t="s">
        <v>332</v>
      </c>
      <c r="E387" s="109" t="s">
        <v>1475</v>
      </c>
      <c r="F387" s="92" t="n">
        <v>300</v>
      </c>
      <c r="G387" s="91" t="s">
        <v>333</v>
      </c>
      <c r="H387" s="112" t="n">
        <f aca="false">IF(AND(AE387="yes",ISNUMBER(AD387)),AD387,"")</f>
        <v>300</v>
      </c>
      <c r="I387" s="95" t="n">
        <f aca="false">IF(AND(AE387="yes",ISNUMBER(AD387),ISNUMBER(INDEX(Sources!$G$7:$G$10,MATCH(AB387,Sources!$B$7:$B$10,0)))),ROUND(AD387/INDEX(Sources!$G$7:$G$10,MATCH(AB387,Sources!$B$7:$B$10,0)),6),"")</f>
        <v>12.283194</v>
      </c>
      <c r="J387" s="91" t="s">
        <v>530</v>
      </c>
      <c r="K387" s="91" t="s">
        <v>586</v>
      </c>
      <c r="L387" s="96"/>
      <c r="M387" s="109" t="s">
        <v>1476</v>
      </c>
      <c r="N387" s="113" t="s">
        <v>1477</v>
      </c>
      <c r="O387" s="109"/>
      <c r="P387" s="109" t="s">
        <v>590</v>
      </c>
      <c r="Q387" s="114" t="n">
        <v>0.21</v>
      </c>
      <c r="R387" s="109" t="n">
        <v>1</v>
      </c>
      <c r="S387" s="109" t="s">
        <v>632</v>
      </c>
      <c r="T387" s="109" t="s">
        <v>530</v>
      </c>
      <c r="U387" s="109" t="s">
        <v>591</v>
      </c>
      <c r="V387" s="115"/>
      <c r="W387" s="115"/>
      <c r="X387" s="109" t="s">
        <v>626</v>
      </c>
      <c r="Y387" s="109"/>
      <c r="Z387" s="109"/>
      <c r="AA387" s="109"/>
      <c r="AB387" s="109" t="s">
        <v>333</v>
      </c>
      <c r="AC387" s="109" t="s">
        <v>538</v>
      </c>
      <c r="AD387" s="109" t="n">
        <f aca="false">IF(OR(F387="",Q387="",R387=""),"",ROUND(IF(P387="incl.",F387/(1+Q387),F387)/IF(S387="per pack",R387,1),2))</f>
        <v>300</v>
      </c>
      <c r="AE387" s="109" t="str">
        <f aca="false">IF(AND(AC387="yes",ISNUMBER(F387),IF(Compare!$H$5="All mapped",TRUE(),IF(Compare!$H$5="EXACT only",J387="EXACT",OR(J387="EXACT",J387="CLOSE")))),"yes","no")</f>
        <v>yes</v>
      </c>
      <c r="AF387" s="109" t="n">
        <f aca="false">IF(ISNUMBER(H387),COUNTIFS($B$7:$B$3000,B387,$C$7:$C$3000,C387,$H$7:$H$3000,"&lt;"&amp;H387,$AH$7:$AH$3000,"yes")+COUNTIFS($B$7:B387,B387,$C$7:C387,C387,$H$7:H387,H387,$AH$7:AH387,"yes"),"")</f>
        <v>4</v>
      </c>
      <c r="AG387" s="109" t="n">
        <f aca="false">IF(ISNUMBER(I387),COUNTIFS($B$7:$B$3000,B387,$C$7:$C$3000,C387,$I$7:$I$3000,"&lt;"&amp;I387,$AI$7:$AI$3000,"yes")+COUNTIFS($B$7:B387,B387,$C$7:C387,C387,$I$7:I387,I387,$AI$7:AI387,"yes"),"")</f>
        <v>4</v>
      </c>
      <c r="AH387" s="109" t="str">
        <f aca="false">IF(ISNUMBER(H387),"yes","no")</f>
        <v>yes</v>
      </c>
      <c r="AI387" s="109" t="str">
        <f aca="false">IF(ISNUMBER(I387),"yes","no")</f>
        <v>yes</v>
      </c>
      <c r="AJ387" s="116" t="n">
        <v>46295</v>
      </c>
      <c r="AK387" s="109"/>
    </row>
    <row r="388" customFormat="false" ht="42" hidden="false" customHeight="true" outlineLevel="0" collapsed="false">
      <c r="A388" s="3"/>
      <c r="B388" s="36" t="s">
        <v>40</v>
      </c>
      <c r="C388" s="98" t="s">
        <v>17</v>
      </c>
      <c r="D388" s="98" t="s">
        <v>342</v>
      </c>
      <c r="E388" s="110" t="s">
        <v>1478</v>
      </c>
      <c r="F388" s="99" t="n">
        <v>239</v>
      </c>
      <c r="G388" s="98" t="s">
        <v>333</v>
      </c>
      <c r="H388" s="112" t="str">
        <f aca="false">IF(AND(AE388="yes",ISNUMBER(AD388)),AD388,"")</f>
        <v/>
      </c>
      <c r="I388" s="95" t="str">
        <f aca="false">IF(AND(AE388="yes",ISNUMBER(AD388),ISNUMBER(INDEX(Sources!$G$7:$G$10,MATCH(AB388,Sources!$B$7:$B$10,0)))),ROUND(AD388/INDEX(Sources!$G$7:$G$10,MATCH(AB388,Sources!$B$7:$B$10,0)),6),"")</f>
        <v/>
      </c>
      <c r="J388" s="98" t="s">
        <v>629</v>
      </c>
      <c r="K388" s="98" t="s">
        <v>586</v>
      </c>
      <c r="L388" s="96"/>
      <c r="M388" s="110" t="s">
        <v>1479</v>
      </c>
      <c r="N388" s="117" t="s">
        <v>1480</v>
      </c>
      <c r="O388" s="110" t="s">
        <v>642</v>
      </c>
      <c r="P388" s="110" t="s">
        <v>590</v>
      </c>
      <c r="Q388" s="118" t="n">
        <v>0.21</v>
      </c>
      <c r="R388" s="110" t="n">
        <v>1</v>
      </c>
      <c r="S388" s="110" t="s">
        <v>632</v>
      </c>
      <c r="T388" s="110" t="s">
        <v>629</v>
      </c>
      <c r="U388" s="110" t="s">
        <v>591</v>
      </c>
      <c r="V388" s="119"/>
      <c r="W388" s="119"/>
      <c r="X388" s="110" t="s">
        <v>626</v>
      </c>
      <c r="Y388" s="110"/>
      <c r="Z388" s="110"/>
      <c r="AA388" s="110"/>
      <c r="AB388" s="110" t="s">
        <v>333</v>
      </c>
      <c r="AC388" s="110" t="s">
        <v>538</v>
      </c>
      <c r="AD388" s="110" t="n">
        <f aca="false">IF(OR(F388="",Q388="",R388=""),"",ROUND(IF(P388="incl.",F388/(1+Q388),F388)/IF(S388="per pack",R388,1),2))</f>
        <v>239</v>
      </c>
      <c r="AE388" s="110" t="str">
        <f aca="false">IF(AND(AC388="yes",ISNUMBER(F388),IF(Compare!$H$5="All mapped",TRUE(),IF(Compare!$H$5="EXACT only",J388="EXACT",OR(J388="EXACT",J388="CLOSE")))),"yes","no")</f>
        <v>no</v>
      </c>
      <c r="AF388" s="110" t="str">
        <f aca="false">IF(ISNUMBER(H388),COUNTIFS($B$7:$B$3000,B388,$C$7:$C$3000,C388,$H$7:$H$3000,"&lt;"&amp;H388,$AH$7:$AH$3000,"yes")+COUNTIFS($B$7:B388,B388,$C$7:C388,C388,$H$7:H388,H388,$AH$7:AH388,"yes"),"")</f>
        <v/>
      </c>
      <c r="AG388" s="110" t="str">
        <f aca="false">IF(ISNUMBER(I388),COUNTIFS($B$7:$B$3000,B388,$C$7:$C$3000,C388,$I$7:$I$3000,"&lt;"&amp;I388,$AI$7:$AI$3000,"yes")+COUNTIFS($B$7:B388,B388,$C$7:C388,C388,$I$7:I388,I388,$AI$7:AI388,"yes"),"")</f>
        <v/>
      </c>
      <c r="AH388" s="110" t="str">
        <f aca="false">IF(ISNUMBER(H388),"yes","no")</f>
        <v>no</v>
      </c>
      <c r="AI388" s="110" t="str">
        <f aca="false">IF(ISNUMBER(I388),"yes","no")</f>
        <v>no</v>
      </c>
      <c r="AJ388" s="120" t="n">
        <v>46295</v>
      </c>
      <c r="AK388" s="110"/>
    </row>
    <row r="389" customFormat="false" ht="48.75" hidden="false" customHeight="true" outlineLevel="0" collapsed="false">
      <c r="A389" s="3"/>
      <c r="B389" s="31" t="s">
        <v>40</v>
      </c>
      <c r="C389" s="91" t="s">
        <v>17</v>
      </c>
      <c r="D389" s="91" t="s">
        <v>346</v>
      </c>
      <c r="E389" s="109" t="s">
        <v>1481</v>
      </c>
      <c r="F389" s="92" t="n">
        <v>575</v>
      </c>
      <c r="G389" s="91" t="s">
        <v>333</v>
      </c>
      <c r="H389" s="112" t="str">
        <f aca="false">IF(AND(AE389="yes",ISNUMBER(AD389)),AD389,"")</f>
        <v/>
      </c>
      <c r="I389" s="95" t="str">
        <f aca="false">IF(AND(AE389="yes",ISNUMBER(AD389),ISNUMBER(INDEX(Sources!$G$7:$G$10,MATCH(AB389,Sources!$B$7:$B$10,0)))),ROUND(AD389/INDEX(Sources!$G$7:$G$10,MATCH(AB389,Sources!$B$7:$B$10,0)),6),"")</f>
        <v/>
      </c>
      <c r="J389" s="91" t="s">
        <v>629</v>
      </c>
      <c r="K389" s="91" t="s">
        <v>586</v>
      </c>
      <c r="L389" s="96"/>
      <c r="M389" s="109" t="s">
        <v>1482</v>
      </c>
      <c r="N389" s="113" t="s">
        <v>1483</v>
      </c>
      <c r="O389" s="109" t="s">
        <v>642</v>
      </c>
      <c r="P389" s="109" t="s">
        <v>265</v>
      </c>
      <c r="Q389" s="114" t="n">
        <v>0.21</v>
      </c>
      <c r="R389" s="109" t="n">
        <v>1</v>
      </c>
      <c r="S389" s="109" t="s">
        <v>632</v>
      </c>
      <c r="T389" s="109" t="s">
        <v>629</v>
      </c>
      <c r="U389" s="109" t="s">
        <v>591</v>
      </c>
      <c r="V389" s="115"/>
      <c r="W389" s="115"/>
      <c r="X389" s="109" t="s">
        <v>626</v>
      </c>
      <c r="Y389" s="109"/>
      <c r="Z389" s="109"/>
      <c r="AA389" s="109"/>
      <c r="AB389" s="109" t="s">
        <v>333</v>
      </c>
      <c r="AC389" s="109" t="s">
        <v>538</v>
      </c>
      <c r="AD389" s="109" t="n">
        <f aca="false">IF(OR(F389="",Q389="",R389=""),"",ROUND(IF(P389="incl.",F389/(1+Q389),F389)/IF(S389="per pack",R389,1),2))</f>
        <v>475.21</v>
      </c>
      <c r="AE389" s="109" t="str">
        <f aca="false">IF(AND(AC389="yes",ISNUMBER(F389),IF(Compare!$H$5="All mapped",TRUE(),IF(Compare!$H$5="EXACT only",J389="EXACT",OR(J389="EXACT",J389="CLOSE")))),"yes","no")</f>
        <v>no</v>
      </c>
      <c r="AF389" s="109" t="str">
        <f aca="false">IF(ISNUMBER(H389),COUNTIFS($B$7:$B$3000,B389,$C$7:$C$3000,C389,$H$7:$H$3000,"&lt;"&amp;H389,$AH$7:$AH$3000,"yes")+COUNTIFS($B$7:B389,B389,$C$7:C389,C389,$H$7:H389,H389,$AH$7:AH389,"yes"),"")</f>
        <v/>
      </c>
      <c r="AG389" s="109" t="str">
        <f aca="false">IF(ISNUMBER(I389),COUNTIFS($B$7:$B$3000,B389,$C$7:$C$3000,C389,$I$7:$I$3000,"&lt;"&amp;I389,$AI$7:$AI$3000,"yes")+COUNTIFS($B$7:B389,B389,$C$7:C389,C389,$I$7:I389,I389,$AI$7:AI389,"yes"),"")</f>
        <v/>
      </c>
      <c r="AH389" s="109" t="str">
        <f aca="false">IF(ISNUMBER(H389),"yes","no")</f>
        <v>no</v>
      </c>
      <c r="AI389" s="109" t="str">
        <f aca="false">IF(ISNUMBER(I389),"yes","no")</f>
        <v>no</v>
      </c>
      <c r="AJ389" s="116" t="n">
        <v>46295</v>
      </c>
      <c r="AK389" s="109"/>
    </row>
    <row r="390" customFormat="false" ht="42" hidden="false" customHeight="true" outlineLevel="0" collapsed="false">
      <c r="A390" s="3"/>
      <c r="B390" s="36" t="s">
        <v>40</v>
      </c>
      <c r="C390" s="98" t="s">
        <v>17</v>
      </c>
      <c r="D390" s="98" t="s">
        <v>361</v>
      </c>
      <c r="E390" s="110" t="s">
        <v>1484</v>
      </c>
      <c r="F390" s="99" t="n">
        <v>289</v>
      </c>
      <c r="G390" s="98" t="s">
        <v>333</v>
      </c>
      <c r="H390" s="112" t="str">
        <f aca="false">IF(AND(AE390="yes",ISNUMBER(AD390)),AD390,"")</f>
        <v/>
      </c>
      <c r="I390" s="95" t="str">
        <f aca="false">IF(AND(AE390="yes",ISNUMBER(AD390),ISNUMBER(INDEX(Sources!$G$7:$G$10,MATCH(AB390,Sources!$B$7:$B$10,0)))),ROUND(AD390/INDEX(Sources!$G$7:$G$10,MATCH(AB390,Sources!$B$7:$B$10,0)),6),"")</f>
        <v/>
      </c>
      <c r="J390" s="98" t="s">
        <v>629</v>
      </c>
      <c r="K390" s="98" t="s">
        <v>586</v>
      </c>
      <c r="L390" s="96"/>
      <c r="M390" s="110" t="s">
        <v>1485</v>
      </c>
      <c r="N390" s="117" t="s">
        <v>1486</v>
      </c>
      <c r="O390" s="110" t="s">
        <v>642</v>
      </c>
      <c r="P390" s="110" t="s">
        <v>265</v>
      </c>
      <c r="Q390" s="118" t="n">
        <v>0.21</v>
      </c>
      <c r="R390" s="110" t="n">
        <v>1</v>
      </c>
      <c r="S390" s="110" t="s">
        <v>632</v>
      </c>
      <c r="T390" s="110" t="s">
        <v>629</v>
      </c>
      <c r="U390" s="110" t="s">
        <v>591</v>
      </c>
      <c r="V390" s="119"/>
      <c r="W390" s="119"/>
      <c r="X390" s="110" t="s">
        <v>626</v>
      </c>
      <c r="Y390" s="110"/>
      <c r="Z390" s="110"/>
      <c r="AA390" s="110"/>
      <c r="AB390" s="110" t="s">
        <v>333</v>
      </c>
      <c r="AC390" s="110" t="s">
        <v>538</v>
      </c>
      <c r="AD390" s="110" t="n">
        <f aca="false">IF(OR(F390="",Q390="",R390=""),"",ROUND(IF(P390="incl.",F390/(1+Q390),F390)/IF(S390="per pack",R390,1),2))</f>
        <v>238.84</v>
      </c>
      <c r="AE390" s="110" t="str">
        <f aca="false">IF(AND(AC390="yes",ISNUMBER(F390),IF(Compare!$H$5="All mapped",TRUE(),IF(Compare!$H$5="EXACT only",J390="EXACT",OR(J390="EXACT",J390="CLOSE")))),"yes","no")</f>
        <v>no</v>
      </c>
      <c r="AF390" s="110" t="str">
        <f aca="false">IF(ISNUMBER(H390),COUNTIFS($B$7:$B$3000,B390,$C$7:$C$3000,C390,$H$7:$H$3000,"&lt;"&amp;H390,$AH$7:$AH$3000,"yes")+COUNTIFS($B$7:B390,B390,$C$7:C390,C390,$H$7:H390,H390,$AH$7:AH390,"yes"),"")</f>
        <v/>
      </c>
      <c r="AG390" s="110" t="str">
        <f aca="false">IF(ISNUMBER(I390),COUNTIFS($B$7:$B$3000,B390,$C$7:$C$3000,C390,$I$7:$I$3000,"&lt;"&amp;I390,$AI$7:$AI$3000,"yes")+COUNTIFS($B$7:B390,B390,$C$7:C390,C390,$I$7:I390,I390,$AI$7:AI390,"yes"),"")</f>
        <v/>
      </c>
      <c r="AH390" s="110" t="str">
        <f aca="false">IF(ISNUMBER(H390),"yes","no")</f>
        <v>no</v>
      </c>
      <c r="AI390" s="110" t="str">
        <f aca="false">IF(ISNUMBER(I390),"yes","no")</f>
        <v>no</v>
      </c>
      <c r="AJ390" s="120" t="n">
        <v>46295</v>
      </c>
      <c r="AK390" s="110"/>
    </row>
    <row r="391" customFormat="false" ht="48.75" hidden="false" customHeight="true" outlineLevel="0" collapsed="false">
      <c r="A391" s="3"/>
      <c r="B391" s="31" t="s">
        <v>40</v>
      </c>
      <c r="C391" s="91" t="s">
        <v>18</v>
      </c>
      <c r="D391" s="91" t="s">
        <v>365</v>
      </c>
      <c r="E391" s="109" t="s">
        <v>1487</v>
      </c>
      <c r="F391" s="92" t="n">
        <v>4.88</v>
      </c>
      <c r="G391" s="91" t="s">
        <v>244</v>
      </c>
      <c r="H391" s="112" t="str">
        <f aca="false">IF(AND(AE391="yes",ISNUMBER(AD391)),AD391,"")</f>
        <v/>
      </c>
      <c r="I391" s="95" t="str">
        <f aca="false">IF(AND(AE391="yes",ISNUMBER(AD391),ISNUMBER(INDEX(Sources!$G$7:$G$10,MATCH(AB391,Sources!$B$7:$B$10,0)))),ROUND(AD391/INDEX(Sources!$G$7:$G$10,MATCH(AB391,Sources!$B$7:$B$10,0)),6),"")</f>
        <v/>
      </c>
      <c r="J391" s="91" t="s">
        <v>629</v>
      </c>
      <c r="K391" s="91" t="s">
        <v>586</v>
      </c>
      <c r="L391" s="96"/>
      <c r="M391" s="109" t="s">
        <v>1488</v>
      </c>
      <c r="N391" s="113" t="s">
        <v>1489</v>
      </c>
      <c r="O391" s="109" t="s">
        <v>388</v>
      </c>
      <c r="P391" s="109" t="s">
        <v>590</v>
      </c>
      <c r="Q391" s="114" t="s">
        <v>647</v>
      </c>
      <c r="R391" s="109" t="n">
        <v>1</v>
      </c>
      <c r="S391" s="109" t="s">
        <v>632</v>
      </c>
      <c r="T391" s="109" t="s">
        <v>629</v>
      </c>
      <c r="U391" s="109" t="s">
        <v>591</v>
      </c>
      <c r="V391" s="115" t="n">
        <v>4.88</v>
      </c>
      <c r="W391" s="115"/>
      <c r="X391" s="109" t="s">
        <v>648</v>
      </c>
      <c r="Y391" s="109"/>
      <c r="Z391" s="109"/>
      <c r="AA391" s="109"/>
      <c r="AB391" s="109" t="s">
        <v>244</v>
      </c>
      <c r="AC391" s="109" t="s">
        <v>538</v>
      </c>
      <c r="AD391" s="109" t="n">
        <f aca="false">IF(ISNUMBER(V391),ROUND(V391,6),"")</f>
        <v>4.88</v>
      </c>
      <c r="AE391" s="109" t="str">
        <f aca="false">IF(AND(AC391="yes",ISNUMBER(F391),IF(Compare!$H$5="All mapped",TRUE(),IF(Compare!$H$5="EXACT only",J391="EXACT",OR(J391="EXACT",J391="CLOSE")))),"yes","no")</f>
        <v>no</v>
      </c>
      <c r="AF391" s="109" t="str">
        <f aca="false">IF(ISNUMBER(H391),COUNTIFS($B$7:$B$3000,B391,$C$7:$C$3000,C391,$H$7:$H$3000,"&lt;"&amp;H391,$AH$7:$AH$3000,"yes")+COUNTIFS($B$7:B391,B391,$C$7:C391,C391,$H$7:H391,H391,$AH$7:AH391,"yes"),"")</f>
        <v/>
      </c>
      <c r="AG391" s="109" t="str">
        <f aca="false">IF(ISNUMBER(I391),COUNTIFS($B$7:$B$3000,B391,$C$7:$C$3000,C391,$I$7:$I$3000,"&lt;"&amp;I391,$AI$7:$AI$3000,"yes")+COUNTIFS($B$7:B391,B391,$C$7:C391,C391,$I$7:I391,I391,$AI$7:AI391,"yes"),"")</f>
        <v/>
      </c>
      <c r="AH391" s="109" t="str">
        <f aca="false">IF(ISNUMBER(H391),"yes","no")</f>
        <v>no</v>
      </c>
      <c r="AI391" s="109" t="str">
        <f aca="false">IF(ISNUMBER(I391),"yes","no")</f>
        <v>no</v>
      </c>
      <c r="AJ391" s="116" t="n">
        <v>46295</v>
      </c>
      <c r="AK391" s="109"/>
    </row>
    <row r="392" customFormat="false" ht="48.75" hidden="false" customHeight="true" outlineLevel="0" collapsed="false">
      <c r="A392" s="3"/>
      <c r="B392" s="36" t="s">
        <v>40</v>
      </c>
      <c r="C392" s="98" t="s">
        <v>18</v>
      </c>
      <c r="D392" s="98" t="s">
        <v>369</v>
      </c>
      <c r="E392" s="110" t="s">
        <v>1490</v>
      </c>
      <c r="F392" s="99" t="n">
        <v>11.47</v>
      </c>
      <c r="G392" s="98" t="s">
        <v>244</v>
      </c>
      <c r="H392" s="112" t="str">
        <f aca="false">IF(AND(AE392="yes",ISNUMBER(AD392)),AD392,"")</f>
        <v/>
      </c>
      <c r="I392" s="95" t="str">
        <f aca="false">IF(AND(AE392="yes",ISNUMBER(AD392),ISNUMBER(INDEX(Sources!$G$7:$G$10,MATCH(AB392,Sources!$B$7:$B$10,0)))),ROUND(AD392/INDEX(Sources!$G$7:$G$10,MATCH(AB392,Sources!$B$7:$B$10,0)),6),"")</f>
        <v/>
      </c>
      <c r="J392" s="98" t="s">
        <v>629</v>
      </c>
      <c r="K392" s="98" t="s">
        <v>586</v>
      </c>
      <c r="L392" s="96"/>
      <c r="M392" s="110" t="s">
        <v>1491</v>
      </c>
      <c r="N392" s="117" t="s">
        <v>1492</v>
      </c>
      <c r="O392" s="110" t="s">
        <v>662</v>
      </c>
      <c r="P392" s="110" t="s">
        <v>265</v>
      </c>
      <c r="Q392" s="118" t="n">
        <v>0.23</v>
      </c>
      <c r="R392" s="110" t="n">
        <v>1</v>
      </c>
      <c r="S392" s="110" t="s">
        <v>632</v>
      </c>
      <c r="T392" s="110" t="s">
        <v>629</v>
      </c>
      <c r="U392" s="110" t="s">
        <v>591</v>
      </c>
      <c r="V392" s="119" t="n">
        <v>9.32520325203252</v>
      </c>
      <c r="W392" s="119"/>
      <c r="X392" s="110" t="s">
        <v>648</v>
      </c>
      <c r="Y392" s="110"/>
      <c r="Z392" s="110"/>
      <c r="AA392" s="110"/>
      <c r="AB392" s="110" t="s">
        <v>244</v>
      </c>
      <c r="AC392" s="110" t="s">
        <v>538</v>
      </c>
      <c r="AD392" s="110" t="n">
        <f aca="false">IF(ISNUMBER(V392),ROUND(V392,6),"")</f>
        <v>9.325203</v>
      </c>
      <c r="AE392" s="110" t="str">
        <f aca="false">IF(AND(AC392="yes",ISNUMBER(F392),IF(Compare!$H$5="All mapped",TRUE(),IF(Compare!$H$5="EXACT only",J392="EXACT",OR(J392="EXACT",J392="CLOSE")))),"yes","no")</f>
        <v>no</v>
      </c>
      <c r="AF392" s="110" t="str">
        <f aca="false">IF(ISNUMBER(H392),COUNTIFS($B$7:$B$3000,B392,$C$7:$C$3000,C392,$H$7:$H$3000,"&lt;"&amp;H392,$AH$7:$AH$3000,"yes")+COUNTIFS($B$7:B392,B392,$C$7:C392,C392,$H$7:H392,H392,$AH$7:AH392,"yes"),"")</f>
        <v/>
      </c>
      <c r="AG392" s="110" t="str">
        <f aca="false">IF(ISNUMBER(I392),COUNTIFS($B$7:$B$3000,B392,$C$7:$C$3000,C392,$I$7:$I$3000,"&lt;"&amp;I392,$AI$7:$AI$3000,"yes")+COUNTIFS($B$7:B392,B392,$C$7:C392,C392,$I$7:I392,I392,$AI$7:AI392,"yes"),"")</f>
        <v/>
      </c>
      <c r="AH392" s="110" t="str">
        <f aca="false">IF(ISNUMBER(H392),"yes","no")</f>
        <v>no</v>
      </c>
      <c r="AI392" s="110" t="str">
        <f aca="false">IF(ISNUMBER(I392),"yes","no")</f>
        <v>no</v>
      </c>
      <c r="AJ392" s="120" t="n">
        <v>46295</v>
      </c>
      <c r="AK392" s="110"/>
    </row>
    <row r="393" customFormat="false" ht="42" hidden="false" customHeight="true" outlineLevel="0" collapsed="false">
      <c r="A393" s="3"/>
      <c r="B393" s="31" t="s">
        <v>41</v>
      </c>
      <c r="C393" s="91" t="s">
        <v>13</v>
      </c>
      <c r="D393" s="91" t="s">
        <v>528</v>
      </c>
      <c r="E393" s="109" t="s">
        <v>1493</v>
      </c>
      <c r="F393" s="92" t="n">
        <v>17250</v>
      </c>
      <c r="G393" s="91" t="s">
        <v>490</v>
      </c>
      <c r="H393" s="112" t="str">
        <f aca="false">IF(AND(AE393="yes",ISNUMBER(AD393)),AD393,"")</f>
        <v/>
      </c>
      <c r="I393" s="95" t="str">
        <f aca="false">IF(AND(AE393="yes",ISNUMBER(AD393),ISNUMBER(INDEX(Sources!$G$7:$G$10,MATCH(AB393,Sources!$B$7:$B$10,0)))),ROUND(AD393/INDEX(Sources!$G$7:$G$10,MATCH(AB393,Sources!$B$7:$B$10,0)),6),"")</f>
        <v/>
      </c>
      <c r="J393" s="91" t="s">
        <v>956</v>
      </c>
      <c r="K393" s="91" t="s">
        <v>1494</v>
      </c>
      <c r="L393" s="96"/>
      <c r="M393" s="109" t="s">
        <v>1495</v>
      </c>
      <c r="N393" s="113" t="s">
        <v>1496</v>
      </c>
      <c r="O393" s="109"/>
      <c r="P393" s="109"/>
      <c r="Q393" s="114"/>
      <c r="R393" s="109"/>
      <c r="S393" s="109"/>
      <c r="T393" s="109"/>
      <c r="U393" s="109" t="s">
        <v>1497</v>
      </c>
      <c r="V393" s="115"/>
      <c r="W393" s="115" t="n">
        <v>17250</v>
      </c>
      <c r="X393" s="109" t="s">
        <v>535</v>
      </c>
      <c r="Y393" s="109" t="s">
        <v>1018</v>
      </c>
      <c r="Z393" s="109"/>
      <c r="AA393" s="109" t="s">
        <v>537</v>
      </c>
      <c r="AB393" s="109" t="s">
        <v>490</v>
      </c>
      <c r="AC393" s="109" t="s">
        <v>538</v>
      </c>
      <c r="AD393" s="115" t="n">
        <f aca="false">IF(ISNUMBER(F393),IF(G393=AB393,F393,IF(AND(ISNUMBER(INDEX(Sources!$G$7:$G$10,MATCH(G393,Sources!$B$7:$B$10,0))),ISNUMBER(INDEX(Sources!$G$7:$G$10,MATCH(AB393,Sources!$B$7:$B$10,0)))),F393/INDEX(Sources!$G$7:$G$10,MATCH(G393,Sources!$B$7:$B$10,0))*INDEX(Sources!$G$7:$G$10,MATCH(AB393,Sources!$B$7:$B$10,0)),"")),"")</f>
        <v>17250</v>
      </c>
      <c r="AE393" s="109" t="str">
        <f aca="false">IF(AND(AC393="yes",ISNUMBER(F393),IF(Compare!$H$5="All mapped",TRUE(),IF(Compare!$H$5="EXACT only",J393="EXACT",OR(J393="EXACT",J393="CLOSE")))),"yes","no")</f>
        <v>no</v>
      </c>
      <c r="AF393" s="109" t="str">
        <f aca="false">IF(ISNUMBER(H393),COUNTIFS($B$7:$B$3000,B393,$C$7:$C$3000,C393,$H$7:$H$3000,"&lt;"&amp;H393,$AH$7:$AH$3000,"yes")+COUNTIFS($B$7:B393,B393,$C$7:C393,C393,$H$7:H393,H393,$AH$7:AH393,"yes"),"")</f>
        <v/>
      </c>
      <c r="AG393" s="109" t="str">
        <f aca="false">IF(ISNUMBER(I393),COUNTIFS($B$7:$B$3000,B393,$C$7:$C$3000,C393,$I$7:$I$3000,"&lt;"&amp;I393,$AI$7:$AI$3000,"yes")+COUNTIFS($B$7:B393,B393,$C$7:C393,C393,$I$7:I393,I393,$AI$7:AI393,"yes"),"")</f>
        <v/>
      </c>
      <c r="AH393" s="109" t="str">
        <f aca="false">IF(ISNUMBER(H393),"yes","no")</f>
        <v>no</v>
      </c>
      <c r="AI393" s="109" t="str">
        <f aca="false">IF(ISNUMBER(I393),"yes","no")</f>
        <v>no</v>
      </c>
      <c r="AJ393" s="116" t="n">
        <v>46201</v>
      </c>
      <c r="AK393" s="109"/>
    </row>
    <row r="394" customFormat="false" ht="42" hidden="false" customHeight="true" outlineLevel="0" collapsed="false">
      <c r="A394" s="3"/>
      <c r="B394" s="36" t="s">
        <v>41</v>
      </c>
      <c r="C394" s="98" t="s">
        <v>13</v>
      </c>
      <c r="D394" s="98" t="s">
        <v>528</v>
      </c>
      <c r="E394" s="110" t="s">
        <v>1498</v>
      </c>
      <c r="F394" s="99" t="n">
        <v>16100</v>
      </c>
      <c r="G394" s="98" t="s">
        <v>490</v>
      </c>
      <c r="H394" s="112" t="str">
        <f aca="false">IF(AND(AE394="yes",ISNUMBER(AD394)),AD394,"")</f>
        <v/>
      </c>
      <c r="I394" s="95" t="str">
        <f aca="false">IF(AND(AE394="yes",ISNUMBER(AD394),ISNUMBER(INDEX(Sources!$G$7:$G$10,MATCH(AB394,Sources!$B$7:$B$10,0)))),ROUND(AD394/INDEX(Sources!$G$7:$G$10,MATCH(AB394,Sources!$B$7:$B$10,0)),6),"")</f>
        <v/>
      </c>
      <c r="J394" s="98" t="s">
        <v>956</v>
      </c>
      <c r="K394" s="98" t="s">
        <v>1494</v>
      </c>
      <c r="L394" s="96"/>
      <c r="M394" s="110" t="s">
        <v>1495</v>
      </c>
      <c r="N394" s="117" t="s">
        <v>1496</v>
      </c>
      <c r="O394" s="110"/>
      <c r="P394" s="110"/>
      <c r="Q394" s="118"/>
      <c r="R394" s="110"/>
      <c r="S394" s="110"/>
      <c r="T394" s="110"/>
      <c r="U394" s="110" t="s">
        <v>1497</v>
      </c>
      <c r="V394" s="119"/>
      <c r="W394" s="119" t="n">
        <v>16100</v>
      </c>
      <c r="X394" s="110" t="s">
        <v>535</v>
      </c>
      <c r="Y394" s="110" t="s">
        <v>1018</v>
      </c>
      <c r="Z394" s="110"/>
      <c r="AA394" s="110" t="s">
        <v>537</v>
      </c>
      <c r="AB394" s="110" t="s">
        <v>490</v>
      </c>
      <c r="AC394" s="110" t="s">
        <v>538</v>
      </c>
      <c r="AD394" s="119" t="n">
        <f aca="false">IF(ISNUMBER(F394),IF(G394=AB394,F394,IF(AND(ISNUMBER(INDEX(Sources!$G$7:$G$10,MATCH(G394,Sources!$B$7:$B$10,0))),ISNUMBER(INDEX(Sources!$G$7:$G$10,MATCH(AB394,Sources!$B$7:$B$10,0)))),F394/INDEX(Sources!$G$7:$G$10,MATCH(G394,Sources!$B$7:$B$10,0))*INDEX(Sources!$G$7:$G$10,MATCH(AB394,Sources!$B$7:$B$10,0)),"")),"")</f>
        <v>16100</v>
      </c>
      <c r="AE394" s="110" t="str">
        <f aca="false">IF(AND(AC394="yes",ISNUMBER(F394),IF(Compare!$H$5="All mapped",TRUE(),IF(Compare!$H$5="EXACT only",J394="EXACT",OR(J394="EXACT",J394="CLOSE")))),"yes","no")</f>
        <v>no</v>
      </c>
      <c r="AF394" s="110" t="str">
        <f aca="false">IF(ISNUMBER(H394),COUNTIFS($B$7:$B$3000,B394,$C$7:$C$3000,C394,$H$7:$H$3000,"&lt;"&amp;H394,$AH$7:$AH$3000,"yes")+COUNTIFS($B$7:B394,B394,$C$7:C394,C394,$H$7:H394,H394,$AH$7:AH394,"yes"),"")</f>
        <v/>
      </c>
      <c r="AG394" s="110" t="str">
        <f aca="false">IF(ISNUMBER(I394),COUNTIFS($B$7:$B$3000,B394,$C$7:$C$3000,C394,$I$7:$I$3000,"&lt;"&amp;I394,$AI$7:$AI$3000,"yes")+COUNTIFS($B$7:B394,B394,$C$7:C394,C394,$I$7:I394,I394,$AI$7:AI394,"yes"),"")</f>
        <v/>
      </c>
      <c r="AH394" s="110" t="str">
        <f aca="false">IF(ISNUMBER(H394),"yes","no")</f>
        <v>no</v>
      </c>
      <c r="AI394" s="110" t="str">
        <f aca="false">IF(ISNUMBER(I394),"yes","no")</f>
        <v>no</v>
      </c>
      <c r="AJ394" s="120" t="n">
        <v>46201</v>
      </c>
      <c r="AK394" s="110"/>
    </row>
    <row r="395" customFormat="false" ht="42" hidden="false" customHeight="true" outlineLevel="0" collapsed="false">
      <c r="A395" s="3"/>
      <c r="B395" s="31" t="s">
        <v>41</v>
      </c>
      <c r="C395" s="91" t="s">
        <v>13</v>
      </c>
      <c r="D395" s="91" t="s">
        <v>541</v>
      </c>
      <c r="E395" s="109" t="s">
        <v>1493</v>
      </c>
      <c r="F395" s="92" t="n">
        <v>59685</v>
      </c>
      <c r="G395" s="91" t="s">
        <v>490</v>
      </c>
      <c r="H395" s="112" t="str">
        <f aca="false">IF(AND(AE395="yes",ISNUMBER(AD395)),AD395,"")</f>
        <v/>
      </c>
      <c r="I395" s="95" t="str">
        <f aca="false">IF(AND(AE395="yes",ISNUMBER(AD395),ISNUMBER(INDEX(Sources!$G$7:$G$10,MATCH(AB395,Sources!$B$7:$B$10,0)))),ROUND(AD395/INDEX(Sources!$G$7:$G$10,MATCH(AB395,Sources!$B$7:$B$10,0)),6),"")</f>
        <v/>
      </c>
      <c r="J395" s="91" t="s">
        <v>956</v>
      </c>
      <c r="K395" s="91" t="s">
        <v>1494</v>
      </c>
      <c r="L395" s="96"/>
      <c r="M395" s="109" t="s">
        <v>1495</v>
      </c>
      <c r="N395" s="113" t="s">
        <v>1499</v>
      </c>
      <c r="O395" s="109"/>
      <c r="P395" s="109"/>
      <c r="Q395" s="114"/>
      <c r="R395" s="109"/>
      <c r="S395" s="109"/>
      <c r="T395" s="109"/>
      <c r="U395" s="109" t="s">
        <v>1497</v>
      </c>
      <c r="V395" s="115"/>
      <c r="W395" s="115" t="n">
        <v>59685</v>
      </c>
      <c r="X395" s="109" t="s">
        <v>535</v>
      </c>
      <c r="Y395" s="109" t="s">
        <v>1018</v>
      </c>
      <c r="Z395" s="109"/>
      <c r="AA395" s="109" t="s">
        <v>537</v>
      </c>
      <c r="AB395" s="109" t="s">
        <v>490</v>
      </c>
      <c r="AC395" s="109" t="s">
        <v>538</v>
      </c>
      <c r="AD395" s="115" t="n">
        <f aca="false">IF(ISNUMBER(F395),IF(G395=AB395,F395,IF(AND(ISNUMBER(INDEX(Sources!$G$7:$G$10,MATCH(G395,Sources!$B$7:$B$10,0))),ISNUMBER(INDEX(Sources!$G$7:$G$10,MATCH(AB395,Sources!$B$7:$B$10,0)))),F395/INDEX(Sources!$G$7:$G$10,MATCH(G395,Sources!$B$7:$B$10,0))*INDEX(Sources!$G$7:$G$10,MATCH(AB395,Sources!$B$7:$B$10,0)),"")),"")</f>
        <v>59685</v>
      </c>
      <c r="AE395" s="109" t="str">
        <f aca="false">IF(AND(AC395="yes",ISNUMBER(F395),IF(Compare!$H$5="All mapped",TRUE(),IF(Compare!$H$5="EXACT only",J395="EXACT",OR(J395="EXACT",J395="CLOSE")))),"yes","no")</f>
        <v>no</v>
      </c>
      <c r="AF395" s="109" t="str">
        <f aca="false">IF(ISNUMBER(H395),COUNTIFS($B$7:$B$3000,B395,$C$7:$C$3000,C395,$H$7:$H$3000,"&lt;"&amp;H395,$AH$7:$AH$3000,"yes")+COUNTIFS($B$7:B395,B395,$C$7:C395,C395,$H$7:H395,H395,$AH$7:AH395,"yes"),"")</f>
        <v/>
      </c>
      <c r="AG395" s="109" t="str">
        <f aca="false">IF(ISNUMBER(I395),COUNTIFS($B$7:$B$3000,B395,$C$7:$C$3000,C395,$I$7:$I$3000,"&lt;"&amp;I395,$AI$7:$AI$3000,"yes")+COUNTIFS($B$7:B395,B395,$C$7:C395,C395,$I$7:I395,I395,$AI$7:AI395,"yes"),"")</f>
        <v/>
      </c>
      <c r="AH395" s="109" t="str">
        <f aca="false">IF(ISNUMBER(H395),"yes","no")</f>
        <v>no</v>
      </c>
      <c r="AI395" s="109" t="str">
        <f aca="false">IF(ISNUMBER(I395),"yes","no")</f>
        <v>no</v>
      </c>
      <c r="AJ395" s="116" t="n">
        <v>46201</v>
      </c>
      <c r="AK395" s="109"/>
    </row>
    <row r="396" customFormat="false" ht="42" hidden="false" customHeight="true" outlineLevel="0" collapsed="false">
      <c r="A396" s="3"/>
      <c r="B396" s="36" t="s">
        <v>41</v>
      </c>
      <c r="C396" s="98" t="s">
        <v>13</v>
      </c>
      <c r="D396" s="98" t="s">
        <v>548</v>
      </c>
      <c r="E396" s="110" t="s">
        <v>1493</v>
      </c>
      <c r="F396" s="99" t="n">
        <v>30494</v>
      </c>
      <c r="G396" s="98" t="s">
        <v>490</v>
      </c>
      <c r="H396" s="112" t="str">
        <f aca="false">IF(AND(AE396="yes",ISNUMBER(AD396)),AD396,"")</f>
        <v/>
      </c>
      <c r="I396" s="95" t="str">
        <f aca="false">IF(AND(AE396="yes",ISNUMBER(AD396),ISNUMBER(INDEX(Sources!$G$7:$G$10,MATCH(AB396,Sources!$B$7:$B$10,0)))),ROUND(AD396/INDEX(Sources!$G$7:$G$10,MATCH(AB396,Sources!$B$7:$B$10,0)),6),"")</f>
        <v/>
      </c>
      <c r="J396" s="98" t="s">
        <v>629</v>
      </c>
      <c r="K396" s="98" t="s">
        <v>1494</v>
      </c>
      <c r="L396" s="96"/>
      <c r="M396" s="110" t="s">
        <v>1495</v>
      </c>
      <c r="N396" s="117" t="s">
        <v>1500</v>
      </c>
      <c r="O396" s="110"/>
      <c r="P396" s="110"/>
      <c r="Q396" s="118"/>
      <c r="R396" s="110"/>
      <c r="S396" s="110"/>
      <c r="T396" s="110"/>
      <c r="U396" s="110" t="s">
        <v>1501</v>
      </c>
      <c r="V396" s="119"/>
      <c r="W396" s="119" t="n">
        <v>30494</v>
      </c>
      <c r="X396" s="110" t="s">
        <v>535</v>
      </c>
      <c r="Y396" s="110" t="s">
        <v>1018</v>
      </c>
      <c r="Z396" s="110"/>
      <c r="AA396" s="110" t="s">
        <v>537</v>
      </c>
      <c r="AB396" s="110" t="s">
        <v>490</v>
      </c>
      <c r="AC396" s="110" t="s">
        <v>538</v>
      </c>
      <c r="AD396" s="119" t="n">
        <f aca="false">IF(ISNUMBER(F396),IF(G396=AB396,F396,IF(AND(ISNUMBER(INDEX(Sources!$G$7:$G$10,MATCH(G396,Sources!$B$7:$B$10,0))),ISNUMBER(INDEX(Sources!$G$7:$G$10,MATCH(AB396,Sources!$B$7:$B$10,0)))),F396/INDEX(Sources!$G$7:$G$10,MATCH(G396,Sources!$B$7:$B$10,0))*INDEX(Sources!$G$7:$G$10,MATCH(AB396,Sources!$B$7:$B$10,0)),"")),"")</f>
        <v>30494</v>
      </c>
      <c r="AE396" s="110" t="str">
        <f aca="false">IF(AND(AC396="yes",ISNUMBER(F396),IF(Compare!$H$5="All mapped",TRUE(),IF(Compare!$H$5="EXACT only",J396="EXACT",OR(J396="EXACT",J396="CLOSE")))),"yes","no")</f>
        <v>no</v>
      </c>
      <c r="AF396" s="110" t="str">
        <f aca="false">IF(ISNUMBER(H396),COUNTIFS($B$7:$B$3000,B396,$C$7:$C$3000,C396,$H$7:$H$3000,"&lt;"&amp;H396,$AH$7:$AH$3000,"yes")+COUNTIFS($B$7:B396,B396,$C$7:C396,C396,$H$7:H396,H396,$AH$7:AH396,"yes"),"")</f>
        <v/>
      </c>
      <c r="AG396" s="110" t="str">
        <f aca="false">IF(ISNUMBER(I396),COUNTIFS($B$7:$B$3000,B396,$C$7:$C$3000,C396,$I$7:$I$3000,"&lt;"&amp;I396,$AI$7:$AI$3000,"yes")+COUNTIFS($B$7:B396,B396,$C$7:C396,C396,$I$7:I396,I396,$AI$7:AI396,"yes"),"")</f>
        <v/>
      </c>
      <c r="AH396" s="110" t="str">
        <f aca="false">IF(ISNUMBER(H396),"yes","no")</f>
        <v>no</v>
      </c>
      <c r="AI396" s="110" t="str">
        <f aca="false">IF(ISNUMBER(I396),"yes","no")</f>
        <v>no</v>
      </c>
      <c r="AJ396" s="120" t="n">
        <v>46201</v>
      </c>
      <c r="AK396" s="110"/>
    </row>
    <row r="397" customFormat="false" ht="42" hidden="false" customHeight="true" outlineLevel="0" collapsed="false">
      <c r="A397" s="3"/>
      <c r="B397" s="31" t="s">
        <v>41</v>
      </c>
      <c r="C397" s="91" t="s">
        <v>15</v>
      </c>
      <c r="D397" s="91" t="s">
        <v>243</v>
      </c>
      <c r="E397" s="109" t="s">
        <v>1502</v>
      </c>
      <c r="F397" s="92" t="n">
        <v>36.09</v>
      </c>
      <c r="G397" s="91" t="s">
        <v>244</v>
      </c>
      <c r="H397" s="112" t="n">
        <f aca="false">IF(AND(AE397="yes",ISNUMBER(AD397)),AD397,"")</f>
        <v>36.09</v>
      </c>
      <c r="I397" s="95" t="n">
        <f aca="false">IF(AND(AE397="yes",ISNUMBER(AD397),ISNUMBER(INDEX(Sources!$G$7:$G$10,MATCH(AB397,Sources!$B$7:$B$10,0)))),ROUND(AD397/INDEX(Sources!$G$7:$G$10,MATCH(AB397,Sources!$B$7:$B$10,0)),6),"")</f>
        <v>36.09</v>
      </c>
      <c r="J397" s="91" t="s">
        <v>702</v>
      </c>
      <c r="K397" s="91" t="s">
        <v>586</v>
      </c>
      <c r="L397" s="96"/>
      <c r="M397" s="109" t="s">
        <v>1503</v>
      </c>
      <c r="N397" s="113" t="s">
        <v>1504</v>
      </c>
      <c r="O397" s="109" t="s">
        <v>388</v>
      </c>
      <c r="P397" s="109" t="s">
        <v>590</v>
      </c>
      <c r="Q397" s="114"/>
      <c r="R397" s="109" t="n">
        <v>1</v>
      </c>
      <c r="S397" s="109"/>
      <c r="T397" s="109" t="s">
        <v>702</v>
      </c>
      <c r="U397" s="109" t="s">
        <v>591</v>
      </c>
      <c r="V397" s="115" t="n">
        <v>36.09</v>
      </c>
      <c r="W397" s="115"/>
      <c r="X397" s="109" t="s">
        <v>592</v>
      </c>
      <c r="Y397" s="109"/>
      <c r="Z397" s="109"/>
      <c r="AA397" s="109"/>
      <c r="AB397" s="109" t="s">
        <v>244</v>
      </c>
      <c r="AC397" s="109" t="s">
        <v>538</v>
      </c>
      <c r="AD397" s="109" t="n">
        <f aca="false">IF(ISNUMBER(V397),ROUND(V397,6),"")</f>
        <v>36.09</v>
      </c>
      <c r="AE397" s="109" t="str">
        <f aca="false">IF(AND(AC397="yes",ISNUMBER(F397),IF(Compare!$H$5="All mapped",TRUE(),IF(Compare!$H$5="EXACT only",J397="EXACT",OR(J397="EXACT",J397="CLOSE")))),"yes","no")</f>
        <v>yes</v>
      </c>
      <c r="AF397" s="109" t="n">
        <f aca="false">IF(ISNUMBER(H397),COUNTIFS($B$7:$B$3000,B397,$C$7:$C$3000,C397,$H$7:$H$3000,"&lt;"&amp;H397,$AH$7:$AH$3000,"yes")+COUNTIFS($B$7:B397,B397,$C$7:C397,C397,$H$7:H397,H397,$AH$7:AH397,"yes"),"")</f>
        <v>3</v>
      </c>
      <c r="AG397" s="109" t="n">
        <f aca="false">IF(ISNUMBER(I397),COUNTIFS($B$7:$B$3000,B397,$C$7:$C$3000,C397,$I$7:$I$3000,"&lt;"&amp;I397,$AI$7:$AI$3000,"yes")+COUNTIFS($B$7:B397,B397,$C$7:C397,C397,$I$7:I397,I397,$AI$7:AI397,"yes"),"")</f>
        <v>3</v>
      </c>
      <c r="AH397" s="109" t="str">
        <f aca="false">IF(ISNUMBER(H397),"yes","no")</f>
        <v>yes</v>
      </c>
      <c r="AI397" s="109" t="str">
        <f aca="false">IF(ISNUMBER(I397),"yes","no")</f>
        <v>yes</v>
      </c>
      <c r="AJ397" s="116" t="n">
        <v>46295</v>
      </c>
      <c r="AK397" s="109"/>
    </row>
    <row r="398" customFormat="false" ht="42" hidden="false" customHeight="true" outlineLevel="0" collapsed="false">
      <c r="A398" s="3"/>
      <c r="B398" s="36" t="s">
        <v>41</v>
      </c>
      <c r="C398" s="98" t="s">
        <v>15</v>
      </c>
      <c r="D398" s="98" t="s">
        <v>269</v>
      </c>
      <c r="E398" s="110" t="s">
        <v>1505</v>
      </c>
      <c r="F398" s="99" t="n">
        <v>46.9</v>
      </c>
      <c r="G398" s="98" t="s">
        <v>244</v>
      </c>
      <c r="H398" s="112" t="str">
        <f aca="false">IF(AND(AE398="yes",ISNUMBER(AD398)),AD398,"")</f>
        <v/>
      </c>
      <c r="I398" s="95" t="str">
        <f aca="false">IF(AND(AE398="yes",ISNUMBER(AD398),ISNUMBER(INDEX(Sources!$G$7:$G$10,MATCH(AB398,Sources!$B$7:$B$10,0)))),ROUND(AD398/INDEX(Sources!$G$7:$G$10,MATCH(AB398,Sources!$B$7:$B$10,0)),6),"")</f>
        <v/>
      </c>
      <c r="J398" s="98" t="s">
        <v>629</v>
      </c>
      <c r="K398" s="98" t="s">
        <v>586</v>
      </c>
      <c r="L398" s="96"/>
      <c r="M398" s="110" t="s">
        <v>1506</v>
      </c>
      <c r="N398" s="117" t="s">
        <v>1507</v>
      </c>
      <c r="O398" s="110" t="s">
        <v>662</v>
      </c>
      <c r="P398" s="110" t="s">
        <v>590</v>
      </c>
      <c r="Q398" s="118"/>
      <c r="R398" s="110" t="n">
        <v>1</v>
      </c>
      <c r="S398" s="110"/>
      <c r="T398" s="110" t="s">
        <v>629</v>
      </c>
      <c r="U398" s="110" t="s">
        <v>591</v>
      </c>
      <c r="V398" s="119" t="n">
        <v>46.9</v>
      </c>
      <c r="W398" s="119"/>
      <c r="X398" s="110" t="s">
        <v>592</v>
      </c>
      <c r="Y398" s="110"/>
      <c r="Z398" s="110"/>
      <c r="AA398" s="110"/>
      <c r="AB398" s="110" t="s">
        <v>244</v>
      </c>
      <c r="AC398" s="110" t="s">
        <v>538</v>
      </c>
      <c r="AD398" s="110" t="n">
        <f aca="false">IF(ISNUMBER(V398),ROUND(V398,6),"")</f>
        <v>46.9</v>
      </c>
      <c r="AE398" s="110" t="str">
        <f aca="false">IF(AND(AC398="yes",ISNUMBER(F398),IF(Compare!$H$5="All mapped",TRUE(),IF(Compare!$H$5="EXACT only",J398="EXACT",OR(J398="EXACT",J398="CLOSE")))),"yes","no")</f>
        <v>no</v>
      </c>
      <c r="AF398" s="110" t="str">
        <f aca="false">IF(ISNUMBER(H398),COUNTIFS($B$7:$B$3000,B398,$C$7:$C$3000,C398,$H$7:$H$3000,"&lt;"&amp;H398,$AH$7:$AH$3000,"yes")+COUNTIFS($B$7:B398,B398,$C$7:C398,C398,$H$7:H398,H398,$AH$7:AH398,"yes"),"")</f>
        <v/>
      </c>
      <c r="AG398" s="110" t="str">
        <f aca="false">IF(ISNUMBER(I398),COUNTIFS($B$7:$B$3000,B398,$C$7:$C$3000,C398,$I$7:$I$3000,"&lt;"&amp;I398,$AI$7:$AI$3000,"yes")+COUNTIFS($B$7:B398,B398,$C$7:C398,C398,$I$7:I398,I398,$AI$7:AI398,"yes"),"")</f>
        <v/>
      </c>
      <c r="AH398" s="110" t="str">
        <f aca="false">IF(ISNUMBER(H398),"yes","no")</f>
        <v>no</v>
      </c>
      <c r="AI398" s="110" t="str">
        <f aca="false">IF(ISNUMBER(I398),"yes","no")</f>
        <v>no</v>
      </c>
      <c r="AJ398" s="120" t="n">
        <v>46295</v>
      </c>
      <c r="AK398" s="110"/>
    </row>
    <row r="399" customFormat="false" ht="42" hidden="false" customHeight="true" outlineLevel="0" collapsed="false">
      <c r="A399" s="3"/>
      <c r="B399" s="31" t="s">
        <v>41</v>
      </c>
      <c r="C399" s="91" t="s">
        <v>15</v>
      </c>
      <c r="D399" s="91" t="s">
        <v>264</v>
      </c>
      <c r="E399" s="109" t="s">
        <v>1508</v>
      </c>
      <c r="F399" s="92" t="n">
        <v>26.19</v>
      </c>
      <c r="G399" s="91" t="s">
        <v>244</v>
      </c>
      <c r="H399" s="112" t="n">
        <f aca="false">IF(AND(AE399="yes",ISNUMBER(AD399)),AD399,"")</f>
        <v>26.19</v>
      </c>
      <c r="I399" s="95" t="n">
        <f aca="false">IF(AND(AE399="yes",ISNUMBER(AD399),ISNUMBER(INDEX(Sources!$G$7:$G$10,MATCH(AB399,Sources!$B$7:$B$10,0)))),ROUND(AD399/INDEX(Sources!$G$7:$G$10,MATCH(AB399,Sources!$B$7:$B$10,0)),6),"")</f>
        <v>26.19</v>
      </c>
      <c r="J399" s="91" t="s">
        <v>702</v>
      </c>
      <c r="K399" s="91" t="s">
        <v>586</v>
      </c>
      <c r="L399" s="96"/>
      <c r="M399" s="109" t="s">
        <v>1509</v>
      </c>
      <c r="N399" s="113" t="s">
        <v>1510</v>
      </c>
      <c r="O399" s="109" t="s">
        <v>662</v>
      </c>
      <c r="P399" s="109" t="s">
        <v>590</v>
      </c>
      <c r="Q399" s="114"/>
      <c r="R399" s="109" t="n">
        <v>1</v>
      </c>
      <c r="S399" s="109"/>
      <c r="T399" s="109" t="s">
        <v>702</v>
      </c>
      <c r="U399" s="109" t="s">
        <v>591</v>
      </c>
      <c r="V399" s="115" t="n">
        <v>26.19</v>
      </c>
      <c r="W399" s="115"/>
      <c r="X399" s="109" t="s">
        <v>592</v>
      </c>
      <c r="Y399" s="109"/>
      <c r="Z399" s="109"/>
      <c r="AA399" s="109"/>
      <c r="AB399" s="109" t="s">
        <v>244</v>
      </c>
      <c r="AC399" s="109" t="s">
        <v>538</v>
      </c>
      <c r="AD399" s="109" t="n">
        <f aca="false">IF(ISNUMBER(V399),ROUND(V399,6),"")</f>
        <v>26.19</v>
      </c>
      <c r="AE399" s="109" t="str">
        <f aca="false">IF(AND(AC399="yes",ISNUMBER(F399),IF(Compare!$H$5="All mapped",TRUE(),IF(Compare!$H$5="EXACT only",J399="EXACT",OR(J399="EXACT",J399="CLOSE")))),"yes","no")</f>
        <v>yes</v>
      </c>
      <c r="AF399" s="109" t="n">
        <f aca="false">IF(ISNUMBER(H399),COUNTIFS($B$7:$B$3000,B399,$C$7:$C$3000,C399,$H$7:$H$3000,"&lt;"&amp;H399,$AH$7:$AH$3000,"yes")+COUNTIFS($B$7:B399,B399,$C$7:C399,C399,$H$7:H399,H399,$AH$7:AH399,"yes"),"")</f>
        <v>2</v>
      </c>
      <c r="AG399" s="109" t="n">
        <f aca="false">IF(ISNUMBER(I399),COUNTIFS($B$7:$B$3000,B399,$C$7:$C$3000,C399,$I$7:$I$3000,"&lt;"&amp;I399,$AI$7:$AI$3000,"yes")+COUNTIFS($B$7:B399,B399,$C$7:C399,C399,$I$7:I399,I399,$AI$7:AI399,"yes"),"")</f>
        <v>2</v>
      </c>
      <c r="AH399" s="109" t="str">
        <f aca="false">IF(ISNUMBER(H399),"yes","no")</f>
        <v>yes</v>
      </c>
      <c r="AI399" s="109" t="str">
        <f aca="false">IF(ISNUMBER(I399),"yes","no")</f>
        <v>yes</v>
      </c>
      <c r="AJ399" s="116" t="n">
        <v>46295</v>
      </c>
      <c r="AK399" s="109"/>
    </row>
    <row r="400" customFormat="false" ht="42" hidden="false" customHeight="true" outlineLevel="0" collapsed="false">
      <c r="A400" s="3"/>
      <c r="B400" s="36" t="s">
        <v>41</v>
      </c>
      <c r="C400" s="98" t="s">
        <v>15</v>
      </c>
      <c r="D400" s="98" t="s">
        <v>273</v>
      </c>
      <c r="E400" s="110" t="s">
        <v>1511</v>
      </c>
      <c r="F400" s="99" t="n">
        <v>256.9</v>
      </c>
      <c r="G400" s="98" t="s">
        <v>244</v>
      </c>
      <c r="H400" s="112" t="str">
        <f aca="false">IF(AND(AE400="yes",ISNUMBER(AD400)),AD400,"")</f>
        <v/>
      </c>
      <c r="I400" s="95" t="str">
        <f aca="false">IF(AND(AE400="yes",ISNUMBER(AD400),ISNUMBER(INDEX(Sources!$G$7:$G$10,MATCH(AB400,Sources!$B$7:$B$10,0)))),ROUND(AD400/INDEX(Sources!$G$7:$G$10,MATCH(AB400,Sources!$B$7:$B$10,0)),6),"")</f>
        <v/>
      </c>
      <c r="J400" s="98" t="s">
        <v>629</v>
      </c>
      <c r="K400" s="98" t="s">
        <v>586</v>
      </c>
      <c r="L400" s="96"/>
      <c r="M400" s="110" t="s">
        <v>1512</v>
      </c>
      <c r="N400" s="117" t="s">
        <v>1513</v>
      </c>
      <c r="O400" s="110" t="s">
        <v>642</v>
      </c>
      <c r="P400" s="110" t="s">
        <v>265</v>
      </c>
      <c r="Q400" s="118"/>
      <c r="R400" s="110" t="n">
        <v>1</v>
      </c>
      <c r="S400" s="110"/>
      <c r="T400" s="110" t="s">
        <v>629</v>
      </c>
      <c r="U400" s="110" t="s">
        <v>591</v>
      </c>
      <c r="V400" s="119" t="n">
        <v>214.08</v>
      </c>
      <c r="W400" s="119"/>
      <c r="X400" s="110" t="s">
        <v>592</v>
      </c>
      <c r="Y400" s="110"/>
      <c r="Z400" s="110"/>
      <c r="AA400" s="110"/>
      <c r="AB400" s="110" t="s">
        <v>244</v>
      </c>
      <c r="AC400" s="110" t="s">
        <v>538</v>
      </c>
      <c r="AD400" s="110" t="n">
        <f aca="false">IF(ISNUMBER(V400),ROUND(V400,6),"")</f>
        <v>214.08</v>
      </c>
      <c r="AE400" s="110" t="str">
        <f aca="false">IF(AND(AC400="yes",ISNUMBER(F400),IF(Compare!$H$5="All mapped",TRUE(),IF(Compare!$H$5="EXACT only",J400="EXACT",OR(J400="EXACT",J400="CLOSE")))),"yes","no")</f>
        <v>no</v>
      </c>
      <c r="AF400" s="110" t="str">
        <f aca="false">IF(ISNUMBER(H400),COUNTIFS($B$7:$B$3000,B400,$C$7:$C$3000,C400,$H$7:$H$3000,"&lt;"&amp;H400,$AH$7:$AH$3000,"yes")+COUNTIFS($B$7:B400,B400,$C$7:C400,C400,$H$7:H400,H400,$AH$7:AH400,"yes"),"")</f>
        <v/>
      </c>
      <c r="AG400" s="110" t="str">
        <f aca="false">IF(ISNUMBER(I400),COUNTIFS($B$7:$B$3000,B400,$C$7:$C$3000,C400,$I$7:$I$3000,"&lt;"&amp;I400,$AI$7:$AI$3000,"yes")+COUNTIFS($B$7:B400,B400,$C$7:C400,C400,$I$7:I400,I400,$AI$7:AI400,"yes"),"")</f>
        <v/>
      </c>
      <c r="AH400" s="110" t="str">
        <f aca="false">IF(ISNUMBER(H400),"yes","no")</f>
        <v>no</v>
      </c>
      <c r="AI400" s="110" t="str">
        <f aca="false">IF(ISNUMBER(I400),"yes","no")</f>
        <v>no</v>
      </c>
      <c r="AJ400" s="120" t="n">
        <v>46295</v>
      </c>
      <c r="AK400" s="110"/>
    </row>
    <row r="401" customFormat="false" ht="42" hidden="false" customHeight="true" outlineLevel="0" collapsed="false">
      <c r="A401" s="3"/>
      <c r="B401" s="31" t="s">
        <v>41</v>
      </c>
      <c r="C401" s="91" t="s">
        <v>15</v>
      </c>
      <c r="D401" s="91" t="s">
        <v>281</v>
      </c>
      <c r="E401" s="109" t="s">
        <v>1514</v>
      </c>
      <c r="F401" s="92" t="n">
        <v>176.33</v>
      </c>
      <c r="G401" s="91" t="s">
        <v>244</v>
      </c>
      <c r="H401" s="112" t="str">
        <f aca="false">IF(AND(AE401="yes",ISNUMBER(AD401)),AD401,"")</f>
        <v/>
      </c>
      <c r="I401" s="95" t="str">
        <f aca="false">IF(AND(AE401="yes",ISNUMBER(AD401),ISNUMBER(INDEX(Sources!$G$7:$G$10,MATCH(AB401,Sources!$B$7:$B$10,0)))),ROUND(AD401/INDEX(Sources!$G$7:$G$10,MATCH(AB401,Sources!$B$7:$B$10,0)),6),"")</f>
        <v/>
      </c>
      <c r="J401" s="91" t="s">
        <v>629</v>
      </c>
      <c r="K401" s="91" t="s">
        <v>586</v>
      </c>
      <c r="L401" s="96"/>
      <c r="M401" s="109" t="s">
        <v>1515</v>
      </c>
      <c r="N401" s="113" t="s">
        <v>1516</v>
      </c>
      <c r="O401" s="109" t="s">
        <v>642</v>
      </c>
      <c r="P401" s="109" t="s">
        <v>590</v>
      </c>
      <c r="Q401" s="114"/>
      <c r="R401" s="109" t="n">
        <v>1</v>
      </c>
      <c r="S401" s="109"/>
      <c r="T401" s="109" t="s">
        <v>629</v>
      </c>
      <c r="U401" s="109" t="s">
        <v>591</v>
      </c>
      <c r="V401" s="115" t="n">
        <v>176.33</v>
      </c>
      <c r="W401" s="115"/>
      <c r="X401" s="109" t="s">
        <v>592</v>
      </c>
      <c r="Y401" s="109"/>
      <c r="Z401" s="109"/>
      <c r="AA401" s="109"/>
      <c r="AB401" s="109" t="s">
        <v>244</v>
      </c>
      <c r="AC401" s="109" t="s">
        <v>538</v>
      </c>
      <c r="AD401" s="109" t="n">
        <f aca="false">IF(ISNUMBER(V401),ROUND(V401,6),"")</f>
        <v>176.33</v>
      </c>
      <c r="AE401" s="109" t="str">
        <f aca="false">IF(AND(AC401="yes",ISNUMBER(F401),IF(Compare!$H$5="All mapped",TRUE(),IF(Compare!$H$5="EXACT only",J401="EXACT",OR(J401="EXACT",J401="CLOSE")))),"yes","no")</f>
        <v>no</v>
      </c>
      <c r="AF401" s="109" t="str">
        <f aca="false">IF(ISNUMBER(H401),COUNTIFS($B$7:$B$3000,B401,$C$7:$C$3000,C401,$H$7:$H$3000,"&lt;"&amp;H401,$AH$7:$AH$3000,"yes")+COUNTIFS($B$7:B401,B401,$C$7:C401,C401,$H$7:H401,H401,$AH$7:AH401,"yes"),"")</f>
        <v/>
      </c>
      <c r="AG401" s="109" t="str">
        <f aca="false">IF(ISNUMBER(I401),COUNTIFS($B$7:$B$3000,B401,$C$7:$C$3000,C401,$I$7:$I$3000,"&lt;"&amp;I401,$AI$7:$AI$3000,"yes")+COUNTIFS($B$7:B401,B401,$C$7:C401,C401,$I$7:I401,I401,$AI$7:AI401,"yes"),"")</f>
        <v/>
      </c>
      <c r="AH401" s="109" t="str">
        <f aca="false">IF(ISNUMBER(H401),"yes","no")</f>
        <v>no</v>
      </c>
      <c r="AI401" s="109" t="str">
        <f aca="false">IF(ISNUMBER(I401),"yes","no")</f>
        <v>no</v>
      </c>
      <c r="AJ401" s="116" t="n">
        <v>46295</v>
      </c>
      <c r="AK401" s="109"/>
    </row>
    <row r="402" customFormat="false" ht="42" hidden="false" customHeight="true" outlineLevel="0" collapsed="false">
      <c r="A402" s="3"/>
      <c r="B402" s="36" t="s">
        <v>41</v>
      </c>
      <c r="C402" s="98" t="s">
        <v>16</v>
      </c>
      <c r="D402" s="98" t="s">
        <v>296</v>
      </c>
      <c r="E402" s="110" t="s">
        <v>1502</v>
      </c>
      <c r="F402" s="99" t="n">
        <v>36.09</v>
      </c>
      <c r="G402" s="98" t="s">
        <v>244</v>
      </c>
      <c r="H402" s="112" t="n">
        <f aca="false">IF(AND(AE402="yes",ISNUMBER(AD402)),AD402,"")</f>
        <v>36.09</v>
      </c>
      <c r="I402" s="95" t="n">
        <f aca="false">IF(AND(AE402="yes",ISNUMBER(AD402),ISNUMBER(INDEX(Sources!$G$7:$G$10,MATCH(AB402,Sources!$B$7:$B$10,0)))),ROUND(AD402/INDEX(Sources!$G$7:$G$10,MATCH(AB402,Sources!$B$7:$B$10,0)),6),"")</f>
        <v>36.09</v>
      </c>
      <c r="J402" s="98" t="s">
        <v>702</v>
      </c>
      <c r="K402" s="98" t="s">
        <v>586</v>
      </c>
      <c r="L402" s="96"/>
      <c r="M402" s="110" t="s">
        <v>1503</v>
      </c>
      <c r="N402" s="117" t="s">
        <v>1517</v>
      </c>
      <c r="O402" s="110" t="s">
        <v>388</v>
      </c>
      <c r="P402" s="110" t="s">
        <v>590</v>
      </c>
      <c r="Q402" s="118"/>
      <c r="R402" s="110" t="n">
        <v>1</v>
      </c>
      <c r="S402" s="110"/>
      <c r="T402" s="110" t="s">
        <v>702</v>
      </c>
      <c r="U402" s="110" t="s">
        <v>591</v>
      </c>
      <c r="V402" s="119" t="n">
        <v>36.09</v>
      </c>
      <c r="W402" s="119"/>
      <c r="X402" s="110" t="s">
        <v>612</v>
      </c>
      <c r="Y402" s="110"/>
      <c r="Z402" s="110"/>
      <c r="AA402" s="110"/>
      <c r="AB402" s="110" t="s">
        <v>244</v>
      </c>
      <c r="AC402" s="110" t="s">
        <v>538</v>
      </c>
      <c r="AD402" s="110" t="n">
        <f aca="false">IF(ISNUMBER(V402),ROUND(V402,6),"")</f>
        <v>36.09</v>
      </c>
      <c r="AE402" s="110" t="str">
        <f aca="false">IF(AND(AC402="yes",ISNUMBER(F402),IF(Compare!$H$5="All mapped",TRUE(),IF(Compare!$H$5="EXACT only",J402="EXACT",OR(J402="EXACT",J402="CLOSE")))),"yes","no")</f>
        <v>yes</v>
      </c>
      <c r="AF402" s="110" t="n">
        <f aca="false">IF(ISNUMBER(H402),COUNTIFS($B$7:$B$3000,B402,$C$7:$C$3000,C402,$H$7:$H$3000,"&lt;"&amp;H402,$AH$7:$AH$3000,"yes")+COUNTIFS($B$7:B402,B402,$C$7:C402,C402,$H$7:H402,H402,$AH$7:AH402,"yes"),"")</f>
        <v>2</v>
      </c>
      <c r="AG402" s="110" t="n">
        <f aca="false">IF(ISNUMBER(I402),COUNTIFS($B$7:$B$3000,B402,$C$7:$C$3000,C402,$I$7:$I$3000,"&lt;"&amp;I402,$AI$7:$AI$3000,"yes")+COUNTIFS($B$7:B402,B402,$C$7:C402,C402,$I$7:I402,I402,$AI$7:AI402,"yes"),"")</f>
        <v>2</v>
      </c>
      <c r="AH402" s="110" t="str">
        <f aca="false">IF(ISNUMBER(H402),"yes","no")</f>
        <v>yes</v>
      </c>
      <c r="AI402" s="110" t="str">
        <f aca="false">IF(ISNUMBER(I402),"yes","no")</f>
        <v>yes</v>
      </c>
      <c r="AJ402" s="120" t="n">
        <v>46295</v>
      </c>
      <c r="AK402" s="110"/>
    </row>
    <row r="403" customFormat="false" ht="42" hidden="false" customHeight="true" outlineLevel="0" collapsed="false">
      <c r="A403" s="3"/>
      <c r="B403" s="31" t="s">
        <v>41</v>
      </c>
      <c r="C403" s="91" t="s">
        <v>16</v>
      </c>
      <c r="D403" s="91" t="s">
        <v>311</v>
      </c>
      <c r="E403" s="109" t="s">
        <v>1505</v>
      </c>
      <c r="F403" s="92" t="n">
        <v>44.9</v>
      </c>
      <c r="G403" s="91" t="s">
        <v>244</v>
      </c>
      <c r="H403" s="112" t="str">
        <f aca="false">IF(AND(AE403="yes",ISNUMBER(AD403)),AD403,"")</f>
        <v/>
      </c>
      <c r="I403" s="95" t="str">
        <f aca="false">IF(AND(AE403="yes",ISNUMBER(AD403),ISNUMBER(INDEX(Sources!$G$7:$G$10,MATCH(AB403,Sources!$B$7:$B$10,0)))),ROUND(AD403/INDEX(Sources!$G$7:$G$10,MATCH(AB403,Sources!$B$7:$B$10,0)),6),"")</f>
        <v/>
      </c>
      <c r="J403" s="91" t="s">
        <v>629</v>
      </c>
      <c r="K403" s="91" t="s">
        <v>586</v>
      </c>
      <c r="L403" s="96"/>
      <c r="M403" s="109" t="s">
        <v>1506</v>
      </c>
      <c r="N403" s="113" t="s">
        <v>1518</v>
      </c>
      <c r="O403" s="109" t="s">
        <v>662</v>
      </c>
      <c r="P403" s="109" t="s">
        <v>590</v>
      </c>
      <c r="Q403" s="114"/>
      <c r="R403" s="109" t="n">
        <v>1</v>
      </c>
      <c r="S403" s="109"/>
      <c r="T403" s="109" t="s">
        <v>629</v>
      </c>
      <c r="U403" s="109" t="s">
        <v>591</v>
      </c>
      <c r="V403" s="115" t="n">
        <v>44.9</v>
      </c>
      <c r="W403" s="115"/>
      <c r="X403" s="109" t="s">
        <v>612</v>
      </c>
      <c r="Y403" s="109"/>
      <c r="Z403" s="109"/>
      <c r="AA403" s="109"/>
      <c r="AB403" s="109" t="s">
        <v>244</v>
      </c>
      <c r="AC403" s="109" t="s">
        <v>538</v>
      </c>
      <c r="AD403" s="109" t="n">
        <f aca="false">IF(ISNUMBER(V403),ROUND(V403,6),"")</f>
        <v>44.9</v>
      </c>
      <c r="AE403" s="109" t="str">
        <f aca="false">IF(AND(AC403="yes",ISNUMBER(F403),IF(Compare!$H$5="All mapped",TRUE(),IF(Compare!$H$5="EXACT only",J403="EXACT",OR(J403="EXACT",J403="CLOSE")))),"yes","no")</f>
        <v>no</v>
      </c>
      <c r="AF403" s="109" t="str">
        <f aca="false">IF(ISNUMBER(H403),COUNTIFS($B$7:$B$3000,B403,$C$7:$C$3000,C403,$H$7:$H$3000,"&lt;"&amp;H403,$AH$7:$AH$3000,"yes")+COUNTIFS($B$7:B403,B403,$C$7:C403,C403,$H$7:H403,H403,$AH$7:AH403,"yes"),"")</f>
        <v/>
      </c>
      <c r="AG403" s="109" t="str">
        <f aca="false">IF(ISNUMBER(I403),COUNTIFS($B$7:$B$3000,B403,$C$7:$C$3000,C403,$I$7:$I$3000,"&lt;"&amp;I403,$AI$7:$AI$3000,"yes")+COUNTIFS($B$7:B403,B403,$C$7:C403,C403,$I$7:I403,I403,$AI$7:AI403,"yes"),"")</f>
        <v/>
      </c>
      <c r="AH403" s="109" t="str">
        <f aca="false">IF(ISNUMBER(H403),"yes","no")</f>
        <v>no</v>
      </c>
      <c r="AI403" s="109" t="str">
        <f aca="false">IF(ISNUMBER(I403),"yes","no")</f>
        <v>no</v>
      </c>
      <c r="AJ403" s="116" t="n">
        <v>46295</v>
      </c>
      <c r="AK403" s="109"/>
    </row>
    <row r="404" customFormat="false" ht="42" hidden="false" customHeight="true" outlineLevel="0" collapsed="false">
      <c r="A404" s="3"/>
      <c r="B404" s="36" t="s">
        <v>41</v>
      </c>
      <c r="C404" s="98" t="s">
        <v>16</v>
      </c>
      <c r="D404" s="98" t="s">
        <v>309</v>
      </c>
      <c r="E404" s="110" t="s">
        <v>1508</v>
      </c>
      <c r="F404" s="99" t="n">
        <v>26.19</v>
      </c>
      <c r="G404" s="98" t="s">
        <v>244</v>
      </c>
      <c r="H404" s="112" t="str">
        <f aca="false">IF(AND(AE404="yes",ISNUMBER(AD404)),AD404,"")</f>
        <v/>
      </c>
      <c r="I404" s="95" t="str">
        <f aca="false">IF(AND(AE404="yes",ISNUMBER(AD404),ISNUMBER(INDEX(Sources!$G$7:$G$10,MATCH(AB404,Sources!$B$7:$B$10,0)))),ROUND(AD404/INDEX(Sources!$G$7:$G$10,MATCH(AB404,Sources!$B$7:$B$10,0)),6),"")</f>
        <v/>
      </c>
      <c r="J404" s="98" t="s">
        <v>629</v>
      </c>
      <c r="K404" s="98" t="s">
        <v>586</v>
      </c>
      <c r="L404" s="96"/>
      <c r="M404" s="110" t="s">
        <v>1509</v>
      </c>
      <c r="N404" s="117" t="s">
        <v>1510</v>
      </c>
      <c r="O404" s="110" t="s">
        <v>662</v>
      </c>
      <c r="P404" s="110" t="s">
        <v>590</v>
      </c>
      <c r="Q404" s="118"/>
      <c r="R404" s="110" t="n">
        <v>1</v>
      </c>
      <c r="S404" s="110"/>
      <c r="T404" s="110" t="s">
        <v>702</v>
      </c>
      <c r="U404" s="110" t="s">
        <v>1519</v>
      </c>
      <c r="V404" s="119" t="n">
        <v>26.19</v>
      </c>
      <c r="W404" s="119"/>
      <c r="X404" s="110" t="s">
        <v>612</v>
      </c>
      <c r="Y404" s="110"/>
      <c r="Z404" s="110"/>
      <c r="AA404" s="110"/>
      <c r="AB404" s="110" t="s">
        <v>244</v>
      </c>
      <c r="AC404" s="110" t="s">
        <v>538</v>
      </c>
      <c r="AD404" s="110" t="n">
        <f aca="false">IF(ISNUMBER(V404),ROUND(V404,6),"")</f>
        <v>26.19</v>
      </c>
      <c r="AE404" s="110" t="str">
        <f aca="false">IF(AND(AC404="yes",ISNUMBER(F404),IF(Compare!$H$5="All mapped",TRUE(),IF(Compare!$H$5="EXACT only",J404="EXACT",OR(J404="EXACT",J404="CLOSE")))),"yes","no")</f>
        <v>no</v>
      </c>
      <c r="AF404" s="110" t="str">
        <f aca="false">IF(ISNUMBER(H404),COUNTIFS($B$7:$B$3000,B404,$C$7:$C$3000,C404,$H$7:$H$3000,"&lt;"&amp;H404,$AH$7:$AH$3000,"yes")+COUNTIFS($B$7:B404,B404,$C$7:C404,C404,$H$7:H404,H404,$AH$7:AH404,"yes"),"")</f>
        <v/>
      </c>
      <c r="AG404" s="110" t="str">
        <f aca="false">IF(ISNUMBER(I404),COUNTIFS($B$7:$B$3000,B404,$C$7:$C$3000,C404,$I$7:$I$3000,"&lt;"&amp;I404,$AI$7:$AI$3000,"yes")+COUNTIFS($B$7:B404,B404,$C$7:C404,C404,$I$7:I404,I404,$AI$7:AI404,"yes"),"")</f>
        <v/>
      </c>
      <c r="AH404" s="110" t="str">
        <f aca="false">IF(ISNUMBER(H404),"yes","no")</f>
        <v>no</v>
      </c>
      <c r="AI404" s="110" t="str">
        <f aca="false">IF(ISNUMBER(I404),"yes","no")</f>
        <v>no</v>
      </c>
      <c r="AJ404" s="120" t="n">
        <v>46295</v>
      </c>
      <c r="AK404" s="110"/>
    </row>
    <row r="405" customFormat="false" ht="42" hidden="false" customHeight="true" outlineLevel="0" collapsed="false">
      <c r="A405" s="3"/>
      <c r="B405" s="31" t="s">
        <v>41</v>
      </c>
      <c r="C405" s="91" t="s">
        <v>16</v>
      </c>
      <c r="D405" s="91" t="s">
        <v>313</v>
      </c>
      <c r="E405" s="109" t="s">
        <v>1511</v>
      </c>
      <c r="F405" s="92" t="n">
        <v>254.9</v>
      </c>
      <c r="G405" s="91" t="s">
        <v>244</v>
      </c>
      <c r="H405" s="112" t="str">
        <f aca="false">IF(AND(AE405="yes",ISNUMBER(AD405)),AD405,"")</f>
        <v/>
      </c>
      <c r="I405" s="95" t="str">
        <f aca="false">IF(AND(AE405="yes",ISNUMBER(AD405),ISNUMBER(INDEX(Sources!$G$7:$G$10,MATCH(AB405,Sources!$B$7:$B$10,0)))),ROUND(AD405/INDEX(Sources!$G$7:$G$10,MATCH(AB405,Sources!$B$7:$B$10,0)),6),"")</f>
        <v/>
      </c>
      <c r="J405" s="91" t="s">
        <v>629</v>
      </c>
      <c r="K405" s="91" t="s">
        <v>586</v>
      </c>
      <c r="L405" s="96"/>
      <c r="M405" s="109" t="s">
        <v>1512</v>
      </c>
      <c r="N405" s="113" t="s">
        <v>1520</v>
      </c>
      <c r="O405" s="109" t="s">
        <v>642</v>
      </c>
      <c r="P405" s="109" t="s">
        <v>265</v>
      </c>
      <c r="Q405" s="114"/>
      <c r="R405" s="109" t="n">
        <v>1</v>
      </c>
      <c r="S405" s="109"/>
      <c r="T405" s="109" t="s">
        <v>629</v>
      </c>
      <c r="U405" s="109" t="s">
        <v>591</v>
      </c>
      <c r="V405" s="115" t="n">
        <v>214.2</v>
      </c>
      <c r="W405" s="115"/>
      <c r="X405" s="109" t="s">
        <v>612</v>
      </c>
      <c r="Y405" s="109"/>
      <c r="Z405" s="109"/>
      <c r="AA405" s="109"/>
      <c r="AB405" s="109" t="s">
        <v>244</v>
      </c>
      <c r="AC405" s="109" t="s">
        <v>538</v>
      </c>
      <c r="AD405" s="109" t="n">
        <f aca="false">IF(ISNUMBER(V405),ROUND(V405,6),"")</f>
        <v>214.2</v>
      </c>
      <c r="AE405" s="109" t="str">
        <f aca="false">IF(AND(AC405="yes",ISNUMBER(F405),IF(Compare!$H$5="All mapped",TRUE(),IF(Compare!$H$5="EXACT only",J405="EXACT",OR(J405="EXACT",J405="CLOSE")))),"yes","no")</f>
        <v>no</v>
      </c>
      <c r="AF405" s="109" t="str">
        <f aca="false">IF(ISNUMBER(H405),COUNTIFS($B$7:$B$3000,B405,$C$7:$C$3000,C405,$H$7:$H$3000,"&lt;"&amp;H405,$AH$7:$AH$3000,"yes")+COUNTIFS($B$7:B405,B405,$C$7:C405,C405,$H$7:H405,H405,$AH$7:AH405,"yes"),"")</f>
        <v/>
      </c>
      <c r="AG405" s="109" t="str">
        <f aca="false">IF(ISNUMBER(I405),COUNTIFS($B$7:$B$3000,B405,$C$7:$C$3000,C405,$I$7:$I$3000,"&lt;"&amp;I405,$AI$7:$AI$3000,"yes")+COUNTIFS($B$7:B405,B405,$C$7:C405,C405,$I$7:I405,I405,$AI$7:AI405,"yes"),"")</f>
        <v/>
      </c>
      <c r="AH405" s="109" t="str">
        <f aca="false">IF(ISNUMBER(H405),"yes","no")</f>
        <v>no</v>
      </c>
      <c r="AI405" s="109" t="str">
        <f aca="false">IF(ISNUMBER(I405),"yes","no")</f>
        <v>no</v>
      </c>
      <c r="AJ405" s="116" t="n">
        <v>46295</v>
      </c>
      <c r="AK405" s="109"/>
    </row>
    <row r="406" customFormat="false" ht="42" hidden="false" customHeight="true" outlineLevel="0" collapsed="false">
      <c r="A406" s="3"/>
      <c r="B406" s="36" t="s">
        <v>41</v>
      </c>
      <c r="C406" s="98" t="s">
        <v>16</v>
      </c>
      <c r="D406" s="98" t="s">
        <v>321</v>
      </c>
      <c r="E406" s="110" t="s">
        <v>1514</v>
      </c>
      <c r="F406" s="99" t="n">
        <v>176.33</v>
      </c>
      <c r="G406" s="98" t="s">
        <v>244</v>
      </c>
      <c r="H406" s="112" t="str">
        <f aca="false">IF(AND(AE406="yes",ISNUMBER(AD406)),AD406,"")</f>
        <v/>
      </c>
      <c r="I406" s="95" t="str">
        <f aca="false">IF(AND(AE406="yes",ISNUMBER(AD406),ISNUMBER(INDEX(Sources!$G$7:$G$10,MATCH(AB406,Sources!$B$7:$B$10,0)))),ROUND(AD406/INDEX(Sources!$G$7:$G$10,MATCH(AB406,Sources!$B$7:$B$10,0)),6),"")</f>
        <v/>
      </c>
      <c r="J406" s="98" t="s">
        <v>629</v>
      </c>
      <c r="K406" s="98" t="s">
        <v>586</v>
      </c>
      <c r="L406" s="96"/>
      <c r="M406" s="110" t="s">
        <v>1515</v>
      </c>
      <c r="N406" s="117" t="s">
        <v>1521</v>
      </c>
      <c r="O406" s="110" t="s">
        <v>642</v>
      </c>
      <c r="P406" s="110" t="s">
        <v>590</v>
      </c>
      <c r="Q406" s="118"/>
      <c r="R406" s="110" t="n">
        <v>1</v>
      </c>
      <c r="S406" s="110"/>
      <c r="T406" s="110" t="s">
        <v>629</v>
      </c>
      <c r="U406" s="110" t="s">
        <v>591</v>
      </c>
      <c r="V406" s="119" t="n">
        <v>176.33</v>
      </c>
      <c r="W406" s="119"/>
      <c r="X406" s="110" t="s">
        <v>612</v>
      </c>
      <c r="Y406" s="110"/>
      <c r="Z406" s="110"/>
      <c r="AA406" s="110"/>
      <c r="AB406" s="110" t="s">
        <v>244</v>
      </c>
      <c r="AC406" s="110" t="s">
        <v>538</v>
      </c>
      <c r="AD406" s="110" t="n">
        <f aca="false">IF(ISNUMBER(V406),ROUND(V406,6),"")</f>
        <v>176.33</v>
      </c>
      <c r="AE406" s="110" t="str">
        <f aca="false">IF(AND(AC406="yes",ISNUMBER(F406),IF(Compare!$H$5="All mapped",TRUE(),IF(Compare!$H$5="EXACT only",J406="EXACT",OR(J406="EXACT",J406="CLOSE")))),"yes","no")</f>
        <v>no</v>
      </c>
      <c r="AF406" s="110" t="str">
        <f aca="false">IF(ISNUMBER(H406),COUNTIFS($B$7:$B$3000,B406,$C$7:$C$3000,C406,$H$7:$H$3000,"&lt;"&amp;H406,$AH$7:$AH$3000,"yes")+COUNTIFS($B$7:B406,B406,$C$7:C406,C406,$H$7:H406,H406,$AH$7:AH406,"yes"),"")</f>
        <v/>
      </c>
      <c r="AG406" s="110" t="str">
        <f aca="false">IF(ISNUMBER(I406),COUNTIFS($B$7:$B$3000,B406,$C$7:$C$3000,C406,$I$7:$I$3000,"&lt;"&amp;I406,$AI$7:$AI$3000,"yes")+COUNTIFS($B$7:B406,B406,$C$7:C406,C406,$I$7:I406,I406,$AI$7:AI406,"yes"),"")</f>
        <v/>
      </c>
      <c r="AH406" s="110" t="str">
        <f aca="false">IF(ISNUMBER(H406),"yes","no")</f>
        <v>no</v>
      </c>
      <c r="AI406" s="110" t="str">
        <f aca="false">IF(ISNUMBER(I406),"yes","no")</f>
        <v>no</v>
      </c>
      <c r="AJ406" s="120" t="n">
        <v>46295</v>
      </c>
      <c r="AK406" s="110"/>
    </row>
    <row r="407" customFormat="false" ht="42" hidden="false" customHeight="true" outlineLevel="0" collapsed="false">
      <c r="A407" s="3"/>
      <c r="B407" s="31" t="s">
        <v>41</v>
      </c>
      <c r="C407" s="91" t="s">
        <v>16</v>
      </c>
      <c r="D407" s="91" t="s">
        <v>329</v>
      </c>
      <c r="E407" s="109" t="s">
        <v>1511</v>
      </c>
      <c r="F407" s="92" t="n">
        <v>177.99</v>
      </c>
      <c r="G407" s="91" t="s">
        <v>244</v>
      </c>
      <c r="H407" s="112" t="str">
        <f aca="false">IF(AND(AE407="yes",ISNUMBER(AD407)),AD407,"")</f>
        <v/>
      </c>
      <c r="I407" s="95" t="str">
        <f aca="false">IF(AND(AE407="yes",ISNUMBER(AD407),ISNUMBER(INDEX(Sources!$G$7:$G$10,MATCH(AB407,Sources!$B$7:$B$10,0)))),ROUND(AD407/INDEX(Sources!$G$7:$G$10,MATCH(AB407,Sources!$B$7:$B$10,0)),6),"")</f>
        <v/>
      </c>
      <c r="J407" s="91" t="s">
        <v>629</v>
      </c>
      <c r="K407" s="91" t="s">
        <v>586</v>
      </c>
      <c r="L407" s="96"/>
      <c r="M407" s="109" t="s">
        <v>1522</v>
      </c>
      <c r="N407" s="113" t="s">
        <v>1523</v>
      </c>
      <c r="O407" s="109" t="s">
        <v>642</v>
      </c>
      <c r="P407" s="109" t="s">
        <v>590</v>
      </c>
      <c r="Q407" s="114"/>
      <c r="R407" s="109" t="n">
        <v>1</v>
      </c>
      <c r="S407" s="109"/>
      <c r="T407" s="109" t="s">
        <v>629</v>
      </c>
      <c r="U407" s="109" t="s">
        <v>591</v>
      </c>
      <c r="V407" s="115" t="n">
        <v>177.99</v>
      </c>
      <c r="W407" s="115"/>
      <c r="X407" s="109" t="s">
        <v>612</v>
      </c>
      <c r="Y407" s="109"/>
      <c r="Z407" s="109"/>
      <c r="AA407" s="109"/>
      <c r="AB407" s="109" t="s">
        <v>244</v>
      </c>
      <c r="AC407" s="109" t="s">
        <v>538</v>
      </c>
      <c r="AD407" s="109" t="n">
        <f aca="false">IF(ISNUMBER(V407),ROUND(V407,6),"")</f>
        <v>177.99</v>
      </c>
      <c r="AE407" s="109" t="str">
        <f aca="false">IF(AND(AC407="yes",ISNUMBER(F407),IF(Compare!$H$5="All mapped",TRUE(),IF(Compare!$H$5="EXACT only",J407="EXACT",OR(J407="EXACT",J407="CLOSE")))),"yes","no")</f>
        <v>no</v>
      </c>
      <c r="AF407" s="109" t="str">
        <f aca="false">IF(ISNUMBER(H407),COUNTIFS($B$7:$B$3000,B407,$C$7:$C$3000,C407,$H$7:$H$3000,"&lt;"&amp;H407,$AH$7:$AH$3000,"yes")+COUNTIFS($B$7:B407,B407,$C$7:C407,C407,$H$7:H407,H407,$AH$7:AH407,"yes"),"")</f>
        <v/>
      </c>
      <c r="AG407" s="109" t="str">
        <f aca="false">IF(ISNUMBER(I407),COUNTIFS($B$7:$B$3000,B407,$C$7:$C$3000,C407,$I$7:$I$3000,"&lt;"&amp;I407,$AI$7:$AI$3000,"yes")+COUNTIFS($B$7:B407,B407,$C$7:C407,C407,$I$7:I407,I407,$AI$7:AI407,"yes"),"")</f>
        <v/>
      </c>
      <c r="AH407" s="109" t="str">
        <f aca="false">IF(ISNUMBER(H407),"yes","no")</f>
        <v>no</v>
      </c>
      <c r="AI407" s="109" t="str">
        <f aca="false">IF(ISNUMBER(I407),"yes","no")</f>
        <v>no</v>
      </c>
      <c r="AJ407" s="116" t="n">
        <v>46295</v>
      </c>
      <c r="AK407" s="109"/>
    </row>
    <row r="408" customFormat="false" ht="48.75" hidden="false" customHeight="true" outlineLevel="0" collapsed="false">
      <c r="A408" s="3"/>
      <c r="B408" s="36" t="s">
        <v>41</v>
      </c>
      <c r="C408" s="98" t="s">
        <v>17</v>
      </c>
      <c r="D408" s="98" t="s">
        <v>346</v>
      </c>
      <c r="E408" s="110" t="s">
        <v>1524</v>
      </c>
      <c r="F408" s="99" t="n">
        <v>2150</v>
      </c>
      <c r="G408" s="98" t="s">
        <v>333</v>
      </c>
      <c r="H408" s="112" t="str">
        <f aca="false">IF(AND(AE408="yes",ISNUMBER(AD408)),AD408,"")</f>
        <v/>
      </c>
      <c r="I408" s="95" t="str">
        <f aca="false">IF(AND(AE408="yes",ISNUMBER(AD408),ISNUMBER(INDEX(Sources!$G$7:$G$10,MATCH(AB408,Sources!$B$7:$B$10,0)))),ROUND(AD408/INDEX(Sources!$G$7:$G$10,MATCH(AB408,Sources!$B$7:$B$10,0)),6),"")</f>
        <v/>
      </c>
      <c r="J408" s="98" t="s">
        <v>629</v>
      </c>
      <c r="K408" s="98" t="s">
        <v>586</v>
      </c>
      <c r="L408" s="96"/>
      <c r="M408" s="110" t="s">
        <v>1525</v>
      </c>
      <c r="N408" s="117" t="s">
        <v>1526</v>
      </c>
      <c r="O408" s="110" t="s">
        <v>1527</v>
      </c>
      <c r="P408" s="110" t="s">
        <v>265</v>
      </c>
      <c r="Q408" s="118" t="n">
        <v>0.21</v>
      </c>
      <c r="R408" s="110" t="n">
        <v>1</v>
      </c>
      <c r="S408" s="110" t="s">
        <v>632</v>
      </c>
      <c r="T408" s="110" t="s">
        <v>629</v>
      </c>
      <c r="U408" s="110" t="s">
        <v>591</v>
      </c>
      <c r="V408" s="119"/>
      <c r="W408" s="119"/>
      <c r="X408" s="110" t="s">
        <v>626</v>
      </c>
      <c r="Y408" s="110"/>
      <c r="Z408" s="110"/>
      <c r="AA408" s="110"/>
      <c r="AB408" s="110" t="s">
        <v>333</v>
      </c>
      <c r="AC408" s="110" t="s">
        <v>538</v>
      </c>
      <c r="AD408" s="110" t="n">
        <f aca="false">IF(OR(F408="",Q408="",R408=""),"",ROUND(IF(P408="incl.",F408/(1+Q408),F408)/IF(S408="per pack",R408,1),2))</f>
        <v>1776.86</v>
      </c>
      <c r="AE408" s="110" t="str">
        <f aca="false">IF(AND(AC408="yes",ISNUMBER(F408),IF(Compare!$H$5="All mapped",TRUE(),IF(Compare!$H$5="EXACT only",J408="EXACT",OR(J408="EXACT",J408="CLOSE")))),"yes","no")</f>
        <v>no</v>
      </c>
      <c r="AF408" s="110" t="str">
        <f aca="false">IF(ISNUMBER(H408),COUNTIFS($B$7:$B$3000,B408,$C$7:$C$3000,C408,$H$7:$H$3000,"&lt;"&amp;H408,$AH$7:$AH$3000,"yes")+COUNTIFS($B$7:B408,B408,$C$7:C408,C408,$H$7:H408,H408,$AH$7:AH408,"yes"),"")</f>
        <v/>
      </c>
      <c r="AG408" s="110" t="str">
        <f aca="false">IF(ISNUMBER(I408),COUNTIFS($B$7:$B$3000,B408,$C$7:$C$3000,C408,$I$7:$I$3000,"&lt;"&amp;I408,$AI$7:$AI$3000,"yes")+COUNTIFS($B$7:B408,B408,$C$7:C408,C408,$I$7:I408,I408,$AI$7:AI408,"yes"),"")</f>
        <v/>
      </c>
      <c r="AH408" s="110" t="str">
        <f aca="false">IF(ISNUMBER(H408),"yes","no")</f>
        <v>no</v>
      </c>
      <c r="AI408" s="110" t="str">
        <f aca="false">IF(ISNUMBER(I408),"yes","no")</f>
        <v>no</v>
      </c>
      <c r="AJ408" s="120" t="n">
        <v>46295</v>
      </c>
      <c r="AK408" s="110"/>
    </row>
    <row r="409" customFormat="false" ht="48.75" hidden="false" customHeight="true" outlineLevel="0" collapsed="false">
      <c r="A409" s="3"/>
      <c r="B409" s="31" t="s">
        <v>41</v>
      </c>
      <c r="C409" s="91" t="s">
        <v>18</v>
      </c>
      <c r="D409" s="91" t="s">
        <v>365</v>
      </c>
      <c r="E409" s="109" t="s">
        <v>949</v>
      </c>
      <c r="F409" s="92"/>
      <c r="G409" s="91"/>
      <c r="H409" s="112" t="str">
        <f aca="false">IF(AND(AE409="yes",ISNUMBER(AD409)),AD409,"")</f>
        <v/>
      </c>
      <c r="I409" s="95" t="str">
        <f aca="false">IF(AND(AE409="yes",ISNUMBER(AD409),ISNUMBER(INDEX(Sources!$G$7:$G$10,MATCH(AB409,Sources!$B$7:$B$10,0)))),ROUND(AD409/INDEX(Sources!$G$7:$G$10,MATCH(AB409,Sources!$B$7:$B$10,0)),6),"")</f>
        <v/>
      </c>
      <c r="J409" s="91"/>
      <c r="K409" s="91" t="s">
        <v>586</v>
      </c>
      <c r="L409" s="96"/>
      <c r="M409" s="109" t="s">
        <v>1528</v>
      </c>
      <c r="N409" s="113" t="s">
        <v>1529</v>
      </c>
      <c r="O409" s="109"/>
      <c r="P409" s="109"/>
      <c r="Q409" s="114"/>
      <c r="R409" s="109"/>
      <c r="S409" s="109"/>
      <c r="T409" s="109"/>
      <c r="U409" s="109" t="s">
        <v>591</v>
      </c>
      <c r="V409" s="115"/>
      <c r="W409" s="115"/>
      <c r="X409" s="109" t="s">
        <v>648</v>
      </c>
      <c r="Y409" s="109"/>
      <c r="Z409" s="109"/>
      <c r="AA409" s="109"/>
      <c r="AB409" s="109" t="s">
        <v>244</v>
      </c>
      <c r="AC409" s="109" t="s">
        <v>538</v>
      </c>
      <c r="AD409" s="109" t="str">
        <f aca="false">IF(ISNUMBER(V409),ROUND(V409,6),"")</f>
        <v/>
      </c>
      <c r="AE409" s="109" t="str">
        <f aca="false">IF(AND(AC409="yes",ISNUMBER(F409),IF(Compare!$H$5="All mapped",TRUE(),IF(Compare!$H$5="EXACT only",J409="EXACT",OR(J409="EXACT",J409="CLOSE")))),"yes","no")</f>
        <v>no</v>
      </c>
      <c r="AF409" s="109" t="str">
        <f aca="false">IF(ISNUMBER(H409),COUNTIFS($B$7:$B$3000,B409,$C$7:$C$3000,C409,$H$7:$H$3000,"&lt;"&amp;H409,$AH$7:$AH$3000,"yes")+COUNTIFS($B$7:B409,B409,$C$7:C409,C409,$H$7:H409,H409,$AH$7:AH409,"yes"),"")</f>
        <v/>
      </c>
      <c r="AG409" s="109" t="str">
        <f aca="false">IF(ISNUMBER(I409),COUNTIFS($B$7:$B$3000,B409,$C$7:$C$3000,C409,$I$7:$I$3000,"&lt;"&amp;I409,$AI$7:$AI$3000,"yes")+COUNTIFS($B$7:B409,B409,$C$7:C409,C409,$I$7:I409,I409,$AI$7:AI409,"yes"),"")</f>
        <v/>
      </c>
      <c r="AH409" s="109" t="str">
        <f aca="false">IF(ISNUMBER(H409),"yes","no")</f>
        <v>no</v>
      </c>
      <c r="AI409" s="109" t="str">
        <f aca="false">IF(ISNUMBER(I409),"yes","no")</f>
        <v>no</v>
      </c>
      <c r="AJ409" s="116" t="n">
        <v>46295</v>
      </c>
      <c r="AK409" s="109"/>
    </row>
    <row r="410" customFormat="false" ht="42" hidden="false" customHeight="true" outlineLevel="0" collapsed="false">
      <c r="A410" s="3"/>
      <c r="B410" s="36" t="s">
        <v>41</v>
      </c>
      <c r="C410" s="98" t="s">
        <v>18</v>
      </c>
      <c r="D410" s="98" t="s">
        <v>369</v>
      </c>
      <c r="E410" s="110" t="s">
        <v>949</v>
      </c>
      <c r="F410" s="99"/>
      <c r="G410" s="98"/>
      <c r="H410" s="112" t="str">
        <f aca="false">IF(AND(AE410="yes",ISNUMBER(AD410)),AD410,"")</f>
        <v/>
      </c>
      <c r="I410" s="95" t="str">
        <f aca="false">IF(AND(AE410="yes",ISNUMBER(AD410),ISNUMBER(INDEX(Sources!$G$7:$G$10,MATCH(AB410,Sources!$B$7:$B$10,0)))),ROUND(AD410/INDEX(Sources!$G$7:$G$10,MATCH(AB410,Sources!$B$7:$B$10,0)),6),"")</f>
        <v/>
      </c>
      <c r="J410" s="98"/>
      <c r="K410" s="98" t="s">
        <v>586</v>
      </c>
      <c r="L410" s="96"/>
      <c r="M410" s="110" t="s">
        <v>1530</v>
      </c>
      <c r="N410" s="117" t="s">
        <v>1531</v>
      </c>
      <c r="O410" s="110"/>
      <c r="P410" s="110"/>
      <c r="Q410" s="118"/>
      <c r="R410" s="110"/>
      <c r="S410" s="110"/>
      <c r="T410" s="110"/>
      <c r="U410" s="110" t="s">
        <v>591</v>
      </c>
      <c r="V410" s="119"/>
      <c r="W410" s="119"/>
      <c r="X410" s="110" t="s">
        <v>648</v>
      </c>
      <c r="Y410" s="110"/>
      <c r="Z410" s="110"/>
      <c r="AA410" s="110"/>
      <c r="AB410" s="110" t="s">
        <v>244</v>
      </c>
      <c r="AC410" s="110" t="s">
        <v>538</v>
      </c>
      <c r="AD410" s="110" t="str">
        <f aca="false">IF(ISNUMBER(V410),ROUND(V410,6),"")</f>
        <v/>
      </c>
      <c r="AE410" s="110" t="str">
        <f aca="false">IF(AND(AC410="yes",ISNUMBER(F410),IF(Compare!$H$5="All mapped",TRUE(),IF(Compare!$H$5="EXACT only",J410="EXACT",OR(J410="EXACT",J410="CLOSE")))),"yes","no")</f>
        <v>no</v>
      </c>
      <c r="AF410" s="110" t="str">
        <f aca="false">IF(ISNUMBER(H410),COUNTIFS($B$7:$B$3000,B410,$C$7:$C$3000,C410,$H$7:$H$3000,"&lt;"&amp;H410,$AH$7:$AH$3000,"yes")+COUNTIFS($B$7:B410,B410,$C$7:C410,C410,$H$7:H410,H410,$AH$7:AH410,"yes"),"")</f>
        <v/>
      </c>
      <c r="AG410" s="110" t="str">
        <f aca="false">IF(ISNUMBER(I410),COUNTIFS($B$7:$B$3000,B410,$C$7:$C$3000,C410,$I$7:$I$3000,"&lt;"&amp;I410,$AI$7:$AI$3000,"yes")+COUNTIFS($B$7:B410,B410,$C$7:C410,C410,$I$7:I410,I410,$AI$7:AI410,"yes"),"")</f>
        <v/>
      </c>
      <c r="AH410" s="110" t="str">
        <f aca="false">IF(ISNUMBER(H410),"yes","no")</f>
        <v>no</v>
      </c>
      <c r="AI410" s="110" t="str">
        <f aca="false">IF(ISNUMBER(I410),"yes","no")</f>
        <v>no</v>
      </c>
      <c r="AJ410" s="120" t="n">
        <v>46295</v>
      </c>
      <c r="AK410" s="110"/>
    </row>
    <row r="411" customFormat="false" ht="42" hidden="false" customHeight="true" outlineLevel="0" collapsed="false">
      <c r="A411" s="3"/>
      <c r="B411" s="31" t="s">
        <v>43</v>
      </c>
      <c r="C411" s="91" t="s">
        <v>15</v>
      </c>
      <c r="D411" s="91" t="s">
        <v>243</v>
      </c>
      <c r="E411" s="109" t="s">
        <v>1532</v>
      </c>
      <c r="F411" s="92" t="n">
        <v>12.23</v>
      </c>
      <c r="G411" s="91" t="s">
        <v>244</v>
      </c>
      <c r="H411" s="112" t="n">
        <f aca="false">IF(AND(AE411="yes",ISNUMBER(AD411)),AD411,"")</f>
        <v>12.23</v>
      </c>
      <c r="I411" s="95" t="n">
        <f aca="false">IF(AND(AE411="yes",ISNUMBER(AD411),ISNUMBER(INDEX(Sources!$G$7:$G$10,MATCH(AB411,Sources!$B$7:$B$10,0)))),ROUND(AD411/INDEX(Sources!$G$7:$G$10,MATCH(AB411,Sources!$B$7:$B$10,0)),6),"")</f>
        <v>12.23</v>
      </c>
      <c r="J411" s="91" t="s">
        <v>530</v>
      </c>
      <c r="K411" s="91" t="s">
        <v>586</v>
      </c>
      <c r="L411" s="96"/>
      <c r="M411" s="109" t="s">
        <v>1533</v>
      </c>
      <c r="N411" s="113" t="s">
        <v>1534</v>
      </c>
      <c r="O411" s="109" t="s">
        <v>388</v>
      </c>
      <c r="P411" s="109" t="s">
        <v>590</v>
      </c>
      <c r="Q411" s="114"/>
      <c r="R411" s="109" t="n">
        <v>1</v>
      </c>
      <c r="S411" s="109"/>
      <c r="T411" s="109" t="s">
        <v>530</v>
      </c>
      <c r="U411" s="109" t="s">
        <v>1535</v>
      </c>
      <c r="V411" s="115" t="n">
        <v>12.23</v>
      </c>
      <c r="W411" s="115"/>
      <c r="X411" s="109" t="s">
        <v>1536</v>
      </c>
      <c r="Y411" s="109"/>
      <c r="Z411" s="109"/>
      <c r="AA411" s="109"/>
      <c r="AB411" s="109" t="s">
        <v>244</v>
      </c>
      <c r="AC411" s="109" t="s">
        <v>538</v>
      </c>
      <c r="AD411" s="109" t="n">
        <f aca="false">IF(ISNUMBER(V411),ROUND(V411,6),"")</f>
        <v>12.23</v>
      </c>
      <c r="AE411" s="109" t="str">
        <f aca="false">IF(AND(AC411="yes",ISNUMBER(F411),IF(Compare!$H$5="All mapped",TRUE(),IF(Compare!$H$5="EXACT only",J411="EXACT",OR(J411="EXACT",J411="CLOSE")))),"yes","no")</f>
        <v>yes</v>
      </c>
      <c r="AF411" s="109" t="n">
        <f aca="false">IF(ISNUMBER(H411),COUNTIFS($B$7:$B$3000,B411,$C$7:$C$3000,C411,$H$7:$H$3000,"&lt;"&amp;H411,$AH$7:$AH$3000,"yes")+COUNTIFS($B$7:B411,B411,$C$7:C411,C411,$H$7:H411,H411,$AH$7:AH411,"yes"),"")</f>
        <v>4</v>
      </c>
      <c r="AG411" s="109" t="n">
        <f aca="false">IF(ISNUMBER(I411),COUNTIFS($B$7:$B$3000,B411,$C$7:$C$3000,C411,$I$7:$I$3000,"&lt;"&amp;I411,$AI$7:$AI$3000,"yes")+COUNTIFS($B$7:B411,B411,$C$7:C411,C411,$I$7:I411,I411,$AI$7:AI411,"yes"),"")</f>
        <v>4</v>
      </c>
      <c r="AH411" s="109" t="str">
        <f aca="false">IF(ISNUMBER(H411),"yes","no")</f>
        <v>yes</v>
      </c>
      <c r="AI411" s="109" t="str">
        <f aca="false">IF(ISNUMBER(I411),"yes","no")</f>
        <v>yes</v>
      </c>
      <c r="AJ411" s="116" t="n">
        <v>46295</v>
      </c>
      <c r="AK411" s="109"/>
    </row>
    <row r="412" customFormat="false" ht="42" hidden="false" customHeight="true" outlineLevel="0" collapsed="false">
      <c r="A412" s="3"/>
      <c r="B412" s="36" t="s">
        <v>43</v>
      </c>
      <c r="C412" s="98" t="s">
        <v>15</v>
      </c>
      <c r="D412" s="98" t="s">
        <v>277</v>
      </c>
      <c r="E412" s="110" t="s">
        <v>1537</v>
      </c>
      <c r="F412" s="99" t="n">
        <v>42.99</v>
      </c>
      <c r="G412" s="98" t="s">
        <v>244</v>
      </c>
      <c r="H412" s="112" t="n">
        <f aca="false">IF(AND(AE412="yes",ISNUMBER(AD412)),AD412,"")</f>
        <v>7.17</v>
      </c>
      <c r="I412" s="95" t="n">
        <f aca="false">IF(AND(AE412="yes",ISNUMBER(AD412),ISNUMBER(INDEX(Sources!$G$7:$G$10,MATCH(AB412,Sources!$B$7:$B$10,0)))),ROUND(AD412/INDEX(Sources!$G$7:$G$10,MATCH(AB412,Sources!$B$7:$B$10,0)),6),"")</f>
        <v>7.17</v>
      </c>
      <c r="J412" s="98" t="s">
        <v>530</v>
      </c>
      <c r="K412" s="98" t="s">
        <v>586</v>
      </c>
      <c r="L412" s="96"/>
      <c r="M412" s="110" t="s">
        <v>1538</v>
      </c>
      <c r="N412" s="117" t="s">
        <v>1539</v>
      </c>
      <c r="O412" s="110" t="s">
        <v>610</v>
      </c>
      <c r="P412" s="110" t="s">
        <v>590</v>
      </c>
      <c r="Q412" s="118"/>
      <c r="R412" s="110" t="n">
        <v>6</v>
      </c>
      <c r="S412" s="110" t="s">
        <v>611</v>
      </c>
      <c r="T412" s="110" t="s">
        <v>530</v>
      </c>
      <c r="U412" s="110" t="s">
        <v>1535</v>
      </c>
      <c r="V412" s="119" t="n">
        <v>7.17</v>
      </c>
      <c r="W412" s="119"/>
      <c r="X412" s="110" t="s">
        <v>1536</v>
      </c>
      <c r="Y412" s="110"/>
      <c r="Z412" s="110" t="s">
        <v>1540</v>
      </c>
      <c r="AA412" s="110"/>
      <c r="AB412" s="110" t="s">
        <v>244</v>
      </c>
      <c r="AC412" s="110" t="s">
        <v>538</v>
      </c>
      <c r="AD412" s="110" t="n">
        <f aca="false">IF(ISNUMBER(V412),ROUND(V412,6),"")</f>
        <v>7.17</v>
      </c>
      <c r="AE412" s="110" t="str">
        <f aca="false">IF(AND(AC412="yes",ISNUMBER(F412),IF(Compare!$H$5="All mapped",TRUE(),IF(Compare!$H$5="EXACT only",J412="EXACT",OR(J412="EXACT",J412="CLOSE")))),"yes","no")</f>
        <v>yes</v>
      </c>
      <c r="AF412" s="110" t="n">
        <f aca="false">IF(ISNUMBER(H412),COUNTIFS($B$7:$B$3000,B412,$C$7:$C$3000,C412,$H$7:$H$3000,"&lt;"&amp;H412,$AH$7:$AH$3000,"yes")+COUNTIFS($B$7:B412,B412,$C$7:C412,C412,$H$7:H412,H412,$AH$7:AH412,"yes"),"")</f>
        <v>1</v>
      </c>
      <c r="AG412" s="110" t="n">
        <f aca="false">IF(ISNUMBER(I412),COUNTIFS($B$7:$B$3000,B412,$C$7:$C$3000,C412,$I$7:$I$3000,"&lt;"&amp;I412,$AI$7:$AI$3000,"yes")+COUNTIFS($B$7:B412,B412,$C$7:C412,C412,$I$7:I412,I412,$AI$7:AI412,"yes"),"")</f>
        <v>1</v>
      </c>
      <c r="AH412" s="110" t="str">
        <f aca="false">IF(ISNUMBER(H412),"yes","no")</f>
        <v>yes</v>
      </c>
      <c r="AI412" s="110" t="str">
        <f aca="false">IF(ISNUMBER(I412),"yes","no")</f>
        <v>yes</v>
      </c>
      <c r="AJ412" s="120" t="n">
        <v>46295</v>
      </c>
      <c r="AK412" s="110"/>
    </row>
    <row r="413" customFormat="false" ht="42" hidden="false" customHeight="true" outlineLevel="0" collapsed="false">
      <c r="A413" s="3"/>
      <c r="B413" s="31" t="s">
        <v>43</v>
      </c>
      <c r="C413" s="91" t="s">
        <v>15</v>
      </c>
      <c r="D413" s="91" t="s">
        <v>269</v>
      </c>
      <c r="E413" s="109" t="s">
        <v>1541</v>
      </c>
      <c r="F413" s="92" t="n">
        <v>19.99</v>
      </c>
      <c r="G413" s="91" t="s">
        <v>244</v>
      </c>
      <c r="H413" s="112" t="n">
        <f aca="false">IF(AND(AE413="yes",ISNUMBER(AD413)),AD413,"")</f>
        <v>19.99</v>
      </c>
      <c r="I413" s="95" t="n">
        <f aca="false">IF(AND(AE413="yes",ISNUMBER(AD413),ISNUMBER(INDEX(Sources!$G$7:$G$10,MATCH(AB413,Sources!$B$7:$B$10,0)))),ROUND(AD413/INDEX(Sources!$G$7:$G$10,MATCH(AB413,Sources!$B$7:$B$10,0)),6),"")</f>
        <v>19.99</v>
      </c>
      <c r="J413" s="91" t="s">
        <v>702</v>
      </c>
      <c r="K413" s="91" t="s">
        <v>586</v>
      </c>
      <c r="L413" s="96"/>
      <c r="M413" s="109" t="s">
        <v>1542</v>
      </c>
      <c r="N413" s="113" t="s">
        <v>1543</v>
      </c>
      <c r="O413" s="109" t="s">
        <v>388</v>
      </c>
      <c r="P413" s="109" t="s">
        <v>590</v>
      </c>
      <c r="Q413" s="114"/>
      <c r="R413" s="109" t="n">
        <v>1</v>
      </c>
      <c r="S413" s="109"/>
      <c r="T413" s="109" t="s">
        <v>702</v>
      </c>
      <c r="U413" s="109" t="s">
        <v>1535</v>
      </c>
      <c r="V413" s="115" t="n">
        <v>19.99</v>
      </c>
      <c r="W413" s="115"/>
      <c r="X413" s="109" t="s">
        <v>1536</v>
      </c>
      <c r="Y413" s="109"/>
      <c r="Z413" s="109"/>
      <c r="AA413" s="109"/>
      <c r="AB413" s="109" t="s">
        <v>244</v>
      </c>
      <c r="AC413" s="109" t="s">
        <v>538</v>
      </c>
      <c r="AD413" s="109" t="n">
        <f aca="false">IF(ISNUMBER(V413),ROUND(V413,6),"")</f>
        <v>19.99</v>
      </c>
      <c r="AE413" s="109" t="str">
        <f aca="false">IF(AND(AC413="yes",ISNUMBER(F413),IF(Compare!$H$5="All mapped",TRUE(),IF(Compare!$H$5="EXACT only",J413="EXACT",OR(J413="EXACT",J413="CLOSE")))),"yes","no")</f>
        <v>yes</v>
      </c>
      <c r="AF413" s="109" t="n">
        <f aca="false">IF(ISNUMBER(H413),COUNTIFS($B$7:$B$3000,B413,$C$7:$C$3000,C413,$H$7:$H$3000,"&lt;"&amp;H413,$AH$7:$AH$3000,"yes")+COUNTIFS($B$7:B413,B413,$C$7:C413,C413,$H$7:H413,H413,$AH$7:AH413,"yes"),"")</f>
        <v>7</v>
      </c>
      <c r="AG413" s="109" t="n">
        <f aca="false">IF(ISNUMBER(I413),COUNTIFS($B$7:$B$3000,B413,$C$7:$C$3000,C413,$I$7:$I$3000,"&lt;"&amp;I413,$AI$7:$AI$3000,"yes")+COUNTIFS($B$7:B413,B413,$C$7:C413,C413,$I$7:I413,I413,$AI$7:AI413,"yes"),"")</f>
        <v>7</v>
      </c>
      <c r="AH413" s="109" t="str">
        <f aca="false">IF(ISNUMBER(H413),"yes","no")</f>
        <v>yes</v>
      </c>
      <c r="AI413" s="109" t="str">
        <f aca="false">IF(ISNUMBER(I413),"yes","no")</f>
        <v>yes</v>
      </c>
      <c r="AJ413" s="116" t="n">
        <v>46295</v>
      </c>
      <c r="AK413" s="109"/>
    </row>
    <row r="414" customFormat="false" ht="42" hidden="false" customHeight="true" outlineLevel="0" collapsed="false">
      <c r="A414" s="3"/>
      <c r="B414" s="36" t="s">
        <v>43</v>
      </c>
      <c r="C414" s="98" t="s">
        <v>15</v>
      </c>
      <c r="D414" s="98" t="s">
        <v>264</v>
      </c>
      <c r="E414" s="110" t="s">
        <v>1544</v>
      </c>
      <c r="F414" s="99" t="n">
        <v>15.75</v>
      </c>
      <c r="G414" s="98" t="s">
        <v>244</v>
      </c>
      <c r="H414" s="112" t="n">
        <f aca="false">IF(AND(AE414="yes",ISNUMBER(AD414)),AD414,"")</f>
        <v>15.75</v>
      </c>
      <c r="I414" s="95" t="n">
        <f aca="false">IF(AND(AE414="yes",ISNUMBER(AD414),ISNUMBER(INDEX(Sources!$G$7:$G$10,MATCH(AB414,Sources!$B$7:$B$10,0)))),ROUND(AD414/INDEX(Sources!$G$7:$G$10,MATCH(AB414,Sources!$B$7:$B$10,0)),6),"")</f>
        <v>15.75</v>
      </c>
      <c r="J414" s="98" t="s">
        <v>530</v>
      </c>
      <c r="K414" s="98" t="s">
        <v>586</v>
      </c>
      <c r="L414" s="96"/>
      <c r="M414" s="110"/>
      <c r="N414" s="117" t="s">
        <v>1545</v>
      </c>
      <c r="O414" s="110" t="s">
        <v>388</v>
      </c>
      <c r="P414" s="110" t="s">
        <v>590</v>
      </c>
      <c r="Q414" s="118"/>
      <c r="R414" s="110" t="n">
        <v>1</v>
      </c>
      <c r="S414" s="110"/>
      <c r="T414" s="110" t="s">
        <v>530</v>
      </c>
      <c r="U414" s="110" t="s">
        <v>1535</v>
      </c>
      <c r="V414" s="119" t="n">
        <v>15.75</v>
      </c>
      <c r="W414" s="119"/>
      <c r="X414" s="110" t="s">
        <v>1536</v>
      </c>
      <c r="Y414" s="110"/>
      <c r="Z414" s="110"/>
      <c r="AA414" s="110"/>
      <c r="AB414" s="110" t="s">
        <v>244</v>
      </c>
      <c r="AC414" s="110" t="s">
        <v>538</v>
      </c>
      <c r="AD414" s="110" t="n">
        <f aca="false">IF(ISNUMBER(V414),ROUND(V414,6),"")</f>
        <v>15.75</v>
      </c>
      <c r="AE414" s="110" t="str">
        <f aca="false">IF(AND(AC414="yes",ISNUMBER(F414),IF(Compare!$H$5="All mapped",TRUE(),IF(Compare!$H$5="EXACT only",J414="EXACT",OR(J414="EXACT",J414="CLOSE")))),"yes","no")</f>
        <v>yes</v>
      </c>
      <c r="AF414" s="110" t="n">
        <f aca="false">IF(ISNUMBER(H414),COUNTIFS($B$7:$B$3000,B414,$C$7:$C$3000,C414,$H$7:$H$3000,"&lt;"&amp;H414,$AH$7:$AH$3000,"yes")+COUNTIFS($B$7:B414,B414,$C$7:C414,C414,$H$7:H414,H414,$AH$7:AH414,"yes"),"")</f>
        <v>5</v>
      </c>
      <c r="AG414" s="110" t="n">
        <f aca="false">IF(ISNUMBER(I414),COUNTIFS($B$7:$B$3000,B414,$C$7:$C$3000,C414,$I$7:$I$3000,"&lt;"&amp;I414,$AI$7:$AI$3000,"yes")+COUNTIFS($B$7:B414,B414,$C$7:C414,C414,$I$7:I414,I414,$AI$7:AI414,"yes"),"")</f>
        <v>5</v>
      </c>
      <c r="AH414" s="110" t="str">
        <f aca="false">IF(ISNUMBER(H414),"yes","no")</f>
        <v>yes</v>
      </c>
      <c r="AI414" s="110" t="str">
        <f aca="false">IF(ISNUMBER(I414),"yes","no")</f>
        <v>yes</v>
      </c>
      <c r="AJ414" s="120" t="n">
        <v>46295</v>
      </c>
      <c r="AK414" s="110"/>
    </row>
    <row r="415" customFormat="false" ht="42" hidden="false" customHeight="true" outlineLevel="0" collapsed="false">
      <c r="A415" s="3"/>
      <c r="B415" s="31" t="s">
        <v>43</v>
      </c>
      <c r="C415" s="91" t="s">
        <v>15</v>
      </c>
      <c r="D415" s="91" t="s">
        <v>281</v>
      </c>
      <c r="E415" s="109" t="s">
        <v>1546</v>
      </c>
      <c r="F415" s="92" t="n">
        <v>8.13</v>
      </c>
      <c r="G415" s="91" t="s">
        <v>244</v>
      </c>
      <c r="H415" s="112" t="n">
        <f aca="false">IF(AND(AE415="yes",ISNUMBER(AD415)),AD415,"")</f>
        <v>8.13</v>
      </c>
      <c r="I415" s="95" t="n">
        <f aca="false">IF(AND(AE415="yes",ISNUMBER(AD415),ISNUMBER(INDEX(Sources!$G$7:$G$10,MATCH(AB415,Sources!$B$7:$B$10,0)))),ROUND(AD415/INDEX(Sources!$G$7:$G$10,MATCH(AB415,Sources!$B$7:$B$10,0)),6),"")</f>
        <v>8.13</v>
      </c>
      <c r="J415" s="91" t="s">
        <v>530</v>
      </c>
      <c r="K415" s="91" t="s">
        <v>586</v>
      </c>
      <c r="L415" s="96"/>
      <c r="M415" s="109" t="s">
        <v>1547</v>
      </c>
      <c r="N415" s="113" t="s">
        <v>1548</v>
      </c>
      <c r="O415" s="109" t="s">
        <v>603</v>
      </c>
      <c r="P415" s="109" t="s">
        <v>590</v>
      </c>
      <c r="Q415" s="114"/>
      <c r="R415" s="109" t="n">
        <v>1</v>
      </c>
      <c r="S415" s="109"/>
      <c r="T415" s="109" t="s">
        <v>530</v>
      </c>
      <c r="U415" s="109" t="s">
        <v>1535</v>
      </c>
      <c r="V415" s="115" t="n">
        <v>8.13</v>
      </c>
      <c r="W415" s="115"/>
      <c r="X415" s="109" t="s">
        <v>1536</v>
      </c>
      <c r="Y415" s="109"/>
      <c r="Z415" s="109"/>
      <c r="AA415" s="109"/>
      <c r="AB415" s="109" t="s">
        <v>244</v>
      </c>
      <c r="AC415" s="109" t="s">
        <v>538</v>
      </c>
      <c r="AD415" s="109" t="n">
        <f aca="false">IF(ISNUMBER(V415),ROUND(V415,6),"")</f>
        <v>8.13</v>
      </c>
      <c r="AE415" s="109" t="str">
        <f aca="false">IF(AND(AC415="yes",ISNUMBER(F415),IF(Compare!$H$5="All mapped",TRUE(),IF(Compare!$H$5="EXACT only",J415="EXACT",OR(J415="EXACT",J415="CLOSE")))),"yes","no")</f>
        <v>yes</v>
      </c>
      <c r="AF415" s="109" t="n">
        <f aca="false">IF(ISNUMBER(H415),COUNTIFS($B$7:$B$3000,B415,$C$7:$C$3000,C415,$H$7:$H$3000,"&lt;"&amp;H415,$AH$7:$AH$3000,"yes")+COUNTIFS($B$7:B415,B415,$C$7:C415,C415,$H$7:H415,H415,$AH$7:AH415,"yes"),"")</f>
        <v>2</v>
      </c>
      <c r="AG415" s="109" t="n">
        <f aca="false">IF(ISNUMBER(I415),COUNTIFS($B$7:$B$3000,B415,$C$7:$C$3000,C415,$I$7:$I$3000,"&lt;"&amp;I415,$AI$7:$AI$3000,"yes")+COUNTIFS($B$7:B415,B415,$C$7:C415,C415,$I$7:I415,I415,$AI$7:AI415,"yes"),"")</f>
        <v>2</v>
      </c>
      <c r="AH415" s="109" t="str">
        <f aca="false">IF(ISNUMBER(H415),"yes","no")</f>
        <v>yes</v>
      </c>
      <c r="AI415" s="109" t="str">
        <f aca="false">IF(ISNUMBER(I415),"yes","no")</f>
        <v>yes</v>
      </c>
      <c r="AJ415" s="116" t="n">
        <v>46295</v>
      </c>
      <c r="AK415" s="109"/>
    </row>
    <row r="416" customFormat="false" ht="42" hidden="false" customHeight="true" outlineLevel="0" collapsed="false">
      <c r="A416" s="3"/>
      <c r="B416" s="36" t="s">
        <v>43</v>
      </c>
      <c r="C416" s="98" t="s">
        <v>15</v>
      </c>
      <c r="D416" s="98" t="s">
        <v>293</v>
      </c>
      <c r="E416" s="110" t="s">
        <v>1549</v>
      </c>
      <c r="F416" s="99" t="n">
        <v>8.7</v>
      </c>
      <c r="G416" s="98" t="s">
        <v>244</v>
      </c>
      <c r="H416" s="112" t="n">
        <f aca="false">IF(AND(AE416="yes",ISNUMBER(AD416)),AD416,"")</f>
        <v>8.7</v>
      </c>
      <c r="I416" s="95" t="n">
        <f aca="false">IF(AND(AE416="yes",ISNUMBER(AD416),ISNUMBER(INDEX(Sources!$G$7:$G$10,MATCH(AB416,Sources!$B$7:$B$10,0)))),ROUND(AD416/INDEX(Sources!$G$7:$G$10,MATCH(AB416,Sources!$B$7:$B$10,0)),6),"")</f>
        <v>8.7</v>
      </c>
      <c r="J416" s="98" t="s">
        <v>530</v>
      </c>
      <c r="K416" s="98" t="s">
        <v>586</v>
      </c>
      <c r="L416" s="96"/>
      <c r="M416" s="110" t="s">
        <v>1550</v>
      </c>
      <c r="N416" s="117" t="s">
        <v>1551</v>
      </c>
      <c r="O416" s="110" t="s">
        <v>589</v>
      </c>
      <c r="P416" s="110" t="s">
        <v>590</v>
      </c>
      <c r="Q416" s="118"/>
      <c r="R416" s="110" t="n">
        <v>1</v>
      </c>
      <c r="S416" s="110"/>
      <c r="T416" s="110" t="s">
        <v>530</v>
      </c>
      <c r="U416" s="110" t="s">
        <v>1535</v>
      </c>
      <c r="V416" s="119" t="n">
        <v>8.7</v>
      </c>
      <c r="W416" s="119"/>
      <c r="X416" s="110" t="s">
        <v>1536</v>
      </c>
      <c r="Y416" s="110"/>
      <c r="Z416" s="110"/>
      <c r="AA416" s="110"/>
      <c r="AB416" s="110" t="s">
        <v>244</v>
      </c>
      <c r="AC416" s="110" t="s">
        <v>538</v>
      </c>
      <c r="AD416" s="110" t="n">
        <f aca="false">IF(ISNUMBER(V416),ROUND(V416,6),"")</f>
        <v>8.7</v>
      </c>
      <c r="AE416" s="110" t="str">
        <f aca="false">IF(AND(AC416="yes",ISNUMBER(F416),IF(Compare!$H$5="All mapped",TRUE(),IF(Compare!$H$5="EXACT only",J416="EXACT",OR(J416="EXACT",J416="CLOSE")))),"yes","no")</f>
        <v>yes</v>
      </c>
      <c r="AF416" s="110" t="n">
        <f aca="false">IF(ISNUMBER(H416),COUNTIFS($B$7:$B$3000,B416,$C$7:$C$3000,C416,$H$7:$H$3000,"&lt;"&amp;H416,$AH$7:$AH$3000,"yes")+COUNTIFS($B$7:B416,B416,$C$7:C416,C416,$H$7:H416,H416,$AH$7:AH416,"yes"),"")</f>
        <v>3</v>
      </c>
      <c r="AG416" s="110" t="n">
        <f aca="false">IF(ISNUMBER(I416),COUNTIFS($B$7:$B$3000,B416,$C$7:$C$3000,C416,$I$7:$I$3000,"&lt;"&amp;I416,$AI$7:$AI$3000,"yes")+COUNTIFS($B$7:B416,B416,$C$7:C416,C416,$I$7:I416,I416,$AI$7:AI416,"yes"),"")</f>
        <v>3</v>
      </c>
      <c r="AH416" s="110" t="str">
        <f aca="false">IF(ISNUMBER(H416),"yes","no")</f>
        <v>yes</v>
      </c>
      <c r="AI416" s="110" t="str">
        <f aca="false">IF(ISNUMBER(I416),"yes","no")</f>
        <v>yes</v>
      </c>
      <c r="AJ416" s="120" t="n">
        <v>46295</v>
      </c>
      <c r="AK416" s="110"/>
    </row>
    <row r="417" customFormat="false" ht="42" hidden="false" customHeight="true" outlineLevel="0" collapsed="false">
      <c r="A417" s="3"/>
      <c r="B417" s="31" t="s">
        <v>43</v>
      </c>
      <c r="C417" s="91" t="s">
        <v>17</v>
      </c>
      <c r="D417" s="91" t="s">
        <v>354</v>
      </c>
      <c r="E417" s="109" t="s">
        <v>1552</v>
      </c>
      <c r="F417" s="92" t="n">
        <v>1046.33</v>
      </c>
      <c r="G417" s="91" t="s">
        <v>333</v>
      </c>
      <c r="H417" s="112" t="n">
        <f aca="false">IF(AND(AE417="yes",ISNUMBER(AD417)),AD417,"")</f>
        <v>174.39</v>
      </c>
      <c r="I417" s="95" t="n">
        <f aca="false">IF(AND(AE417="yes",ISNUMBER(AD417),ISNUMBER(INDEX(Sources!$G$7:$G$10,MATCH(AB417,Sources!$B$7:$B$10,0)))),ROUND(AD417/INDEX(Sources!$G$7:$G$10,MATCH(AB417,Sources!$B$7:$B$10,0)),6),"")</f>
        <v>7.14022</v>
      </c>
      <c r="J417" s="91" t="s">
        <v>530</v>
      </c>
      <c r="K417" s="91" t="s">
        <v>586</v>
      </c>
      <c r="L417" s="96"/>
      <c r="M417" s="109" t="s">
        <v>1553</v>
      </c>
      <c r="N417" s="113" t="s">
        <v>1554</v>
      </c>
      <c r="O417" s="109" t="s">
        <v>610</v>
      </c>
      <c r="P417" s="109" t="s">
        <v>590</v>
      </c>
      <c r="Q417" s="114" t="n">
        <v>0.19</v>
      </c>
      <c r="R417" s="109" t="n">
        <v>6</v>
      </c>
      <c r="S417" s="109" t="s">
        <v>625</v>
      </c>
      <c r="T417" s="109" t="s">
        <v>530</v>
      </c>
      <c r="U417" s="109" t="s">
        <v>1535</v>
      </c>
      <c r="V417" s="115"/>
      <c r="W417" s="115"/>
      <c r="X417" s="109" t="s">
        <v>1555</v>
      </c>
      <c r="Y417" s="109"/>
      <c r="Z417" s="109"/>
      <c r="AA417" s="109"/>
      <c r="AB417" s="109" t="s">
        <v>333</v>
      </c>
      <c r="AC417" s="109" t="s">
        <v>538</v>
      </c>
      <c r="AD417" s="109" t="n">
        <f aca="false">IF(OR(F417="",Q417="",R417=""),"",ROUND(IF(P417="incl.",F417/(1+Q417),F417)/IF(S417="per pack",R417,1),2))</f>
        <v>174.39</v>
      </c>
      <c r="AE417" s="109" t="str">
        <f aca="false">IF(AND(AC417="yes",ISNUMBER(F417),IF(Compare!$H$5="All mapped",TRUE(),IF(Compare!$H$5="EXACT only",J417="EXACT",OR(J417="EXACT",J417="CLOSE")))),"yes","no")</f>
        <v>yes</v>
      </c>
      <c r="AF417" s="109" t="n">
        <f aca="false">IF(ISNUMBER(H417),COUNTIFS($B$7:$B$3000,B417,$C$7:$C$3000,C417,$H$7:$H$3000,"&lt;"&amp;H417,$AH$7:$AH$3000,"yes")+COUNTIFS($B$7:B417,B417,$C$7:C417,C417,$H$7:H417,H417,$AH$7:AH417,"yes"),"")</f>
        <v>2</v>
      </c>
      <c r="AG417" s="109" t="n">
        <f aca="false">IF(ISNUMBER(I417),COUNTIFS($B$7:$B$3000,B417,$C$7:$C$3000,C417,$I$7:$I$3000,"&lt;"&amp;I417,$AI$7:$AI$3000,"yes")+COUNTIFS($B$7:B417,B417,$C$7:C417,C417,$I$7:I417,I417,$AI$7:AI417,"yes"),"")</f>
        <v>2</v>
      </c>
      <c r="AH417" s="109" t="str">
        <f aca="false">IF(ISNUMBER(H417),"yes","no")</f>
        <v>yes</v>
      </c>
      <c r="AI417" s="109" t="str">
        <f aca="false">IF(ISNUMBER(I417),"yes","no")</f>
        <v>yes</v>
      </c>
      <c r="AJ417" s="116" t="n">
        <v>46295</v>
      </c>
      <c r="AK417" s="109"/>
    </row>
    <row r="418" customFormat="false" ht="42" hidden="false" customHeight="true" outlineLevel="0" collapsed="false">
      <c r="A418" s="3"/>
      <c r="B418" s="36" t="s">
        <v>43</v>
      </c>
      <c r="C418" s="98" t="s">
        <v>17</v>
      </c>
      <c r="D418" s="98" t="s">
        <v>332</v>
      </c>
      <c r="E418" s="110" t="s">
        <v>1556</v>
      </c>
      <c r="F418" s="99" t="n">
        <v>220</v>
      </c>
      <c r="G418" s="98" t="s">
        <v>333</v>
      </c>
      <c r="H418" s="112" t="str">
        <f aca="false">IF(AND(AE418="yes",ISNUMBER(AD418)),AD418,"")</f>
        <v/>
      </c>
      <c r="I418" s="95" t="str">
        <f aca="false">IF(AND(AE418="yes",ISNUMBER(AD418),ISNUMBER(INDEX(Sources!$G$7:$G$10,MATCH(AB418,Sources!$B$7:$B$10,0)))),ROUND(AD418/INDEX(Sources!$G$7:$G$10,MATCH(AB418,Sources!$B$7:$B$10,0)),6),"")</f>
        <v/>
      </c>
      <c r="J418" s="98" t="s">
        <v>629</v>
      </c>
      <c r="K418" s="98" t="s">
        <v>586</v>
      </c>
      <c r="L418" s="96"/>
      <c r="M418" s="110" t="s">
        <v>1557</v>
      </c>
      <c r="N418" s="117" t="s">
        <v>1558</v>
      </c>
      <c r="O418" s="110"/>
      <c r="P418" s="110" t="s">
        <v>590</v>
      </c>
      <c r="Q418" s="118" t="n">
        <v>0.21</v>
      </c>
      <c r="R418" s="110" t="n">
        <v>1</v>
      </c>
      <c r="S418" s="110" t="s">
        <v>632</v>
      </c>
      <c r="T418" s="110" t="s">
        <v>629</v>
      </c>
      <c r="U418" s="110" t="s">
        <v>1535</v>
      </c>
      <c r="V418" s="119"/>
      <c r="W418" s="119"/>
      <c r="X418" s="110" t="s">
        <v>1555</v>
      </c>
      <c r="Y418" s="110"/>
      <c r="Z418" s="110"/>
      <c r="AA418" s="110"/>
      <c r="AB418" s="110" t="s">
        <v>333</v>
      </c>
      <c r="AC418" s="110" t="s">
        <v>538</v>
      </c>
      <c r="AD418" s="110" t="n">
        <f aca="false">IF(OR(F418="",Q418="",R418=""),"",ROUND(IF(P418="incl.",F418/(1+Q418),F418)/IF(S418="per pack",R418,1),2))</f>
        <v>220</v>
      </c>
      <c r="AE418" s="110" t="str">
        <f aca="false">IF(AND(AC418="yes",ISNUMBER(F418),IF(Compare!$H$5="All mapped",TRUE(),IF(Compare!$H$5="EXACT only",J418="EXACT",OR(J418="EXACT",J418="CLOSE")))),"yes","no")</f>
        <v>no</v>
      </c>
      <c r="AF418" s="110" t="str">
        <f aca="false">IF(ISNUMBER(H418),COUNTIFS($B$7:$B$3000,B418,$C$7:$C$3000,C418,$H$7:$H$3000,"&lt;"&amp;H418,$AH$7:$AH$3000,"yes")+COUNTIFS($B$7:B418,B418,$C$7:C418,C418,$H$7:H418,H418,$AH$7:AH418,"yes"),"")</f>
        <v/>
      </c>
      <c r="AG418" s="110" t="str">
        <f aca="false">IF(ISNUMBER(I418),COUNTIFS($B$7:$B$3000,B418,$C$7:$C$3000,C418,$I$7:$I$3000,"&lt;"&amp;I418,$AI$7:$AI$3000,"yes")+COUNTIFS($B$7:B418,B418,$C$7:C418,C418,$I$7:I418,I418,$AI$7:AI418,"yes"),"")</f>
        <v/>
      </c>
      <c r="AH418" s="110" t="str">
        <f aca="false">IF(ISNUMBER(H418),"yes","no")</f>
        <v>no</v>
      </c>
      <c r="AI418" s="110" t="str">
        <f aca="false">IF(ISNUMBER(I418),"yes","no")</f>
        <v>no</v>
      </c>
      <c r="AJ418" s="120" t="n">
        <v>46295</v>
      </c>
      <c r="AK418" s="110"/>
    </row>
    <row r="419" customFormat="false" ht="48.75" hidden="false" customHeight="true" outlineLevel="0" collapsed="false">
      <c r="A419" s="3"/>
      <c r="B419" s="31" t="s">
        <v>43</v>
      </c>
      <c r="C419" s="91" t="s">
        <v>17</v>
      </c>
      <c r="D419" s="91" t="s">
        <v>342</v>
      </c>
      <c r="E419" s="109" t="s">
        <v>1559</v>
      </c>
      <c r="F419" s="92" t="n">
        <v>215</v>
      </c>
      <c r="G419" s="91" t="s">
        <v>333</v>
      </c>
      <c r="H419" s="112" t="n">
        <f aca="false">IF(AND(AE419="yes",ISNUMBER(AD419)),AD419,"")</f>
        <v>177.69</v>
      </c>
      <c r="I419" s="95" t="n">
        <f aca="false">IF(AND(AE419="yes",ISNUMBER(AD419),ISNUMBER(INDEX(Sources!$G$7:$G$10,MATCH(AB419,Sources!$B$7:$B$10,0)))),ROUND(AD419/INDEX(Sources!$G$7:$G$10,MATCH(AB419,Sources!$B$7:$B$10,0)),6),"")</f>
        <v>7.275336</v>
      </c>
      <c r="J419" s="91" t="s">
        <v>530</v>
      </c>
      <c r="K419" s="91" t="s">
        <v>586</v>
      </c>
      <c r="L419" s="96"/>
      <c r="M419" s="109" t="s">
        <v>1560</v>
      </c>
      <c r="N419" s="113" t="s">
        <v>1561</v>
      </c>
      <c r="O419" s="109" t="s">
        <v>733</v>
      </c>
      <c r="P419" s="109" t="s">
        <v>265</v>
      </c>
      <c r="Q419" s="114" t="n">
        <v>0.21</v>
      </c>
      <c r="R419" s="109" t="n">
        <v>1</v>
      </c>
      <c r="S419" s="109" t="s">
        <v>632</v>
      </c>
      <c r="T419" s="109" t="s">
        <v>530</v>
      </c>
      <c r="U419" s="109" t="s">
        <v>1535</v>
      </c>
      <c r="V419" s="115"/>
      <c r="W419" s="115"/>
      <c r="X419" s="109" t="s">
        <v>1555</v>
      </c>
      <c r="Y419" s="109"/>
      <c r="Z419" s="109"/>
      <c r="AA419" s="109"/>
      <c r="AB419" s="109" t="s">
        <v>333</v>
      </c>
      <c r="AC419" s="109" t="s">
        <v>538</v>
      </c>
      <c r="AD419" s="109" t="n">
        <f aca="false">IF(OR(F419="",Q419="",R419=""),"",ROUND(IF(P419="incl.",F419/(1+Q419),F419)/IF(S419="per pack",R419,1),2))</f>
        <v>177.69</v>
      </c>
      <c r="AE419" s="109" t="str">
        <f aca="false">IF(AND(AC419="yes",ISNUMBER(F419),IF(Compare!$H$5="All mapped",TRUE(),IF(Compare!$H$5="EXACT only",J419="EXACT",OR(J419="EXACT",J419="CLOSE")))),"yes","no")</f>
        <v>yes</v>
      </c>
      <c r="AF419" s="109" t="n">
        <f aca="false">IF(ISNUMBER(H419),COUNTIFS($B$7:$B$3000,B419,$C$7:$C$3000,C419,$H$7:$H$3000,"&lt;"&amp;H419,$AH$7:$AH$3000,"yes")+COUNTIFS($B$7:B419,B419,$C$7:C419,C419,$H$7:H419,H419,$AH$7:AH419,"yes"),"")</f>
        <v>3</v>
      </c>
      <c r="AG419" s="109" t="n">
        <f aca="false">IF(ISNUMBER(I419),COUNTIFS($B$7:$B$3000,B419,$C$7:$C$3000,C419,$I$7:$I$3000,"&lt;"&amp;I419,$AI$7:$AI$3000,"yes")+COUNTIFS($B$7:B419,B419,$C$7:C419,C419,$I$7:I419,I419,$AI$7:AI419,"yes"),"")</f>
        <v>3</v>
      </c>
      <c r="AH419" s="109" t="str">
        <f aca="false">IF(ISNUMBER(H419),"yes","no")</f>
        <v>yes</v>
      </c>
      <c r="AI419" s="109" t="str">
        <f aca="false">IF(ISNUMBER(I419),"yes","no")</f>
        <v>yes</v>
      </c>
      <c r="AJ419" s="116" t="n">
        <v>46295</v>
      </c>
      <c r="AK419" s="109"/>
    </row>
    <row r="420" customFormat="false" ht="42" hidden="false" customHeight="true" outlineLevel="0" collapsed="false">
      <c r="A420" s="3"/>
      <c r="B420" s="36" t="s">
        <v>43</v>
      </c>
      <c r="C420" s="98" t="s">
        <v>17</v>
      </c>
      <c r="D420" s="98" t="s">
        <v>346</v>
      </c>
      <c r="E420" s="110" t="s">
        <v>1562</v>
      </c>
      <c r="F420" s="99" t="n">
        <v>443</v>
      </c>
      <c r="G420" s="98" t="s">
        <v>333</v>
      </c>
      <c r="H420" s="112" t="n">
        <f aca="false">IF(AND(AE420="yes",ISNUMBER(AD420)),AD420,"")</f>
        <v>366.12</v>
      </c>
      <c r="I420" s="95" t="n">
        <f aca="false">IF(AND(AE420="yes",ISNUMBER(AD420),ISNUMBER(INDEX(Sources!$G$7:$G$10,MATCH(AB420,Sources!$B$7:$B$10,0)))),ROUND(AD420/INDEX(Sources!$G$7:$G$10,MATCH(AB420,Sources!$B$7:$B$10,0)),6),"")</f>
        <v>14.990409</v>
      </c>
      <c r="J420" s="98" t="s">
        <v>530</v>
      </c>
      <c r="K420" s="98" t="s">
        <v>586</v>
      </c>
      <c r="L420" s="96"/>
      <c r="M420" s="110" t="s">
        <v>1563</v>
      </c>
      <c r="N420" s="117" t="s">
        <v>1564</v>
      </c>
      <c r="O420" s="110" t="s">
        <v>731</v>
      </c>
      <c r="P420" s="110" t="s">
        <v>265</v>
      </c>
      <c r="Q420" s="118" t="n">
        <v>0.21</v>
      </c>
      <c r="R420" s="110" t="n">
        <v>1</v>
      </c>
      <c r="S420" s="110" t="s">
        <v>632</v>
      </c>
      <c r="T420" s="110" t="s">
        <v>530</v>
      </c>
      <c r="U420" s="110" t="s">
        <v>1535</v>
      </c>
      <c r="V420" s="119"/>
      <c r="W420" s="119"/>
      <c r="X420" s="110" t="s">
        <v>1555</v>
      </c>
      <c r="Y420" s="110"/>
      <c r="Z420" s="110"/>
      <c r="AA420" s="110"/>
      <c r="AB420" s="110" t="s">
        <v>333</v>
      </c>
      <c r="AC420" s="110" t="s">
        <v>538</v>
      </c>
      <c r="AD420" s="110" t="n">
        <f aca="false">IF(OR(F420="",Q420="",R420=""),"",ROUND(IF(P420="incl.",F420/(1+Q420),F420)/IF(S420="per pack",R420,1),2))</f>
        <v>366.12</v>
      </c>
      <c r="AE420" s="110" t="str">
        <f aca="false">IF(AND(AC420="yes",ISNUMBER(F420),IF(Compare!$H$5="All mapped",TRUE(),IF(Compare!$H$5="EXACT only",J420="EXACT",OR(J420="EXACT",J420="CLOSE")))),"yes","no")</f>
        <v>yes</v>
      </c>
      <c r="AF420" s="110" t="n">
        <f aca="false">IF(ISNUMBER(H420),COUNTIFS($B$7:$B$3000,B420,$C$7:$C$3000,C420,$H$7:$H$3000,"&lt;"&amp;H420,$AH$7:$AH$3000,"yes")+COUNTIFS($B$7:B420,B420,$C$7:C420,C420,$H$7:H420,H420,$AH$7:AH420,"yes"),"")</f>
        <v>6</v>
      </c>
      <c r="AG420" s="110" t="n">
        <f aca="false">IF(ISNUMBER(I420),COUNTIFS($B$7:$B$3000,B420,$C$7:$C$3000,C420,$I$7:$I$3000,"&lt;"&amp;I420,$AI$7:$AI$3000,"yes")+COUNTIFS($B$7:B420,B420,$C$7:C420,C420,$I$7:I420,I420,$AI$7:AI420,"yes"),"")</f>
        <v>6</v>
      </c>
      <c r="AH420" s="110" t="str">
        <f aca="false">IF(ISNUMBER(H420),"yes","no")</f>
        <v>yes</v>
      </c>
      <c r="AI420" s="110" t="str">
        <f aca="false">IF(ISNUMBER(I420),"yes","no")</f>
        <v>yes</v>
      </c>
      <c r="AJ420" s="120" t="n">
        <v>46295</v>
      </c>
      <c r="AK420" s="110"/>
    </row>
    <row r="421" customFormat="false" ht="42" hidden="false" customHeight="true" outlineLevel="0" collapsed="false">
      <c r="A421" s="3"/>
      <c r="B421" s="31" t="s">
        <v>43</v>
      </c>
      <c r="C421" s="91" t="s">
        <v>17</v>
      </c>
      <c r="D421" s="91" t="s">
        <v>361</v>
      </c>
      <c r="E421" s="109" t="s">
        <v>1565</v>
      </c>
      <c r="F421" s="92" t="n">
        <v>234</v>
      </c>
      <c r="G421" s="91" t="s">
        <v>333</v>
      </c>
      <c r="H421" s="112" t="n">
        <f aca="false">IF(AND(AE421="yes",ISNUMBER(AD421)),AD421,"")</f>
        <v>193.39</v>
      </c>
      <c r="I421" s="95" t="n">
        <f aca="false">IF(AND(AE421="yes",ISNUMBER(AD421),ISNUMBER(INDEX(Sources!$G$7:$G$10,MATCH(AB421,Sources!$B$7:$B$10,0)))),ROUND(AD421/INDEX(Sources!$G$7:$G$10,MATCH(AB421,Sources!$B$7:$B$10,0)),6),"")</f>
        <v>7.918156</v>
      </c>
      <c r="J421" s="91" t="s">
        <v>530</v>
      </c>
      <c r="K421" s="91" t="s">
        <v>586</v>
      </c>
      <c r="L421" s="96"/>
      <c r="M421" s="109" t="s">
        <v>1566</v>
      </c>
      <c r="N421" s="113" t="s">
        <v>1567</v>
      </c>
      <c r="O421" s="109" t="s">
        <v>642</v>
      </c>
      <c r="P421" s="109" t="s">
        <v>265</v>
      </c>
      <c r="Q421" s="114" t="n">
        <v>0.21</v>
      </c>
      <c r="R421" s="109" t="n">
        <v>1</v>
      </c>
      <c r="S421" s="109" t="s">
        <v>632</v>
      </c>
      <c r="T421" s="109" t="s">
        <v>530</v>
      </c>
      <c r="U421" s="109" t="s">
        <v>1535</v>
      </c>
      <c r="V421" s="115"/>
      <c r="W421" s="115"/>
      <c r="X421" s="109" t="s">
        <v>1555</v>
      </c>
      <c r="Y421" s="109"/>
      <c r="Z421" s="109"/>
      <c r="AA421" s="109"/>
      <c r="AB421" s="109" t="s">
        <v>333</v>
      </c>
      <c r="AC421" s="109" t="s">
        <v>538</v>
      </c>
      <c r="AD421" s="109" t="n">
        <f aca="false">IF(OR(F421="",Q421="",R421=""),"",ROUND(IF(P421="incl.",F421/(1+Q421),F421)/IF(S421="per pack",R421,1),2))</f>
        <v>193.39</v>
      </c>
      <c r="AE421" s="109" t="str">
        <f aca="false">IF(AND(AC421="yes",ISNUMBER(F421),IF(Compare!$H$5="All mapped",TRUE(),IF(Compare!$H$5="EXACT only",J421="EXACT",OR(J421="EXACT",J421="CLOSE")))),"yes","no")</f>
        <v>yes</v>
      </c>
      <c r="AF421" s="109" t="n">
        <f aca="false">IF(ISNUMBER(H421),COUNTIFS($B$7:$B$3000,B421,$C$7:$C$3000,C421,$H$7:$H$3000,"&lt;"&amp;H421,$AH$7:$AH$3000,"yes")+COUNTIFS($B$7:B421,B421,$C$7:C421,C421,$H$7:H421,H421,$AH$7:AH421,"yes"),"")</f>
        <v>4</v>
      </c>
      <c r="AG421" s="109" t="n">
        <f aca="false">IF(ISNUMBER(I421),COUNTIFS($B$7:$B$3000,B421,$C$7:$C$3000,C421,$I$7:$I$3000,"&lt;"&amp;I421,$AI$7:$AI$3000,"yes")+COUNTIFS($B$7:B421,B421,$C$7:C421,C421,$I$7:I421,I421,$AI$7:AI421,"yes"),"")</f>
        <v>4</v>
      </c>
      <c r="AH421" s="109" t="str">
        <f aca="false">IF(ISNUMBER(H421),"yes","no")</f>
        <v>yes</v>
      </c>
      <c r="AI421" s="109" t="str">
        <f aca="false">IF(ISNUMBER(I421),"yes","no")</f>
        <v>yes</v>
      </c>
      <c r="AJ421" s="116" t="n">
        <v>46295</v>
      </c>
      <c r="AK421" s="109"/>
    </row>
    <row r="422" customFormat="false" ht="42" hidden="false" customHeight="true" outlineLevel="0" collapsed="false">
      <c r="A422" s="3"/>
      <c r="B422" s="36" t="s">
        <v>45</v>
      </c>
      <c r="C422" s="98" t="s">
        <v>15</v>
      </c>
      <c r="D422" s="98" t="s">
        <v>243</v>
      </c>
      <c r="E422" s="110" t="s">
        <v>1568</v>
      </c>
      <c r="F422" s="99" t="n">
        <v>4.02</v>
      </c>
      <c r="G422" s="98" t="s">
        <v>244</v>
      </c>
      <c r="H422" s="112" t="n">
        <f aca="false">IF(AND(AE422="yes",ISNUMBER(AD422)),AD422,"")</f>
        <v>4.02</v>
      </c>
      <c r="I422" s="95" t="n">
        <f aca="false">IF(AND(AE422="yes",ISNUMBER(AD422),ISNUMBER(INDEX(Sources!$G$7:$G$10,MATCH(AB422,Sources!$B$7:$B$10,0)))),ROUND(AD422/INDEX(Sources!$G$7:$G$10,MATCH(AB422,Sources!$B$7:$B$10,0)),6),"")</f>
        <v>4.02</v>
      </c>
      <c r="J422" s="98" t="s">
        <v>530</v>
      </c>
      <c r="K422" s="98" t="s">
        <v>586</v>
      </c>
      <c r="L422" s="96"/>
      <c r="M422" s="110" t="s">
        <v>1569</v>
      </c>
      <c r="N422" s="117" t="s">
        <v>1570</v>
      </c>
      <c r="O422" s="110"/>
      <c r="P422" s="110" t="s">
        <v>590</v>
      </c>
      <c r="Q422" s="118"/>
      <c r="R422" s="110" t="n">
        <v>1</v>
      </c>
      <c r="S422" s="110"/>
      <c r="T422" s="110" t="s">
        <v>530</v>
      </c>
      <c r="U422" s="110" t="s">
        <v>1535</v>
      </c>
      <c r="V422" s="119" t="n">
        <v>4.02</v>
      </c>
      <c r="W422" s="119"/>
      <c r="X422" s="110" t="s">
        <v>1536</v>
      </c>
      <c r="Y422" s="110"/>
      <c r="Z422" s="110"/>
      <c r="AA422" s="110"/>
      <c r="AB422" s="110" t="s">
        <v>244</v>
      </c>
      <c r="AC422" s="110" t="s">
        <v>538</v>
      </c>
      <c r="AD422" s="110" t="n">
        <f aca="false">IF(ISNUMBER(V422),ROUND(V422,6),"")</f>
        <v>4.02</v>
      </c>
      <c r="AE422" s="110" t="str">
        <f aca="false">IF(AND(AC422="yes",ISNUMBER(F422),IF(Compare!$H$5="All mapped",TRUE(),IF(Compare!$H$5="EXACT only",J422="EXACT",OR(J422="EXACT",J422="CLOSE")))),"yes","no")</f>
        <v>yes</v>
      </c>
      <c r="AF422" s="110" t="n">
        <f aca="false">IF(ISNUMBER(H422),COUNTIFS($B$7:$B$3000,B422,$C$7:$C$3000,C422,$H$7:$H$3000,"&lt;"&amp;H422,$AH$7:$AH$3000,"yes")+COUNTIFS($B$7:B422,B422,$C$7:C422,C422,$H$7:H422,H422,$AH$7:AH422,"yes"),"")</f>
        <v>1</v>
      </c>
      <c r="AG422" s="110" t="n">
        <f aca="false">IF(ISNUMBER(I422),COUNTIFS($B$7:$B$3000,B422,$C$7:$C$3000,C422,$I$7:$I$3000,"&lt;"&amp;I422,$AI$7:$AI$3000,"yes")+COUNTIFS($B$7:B422,B422,$C$7:C422,C422,$I$7:I422,I422,$AI$7:AI422,"yes"),"")</f>
        <v>1</v>
      </c>
      <c r="AH422" s="110" t="str">
        <f aca="false">IF(ISNUMBER(H422),"yes","no")</f>
        <v>yes</v>
      </c>
      <c r="AI422" s="110" t="str">
        <f aca="false">IF(ISNUMBER(I422),"yes","no")</f>
        <v>yes</v>
      </c>
      <c r="AJ422" s="120" t="n">
        <v>46295</v>
      </c>
      <c r="AK422" s="110"/>
    </row>
    <row r="423" customFormat="false" ht="42" hidden="false" customHeight="true" outlineLevel="0" collapsed="false">
      <c r="A423" s="3"/>
      <c r="B423" s="31" t="s">
        <v>45</v>
      </c>
      <c r="C423" s="91" t="s">
        <v>15</v>
      </c>
      <c r="D423" s="91" t="s">
        <v>277</v>
      </c>
      <c r="E423" s="109" t="s">
        <v>1571</v>
      </c>
      <c r="F423" s="92" t="n">
        <v>65.99</v>
      </c>
      <c r="G423" s="91" t="s">
        <v>244</v>
      </c>
      <c r="H423" s="112" t="n">
        <f aca="false">IF(AND(AE423="yes",ISNUMBER(AD423)),AD423,"")</f>
        <v>5.5</v>
      </c>
      <c r="I423" s="95" t="n">
        <f aca="false">IF(AND(AE423="yes",ISNUMBER(AD423),ISNUMBER(INDEX(Sources!$G$7:$G$10,MATCH(AB423,Sources!$B$7:$B$10,0)))),ROUND(AD423/INDEX(Sources!$G$7:$G$10,MATCH(AB423,Sources!$B$7:$B$10,0)),6),"")</f>
        <v>5.5</v>
      </c>
      <c r="J423" s="91" t="s">
        <v>530</v>
      </c>
      <c r="K423" s="91" t="s">
        <v>586</v>
      </c>
      <c r="L423" s="96"/>
      <c r="M423" s="109" t="s">
        <v>696</v>
      </c>
      <c r="N423" s="113" t="s">
        <v>1572</v>
      </c>
      <c r="O423" s="109" t="s">
        <v>610</v>
      </c>
      <c r="P423" s="109" t="s">
        <v>590</v>
      </c>
      <c r="Q423" s="114"/>
      <c r="R423" s="109" t="n">
        <v>12</v>
      </c>
      <c r="S423" s="109" t="s">
        <v>754</v>
      </c>
      <c r="T423" s="109" t="s">
        <v>530</v>
      </c>
      <c r="U423" s="109" t="s">
        <v>1535</v>
      </c>
      <c r="V423" s="115" t="n">
        <v>5.5</v>
      </c>
      <c r="W423" s="115"/>
      <c r="X423" s="109" t="s">
        <v>1536</v>
      </c>
      <c r="Y423" s="109"/>
      <c r="Z423" s="109"/>
      <c r="AA423" s="109"/>
      <c r="AB423" s="109" t="s">
        <v>244</v>
      </c>
      <c r="AC423" s="109" t="s">
        <v>538</v>
      </c>
      <c r="AD423" s="109" t="n">
        <f aca="false">IF(ISNUMBER(V423),ROUND(V423,6),"")</f>
        <v>5.5</v>
      </c>
      <c r="AE423" s="109" t="str">
        <f aca="false">IF(AND(AC423="yes",ISNUMBER(F423),IF(Compare!$H$5="All mapped",TRUE(),IF(Compare!$H$5="EXACT only",J423="EXACT",OR(J423="EXACT",J423="CLOSE")))),"yes","no")</f>
        <v>yes</v>
      </c>
      <c r="AF423" s="109" t="n">
        <f aca="false">IF(ISNUMBER(H423),COUNTIFS($B$7:$B$3000,B423,$C$7:$C$3000,C423,$H$7:$H$3000,"&lt;"&amp;H423,$AH$7:$AH$3000,"yes")+COUNTIFS($B$7:B423,B423,$C$7:C423,C423,$H$7:H423,H423,$AH$7:AH423,"yes"),"")</f>
        <v>2</v>
      </c>
      <c r="AG423" s="109" t="n">
        <f aca="false">IF(ISNUMBER(I423),COUNTIFS($B$7:$B$3000,B423,$C$7:$C$3000,C423,$I$7:$I$3000,"&lt;"&amp;I423,$AI$7:$AI$3000,"yes")+COUNTIFS($B$7:B423,B423,$C$7:C423,C423,$I$7:I423,I423,$AI$7:AI423,"yes"),"")</f>
        <v>2</v>
      </c>
      <c r="AH423" s="109" t="str">
        <f aca="false">IF(ISNUMBER(H423),"yes","no")</f>
        <v>yes</v>
      </c>
      <c r="AI423" s="109" t="str">
        <f aca="false">IF(ISNUMBER(I423),"yes","no")</f>
        <v>yes</v>
      </c>
      <c r="AJ423" s="116" t="n">
        <v>46295</v>
      </c>
      <c r="AK423" s="109"/>
    </row>
    <row r="424" customFormat="false" ht="42" hidden="false" customHeight="true" outlineLevel="0" collapsed="false">
      <c r="A424" s="3"/>
      <c r="B424" s="36" t="s">
        <v>45</v>
      </c>
      <c r="C424" s="98" t="s">
        <v>15</v>
      </c>
      <c r="D424" s="98" t="s">
        <v>257</v>
      </c>
      <c r="E424" s="110" t="s">
        <v>1573</v>
      </c>
      <c r="F424" s="99" t="n">
        <v>13</v>
      </c>
      <c r="G424" s="98" t="s">
        <v>244</v>
      </c>
      <c r="H424" s="112" t="n">
        <f aca="false">IF(AND(AE424="yes",ISNUMBER(AD424)),AD424,"")</f>
        <v>13</v>
      </c>
      <c r="I424" s="95" t="n">
        <f aca="false">IF(AND(AE424="yes",ISNUMBER(AD424),ISNUMBER(INDEX(Sources!$G$7:$G$10,MATCH(AB424,Sources!$B$7:$B$10,0)))),ROUND(AD424/INDEX(Sources!$G$7:$G$10,MATCH(AB424,Sources!$B$7:$B$10,0)),6),"")</f>
        <v>13</v>
      </c>
      <c r="J424" s="98" t="s">
        <v>530</v>
      </c>
      <c r="K424" s="98" t="s">
        <v>586</v>
      </c>
      <c r="L424" s="96"/>
      <c r="M424" s="110" t="s">
        <v>1574</v>
      </c>
      <c r="N424" s="117" t="s">
        <v>1575</v>
      </c>
      <c r="O424" s="110" t="s">
        <v>1576</v>
      </c>
      <c r="P424" s="110" t="s">
        <v>590</v>
      </c>
      <c r="Q424" s="118"/>
      <c r="R424" s="110" t="n">
        <v>1</v>
      </c>
      <c r="S424" s="110"/>
      <c r="T424" s="110" t="s">
        <v>530</v>
      </c>
      <c r="U424" s="110" t="s">
        <v>1535</v>
      </c>
      <c r="V424" s="119" t="n">
        <v>13</v>
      </c>
      <c r="W424" s="119"/>
      <c r="X424" s="110" t="s">
        <v>1536</v>
      </c>
      <c r="Y424" s="110"/>
      <c r="Z424" s="110"/>
      <c r="AA424" s="110"/>
      <c r="AB424" s="110" t="s">
        <v>244</v>
      </c>
      <c r="AC424" s="110" t="s">
        <v>538</v>
      </c>
      <c r="AD424" s="110" t="n">
        <f aca="false">IF(ISNUMBER(V424),ROUND(V424,6),"")</f>
        <v>13</v>
      </c>
      <c r="AE424" s="110" t="str">
        <f aca="false">IF(AND(AC424="yes",ISNUMBER(F424),IF(Compare!$H$5="All mapped",TRUE(),IF(Compare!$H$5="EXACT only",J424="EXACT",OR(J424="EXACT",J424="CLOSE")))),"yes","no")</f>
        <v>yes</v>
      </c>
      <c r="AF424" s="110" t="n">
        <f aca="false">IF(ISNUMBER(H424),COUNTIFS($B$7:$B$3000,B424,$C$7:$C$3000,C424,$H$7:$H$3000,"&lt;"&amp;H424,$AH$7:$AH$3000,"yes")+COUNTIFS($B$7:B424,B424,$C$7:C424,C424,$H$7:H424,H424,$AH$7:AH424,"yes"),"")</f>
        <v>9</v>
      </c>
      <c r="AG424" s="110" t="n">
        <f aca="false">IF(ISNUMBER(I424),COUNTIFS($B$7:$B$3000,B424,$C$7:$C$3000,C424,$I$7:$I$3000,"&lt;"&amp;I424,$AI$7:$AI$3000,"yes")+COUNTIFS($B$7:B424,B424,$C$7:C424,C424,$I$7:I424,I424,$AI$7:AI424,"yes"),"")</f>
        <v>9</v>
      </c>
      <c r="AH424" s="110" t="str">
        <f aca="false">IF(ISNUMBER(H424),"yes","no")</f>
        <v>yes</v>
      </c>
      <c r="AI424" s="110" t="str">
        <f aca="false">IF(ISNUMBER(I424),"yes","no")</f>
        <v>yes</v>
      </c>
      <c r="AJ424" s="120" t="n">
        <v>46295</v>
      </c>
      <c r="AK424" s="110"/>
    </row>
    <row r="425" customFormat="false" ht="42" hidden="false" customHeight="true" outlineLevel="0" collapsed="false">
      <c r="A425" s="3"/>
      <c r="B425" s="31" t="s">
        <v>45</v>
      </c>
      <c r="C425" s="91" t="s">
        <v>15</v>
      </c>
      <c r="D425" s="91" t="s">
        <v>269</v>
      </c>
      <c r="E425" s="109" t="s">
        <v>1577</v>
      </c>
      <c r="F425" s="92" t="n">
        <v>5.79</v>
      </c>
      <c r="G425" s="91" t="s">
        <v>244</v>
      </c>
      <c r="H425" s="112" t="n">
        <f aca="false">IF(AND(AE425="yes",ISNUMBER(AD425)),AD425,"")</f>
        <v>5.79</v>
      </c>
      <c r="I425" s="95" t="n">
        <f aca="false">IF(AND(AE425="yes",ISNUMBER(AD425),ISNUMBER(INDEX(Sources!$G$7:$G$10,MATCH(AB425,Sources!$B$7:$B$10,0)))),ROUND(AD425/INDEX(Sources!$G$7:$G$10,MATCH(AB425,Sources!$B$7:$B$10,0)),6),"")</f>
        <v>5.79</v>
      </c>
      <c r="J425" s="91" t="s">
        <v>530</v>
      </c>
      <c r="K425" s="91" t="s">
        <v>586</v>
      </c>
      <c r="L425" s="96"/>
      <c r="M425" s="109" t="s">
        <v>1578</v>
      </c>
      <c r="N425" s="113" t="s">
        <v>1579</v>
      </c>
      <c r="O425" s="109" t="s">
        <v>598</v>
      </c>
      <c r="P425" s="109" t="s">
        <v>590</v>
      </c>
      <c r="Q425" s="114"/>
      <c r="R425" s="109" t="n">
        <v>1</v>
      </c>
      <c r="S425" s="109"/>
      <c r="T425" s="109" t="s">
        <v>530</v>
      </c>
      <c r="U425" s="109" t="s">
        <v>1535</v>
      </c>
      <c r="V425" s="115" t="n">
        <v>5.79</v>
      </c>
      <c r="W425" s="115"/>
      <c r="X425" s="109" t="s">
        <v>1536</v>
      </c>
      <c r="Y425" s="109"/>
      <c r="Z425" s="109"/>
      <c r="AA425" s="109"/>
      <c r="AB425" s="109" t="s">
        <v>244</v>
      </c>
      <c r="AC425" s="109" t="s">
        <v>538</v>
      </c>
      <c r="AD425" s="109" t="n">
        <f aca="false">IF(ISNUMBER(V425),ROUND(V425,6),"")</f>
        <v>5.79</v>
      </c>
      <c r="AE425" s="109" t="str">
        <f aca="false">IF(AND(AC425="yes",ISNUMBER(F425),IF(Compare!$H$5="All mapped",TRUE(),IF(Compare!$H$5="EXACT only",J425="EXACT",OR(J425="EXACT",J425="CLOSE")))),"yes","no")</f>
        <v>yes</v>
      </c>
      <c r="AF425" s="109" t="n">
        <f aca="false">IF(ISNUMBER(H425),COUNTIFS($B$7:$B$3000,B425,$C$7:$C$3000,C425,$H$7:$H$3000,"&lt;"&amp;H425,$AH$7:$AH$3000,"yes")+COUNTIFS($B$7:B425,B425,$C$7:C425,C425,$H$7:H425,H425,$AH$7:AH425,"yes"),"")</f>
        <v>3</v>
      </c>
      <c r="AG425" s="109" t="n">
        <f aca="false">IF(ISNUMBER(I425),COUNTIFS($B$7:$B$3000,B425,$C$7:$C$3000,C425,$I$7:$I$3000,"&lt;"&amp;I425,$AI$7:$AI$3000,"yes")+COUNTIFS($B$7:B425,B425,$C$7:C425,C425,$I$7:I425,I425,$AI$7:AI425,"yes"),"")</f>
        <v>3</v>
      </c>
      <c r="AH425" s="109" t="str">
        <f aca="false">IF(ISNUMBER(H425),"yes","no")</f>
        <v>yes</v>
      </c>
      <c r="AI425" s="109" t="str">
        <f aca="false">IF(ISNUMBER(I425),"yes","no")</f>
        <v>yes</v>
      </c>
      <c r="AJ425" s="116" t="n">
        <v>46295</v>
      </c>
      <c r="AK425" s="109"/>
    </row>
    <row r="426" customFormat="false" ht="42" hidden="false" customHeight="true" outlineLevel="0" collapsed="false">
      <c r="A426" s="3"/>
      <c r="B426" s="36" t="s">
        <v>45</v>
      </c>
      <c r="C426" s="98" t="s">
        <v>15</v>
      </c>
      <c r="D426" s="98" t="s">
        <v>264</v>
      </c>
      <c r="E426" s="110" t="s">
        <v>1580</v>
      </c>
      <c r="F426" s="99" t="n">
        <v>10.77</v>
      </c>
      <c r="G426" s="98" t="s">
        <v>244</v>
      </c>
      <c r="H426" s="112" t="n">
        <f aca="false">IF(AND(AE426="yes",ISNUMBER(AD426)),AD426,"")</f>
        <v>10.77</v>
      </c>
      <c r="I426" s="95" t="n">
        <f aca="false">IF(AND(AE426="yes",ISNUMBER(AD426),ISNUMBER(INDEX(Sources!$G$7:$G$10,MATCH(AB426,Sources!$B$7:$B$10,0)))),ROUND(AD426/INDEX(Sources!$G$7:$G$10,MATCH(AB426,Sources!$B$7:$B$10,0)),6),"")</f>
        <v>10.77</v>
      </c>
      <c r="J426" s="98" t="s">
        <v>530</v>
      </c>
      <c r="K426" s="98" t="s">
        <v>586</v>
      </c>
      <c r="L426" s="96"/>
      <c r="M426" s="110" t="s">
        <v>1581</v>
      </c>
      <c r="N426" s="117" t="s">
        <v>1582</v>
      </c>
      <c r="O426" s="110" t="s">
        <v>1583</v>
      </c>
      <c r="P426" s="110" t="s">
        <v>590</v>
      </c>
      <c r="Q426" s="118"/>
      <c r="R426" s="110" t="n">
        <v>1</v>
      </c>
      <c r="S426" s="110"/>
      <c r="T426" s="110" t="s">
        <v>530</v>
      </c>
      <c r="U426" s="110" t="s">
        <v>1535</v>
      </c>
      <c r="V426" s="119" t="n">
        <v>10.77</v>
      </c>
      <c r="W426" s="119"/>
      <c r="X426" s="110" t="s">
        <v>1536</v>
      </c>
      <c r="Y426" s="110"/>
      <c r="Z426" s="110"/>
      <c r="AA426" s="110"/>
      <c r="AB426" s="110" t="s">
        <v>244</v>
      </c>
      <c r="AC426" s="110" t="s">
        <v>538</v>
      </c>
      <c r="AD426" s="110" t="n">
        <f aca="false">IF(ISNUMBER(V426),ROUND(V426,6),"")</f>
        <v>10.77</v>
      </c>
      <c r="AE426" s="110" t="str">
        <f aca="false">IF(AND(AC426="yes",ISNUMBER(F426),IF(Compare!$H$5="All mapped",TRUE(),IF(Compare!$H$5="EXACT only",J426="EXACT",OR(J426="EXACT",J426="CLOSE")))),"yes","no")</f>
        <v>yes</v>
      </c>
      <c r="AF426" s="110" t="n">
        <f aca="false">IF(ISNUMBER(H426),COUNTIFS($B$7:$B$3000,B426,$C$7:$C$3000,C426,$H$7:$H$3000,"&lt;"&amp;H426,$AH$7:$AH$3000,"yes")+COUNTIFS($B$7:B426,B426,$C$7:C426,C426,$H$7:H426,H426,$AH$7:AH426,"yes"),"")</f>
        <v>8</v>
      </c>
      <c r="AG426" s="110" t="n">
        <f aca="false">IF(ISNUMBER(I426),COUNTIFS($B$7:$B$3000,B426,$C$7:$C$3000,C426,$I$7:$I$3000,"&lt;"&amp;I426,$AI$7:$AI$3000,"yes")+COUNTIFS($B$7:B426,B426,$C$7:C426,C426,$I$7:I426,I426,$AI$7:AI426,"yes"),"")</f>
        <v>8</v>
      </c>
      <c r="AH426" s="110" t="str">
        <f aca="false">IF(ISNUMBER(H426),"yes","no")</f>
        <v>yes</v>
      </c>
      <c r="AI426" s="110" t="str">
        <f aca="false">IF(ISNUMBER(I426),"yes","no")</f>
        <v>yes</v>
      </c>
      <c r="AJ426" s="120" t="n">
        <v>46295</v>
      </c>
      <c r="AK426" s="110"/>
    </row>
    <row r="427" customFormat="false" ht="42" hidden="false" customHeight="true" outlineLevel="0" collapsed="false">
      <c r="A427" s="3"/>
      <c r="B427" s="31" t="s">
        <v>45</v>
      </c>
      <c r="C427" s="91" t="s">
        <v>15</v>
      </c>
      <c r="D427" s="91" t="s">
        <v>273</v>
      </c>
      <c r="E427" s="109" t="s">
        <v>1584</v>
      </c>
      <c r="F427" s="92" t="n">
        <v>10.89</v>
      </c>
      <c r="G427" s="91" t="s">
        <v>244</v>
      </c>
      <c r="H427" s="112" t="str">
        <f aca="false">IF(AND(AE427="yes",ISNUMBER(AD427)),AD427,"")</f>
        <v/>
      </c>
      <c r="I427" s="95" t="str">
        <f aca="false">IF(AND(AE427="yes",ISNUMBER(AD427),ISNUMBER(INDEX(Sources!$G$7:$G$10,MATCH(AB427,Sources!$B$7:$B$10,0)))),ROUND(AD427/INDEX(Sources!$G$7:$G$10,MATCH(AB427,Sources!$B$7:$B$10,0)),6),"")</f>
        <v/>
      </c>
      <c r="J427" s="91" t="s">
        <v>629</v>
      </c>
      <c r="K427" s="91" t="s">
        <v>586</v>
      </c>
      <c r="L427" s="96"/>
      <c r="M427" s="109" t="s">
        <v>1585</v>
      </c>
      <c r="N427" s="113" t="s">
        <v>1586</v>
      </c>
      <c r="O427" s="109" t="s">
        <v>642</v>
      </c>
      <c r="P427" s="109" t="s">
        <v>265</v>
      </c>
      <c r="Q427" s="114"/>
      <c r="R427" s="109" t="n">
        <v>1</v>
      </c>
      <c r="S427" s="109"/>
      <c r="T427" s="109" t="s">
        <v>629</v>
      </c>
      <c r="U427" s="109" t="s">
        <v>1535</v>
      </c>
      <c r="V427" s="115" t="n">
        <v>9.08</v>
      </c>
      <c r="W427" s="115"/>
      <c r="X427" s="109" t="s">
        <v>1536</v>
      </c>
      <c r="Y427" s="109"/>
      <c r="Z427" s="109"/>
      <c r="AA427" s="109"/>
      <c r="AB427" s="109" t="s">
        <v>244</v>
      </c>
      <c r="AC427" s="109" t="s">
        <v>538</v>
      </c>
      <c r="AD427" s="109" t="n">
        <f aca="false">IF(ISNUMBER(V427),ROUND(V427,6),"")</f>
        <v>9.08</v>
      </c>
      <c r="AE427" s="109" t="str">
        <f aca="false">IF(AND(AC427="yes",ISNUMBER(F427),IF(Compare!$H$5="All mapped",TRUE(),IF(Compare!$H$5="EXACT only",J427="EXACT",OR(J427="EXACT",J427="CLOSE")))),"yes","no")</f>
        <v>no</v>
      </c>
      <c r="AF427" s="109" t="str">
        <f aca="false">IF(ISNUMBER(H427),COUNTIFS($B$7:$B$3000,B427,$C$7:$C$3000,C427,$H$7:$H$3000,"&lt;"&amp;H427,$AH$7:$AH$3000,"yes")+COUNTIFS($B$7:B427,B427,$C$7:C427,C427,$H$7:H427,H427,$AH$7:AH427,"yes"),"")</f>
        <v/>
      </c>
      <c r="AG427" s="109" t="str">
        <f aca="false">IF(ISNUMBER(I427),COUNTIFS($B$7:$B$3000,B427,$C$7:$C$3000,C427,$I$7:$I$3000,"&lt;"&amp;I427,$AI$7:$AI$3000,"yes")+COUNTIFS($B$7:B427,B427,$C$7:C427,C427,$I$7:I427,I427,$AI$7:AI427,"yes"),"")</f>
        <v/>
      </c>
      <c r="AH427" s="109" t="str">
        <f aca="false">IF(ISNUMBER(H427),"yes","no")</f>
        <v>no</v>
      </c>
      <c r="AI427" s="109" t="str">
        <f aca="false">IF(ISNUMBER(I427),"yes","no")</f>
        <v>no</v>
      </c>
      <c r="AJ427" s="116" t="n">
        <v>46295</v>
      </c>
      <c r="AK427" s="109"/>
    </row>
    <row r="428" customFormat="false" ht="42" hidden="false" customHeight="true" outlineLevel="0" collapsed="false">
      <c r="A428" s="3"/>
      <c r="B428" s="36" t="s">
        <v>45</v>
      </c>
      <c r="C428" s="98" t="s">
        <v>15</v>
      </c>
      <c r="D428" s="98" t="s">
        <v>281</v>
      </c>
      <c r="E428" s="110" t="s">
        <v>1587</v>
      </c>
      <c r="F428" s="99" t="n">
        <v>6.9</v>
      </c>
      <c r="G428" s="98" t="s">
        <v>244</v>
      </c>
      <c r="H428" s="112" t="n">
        <f aca="false">IF(AND(AE428="yes",ISNUMBER(AD428)),AD428,"")</f>
        <v>6.9</v>
      </c>
      <c r="I428" s="95" t="n">
        <f aca="false">IF(AND(AE428="yes",ISNUMBER(AD428),ISNUMBER(INDEX(Sources!$G$7:$G$10,MATCH(AB428,Sources!$B$7:$B$10,0)))),ROUND(AD428/INDEX(Sources!$G$7:$G$10,MATCH(AB428,Sources!$B$7:$B$10,0)),6),"")</f>
        <v>6.9</v>
      </c>
      <c r="J428" s="98" t="s">
        <v>530</v>
      </c>
      <c r="K428" s="98" t="s">
        <v>586</v>
      </c>
      <c r="L428" s="96"/>
      <c r="M428" s="110" t="s">
        <v>696</v>
      </c>
      <c r="N428" s="117" t="s">
        <v>1588</v>
      </c>
      <c r="O428" s="110" t="s">
        <v>603</v>
      </c>
      <c r="P428" s="110" t="s">
        <v>590</v>
      </c>
      <c r="Q428" s="118"/>
      <c r="R428" s="110" t="n">
        <v>1</v>
      </c>
      <c r="S428" s="110"/>
      <c r="T428" s="110" t="s">
        <v>530</v>
      </c>
      <c r="U428" s="110" t="s">
        <v>1535</v>
      </c>
      <c r="V428" s="119" t="n">
        <v>6.9</v>
      </c>
      <c r="W428" s="119"/>
      <c r="X428" s="110" t="s">
        <v>1536</v>
      </c>
      <c r="Y428" s="110"/>
      <c r="Z428" s="110"/>
      <c r="AA428" s="110"/>
      <c r="AB428" s="110" t="s">
        <v>244</v>
      </c>
      <c r="AC428" s="110" t="s">
        <v>538</v>
      </c>
      <c r="AD428" s="110" t="n">
        <f aca="false">IF(ISNUMBER(V428),ROUND(V428,6),"")</f>
        <v>6.9</v>
      </c>
      <c r="AE428" s="110" t="str">
        <f aca="false">IF(AND(AC428="yes",ISNUMBER(F428),IF(Compare!$H$5="All mapped",TRUE(),IF(Compare!$H$5="EXACT only",J428="EXACT",OR(J428="EXACT",J428="CLOSE")))),"yes","no")</f>
        <v>yes</v>
      </c>
      <c r="AF428" s="110" t="n">
        <f aca="false">IF(ISNUMBER(H428),COUNTIFS($B$7:$B$3000,B428,$C$7:$C$3000,C428,$H$7:$H$3000,"&lt;"&amp;H428,$AH$7:$AH$3000,"yes")+COUNTIFS($B$7:B428,B428,$C$7:C428,C428,$H$7:H428,H428,$AH$7:AH428,"yes"),"")</f>
        <v>5</v>
      </c>
      <c r="AG428" s="110" t="n">
        <f aca="false">IF(ISNUMBER(I428),COUNTIFS($B$7:$B$3000,B428,$C$7:$C$3000,C428,$I$7:$I$3000,"&lt;"&amp;I428,$AI$7:$AI$3000,"yes")+COUNTIFS($B$7:B428,B428,$C$7:C428,C428,$I$7:I428,I428,$AI$7:AI428,"yes"),"")</f>
        <v>5</v>
      </c>
      <c r="AH428" s="110" t="str">
        <f aca="false">IF(ISNUMBER(H428),"yes","no")</f>
        <v>yes</v>
      </c>
      <c r="AI428" s="110" t="str">
        <f aca="false">IF(ISNUMBER(I428),"yes","no")</f>
        <v>yes</v>
      </c>
      <c r="AJ428" s="120" t="n">
        <v>46295</v>
      </c>
      <c r="AK428" s="110"/>
    </row>
    <row r="429" customFormat="false" ht="42" hidden="false" customHeight="true" outlineLevel="0" collapsed="false">
      <c r="A429" s="3"/>
      <c r="B429" s="31" t="s">
        <v>45</v>
      </c>
      <c r="C429" s="91" t="s">
        <v>15</v>
      </c>
      <c r="D429" s="91" t="s">
        <v>285</v>
      </c>
      <c r="E429" s="109" t="s">
        <v>1589</v>
      </c>
      <c r="F429" s="92" t="n">
        <v>15.7</v>
      </c>
      <c r="G429" s="91" t="s">
        <v>244</v>
      </c>
      <c r="H429" s="112" t="n">
        <f aca="false">IF(AND(AE429="yes",ISNUMBER(AD429)),AD429,"")</f>
        <v>15.7</v>
      </c>
      <c r="I429" s="95" t="n">
        <f aca="false">IF(AND(AE429="yes",ISNUMBER(AD429),ISNUMBER(INDEX(Sources!$G$7:$G$10,MATCH(AB429,Sources!$B$7:$B$10,0)))),ROUND(AD429/INDEX(Sources!$G$7:$G$10,MATCH(AB429,Sources!$B$7:$B$10,0)),6),"")</f>
        <v>15.7</v>
      </c>
      <c r="J429" s="91" t="s">
        <v>530</v>
      </c>
      <c r="K429" s="91" t="s">
        <v>586</v>
      </c>
      <c r="L429" s="96"/>
      <c r="M429" s="109" t="s">
        <v>1590</v>
      </c>
      <c r="N429" s="113" t="s">
        <v>1591</v>
      </c>
      <c r="O429" s="109" t="s">
        <v>733</v>
      </c>
      <c r="P429" s="109" t="s">
        <v>590</v>
      </c>
      <c r="Q429" s="114"/>
      <c r="R429" s="109" t="n">
        <v>1</v>
      </c>
      <c r="S429" s="109"/>
      <c r="T429" s="109" t="s">
        <v>530</v>
      </c>
      <c r="U429" s="109" t="s">
        <v>1535</v>
      </c>
      <c r="V429" s="115" t="n">
        <v>15.7</v>
      </c>
      <c r="W429" s="115"/>
      <c r="X429" s="109" t="s">
        <v>1536</v>
      </c>
      <c r="Y429" s="109"/>
      <c r="Z429" s="109"/>
      <c r="AA429" s="109"/>
      <c r="AB429" s="109" t="s">
        <v>244</v>
      </c>
      <c r="AC429" s="109" t="s">
        <v>538</v>
      </c>
      <c r="AD429" s="109" t="n">
        <f aca="false">IF(ISNUMBER(V429),ROUND(V429,6),"")</f>
        <v>15.7</v>
      </c>
      <c r="AE429" s="109" t="str">
        <f aca="false">IF(AND(AC429="yes",ISNUMBER(F429),IF(Compare!$H$5="All mapped",TRUE(),IF(Compare!$H$5="EXACT only",J429="EXACT",OR(J429="EXACT",J429="CLOSE")))),"yes","no")</f>
        <v>yes</v>
      </c>
      <c r="AF429" s="109" t="n">
        <f aca="false">IF(ISNUMBER(H429),COUNTIFS($B$7:$B$3000,B429,$C$7:$C$3000,C429,$H$7:$H$3000,"&lt;"&amp;H429,$AH$7:$AH$3000,"yes")+COUNTIFS($B$7:B429,B429,$C$7:C429,C429,$H$7:H429,H429,$AH$7:AH429,"yes"),"")</f>
        <v>10</v>
      </c>
      <c r="AG429" s="109" t="n">
        <f aca="false">IF(ISNUMBER(I429),COUNTIFS($B$7:$B$3000,B429,$C$7:$C$3000,C429,$I$7:$I$3000,"&lt;"&amp;I429,$AI$7:$AI$3000,"yes")+COUNTIFS($B$7:B429,B429,$C$7:C429,C429,$I$7:I429,I429,$AI$7:AI429,"yes"),"")</f>
        <v>10</v>
      </c>
      <c r="AH429" s="109" t="str">
        <f aca="false">IF(ISNUMBER(H429),"yes","no")</f>
        <v>yes</v>
      </c>
      <c r="AI429" s="109" t="str">
        <f aca="false">IF(ISNUMBER(I429),"yes","no")</f>
        <v>yes</v>
      </c>
      <c r="AJ429" s="116" t="n">
        <v>46295</v>
      </c>
      <c r="AK429" s="109"/>
    </row>
    <row r="430" customFormat="false" ht="42" hidden="false" customHeight="true" outlineLevel="0" collapsed="false">
      <c r="A430" s="3"/>
      <c r="B430" s="36" t="s">
        <v>45</v>
      </c>
      <c r="C430" s="98" t="s">
        <v>15</v>
      </c>
      <c r="D430" s="98" t="s">
        <v>293</v>
      </c>
      <c r="E430" s="110" t="s">
        <v>1592</v>
      </c>
      <c r="F430" s="99" t="n">
        <v>6.4</v>
      </c>
      <c r="G430" s="98" t="s">
        <v>244</v>
      </c>
      <c r="H430" s="112" t="n">
        <f aca="false">IF(AND(AE430="yes",ISNUMBER(AD430)),AD430,"")</f>
        <v>6.4</v>
      </c>
      <c r="I430" s="95" t="n">
        <f aca="false">IF(AND(AE430="yes",ISNUMBER(AD430),ISNUMBER(INDEX(Sources!$G$7:$G$10,MATCH(AB430,Sources!$B$7:$B$10,0)))),ROUND(AD430/INDEX(Sources!$G$7:$G$10,MATCH(AB430,Sources!$B$7:$B$10,0)),6),"")</f>
        <v>6.4</v>
      </c>
      <c r="J430" s="98" t="s">
        <v>530</v>
      </c>
      <c r="K430" s="98" t="s">
        <v>586</v>
      </c>
      <c r="L430" s="96"/>
      <c r="M430" s="110" t="s">
        <v>1593</v>
      </c>
      <c r="N430" s="117" t="s">
        <v>1594</v>
      </c>
      <c r="O430" s="110" t="s">
        <v>589</v>
      </c>
      <c r="P430" s="110" t="s">
        <v>590</v>
      </c>
      <c r="Q430" s="118"/>
      <c r="R430" s="110" t="n">
        <v>1</v>
      </c>
      <c r="S430" s="110"/>
      <c r="T430" s="110" t="s">
        <v>530</v>
      </c>
      <c r="U430" s="110" t="s">
        <v>1535</v>
      </c>
      <c r="V430" s="119" t="n">
        <v>6.4</v>
      </c>
      <c r="W430" s="119"/>
      <c r="X430" s="110" t="s">
        <v>1536</v>
      </c>
      <c r="Y430" s="110"/>
      <c r="Z430" s="110"/>
      <c r="AA430" s="110"/>
      <c r="AB430" s="110" t="s">
        <v>244</v>
      </c>
      <c r="AC430" s="110" t="s">
        <v>538</v>
      </c>
      <c r="AD430" s="110" t="n">
        <f aca="false">IF(ISNUMBER(V430),ROUND(V430,6),"")</f>
        <v>6.4</v>
      </c>
      <c r="AE430" s="110" t="str">
        <f aca="false">IF(AND(AC430="yes",ISNUMBER(F430),IF(Compare!$H$5="All mapped",TRUE(),IF(Compare!$H$5="EXACT only",J430="EXACT",OR(J430="EXACT",J430="CLOSE")))),"yes","no")</f>
        <v>yes</v>
      </c>
      <c r="AF430" s="110" t="n">
        <f aca="false">IF(ISNUMBER(H430),COUNTIFS($B$7:$B$3000,B430,$C$7:$C$3000,C430,$H$7:$H$3000,"&lt;"&amp;H430,$AH$7:$AH$3000,"yes")+COUNTIFS($B$7:B430,B430,$C$7:C430,C430,$H$7:H430,H430,$AH$7:AH430,"yes"),"")</f>
        <v>4</v>
      </c>
      <c r="AG430" s="110" t="n">
        <f aca="false">IF(ISNUMBER(I430),COUNTIFS($B$7:$B$3000,B430,$C$7:$C$3000,C430,$I$7:$I$3000,"&lt;"&amp;I430,$AI$7:$AI$3000,"yes")+COUNTIFS($B$7:B430,B430,$C$7:C430,C430,$I$7:I430,I430,$AI$7:AI430,"yes"),"")</f>
        <v>4</v>
      </c>
      <c r="AH430" s="110" t="str">
        <f aca="false">IF(ISNUMBER(H430),"yes","no")</f>
        <v>yes</v>
      </c>
      <c r="AI430" s="110" t="str">
        <f aca="false">IF(ISNUMBER(I430),"yes","no")</f>
        <v>yes</v>
      </c>
      <c r="AJ430" s="120" t="n">
        <v>46295</v>
      </c>
      <c r="AK430" s="110"/>
    </row>
    <row r="431" customFormat="false" ht="42" hidden="false" customHeight="true" outlineLevel="0" collapsed="false">
      <c r="A431" s="3"/>
      <c r="B431" s="31" t="s">
        <v>45</v>
      </c>
      <c r="C431" s="91" t="s">
        <v>17</v>
      </c>
      <c r="D431" s="91" t="s">
        <v>354</v>
      </c>
      <c r="E431" s="109" t="s">
        <v>1595</v>
      </c>
      <c r="F431" s="92" t="n">
        <v>1606.13</v>
      </c>
      <c r="G431" s="91" t="s">
        <v>333</v>
      </c>
      <c r="H431" s="112" t="n">
        <f aca="false">IF(AND(AE431="yes",ISNUMBER(AD431)),AD431,"")</f>
        <v>133.84</v>
      </c>
      <c r="I431" s="95" t="n">
        <f aca="false">IF(AND(AE431="yes",ISNUMBER(AD431),ISNUMBER(INDEX(Sources!$G$7:$G$10,MATCH(AB431,Sources!$B$7:$B$10,0)))),ROUND(AD431/INDEX(Sources!$G$7:$G$10,MATCH(AB431,Sources!$B$7:$B$10,0)),6),"")</f>
        <v>5.479942</v>
      </c>
      <c r="J431" s="91" t="s">
        <v>530</v>
      </c>
      <c r="K431" s="91" t="s">
        <v>586</v>
      </c>
      <c r="L431" s="96"/>
      <c r="M431" s="109" t="s">
        <v>1596</v>
      </c>
      <c r="N431" s="113" t="s">
        <v>1597</v>
      </c>
      <c r="O431" s="109" t="s">
        <v>610</v>
      </c>
      <c r="P431" s="109" t="s">
        <v>590</v>
      </c>
      <c r="Q431" s="114" t="n">
        <v>0.19</v>
      </c>
      <c r="R431" s="109" t="n">
        <v>12</v>
      </c>
      <c r="S431" s="109" t="s">
        <v>625</v>
      </c>
      <c r="T431" s="109" t="s">
        <v>530</v>
      </c>
      <c r="U431" s="109" t="s">
        <v>1535</v>
      </c>
      <c r="V431" s="115"/>
      <c r="W431" s="115"/>
      <c r="X431" s="109" t="s">
        <v>1555</v>
      </c>
      <c r="Y431" s="109"/>
      <c r="Z431" s="109"/>
      <c r="AA431" s="109"/>
      <c r="AB431" s="109" t="s">
        <v>333</v>
      </c>
      <c r="AC431" s="109" t="s">
        <v>538</v>
      </c>
      <c r="AD431" s="109" t="n">
        <f aca="false">IF(OR(F431="",Q431="",R431=""),"",ROUND(IF(P431="incl.",F431/(1+Q431),F431)/IF(S431="per pack",R431,1),2))</f>
        <v>133.84</v>
      </c>
      <c r="AE431" s="109" t="str">
        <f aca="false">IF(AND(AC431="yes",ISNUMBER(F431),IF(Compare!$H$5="All mapped",TRUE(),IF(Compare!$H$5="EXACT only",J431="EXACT",OR(J431="EXACT",J431="CLOSE")))),"yes","no")</f>
        <v>yes</v>
      </c>
      <c r="AF431" s="109" t="n">
        <f aca="false">IF(ISNUMBER(H431),COUNTIFS($B$7:$B$3000,B431,$C$7:$C$3000,C431,$H$7:$H$3000,"&lt;"&amp;H431,$AH$7:$AH$3000,"yes")+COUNTIFS($B$7:B431,B431,$C$7:C431,C431,$H$7:H431,H431,$AH$7:AH431,"yes"),"")</f>
        <v>4</v>
      </c>
      <c r="AG431" s="109" t="n">
        <f aca="false">IF(ISNUMBER(I431),COUNTIFS($B$7:$B$3000,B431,$C$7:$C$3000,C431,$I$7:$I$3000,"&lt;"&amp;I431,$AI$7:$AI$3000,"yes")+COUNTIFS($B$7:B431,B431,$C$7:C431,C431,$I$7:I431,I431,$AI$7:AI431,"yes"),"")</f>
        <v>4</v>
      </c>
      <c r="AH431" s="109" t="str">
        <f aca="false">IF(ISNUMBER(H431),"yes","no")</f>
        <v>yes</v>
      </c>
      <c r="AI431" s="109" t="str">
        <f aca="false">IF(ISNUMBER(I431),"yes","no")</f>
        <v>yes</v>
      </c>
      <c r="AJ431" s="116" t="n">
        <v>46295</v>
      </c>
      <c r="AK431" s="109"/>
    </row>
    <row r="432" customFormat="false" ht="42" hidden="false" customHeight="true" outlineLevel="0" collapsed="false">
      <c r="A432" s="3"/>
      <c r="B432" s="36" t="s">
        <v>45</v>
      </c>
      <c r="C432" s="98" t="s">
        <v>17</v>
      </c>
      <c r="D432" s="98" t="s">
        <v>332</v>
      </c>
      <c r="E432" s="110" t="s">
        <v>1598</v>
      </c>
      <c r="F432" s="99" t="n">
        <v>159</v>
      </c>
      <c r="G432" s="98" t="s">
        <v>333</v>
      </c>
      <c r="H432" s="112" t="n">
        <f aca="false">IF(AND(AE432="yes",ISNUMBER(AD432)),AD432,"")</f>
        <v>159</v>
      </c>
      <c r="I432" s="95" t="n">
        <f aca="false">IF(AND(AE432="yes",ISNUMBER(AD432),ISNUMBER(INDEX(Sources!$G$7:$G$10,MATCH(AB432,Sources!$B$7:$B$10,0)))),ROUND(AD432/INDEX(Sources!$G$7:$G$10,MATCH(AB432,Sources!$B$7:$B$10,0)),6),"")</f>
        <v>6.510093</v>
      </c>
      <c r="J432" s="98" t="s">
        <v>530</v>
      </c>
      <c r="K432" s="98" t="s">
        <v>586</v>
      </c>
      <c r="L432" s="96"/>
      <c r="M432" s="110" t="s">
        <v>1599</v>
      </c>
      <c r="N432" s="117" t="s">
        <v>1600</v>
      </c>
      <c r="O432" s="110"/>
      <c r="P432" s="110" t="s">
        <v>590</v>
      </c>
      <c r="Q432" s="118" t="n">
        <v>0.21</v>
      </c>
      <c r="R432" s="110" t="n">
        <v>1</v>
      </c>
      <c r="S432" s="110" t="s">
        <v>632</v>
      </c>
      <c r="T432" s="110" t="s">
        <v>530</v>
      </c>
      <c r="U432" s="110" t="s">
        <v>1535</v>
      </c>
      <c r="V432" s="119"/>
      <c r="W432" s="119"/>
      <c r="X432" s="110" t="s">
        <v>1555</v>
      </c>
      <c r="Y432" s="110"/>
      <c r="Z432" s="110"/>
      <c r="AA432" s="110"/>
      <c r="AB432" s="110" t="s">
        <v>333</v>
      </c>
      <c r="AC432" s="110" t="s">
        <v>538</v>
      </c>
      <c r="AD432" s="110" t="n">
        <f aca="false">IF(OR(F432="",Q432="",R432=""),"",ROUND(IF(P432="incl.",F432/(1+Q432),F432)/IF(S432="per pack",R432,1),2))</f>
        <v>159</v>
      </c>
      <c r="AE432" s="110" t="str">
        <f aca="false">IF(AND(AC432="yes",ISNUMBER(F432),IF(Compare!$H$5="All mapped",TRUE(),IF(Compare!$H$5="EXACT only",J432="EXACT",OR(J432="EXACT",J432="CLOSE")))),"yes","no")</f>
        <v>yes</v>
      </c>
      <c r="AF432" s="110" t="n">
        <f aca="false">IF(ISNUMBER(H432),COUNTIFS($B$7:$B$3000,B432,$C$7:$C$3000,C432,$H$7:$H$3000,"&lt;"&amp;H432,$AH$7:$AH$3000,"yes")+COUNTIFS($B$7:B432,B432,$C$7:C432,C432,$H$7:H432,H432,$AH$7:AH432,"yes"),"")</f>
        <v>5</v>
      </c>
      <c r="AG432" s="110" t="n">
        <f aca="false">IF(ISNUMBER(I432),COUNTIFS($B$7:$B$3000,B432,$C$7:$C$3000,C432,$I$7:$I$3000,"&lt;"&amp;I432,$AI$7:$AI$3000,"yes")+COUNTIFS($B$7:B432,B432,$C$7:C432,C432,$I$7:I432,I432,$AI$7:AI432,"yes"),"")</f>
        <v>5</v>
      </c>
      <c r="AH432" s="110" t="str">
        <f aca="false">IF(ISNUMBER(H432),"yes","no")</f>
        <v>yes</v>
      </c>
      <c r="AI432" s="110" t="str">
        <f aca="false">IF(ISNUMBER(I432),"yes","no")</f>
        <v>yes</v>
      </c>
      <c r="AJ432" s="120" t="n">
        <v>46295</v>
      </c>
      <c r="AK432" s="110"/>
    </row>
    <row r="433" customFormat="false" ht="42" hidden="false" customHeight="true" outlineLevel="0" collapsed="false">
      <c r="A433" s="3"/>
      <c r="B433" s="31" t="s">
        <v>45</v>
      </c>
      <c r="C433" s="91" t="s">
        <v>17</v>
      </c>
      <c r="D433" s="91" t="s">
        <v>342</v>
      </c>
      <c r="E433" s="109" t="s">
        <v>1601</v>
      </c>
      <c r="F433" s="92" t="n">
        <v>134</v>
      </c>
      <c r="G433" s="91" t="s">
        <v>333</v>
      </c>
      <c r="H433" s="112" t="n">
        <f aca="false">IF(AND(AE433="yes",ISNUMBER(AD433)),AD433,"")</f>
        <v>110.74</v>
      </c>
      <c r="I433" s="95" t="n">
        <f aca="false">IF(AND(AE433="yes",ISNUMBER(AD433),ISNUMBER(INDEX(Sources!$G$7:$G$10,MATCH(AB433,Sources!$B$7:$B$10,0)))),ROUND(AD433/INDEX(Sources!$G$7:$G$10,MATCH(AB433,Sources!$B$7:$B$10,0)),6),"")</f>
        <v>4.534136</v>
      </c>
      <c r="J433" s="91" t="s">
        <v>530</v>
      </c>
      <c r="K433" s="91" t="s">
        <v>586</v>
      </c>
      <c r="L433" s="96"/>
      <c r="M433" s="109" t="s">
        <v>1602</v>
      </c>
      <c r="N433" s="113" t="s">
        <v>1603</v>
      </c>
      <c r="O433" s="109" t="s">
        <v>1138</v>
      </c>
      <c r="P433" s="109" t="s">
        <v>265</v>
      </c>
      <c r="Q433" s="114" t="n">
        <v>0.21</v>
      </c>
      <c r="R433" s="109" t="n">
        <v>1</v>
      </c>
      <c r="S433" s="109" t="s">
        <v>632</v>
      </c>
      <c r="T433" s="109" t="s">
        <v>530</v>
      </c>
      <c r="U433" s="109" t="s">
        <v>1535</v>
      </c>
      <c r="V433" s="115"/>
      <c r="W433" s="115"/>
      <c r="X433" s="109" t="s">
        <v>1555</v>
      </c>
      <c r="Y433" s="109"/>
      <c r="Z433" s="109"/>
      <c r="AA433" s="109"/>
      <c r="AB433" s="109" t="s">
        <v>333</v>
      </c>
      <c r="AC433" s="109" t="s">
        <v>538</v>
      </c>
      <c r="AD433" s="109" t="n">
        <f aca="false">IF(OR(F433="",Q433="",R433=""),"",ROUND(IF(P433="incl.",F433/(1+Q433),F433)/IF(S433="per pack",R433,1),2))</f>
        <v>110.74</v>
      </c>
      <c r="AE433" s="109" t="str">
        <f aca="false">IF(AND(AC433="yes",ISNUMBER(F433),IF(Compare!$H$5="All mapped",TRUE(),IF(Compare!$H$5="EXACT only",J433="EXACT",OR(J433="EXACT",J433="CLOSE")))),"yes","no")</f>
        <v>yes</v>
      </c>
      <c r="AF433" s="109" t="n">
        <f aca="false">IF(ISNUMBER(H433),COUNTIFS($B$7:$B$3000,B433,$C$7:$C$3000,C433,$H$7:$H$3000,"&lt;"&amp;H433,$AH$7:$AH$3000,"yes")+COUNTIFS($B$7:B433,B433,$C$7:C433,C433,$H$7:H433,H433,$AH$7:AH433,"yes"),"")</f>
        <v>3</v>
      </c>
      <c r="AG433" s="109" t="n">
        <f aca="false">IF(ISNUMBER(I433),COUNTIFS($B$7:$B$3000,B433,$C$7:$C$3000,C433,$I$7:$I$3000,"&lt;"&amp;I433,$AI$7:$AI$3000,"yes")+COUNTIFS($B$7:B433,B433,$C$7:C433,C433,$I$7:I433,I433,$AI$7:AI433,"yes"),"")</f>
        <v>3</v>
      </c>
      <c r="AH433" s="109" t="str">
        <f aca="false">IF(ISNUMBER(H433),"yes","no")</f>
        <v>yes</v>
      </c>
      <c r="AI433" s="109" t="str">
        <f aca="false">IF(ISNUMBER(I433),"yes","no")</f>
        <v>yes</v>
      </c>
      <c r="AJ433" s="116" t="n">
        <v>46295</v>
      </c>
      <c r="AK433" s="109"/>
    </row>
    <row r="434" customFormat="false" ht="42" hidden="false" customHeight="true" outlineLevel="0" collapsed="false">
      <c r="A434" s="3"/>
      <c r="B434" s="36" t="s">
        <v>45</v>
      </c>
      <c r="C434" s="98" t="s">
        <v>17</v>
      </c>
      <c r="D434" s="98" t="s">
        <v>346</v>
      </c>
      <c r="E434" s="110" t="s">
        <v>1604</v>
      </c>
      <c r="F434" s="99" t="n">
        <v>283</v>
      </c>
      <c r="G434" s="98" t="s">
        <v>333</v>
      </c>
      <c r="H434" s="112" t="n">
        <f aca="false">IF(AND(AE434="yes",ISNUMBER(AD434)),AD434,"")</f>
        <v>233.88</v>
      </c>
      <c r="I434" s="95" t="n">
        <f aca="false">IF(AND(AE434="yes",ISNUMBER(AD434),ISNUMBER(INDEX(Sources!$G$7:$G$10,MATCH(AB434,Sources!$B$7:$B$10,0)))),ROUND(AD434/INDEX(Sources!$G$7:$G$10,MATCH(AB434,Sources!$B$7:$B$10,0)),6),"")</f>
        <v>9.575978</v>
      </c>
      <c r="J434" s="98" t="s">
        <v>530</v>
      </c>
      <c r="K434" s="98" t="s">
        <v>586</v>
      </c>
      <c r="L434" s="96"/>
      <c r="M434" s="110" t="s">
        <v>1605</v>
      </c>
      <c r="N434" s="117" t="s">
        <v>1606</v>
      </c>
      <c r="O434" s="110" t="s">
        <v>565</v>
      </c>
      <c r="P434" s="110" t="s">
        <v>265</v>
      </c>
      <c r="Q434" s="118" t="n">
        <v>0.21</v>
      </c>
      <c r="R434" s="110" t="n">
        <v>1</v>
      </c>
      <c r="S434" s="110" t="s">
        <v>632</v>
      </c>
      <c r="T434" s="110" t="s">
        <v>530</v>
      </c>
      <c r="U434" s="110" t="s">
        <v>1535</v>
      </c>
      <c r="V434" s="119"/>
      <c r="W434" s="119"/>
      <c r="X434" s="110" t="s">
        <v>1555</v>
      </c>
      <c r="Y434" s="110"/>
      <c r="Z434" s="110"/>
      <c r="AA434" s="110"/>
      <c r="AB434" s="110" t="s">
        <v>333</v>
      </c>
      <c r="AC434" s="110" t="s">
        <v>538</v>
      </c>
      <c r="AD434" s="110" t="n">
        <f aca="false">IF(OR(F434="",Q434="",R434=""),"",ROUND(IF(P434="incl.",F434/(1+Q434),F434)/IF(S434="per pack",R434,1),2))</f>
        <v>233.88</v>
      </c>
      <c r="AE434" s="110" t="str">
        <f aca="false">IF(AND(AC434="yes",ISNUMBER(F434),IF(Compare!$H$5="All mapped",TRUE(),IF(Compare!$H$5="EXACT only",J434="EXACT",OR(J434="EXACT",J434="CLOSE")))),"yes","no")</f>
        <v>yes</v>
      </c>
      <c r="AF434" s="110" t="n">
        <f aca="false">IF(ISNUMBER(H434),COUNTIFS($B$7:$B$3000,B434,$C$7:$C$3000,C434,$H$7:$H$3000,"&lt;"&amp;H434,$AH$7:$AH$3000,"yes")+COUNTIFS($B$7:B434,B434,$C$7:C434,C434,$H$7:H434,H434,$AH$7:AH434,"yes"),"")</f>
        <v>7</v>
      </c>
      <c r="AG434" s="110" t="n">
        <f aca="false">IF(ISNUMBER(I434),COUNTIFS($B$7:$B$3000,B434,$C$7:$C$3000,C434,$I$7:$I$3000,"&lt;"&amp;I434,$AI$7:$AI$3000,"yes")+COUNTIFS($B$7:B434,B434,$C$7:C434,C434,$I$7:I434,I434,$AI$7:AI434,"yes"),"")</f>
        <v>7</v>
      </c>
      <c r="AH434" s="110" t="str">
        <f aca="false">IF(ISNUMBER(H434),"yes","no")</f>
        <v>yes</v>
      </c>
      <c r="AI434" s="110" t="str">
        <f aca="false">IF(ISNUMBER(I434),"yes","no")</f>
        <v>yes</v>
      </c>
      <c r="AJ434" s="120" t="n">
        <v>46295</v>
      </c>
      <c r="AK434" s="110"/>
    </row>
    <row r="435" customFormat="false" ht="42" hidden="false" customHeight="true" outlineLevel="0" collapsed="false">
      <c r="A435" s="3"/>
      <c r="B435" s="31" t="s">
        <v>45</v>
      </c>
      <c r="C435" s="91" t="s">
        <v>17</v>
      </c>
      <c r="D435" s="91" t="s">
        <v>361</v>
      </c>
      <c r="E435" s="109" t="s">
        <v>1607</v>
      </c>
      <c r="F435" s="92" t="n">
        <v>229</v>
      </c>
      <c r="G435" s="91" t="s">
        <v>333</v>
      </c>
      <c r="H435" s="112" t="n">
        <f aca="false">IF(AND(AE435="yes",ISNUMBER(AD435)),AD435,"")</f>
        <v>189.26</v>
      </c>
      <c r="I435" s="95" t="n">
        <f aca="false">IF(AND(AE435="yes",ISNUMBER(AD435),ISNUMBER(INDEX(Sources!$G$7:$G$10,MATCH(AB435,Sources!$B$7:$B$10,0)))),ROUND(AD435/INDEX(Sources!$G$7:$G$10,MATCH(AB435,Sources!$B$7:$B$10,0)),6),"")</f>
        <v>7.749057</v>
      </c>
      <c r="J435" s="91" t="s">
        <v>530</v>
      </c>
      <c r="K435" s="91" t="s">
        <v>586</v>
      </c>
      <c r="L435" s="96"/>
      <c r="M435" s="109" t="s">
        <v>1608</v>
      </c>
      <c r="N435" s="113" t="s">
        <v>1609</v>
      </c>
      <c r="O435" s="109" t="s">
        <v>642</v>
      </c>
      <c r="P435" s="109" t="s">
        <v>265</v>
      </c>
      <c r="Q435" s="114" t="n">
        <v>0.21</v>
      </c>
      <c r="R435" s="109" t="n">
        <v>1</v>
      </c>
      <c r="S435" s="109" t="s">
        <v>632</v>
      </c>
      <c r="T435" s="109" t="s">
        <v>530</v>
      </c>
      <c r="U435" s="109" t="s">
        <v>1535</v>
      </c>
      <c r="V435" s="115"/>
      <c r="W435" s="115"/>
      <c r="X435" s="109" t="s">
        <v>1555</v>
      </c>
      <c r="Y435" s="109"/>
      <c r="Z435" s="109"/>
      <c r="AA435" s="109"/>
      <c r="AB435" s="109" t="s">
        <v>333</v>
      </c>
      <c r="AC435" s="109" t="s">
        <v>538</v>
      </c>
      <c r="AD435" s="109" t="n">
        <f aca="false">IF(OR(F435="",Q435="",R435=""),"",ROUND(IF(P435="incl.",F435/(1+Q435),F435)/IF(S435="per pack",R435,1),2))</f>
        <v>189.26</v>
      </c>
      <c r="AE435" s="109" t="str">
        <f aca="false">IF(AND(AC435="yes",ISNUMBER(F435),IF(Compare!$H$5="All mapped",TRUE(),IF(Compare!$H$5="EXACT only",J435="EXACT",OR(J435="EXACT",J435="CLOSE")))),"yes","no")</f>
        <v>yes</v>
      </c>
      <c r="AF435" s="109" t="n">
        <f aca="false">IF(ISNUMBER(H435),COUNTIFS($B$7:$B$3000,B435,$C$7:$C$3000,C435,$H$7:$H$3000,"&lt;"&amp;H435,$AH$7:$AH$3000,"yes")+COUNTIFS($B$7:B435,B435,$C$7:C435,C435,$H$7:H435,H435,$AH$7:AH435,"yes"),"")</f>
        <v>6</v>
      </c>
      <c r="AG435" s="109" t="n">
        <f aca="false">IF(ISNUMBER(I435),COUNTIFS($B$7:$B$3000,B435,$C$7:$C$3000,C435,$I$7:$I$3000,"&lt;"&amp;I435,$AI$7:$AI$3000,"yes")+COUNTIFS($B$7:B435,B435,$C$7:C435,C435,$I$7:I435,I435,$AI$7:AI435,"yes"),"")</f>
        <v>6</v>
      </c>
      <c r="AH435" s="109" t="str">
        <f aca="false">IF(ISNUMBER(H435),"yes","no")</f>
        <v>yes</v>
      </c>
      <c r="AI435" s="109" t="str">
        <f aca="false">IF(ISNUMBER(I435),"yes","no")</f>
        <v>yes</v>
      </c>
      <c r="AJ435" s="116" t="n">
        <v>46295</v>
      </c>
      <c r="AK435" s="109"/>
    </row>
    <row r="436" customFormat="false" ht="42" hidden="false" customHeight="true" outlineLevel="0" collapsed="false">
      <c r="A436" s="3"/>
      <c r="B436" s="36" t="s">
        <v>46</v>
      </c>
      <c r="C436" s="98" t="s">
        <v>15</v>
      </c>
      <c r="D436" s="98" t="s">
        <v>243</v>
      </c>
      <c r="E436" s="110" t="s">
        <v>1610</v>
      </c>
      <c r="F436" s="99" t="n">
        <v>4.5</v>
      </c>
      <c r="G436" s="98" t="s">
        <v>244</v>
      </c>
      <c r="H436" s="112" t="n">
        <f aca="false">IF(AND(AE436="yes",ISNUMBER(AD436)),AD436,"")</f>
        <v>4.5</v>
      </c>
      <c r="I436" s="95" t="n">
        <f aca="false">IF(AND(AE436="yes",ISNUMBER(AD436),ISNUMBER(INDEX(Sources!$G$7:$G$10,MATCH(AB436,Sources!$B$7:$B$10,0)))),ROUND(AD436/INDEX(Sources!$G$7:$G$10,MATCH(AB436,Sources!$B$7:$B$10,0)),6),"")</f>
        <v>4.5</v>
      </c>
      <c r="J436" s="98" t="s">
        <v>702</v>
      </c>
      <c r="K436" s="98" t="s">
        <v>586</v>
      </c>
      <c r="L436" s="96"/>
      <c r="M436" s="110" t="s">
        <v>1611</v>
      </c>
      <c r="N436" s="117" t="s">
        <v>1612</v>
      </c>
      <c r="O436" s="110"/>
      <c r="P436" s="110" t="s">
        <v>590</v>
      </c>
      <c r="Q436" s="118"/>
      <c r="R436" s="110" t="n">
        <v>1</v>
      </c>
      <c r="S436" s="110"/>
      <c r="T436" s="110" t="s">
        <v>702</v>
      </c>
      <c r="U436" s="110" t="s">
        <v>1535</v>
      </c>
      <c r="V436" s="119" t="n">
        <v>4.5</v>
      </c>
      <c r="W436" s="119"/>
      <c r="X436" s="110" t="s">
        <v>1536</v>
      </c>
      <c r="Y436" s="110"/>
      <c r="Z436" s="110"/>
      <c r="AA436" s="110"/>
      <c r="AB436" s="110" t="s">
        <v>244</v>
      </c>
      <c r="AC436" s="110" t="s">
        <v>538</v>
      </c>
      <c r="AD436" s="110" t="n">
        <f aca="false">IF(ISNUMBER(V436),ROUND(V436,6),"")</f>
        <v>4.5</v>
      </c>
      <c r="AE436" s="110" t="str">
        <f aca="false">IF(AND(AC436="yes",ISNUMBER(F436),IF(Compare!$H$5="All mapped",TRUE(),IF(Compare!$H$5="EXACT only",J436="EXACT",OR(J436="EXACT",J436="CLOSE")))),"yes","no")</f>
        <v>yes</v>
      </c>
      <c r="AF436" s="110" t="n">
        <f aca="false">IF(ISNUMBER(H436),COUNTIFS($B$7:$B$3000,B436,$C$7:$C$3000,C436,$H$7:$H$3000,"&lt;"&amp;H436,$AH$7:$AH$3000,"yes")+COUNTIFS($B$7:B436,B436,$C$7:C436,C436,$H$7:H436,H436,$AH$7:AH436,"yes"),"")</f>
        <v>2</v>
      </c>
      <c r="AG436" s="110" t="n">
        <f aca="false">IF(ISNUMBER(I436),COUNTIFS($B$7:$B$3000,B436,$C$7:$C$3000,C436,$I$7:$I$3000,"&lt;"&amp;I436,$AI$7:$AI$3000,"yes")+COUNTIFS($B$7:B436,B436,$C$7:C436,C436,$I$7:I436,I436,$AI$7:AI436,"yes"),"")</f>
        <v>2</v>
      </c>
      <c r="AH436" s="110" t="str">
        <f aca="false">IF(ISNUMBER(H436),"yes","no")</f>
        <v>yes</v>
      </c>
      <c r="AI436" s="110" t="str">
        <f aca="false">IF(ISNUMBER(I436),"yes","no")</f>
        <v>yes</v>
      </c>
      <c r="AJ436" s="120" t="n">
        <v>46295</v>
      </c>
      <c r="AK436" s="110"/>
    </row>
    <row r="437" customFormat="false" ht="42" hidden="false" customHeight="true" outlineLevel="0" collapsed="false">
      <c r="A437" s="3"/>
      <c r="B437" s="31" t="s">
        <v>46</v>
      </c>
      <c r="C437" s="91" t="s">
        <v>15</v>
      </c>
      <c r="D437" s="91" t="s">
        <v>277</v>
      </c>
      <c r="E437" s="109" t="s">
        <v>1613</v>
      </c>
      <c r="F437" s="92" t="n">
        <v>50.99</v>
      </c>
      <c r="G437" s="91" t="s">
        <v>244</v>
      </c>
      <c r="H437" s="112" t="n">
        <f aca="false">IF(AND(AE437="yes",ISNUMBER(AD437)),AD437,"")</f>
        <v>4.25</v>
      </c>
      <c r="I437" s="95" t="n">
        <f aca="false">IF(AND(AE437="yes",ISNUMBER(AD437),ISNUMBER(INDEX(Sources!$G$7:$G$10,MATCH(AB437,Sources!$B$7:$B$10,0)))),ROUND(AD437/INDEX(Sources!$G$7:$G$10,MATCH(AB437,Sources!$B$7:$B$10,0)),6),"")</f>
        <v>4.25</v>
      </c>
      <c r="J437" s="91" t="s">
        <v>530</v>
      </c>
      <c r="K437" s="91" t="s">
        <v>586</v>
      </c>
      <c r="L437" s="96"/>
      <c r="M437" s="109"/>
      <c r="N437" s="113" t="s">
        <v>1614</v>
      </c>
      <c r="O437" s="109" t="s">
        <v>610</v>
      </c>
      <c r="P437" s="109" t="s">
        <v>590</v>
      </c>
      <c r="Q437" s="114"/>
      <c r="R437" s="109" t="n">
        <v>12</v>
      </c>
      <c r="S437" s="109" t="s">
        <v>754</v>
      </c>
      <c r="T437" s="109" t="s">
        <v>530</v>
      </c>
      <c r="U437" s="109" t="s">
        <v>1535</v>
      </c>
      <c r="V437" s="115" t="n">
        <v>4.25</v>
      </c>
      <c r="W437" s="115"/>
      <c r="X437" s="109" t="s">
        <v>1536</v>
      </c>
      <c r="Y437" s="109"/>
      <c r="Z437" s="109"/>
      <c r="AA437" s="109"/>
      <c r="AB437" s="109" t="s">
        <v>244</v>
      </c>
      <c r="AC437" s="109" t="s">
        <v>538</v>
      </c>
      <c r="AD437" s="109" t="n">
        <f aca="false">IF(ISNUMBER(V437),ROUND(V437,6),"")</f>
        <v>4.25</v>
      </c>
      <c r="AE437" s="109" t="str">
        <f aca="false">IF(AND(AC437="yes",ISNUMBER(F437),IF(Compare!$H$5="All mapped",TRUE(),IF(Compare!$H$5="EXACT only",J437="EXACT",OR(J437="EXACT",J437="CLOSE")))),"yes","no")</f>
        <v>yes</v>
      </c>
      <c r="AF437" s="109" t="n">
        <f aca="false">IF(ISNUMBER(H437),COUNTIFS($B$7:$B$3000,B437,$C$7:$C$3000,C437,$H$7:$H$3000,"&lt;"&amp;H437,$AH$7:$AH$3000,"yes")+COUNTIFS($B$7:B437,B437,$C$7:C437,C437,$H$7:H437,H437,$AH$7:AH437,"yes"),"")</f>
        <v>1</v>
      </c>
      <c r="AG437" s="109" t="n">
        <f aca="false">IF(ISNUMBER(I437),COUNTIFS($B$7:$B$3000,B437,$C$7:$C$3000,C437,$I$7:$I$3000,"&lt;"&amp;I437,$AI$7:$AI$3000,"yes")+COUNTIFS($B$7:B437,B437,$C$7:C437,C437,$I$7:I437,I437,$AI$7:AI437,"yes"),"")</f>
        <v>1</v>
      </c>
      <c r="AH437" s="109" t="str">
        <f aca="false">IF(ISNUMBER(H437),"yes","no")</f>
        <v>yes</v>
      </c>
      <c r="AI437" s="109" t="str">
        <f aca="false">IF(ISNUMBER(I437),"yes","no")</f>
        <v>yes</v>
      </c>
      <c r="AJ437" s="116" t="n">
        <v>46295</v>
      </c>
      <c r="AK437" s="109"/>
    </row>
    <row r="438" customFormat="false" ht="42" hidden="false" customHeight="true" outlineLevel="0" collapsed="false">
      <c r="A438" s="3"/>
      <c r="B438" s="36" t="s">
        <v>46</v>
      </c>
      <c r="C438" s="98" t="s">
        <v>15</v>
      </c>
      <c r="D438" s="98" t="s">
        <v>257</v>
      </c>
      <c r="E438" s="110" t="s">
        <v>1615</v>
      </c>
      <c r="F438" s="99" t="n">
        <v>7.5</v>
      </c>
      <c r="G438" s="98" t="s">
        <v>244</v>
      </c>
      <c r="H438" s="112" t="n">
        <f aca="false">IF(AND(AE438="yes",ISNUMBER(AD438)),AD438,"")</f>
        <v>7.5</v>
      </c>
      <c r="I438" s="95" t="n">
        <f aca="false">IF(AND(AE438="yes",ISNUMBER(AD438),ISNUMBER(INDEX(Sources!$G$7:$G$10,MATCH(AB438,Sources!$B$7:$B$10,0)))),ROUND(AD438/INDEX(Sources!$G$7:$G$10,MATCH(AB438,Sources!$B$7:$B$10,0)),6),"")</f>
        <v>7.5</v>
      </c>
      <c r="J438" s="98" t="s">
        <v>530</v>
      </c>
      <c r="K438" s="98" t="s">
        <v>586</v>
      </c>
      <c r="L438" s="96"/>
      <c r="M438" s="110" t="s">
        <v>801</v>
      </c>
      <c r="N438" s="117" t="s">
        <v>1616</v>
      </c>
      <c r="O438" s="110" t="s">
        <v>388</v>
      </c>
      <c r="P438" s="110" t="s">
        <v>590</v>
      </c>
      <c r="Q438" s="118"/>
      <c r="R438" s="110" t="n">
        <v>1</v>
      </c>
      <c r="S438" s="110"/>
      <c r="T438" s="110" t="s">
        <v>530</v>
      </c>
      <c r="U438" s="110" t="s">
        <v>1535</v>
      </c>
      <c r="V438" s="119" t="n">
        <v>7.5</v>
      </c>
      <c r="W438" s="119"/>
      <c r="X438" s="110" t="s">
        <v>1536</v>
      </c>
      <c r="Y438" s="110"/>
      <c r="Z438" s="110"/>
      <c r="AA438" s="110"/>
      <c r="AB438" s="110" t="s">
        <v>244</v>
      </c>
      <c r="AC438" s="110" t="s">
        <v>538</v>
      </c>
      <c r="AD438" s="110" t="n">
        <f aca="false">IF(ISNUMBER(V438),ROUND(V438,6),"")</f>
        <v>7.5</v>
      </c>
      <c r="AE438" s="110" t="str">
        <f aca="false">IF(AND(AC438="yes",ISNUMBER(F438),IF(Compare!$H$5="All mapped",TRUE(),IF(Compare!$H$5="EXACT only",J438="EXACT",OR(J438="EXACT",J438="CLOSE")))),"yes","no")</f>
        <v>yes</v>
      </c>
      <c r="AF438" s="110" t="n">
        <f aca="false">IF(ISNUMBER(H438),COUNTIFS($B$7:$B$3000,B438,$C$7:$C$3000,C438,$H$7:$H$3000,"&lt;"&amp;H438,$AH$7:$AH$3000,"yes")+COUNTIFS($B$7:B438,B438,$C$7:C438,C438,$H$7:H438,H438,$AH$7:AH438,"yes"),"")</f>
        <v>7</v>
      </c>
      <c r="AG438" s="110" t="n">
        <f aca="false">IF(ISNUMBER(I438),COUNTIFS($B$7:$B$3000,B438,$C$7:$C$3000,C438,$I$7:$I$3000,"&lt;"&amp;I438,$AI$7:$AI$3000,"yes")+COUNTIFS($B$7:B438,B438,$C$7:C438,C438,$I$7:I438,I438,$AI$7:AI438,"yes"),"")</f>
        <v>7</v>
      </c>
      <c r="AH438" s="110" t="str">
        <f aca="false">IF(ISNUMBER(H438),"yes","no")</f>
        <v>yes</v>
      </c>
      <c r="AI438" s="110" t="str">
        <f aca="false">IF(ISNUMBER(I438),"yes","no")</f>
        <v>yes</v>
      </c>
      <c r="AJ438" s="120" t="n">
        <v>46295</v>
      </c>
      <c r="AK438" s="110"/>
    </row>
    <row r="439" customFormat="false" ht="42" hidden="false" customHeight="true" outlineLevel="0" collapsed="false">
      <c r="A439" s="3"/>
      <c r="B439" s="31" t="s">
        <v>46</v>
      </c>
      <c r="C439" s="91" t="s">
        <v>15</v>
      </c>
      <c r="D439" s="91" t="s">
        <v>269</v>
      </c>
      <c r="E439" s="109" t="s">
        <v>1617</v>
      </c>
      <c r="F439" s="92" t="n">
        <v>10.89</v>
      </c>
      <c r="G439" s="91" t="s">
        <v>244</v>
      </c>
      <c r="H439" s="112" t="n">
        <f aca="false">IF(AND(AE439="yes",ISNUMBER(AD439)),AD439,"")</f>
        <v>10.89</v>
      </c>
      <c r="I439" s="95" t="n">
        <f aca="false">IF(AND(AE439="yes",ISNUMBER(AD439),ISNUMBER(INDEX(Sources!$G$7:$G$10,MATCH(AB439,Sources!$B$7:$B$10,0)))),ROUND(AD439/INDEX(Sources!$G$7:$G$10,MATCH(AB439,Sources!$B$7:$B$10,0)),6),"")</f>
        <v>10.89</v>
      </c>
      <c r="J439" s="91" t="s">
        <v>530</v>
      </c>
      <c r="K439" s="91" t="s">
        <v>586</v>
      </c>
      <c r="L439" s="96"/>
      <c r="M439" s="109" t="s">
        <v>1618</v>
      </c>
      <c r="N439" s="113" t="s">
        <v>1619</v>
      </c>
      <c r="O439" s="109" t="s">
        <v>589</v>
      </c>
      <c r="P439" s="109" t="s">
        <v>590</v>
      </c>
      <c r="Q439" s="114"/>
      <c r="R439" s="109" t="n">
        <v>1</v>
      </c>
      <c r="S439" s="109"/>
      <c r="T439" s="109" t="s">
        <v>530</v>
      </c>
      <c r="U439" s="109" t="s">
        <v>1535</v>
      </c>
      <c r="V439" s="115" t="n">
        <v>10.89</v>
      </c>
      <c r="W439" s="115"/>
      <c r="X439" s="109" t="s">
        <v>1536</v>
      </c>
      <c r="Y439" s="109"/>
      <c r="Z439" s="109"/>
      <c r="AA439" s="109"/>
      <c r="AB439" s="109" t="s">
        <v>244</v>
      </c>
      <c r="AC439" s="109" t="s">
        <v>538</v>
      </c>
      <c r="AD439" s="109" t="n">
        <f aca="false">IF(ISNUMBER(V439),ROUND(V439,6),"")</f>
        <v>10.89</v>
      </c>
      <c r="AE439" s="109" t="str">
        <f aca="false">IF(AND(AC439="yes",ISNUMBER(F439),IF(Compare!$H$5="All mapped",TRUE(),IF(Compare!$H$5="EXACT only",J439="EXACT",OR(J439="EXACT",J439="CLOSE")))),"yes","no")</f>
        <v>yes</v>
      </c>
      <c r="AF439" s="109" t="n">
        <f aca="false">IF(ISNUMBER(H439),COUNTIFS($B$7:$B$3000,B439,$C$7:$C$3000,C439,$H$7:$H$3000,"&lt;"&amp;H439,$AH$7:$AH$3000,"yes")+COUNTIFS($B$7:B439,B439,$C$7:C439,C439,$H$7:H439,H439,$AH$7:AH439,"yes"),"")</f>
        <v>8</v>
      </c>
      <c r="AG439" s="109" t="n">
        <f aca="false">IF(ISNUMBER(I439),COUNTIFS($B$7:$B$3000,B439,$C$7:$C$3000,C439,$I$7:$I$3000,"&lt;"&amp;I439,$AI$7:$AI$3000,"yes")+COUNTIFS($B$7:B439,B439,$C$7:C439,C439,$I$7:I439,I439,$AI$7:AI439,"yes"),"")</f>
        <v>8</v>
      </c>
      <c r="AH439" s="109" t="str">
        <f aca="false">IF(ISNUMBER(H439),"yes","no")</f>
        <v>yes</v>
      </c>
      <c r="AI439" s="109" t="str">
        <f aca="false">IF(ISNUMBER(I439),"yes","no")</f>
        <v>yes</v>
      </c>
      <c r="AJ439" s="116" t="n">
        <v>46295</v>
      </c>
      <c r="AK439" s="109"/>
    </row>
    <row r="440" customFormat="false" ht="42" hidden="false" customHeight="true" outlineLevel="0" collapsed="false">
      <c r="A440" s="3"/>
      <c r="B440" s="36" t="s">
        <v>46</v>
      </c>
      <c r="C440" s="98" t="s">
        <v>15</v>
      </c>
      <c r="D440" s="98" t="s">
        <v>264</v>
      </c>
      <c r="E440" s="110" t="s">
        <v>1620</v>
      </c>
      <c r="F440" s="99" t="n">
        <v>12.53</v>
      </c>
      <c r="G440" s="98" t="s">
        <v>244</v>
      </c>
      <c r="H440" s="112" t="n">
        <f aca="false">IF(AND(AE440="yes",ISNUMBER(AD440)),AD440,"")</f>
        <v>12.53</v>
      </c>
      <c r="I440" s="95" t="n">
        <f aca="false">IF(AND(AE440="yes",ISNUMBER(AD440),ISNUMBER(INDEX(Sources!$G$7:$G$10,MATCH(AB440,Sources!$B$7:$B$10,0)))),ROUND(AD440/INDEX(Sources!$G$7:$G$10,MATCH(AB440,Sources!$B$7:$B$10,0)),6),"")</f>
        <v>12.53</v>
      </c>
      <c r="J440" s="98" t="s">
        <v>530</v>
      </c>
      <c r="K440" s="98" t="s">
        <v>586</v>
      </c>
      <c r="L440" s="96"/>
      <c r="M440" s="110"/>
      <c r="N440" s="117" t="s">
        <v>1621</v>
      </c>
      <c r="O440" s="110" t="s">
        <v>388</v>
      </c>
      <c r="P440" s="110" t="s">
        <v>590</v>
      </c>
      <c r="Q440" s="118"/>
      <c r="R440" s="110" t="n">
        <v>1</v>
      </c>
      <c r="S440" s="110"/>
      <c r="T440" s="110" t="s">
        <v>530</v>
      </c>
      <c r="U440" s="110" t="s">
        <v>1535</v>
      </c>
      <c r="V440" s="119" t="n">
        <v>12.53</v>
      </c>
      <c r="W440" s="119"/>
      <c r="X440" s="110" t="s">
        <v>1536</v>
      </c>
      <c r="Y440" s="110"/>
      <c r="Z440" s="110"/>
      <c r="AA440" s="110"/>
      <c r="AB440" s="110" t="s">
        <v>244</v>
      </c>
      <c r="AC440" s="110" t="s">
        <v>538</v>
      </c>
      <c r="AD440" s="110" t="n">
        <f aca="false">IF(ISNUMBER(V440),ROUND(V440,6),"")</f>
        <v>12.53</v>
      </c>
      <c r="AE440" s="110" t="str">
        <f aca="false">IF(AND(AC440="yes",ISNUMBER(F440),IF(Compare!$H$5="All mapped",TRUE(),IF(Compare!$H$5="EXACT only",J440="EXACT",OR(J440="EXACT",J440="CLOSE")))),"yes","no")</f>
        <v>yes</v>
      </c>
      <c r="AF440" s="110" t="n">
        <f aca="false">IF(ISNUMBER(H440),COUNTIFS($B$7:$B$3000,B440,$C$7:$C$3000,C440,$H$7:$H$3000,"&lt;"&amp;H440,$AH$7:$AH$3000,"yes")+COUNTIFS($B$7:B440,B440,$C$7:C440,C440,$H$7:H440,H440,$AH$7:AH440,"yes"),"")</f>
        <v>9</v>
      </c>
      <c r="AG440" s="110" t="n">
        <f aca="false">IF(ISNUMBER(I440),COUNTIFS($B$7:$B$3000,B440,$C$7:$C$3000,C440,$I$7:$I$3000,"&lt;"&amp;I440,$AI$7:$AI$3000,"yes")+COUNTIFS($B$7:B440,B440,$C$7:C440,C440,$I$7:I440,I440,$AI$7:AI440,"yes"),"")</f>
        <v>9</v>
      </c>
      <c r="AH440" s="110" t="str">
        <f aca="false">IF(ISNUMBER(H440),"yes","no")</f>
        <v>yes</v>
      </c>
      <c r="AI440" s="110" t="str">
        <f aca="false">IF(ISNUMBER(I440),"yes","no")</f>
        <v>yes</v>
      </c>
      <c r="AJ440" s="120" t="n">
        <v>46295</v>
      </c>
      <c r="AK440" s="110"/>
    </row>
    <row r="441" customFormat="false" ht="42" hidden="false" customHeight="true" outlineLevel="0" collapsed="false">
      <c r="A441" s="3"/>
      <c r="B441" s="31" t="s">
        <v>46</v>
      </c>
      <c r="C441" s="91" t="s">
        <v>15</v>
      </c>
      <c r="D441" s="91" t="s">
        <v>273</v>
      </c>
      <c r="E441" s="109" t="s">
        <v>1622</v>
      </c>
      <c r="F441" s="92" t="n">
        <v>18.39</v>
      </c>
      <c r="G441" s="91" t="s">
        <v>244</v>
      </c>
      <c r="H441" s="112" t="n">
        <f aca="false">IF(AND(AE441="yes",ISNUMBER(AD441)),AD441,"")</f>
        <v>15.33</v>
      </c>
      <c r="I441" s="95" t="n">
        <f aca="false">IF(AND(AE441="yes",ISNUMBER(AD441),ISNUMBER(INDEX(Sources!$G$7:$G$10,MATCH(AB441,Sources!$B$7:$B$10,0)))),ROUND(AD441/INDEX(Sources!$G$7:$G$10,MATCH(AB441,Sources!$B$7:$B$10,0)),6),"")</f>
        <v>15.33</v>
      </c>
      <c r="J441" s="91" t="s">
        <v>530</v>
      </c>
      <c r="K441" s="91" t="s">
        <v>586</v>
      </c>
      <c r="L441" s="96"/>
      <c r="M441" s="109" t="s">
        <v>1623</v>
      </c>
      <c r="N441" s="113" t="s">
        <v>1624</v>
      </c>
      <c r="O441" s="109" t="s">
        <v>642</v>
      </c>
      <c r="P441" s="109" t="s">
        <v>265</v>
      </c>
      <c r="Q441" s="114"/>
      <c r="R441" s="109" t="n">
        <v>1</v>
      </c>
      <c r="S441" s="109"/>
      <c r="T441" s="109" t="s">
        <v>530</v>
      </c>
      <c r="U441" s="109" t="s">
        <v>1535</v>
      </c>
      <c r="V441" s="115" t="n">
        <v>15.33</v>
      </c>
      <c r="W441" s="115"/>
      <c r="X441" s="109" t="s">
        <v>1536</v>
      </c>
      <c r="Y441" s="109"/>
      <c r="Z441" s="109"/>
      <c r="AA441" s="109"/>
      <c r="AB441" s="109" t="s">
        <v>244</v>
      </c>
      <c r="AC441" s="109" t="s">
        <v>538</v>
      </c>
      <c r="AD441" s="109" t="n">
        <f aca="false">IF(ISNUMBER(V441),ROUND(V441,6),"")</f>
        <v>15.33</v>
      </c>
      <c r="AE441" s="109" t="str">
        <f aca="false">IF(AND(AC441="yes",ISNUMBER(F441),IF(Compare!$H$5="All mapped",TRUE(),IF(Compare!$H$5="EXACT only",J441="EXACT",OR(J441="EXACT",J441="CLOSE")))),"yes","no")</f>
        <v>yes</v>
      </c>
      <c r="AF441" s="109" t="n">
        <f aca="false">IF(ISNUMBER(H441),COUNTIFS($B$7:$B$3000,B441,$C$7:$C$3000,C441,$H$7:$H$3000,"&lt;"&amp;H441,$AH$7:$AH$3000,"yes")+COUNTIFS($B$7:B441,B441,$C$7:C441,C441,$H$7:H441,H441,$AH$7:AH441,"yes"),"")</f>
        <v>10</v>
      </c>
      <c r="AG441" s="109" t="n">
        <f aca="false">IF(ISNUMBER(I441),COUNTIFS($B$7:$B$3000,B441,$C$7:$C$3000,C441,$I$7:$I$3000,"&lt;"&amp;I441,$AI$7:$AI$3000,"yes")+COUNTIFS($B$7:B441,B441,$C$7:C441,C441,$I$7:I441,I441,$AI$7:AI441,"yes"),"")</f>
        <v>10</v>
      </c>
      <c r="AH441" s="109" t="str">
        <f aca="false">IF(ISNUMBER(H441),"yes","no")</f>
        <v>yes</v>
      </c>
      <c r="AI441" s="109" t="str">
        <f aca="false">IF(ISNUMBER(I441),"yes","no")</f>
        <v>yes</v>
      </c>
      <c r="AJ441" s="116" t="n">
        <v>46295</v>
      </c>
      <c r="AK441" s="109"/>
    </row>
    <row r="442" customFormat="false" ht="42" hidden="false" customHeight="true" outlineLevel="0" collapsed="false">
      <c r="A442" s="3"/>
      <c r="B442" s="36" t="s">
        <v>46</v>
      </c>
      <c r="C442" s="98" t="s">
        <v>15</v>
      </c>
      <c r="D442" s="98" t="s">
        <v>281</v>
      </c>
      <c r="E442" s="110" t="s">
        <v>1625</v>
      </c>
      <c r="F442" s="99" t="n">
        <v>6.2</v>
      </c>
      <c r="G442" s="98" t="s">
        <v>244</v>
      </c>
      <c r="H442" s="112" t="n">
        <f aca="false">IF(AND(AE442="yes",ISNUMBER(AD442)),AD442,"")</f>
        <v>6.2</v>
      </c>
      <c r="I442" s="95" t="n">
        <f aca="false">IF(AND(AE442="yes",ISNUMBER(AD442),ISNUMBER(INDEX(Sources!$G$7:$G$10,MATCH(AB442,Sources!$B$7:$B$10,0)))),ROUND(AD442/INDEX(Sources!$G$7:$G$10,MATCH(AB442,Sources!$B$7:$B$10,0)),6),"")</f>
        <v>6.2</v>
      </c>
      <c r="J442" s="98" t="s">
        <v>702</v>
      </c>
      <c r="K442" s="98" t="s">
        <v>586</v>
      </c>
      <c r="L442" s="96"/>
      <c r="M442" s="110" t="s">
        <v>1626</v>
      </c>
      <c r="N442" s="117" t="s">
        <v>1627</v>
      </c>
      <c r="O442" s="110" t="s">
        <v>662</v>
      </c>
      <c r="P442" s="110" t="s">
        <v>590</v>
      </c>
      <c r="Q442" s="118"/>
      <c r="R442" s="110" t="n">
        <v>1</v>
      </c>
      <c r="S442" s="110"/>
      <c r="T442" s="110" t="s">
        <v>702</v>
      </c>
      <c r="U442" s="110" t="s">
        <v>1535</v>
      </c>
      <c r="V442" s="119" t="n">
        <v>6.2</v>
      </c>
      <c r="W442" s="119"/>
      <c r="X442" s="110" t="s">
        <v>1536</v>
      </c>
      <c r="Y442" s="110"/>
      <c r="Z442" s="110"/>
      <c r="AA442" s="110"/>
      <c r="AB442" s="110" t="s">
        <v>244</v>
      </c>
      <c r="AC442" s="110" t="s">
        <v>538</v>
      </c>
      <c r="AD442" s="110" t="n">
        <f aca="false">IF(ISNUMBER(V442),ROUND(V442,6),"")</f>
        <v>6.2</v>
      </c>
      <c r="AE442" s="110" t="str">
        <f aca="false">IF(AND(AC442="yes",ISNUMBER(F442),IF(Compare!$H$5="All mapped",TRUE(),IF(Compare!$H$5="EXACT only",J442="EXACT",OR(J442="EXACT",J442="CLOSE")))),"yes","no")</f>
        <v>yes</v>
      </c>
      <c r="AF442" s="110" t="n">
        <f aca="false">IF(ISNUMBER(H442),COUNTIFS($B$7:$B$3000,B442,$C$7:$C$3000,C442,$H$7:$H$3000,"&lt;"&amp;H442,$AH$7:$AH$3000,"yes")+COUNTIFS($B$7:B442,B442,$C$7:C442,C442,$H$7:H442,H442,$AH$7:AH442,"yes"),"")</f>
        <v>5</v>
      </c>
      <c r="AG442" s="110" t="n">
        <f aca="false">IF(ISNUMBER(I442),COUNTIFS($B$7:$B$3000,B442,$C$7:$C$3000,C442,$I$7:$I$3000,"&lt;"&amp;I442,$AI$7:$AI$3000,"yes")+COUNTIFS($B$7:B442,B442,$C$7:C442,C442,$I$7:I442,I442,$AI$7:AI442,"yes"),"")</f>
        <v>5</v>
      </c>
      <c r="AH442" s="110" t="str">
        <f aca="false">IF(ISNUMBER(H442),"yes","no")</f>
        <v>yes</v>
      </c>
      <c r="AI442" s="110" t="str">
        <f aca="false">IF(ISNUMBER(I442),"yes","no")</f>
        <v>yes</v>
      </c>
      <c r="AJ442" s="120" t="n">
        <v>46295</v>
      </c>
      <c r="AK442" s="110"/>
    </row>
    <row r="443" customFormat="false" ht="42" hidden="false" customHeight="true" outlineLevel="0" collapsed="false">
      <c r="A443" s="3"/>
      <c r="B443" s="31" t="s">
        <v>46</v>
      </c>
      <c r="C443" s="91" t="s">
        <v>15</v>
      </c>
      <c r="D443" s="91" t="s">
        <v>285</v>
      </c>
      <c r="E443" s="109" t="s">
        <v>682</v>
      </c>
      <c r="F443" s="92" t="n">
        <v>37.9</v>
      </c>
      <c r="G443" s="91" t="s">
        <v>244</v>
      </c>
      <c r="H443" s="112" t="n">
        <f aca="false">IF(AND(AE443="yes",ISNUMBER(AD443)),AD443,"")</f>
        <v>37.9</v>
      </c>
      <c r="I443" s="95" t="n">
        <f aca="false">IF(AND(AE443="yes",ISNUMBER(AD443),ISNUMBER(INDEX(Sources!$G$7:$G$10,MATCH(AB443,Sources!$B$7:$B$10,0)))),ROUND(AD443/INDEX(Sources!$G$7:$G$10,MATCH(AB443,Sources!$B$7:$B$10,0)),6),"")</f>
        <v>37.9</v>
      </c>
      <c r="J443" s="91" t="s">
        <v>702</v>
      </c>
      <c r="K443" s="91" t="s">
        <v>586</v>
      </c>
      <c r="L443" s="96"/>
      <c r="M443" s="109" t="s">
        <v>1628</v>
      </c>
      <c r="N443" s="113" t="s">
        <v>684</v>
      </c>
      <c r="O443" s="109" t="s">
        <v>685</v>
      </c>
      <c r="P443" s="109" t="s">
        <v>590</v>
      </c>
      <c r="Q443" s="114"/>
      <c r="R443" s="109" t="n">
        <v>1</v>
      </c>
      <c r="S443" s="109"/>
      <c r="T443" s="109" t="s">
        <v>702</v>
      </c>
      <c r="U443" s="109" t="s">
        <v>1535</v>
      </c>
      <c r="V443" s="115" t="n">
        <v>37.9</v>
      </c>
      <c r="W443" s="115"/>
      <c r="X443" s="109" t="s">
        <v>1536</v>
      </c>
      <c r="Y443" s="109"/>
      <c r="Z443" s="109"/>
      <c r="AA443" s="109"/>
      <c r="AB443" s="109" t="s">
        <v>244</v>
      </c>
      <c r="AC443" s="109" t="s">
        <v>538</v>
      </c>
      <c r="AD443" s="109" t="n">
        <f aca="false">IF(ISNUMBER(V443),ROUND(V443,6),"")</f>
        <v>37.9</v>
      </c>
      <c r="AE443" s="109" t="str">
        <f aca="false">IF(AND(AC443="yes",ISNUMBER(F443),IF(Compare!$H$5="All mapped",TRUE(),IF(Compare!$H$5="EXACT only",J443="EXACT",OR(J443="EXACT",J443="CLOSE")))),"yes","no")</f>
        <v>yes</v>
      </c>
      <c r="AF443" s="109" t="n">
        <f aca="false">IF(ISNUMBER(H443),COUNTIFS($B$7:$B$3000,B443,$C$7:$C$3000,C443,$H$7:$H$3000,"&lt;"&amp;H443,$AH$7:$AH$3000,"yes")+COUNTIFS($B$7:B443,B443,$C$7:C443,C443,$H$7:H443,H443,$AH$7:AH443,"yes"),"")</f>
        <v>11</v>
      </c>
      <c r="AG443" s="109" t="n">
        <f aca="false">IF(ISNUMBER(I443),COUNTIFS($B$7:$B$3000,B443,$C$7:$C$3000,C443,$I$7:$I$3000,"&lt;"&amp;I443,$AI$7:$AI$3000,"yes")+COUNTIFS($B$7:B443,B443,$C$7:C443,C443,$I$7:I443,I443,$AI$7:AI443,"yes"),"")</f>
        <v>11</v>
      </c>
      <c r="AH443" s="109" t="str">
        <f aca="false">IF(ISNUMBER(H443),"yes","no")</f>
        <v>yes</v>
      </c>
      <c r="AI443" s="109" t="str">
        <f aca="false">IF(ISNUMBER(I443),"yes","no")</f>
        <v>yes</v>
      </c>
      <c r="AJ443" s="116" t="n">
        <v>46295</v>
      </c>
      <c r="AK443" s="109"/>
    </row>
    <row r="444" customFormat="false" ht="42" hidden="false" customHeight="true" outlineLevel="0" collapsed="false">
      <c r="A444" s="3"/>
      <c r="B444" s="36" t="s">
        <v>46</v>
      </c>
      <c r="C444" s="98" t="s">
        <v>15</v>
      </c>
      <c r="D444" s="98" t="s">
        <v>293</v>
      </c>
      <c r="E444" s="110" t="s">
        <v>1629</v>
      </c>
      <c r="F444" s="99" t="n">
        <v>5.2</v>
      </c>
      <c r="G444" s="98" t="s">
        <v>244</v>
      </c>
      <c r="H444" s="112" t="n">
        <f aca="false">IF(AND(AE444="yes",ISNUMBER(AD444)),AD444,"")</f>
        <v>5.2</v>
      </c>
      <c r="I444" s="95" t="n">
        <f aca="false">IF(AND(AE444="yes",ISNUMBER(AD444),ISNUMBER(INDEX(Sources!$G$7:$G$10,MATCH(AB444,Sources!$B$7:$B$10,0)))),ROUND(AD444/INDEX(Sources!$G$7:$G$10,MATCH(AB444,Sources!$B$7:$B$10,0)),6),"")</f>
        <v>5.2</v>
      </c>
      <c r="J444" s="98" t="s">
        <v>530</v>
      </c>
      <c r="K444" s="98" t="s">
        <v>586</v>
      </c>
      <c r="L444" s="96"/>
      <c r="M444" s="110" t="s">
        <v>1630</v>
      </c>
      <c r="N444" s="117" t="s">
        <v>1631</v>
      </c>
      <c r="O444" s="110" t="s">
        <v>603</v>
      </c>
      <c r="P444" s="110" t="s">
        <v>590</v>
      </c>
      <c r="Q444" s="118"/>
      <c r="R444" s="110" t="n">
        <v>1</v>
      </c>
      <c r="S444" s="110"/>
      <c r="T444" s="110" t="s">
        <v>530</v>
      </c>
      <c r="U444" s="110" t="s">
        <v>1535</v>
      </c>
      <c r="V444" s="119" t="n">
        <v>5.2</v>
      </c>
      <c r="W444" s="119"/>
      <c r="X444" s="110" t="s">
        <v>1536</v>
      </c>
      <c r="Y444" s="110"/>
      <c r="Z444" s="110"/>
      <c r="AA444" s="110"/>
      <c r="AB444" s="110" t="s">
        <v>244</v>
      </c>
      <c r="AC444" s="110" t="s">
        <v>538</v>
      </c>
      <c r="AD444" s="110" t="n">
        <f aca="false">IF(ISNUMBER(V444),ROUND(V444,6),"")</f>
        <v>5.2</v>
      </c>
      <c r="AE444" s="110" t="str">
        <f aca="false">IF(AND(AC444="yes",ISNUMBER(F444),IF(Compare!$H$5="All mapped",TRUE(),IF(Compare!$H$5="EXACT only",J444="EXACT",OR(J444="EXACT",J444="CLOSE")))),"yes","no")</f>
        <v>yes</v>
      </c>
      <c r="AF444" s="110" t="n">
        <f aca="false">IF(ISNUMBER(H444),COUNTIFS($B$7:$B$3000,B444,$C$7:$C$3000,C444,$H$7:$H$3000,"&lt;"&amp;H444,$AH$7:$AH$3000,"yes")+COUNTIFS($B$7:B444,B444,$C$7:C444,C444,$H$7:H444,H444,$AH$7:AH444,"yes"),"")</f>
        <v>3</v>
      </c>
      <c r="AG444" s="110" t="n">
        <f aca="false">IF(ISNUMBER(I444),COUNTIFS($B$7:$B$3000,B444,$C$7:$C$3000,C444,$I$7:$I$3000,"&lt;"&amp;I444,$AI$7:$AI$3000,"yes")+COUNTIFS($B$7:B444,B444,$C$7:C444,C444,$I$7:I444,I444,$AI$7:AI444,"yes"),"")</f>
        <v>3</v>
      </c>
      <c r="AH444" s="110" t="str">
        <f aca="false">IF(ISNUMBER(H444),"yes","no")</f>
        <v>yes</v>
      </c>
      <c r="AI444" s="110" t="str">
        <f aca="false">IF(ISNUMBER(I444),"yes","no")</f>
        <v>yes</v>
      </c>
      <c r="AJ444" s="120" t="n">
        <v>46295</v>
      </c>
      <c r="AK444" s="110"/>
    </row>
    <row r="445" customFormat="false" ht="42" hidden="false" customHeight="true" outlineLevel="0" collapsed="false">
      <c r="A445" s="3"/>
      <c r="B445" s="31" t="s">
        <v>46</v>
      </c>
      <c r="C445" s="91" t="s">
        <v>17</v>
      </c>
      <c r="D445" s="91" t="s">
        <v>354</v>
      </c>
      <c r="E445" s="109" t="s">
        <v>1632</v>
      </c>
      <c r="F445" s="92" t="n">
        <v>1216.71</v>
      </c>
      <c r="G445" s="91" t="s">
        <v>333</v>
      </c>
      <c r="H445" s="112" t="n">
        <f aca="false">IF(AND(AE445="yes",ISNUMBER(AD445)),AD445,"")</f>
        <v>101.39</v>
      </c>
      <c r="I445" s="95" t="n">
        <f aca="false">IF(AND(AE445="yes",ISNUMBER(AD445),ISNUMBER(INDEX(Sources!$G$7:$G$10,MATCH(AB445,Sources!$B$7:$B$10,0)))),ROUND(AD445/INDEX(Sources!$G$7:$G$10,MATCH(AB445,Sources!$B$7:$B$10,0)),6),"")</f>
        <v>4.15131</v>
      </c>
      <c r="J445" s="91" t="s">
        <v>530</v>
      </c>
      <c r="K445" s="91" t="s">
        <v>586</v>
      </c>
      <c r="L445" s="96"/>
      <c r="M445" s="109" t="s">
        <v>1633</v>
      </c>
      <c r="N445" s="113" t="s">
        <v>1634</v>
      </c>
      <c r="O445" s="109" t="s">
        <v>610</v>
      </c>
      <c r="P445" s="109" t="s">
        <v>590</v>
      </c>
      <c r="Q445" s="114" t="n">
        <v>0.19</v>
      </c>
      <c r="R445" s="109" t="n">
        <v>12</v>
      </c>
      <c r="S445" s="109" t="s">
        <v>625</v>
      </c>
      <c r="T445" s="109" t="s">
        <v>530</v>
      </c>
      <c r="U445" s="109" t="s">
        <v>1535</v>
      </c>
      <c r="V445" s="115"/>
      <c r="W445" s="115"/>
      <c r="X445" s="109" t="s">
        <v>1555</v>
      </c>
      <c r="Y445" s="109"/>
      <c r="Z445" s="109"/>
      <c r="AA445" s="109"/>
      <c r="AB445" s="109" t="s">
        <v>333</v>
      </c>
      <c r="AC445" s="109" t="s">
        <v>538</v>
      </c>
      <c r="AD445" s="109" t="n">
        <f aca="false">IF(OR(F445="",Q445="",R445=""),"",ROUND(IF(P445="incl.",F445/(1+Q445),F445)/IF(S445="per pack",R445,1),2))</f>
        <v>101.39</v>
      </c>
      <c r="AE445" s="109" t="str">
        <f aca="false">IF(AND(AC445="yes",ISNUMBER(F445),IF(Compare!$H$5="All mapped",TRUE(),IF(Compare!$H$5="EXACT only",J445="EXACT",OR(J445="EXACT",J445="CLOSE")))),"yes","no")</f>
        <v>yes</v>
      </c>
      <c r="AF445" s="109" t="n">
        <f aca="false">IF(ISNUMBER(H445),COUNTIFS($B$7:$B$3000,B445,$C$7:$C$3000,C445,$H$7:$H$3000,"&lt;"&amp;H445,$AH$7:$AH$3000,"yes")+COUNTIFS($B$7:B445,B445,$C$7:C445,C445,$H$7:H445,H445,$AH$7:AH445,"yes"),"")</f>
        <v>1</v>
      </c>
      <c r="AG445" s="109" t="n">
        <f aca="false">IF(ISNUMBER(I445),COUNTIFS($B$7:$B$3000,B445,$C$7:$C$3000,C445,$I$7:$I$3000,"&lt;"&amp;I445,$AI$7:$AI$3000,"yes")+COUNTIFS($B$7:B445,B445,$C$7:C445,C445,$I$7:I445,I445,$AI$7:AI445,"yes"),"")</f>
        <v>1</v>
      </c>
      <c r="AH445" s="109" t="str">
        <f aca="false">IF(ISNUMBER(H445),"yes","no")</f>
        <v>yes</v>
      </c>
      <c r="AI445" s="109" t="str">
        <f aca="false">IF(ISNUMBER(I445),"yes","no")</f>
        <v>yes</v>
      </c>
      <c r="AJ445" s="116" t="n">
        <v>46295</v>
      </c>
      <c r="AK445" s="109"/>
    </row>
    <row r="446" customFormat="false" ht="42" hidden="false" customHeight="true" outlineLevel="0" collapsed="false">
      <c r="A446" s="3"/>
      <c r="B446" s="36" t="s">
        <v>46</v>
      </c>
      <c r="C446" s="98" t="s">
        <v>17</v>
      </c>
      <c r="D446" s="98" t="s">
        <v>332</v>
      </c>
      <c r="E446" s="110" t="s">
        <v>1635</v>
      </c>
      <c r="F446" s="99" t="n">
        <v>140</v>
      </c>
      <c r="G446" s="98" t="s">
        <v>333</v>
      </c>
      <c r="H446" s="112" t="n">
        <f aca="false">IF(AND(AE446="yes",ISNUMBER(AD446)),AD446,"")</f>
        <v>140</v>
      </c>
      <c r="I446" s="95" t="n">
        <f aca="false">IF(AND(AE446="yes",ISNUMBER(AD446),ISNUMBER(INDEX(Sources!$G$7:$G$10,MATCH(AB446,Sources!$B$7:$B$10,0)))),ROUND(AD446/INDEX(Sources!$G$7:$G$10,MATCH(AB446,Sources!$B$7:$B$10,0)),6),"")</f>
        <v>5.732157</v>
      </c>
      <c r="J446" s="98" t="s">
        <v>530</v>
      </c>
      <c r="K446" s="98" t="s">
        <v>586</v>
      </c>
      <c r="L446" s="96"/>
      <c r="M446" s="110" t="s">
        <v>1636</v>
      </c>
      <c r="N446" s="117" t="s">
        <v>1637</v>
      </c>
      <c r="O446" s="110"/>
      <c r="P446" s="110" t="s">
        <v>590</v>
      </c>
      <c r="Q446" s="118" t="n">
        <v>0.21</v>
      </c>
      <c r="R446" s="110" t="n">
        <v>1</v>
      </c>
      <c r="S446" s="110" t="s">
        <v>632</v>
      </c>
      <c r="T446" s="110" t="s">
        <v>530</v>
      </c>
      <c r="U446" s="110" t="s">
        <v>1535</v>
      </c>
      <c r="V446" s="119"/>
      <c r="W446" s="119"/>
      <c r="X446" s="110" t="s">
        <v>1555</v>
      </c>
      <c r="Y446" s="110"/>
      <c r="Z446" s="110"/>
      <c r="AA446" s="110"/>
      <c r="AB446" s="110" t="s">
        <v>333</v>
      </c>
      <c r="AC446" s="110" t="s">
        <v>538</v>
      </c>
      <c r="AD446" s="110" t="n">
        <f aca="false">IF(OR(F446="",Q446="",R446=""),"",ROUND(IF(P446="incl.",F446/(1+Q446),F446)/IF(S446="per pack",R446,1),2))</f>
        <v>140</v>
      </c>
      <c r="AE446" s="110" t="str">
        <f aca="false">IF(AND(AC446="yes",ISNUMBER(F446),IF(Compare!$H$5="All mapped",TRUE(),IF(Compare!$H$5="EXACT only",J446="EXACT",OR(J446="EXACT",J446="CLOSE")))),"yes","no")</f>
        <v>yes</v>
      </c>
      <c r="AF446" s="110" t="n">
        <f aca="false">IF(ISNUMBER(H446),COUNTIFS($B$7:$B$3000,B446,$C$7:$C$3000,C446,$H$7:$H$3000,"&lt;"&amp;H446,$AH$7:$AH$3000,"yes")+COUNTIFS($B$7:B446,B446,$C$7:C446,C446,$H$7:H446,H446,$AH$7:AH446,"yes"),"")</f>
        <v>4</v>
      </c>
      <c r="AG446" s="110" t="n">
        <f aca="false">IF(ISNUMBER(I446),COUNTIFS($B$7:$B$3000,B446,$C$7:$C$3000,C446,$I$7:$I$3000,"&lt;"&amp;I446,$AI$7:$AI$3000,"yes")+COUNTIFS($B$7:B446,B446,$C$7:C446,C446,$I$7:I446,I446,$AI$7:AI446,"yes"),"")</f>
        <v>4</v>
      </c>
      <c r="AH446" s="110" t="str">
        <f aca="false">IF(ISNUMBER(H446),"yes","no")</f>
        <v>yes</v>
      </c>
      <c r="AI446" s="110" t="str">
        <f aca="false">IF(ISNUMBER(I446),"yes","no")</f>
        <v>yes</v>
      </c>
      <c r="AJ446" s="120" t="n">
        <v>46295</v>
      </c>
      <c r="AK446" s="110"/>
    </row>
    <row r="447" customFormat="false" ht="42" hidden="false" customHeight="true" outlineLevel="0" collapsed="false">
      <c r="A447" s="3"/>
      <c r="B447" s="31" t="s">
        <v>46</v>
      </c>
      <c r="C447" s="91" t="s">
        <v>17</v>
      </c>
      <c r="D447" s="91" t="s">
        <v>342</v>
      </c>
      <c r="E447" s="109" t="s">
        <v>1638</v>
      </c>
      <c r="F447" s="92" t="n">
        <v>162</v>
      </c>
      <c r="G447" s="91" t="s">
        <v>333</v>
      </c>
      <c r="H447" s="112" t="n">
        <f aca="false">IF(AND(AE447="yes",ISNUMBER(AD447)),AD447,"")</f>
        <v>133.88</v>
      </c>
      <c r="I447" s="95" t="n">
        <f aca="false">IF(AND(AE447="yes",ISNUMBER(AD447),ISNUMBER(INDEX(Sources!$G$7:$G$10,MATCH(AB447,Sources!$B$7:$B$10,0)))),ROUND(AD447/INDEX(Sources!$G$7:$G$10,MATCH(AB447,Sources!$B$7:$B$10,0)),6),"")</f>
        <v>5.48158</v>
      </c>
      <c r="J447" s="91" t="s">
        <v>530</v>
      </c>
      <c r="K447" s="91" t="s">
        <v>586</v>
      </c>
      <c r="L447" s="96"/>
      <c r="M447" s="109" t="s">
        <v>1639</v>
      </c>
      <c r="N447" s="113" t="s">
        <v>1640</v>
      </c>
      <c r="O447" s="109" t="s">
        <v>733</v>
      </c>
      <c r="P447" s="109" t="s">
        <v>265</v>
      </c>
      <c r="Q447" s="114" t="n">
        <v>0.21</v>
      </c>
      <c r="R447" s="109" t="n">
        <v>1</v>
      </c>
      <c r="S447" s="109" t="s">
        <v>632</v>
      </c>
      <c r="T447" s="109" t="s">
        <v>530</v>
      </c>
      <c r="U447" s="109" t="s">
        <v>1535</v>
      </c>
      <c r="V447" s="115"/>
      <c r="W447" s="115"/>
      <c r="X447" s="109" t="s">
        <v>1555</v>
      </c>
      <c r="Y447" s="109"/>
      <c r="Z447" s="109"/>
      <c r="AA447" s="109"/>
      <c r="AB447" s="109" t="s">
        <v>333</v>
      </c>
      <c r="AC447" s="109" t="s">
        <v>538</v>
      </c>
      <c r="AD447" s="109" t="n">
        <f aca="false">IF(OR(F447="",Q447="",R447=""),"",ROUND(IF(P447="incl.",F447/(1+Q447),F447)/IF(S447="per pack",R447,1),2))</f>
        <v>133.88</v>
      </c>
      <c r="AE447" s="109" t="str">
        <f aca="false">IF(AND(AC447="yes",ISNUMBER(F447),IF(Compare!$H$5="All mapped",TRUE(),IF(Compare!$H$5="EXACT only",J447="EXACT",OR(J447="EXACT",J447="CLOSE")))),"yes","no")</f>
        <v>yes</v>
      </c>
      <c r="AF447" s="109" t="n">
        <f aca="false">IF(ISNUMBER(H447),COUNTIFS($B$7:$B$3000,B447,$C$7:$C$3000,C447,$H$7:$H$3000,"&lt;"&amp;H447,$AH$7:$AH$3000,"yes")+COUNTIFS($B$7:B447,B447,$C$7:C447,C447,$H$7:H447,H447,$AH$7:AH447,"yes"),"")</f>
        <v>3</v>
      </c>
      <c r="AG447" s="109" t="n">
        <f aca="false">IF(ISNUMBER(I447),COUNTIFS($B$7:$B$3000,B447,$C$7:$C$3000,C447,$I$7:$I$3000,"&lt;"&amp;I447,$AI$7:$AI$3000,"yes")+COUNTIFS($B$7:B447,B447,$C$7:C447,C447,$I$7:I447,I447,$AI$7:AI447,"yes"),"")</f>
        <v>3</v>
      </c>
      <c r="AH447" s="109" t="str">
        <f aca="false">IF(ISNUMBER(H447),"yes","no")</f>
        <v>yes</v>
      </c>
      <c r="AI447" s="109" t="str">
        <f aca="false">IF(ISNUMBER(I447),"yes","no")</f>
        <v>yes</v>
      </c>
      <c r="AJ447" s="116" t="n">
        <v>46295</v>
      </c>
      <c r="AK447" s="109"/>
    </row>
    <row r="448" customFormat="false" ht="42" hidden="false" customHeight="true" outlineLevel="0" collapsed="false">
      <c r="A448" s="3"/>
      <c r="B448" s="36" t="s">
        <v>46</v>
      </c>
      <c r="C448" s="98" t="s">
        <v>17</v>
      </c>
      <c r="D448" s="98" t="s">
        <v>346</v>
      </c>
      <c r="E448" s="110" t="s">
        <v>1641</v>
      </c>
      <c r="F448" s="99" t="n">
        <v>334</v>
      </c>
      <c r="G448" s="98" t="s">
        <v>333</v>
      </c>
      <c r="H448" s="112" t="n">
        <f aca="false">IF(AND(AE448="yes",ISNUMBER(AD448)),AD448,"")</f>
        <v>276.03</v>
      </c>
      <c r="I448" s="95" t="n">
        <f aca="false">IF(AND(AE448="yes",ISNUMBER(AD448),ISNUMBER(INDEX(Sources!$G$7:$G$10,MATCH(AB448,Sources!$B$7:$B$10,0)))),ROUND(AD448/INDEX(Sources!$G$7:$G$10,MATCH(AB448,Sources!$B$7:$B$10,0)),6),"")</f>
        <v>11.301766</v>
      </c>
      <c r="J448" s="98" t="s">
        <v>530</v>
      </c>
      <c r="K448" s="98" t="s">
        <v>586</v>
      </c>
      <c r="L448" s="96"/>
      <c r="M448" s="110" t="s">
        <v>1642</v>
      </c>
      <c r="N448" s="117" t="s">
        <v>1643</v>
      </c>
      <c r="O448" s="110" t="s">
        <v>731</v>
      </c>
      <c r="P448" s="110" t="s">
        <v>265</v>
      </c>
      <c r="Q448" s="118" t="n">
        <v>0.21</v>
      </c>
      <c r="R448" s="110" t="n">
        <v>1</v>
      </c>
      <c r="S448" s="110" t="s">
        <v>632</v>
      </c>
      <c r="T448" s="110" t="s">
        <v>530</v>
      </c>
      <c r="U448" s="110" t="s">
        <v>1535</v>
      </c>
      <c r="V448" s="119"/>
      <c r="W448" s="119"/>
      <c r="X448" s="110" t="s">
        <v>1555</v>
      </c>
      <c r="Y448" s="110"/>
      <c r="Z448" s="110"/>
      <c r="AA448" s="110"/>
      <c r="AB448" s="110" t="s">
        <v>333</v>
      </c>
      <c r="AC448" s="110" t="s">
        <v>538</v>
      </c>
      <c r="AD448" s="110" t="n">
        <f aca="false">IF(OR(F448="",Q448="",R448=""),"",ROUND(IF(P448="incl.",F448/(1+Q448),F448)/IF(S448="per pack",R448,1),2))</f>
        <v>276.03</v>
      </c>
      <c r="AE448" s="110" t="str">
        <f aca="false">IF(AND(AC448="yes",ISNUMBER(F448),IF(Compare!$H$5="All mapped",TRUE(),IF(Compare!$H$5="EXACT only",J448="EXACT",OR(J448="EXACT",J448="CLOSE")))),"yes","no")</f>
        <v>yes</v>
      </c>
      <c r="AF448" s="110" t="n">
        <f aca="false">IF(ISNUMBER(H448),COUNTIFS($B$7:$B$3000,B448,$C$7:$C$3000,C448,$H$7:$H$3000,"&lt;"&amp;H448,$AH$7:$AH$3000,"yes")+COUNTIFS($B$7:B448,B448,$C$7:C448,C448,$H$7:H448,H448,$AH$7:AH448,"yes"),"")</f>
        <v>8</v>
      </c>
      <c r="AG448" s="110" t="n">
        <f aca="false">IF(ISNUMBER(I448),COUNTIFS($B$7:$B$3000,B448,$C$7:$C$3000,C448,$I$7:$I$3000,"&lt;"&amp;I448,$AI$7:$AI$3000,"yes")+COUNTIFS($B$7:B448,B448,$C$7:C448,C448,$I$7:I448,I448,$AI$7:AI448,"yes"),"")</f>
        <v>8</v>
      </c>
      <c r="AH448" s="110" t="str">
        <f aca="false">IF(ISNUMBER(H448),"yes","no")</f>
        <v>yes</v>
      </c>
      <c r="AI448" s="110" t="str">
        <f aca="false">IF(ISNUMBER(I448),"yes","no")</f>
        <v>yes</v>
      </c>
      <c r="AJ448" s="120" t="n">
        <v>46295</v>
      </c>
      <c r="AK448" s="110"/>
    </row>
    <row r="449" customFormat="false" ht="42" hidden="false" customHeight="true" outlineLevel="0" collapsed="false">
      <c r="A449" s="3"/>
      <c r="B449" s="31" t="s">
        <v>46</v>
      </c>
      <c r="C449" s="91" t="s">
        <v>17</v>
      </c>
      <c r="D449" s="91" t="s">
        <v>361</v>
      </c>
      <c r="E449" s="109" t="s">
        <v>1644</v>
      </c>
      <c r="F449" s="92" t="n">
        <v>227</v>
      </c>
      <c r="G449" s="91" t="s">
        <v>333</v>
      </c>
      <c r="H449" s="112" t="n">
        <f aca="false">IF(AND(AE449="yes",ISNUMBER(AD449)),AD449,"")</f>
        <v>187.6</v>
      </c>
      <c r="I449" s="95" t="n">
        <f aca="false">IF(AND(AE449="yes",ISNUMBER(AD449),ISNUMBER(INDEX(Sources!$G$7:$G$10,MATCH(AB449,Sources!$B$7:$B$10,0)))),ROUND(AD449/INDEX(Sources!$G$7:$G$10,MATCH(AB449,Sources!$B$7:$B$10,0)),6),"")</f>
        <v>7.68109</v>
      </c>
      <c r="J449" s="91" t="s">
        <v>530</v>
      </c>
      <c r="K449" s="91" t="s">
        <v>586</v>
      </c>
      <c r="L449" s="96"/>
      <c r="M449" s="109" t="s">
        <v>1645</v>
      </c>
      <c r="N449" s="113" t="s">
        <v>1646</v>
      </c>
      <c r="O449" s="109" t="s">
        <v>642</v>
      </c>
      <c r="P449" s="109" t="s">
        <v>265</v>
      </c>
      <c r="Q449" s="114" t="n">
        <v>0.21</v>
      </c>
      <c r="R449" s="109" t="n">
        <v>1</v>
      </c>
      <c r="S449" s="109" t="s">
        <v>632</v>
      </c>
      <c r="T449" s="109" t="s">
        <v>530</v>
      </c>
      <c r="U449" s="109" t="s">
        <v>1535</v>
      </c>
      <c r="V449" s="115"/>
      <c r="W449" s="115"/>
      <c r="X449" s="109" t="s">
        <v>1555</v>
      </c>
      <c r="Y449" s="109"/>
      <c r="Z449" s="109"/>
      <c r="AA449" s="109"/>
      <c r="AB449" s="109" t="s">
        <v>333</v>
      </c>
      <c r="AC449" s="109" t="s">
        <v>538</v>
      </c>
      <c r="AD449" s="109" t="n">
        <f aca="false">IF(OR(F449="",Q449="",R449=""),"",ROUND(IF(P449="incl.",F449/(1+Q449),F449)/IF(S449="per pack",R449,1),2))</f>
        <v>187.6</v>
      </c>
      <c r="AE449" s="109" t="str">
        <f aca="false">IF(AND(AC449="yes",ISNUMBER(F449),IF(Compare!$H$5="All mapped",TRUE(),IF(Compare!$H$5="EXACT only",J449="EXACT",OR(J449="EXACT",J449="CLOSE")))),"yes","no")</f>
        <v>yes</v>
      </c>
      <c r="AF449" s="109" t="n">
        <f aca="false">IF(ISNUMBER(H449),COUNTIFS($B$7:$B$3000,B449,$C$7:$C$3000,C449,$H$7:$H$3000,"&lt;"&amp;H449,$AH$7:$AH$3000,"yes")+COUNTIFS($B$7:B449,B449,$C$7:C449,C449,$H$7:H449,H449,$AH$7:AH449,"yes"),"")</f>
        <v>6</v>
      </c>
      <c r="AG449" s="109" t="n">
        <f aca="false">IF(ISNUMBER(I449),COUNTIFS($B$7:$B$3000,B449,$C$7:$C$3000,C449,$I$7:$I$3000,"&lt;"&amp;I449,$AI$7:$AI$3000,"yes")+COUNTIFS($B$7:B449,B449,$C$7:C449,C449,$I$7:I449,I449,$AI$7:AI449,"yes"),"")</f>
        <v>6</v>
      </c>
      <c r="AH449" s="109" t="str">
        <f aca="false">IF(ISNUMBER(H449),"yes","no")</f>
        <v>yes</v>
      </c>
      <c r="AI449" s="109" t="str">
        <f aca="false">IF(ISNUMBER(I449),"yes","no")</f>
        <v>yes</v>
      </c>
      <c r="AJ449" s="116" t="n">
        <v>46295</v>
      </c>
      <c r="AK449" s="109"/>
    </row>
    <row r="450" customFormat="false" ht="42" hidden="false" customHeight="true" outlineLevel="0" collapsed="false">
      <c r="A450" s="3"/>
      <c r="B450" s="36" t="s">
        <v>47</v>
      </c>
      <c r="C450" s="98" t="s">
        <v>15</v>
      </c>
      <c r="D450" s="98" t="s">
        <v>243</v>
      </c>
      <c r="E450" s="110" t="s">
        <v>1647</v>
      </c>
      <c r="F450" s="99" t="n">
        <v>6.54</v>
      </c>
      <c r="G450" s="98" t="s">
        <v>244</v>
      </c>
      <c r="H450" s="112" t="n">
        <f aca="false">IF(AND(AE450="yes",ISNUMBER(AD450)),AD450,"")</f>
        <v>6.54</v>
      </c>
      <c r="I450" s="95" t="n">
        <f aca="false">IF(AND(AE450="yes",ISNUMBER(AD450),ISNUMBER(INDEX(Sources!$G$7:$G$10,MATCH(AB450,Sources!$B$7:$B$10,0)))),ROUND(AD450/INDEX(Sources!$G$7:$G$10,MATCH(AB450,Sources!$B$7:$B$10,0)),6),"")</f>
        <v>6.54</v>
      </c>
      <c r="J450" s="98" t="s">
        <v>530</v>
      </c>
      <c r="K450" s="98" t="s">
        <v>586</v>
      </c>
      <c r="L450" s="96"/>
      <c r="M450" s="110" t="s">
        <v>1648</v>
      </c>
      <c r="N450" s="117" t="s">
        <v>1649</v>
      </c>
      <c r="O450" s="110"/>
      <c r="P450" s="110" t="s">
        <v>590</v>
      </c>
      <c r="Q450" s="118"/>
      <c r="R450" s="110" t="n">
        <v>1</v>
      </c>
      <c r="S450" s="110"/>
      <c r="T450" s="110" t="s">
        <v>530</v>
      </c>
      <c r="U450" s="110" t="s">
        <v>1535</v>
      </c>
      <c r="V450" s="119" t="n">
        <v>6.54</v>
      </c>
      <c r="W450" s="119"/>
      <c r="X450" s="110" t="s">
        <v>1536</v>
      </c>
      <c r="Y450" s="110"/>
      <c r="Z450" s="110"/>
      <c r="AA450" s="110"/>
      <c r="AB450" s="110" t="s">
        <v>244</v>
      </c>
      <c r="AC450" s="110" t="s">
        <v>538</v>
      </c>
      <c r="AD450" s="110" t="n">
        <f aca="false">IF(ISNUMBER(V450),ROUND(V450,6),"")</f>
        <v>6.54</v>
      </c>
      <c r="AE450" s="110" t="str">
        <f aca="false">IF(AND(AC450="yes",ISNUMBER(F450),IF(Compare!$H$5="All mapped",TRUE(),IF(Compare!$H$5="EXACT only",J450="EXACT",OR(J450="EXACT",J450="CLOSE")))),"yes","no")</f>
        <v>yes</v>
      </c>
      <c r="AF450" s="110" t="n">
        <f aca="false">IF(ISNUMBER(H450),COUNTIFS($B$7:$B$3000,B450,$C$7:$C$3000,C450,$H$7:$H$3000,"&lt;"&amp;H450,$AH$7:$AH$3000,"yes")+COUNTIFS($B$7:B450,B450,$C$7:C450,C450,$H$7:H450,H450,$AH$7:AH450,"yes"),"")</f>
        <v>1</v>
      </c>
      <c r="AG450" s="110" t="n">
        <f aca="false">IF(ISNUMBER(I450),COUNTIFS($B$7:$B$3000,B450,$C$7:$C$3000,C450,$I$7:$I$3000,"&lt;"&amp;I450,$AI$7:$AI$3000,"yes")+COUNTIFS($B$7:B450,B450,$C$7:C450,C450,$I$7:I450,I450,$AI$7:AI450,"yes"),"")</f>
        <v>1</v>
      </c>
      <c r="AH450" s="110" t="str">
        <f aca="false">IF(ISNUMBER(H450),"yes","no")</f>
        <v>yes</v>
      </c>
      <c r="AI450" s="110" t="str">
        <f aca="false">IF(ISNUMBER(I450),"yes","no")</f>
        <v>yes</v>
      </c>
      <c r="AJ450" s="120" t="n">
        <v>46295</v>
      </c>
      <c r="AK450" s="110"/>
    </row>
    <row r="451" customFormat="false" ht="42" hidden="false" customHeight="true" outlineLevel="0" collapsed="false">
      <c r="A451" s="3"/>
      <c r="B451" s="31" t="s">
        <v>47</v>
      </c>
      <c r="C451" s="91" t="s">
        <v>15</v>
      </c>
      <c r="D451" s="91" t="s">
        <v>277</v>
      </c>
      <c r="E451" s="109" t="s">
        <v>1650</v>
      </c>
      <c r="F451" s="92" t="n">
        <v>69.99</v>
      </c>
      <c r="G451" s="91" t="s">
        <v>244</v>
      </c>
      <c r="H451" s="112" t="n">
        <f aca="false">IF(AND(AE451="yes",ISNUMBER(AD451)),AD451,"")</f>
        <v>11.66</v>
      </c>
      <c r="I451" s="95" t="n">
        <f aca="false">IF(AND(AE451="yes",ISNUMBER(AD451),ISNUMBER(INDEX(Sources!$G$7:$G$10,MATCH(AB451,Sources!$B$7:$B$10,0)))),ROUND(AD451/INDEX(Sources!$G$7:$G$10,MATCH(AB451,Sources!$B$7:$B$10,0)),6),"")</f>
        <v>11.66</v>
      </c>
      <c r="J451" s="91" t="s">
        <v>702</v>
      </c>
      <c r="K451" s="91" t="s">
        <v>586</v>
      </c>
      <c r="L451" s="96"/>
      <c r="M451" s="109" t="s">
        <v>1651</v>
      </c>
      <c r="N451" s="113" t="s">
        <v>1652</v>
      </c>
      <c r="O451" s="109" t="s">
        <v>610</v>
      </c>
      <c r="P451" s="109" t="s">
        <v>590</v>
      </c>
      <c r="Q451" s="114"/>
      <c r="R451" s="109" t="n">
        <v>6</v>
      </c>
      <c r="S451" s="109" t="s">
        <v>611</v>
      </c>
      <c r="T451" s="109" t="s">
        <v>702</v>
      </c>
      <c r="U451" s="109" t="s">
        <v>1535</v>
      </c>
      <c r="V451" s="115" t="n">
        <v>11.66</v>
      </c>
      <c r="W451" s="115"/>
      <c r="X451" s="109" t="s">
        <v>1536</v>
      </c>
      <c r="Y451" s="109"/>
      <c r="Z451" s="109"/>
      <c r="AA451" s="109"/>
      <c r="AB451" s="109" t="s">
        <v>244</v>
      </c>
      <c r="AC451" s="109" t="s">
        <v>538</v>
      </c>
      <c r="AD451" s="109" t="n">
        <f aca="false">IF(ISNUMBER(V451),ROUND(V451,6),"")</f>
        <v>11.66</v>
      </c>
      <c r="AE451" s="109" t="str">
        <f aca="false">IF(AND(AC451="yes",ISNUMBER(F451),IF(Compare!$H$5="All mapped",TRUE(),IF(Compare!$H$5="EXACT only",J451="EXACT",OR(J451="EXACT",J451="CLOSE")))),"yes","no")</f>
        <v>yes</v>
      </c>
      <c r="AF451" s="109" t="n">
        <f aca="false">IF(ISNUMBER(H451),COUNTIFS($B$7:$B$3000,B451,$C$7:$C$3000,C451,$H$7:$H$3000,"&lt;"&amp;H451,$AH$7:$AH$3000,"yes")+COUNTIFS($B$7:B451,B451,$C$7:C451,C451,$H$7:H451,H451,$AH$7:AH451,"yes"),"")</f>
        <v>6</v>
      </c>
      <c r="AG451" s="109" t="n">
        <f aca="false">IF(ISNUMBER(I451),COUNTIFS($B$7:$B$3000,B451,$C$7:$C$3000,C451,$I$7:$I$3000,"&lt;"&amp;I451,$AI$7:$AI$3000,"yes")+COUNTIFS($B$7:B451,B451,$C$7:C451,C451,$I$7:I451,I451,$AI$7:AI451,"yes"),"")</f>
        <v>6</v>
      </c>
      <c r="AH451" s="109" t="str">
        <f aca="false">IF(ISNUMBER(H451),"yes","no")</f>
        <v>yes</v>
      </c>
      <c r="AI451" s="109" t="str">
        <f aca="false">IF(ISNUMBER(I451),"yes","no")</f>
        <v>yes</v>
      </c>
      <c r="AJ451" s="116" t="n">
        <v>46295</v>
      </c>
      <c r="AK451" s="109"/>
    </row>
    <row r="452" customFormat="false" ht="42" hidden="false" customHeight="true" outlineLevel="0" collapsed="false">
      <c r="A452" s="3"/>
      <c r="B452" s="36" t="s">
        <v>47</v>
      </c>
      <c r="C452" s="98" t="s">
        <v>15</v>
      </c>
      <c r="D452" s="98" t="s">
        <v>257</v>
      </c>
      <c r="E452" s="110" t="s">
        <v>1653</v>
      </c>
      <c r="F452" s="99" t="n">
        <v>22</v>
      </c>
      <c r="G452" s="98" t="s">
        <v>244</v>
      </c>
      <c r="H452" s="112" t="n">
        <f aca="false">IF(AND(AE452="yes",ISNUMBER(AD452)),AD452,"")</f>
        <v>22</v>
      </c>
      <c r="I452" s="95" t="n">
        <f aca="false">IF(AND(AE452="yes",ISNUMBER(AD452),ISNUMBER(INDEX(Sources!$G$7:$G$10,MATCH(AB452,Sources!$B$7:$B$10,0)))),ROUND(AD452/INDEX(Sources!$G$7:$G$10,MATCH(AB452,Sources!$B$7:$B$10,0)),6),"")</f>
        <v>22</v>
      </c>
      <c r="J452" s="98" t="s">
        <v>530</v>
      </c>
      <c r="K452" s="98" t="s">
        <v>586</v>
      </c>
      <c r="L452" s="96"/>
      <c r="M452" s="110" t="s">
        <v>1654</v>
      </c>
      <c r="N452" s="117" t="s">
        <v>1655</v>
      </c>
      <c r="O452" s="110" t="s">
        <v>1576</v>
      </c>
      <c r="P452" s="110" t="s">
        <v>590</v>
      </c>
      <c r="Q452" s="118"/>
      <c r="R452" s="110" t="n">
        <v>1</v>
      </c>
      <c r="S452" s="110"/>
      <c r="T452" s="110" t="s">
        <v>530</v>
      </c>
      <c r="U452" s="110" t="s">
        <v>1535</v>
      </c>
      <c r="V452" s="119" t="n">
        <v>22</v>
      </c>
      <c r="W452" s="119"/>
      <c r="X452" s="110" t="s">
        <v>1536</v>
      </c>
      <c r="Y452" s="110"/>
      <c r="Z452" s="110"/>
      <c r="AA452" s="110"/>
      <c r="AB452" s="110" t="s">
        <v>244</v>
      </c>
      <c r="AC452" s="110" t="s">
        <v>538</v>
      </c>
      <c r="AD452" s="110" t="n">
        <f aca="false">IF(ISNUMBER(V452),ROUND(V452,6),"")</f>
        <v>22</v>
      </c>
      <c r="AE452" s="110" t="str">
        <f aca="false">IF(AND(AC452="yes",ISNUMBER(F452),IF(Compare!$H$5="All mapped",TRUE(),IF(Compare!$H$5="EXACT only",J452="EXACT",OR(J452="EXACT",J452="CLOSE")))),"yes","no")</f>
        <v>yes</v>
      </c>
      <c r="AF452" s="110" t="n">
        <f aca="false">IF(ISNUMBER(H452),COUNTIFS($B$7:$B$3000,B452,$C$7:$C$3000,C452,$H$7:$H$3000,"&lt;"&amp;H452,$AH$7:$AH$3000,"yes")+COUNTIFS($B$7:B452,B452,$C$7:C452,C452,$H$7:H452,H452,$AH$7:AH452,"yes"),"")</f>
        <v>9</v>
      </c>
      <c r="AG452" s="110" t="n">
        <f aca="false">IF(ISNUMBER(I452),COUNTIFS($B$7:$B$3000,B452,$C$7:$C$3000,C452,$I$7:$I$3000,"&lt;"&amp;I452,$AI$7:$AI$3000,"yes")+COUNTIFS($B$7:B452,B452,$C$7:C452,C452,$I$7:I452,I452,$AI$7:AI452,"yes"),"")</f>
        <v>9</v>
      </c>
      <c r="AH452" s="110" t="str">
        <f aca="false">IF(ISNUMBER(H452),"yes","no")</f>
        <v>yes</v>
      </c>
      <c r="AI452" s="110" t="str">
        <f aca="false">IF(ISNUMBER(I452),"yes","no")</f>
        <v>yes</v>
      </c>
      <c r="AJ452" s="120" t="n">
        <v>46295</v>
      </c>
      <c r="AK452" s="110"/>
    </row>
    <row r="453" customFormat="false" ht="42" hidden="false" customHeight="true" outlineLevel="0" collapsed="false">
      <c r="A453" s="3"/>
      <c r="B453" s="31" t="s">
        <v>47</v>
      </c>
      <c r="C453" s="91" t="s">
        <v>15</v>
      </c>
      <c r="D453" s="91" t="s">
        <v>269</v>
      </c>
      <c r="E453" s="109" t="s">
        <v>1656</v>
      </c>
      <c r="F453" s="92" t="n">
        <v>9.19</v>
      </c>
      <c r="G453" s="91" t="s">
        <v>244</v>
      </c>
      <c r="H453" s="112" t="n">
        <f aca="false">IF(AND(AE453="yes",ISNUMBER(AD453)),AD453,"")</f>
        <v>9.19</v>
      </c>
      <c r="I453" s="95" t="n">
        <f aca="false">IF(AND(AE453="yes",ISNUMBER(AD453),ISNUMBER(INDEX(Sources!$G$7:$G$10,MATCH(AB453,Sources!$B$7:$B$10,0)))),ROUND(AD453/INDEX(Sources!$G$7:$G$10,MATCH(AB453,Sources!$B$7:$B$10,0)),6),"")</f>
        <v>9.19</v>
      </c>
      <c r="J453" s="91" t="s">
        <v>530</v>
      </c>
      <c r="K453" s="91" t="s">
        <v>586</v>
      </c>
      <c r="L453" s="96"/>
      <c r="M453" s="109" t="s">
        <v>1657</v>
      </c>
      <c r="N453" s="113" t="s">
        <v>1658</v>
      </c>
      <c r="O453" s="109" t="s">
        <v>598</v>
      </c>
      <c r="P453" s="109" t="s">
        <v>590</v>
      </c>
      <c r="Q453" s="114"/>
      <c r="R453" s="109" t="n">
        <v>1</v>
      </c>
      <c r="S453" s="109"/>
      <c r="T453" s="109" t="s">
        <v>530</v>
      </c>
      <c r="U453" s="109" t="s">
        <v>1535</v>
      </c>
      <c r="V453" s="115" t="n">
        <v>9.19</v>
      </c>
      <c r="W453" s="115"/>
      <c r="X453" s="109" t="s">
        <v>1536</v>
      </c>
      <c r="Y453" s="109"/>
      <c r="Z453" s="109"/>
      <c r="AA453" s="109"/>
      <c r="AB453" s="109" t="s">
        <v>244</v>
      </c>
      <c r="AC453" s="109" t="s">
        <v>538</v>
      </c>
      <c r="AD453" s="109" t="n">
        <f aca="false">IF(ISNUMBER(V453),ROUND(V453,6),"")</f>
        <v>9.19</v>
      </c>
      <c r="AE453" s="109" t="str">
        <f aca="false">IF(AND(AC453="yes",ISNUMBER(F453),IF(Compare!$H$5="All mapped",TRUE(),IF(Compare!$H$5="EXACT only",J453="EXACT",OR(J453="EXACT",J453="CLOSE")))),"yes","no")</f>
        <v>yes</v>
      </c>
      <c r="AF453" s="109" t="n">
        <f aca="false">IF(ISNUMBER(H453),COUNTIFS($B$7:$B$3000,B453,$C$7:$C$3000,C453,$H$7:$H$3000,"&lt;"&amp;H453,$AH$7:$AH$3000,"yes")+COUNTIFS($B$7:B453,B453,$C$7:C453,C453,$H$7:H453,H453,$AH$7:AH453,"yes"),"")</f>
        <v>2</v>
      </c>
      <c r="AG453" s="109" t="n">
        <f aca="false">IF(ISNUMBER(I453),COUNTIFS($B$7:$B$3000,B453,$C$7:$C$3000,C453,$I$7:$I$3000,"&lt;"&amp;I453,$AI$7:$AI$3000,"yes")+COUNTIFS($B$7:B453,B453,$C$7:C453,C453,$I$7:I453,I453,$AI$7:AI453,"yes"),"")</f>
        <v>2</v>
      </c>
      <c r="AH453" s="109" t="str">
        <f aca="false">IF(ISNUMBER(H453),"yes","no")</f>
        <v>yes</v>
      </c>
      <c r="AI453" s="109" t="str">
        <f aca="false">IF(ISNUMBER(I453),"yes","no")</f>
        <v>yes</v>
      </c>
      <c r="AJ453" s="116" t="n">
        <v>46295</v>
      </c>
      <c r="AK453" s="109"/>
    </row>
    <row r="454" customFormat="false" ht="42" hidden="false" customHeight="true" outlineLevel="0" collapsed="false">
      <c r="A454" s="3"/>
      <c r="B454" s="36" t="s">
        <v>47</v>
      </c>
      <c r="C454" s="98" t="s">
        <v>15</v>
      </c>
      <c r="D454" s="98" t="s">
        <v>264</v>
      </c>
      <c r="E454" s="110" t="s">
        <v>1659</v>
      </c>
      <c r="F454" s="99" t="n">
        <v>17.93</v>
      </c>
      <c r="G454" s="98" t="s">
        <v>244</v>
      </c>
      <c r="H454" s="112" t="n">
        <f aca="false">IF(AND(AE454="yes",ISNUMBER(AD454)),AD454,"")</f>
        <v>17.93</v>
      </c>
      <c r="I454" s="95" t="n">
        <f aca="false">IF(AND(AE454="yes",ISNUMBER(AD454),ISNUMBER(INDEX(Sources!$G$7:$G$10,MATCH(AB454,Sources!$B$7:$B$10,0)))),ROUND(AD454/INDEX(Sources!$G$7:$G$10,MATCH(AB454,Sources!$B$7:$B$10,0)),6),"")</f>
        <v>17.93</v>
      </c>
      <c r="J454" s="98" t="s">
        <v>530</v>
      </c>
      <c r="K454" s="98" t="s">
        <v>586</v>
      </c>
      <c r="L454" s="96"/>
      <c r="M454" s="110"/>
      <c r="N454" s="117" t="s">
        <v>1660</v>
      </c>
      <c r="O454" s="110" t="s">
        <v>388</v>
      </c>
      <c r="P454" s="110" t="s">
        <v>590</v>
      </c>
      <c r="Q454" s="118"/>
      <c r="R454" s="110" t="n">
        <v>1</v>
      </c>
      <c r="S454" s="110"/>
      <c r="T454" s="110" t="s">
        <v>530</v>
      </c>
      <c r="U454" s="110" t="s">
        <v>1535</v>
      </c>
      <c r="V454" s="119" t="n">
        <v>17.93</v>
      </c>
      <c r="W454" s="119"/>
      <c r="X454" s="110" t="s">
        <v>1536</v>
      </c>
      <c r="Y454" s="110"/>
      <c r="Z454" s="110"/>
      <c r="AA454" s="110"/>
      <c r="AB454" s="110" t="s">
        <v>244</v>
      </c>
      <c r="AC454" s="110" t="s">
        <v>538</v>
      </c>
      <c r="AD454" s="110" t="n">
        <f aca="false">IF(ISNUMBER(V454),ROUND(V454,6),"")</f>
        <v>17.93</v>
      </c>
      <c r="AE454" s="110" t="str">
        <f aca="false">IF(AND(AC454="yes",ISNUMBER(F454),IF(Compare!$H$5="All mapped",TRUE(),IF(Compare!$H$5="EXACT only",J454="EXACT",OR(J454="EXACT",J454="CLOSE")))),"yes","no")</f>
        <v>yes</v>
      </c>
      <c r="AF454" s="110" t="n">
        <f aca="false">IF(ISNUMBER(H454),COUNTIFS($B$7:$B$3000,B454,$C$7:$C$3000,C454,$H$7:$H$3000,"&lt;"&amp;H454,$AH$7:$AH$3000,"yes")+COUNTIFS($B$7:B454,B454,$C$7:C454,C454,$H$7:H454,H454,$AH$7:AH454,"yes"),"")</f>
        <v>8</v>
      </c>
      <c r="AG454" s="110" t="n">
        <f aca="false">IF(ISNUMBER(I454),COUNTIFS($B$7:$B$3000,B454,$C$7:$C$3000,C454,$I$7:$I$3000,"&lt;"&amp;I454,$AI$7:$AI$3000,"yes")+COUNTIFS($B$7:B454,B454,$C$7:C454,C454,$I$7:I454,I454,$AI$7:AI454,"yes"),"")</f>
        <v>8</v>
      </c>
      <c r="AH454" s="110" t="str">
        <f aca="false">IF(ISNUMBER(H454),"yes","no")</f>
        <v>yes</v>
      </c>
      <c r="AI454" s="110" t="str">
        <f aca="false">IF(ISNUMBER(I454),"yes","no")</f>
        <v>yes</v>
      </c>
      <c r="AJ454" s="120" t="n">
        <v>46295</v>
      </c>
      <c r="AK454" s="110"/>
    </row>
    <row r="455" customFormat="false" ht="42" hidden="false" customHeight="true" outlineLevel="0" collapsed="false">
      <c r="A455" s="3"/>
      <c r="B455" s="31" t="s">
        <v>47</v>
      </c>
      <c r="C455" s="91" t="s">
        <v>15</v>
      </c>
      <c r="D455" s="91" t="s">
        <v>273</v>
      </c>
      <c r="E455" s="109" t="s">
        <v>1661</v>
      </c>
      <c r="F455" s="92" t="n">
        <v>14.69</v>
      </c>
      <c r="G455" s="91" t="s">
        <v>244</v>
      </c>
      <c r="H455" s="112" t="n">
        <f aca="false">IF(AND(AE455="yes",ISNUMBER(AD455)),AD455,"")</f>
        <v>12.24</v>
      </c>
      <c r="I455" s="95" t="n">
        <f aca="false">IF(AND(AE455="yes",ISNUMBER(AD455),ISNUMBER(INDEX(Sources!$G$7:$G$10,MATCH(AB455,Sources!$B$7:$B$10,0)))),ROUND(AD455/INDEX(Sources!$G$7:$G$10,MATCH(AB455,Sources!$B$7:$B$10,0)),6),"")</f>
        <v>12.24</v>
      </c>
      <c r="J455" s="91" t="s">
        <v>530</v>
      </c>
      <c r="K455" s="91" t="s">
        <v>586</v>
      </c>
      <c r="L455" s="96"/>
      <c r="M455" s="109" t="s">
        <v>1662</v>
      </c>
      <c r="N455" s="113" t="s">
        <v>1663</v>
      </c>
      <c r="O455" s="109" t="s">
        <v>642</v>
      </c>
      <c r="P455" s="109" t="s">
        <v>265</v>
      </c>
      <c r="Q455" s="114"/>
      <c r="R455" s="109" t="n">
        <v>1</v>
      </c>
      <c r="S455" s="109"/>
      <c r="T455" s="109" t="s">
        <v>530</v>
      </c>
      <c r="U455" s="109" t="s">
        <v>1535</v>
      </c>
      <c r="V455" s="115" t="n">
        <v>12.24</v>
      </c>
      <c r="W455" s="115"/>
      <c r="X455" s="109" t="s">
        <v>1536</v>
      </c>
      <c r="Y455" s="109"/>
      <c r="Z455" s="109"/>
      <c r="AA455" s="109"/>
      <c r="AB455" s="109" t="s">
        <v>244</v>
      </c>
      <c r="AC455" s="109" t="s">
        <v>538</v>
      </c>
      <c r="AD455" s="109" t="n">
        <f aca="false">IF(ISNUMBER(V455),ROUND(V455,6),"")</f>
        <v>12.24</v>
      </c>
      <c r="AE455" s="109" t="str">
        <f aca="false">IF(AND(AC455="yes",ISNUMBER(F455),IF(Compare!$H$5="All mapped",TRUE(),IF(Compare!$H$5="EXACT only",J455="EXACT",OR(J455="EXACT",J455="CLOSE")))),"yes","no")</f>
        <v>yes</v>
      </c>
      <c r="AF455" s="109" t="n">
        <f aca="false">IF(ISNUMBER(H455),COUNTIFS($B$7:$B$3000,B455,$C$7:$C$3000,C455,$H$7:$H$3000,"&lt;"&amp;H455,$AH$7:$AH$3000,"yes")+COUNTIFS($B$7:B455,B455,$C$7:C455,C455,$H$7:H455,H455,$AH$7:AH455,"yes"),"")</f>
        <v>7</v>
      </c>
      <c r="AG455" s="109" t="n">
        <f aca="false">IF(ISNUMBER(I455),COUNTIFS($B$7:$B$3000,B455,$C$7:$C$3000,C455,$I$7:$I$3000,"&lt;"&amp;I455,$AI$7:$AI$3000,"yes")+COUNTIFS($B$7:B455,B455,$C$7:C455,C455,$I$7:I455,I455,$AI$7:AI455,"yes"),"")</f>
        <v>7</v>
      </c>
      <c r="AH455" s="109" t="str">
        <f aca="false">IF(ISNUMBER(H455),"yes","no")</f>
        <v>yes</v>
      </c>
      <c r="AI455" s="109" t="str">
        <f aca="false">IF(ISNUMBER(I455),"yes","no")</f>
        <v>yes</v>
      </c>
      <c r="AJ455" s="116" t="n">
        <v>46295</v>
      </c>
      <c r="AK455" s="109"/>
    </row>
    <row r="456" customFormat="false" ht="42" hidden="false" customHeight="true" outlineLevel="0" collapsed="false">
      <c r="A456" s="3"/>
      <c r="B456" s="36" t="s">
        <v>47</v>
      </c>
      <c r="C456" s="98" t="s">
        <v>15</v>
      </c>
      <c r="D456" s="98" t="s">
        <v>281</v>
      </c>
      <c r="E456" s="110" t="s">
        <v>1664</v>
      </c>
      <c r="F456" s="99" t="n">
        <v>9.23</v>
      </c>
      <c r="G456" s="98" t="s">
        <v>244</v>
      </c>
      <c r="H456" s="112" t="n">
        <f aca="false">IF(AND(AE456="yes",ISNUMBER(AD456)),AD456,"")</f>
        <v>9.23</v>
      </c>
      <c r="I456" s="95" t="n">
        <f aca="false">IF(AND(AE456="yes",ISNUMBER(AD456),ISNUMBER(INDEX(Sources!$G$7:$G$10,MATCH(AB456,Sources!$B$7:$B$10,0)))),ROUND(AD456/INDEX(Sources!$G$7:$G$10,MATCH(AB456,Sources!$B$7:$B$10,0)),6),"")</f>
        <v>9.23</v>
      </c>
      <c r="J456" s="98" t="s">
        <v>530</v>
      </c>
      <c r="K456" s="98" t="s">
        <v>586</v>
      </c>
      <c r="L456" s="96"/>
      <c r="M456" s="110"/>
      <c r="N456" s="117" t="s">
        <v>1665</v>
      </c>
      <c r="O456" s="110" t="s">
        <v>603</v>
      </c>
      <c r="P456" s="110" t="s">
        <v>590</v>
      </c>
      <c r="Q456" s="118"/>
      <c r="R456" s="110" t="n">
        <v>1</v>
      </c>
      <c r="S456" s="110"/>
      <c r="T456" s="110" t="s">
        <v>530</v>
      </c>
      <c r="U456" s="110" t="s">
        <v>1535</v>
      </c>
      <c r="V456" s="119" t="n">
        <v>9.23</v>
      </c>
      <c r="W456" s="119"/>
      <c r="X456" s="110" t="s">
        <v>1536</v>
      </c>
      <c r="Y456" s="110"/>
      <c r="Z456" s="110"/>
      <c r="AA456" s="110"/>
      <c r="AB456" s="110" t="s">
        <v>244</v>
      </c>
      <c r="AC456" s="110" t="s">
        <v>538</v>
      </c>
      <c r="AD456" s="110" t="n">
        <f aca="false">IF(ISNUMBER(V456),ROUND(V456,6),"")</f>
        <v>9.23</v>
      </c>
      <c r="AE456" s="110" t="str">
        <f aca="false">IF(AND(AC456="yes",ISNUMBER(F456),IF(Compare!$H$5="All mapped",TRUE(),IF(Compare!$H$5="EXACT only",J456="EXACT",OR(J456="EXACT",J456="CLOSE")))),"yes","no")</f>
        <v>yes</v>
      </c>
      <c r="AF456" s="110" t="n">
        <f aca="false">IF(ISNUMBER(H456),COUNTIFS($B$7:$B$3000,B456,$C$7:$C$3000,C456,$H$7:$H$3000,"&lt;"&amp;H456,$AH$7:$AH$3000,"yes")+COUNTIFS($B$7:B456,B456,$C$7:C456,C456,$H$7:H456,H456,$AH$7:AH456,"yes"),"")</f>
        <v>3</v>
      </c>
      <c r="AG456" s="110" t="n">
        <f aca="false">IF(ISNUMBER(I456),COUNTIFS($B$7:$B$3000,B456,$C$7:$C$3000,C456,$I$7:$I$3000,"&lt;"&amp;I456,$AI$7:$AI$3000,"yes")+COUNTIFS($B$7:B456,B456,$C$7:C456,C456,$I$7:I456,I456,$AI$7:AI456,"yes"),"")</f>
        <v>3</v>
      </c>
      <c r="AH456" s="110" t="str">
        <f aca="false">IF(ISNUMBER(H456),"yes","no")</f>
        <v>yes</v>
      </c>
      <c r="AI456" s="110" t="str">
        <f aca="false">IF(ISNUMBER(I456),"yes","no")</f>
        <v>yes</v>
      </c>
      <c r="AJ456" s="120" t="n">
        <v>46295</v>
      </c>
      <c r="AK456" s="110"/>
    </row>
    <row r="457" customFormat="false" ht="42" hidden="false" customHeight="true" outlineLevel="0" collapsed="false">
      <c r="A457" s="3"/>
      <c r="B457" s="31" t="s">
        <v>47</v>
      </c>
      <c r="C457" s="91" t="s">
        <v>15</v>
      </c>
      <c r="D457" s="91" t="s">
        <v>293</v>
      </c>
      <c r="E457" s="109" t="s">
        <v>1666</v>
      </c>
      <c r="F457" s="92" t="n">
        <v>10</v>
      </c>
      <c r="G457" s="91" t="s">
        <v>244</v>
      </c>
      <c r="H457" s="112" t="n">
        <f aca="false">IF(AND(AE457="yes",ISNUMBER(AD457)),AD457,"")</f>
        <v>10</v>
      </c>
      <c r="I457" s="95" t="n">
        <f aca="false">IF(AND(AE457="yes",ISNUMBER(AD457),ISNUMBER(INDEX(Sources!$G$7:$G$10,MATCH(AB457,Sources!$B$7:$B$10,0)))),ROUND(AD457/INDEX(Sources!$G$7:$G$10,MATCH(AB457,Sources!$B$7:$B$10,0)),6),"")</f>
        <v>10</v>
      </c>
      <c r="J457" s="91" t="s">
        <v>530</v>
      </c>
      <c r="K457" s="91" t="s">
        <v>586</v>
      </c>
      <c r="L457" s="96"/>
      <c r="M457" s="109" t="s">
        <v>1667</v>
      </c>
      <c r="N457" s="113" t="s">
        <v>1668</v>
      </c>
      <c r="O457" s="109" t="s">
        <v>589</v>
      </c>
      <c r="P457" s="109" t="s">
        <v>590</v>
      </c>
      <c r="Q457" s="114"/>
      <c r="R457" s="109" t="n">
        <v>1</v>
      </c>
      <c r="S457" s="109"/>
      <c r="T457" s="109" t="s">
        <v>530</v>
      </c>
      <c r="U457" s="109" t="s">
        <v>1535</v>
      </c>
      <c r="V457" s="115" t="n">
        <v>10</v>
      </c>
      <c r="W457" s="115"/>
      <c r="X457" s="109" t="s">
        <v>1536</v>
      </c>
      <c r="Y457" s="109"/>
      <c r="Z457" s="109"/>
      <c r="AA457" s="109"/>
      <c r="AB457" s="109" t="s">
        <v>244</v>
      </c>
      <c r="AC457" s="109" t="s">
        <v>538</v>
      </c>
      <c r="AD457" s="109" t="n">
        <f aca="false">IF(ISNUMBER(V457),ROUND(V457,6),"")</f>
        <v>10</v>
      </c>
      <c r="AE457" s="109" t="str">
        <f aca="false">IF(AND(AC457="yes",ISNUMBER(F457),IF(Compare!$H$5="All mapped",TRUE(),IF(Compare!$H$5="EXACT only",J457="EXACT",OR(J457="EXACT",J457="CLOSE")))),"yes","no")</f>
        <v>yes</v>
      </c>
      <c r="AF457" s="109" t="n">
        <f aca="false">IF(ISNUMBER(H457),COUNTIFS($B$7:$B$3000,B457,$C$7:$C$3000,C457,$H$7:$H$3000,"&lt;"&amp;H457,$AH$7:$AH$3000,"yes")+COUNTIFS($B$7:B457,B457,$C$7:C457,C457,$H$7:H457,H457,$AH$7:AH457,"yes"),"")</f>
        <v>4</v>
      </c>
      <c r="AG457" s="109" t="n">
        <f aca="false">IF(ISNUMBER(I457),COUNTIFS($B$7:$B$3000,B457,$C$7:$C$3000,C457,$I$7:$I$3000,"&lt;"&amp;I457,$AI$7:$AI$3000,"yes")+COUNTIFS($B$7:B457,B457,$C$7:C457,C457,$I$7:I457,I457,$AI$7:AI457,"yes"),"")</f>
        <v>4</v>
      </c>
      <c r="AH457" s="109" t="str">
        <f aca="false">IF(ISNUMBER(H457),"yes","no")</f>
        <v>yes</v>
      </c>
      <c r="AI457" s="109" t="str">
        <f aca="false">IF(ISNUMBER(I457),"yes","no")</f>
        <v>yes</v>
      </c>
      <c r="AJ457" s="116" t="n">
        <v>46295</v>
      </c>
      <c r="AK457" s="109"/>
    </row>
    <row r="458" customFormat="false" ht="42" hidden="false" customHeight="true" outlineLevel="0" collapsed="false">
      <c r="A458" s="3"/>
      <c r="B458" s="36" t="s">
        <v>47</v>
      </c>
      <c r="C458" s="98" t="s">
        <v>17</v>
      </c>
      <c r="D458" s="98" t="s">
        <v>354</v>
      </c>
      <c r="E458" s="110" t="s">
        <v>1669</v>
      </c>
      <c r="F458" s="99" t="n">
        <v>1679.15</v>
      </c>
      <c r="G458" s="98" t="s">
        <v>333</v>
      </c>
      <c r="H458" s="112" t="n">
        <f aca="false">IF(AND(AE458="yes",ISNUMBER(AD458)),AD458,"")</f>
        <v>279.86</v>
      </c>
      <c r="I458" s="95" t="n">
        <f aca="false">IF(AND(AE458="yes",ISNUMBER(AD458),ISNUMBER(INDEX(Sources!$G$7:$G$10,MATCH(AB458,Sources!$B$7:$B$10,0)))),ROUND(AD458/INDEX(Sources!$G$7:$G$10,MATCH(AB458,Sources!$B$7:$B$10,0)),6),"")</f>
        <v>11.458582</v>
      </c>
      <c r="J458" s="98" t="s">
        <v>702</v>
      </c>
      <c r="K458" s="98" t="s">
        <v>586</v>
      </c>
      <c r="L458" s="96"/>
      <c r="M458" s="110" t="s">
        <v>1670</v>
      </c>
      <c r="N458" s="117" t="s">
        <v>1671</v>
      </c>
      <c r="O458" s="110" t="s">
        <v>610</v>
      </c>
      <c r="P458" s="110" t="s">
        <v>590</v>
      </c>
      <c r="Q458" s="118" t="n">
        <v>0.19</v>
      </c>
      <c r="R458" s="110" t="n">
        <v>6</v>
      </c>
      <c r="S458" s="110" t="s">
        <v>625</v>
      </c>
      <c r="T458" s="110" t="s">
        <v>702</v>
      </c>
      <c r="U458" s="110" t="s">
        <v>1535</v>
      </c>
      <c r="V458" s="119"/>
      <c r="W458" s="119"/>
      <c r="X458" s="110" t="s">
        <v>1555</v>
      </c>
      <c r="Y458" s="110"/>
      <c r="Z458" s="110"/>
      <c r="AA458" s="110"/>
      <c r="AB458" s="110" t="s">
        <v>333</v>
      </c>
      <c r="AC458" s="110" t="s">
        <v>538</v>
      </c>
      <c r="AD458" s="110" t="n">
        <f aca="false">IF(OR(F458="",Q458="",R458=""),"",ROUND(IF(P458="incl.",F458/(1+Q458),F458)/IF(S458="per pack",R458,1),2))</f>
        <v>279.86</v>
      </c>
      <c r="AE458" s="110" t="str">
        <f aca="false">IF(AND(AC458="yes",ISNUMBER(F458),IF(Compare!$H$5="All mapped",TRUE(),IF(Compare!$H$5="EXACT only",J458="EXACT",OR(J458="EXACT",J458="CLOSE")))),"yes","no")</f>
        <v>yes</v>
      </c>
      <c r="AF458" s="110" t="n">
        <f aca="false">IF(ISNUMBER(H458),COUNTIFS($B$7:$B$3000,B458,$C$7:$C$3000,C458,$H$7:$H$3000,"&lt;"&amp;H458,$AH$7:$AH$3000,"yes")+COUNTIFS($B$7:B458,B458,$C$7:C458,C458,$H$7:H458,H458,$AH$7:AH458,"yes"),"")</f>
        <v>4</v>
      </c>
      <c r="AG458" s="110" t="n">
        <f aca="false">IF(ISNUMBER(I458),COUNTIFS($B$7:$B$3000,B458,$C$7:$C$3000,C458,$I$7:$I$3000,"&lt;"&amp;I458,$AI$7:$AI$3000,"yes")+COUNTIFS($B$7:B458,B458,$C$7:C458,C458,$I$7:I458,I458,$AI$7:AI458,"yes"),"")</f>
        <v>4</v>
      </c>
      <c r="AH458" s="110" t="str">
        <f aca="false">IF(ISNUMBER(H458),"yes","no")</f>
        <v>yes</v>
      </c>
      <c r="AI458" s="110" t="str">
        <f aca="false">IF(ISNUMBER(I458),"yes","no")</f>
        <v>yes</v>
      </c>
      <c r="AJ458" s="120" t="n">
        <v>46295</v>
      </c>
      <c r="AK458" s="110"/>
    </row>
    <row r="459" customFormat="false" ht="42" hidden="false" customHeight="true" outlineLevel="0" collapsed="false">
      <c r="A459" s="3"/>
      <c r="B459" s="31" t="s">
        <v>47</v>
      </c>
      <c r="C459" s="91" t="s">
        <v>17</v>
      </c>
      <c r="D459" s="91" t="s">
        <v>332</v>
      </c>
      <c r="E459" s="109" t="s">
        <v>1672</v>
      </c>
      <c r="F459" s="92" t="n">
        <v>249</v>
      </c>
      <c r="G459" s="91" t="s">
        <v>333</v>
      </c>
      <c r="H459" s="112" t="n">
        <f aca="false">IF(AND(AE459="yes",ISNUMBER(AD459)),AD459,"")</f>
        <v>249</v>
      </c>
      <c r="I459" s="95" t="n">
        <f aca="false">IF(AND(AE459="yes",ISNUMBER(AD459),ISNUMBER(INDEX(Sources!$G$7:$G$10,MATCH(AB459,Sources!$B$7:$B$10,0)))),ROUND(AD459/INDEX(Sources!$G$7:$G$10,MATCH(AB459,Sources!$B$7:$B$10,0)),6),"")</f>
        <v>10.195051</v>
      </c>
      <c r="J459" s="91" t="s">
        <v>530</v>
      </c>
      <c r="K459" s="91" t="s">
        <v>586</v>
      </c>
      <c r="L459" s="96"/>
      <c r="M459" s="109" t="s">
        <v>1673</v>
      </c>
      <c r="N459" s="113" t="s">
        <v>1674</v>
      </c>
      <c r="O459" s="109"/>
      <c r="P459" s="109" t="s">
        <v>590</v>
      </c>
      <c r="Q459" s="114" t="n">
        <v>0.21</v>
      </c>
      <c r="R459" s="109" t="n">
        <v>1</v>
      </c>
      <c r="S459" s="109" t="s">
        <v>632</v>
      </c>
      <c r="T459" s="109" t="s">
        <v>530</v>
      </c>
      <c r="U459" s="109" t="s">
        <v>1535</v>
      </c>
      <c r="V459" s="115"/>
      <c r="W459" s="115"/>
      <c r="X459" s="109" t="s">
        <v>1555</v>
      </c>
      <c r="Y459" s="109"/>
      <c r="Z459" s="109"/>
      <c r="AA459" s="109"/>
      <c r="AB459" s="109" t="s">
        <v>333</v>
      </c>
      <c r="AC459" s="109" t="s">
        <v>538</v>
      </c>
      <c r="AD459" s="109" t="n">
        <f aca="false">IF(OR(F459="",Q459="",R459=""),"",ROUND(IF(P459="incl.",F459/(1+Q459),F459)/IF(S459="per pack",R459,1),2))</f>
        <v>249</v>
      </c>
      <c r="AE459" s="109" t="str">
        <f aca="false">IF(AND(AC459="yes",ISNUMBER(F459),IF(Compare!$H$5="All mapped",TRUE(),IF(Compare!$H$5="EXACT only",J459="EXACT",OR(J459="EXACT",J459="CLOSE")))),"yes","no")</f>
        <v>yes</v>
      </c>
      <c r="AF459" s="109" t="n">
        <f aca="false">IF(ISNUMBER(H459),COUNTIFS($B$7:$B$3000,B459,$C$7:$C$3000,C459,$H$7:$H$3000,"&lt;"&amp;H459,$AH$7:$AH$3000,"yes")+COUNTIFS($B$7:B459,B459,$C$7:C459,C459,$H$7:H459,H459,$AH$7:AH459,"yes"),"")</f>
        <v>3</v>
      </c>
      <c r="AG459" s="109" t="n">
        <f aca="false">IF(ISNUMBER(I459),COUNTIFS($B$7:$B$3000,B459,$C$7:$C$3000,C459,$I$7:$I$3000,"&lt;"&amp;I459,$AI$7:$AI$3000,"yes")+COUNTIFS($B$7:B459,B459,$C$7:C459,C459,$I$7:I459,I459,$AI$7:AI459,"yes"),"")</f>
        <v>3</v>
      </c>
      <c r="AH459" s="109" t="str">
        <f aca="false">IF(ISNUMBER(H459),"yes","no")</f>
        <v>yes</v>
      </c>
      <c r="AI459" s="109" t="str">
        <f aca="false">IF(ISNUMBER(I459),"yes","no")</f>
        <v>yes</v>
      </c>
      <c r="AJ459" s="116" t="n">
        <v>46295</v>
      </c>
      <c r="AK459" s="109"/>
    </row>
    <row r="460" customFormat="false" ht="48.75" hidden="false" customHeight="true" outlineLevel="0" collapsed="false">
      <c r="A460" s="3"/>
      <c r="B460" s="36" t="s">
        <v>47</v>
      </c>
      <c r="C460" s="98" t="s">
        <v>17</v>
      </c>
      <c r="D460" s="98" t="s">
        <v>342</v>
      </c>
      <c r="E460" s="110" t="s">
        <v>1675</v>
      </c>
      <c r="F460" s="99" t="n">
        <v>293</v>
      </c>
      <c r="G460" s="98" t="s">
        <v>333</v>
      </c>
      <c r="H460" s="112" t="n">
        <f aca="false">IF(AND(AE460="yes",ISNUMBER(AD460)),AD460,"")</f>
        <v>242.15</v>
      </c>
      <c r="I460" s="95" t="n">
        <f aca="false">IF(AND(AE460="yes",ISNUMBER(AD460),ISNUMBER(INDEX(Sources!$G$7:$G$10,MATCH(AB460,Sources!$B$7:$B$10,0)))),ROUND(AD460/INDEX(Sources!$G$7:$G$10,MATCH(AB460,Sources!$B$7:$B$10,0)),6),"")</f>
        <v>9.914584</v>
      </c>
      <c r="J460" s="98" t="s">
        <v>530</v>
      </c>
      <c r="K460" s="98" t="s">
        <v>586</v>
      </c>
      <c r="L460" s="96"/>
      <c r="M460" s="110" t="s">
        <v>1676</v>
      </c>
      <c r="N460" s="117" t="s">
        <v>1677</v>
      </c>
      <c r="O460" s="110" t="s">
        <v>733</v>
      </c>
      <c r="P460" s="110" t="s">
        <v>265</v>
      </c>
      <c r="Q460" s="118" t="n">
        <v>0.21</v>
      </c>
      <c r="R460" s="110" t="n">
        <v>1</v>
      </c>
      <c r="S460" s="110" t="s">
        <v>632</v>
      </c>
      <c r="T460" s="110" t="s">
        <v>530</v>
      </c>
      <c r="U460" s="110" t="s">
        <v>1535</v>
      </c>
      <c r="V460" s="119"/>
      <c r="W460" s="119"/>
      <c r="X460" s="110" t="s">
        <v>1555</v>
      </c>
      <c r="Y460" s="110"/>
      <c r="Z460" s="110"/>
      <c r="AA460" s="110"/>
      <c r="AB460" s="110" t="s">
        <v>333</v>
      </c>
      <c r="AC460" s="110" t="s">
        <v>538</v>
      </c>
      <c r="AD460" s="110" t="n">
        <f aca="false">IF(OR(F460="",Q460="",R460=""),"",ROUND(IF(P460="incl.",F460/(1+Q460),F460)/IF(S460="per pack",R460,1),2))</f>
        <v>242.15</v>
      </c>
      <c r="AE460" s="110" t="str">
        <f aca="false">IF(AND(AC460="yes",ISNUMBER(F460),IF(Compare!$H$5="All mapped",TRUE(),IF(Compare!$H$5="EXACT only",J460="EXACT",OR(J460="EXACT",J460="CLOSE")))),"yes","no")</f>
        <v>yes</v>
      </c>
      <c r="AF460" s="110" t="n">
        <f aca="false">IF(ISNUMBER(H460),COUNTIFS($B$7:$B$3000,B460,$C$7:$C$3000,C460,$H$7:$H$3000,"&lt;"&amp;H460,$AH$7:$AH$3000,"yes")+COUNTIFS($B$7:B460,B460,$C$7:C460,C460,$H$7:H460,H460,$AH$7:AH460,"yes"),"")</f>
        <v>1</v>
      </c>
      <c r="AG460" s="110" t="n">
        <f aca="false">IF(ISNUMBER(I460),COUNTIFS($B$7:$B$3000,B460,$C$7:$C$3000,C460,$I$7:$I$3000,"&lt;"&amp;I460,$AI$7:$AI$3000,"yes")+COUNTIFS($B$7:B460,B460,$C$7:C460,C460,$I$7:I460,I460,$AI$7:AI460,"yes"),"")</f>
        <v>1</v>
      </c>
      <c r="AH460" s="110" t="str">
        <f aca="false">IF(ISNUMBER(H460),"yes","no")</f>
        <v>yes</v>
      </c>
      <c r="AI460" s="110" t="str">
        <f aca="false">IF(ISNUMBER(I460),"yes","no")</f>
        <v>yes</v>
      </c>
      <c r="AJ460" s="120" t="n">
        <v>46295</v>
      </c>
      <c r="AK460" s="110"/>
    </row>
    <row r="461" customFormat="false" ht="42" hidden="false" customHeight="true" outlineLevel="0" collapsed="false">
      <c r="A461" s="3"/>
      <c r="B461" s="31" t="s">
        <v>47</v>
      </c>
      <c r="C461" s="91" t="s">
        <v>17</v>
      </c>
      <c r="D461" s="91" t="s">
        <v>346</v>
      </c>
      <c r="E461" s="109" t="s">
        <v>1678</v>
      </c>
      <c r="F461" s="92" t="n">
        <v>380</v>
      </c>
      <c r="G461" s="91" t="s">
        <v>333</v>
      </c>
      <c r="H461" s="112" t="n">
        <f aca="false">IF(AND(AE461="yes",ISNUMBER(AD461)),AD461,"")</f>
        <v>314.05</v>
      </c>
      <c r="I461" s="95" t="n">
        <f aca="false">IF(AND(AE461="yes",ISNUMBER(AD461),ISNUMBER(INDEX(Sources!$G$7:$G$10,MATCH(AB461,Sources!$B$7:$B$10,0)))),ROUND(AD461/INDEX(Sources!$G$7:$G$10,MATCH(AB461,Sources!$B$7:$B$10,0)),6),"")</f>
        <v>12.858456</v>
      </c>
      <c r="J461" s="91" t="s">
        <v>530</v>
      </c>
      <c r="K461" s="91" t="s">
        <v>586</v>
      </c>
      <c r="L461" s="96"/>
      <c r="M461" s="109" t="s">
        <v>1679</v>
      </c>
      <c r="N461" s="113" t="s">
        <v>1680</v>
      </c>
      <c r="O461" s="109" t="s">
        <v>565</v>
      </c>
      <c r="P461" s="109" t="s">
        <v>265</v>
      </c>
      <c r="Q461" s="114" t="n">
        <v>0.21</v>
      </c>
      <c r="R461" s="109" t="n">
        <v>1</v>
      </c>
      <c r="S461" s="109" t="s">
        <v>632</v>
      </c>
      <c r="T461" s="109" t="s">
        <v>530</v>
      </c>
      <c r="U461" s="109" t="s">
        <v>1535</v>
      </c>
      <c r="V461" s="115"/>
      <c r="W461" s="115"/>
      <c r="X461" s="109" t="s">
        <v>1555</v>
      </c>
      <c r="Y461" s="109"/>
      <c r="Z461" s="109"/>
      <c r="AA461" s="109"/>
      <c r="AB461" s="109" t="s">
        <v>333</v>
      </c>
      <c r="AC461" s="109" t="s">
        <v>538</v>
      </c>
      <c r="AD461" s="109" t="n">
        <f aca="false">IF(OR(F461="",Q461="",R461=""),"",ROUND(IF(P461="incl.",F461/(1+Q461),F461)/IF(S461="per pack",R461,1),2))</f>
        <v>314.05</v>
      </c>
      <c r="AE461" s="109" t="str">
        <f aca="false">IF(AND(AC461="yes",ISNUMBER(F461),IF(Compare!$H$5="All mapped",TRUE(),IF(Compare!$H$5="EXACT only",J461="EXACT",OR(J461="EXACT",J461="CLOSE")))),"yes","no")</f>
        <v>yes</v>
      </c>
      <c r="AF461" s="109" t="n">
        <f aca="false">IF(ISNUMBER(H461),COUNTIFS($B$7:$B$3000,B461,$C$7:$C$3000,C461,$H$7:$H$3000,"&lt;"&amp;H461,$AH$7:$AH$3000,"yes")+COUNTIFS($B$7:B461,B461,$C$7:C461,C461,$H$7:H461,H461,$AH$7:AH461,"yes"),"")</f>
        <v>6</v>
      </c>
      <c r="AG461" s="109" t="n">
        <f aca="false">IF(ISNUMBER(I461),COUNTIFS($B$7:$B$3000,B461,$C$7:$C$3000,C461,$I$7:$I$3000,"&lt;"&amp;I461,$AI$7:$AI$3000,"yes")+COUNTIFS($B$7:B461,B461,$C$7:C461,C461,$I$7:I461,I461,$AI$7:AI461,"yes"),"")</f>
        <v>6</v>
      </c>
      <c r="AH461" s="109" t="str">
        <f aca="false">IF(ISNUMBER(H461),"yes","no")</f>
        <v>yes</v>
      </c>
      <c r="AI461" s="109" t="str">
        <f aca="false">IF(ISNUMBER(I461),"yes","no")</f>
        <v>yes</v>
      </c>
      <c r="AJ461" s="116" t="n">
        <v>46295</v>
      </c>
      <c r="AK461" s="109"/>
    </row>
    <row r="462" customFormat="false" ht="42" hidden="false" customHeight="true" outlineLevel="0" collapsed="false">
      <c r="A462" s="3"/>
      <c r="B462" s="36" t="s">
        <v>47</v>
      </c>
      <c r="C462" s="98" t="s">
        <v>17</v>
      </c>
      <c r="D462" s="98" t="s">
        <v>361</v>
      </c>
      <c r="E462" s="110" t="s">
        <v>1681</v>
      </c>
      <c r="F462" s="99" t="n">
        <v>357</v>
      </c>
      <c r="G462" s="98" t="s">
        <v>333</v>
      </c>
      <c r="H462" s="112" t="n">
        <f aca="false">IF(AND(AE462="yes",ISNUMBER(AD462)),AD462,"")</f>
        <v>295.04</v>
      </c>
      <c r="I462" s="95" t="n">
        <f aca="false">IF(AND(AE462="yes",ISNUMBER(AD462),ISNUMBER(INDEX(Sources!$G$7:$G$10,MATCH(AB462,Sources!$B$7:$B$10,0)))),ROUND(AD462/INDEX(Sources!$G$7:$G$10,MATCH(AB462,Sources!$B$7:$B$10,0)),6),"")</f>
        <v>12.080111</v>
      </c>
      <c r="J462" s="98" t="s">
        <v>530</v>
      </c>
      <c r="K462" s="98" t="s">
        <v>586</v>
      </c>
      <c r="L462" s="96"/>
      <c r="M462" s="110" t="s">
        <v>1682</v>
      </c>
      <c r="N462" s="117" t="s">
        <v>1683</v>
      </c>
      <c r="O462" s="110" t="s">
        <v>642</v>
      </c>
      <c r="P462" s="110" t="s">
        <v>265</v>
      </c>
      <c r="Q462" s="118" t="n">
        <v>0.21</v>
      </c>
      <c r="R462" s="110" t="n">
        <v>1</v>
      </c>
      <c r="S462" s="110" t="s">
        <v>632</v>
      </c>
      <c r="T462" s="110" t="s">
        <v>530</v>
      </c>
      <c r="U462" s="110" t="s">
        <v>1535</v>
      </c>
      <c r="V462" s="119"/>
      <c r="W462" s="119"/>
      <c r="X462" s="110" t="s">
        <v>1555</v>
      </c>
      <c r="Y462" s="110"/>
      <c r="Z462" s="110"/>
      <c r="AA462" s="110"/>
      <c r="AB462" s="110" t="s">
        <v>333</v>
      </c>
      <c r="AC462" s="110" t="s">
        <v>538</v>
      </c>
      <c r="AD462" s="110" t="n">
        <f aca="false">IF(OR(F462="",Q462="",R462=""),"",ROUND(IF(P462="incl.",F462/(1+Q462),F462)/IF(S462="per pack",R462,1),2))</f>
        <v>295.04</v>
      </c>
      <c r="AE462" s="110" t="str">
        <f aca="false">IF(AND(AC462="yes",ISNUMBER(F462),IF(Compare!$H$5="All mapped",TRUE(),IF(Compare!$H$5="EXACT only",J462="EXACT",OR(J462="EXACT",J462="CLOSE")))),"yes","no")</f>
        <v>yes</v>
      </c>
      <c r="AF462" s="110" t="n">
        <f aca="false">IF(ISNUMBER(H462),COUNTIFS($B$7:$B$3000,B462,$C$7:$C$3000,C462,$H$7:$H$3000,"&lt;"&amp;H462,$AH$7:$AH$3000,"yes")+COUNTIFS($B$7:B462,B462,$C$7:C462,C462,$H$7:H462,H462,$AH$7:AH462,"yes"),"")</f>
        <v>5</v>
      </c>
      <c r="AG462" s="110" t="n">
        <f aca="false">IF(ISNUMBER(I462),COUNTIFS($B$7:$B$3000,B462,$C$7:$C$3000,C462,$I$7:$I$3000,"&lt;"&amp;I462,$AI$7:$AI$3000,"yes")+COUNTIFS($B$7:B462,B462,$C$7:C462,C462,$I$7:I462,I462,$AI$7:AI462,"yes"),"")</f>
        <v>5</v>
      </c>
      <c r="AH462" s="110" t="str">
        <f aca="false">IF(ISNUMBER(H462),"yes","no")</f>
        <v>yes</v>
      </c>
      <c r="AI462" s="110" t="str">
        <f aca="false">IF(ISNUMBER(I462),"yes","no")</f>
        <v>yes</v>
      </c>
      <c r="AJ462" s="120" t="n">
        <v>46295</v>
      </c>
      <c r="AK462" s="110"/>
    </row>
    <row r="463" customFormat="false" ht="42" hidden="false" customHeight="true" outlineLevel="0" collapsed="false">
      <c r="A463" s="3"/>
      <c r="B463" s="31" t="s">
        <v>49</v>
      </c>
      <c r="C463" s="91" t="s">
        <v>15</v>
      </c>
      <c r="D463" s="91" t="s">
        <v>277</v>
      </c>
      <c r="E463" s="109" t="s">
        <v>1684</v>
      </c>
      <c r="F463" s="92" t="n">
        <v>43.99</v>
      </c>
      <c r="G463" s="91" t="s">
        <v>244</v>
      </c>
      <c r="H463" s="112" t="n">
        <f aca="false">IF(AND(AE463="yes",ISNUMBER(AD463)),AD463,"")</f>
        <v>3.67</v>
      </c>
      <c r="I463" s="95" t="n">
        <f aca="false">IF(AND(AE463="yes",ISNUMBER(AD463),ISNUMBER(INDEX(Sources!$G$7:$G$10,MATCH(AB463,Sources!$B$7:$B$10,0)))),ROUND(AD463/INDEX(Sources!$G$7:$G$10,MATCH(AB463,Sources!$B$7:$B$10,0)),6),"")</f>
        <v>3.67</v>
      </c>
      <c r="J463" s="91" t="s">
        <v>530</v>
      </c>
      <c r="K463" s="91" t="s">
        <v>586</v>
      </c>
      <c r="L463" s="96"/>
      <c r="M463" s="109"/>
      <c r="N463" s="113" t="s">
        <v>1685</v>
      </c>
      <c r="O463" s="109" t="s">
        <v>610</v>
      </c>
      <c r="P463" s="109" t="s">
        <v>590</v>
      </c>
      <c r="Q463" s="114"/>
      <c r="R463" s="109" t="n">
        <v>12</v>
      </c>
      <c r="S463" s="109" t="s">
        <v>754</v>
      </c>
      <c r="T463" s="109" t="s">
        <v>530</v>
      </c>
      <c r="U463" s="109" t="s">
        <v>1535</v>
      </c>
      <c r="V463" s="115" t="n">
        <v>3.67</v>
      </c>
      <c r="W463" s="115"/>
      <c r="X463" s="109" t="s">
        <v>1536</v>
      </c>
      <c r="Y463" s="109"/>
      <c r="Z463" s="109"/>
      <c r="AA463" s="109"/>
      <c r="AB463" s="109" t="s">
        <v>244</v>
      </c>
      <c r="AC463" s="109" t="s">
        <v>538</v>
      </c>
      <c r="AD463" s="109" t="n">
        <f aca="false">IF(ISNUMBER(V463),ROUND(V463,6),"")</f>
        <v>3.67</v>
      </c>
      <c r="AE463" s="109" t="str">
        <f aca="false">IF(AND(AC463="yes",ISNUMBER(F463),IF(Compare!$H$5="All mapped",TRUE(),IF(Compare!$H$5="EXACT only",J463="EXACT",OR(J463="EXACT",J463="CLOSE")))),"yes","no")</f>
        <v>yes</v>
      </c>
      <c r="AF463" s="109" t="n">
        <f aca="false">IF(ISNUMBER(H463),COUNTIFS($B$7:$B$3000,B463,$C$7:$C$3000,C463,$H$7:$H$3000,"&lt;"&amp;H463,$AH$7:$AH$3000,"yes")+COUNTIFS($B$7:B463,B463,$C$7:C463,C463,$H$7:H463,H463,$AH$7:AH463,"yes"),"")</f>
        <v>7</v>
      </c>
      <c r="AG463" s="109" t="n">
        <f aca="false">IF(ISNUMBER(I463),COUNTIFS($B$7:$B$3000,B463,$C$7:$C$3000,C463,$I$7:$I$3000,"&lt;"&amp;I463,$AI$7:$AI$3000,"yes")+COUNTIFS($B$7:B463,B463,$C$7:C463,C463,$I$7:I463,I463,$AI$7:AI463,"yes"),"")</f>
        <v>7</v>
      </c>
      <c r="AH463" s="109" t="str">
        <f aca="false">IF(ISNUMBER(H463),"yes","no")</f>
        <v>yes</v>
      </c>
      <c r="AI463" s="109" t="str">
        <f aca="false">IF(ISNUMBER(I463),"yes","no")</f>
        <v>yes</v>
      </c>
      <c r="AJ463" s="116" t="n">
        <v>46295</v>
      </c>
      <c r="AK463" s="109"/>
    </row>
    <row r="464" customFormat="false" ht="42" hidden="false" customHeight="true" outlineLevel="0" collapsed="false">
      <c r="A464" s="3"/>
      <c r="B464" s="36" t="s">
        <v>49</v>
      </c>
      <c r="C464" s="98" t="s">
        <v>15</v>
      </c>
      <c r="D464" s="98" t="s">
        <v>257</v>
      </c>
      <c r="E464" s="110" t="s">
        <v>1686</v>
      </c>
      <c r="F464" s="99" t="n">
        <v>2.95</v>
      </c>
      <c r="G464" s="98" t="s">
        <v>244</v>
      </c>
      <c r="H464" s="112" t="n">
        <f aca="false">IF(AND(AE464="yes",ISNUMBER(AD464)),AD464,"")</f>
        <v>2.95</v>
      </c>
      <c r="I464" s="95" t="n">
        <f aca="false">IF(AND(AE464="yes",ISNUMBER(AD464),ISNUMBER(INDEX(Sources!$G$7:$G$10,MATCH(AB464,Sources!$B$7:$B$10,0)))),ROUND(AD464/INDEX(Sources!$G$7:$G$10,MATCH(AB464,Sources!$B$7:$B$10,0)),6),"")</f>
        <v>2.95</v>
      </c>
      <c r="J464" s="98" t="s">
        <v>530</v>
      </c>
      <c r="K464" s="98" t="s">
        <v>586</v>
      </c>
      <c r="L464" s="96"/>
      <c r="M464" s="110"/>
      <c r="N464" s="117" t="s">
        <v>1687</v>
      </c>
      <c r="O464" s="110" t="s">
        <v>388</v>
      </c>
      <c r="P464" s="110" t="s">
        <v>590</v>
      </c>
      <c r="Q464" s="118"/>
      <c r="R464" s="110" t="n">
        <v>1</v>
      </c>
      <c r="S464" s="110"/>
      <c r="T464" s="110" t="s">
        <v>530</v>
      </c>
      <c r="U464" s="110" t="s">
        <v>1535</v>
      </c>
      <c r="V464" s="119" t="n">
        <v>2.95</v>
      </c>
      <c r="W464" s="119"/>
      <c r="X464" s="110" t="s">
        <v>1536</v>
      </c>
      <c r="Y464" s="110"/>
      <c r="Z464" s="110"/>
      <c r="AA464" s="110"/>
      <c r="AB464" s="110" t="s">
        <v>244</v>
      </c>
      <c r="AC464" s="110" t="s">
        <v>538</v>
      </c>
      <c r="AD464" s="110" t="n">
        <f aca="false">IF(ISNUMBER(V464),ROUND(V464,6),"")</f>
        <v>2.95</v>
      </c>
      <c r="AE464" s="110" t="str">
        <f aca="false">IF(AND(AC464="yes",ISNUMBER(F464),IF(Compare!$H$5="All mapped",TRUE(),IF(Compare!$H$5="EXACT only",J464="EXACT",OR(J464="EXACT",J464="CLOSE")))),"yes","no")</f>
        <v>yes</v>
      </c>
      <c r="AF464" s="110" t="n">
        <f aca="false">IF(ISNUMBER(H464),COUNTIFS($B$7:$B$3000,B464,$C$7:$C$3000,C464,$H$7:$H$3000,"&lt;"&amp;H464,$AH$7:$AH$3000,"yes")+COUNTIFS($B$7:B464,B464,$C$7:C464,C464,$H$7:H464,H464,$AH$7:AH464,"yes"),"")</f>
        <v>2</v>
      </c>
      <c r="AG464" s="110" t="n">
        <f aca="false">IF(ISNUMBER(I464),COUNTIFS($B$7:$B$3000,B464,$C$7:$C$3000,C464,$I$7:$I$3000,"&lt;"&amp;I464,$AI$7:$AI$3000,"yes")+COUNTIFS($B$7:B464,B464,$C$7:C464,C464,$I$7:I464,I464,$AI$7:AI464,"yes"),"")</f>
        <v>2</v>
      </c>
      <c r="AH464" s="110" t="str">
        <f aca="false">IF(ISNUMBER(H464),"yes","no")</f>
        <v>yes</v>
      </c>
      <c r="AI464" s="110" t="str">
        <f aca="false">IF(ISNUMBER(I464),"yes","no")</f>
        <v>yes</v>
      </c>
      <c r="AJ464" s="120" t="n">
        <v>46295</v>
      </c>
      <c r="AK464" s="110"/>
    </row>
    <row r="465" customFormat="false" ht="42" hidden="false" customHeight="true" outlineLevel="0" collapsed="false">
      <c r="A465" s="3"/>
      <c r="B465" s="31" t="s">
        <v>49</v>
      </c>
      <c r="C465" s="91" t="s">
        <v>15</v>
      </c>
      <c r="D465" s="91" t="s">
        <v>269</v>
      </c>
      <c r="E465" s="109" t="s">
        <v>1688</v>
      </c>
      <c r="F465" s="92" t="n">
        <v>6.19</v>
      </c>
      <c r="G465" s="91" t="s">
        <v>244</v>
      </c>
      <c r="H465" s="112" t="n">
        <f aca="false">IF(AND(AE465="yes",ISNUMBER(AD465)),AD465,"")</f>
        <v>6.19</v>
      </c>
      <c r="I465" s="95" t="n">
        <f aca="false">IF(AND(AE465="yes",ISNUMBER(AD465),ISNUMBER(INDEX(Sources!$G$7:$G$10,MATCH(AB465,Sources!$B$7:$B$10,0)))),ROUND(AD465/INDEX(Sources!$G$7:$G$10,MATCH(AB465,Sources!$B$7:$B$10,0)),6),"")</f>
        <v>6.19</v>
      </c>
      <c r="J465" s="91" t="s">
        <v>530</v>
      </c>
      <c r="K465" s="91" t="s">
        <v>586</v>
      </c>
      <c r="L465" s="96"/>
      <c r="M465" s="109" t="s">
        <v>1618</v>
      </c>
      <c r="N465" s="113" t="s">
        <v>1689</v>
      </c>
      <c r="O465" s="109" t="s">
        <v>589</v>
      </c>
      <c r="P465" s="109" t="s">
        <v>590</v>
      </c>
      <c r="Q465" s="114"/>
      <c r="R465" s="109" t="n">
        <v>1</v>
      </c>
      <c r="S465" s="109"/>
      <c r="T465" s="109" t="s">
        <v>530</v>
      </c>
      <c r="U465" s="109" t="s">
        <v>1535</v>
      </c>
      <c r="V465" s="115" t="n">
        <v>6.19</v>
      </c>
      <c r="W465" s="115"/>
      <c r="X465" s="109" t="s">
        <v>1536</v>
      </c>
      <c r="Y465" s="109"/>
      <c r="Z465" s="109"/>
      <c r="AA465" s="109"/>
      <c r="AB465" s="109" t="s">
        <v>244</v>
      </c>
      <c r="AC465" s="109" t="s">
        <v>538</v>
      </c>
      <c r="AD465" s="109" t="n">
        <f aca="false">IF(ISNUMBER(V465),ROUND(V465,6),"")</f>
        <v>6.19</v>
      </c>
      <c r="AE465" s="109" t="str">
        <f aca="false">IF(AND(AC465="yes",ISNUMBER(F465),IF(Compare!$H$5="All mapped",TRUE(),IF(Compare!$H$5="EXACT only",J465="EXACT",OR(J465="EXACT",J465="CLOSE")))),"yes","no")</f>
        <v>yes</v>
      </c>
      <c r="AF465" s="109" t="n">
        <f aca="false">IF(ISNUMBER(H465),COUNTIFS($B$7:$B$3000,B465,$C$7:$C$3000,C465,$H$7:$H$3000,"&lt;"&amp;H465,$AH$7:$AH$3000,"yes")+COUNTIFS($B$7:B465,B465,$C$7:C465,C465,$H$7:H465,H465,$AH$7:AH465,"yes"),"")</f>
        <v>8</v>
      </c>
      <c r="AG465" s="109" t="n">
        <f aca="false">IF(ISNUMBER(I465),COUNTIFS($B$7:$B$3000,B465,$C$7:$C$3000,C465,$I$7:$I$3000,"&lt;"&amp;I465,$AI$7:$AI$3000,"yes")+COUNTIFS($B$7:B465,B465,$C$7:C465,C465,$I$7:I465,I465,$AI$7:AI465,"yes"),"")</f>
        <v>8</v>
      </c>
      <c r="AH465" s="109" t="str">
        <f aca="false">IF(ISNUMBER(H465),"yes","no")</f>
        <v>yes</v>
      </c>
      <c r="AI465" s="109" t="str">
        <f aca="false">IF(ISNUMBER(I465),"yes","no")</f>
        <v>yes</v>
      </c>
      <c r="AJ465" s="116" t="n">
        <v>46295</v>
      </c>
      <c r="AK465" s="109"/>
    </row>
    <row r="466" customFormat="false" ht="42" hidden="false" customHeight="true" outlineLevel="0" collapsed="false">
      <c r="A466" s="3"/>
      <c r="B466" s="36" t="s">
        <v>49</v>
      </c>
      <c r="C466" s="98" t="s">
        <v>15</v>
      </c>
      <c r="D466" s="98" t="s">
        <v>264</v>
      </c>
      <c r="E466" s="110" t="s">
        <v>1690</v>
      </c>
      <c r="F466" s="99" t="n">
        <v>12.16</v>
      </c>
      <c r="G466" s="98" t="s">
        <v>244</v>
      </c>
      <c r="H466" s="112" t="n">
        <f aca="false">IF(AND(AE466="yes",ISNUMBER(AD466)),AD466,"")</f>
        <v>12.16</v>
      </c>
      <c r="I466" s="95" t="n">
        <f aca="false">IF(AND(AE466="yes",ISNUMBER(AD466),ISNUMBER(INDEX(Sources!$G$7:$G$10,MATCH(AB466,Sources!$B$7:$B$10,0)))),ROUND(AD466/INDEX(Sources!$G$7:$G$10,MATCH(AB466,Sources!$B$7:$B$10,0)),6),"")</f>
        <v>12.16</v>
      </c>
      <c r="J466" s="98" t="s">
        <v>530</v>
      </c>
      <c r="K466" s="98" t="s">
        <v>586</v>
      </c>
      <c r="L466" s="96"/>
      <c r="M466" s="110" t="s">
        <v>1691</v>
      </c>
      <c r="N466" s="117" t="s">
        <v>1692</v>
      </c>
      <c r="O466" s="110" t="s">
        <v>388</v>
      </c>
      <c r="P466" s="110" t="s">
        <v>590</v>
      </c>
      <c r="Q466" s="118"/>
      <c r="R466" s="110" t="n">
        <v>1</v>
      </c>
      <c r="S466" s="110"/>
      <c r="T466" s="110" t="s">
        <v>530</v>
      </c>
      <c r="U466" s="110" t="s">
        <v>1535</v>
      </c>
      <c r="V466" s="119" t="n">
        <v>12.16</v>
      </c>
      <c r="W466" s="119"/>
      <c r="X466" s="110" t="s">
        <v>1536</v>
      </c>
      <c r="Y466" s="110"/>
      <c r="Z466" s="110"/>
      <c r="AA466" s="110"/>
      <c r="AB466" s="110" t="s">
        <v>244</v>
      </c>
      <c r="AC466" s="110" t="s">
        <v>538</v>
      </c>
      <c r="AD466" s="110" t="n">
        <f aca="false">IF(ISNUMBER(V466),ROUND(V466,6),"")</f>
        <v>12.16</v>
      </c>
      <c r="AE466" s="110" t="str">
        <f aca="false">IF(AND(AC466="yes",ISNUMBER(F466),IF(Compare!$H$5="All mapped",TRUE(),IF(Compare!$H$5="EXACT only",J466="EXACT",OR(J466="EXACT",J466="CLOSE")))),"yes","no")</f>
        <v>yes</v>
      </c>
      <c r="AF466" s="110" t="n">
        <f aca="false">IF(ISNUMBER(H466),COUNTIFS($B$7:$B$3000,B466,$C$7:$C$3000,C466,$H$7:$H$3000,"&lt;"&amp;H466,$AH$7:$AH$3000,"yes")+COUNTIFS($B$7:B466,B466,$C$7:C466,C466,$H$7:H466,H466,$AH$7:AH466,"yes"),"")</f>
        <v>9</v>
      </c>
      <c r="AG466" s="110" t="n">
        <f aca="false">IF(ISNUMBER(I466),COUNTIFS($B$7:$B$3000,B466,$C$7:$C$3000,C466,$I$7:$I$3000,"&lt;"&amp;I466,$AI$7:$AI$3000,"yes")+COUNTIFS($B$7:B466,B466,$C$7:C466,C466,$I$7:I466,I466,$AI$7:AI466,"yes"),"")</f>
        <v>9</v>
      </c>
      <c r="AH466" s="110" t="str">
        <f aca="false">IF(ISNUMBER(H466),"yes","no")</f>
        <v>yes</v>
      </c>
      <c r="AI466" s="110" t="str">
        <f aca="false">IF(ISNUMBER(I466),"yes","no")</f>
        <v>yes</v>
      </c>
      <c r="AJ466" s="120" t="n">
        <v>46295</v>
      </c>
      <c r="AK466" s="110"/>
    </row>
    <row r="467" customFormat="false" ht="42" hidden="false" customHeight="true" outlineLevel="0" collapsed="false">
      <c r="A467" s="3"/>
      <c r="B467" s="31" t="s">
        <v>49</v>
      </c>
      <c r="C467" s="91" t="s">
        <v>15</v>
      </c>
      <c r="D467" s="91" t="s">
        <v>273</v>
      </c>
      <c r="E467" s="109" t="s">
        <v>1693</v>
      </c>
      <c r="F467" s="92" t="n">
        <v>4.29</v>
      </c>
      <c r="G467" s="91" t="s">
        <v>244</v>
      </c>
      <c r="H467" s="112" t="n">
        <f aca="false">IF(AND(AE467="yes",ISNUMBER(AD467)),AD467,"")</f>
        <v>3.58</v>
      </c>
      <c r="I467" s="95" t="n">
        <f aca="false">IF(AND(AE467="yes",ISNUMBER(AD467),ISNUMBER(INDEX(Sources!$G$7:$G$10,MATCH(AB467,Sources!$B$7:$B$10,0)))),ROUND(AD467/INDEX(Sources!$G$7:$G$10,MATCH(AB467,Sources!$B$7:$B$10,0)),6),"")</f>
        <v>3.58</v>
      </c>
      <c r="J467" s="91" t="s">
        <v>530</v>
      </c>
      <c r="K467" s="91" t="s">
        <v>586</v>
      </c>
      <c r="L467" s="96"/>
      <c r="M467" s="109" t="s">
        <v>1694</v>
      </c>
      <c r="N467" s="113" t="s">
        <v>1695</v>
      </c>
      <c r="O467" s="109" t="s">
        <v>642</v>
      </c>
      <c r="P467" s="109" t="s">
        <v>265</v>
      </c>
      <c r="Q467" s="114"/>
      <c r="R467" s="109" t="n">
        <v>1</v>
      </c>
      <c r="S467" s="109"/>
      <c r="T467" s="109" t="s">
        <v>530</v>
      </c>
      <c r="U467" s="109" t="s">
        <v>1535</v>
      </c>
      <c r="V467" s="115" t="n">
        <v>3.58</v>
      </c>
      <c r="W467" s="115"/>
      <c r="X467" s="109" t="s">
        <v>1536</v>
      </c>
      <c r="Y467" s="109"/>
      <c r="Z467" s="109"/>
      <c r="AA467" s="109"/>
      <c r="AB467" s="109" t="s">
        <v>244</v>
      </c>
      <c r="AC467" s="109" t="s">
        <v>538</v>
      </c>
      <c r="AD467" s="109" t="n">
        <f aca="false">IF(ISNUMBER(V467),ROUND(V467,6),"")</f>
        <v>3.58</v>
      </c>
      <c r="AE467" s="109" t="str">
        <f aca="false">IF(AND(AC467="yes",ISNUMBER(F467),IF(Compare!$H$5="All mapped",TRUE(),IF(Compare!$H$5="EXACT only",J467="EXACT",OR(J467="EXACT",J467="CLOSE")))),"yes","no")</f>
        <v>yes</v>
      </c>
      <c r="AF467" s="109" t="n">
        <f aca="false">IF(ISNUMBER(H467),COUNTIFS($B$7:$B$3000,B467,$C$7:$C$3000,C467,$H$7:$H$3000,"&lt;"&amp;H467,$AH$7:$AH$3000,"yes")+COUNTIFS($B$7:B467,B467,$C$7:C467,C467,$H$7:H467,H467,$AH$7:AH467,"yes"),"")</f>
        <v>6</v>
      </c>
      <c r="AG467" s="109" t="n">
        <f aca="false">IF(ISNUMBER(I467),COUNTIFS($B$7:$B$3000,B467,$C$7:$C$3000,C467,$I$7:$I$3000,"&lt;"&amp;I467,$AI$7:$AI$3000,"yes")+COUNTIFS($B$7:B467,B467,$C$7:C467,C467,$I$7:I467,I467,$AI$7:AI467,"yes"),"")</f>
        <v>6</v>
      </c>
      <c r="AH467" s="109" t="str">
        <f aca="false">IF(ISNUMBER(H467),"yes","no")</f>
        <v>yes</v>
      </c>
      <c r="AI467" s="109" t="str">
        <f aca="false">IF(ISNUMBER(I467),"yes","no")</f>
        <v>yes</v>
      </c>
      <c r="AJ467" s="116" t="n">
        <v>46295</v>
      </c>
      <c r="AK467" s="109"/>
    </row>
    <row r="468" customFormat="false" ht="42" hidden="false" customHeight="true" outlineLevel="0" collapsed="false">
      <c r="A468" s="3"/>
      <c r="B468" s="36" t="s">
        <v>49</v>
      </c>
      <c r="C468" s="98" t="s">
        <v>15</v>
      </c>
      <c r="D468" s="98" t="s">
        <v>281</v>
      </c>
      <c r="E468" s="110" t="s">
        <v>1696</v>
      </c>
      <c r="F468" s="99" t="n">
        <v>3.13</v>
      </c>
      <c r="G468" s="98" t="s">
        <v>244</v>
      </c>
      <c r="H468" s="112" t="n">
        <f aca="false">IF(AND(AE468="yes",ISNUMBER(AD468)),AD468,"")</f>
        <v>3.13</v>
      </c>
      <c r="I468" s="95" t="n">
        <f aca="false">IF(AND(AE468="yes",ISNUMBER(AD468),ISNUMBER(INDEX(Sources!$G$7:$G$10,MATCH(AB468,Sources!$B$7:$B$10,0)))),ROUND(AD468/INDEX(Sources!$G$7:$G$10,MATCH(AB468,Sources!$B$7:$B$10,0)),6),"")</f>
        <v>3.13</v>
      </c>
      <c r="J468" s="98" t="s">
        <v>530</v>
      </c>
      <c r="K468" s="98" t="s">
        <v>586</v>
      </c>
      <c r="L468" s="96"/>
      <c r="M468" s="110" t="s">
        <v>1697</v>
      </c>
      <c r="N468" s="117" t="s">
        <v>1698</v>
      </c>
      <c r="O468" s="110" t="s">
        <v>642</v>
      </c>
      <c r="P468" s="110" t="s">
        <v>590</v>
      </c>
      <c r="Q468" s="118"/>
      <c r="R468" s="110" t="n">
        <v>1</v>
      </c>
      <c r="S468" s="110"/>
      <c r="T468" s="110" t="s">
        <v>530</v>
      </c>
      <c r="U468" s="110" t="s">
        <v>1535</v>
      </c>
      <c r="V468" s="119" t="n">
        <v>3.13</v>
      </c>
      <c r="W468" s="119"/>
      <c r="X468" s="110" t="s">
        <v>1536</v>
      </c>
      <c r="Y468" s="110"/>
      <c r="Z468" s="110"/>
      <c r="AA468" s="110"/>
      <c r="AB468" s="110" t="s">
        <v>244</v>
      </c>
      <c r="AC468" s="110" t="s">
        <v>538</v>
      </c>
      <c r="AD468" s="110" t="n">
        <f aca="false">IF(ISNUMBER(V468),ROUND(V468,6),"")</f>
        <v>3.13</v>
      </c>
      <c r="AE468" s="110" t="str">
        <f aca="false">IF(AND(AC468="yes",ISNUMBER(F468),IF(Compare!$H$5="All mapped",TRUE(),IF(Compare!$H$5="EXACT only",J468="EXACT",OR(J468="EXACT",J468="CLOSE")))),"yes","no")</f>
        <v>yes</v>
      </c>
      <c r="AF468" s="110" t="n">
        <f aca="false">IF(ISNUMBER(H468),COUNTIFS($B$7:$B$3000,B468,$C$7:$C$3000,C468,$H$7:$H$3000,"&lt;"&amp;H468,$AH$7:$AH$3000,"yes")+COUNTIFS($B$7:B468,B468,$C$7:C468,C468,$H$7:H468,H468,$AH$7:AH468,"yes"),"")</f>
        <v>4</v>
      </c>
      <c r="AG468" s="110" t="n">
        <f aca="false">IF(ISNUMBER(I468),COUNTIFS($B$7:$B$3000,B468,$C$7:$C$3000,C468,$I$7:$I$3000,"&lt;"&amp;I468,$AI$7:$AI$3000,"yes")+COUNTIFS($B$7:B468,B468,$C$7:C468,C468,$I$7:I468,I468,$AI$7:AI468,"yes"),"")</f>
        <v>4</v>
      </c>
      <c r="AH468" s="110" t="str">
        <f aca="false">IF(ISNUMBER(H468),"yes","no")</f>
        <v>yes</v>
      </c>
      <c r="AI468" s="110" t="str">
        <f aca="false">IF(ISNUMBER(I468),"yes","no")</f>
        <v>yes</v>
      </c>
      <c r="AJ468" s="120" t="n">
        <v>46295</v>
      </c>
      <c r="AK468" s="110"/>
    </row>
    <row r="469" customFormat="false" ht="42" hidden="false" customHeight="true" outlineLevel="0" collapsed="false">
      <c r="A469" s="3"/>
      <c r="B469" s="31" t="s">
        <v>49</v>
      </c>
      <c r="C469" s="91" t="s">
        <v>15</v>
      </c>
      <c r="D469" s="91" t="s">
        <v>285</v>
      </c>
      <c r="E469" s="109" t="s">
        <v>1699</v>
      </c>
      <c r="F469" s="92" t="n">
        <v>13.2</v>
      </c>
      <c r="G469" s="91" t="s">
        <v>244</v>
      </c>
      <c r="H469" s="112" t="n">
        <f aca="false">IF(AND(AE469="yes",ISNUMBER(AD469)),AD469,"")</f>
        <v>13.2</v>
      </c>
      <c r="I469" s="95" t="n">
        <f aca="false">IF(AND(AE469="yes",ISNUMBER(AD469),ISNUMBER(INDEX(Sources!$G$7:$G$10,MATCH(AB469,Sources!$B$7:$B$10,0)))),ROUND(AD469/INDEX(Sources!$G$7:$G$10,MATCH(AB469,Sources!$B$7:$B$10,0)),6),"")</f>
        <v>13.2</v>
      </c>
      <c r="J469" s="91" t="s">
        <v>530</v>
      </c>
      <c r="K469" s="91" t="s">
        <v>586</v>
      </c>
      <c r="L469" s="96"/>
      <c r="M469" s="109"/>
      <c r="N469" s="113" t="s">
        <v>1700</v>
      </c>
      <c r="O469" s="109" t="s">
        <v>733</v>
      </c>
      <c r="P469" s="109" t="s">
        <v>590</v>
      </c>
      <c r="Q469" s="114"/>
      <c r="R469" s="109" t="n">
        <v>1</v>
      </c>
      <c r="S469" s="109"/>
      <c r="T469" s="109" t="s">
        <v>530</v>
      </c>
      <c r="U469" s="109" t="s">
        <v>1535</v>
      </c>
      <c r="V469" s="115" t="n">
        <v>13.2</v>
      </c>
      <c r="W469" s="115"/>
      <c r="X469" s="109" t="s">
        <v>1536</v>
      </c>
      <c r="Y469" s="109"/>
      <c r="Z469" s="109"/>
      <c r="AA469" s="109"/>
      <c r="AB469" s="109" t="s">
        <v>244</v>
      </c>
      <c r="AC469" s="109" t="s">
        <v>538</v>
      </c>
      <c r="AD469" s="109" t="n">
        <f aca="false">IF(ISNUMBER(V469),ROUND(V469,6),"")</f>
        <v>13.2</v>
      </c>
      <c r="AE469" s="109" t="str">
        <f aca="false">IF(AND(AC469="yes",ISNUMBER(F469),IF(Compare!$H$5="All mapped",TRUE(),IF(Compare!$H$5="EXACT only",J469="EXACT",OR(J469="EXACT",J469="CLOSE")))),"yes","no")</f>
        <v>yes</v>
      </c>
      <c r="AF469" s="109" t="n">
        <f aca="false">IF(ISNUMBER(H469),COUNTIFS($B$7:$B$3000,B469,$C$7:$C$3000,C469,$H$7:$H$3000,"&lt;"&amp;H469,$AH$7:$AH$3000,"yes")+COUNTIFS($B$7:B469,B469,$C$7:C469,C469,$H$7:H469,H469,$AH$7:AH469,"yes"),"")</f>
        <v>10</v>
      </c>
      <c r="AG469" s="109" t="n">
        <f aca="false">IF(ISNUMBER(I469),COUNTIFS($B$7:$B$3000,B469,$C$7:$C$3000,C469,$I$7:$I$3000,"&lt;"&amp;I469,$AI$7:$AI$3000,"yes")+COUNTIFS($B$7:B469,B469,$C$7:C469,C469,$I$7:I469,I469,$AI$7:AI469,"yes"),"")</f>
        <v>10</v>
      </c>
      <c r="AH469" s="109" t="str">
        <f aca="false">IF(ISNUMBER(H469),"yes","no")</f>
        <v>yes</v>
      </c>
      <c r="AI469" s="109" t="str">
        <f aca="false">IF(ISNUMBER(I469),"yes","no")</f>
        <v>yes</v>
      </c>
      <c r="AJ469" s="116" t="n">
        <v>46295</v>
      </c>
      <c r="AK469" s="109"/>
    </row>
    <row r="470" customFormat="false" ht="42" hidden="false" customHeight="true" outlineLevel="0" collapsed="false">
      <c r="A470" s="3"/>
      <c r="B470" s="36" t="s">
        <v>49</v>
      </c>
      <c r="C470" s="98" t="s">
        <v>15</v>
      </c>
      <c r="D470" s="98" t="s">
        <v>293</v>
      </c>
      <c r="E470" s="110" t="s">
        <v>1701</v>
      </c>
      <c r="F470" s="99" t="n">
        <v>2.8</v>
      </c>
      <c r="G470" s="98" t="s">
        <v>244</v>
      </c>
      <c r="H470" s="112" t="n">
        <f aca="false">IF(AND(AE470="yes",ISNUMBER(AD470)),AD470,"")</f>
        <v>2.8</v>
      </c>
      <c r="I470" s="95" t="n">
        <f aca="false">IF(AND(AE470="yes",ISNUMBER(AD470),ISNUMBER(INDEX(Sources!$G$7:$G$10,MATCH(AB470,Sources!$B$7:$B$10,0)))),ROUND(AD470/INDEX(Sources!$G$7:$G$10,MATCH(AB470,Sources!$B$7:$B$10,0)),6),"")</f>
        <v>2.8</v>
      </c>
      <c r="J470" s="98" t="s">
        <v>530</v>
      </c>
      <c r="K470" s="98" t="s">
        <v>586</v>
      </c>
      <c r="L470" s="96"/>
      <c r="M470" s="110" t="s">
        <v>1702</v>
      </c>
      <c r="N470" s="117" t="s">
        <v>1703</v>
      </c>
      <c r="O470" s="110" t="s">
        <v>589</v>
      </c>
      <c r="P470" s="110" t="s">
        <v>590</v>
      </c>
      <c r="Q470" s="118"/>
      <c r="R470" s="110" t="n">
        <v>1</v>
      </c>
      <c r="S470" s="110"/>
      <c r="T470" s="110" t="s">
        <v>530</v>
      </c>
      <c r="U470" s="110" t="s">
        <v>1535</v>
      </c>
      <c r="V470" s="119" t="n">
        <v>2.8</v>
      </c>
      <c r="W470" s="119"/>
      <c r="X470" s="110" t="s">
        <v>1536</v>
      </c>
      <c r="Y470" s="110"/>
      <c r="Z470" s="110"/>
      <c r="AA470" s="110"/>
      <c r="AB470" s="110" t="s">
        <v>244</v>
      </c>
      <c r="AC470" s="110" t="s">
        <v>538</v>
      </c>
      <c r="AD470" s="110" t="n">
        <f aca="false">IF(ISNUMBER(V470),ROUND(V470,6),"")</f>
        <v>2.8</v>
      </c>
      <c r="AE470" s="110" t="str">
        <f aca="false">IF(AND(AC470="yes",ISNUMBER(F470),IF(Compare!$H$5="All mapped",TRUE(),IF(Compare!$H$5="EXACT only",J470="EXACT",OR(J470="EXACT",J470="CLOSE")))),"yes","no")</f>
        <v>yes</v>
      </c>
      <c r="AF470" s="110" t="n">
        <f aca="false">IF(ISNUMBER(H470),COUNTIFS($B$7:$B$3000,B470,$C$7:$C$3000,C470,$H$7:$H$3000,"&lt;"&amp;H470,$AH$7:$AH$3000,"yes")+COUNTIFS($B$7:B470,B470,$C$7:C470,C470,$H$7:H470,H470,$AH$7:AH470,"yes"),"")</f>
        <v>1</v>
      </c>
      <c r="AG470" s="110" t="n">
        <f aca="false">IF(ISNUMBER(I470),COUNTIFS($B$7:$B$3000,B470,$C$7:$C$3000,C470,$I$7:$I$3000,"&lt;"&amp;I470,$AI$7:$AI$3000,"yes")+COUNTIFS($B$7:B470,B470,$C$7:C470,C470,$I$7:I470,I470,$AI$7:AI470,"yes"),"")</f>
        <v>1</v>
      </c>
      <c r="AH470" s="110" t="str">
        <f aca="false">IF(ISNUMBER(H470),"yes","no")</f>
        <v>yes</v>
      </c>
      <c r="AI470" s="110" t="str">
        <f aca="false">IF(ISNUMBER(I470),"yes","no")</f>
        <v>yes</v>
      </c>
      <c r="AJ470" s="120" t="n">
        <v>46295</v>
      </c>
      <c r="AK470" s="110"/>
    </row>
    <row r="471" customFormat="false" ht="42" hidden="false" customHeight="true" outlineLevel="0" collapsed="false">
      <c r="A471" s="3"/>
      <c r="B471" s="31" t="s">
        <v>49</v>
      </c>
      <c r="C471" s="91" t="s">
        <v>17</v>
      </c>
      <c r="D471" s="91" t="s">
        <v>354</v>
      </c>
      <c r="E471" s="109" t="s">
        <v>1704</v>
      </c>
      <c r="F471" s="92" t="n">
        <v>1070.67</v>
      </c>
      <c r="G471" s="91" t="s">
        <v>333</v>
      </c>
      <c r="H471" s="112" t="n">
        <f aca="false">IF(AND(AE471="yes",ISNUMBER(AD471)),AD471,"")</f>
        <v>89.22</v>
      </c>
      <c r="I471" s="95" t="n">
        <f aca="false">IF(AND(AE471="yes",ISNUMBER(AD471),ISNUMBER(INDEX(Sources!$G$7:$G$10,MATCH(AB471,Sources!$B$7:$B$10,0)))),ROUND(AD471/INDEX(Sources!$G$7:$G$10,MATCH(AB471,Sources!$B$7:$B$10,0)),6),"")</f>
        <v>3.653022</v>
      </c>
      <c r="J471" s="91" t="s">
        <v>530</v>
      </c>
      <c r="K471" s="91" t="s">
        <v>586</v>
      </c>
      <c r="L471" s="96"/>
      <c r="M471" s="109"/>
      <c r="N471" s="113" t="s">
        <v>1705</v>
      </c>
      <c r="O471" s="109" t="s">
        <v>610</v>
      </c>
      <c r="P471" s="109" t="s">
        <v>590</v>
      </c>
      <c r="Q471" s="114" t="n">
        <v>0.19</v>
      </c>
      <c r="R471" s="109" t="n">
        <v>12</v>
      </c>
      <c r="S471" s="109" t="s">
        <v>625</v>
      </c>
      <c r="T471" s="109" t="s">
        <v>530</v>
      </c>
      <c r="U471" s="109" t="s">
        <v>1535</v>
      </c>
      <c r="V471" s="115"/>
      <c r="W471" s="115"/>
      <c r="X471" s="109" t="s">
        <v>1555</v>
      </c>
      <c r="Y471" s="109"/>
      <c r="Z471" s="109"/>
      <c r="AA471" s="109"/>
      <c r="AB471" s="109" t="s">
        <v>333</v>
      </c>
      <c r="AC471" s="109" t="s">
        <v>538</v>
      </c>
      <c r="AD471" s="109" t="n">
        <f aca="false">IF(OR(F471="",Q471="",R471=""),"",ROUND(IF(P471="incl.",F471/(1+Q471),F471)/IF(S471="per pack",R471,1),2))</f>
        <v>89.22</v>
      </c>
      <c r="AE471" s="109" t="str">
        <f aca="false">IF(AND(AC471="yes",ISNUMBER(F471),IF(Compare!$H$5="All mapped",TRUE(),IF(Compare!$H$5="EXACT only",J471="EXACT",OR(J471="EXACT",J471="CLOSE")))),"yes","no")</f>
        <v>yes</v>
      </c>
      <c r="AF471" s="109" t="n">
        <f aca="false">IF(ISNUMBER(H471),COUNTIFS($B$7:$B$3000,B471,$C$7:$C$3000,C471,$H$7:$H$3000,"&lt;"&amp;H471,$AH$7:$AH$3000,"yes")+COUNTIFS($B$7:B471,B471,$C$7:C471,C471,$H$7:H471,H471,$AH$7:AH471,"yes"),"")</f>
        <v>6</v>
      </c>
      <c r="AG471" s="109" t="n">
        <f aca="false">IF(ISNUMBER(I471),COUNTIFS($B$7:$B$3000,B471,$C$7:$C$3000,C471,$I$7:$I$3000,"&lt;"&amp;I471,$AI$7:$AI$3000,"yes")+COUNTIFS($B$7:B471,B471,$C$7:C471,C471,$I$7:I471,I471,$AI$7:AI471,"yes"),"")</f>
        <v>6</v>
      </c>
      <c r="AH471" s="109" t="str">
        <f aca="false">IF(ISNUMBER(H471),"yes","no")</f>
        <v>yes</v>
      </c>
      <c r="AI471" s="109" t="str">
        <f aca="false">IF(ISNUMBER(I471),"yes","no")</f>
        <v>yes</v>
      </c>
      <c r="AJ471" s="116" t="n">
        <v>46295</v>
      </c>
      <c r="AK471" s="109"/>
    </row>
    <row r="472" customFormat="false" ht="42" hidden="false" customHeight="true" outlineLevel="0" collapsed="false">
      <c r="A472" s="3"/>
      <c r="B472" s="36" t="s">
        <v>49</v>
      </c>
      <c r="C472" s="98" t="s">
        <v>17</v>
      </c>
      <c r="D472" s="98" t="s">
        <v>332</v>
      </c>
      <c r="E472" s="110" t="s">
        <v>1706</v>
      </c>
      <c r="F472" s="99" t="n">
        <v>75</v>
      </c>
      <c r="G472" s="98" t="s">
        <v>333</v>
      </c>
      <c r="H472" s="112" t="n">
        <f aca="false">IF(AND(AE472="yes",ISNUMBER(AD472)),AD472,"")</f>
        <v>75</v>
      </c>
      <c r="I472" s="95" t="n">
        <f aca="false">IF(AND(AE472="yes",ISNUMBER(AD472),ISNUMBER(INDEX(Sources!$G$7:$G$10,MATCH(AB472,Sources!$B$7:$B$10,0)))),ROUND(AD472/INDEX(Sources!$G$7:$G$10,MATCH(AB472,Sources!$B$7:$B$10,0)),6),"")</f>
        <v>3.070798</v>
      </c>
      <c r="J472" s="98" t="s">
        <v>530</v>
      </c>
      <c r="K472" s="98" t="s">
        <v>586</v>
      </c>
      <c r="L472" s="96"/>
      <c r="M472" s="110" t="s">
        <v>1707</v>
      </c>
      <c r="N472" s="117" t="s">
        <v>1708</v>
      </c>
      <c r="O472" s="110"/>
      <c r="P472" s="110" t="s">
        <v>590</v>
      </c>
      <c r="Q472" s="118" t="n">
        <v>0.21</v>
      </c>
      <c r="R472" s="110" t="n">
        <v>1</v>
      </c>
      <c r="S472" s="110" t="s">
        <v>632</v>
      </c>
      <c r="T472" s="110" t="s">
        <v>530</v>
      </c>
      <c r="U472" s="110" t="s">
        <v>1535</v>
      </c>
      <c r="V472" s="119"/>
      <c r="W472" s="119"/>
      <c r="X472" s="110" t="s">
        <v>1555</v>
      </c>
      <c r="Y472" s="110"/>
      <c r="Z472" s="110"/>
      <c r="AA472" s="110"/>
      <c r="AB472" s="110" t="s">
        <v>333</v>
      </c>
      <c r="AC472" s="110" t="s">
        <v>538</v>
      </c>
      <c r="AD472" s="110" t="n">
        <f aca="false">IF(OR(F472="",Q472="",R472=""),"",ROUND(IF(P472="incl.",F472/(1+Q472),F472)/IF(S472="per pack",R472,1),2))</f>
        <v>75</v>
      </c>
      <c r="AE472" s="110" t="str">
        <f aca="false">IF(AND(AC472="yes",ISNUMBER(F472),IF(Compare!$H$5="All mapped",TRUE(),IF(Compare!$H$5="EXACT only",J472="EXACT",OR(J472="EXACT",J472="CLOSE")))),"yes","no")</f>
        <v>yes</v>
      </c>
      <c r="AF472" s="110" t="n">
        <f aca="false">IF(ISNUMBER(H472),COUNTIFS($B$7:$B$3000,B472,$C$7:$C$3000,C472,$H$7:$H$3000,"&lt;"&amp;H472,$AH$7:$AH$3000,"yes")+COUNTIFS($B$7:B472,B472,$C$7:C472,C472,$H$7:H472,H472,$AH$7:AH472,"yes"),"")</f>
        <v>4</v>
      </c>
      <c r="AG472" s="110" t="n">
        <f aca="false">IF(ISNUMBER(I472),COUNTIFS($B$7:$B$3000,B472,$C$7:$C$3000,C472,$I$7:$I$3000,"&lt;"&amp;I472,$AI$7:$AI$3000,"yes")+COUNTIFS($B$7:B472,B472,$C$7:C472,C472,$I$7:I472,I472,$AI$7:AI472,"yes"),"")</f>
        <v>4</v>
      </c>
      <c r="AH472" s="110" t="str">
        <f aca="false">IF(ISNUMBER(H472),"yes","no")</f>
        <v>yes</v>
      </c>
      <c r="AI472" s="110" t="str">
        <f aca="false">IF(ISNUMBER(I472),"yes","no")</f>
        <v>yes</v>
      </c>
      <c r="AJ472" s="120" t="n">
        <v>46295</v>
      </c>
      <c r="AK472" s="110"/>
    </row>
    <row r="473" customFormat="false" ht="42" hidden="false" customHeight="true" outlineLevel="0" collapsed="false">
      <c r="A473" s="3"/>
      <c r="B473" s="31" t="s">
        <v>49</v>
      </c>
      <c r="C473" s="91" t="s">
        <v>17</v>
      </c>
      <c r="D473" s="91" t="s">
        <v>342</v>
      </c>
      <c r="E473" s="109" t="s">
        <v>1709</v>
      </c>
      <c r="F473" s="92" t="n">
        <v>57</v>
      </c>
      <c r="G473" s="91" t="s">
        <v>333</v>
      </c>
      <c r="H473" s="112" t="n">
        <f aca="false">IF(AND(AE473="yes",ISNUMBER(AD473)),AD473,"")</f>
        <v>47.11</v>
      </c>
      <c r="I473" s="95" t="n">
        <f aca="false">IF(AND(AE473="yes",ISNUMBER(AD473),ISNUMBER(INDEX(Sources!$G$7:$G$10,MATCH(AB473,Sources!$B$7:$B$10,0)))),ROUND(AD473/INDEX(Sources!$G$7:$G$10,MATCH(AB473,Sources!$B$7:$B$10,0)),6),"")</f>
        <v>1.928871</v>
      </c>
      <c r="J473" s="91" t="s">
        <v>530</v>
      </c>
      <c r="K473" s="91" t="s">
        <v>586</v>
      </c>
      <c r="L473" s="96"/>
      <c r="M473" s="109" t="s">
        <v>1710</v>
      </c>
      <c r="N473" s="113" t="s">
        <v>1711</v>
      </c>
      <c r="O473" s="109" t="s">
        <v>733</v>
      </c>
      <c r="P473" s="109" t="s">
        <v>265</v>
      </c>
      <c r="Q473" s="114" t="n">
        <v>0.21</v>
      </c>
      <c r="R473" s="109" t="n">
        <v>1</v>
      </c>
      <c r="S473" s="109" t="s">
        <v>632</v>
      </c>
      <c r="T473" s="109" t="s">
        <v>530</v>
      </c>
      <c r="U473" s="109" t="s">
        <v>1535</v>
      </c>
      <c r="V473" s="115"/>
      <c r="W473" s="115"/>
      <c r="X473" s="109" t="s">
        <v>1555</v>
      </c>
      <c r="Y473" s="109"/>
      <c r="Z473" s="109"/>
      <c r="AA473" s="109"/>
      <c r="AB473" s="109" t="s">
        <v>333</v>
      </c>
      <c r="AC473" s="109" t="s">
        <v>538</v>
      </c>
      <c r="AD473" s="109" t="n">
        <f aca="false">IF(OR(F473="",Q473="",R473=""),"",ROUND(IF(P473="incl.",F473/(1+Q473),F473)/IF(S473="per pack",R473,1),2))</f>
        <v>47.11</v>
      </c>
      <c r="AE473" s="109" t="str">
        <f aca="false">IF(AND(AC473="yes",ISNUMBER(F473),IF(Compare!$H$5="All mapped",TRUE(),IF(Compare!$H$5="EXACT only",J473="EXACT",OR(J473="EXACT",J473="CLOSE")))),"yes","no")</f>
        <v>yes</v>
      </c>
      <c r="AF473" s="109" t="n">
        <f aca="false">IF(ISNUMBER(H473),COUNTIFS($B$7:$B$3000,B473,$C$7:$C$3000,C473,$H$7:$H$3000,"&lt;"&amp;H473,$AH$7:$AH$3000,"yes")+COUNTIFS($B$7:B473,B473,$C$7:C473,C473,$H$7:H473,H473,$AH$7:AH473,"yes"),"")</f>
        <v>2</v>
      </c>
      <c r="AG473" s="109" t="n">
        <f aca="false">IF(ISNUMBER(I473),COUNTIFS($B$7:$B$3000,B473,$C$7:$C$3000,C473,$I$7:$I$3000,"&lt;"&amp;I473,$AI$7:$AI$3000,"yes")+COUNTIFS($B$7:B473,B473,$C$7:C473,C473,$I$7:I473,I473,$AI$7:AI473,"yes"),"")</f>
        <v>2</v>
      </c>
      <c r="AH473" s="109" t="str">
        <f aca="false">IF(ISNUMBER(H473),"yes","no")</f>
        <v>yes</v>
      </c>
      <c r="AI473" s="109" t="str">
        <f aca="false">IF(ISNUMBER(I473),"yes","no")</f>
        <v>yes</v>
      </c>
      <c r="AJ473" s="116" t="n">
        <v>46295</v>
      </c>
      <c r="AK473" s="109"/>
    </row>
    <row r="474" customFormat="false" ht="42" hidden="false" customHeight="true" outlineLevel="0" collapsed="false">
      <c r="A474" s="3"/>
      <c r="B474" s="36" t="s">
        <v>49</v>
      </c>
      <c r="C474" s="98" t="s">
        <v>17</v>
      </c>
      <c r="D474" s="98" t="s">
        <v>346</v>
      </c>
      <c r="E474" s="110" t="s">
        <v>1712</v>
      </c>
      <c r="F474" s="99" t="n">
        <v>130</v>
      </c>
      <c r="G474" s="98" t="s">
        <v>333</v>
      </c>
      <c r="H474" s="112" t="n">
        <f aca="false">IF(AND(AE474="yes",ISNUMBER(AD474)),AD474,"")</f>
        <v>107.44</v>
      </c>
      <c r="I474" s="95" t="n">
        <f aca="false">IF(AND(AE474="yes",ISNUMBER(AD474),ISNUMBER(INDEX(Sources!$G$7:$G$10,MATCH(AB474,Sources!$B$7:$B$10,0)))),ROUND(AD474/INDEX(Sources!$G$7:$G$10,MATCH(AB474,Sources!$B$7:$B$10,0)),6),"")</f>
        <v>4.399021</v>
      </c>
      <c r="J474" s="98" t="s">
        <v>530</v>
      </c>
      <c r="K474" s="98" t="s">
        <v>586</v>
      </c>
      <c r="L474" s="96"/>
      <c r="M474" s="110" t="s">
        <v>1713</v>
      </c>
      <c r="N474" s="117" t="s">
        <v>1714</v>
      </c>
      <c r="O474" s="110" t="s">
        <v>731</v>
      </c>
      <c r="P474" s="110" t="s">
        <v>265</v>
      </c>
      <c r="Q474" s="118" t="n">
        <v>0.21</v>
      </c>
      <c r="R474" s="110" t="n">
        <v>1</v>
      </c>
      <c r="S474" s="110" t="s">
        <v>632</v>
      </c>
      <c r="T474" s="110" t="s">
        <v>530</v>
      </c>
      <c r="U474" s="110" t="s">
        <v>1535</v>
      </c>
      <c r="V474" s="119"/>
      <c r="W474" s="119"/>
      <c r="X474" s="110" t="s">
        <v>1555</v>
      </c>
      <c r="Y474" s="110"/>
      <c r="Z474" s="110"/>
      <c r="AA474" s="110"/>
      <c r="AB474" s="110" t="s">
        <v>333</v>
      </c>
      <c r="AC474" s="110" t="s">
        <v>538</v>
      </c>
      <c r="AD474" s="110" t="n">
        <f aca="false">IF(OR(F474="",Q474="",R474=""),"",ROUND(IF(P474="incl.",F474/(1+Q474),F474)/IF(S474="per pack",R474,1),2))</f>
        <v>107.44</v>
      </c>
      <c r="AE474" s="110" t="str">
        <f aca="false">IF(AND(AC474="yes",ISNUMBER(F474),IF(Compare!$H$5="All mapped",TRUE(),IF(Compare!$H$5="EXACT only",J474="EXACT",OR(J474="EXACT",J474="CLOSE")))),"yes","no")</f>
        <v>yes</v>
      </c>
      <c r="AF474" s="110" t="n">
        <f aca="false">IF(ISNUMBER(H474),COUNTIFS($B$7:$B$3000,B474,$C$7:$C$3000,C474,$H$7:$H$3000,"&lt;"&amp;H474,$AH$7:$AH$3000,"yes")+COUNTIFS($B$7:B474,B474,$C$7:C474,C474,$H$7:H474,H474,$AH$7:AH474,"yes"),"")</f>
        <v>8</v>
      </c>
      <c r="AG474" s="110" t="n">
        <f aca="false">IF(ISNUMBER(I474),COUNTIFS($B$7:$B$3000,B474,$C$7:$C$3000,C474,$I$7:$I$3000,"&lt;"&amp;I474,$AI$7:$AI$3000,"yes")+COUNTIFS($B$7:B474,B474,$C$7:C474,C474,$I$7:I474,I474,$AI$7:AI474,"yes"),"")</f>
        <v>8</v>
      </c>
      <c r="AH474" s="110" t="str">
        <f aca="false">IF(ISNUMBER(H474),"yes","no")</f>
        <v>yes</v>
      </c>
      <c r="AI474" s="110" t="str">
        <f aca="false">IF(ISNUMBER(I474),"yes","no")</f>
        <v>yes</v>
      </c>
      <c r="AJ474" s="120" t="n">
        <v>46295</v>
      </c>
      <c r="AK474" s="110"/>
    </row>
    <row r="475" customFormat="false" ht="42" hidden="false" customHeight="true" outlineLevel="0" collapsed="false">
      <c r="A475" s="3"/>
      <c r="B475" s="31" t="s">
        <v>49</v>
      </c>
      <c r="C475" s="91" t="s">
        <v>17</v>
      </c>
      <c r="D475" s="91" t="s">
        <v>361</v>
      </c>
      <c r="E475" s="109" t="s">
        <v>1715</v>
      </c>
      <c r="F475" s="92" t="n">
        <v>94</v>
      </c>
      <c r="G475" s="91" t="s">
        <v>333</v>
      </c>
      <c r="H475" s="112" t="n">
        <f aca="false">IF(AND(AE475="yes",ISNUMBER(AD475)),AD475,"")</f>
        <v>77.69</v>
      </c>
      <c r="I475" s="95" t="n">
        <f aca="false">IF(AND(AE475="yes",ISNUMBER(AD475),ISNUMBER(INDEX(Sources!$G$7:$G$10,MATCH(AB475,Sources!$B$7:$B$10,0)))),ROUND(AD475/INDEX(Sources!$G$7:$G$10,MATCH(AB475,Sources!$B$7:$B$10,0)),6),"")</f>
        <v>3.180938</v>
      </c>
      <c r="J475" s="91" t="s">
        <v>530</v>
      </c>
      <c r="K475" s="91" t="s">
        <v>586</v>
      </c>
      <c r="L475" s="96"/>
      <c r="M475" s="109" t="s">
        <v>1716</v>
      </c>
      <c r="N475" s="113" t="s">
        <v>1717</v>
      </c>
      <c r="O475" s="109" t="s">
        <v>642</v>
      </c>
      <c r="P475" s="109" t="s">
        <v>265</v>
      </c>
      <c r="Q475" s="114" t="n">
        <v>0.21</v>
      </c>
      <c r="R475" s="109" t="n">
        <v>1</v>
      </c>
      <c r="S475" s="109" t="s">
        <v>632</v>
      </c>
      <c r="T475" s="109" t="s">
        <v>530</v>
      </c>
      <c r="U475" s="109" t="s">
        <v>1535</v>
      </c>
      <c r="V475" s="115"/>
      <c r="W475" s="115"/>
      <c r="X475" s="109" t="s">
        <v>1555</v>
      </c>
      <c r="Y475" s="109"/>
      <c r="Z475" s="109"/>
      <c r="AA475" s="109"/>
      <c r="AB475" s="109" t="s">
        <v>333</v>
      </c>
      <c r="AC475" s="109" t="s">
        <v>538</v>
      </c>
      <c r="AD475" s="109" t="n">
        <f aca="false">IF(OR(F475="",Q475="",R475=""),"",ROUND(IF(P475="incl.",F475/(1+Q475),F475)/IF(S475="per pack",R475,1),2))</f>
        <v>77.69</v>
      </c>
      <c r="AE475" s="109" t="str">
        <f aca="false">IF(AND(AC475="yes",ISNUMBER(F475),IF(Compare!$H$5="All mapped",TRUE(),IF(Compare!$H$5="EXACT only",J475="EXACT",OR(J475="EXACT",J475="CLOSE")))),"yes","no")</f>
        <v>yes</v>
      </c>
      <c r="AF475" s="109" t="n">
        <f aca="false">IF(ISNUMBER(H475),COUNTIFS($B$7:$B$3000,B475,$C$7:$C$3000,C475,$H$7:$H$3000,"&lt;"&amp;H475,$AH$7:$AH$3000,"yes")+COUNTIFS($B$7:B475,B475,$C$7:C475,C475,$H$7:H475,H475,$AH$7:AH475,"yes"),"")</f>
        <v>5</v>
      </c>
      <c r="AG475" s="109" t="n">
        <f aca="false">IF(ISNUMBER(I475),COUNTIFS($B$7:$B$3000,B475,$C$7:$C$3000,C475,$I$7:$I$3000,"&lt;"&amp;I475,$AI$7:$AI$3000,"yes")+COUNTIFS($B$7:B475,B475,$C$7:C475,C475,$I$7:I475,I475,$AI$7:AI475,"yes"),"")</f>
        <v>5</v>
      </c>
      <c r="AH475" s="109" t="str">
        <f aca="false">IF(ISNUMBER(H475),"yes","no")</f>
        <v>yes</v>
      </c>
      <c r="AI475" s="109" t="str">
        <f aca="false">IF(ISNUMBER(I475),"yes","no")</f>
        <v>yes</v>
      </c>
      <c r="AJ475" s="116" t="n">
        <v>46295</v>
      </c>
      <c r="AK475" s="109"/>
    </row>
    <row r="476" customFormat="false" ht="42" hidden="false" customHeight="true" outlineLevel="0" collapsed="false">
      <c r="A476" s="3"/>
      <c r="B476" s="36" t="s">
        <v>51</v>
      </c>
      <c r="C476" s="98" t="s">
        <v>15</v>
      </c>
      <c r="D476" s="98" t="s">
        <v>277</v>
      </c>
      <c r="E476" s="110" t="s">
        <v>1718</v>
      </c>
      <c r="F476" s="99" t="n">
        <v>41.99</v>
      </c>
      <c r="G476" s="98" t="s">
        <v>244</v>
      </c>
      <c r="H476" s="112" t="n">
        <f aca="false">IF(AND(AE476="yes",ISNUMBER(AD476)),AD476,"")</f>
        <v>3.5</v>
      </c>
      <c r="I476" s="95" t="n">
        <f aca="false">IF(AND(AE476="yes",ISNUMBER(AD476),ISNUMBER(INDEX(Sources!$G$7:$G$10,MATCH(AB476,Sources!$B$7:$B$10,0)))),ROUND(AD476/INDEX(Sources!$G$7:$G$10,MATCH(AB476,Sources!$B$7:$B$10,0)),6),"")</f>
        <v>3.5</v>
      </c>
      <c r="J476" s="98" t="s">
        <v>530</v>
      </c>
      <c r="K476" s="98" t="s">
        <v>586</v>
      </c>
      <c r="L476" s="96"/>
      <c r="M476" s="110"/>
      <c r="N476" s="117" t="s">
        <v>1719</v>
      </c>
      <c r="O476" s="110" t="s">
        <v>610</v>
      </c>
      <c r="P476" s="110" t="s">
        <v>590</v>
      </c>
      <c r="Q476" s="118"/>
      <c r="R476" s="110" t="n">
        <v>12</v>
      </c>
      <c r="S476" s="110" t="s">
        <v>754</v>
      </c>
      <c r="T476" s="110" t="s">
        <v>530</v>
      </c>
      <c r="U476" s="110" t="s">
        <v>1535</v>
      </c>
      <c r="V476" s="119" t="n">
        <v>3.5</v>
      </c>
      <c r="W476" s="119"/>
      <c r="X476" s="110" t="s">
        <v>1536</v>
      </c>
      <c r="Y476" s="110"/>
      <c r="Z476" s="110"/>
      <c r="AA476" s="110"/>
      <c r="AB476" s="110" t="s">
        <v>244</v>
      </c>
      <c r="AC476" s="110" t="s">
        <v>538</v>
      </c>
      <c r="AD476" s="110" t="n">
        <f aca="false">IF(ISNUMBER(V476),ROUND(V476,6),"")</f>
        <v>3.5</v>
      </c>
      <c r="AE476" s="110" t="str">
        <f aca="false">IF(AND(AC476="yes",ISNUMBER(F476),IF(Compare!$H$5="All mapped",TRUE(),IF(Compare!$H$5="EXACT only",J476="EXACT",OR(J476="EXACT",J476="CLOSE")))),"yes","no")</f>
        <v>yes</v>
      </c>
      <c r="AF476" s="110" t="n">
        <f aca="false">IF(ISNUMBER(H476),COUNTIFS($B$7:$B$3000,B476,$C$7:$C$3000,C476,$H$7:$H$3000,"&lt;"&amp;H476,$AH$7:$AH$3000,"yes")+COUNTIFS($B$7:B476,B476,$C$7:C476,C476,$H$7:H476,H476,$AH$7:AH476,"yes"),"")</f>
        <v>5</v>
      </c>
      <c r="AG476" s="110" t="n">
        <f aca="false">IF(ISNUMBER(I476),COUNTIFS($B$7:$B$3000,B476,$C$7:$C$3000,C476,$I$7:$I$3000,"&lt;"&amp;I476,$AI$7:$AI$3000,"yes")+COUNTIFS($B$7:B476,B476,$C$7:C476,C476,$I$7:I476,I476,$AI$7:AI476,"yes"),"")</f>
        <v>5</v>
      </c>
      <c r="AH476" s="110" t="str">
        <f aca="false">IF(ISNUMBER(H476),"yes","no")</f>
        <v>yes</v>
      </c>
      <c r="AI476" s="110" t="str">
        <f aca="false">IF(ISNUMBER(I476),"yes","no")</f>
        <v>yes</v>
      </c>
      <c r="AJ476" s="120" t="n">
        <v>46295</v>
      </c>
      <c r="AK476" s="110"/>
    </row>
    <row r="477" customFormat="false" ht="42" hidden="false" customHeight="true" outlineLevel="0" collapsed="false">
      <c r="A477" s="3"/>
      <c r="B477" s="31" t="s">
        <v>51</v>
      </c>
      <c r="C477" s="91" t="s">
        <v>15</v>
      </c>
      <c r="D477" s="91" t="s">
        <v>257</v>
      </c>
      <c r="E477" s="109" t="s">
        <v>1720</v>
      </c>
      <c r="F477" s="92" t="n">
        <v>2.3</v>
      </c>
      <c r="G477" s="91" t="s">
        <v>244</v>
      </c>
      <c r="H477" s="112" t="n">
        <f aca="false">IF(AND(AE477="yes",ISNUMBER(AD477)),AD477,"")</f>
        <v>2.3</v>
      </c>
      <c r="I477" s="95" t="n">
        <f aca="false">IF(AND(AE477="yes",ISNUMBER(AD477),ISNUMBER(INDEX(Sources!$G$7:$G$10,MATCH(AB477,Sources!$B$7:$B$10,0)))),ROUND(AD477/INDEX(Sources!$G$7:$G$10,MATCH(AB477,Sources!$B$7:$B$10,0)),6),"")</f>
        <v>2.3</v>
      </c>
      <c r="J477" s="91" t="s">
        <v>530</v>
      </c>
      <c r="K477" s="91" t="s">
        <v>586</v>
      </c>
      <c r="L477" s="96"/>
      <c r="M477" s="109"/>
      <c r="N477" s="113" t="s">
        <v>1721</v>
      </c>
      <c r="O477" s="109" t="s">
        <v>388</v>
      </c>
      <c r="P477" s="109" t="s">
        <v>590</v>
      </c>
      <c r="Q477" s="114"/>
      <c r="R477" s="109" t="n">
        <v>1</v>
      </c>
      <c r="S477" s="109"/>
      <c r="T477" s="109" t="s">
        <v>530</v>
      </c>
      <c r="U477" s="109" t="s">
        <v>1535</v>
      </c>
      <c r="V477" s="115" t="n">
        <v>2.3</v>
      </c>
      <c r="W477" s="115"/>
      <c r="X477" s="109" t="s">
        <v>1536</v>
      </c>
      <c r="Y477" s="109"/>
      <c r="Z477" s="109"/>
      <c r="AA477" s="109"/>
      <c r="AB477" s="109" t="s">
        <v>244</v>
      </c>
      <c r="AC477" s="109" t="s">
        <v>538</v>
      </c>
      <c r="AD477" s="109" t="n">
        <f aca="false">IF(ISNUMBER(V477),ROUND(V477,6),"")</f>
        <v>2.3</v>
      </c>
      <c r="AE477" s="109" t="str">
        <f aca="false">IF(AND(AC477="yes",ISNUMBER(F477),IF(Compare!$H$5="All mapped",TRUE(),IF(Compare!$H$5="EXACT only",J477="EXACT",OR(J477="EXACT",J477="CLOSE")))),"yes","no")</f>
        <v>yes</v>
      </c>
      <c r="AF477" s="109" t="n">
        <f aca="false">IF(ISNUMBER(H477),COUNTIFS($B$7:$B$3000,B477,$C$7:$C$3000,C477,$H$7:$H$3000,"&lt;"&amp;H477,$AH$7:$AH$3000,"yes")+COUNTIFS($B$7:B477,B477,$C$7:C477,C477,$H$7:H477,H477,$AH$7:AH477,"yes"),"")</f>
        <v>2</v>
      </c>
      <c r="AG477" s="109" t="n">
        <f aca="false">IF(ISNUMBER(I477),COUNTIFS($B$7:$B$3000,B477,$C$7:$C$3000,C477,$I$7:$I$3000,"&lt;"&amp;I477,$AI$7:$AI$3000,"yes")+COUNTIFS($B$7:B477,B477,$C$7:C477,C477,$I$7:I477,I477,$AI$7:AI477,"yes"),"")</f>
        <v>2</v>
      </c>
      <c r="AH477" s="109" t="str">
        <f aca="false">IF(ISNUMBER(H477),"yes","no")</f>
        <v>yes</v>
      </c>
      <c r="AI477" s="109" t="str">
        <f aca="false">IF(ISNUMBER(I477),"yes","no")</f>
        <v>yes</v>
      </c>
      <c r="AJ477" s="116" t="n">
        <v>46295</v>
      </c>
      <c r="AK477" s="109"/>
    </row>
    <row r="478" customFormat="false" ht="42" hidden="false" customHeight="true" outlineLevel="0" collapsed="false">
      <c r="A478" s="3"/>
      <c r="B478" s="36" t="s">
        <v>51</v>
      </c>
      <c r="C478" s="98" t="s">
        <v>15</v>
      </c>
      <c r="D478" s="98" t="s">
        <v>269</v>
      </c>
      <c r="E478" s="110" t="s">
        <v>1722</v>
      </c>
      <c r="F478" s="99" t="n">
        <v>5.59</v>
      </c>
      <c r="G478" s="98" t="s">
        <v>244</v>
      </c>
      <c r="H478" s="112" t="n">
        <f aca="false">IF(AND(AE478="yes",ISNUMBER(AD478)),AD478,"")</f>
        <v>5.59</v>
      </c>
      <c r="I478" s="95" t="n">
        <f aca="false">IF(AND(AE478="yes",ISNUMBER(AD478),ISNUMBER(INDEX(Sources!$G$7:$G$10,MATCH(AB478,Sources!$B$7:$B$10,0)))),ROUND(AD478/INDEX(Sources!$G$7:$G$10,MATCH(AB478,Sources!$B$7:$B$10,0)),6),"")</f>
        <v>5.59</v>
      </c>
      <c r="J478" s="98" t="s">
        <v>702</v>
      </c>
      <c r="K478" s="98" t="s">
        <v>586</v>
      </c>
      <c r="L478" s="96"/>
      <c r="M478" s="110" t="s">
        <v>1542</v>
      </c>
      <c r="N478" s="117" t="s">
        <v>1723</v>
      </c>
      <c r="O478" s="110" t="s">
        <v>388</v>
      </c>
      <c r="P478" s="110" t="s">
        <v>590</v>
      </c>
      <c r="Q478" s="118"/>
      <c r="R478" s="110" t="n">
        <v>1</v>
      </c>
      <c r="S478" s="110"/>
      <c r="T478" s="110" t="s">
        <v>702</v>
      </c>
      <c r="U478" s="110" t="s">
        <v>1535</v>
      </c>
      <c r="V478" s="119" t="n">
        <v>5.59</v>
      </c>
      <c r="W478" s="119"/>
      <c r="X478" s="110" t="s">
        <v>1536</v>
      </c>
      <c r="Y478" s="110"/>
      <c r="Z478" s="110"/>
      <c r="AA478" s="110"/>
      <c r="AB478" s="110" t="s">
        <v>244</v>
      </c>
      <c r="AC478" s="110" t="s">
        <v>538</v>
      </c>
      <c r="AD478" s="110" t="n">
        <f aca="false">IF(ISNUMBER(V478),ROUND(V478,6),"")</f>
        <v>5.59</v>
      </c>
      <c r="AE478" s="110" t="str">
        <f aca="false">IF(AND(AC478="yes",ISNUMBER(F478),IF(Compare!$H$5="All mapped",TRUE(),IF(Compare!$H$5="EXACT only",J478="EXACT",OR(J478="EXACT",J478="CLOSE")))),"yes","no")</f>
        <v>yes</v>
      </c>
      <c r="AF478" s="110" t="n">
        <f aca="false">IF(ISNUMBER(H478),COUNTIFS($B$7:$B$3000,B478,$C$7:$C$3000,C478,$H$7:$H$3000,"&lt;"&amp;H478,$AH$7:$AH$3000,"yes")+COUNTIFS($B$7:B478,B478,$C$7:C478,C478,$H$7:H478,H478,$AH$7:AH478,"yes"),"")</f>
        <v>7</v>
      </c>
      <c r="AG478" s="110" t="n">
        <f aca="false">IF(ISNUMBER(I478),COUNTIFS($B$7:$B$3000,B478,$C$7:$C$3000,C478,$I$7:$I$3000,"&lt;"&amp;I478,$AI$7:$AI$3000,"yes")+COUNTIFS($B$7:B478,B478,$C$7:C478,C478,$I$7:I478,I478,$AI$7:AI478,"yes"),"")</f>
        <v>7</v>
      </c>
      <c r="AH478" s="110" t="str">
        <f aca="false">IF(ISNUMBER(H478),"yes","no")</f>
        <v>yes</v>
      </c>
      <c r="AI478" s="110" t="str">
        <f aca="false">IF(ISNUMBER(I478),"yes","no")</f>
        <v>yes</v>
      </c>
      <c r="AJ478" s="120" t="n">
        <v>46295</v>
      </c>
      <c r="AK478" s="110"/>
    </row>
    <row r="479" customFormat="false" ht="42" hidden="false" customHeight="true" outlineLevel="0" collapsed="false">
      <c r="A479" s="3"/>
      <c r="B479" s="31" t="s">
        <v>51</v>
      </c>
      <c r="C479" s="91" t="s">
        <v>15</v>
      </c>
      <c r="D479" s="91" t="s">
        <v>264</v>
      </c>
      <c r="E479" s="109" t="s">
        <v>1724</v>
      </c>
      <c r="F479" s="92" t="n">
        <v>14.64</v>
      </c>
      <c r="G479" s="91" t="s">
        <v>244</v>
      </c>
      <c r="H479" s="112" t="n">
        <f aca="false">IF(AND(AE479="yes",ISNUMBER(AD479)),AD479,"")</f>
        <v>14.64</v>
      </c>
      <c r="I479" s="95" t="n">
        <f aca="false">IF(AND(AE479="yes",ISNUMBER(AD479),ISNUMBER(INDEX(Sources!$G$7:$G$10,MATCH(AB479,Sources!$B$7:$B$10,0)))),ROUND(AD479/INDEX(Sources!$G$7:$G$10,MATCH(AB479,Sources!$B$7:$B$10,0)),6),"")</f>
        <v>14.64</v>
      </c>
      <c r="J479" s="91" t="s">
        <v>530</v>
      </c>
      <c r="K479" s="91" t="s">
        <v>586</v>
      </c>
      <c r="L479" s="96"/>
      <c r="M479" s="109" t="s">
        <v>1725</v>
      </c>
      <c r="N479" s="113" t="s">
        <v>1726</v>
      </c>
      <c r="O479" s="109" t="s">
        <v>388</v>
      </c>
      <c r="P479" s="109" t="s">
        <v>590</v>
      </c>
      <c r="Q479" s="114"/>
      <c r="R479" s="109" t="n">
        <v>1</v>
      </c>
      <c r="S479" s="109"/>
      <c r="T479" s="109" t="s">
        <v>530</v>
      </c>
      <c r="U479" s="109" t="s">
        <v>1535</v>
      </c>
      <c r="V479" s="115" t="n">
        <v>14.64</v>
      </c>
      <c r="W479" s="115"/>
      <c r="X479" s="109" t="s">
        <v>1536</v>
      </c>
      <c r="Y479" s="109"/>
      <c r="Z479" s="109"/>
      <c r="AA479" s="109"/>
      <c r="AB479" s="109" t="s">
        <v>244</v>
      </c>
      <c r="AC479" s="109" t="s">
        <v>538</v>
      </c>
      <c r="AD479" s="109" t="n">
        <f aca="false">IF(ISNUMBER(V479),ROUND(V479,6),"")</f>
        <v>14.64</v>
      </c>
      <c r="AE479" s="109" t="str">
        <f aca="false">IF(AND(AC479="yes",ISNUMBER(F479),IF(Compare!$H$5="All mapped",TRUE(),IF(Compare!$H$5="EXACT only",J479="EXACT",OR(J479="EXACT",J479="CLOSE")))),"yes","no")</f>
        <v>yes</v>
      </c>
      <c r="AF479" s="109" t="n">
        <f aca="false">IF(ISNUMBER(H479),COUNTIFS($B$7:$B$3000,B479,$C$7:$C$3000,C479,$H$7:$H$3000,"&lt;"&amp;H479,$AH$7:$AH$3000,"yes")+COUNTIFS($B$7:B479,B479,$C$7:C479,C479,$H$7:H479,H479,$AH$7:AH479,"yes"),"")</f>
        <v>8</v>
      </c>
      <c r="AG479" s="109" t="n">
        <f aca="false">IF(ISNUMBER(I479),COUNTIFS($B$7:$B$3000,B479,$C$7:$C$3000,C479,$I$7:$I$3000,"&lt;"&amp;I479,$AI$7:$AI$3000,"yes")+COUNTIFS($B$7:B479,B479,$C$7:C479,C479,$I$7:I479,I479,$AI$7:AI479,"yes"),"")</f>
        <v>8</v>
      </c>
      <c r="AH479" s="109" t="str">
        <f aca="false">IF(ISNUMBER(H479),"yes","no")</f>
        <v>yes</v>
      </c>
      <c r="AI479" s="109" t="str">
        <f aca="false">IF(ISNUMBER(I479),"yes","no")</f>
        <v>yes</v>
      </c>
      <c r="AJ479" s="116" t="n">
        <v>46295</v>
      </c>
      <c r="AK479" s="109"/>
    </row>
    <row r="480" customFormat="false" ht="42" hidden="false" customHeight="true" outlineLevel="0" collapsed="false">
      <c r="A480" s="3"/>
      <c r="B480" s="36" t="s">
        <v>51</v>
      </c>
      <c r="C480" s="98" t="s">
        <v>15</v>
      </c>
      <c r="D480" s="98" t="s">
        <v>281</v>
      </c>
      <c r="E480" s="110" t="s">
        <v>1727</v>
      </c>
      <c r="F480" s="99" t="n">
        <v>3.58</v>
      </c>
      <c r="G480" s="98" t="s">
        <v>244</v>
      </c>
      <c r="H480" s="112" t="n">
        <f aca="false">IF(AND(AE480="yes",ISNUMBER(AD480)),AD480,"")</f>
        <v>3.58</v>
      </c>
      <c r="I480" s="95" t="n">
        <f aca="false">IF(AND(AE480="yes",ISNUMBER(AD480),ISNUMBER(INDEX(Sources!$G$7:$G$10,MATCH(AB480,Sources!$B$7:$B$10,0)))),ROUND(AD480/INDEX(Sources!$G$7:$G$10,MATCH(AB480,Sources!$B$7:$B$10,0)),6),"")</f>
        <v>3.58</v>
      </c>
      <c r="J480" s="98" t="s">
        <v>530</v>
      </c>
      <c r="K480" s="98" t="s">
        <v>586</v>
      </c>
      <c r="L480" s="96"/>
      <c r="M480" s="110" t="s">
        <v>1728</v>
      </c>
      <c r="N480" s="117" t="s">
        <v>1729</v>
      </c>
      <c r="O480" s="110" t="s">
        <v>642</v>
      </c>
      <c r="P480" s="110" t="s">
        <v>590</v>
      </c>
      <c r="Q480" s="118"/>
      <c r="R480" s="110" t="n">
        <v>1</v>
      </c>
      <c r="S480" s="110"/>
      <c r="T480" s="110" t="s">
        <v>530</v>
      </c>
      <c r="U480" s="110" t="s">
        <v>1535</v>
      </c>
      <c r="V480" s="119" t="n">
        <v>3.58</v>
      </c>
      <c r="W480" s="119"/>
      <c r="X480" s="110" t="s">
        <v>1536</v>
      </c>
      <c r="Y480" s="110"/>
      <c r="Z480" s="110"/>
      <c r="AA480" s="110"/>
      <c r="AB480" s="110" t="s">
        <v>244</v>
      </c>
      <c r="AC480" s="110" t="s">
        <v>538</v>
      </c>
      <c r="AD480" s="110" t="n">
        <f aca="false">IF(ISNUMBER(V480),ROUND(V480,6),"")</f>
        <v>3.58</v>
      </c>
      <c r="AE480" s="110" t="str">
        <f aca="false">IF(AND(AC480="yes",ISNUMBER(F480),IF(Compare!$H$5="All mapped",TRUE(),IF(Compare!$H$5="EXACT only",J480="EXACT",OR(J480="EXACT",J480="CLOSE")))),"yes","no")</f>
        <v>yes</v>
      </c>
      <c r="AF480" s="110" t="n">
        <f aca="false">IF(ISNUMBER(H480),COUNTIFS($B$7:$B$3000,B480,$C$7:$C$3000,C480,$H$7:$H$3000,"&lt;"&amp;H480,$AH$7:$AH$3000,"yes")+COUNTIFS($B$7:B480,B480,$C$7:C480,C480,$H$7:H480,H480,$AH$7:AH480,"yes"),"")</f>
        <v>6</v>
      </c>
      <c r="AG480" s="110" t="n">
        <f aca="false">IF(ISNUMBER(I480),COUNTIFS($B$7:$B$3000,B480,$C$7:$C$3000,C480,$I$7:$I$3000,"&lt;"&amp;I480,$AI$7:$AI$3000,"yes")+COUNTIFS($B$7:B480,B480,$C$7:C480,C480,$I$7:I480,I480,$AI$7:AI480,"yes"),"")</f>
        <v>6</v>
      </c>
      <c r="AH480" s="110" t="str">
        <f aca="false">IF(ISNUMBER(H480),"yes","no")</f>
        <v>yes</v>
      </c>
      <c r="AI480" s="110" t="str">
        <f aca="false">IF(ISNUMBER(I480),"yes","no")</f>
        <v>yes</v>
      </c>
      <c r="AJ480" s="120" t="n">
        <v>46295</v>
      </c>
      <c r="AK480" s="110"/>
    </row>
    <row r="481" customFormat="false" ht="42" hidden="false" customHeight="true" outlineLevel="0" collapsed="false">
      <c r="A481" s="3"/>
      <c r="B481" s="31" t="s">
        <v>51</v>
      </c>
      <c r="C481" s="91" t="s">
        <v>15</v>
      </c>
      <c r="D481" s="91" t="s">
        <v>285</v>
      </c>
      <c r="E481" s="109" t="s">
        <v>1730</v>
      </c>
      <c r="F481" s="92" t="n">
        <v>17.5</v>
      </c>
      <c r="G481" s="91" t="s">
        <v>244</v>
      </c>
      <c r="H481" s="112" t="n">
        <f aca="false">IF(AND(AE481="yes",ISNUMBER(AD481)),AD481,"")</f>
        <v>17.5</v>
      </c>
      <c r="I481" s="95" t="n">
        <f aca="false">IF(AND(AE481="yes",ISNUMBER(AD481),ISNUMBER(INDEX(Sources!$G$7:$G$10,MATCH(AB481,Sources!$B$7:$B$10,0)))),ROUND(AD481/INDEX(Sources!$G$7:$G$10,MATCH(AB481,Sources!$B$7:$B$10,0)),6),"")</f>
        <v>17.5</v>
      </c>
      <c r="J481" s="91" t="s">
        <v>702</v>
      </c>
      <c r="K481" s="91" t="s">
        <v>586</v>
      </c>
      <c r="L481" s="96"/>
      <c r="M481" s="109" t="s">
        <v>1731</v>
      </c>
      <c r="N481" s="113" t="s">
        <v>1732</v>
      </c>
      <c r="O481" s="109" t="s">
        <v>685</v>
      </c>
      <c r="P481" s="109" t="s">
        <v>590</v>
      </c>
      <c r="Q481" s="114"/>
      <c r="R481" s="109" t="n">
        <v>1</v>
      </c>
      <c r="S481" s="109"/>
      <c r="T481" s="109" t="s">
        <v>702</v>
      </c>
      <c r="U481" s="109" t="s">
        <v>1535</v>
      </c>
      <c r="V481" s="115" t="n">
        <v>17.5</v>
      </c>
      <c r="W481" s="115"/>
      <c r="X481" s="109" t="s">
        <v>1536</v>
      </c>
      <c r="Y481" s="109"/>
      <c r="Z481" s="109"/>
      <c r="AA481" s="109"/>
      <c r="AB481" s="109" t="s">
        <v>244</v>
      </c>
      <c r="AC481" s="109" t="s">
        <v>538</v>
      </c>
      <c r="AD481" s="109" t="n">
        <f aca="false">IF(ISNUMBER(V481),ROUND(V481,6),"")</f>
        <v>17.5</v>
      </c>
      <c r="AE481" s="109" t="str">
        <f aca="false">IF(AND(AC481="yes",ISNUMBER(F481),IF(Compare!$H$5="All mapped",TRUE(),IF(Compare!$H$5="EXACT only",J481="EXACT",OR(J481="EXACT",J481="CLOSE")))),"yes","no")</f>
        <v>yes</v>
      </c>
      <c r="AF481" s="109" t="n">
        <f aca="false">IF(ISNUMBER(H481),COUNTIFS($B$7:$B$3000,B481,$C$7:$C$3000,C481,$H$7:$H$3000,"&lt;"&amp;H481,$AH$7:$AH$3000,"yes")+COUNTIFS($B$7:B481,B481,$C$7:C481,C481,$H$7:H481,H481,$AH$7:AH481,"yes"),"")</f>
        <v>9</v>
      </c>
      <c r="AG481" s="109" t="n">
        <f aca="false">IF(ISNUMBER(I481),COUNTIFS($B$7:$B$3000,B481,$C$7:$C$3000,C481,$I$7:$I$3000,"&lt;"&amp;I481,$AI$7:$AI$3000,"yes")+COUNTIFS($B$7:B481,B481,$C$7:C481,C481,$I$7:I481,I481,$AI$7:AI481,"yes"),"")</f>
        <v>9</v>
      </c>
      <c r="AH481" s="109" t="str">
        <f aca="false">IF(ISNUMBER(H481),"yes","no")</f>
        <v>yes</v>
      </c>
      <c r="AI481" s="109" t="str">
        <f aca="false">IF(ISNUMBER(I481),"yes","no")</f>
        <v>yes</v>
      </c>
      <c r="AJ481" s="116" t="n">
        <v>46295</v>
      </c>
      <c r="AK481" s="109"/>
    </row>
    <row r="482" customFormat="false" ht="42" hidden="false" customHeight="true" outlineLevel="0" collapsed="false">
      <c r="A482" s="3"/>
      <c r="B482" s="36" t="s">
        <v>51</v>
      </c>
      <c r="C482" s="98" t="s">
        <v>15</v>
      </c>
      <c r="D482" s="98" t="s">
        <v>293</v>
      </c>
      <c r="E482" s="110" t="s">
        <v>1733</v>
      </c>
      <c r="F482" s="99" t="n">
        <v>2.1</v>
      </c>
      <c r="G482" s="98" t="s">
        <v>244</v>
      </c>
      <c r="H482" s="112" t="n">
        <f aca="false">IF(AND(AE482="yes",ISNUMBER(AD482)),AD482,"")</f>
        <v>2.1</v>
      </c>
      <c r="I482" s="95" t="n">
        <f aca="false">IF(AND(AE482="yes",ISNUMBER(AD482),ISNUMBER(INDEX(Sources!$G$7:$G$10,MATCH(AB482,Sources!$B$7:$B$10,0)))),ROUND(AD482/INDEX(Sources!$G$7:$G$10,MATCH(AB482,Sources!$B$7:$B$10,0)),6),"")</f>
        <v>2.1</v>
      </c>
      <c r="J482" s="98" t="s">
        <v>530</v>
      </c>
      <c r="K482" s="98" t="s">
        <v>586</v>
      </c>
      <c r="L482" s="96"/>
      <c r="M482" s="110" t="s">
        <v>1734</v>
      </c>
      <c r="N482" s="117" t="s">
        <v>1735</v>
      </c>
      <c r="O482" s="110" t="s">
        <v>589</v>
      </c>
      <c r="P482" s="110" t="s">
        <v>590</v>
      </c>
      <c r="Q482" s="118"/>
      <c r="R482" s="110" t="n">
        <v>1</v>
      </c>
      <c r="S482" s="110"/>
      <c r="T482" s="110" t="s">
        <v>530</v>
      </c>
      <c r="U482" s="110" t="s">
        <v>1535</v>
      </c>
      <c r="V482" s="119" t="n">
        <v>2.1</v>
      </c>
      <c r="W482" s="119"/>
      <c r="X482" s="110" t="s">
        <v>1536</v>
      </c>
      <c r="Y482" s="110"/>
      <c r="Z482" s="110"/>
      <c r="AA482" s="110"/>
      <c r="AB482" s="110" t="s">
        <v>244</v>
      </c>
      <c r="AC482" s="110" t="s">
        <v>538</v>
      </c>
      <c r="AD482" s="110" t="n">
        <f aca="false">IF(ISNUMBER(V482),ROUND(V482,6),"")</f>
        <v>2.1</v>
      </c>
      <c r="AE482" s="110" t="str">
        <f aca="false">IF(AND(AC482="yes",ISNUMBER(F482),IF(Compare!$H$5="All mapped",TRUE(),IF(Compare!$H$5="EXACT only",J482="EXACT",OR(J482="EXACT",J482="CLOSE")))),"yes","no")</f>
        <v>yes</v>
      </c>
      <c r="AF482" s="110" t="n">
        <f aca="false">IF(ISNUMBER(H482),COUNTIFS($B$7:$B$3000,B482,$C$7:$C$3000,C482,$H$7:$H$3000,"&lt;"&amp;H482,$AH$7:$AH$3000,"yes")+COUNTIFS($B$7:B482,B482,$C$7:C482,C482,$H$7:H482,H482,$AH$7:AH482,"yes"),"")</f>
        <v>1</v>
      </c>
      <c r="AG482" s="110" t="n">
        <f aca="false">IF(ISNUMBER(I482),COUNTIFS($B$7:$B$3000,B482,$C$7:$C$3000,C482,$I$7:$I$3000,"&lt;"&amp;I482,$AI$7:$AI$3000,"yes")+COUNTIFS($B$7:B482,B482,$C$7:C482,C482,$I$7:I482,I482,$AI$7:AI482,"yes"),"")</f>
        <v>1</v>
      </c>
      <c r="AH482" s="110" t="str">
        <f aca="false">IF(ISNUMBER(H482),"yes","no")</f>
        <v>yes</v>
      </c>
      <c r="AI482" s="110" t="str">
        <f aca="false">IF(ISNUMBER(I482),"yes","no")</f>
        <v>yes</v>
      </c>
      <c r="AJ482" s="120" t="n">
        <v>46295</v>
      </c>
      <c r="AK482" s="110"/>
    </row>
    <row r="483" customFormat="false" ht="42" hidden="false" customHeight="true" outlineLevel="0" collapsed="false">
      <c r="A483" s="3"/>
      <c r="B483" s="31" t="s">
        <v>51</v>
      </c>
      <c r="C483" s="91" t="s">
        <v>17</v>
      </c>
      <c r="D483" s="91" t="s">
        <v>354</v>
      </c>
      <c r="E483" s="109" t="s">
        <v>1736</v>
      </c>
      <c r="F483" s="92" t="n">
        <v>997.66</v>
      </c>
      <c r="G483" s="91" t="s">
        <v>333</v>
      </c>
      <c r="H483" s="112" t="n">
        <f aca="false">IF(AND(AE483="yes",ISNUMBER(AD483)),AD483,"")</f>
        <v>83.14</v>
      </c>
      <c r="I483" s="95" t="n">
        <f aca="false">IF(AND(AE483="yes",ISNUMBER(AD483),ISNUMBER(INDEX(Sources!$G$7:$G$10,MATCH(AB483,Sources!$B$7:$B$10,0)))),ROUND(AD483/INDEX(Sources!$G$7:$G$10,MATCH(AB483,Sources!$B$7:$B$10,0)),6),"")</f>
        <v>3.404082</v>
      </c>
      <c r="J483" s="91" t="s">
        <v>530</v>
      </c>
      <c r="K483" s="91" t="s">
        <v>586</v>
      </c>
      <c r="L483" s="96"/>
      <c r="M483" s="109"/>
      <c r="N483" s="113" t="s">
        <v>1737</v>
      </c>
      <c r="O483" s="109" t="s">
        <v>610</v>
      </c>
      <c r="P483" s="109" t="s">
        <v>590</v>
      </c>
      <c r="Q483" s="114" t="n">
        <v>0.19</v>
      </c>
      <c r="R483" s="109" t="n">
        <v>12</v>
      </c>
      <c r="S483" s="109" t="s">
        <v>625</v>
      </c>
      <c r="T483" s="109" t="s">
        <v>530</v>
      </c>
      <c r="U483" s="109" t="s">
        <v>1535</v>
      </c>
      <c r="V483" s="115"/>
      <c r="W483" s="115"/>
      <c r="X483" s="109" t="s">
        <v>1555</v>
      </c>
      <c r="Y483" s="109"/>
      <c r="Z483" s="109"/>
      <c r="AA483" s="109"/>
      <c r="AB483" s="109" t="s">
        <v>333</v>
      </c>
      <c r="AC483" s="109" t="s">
        <v>538</v>
      </c>
      <c r="AD483" s="109" t="n">
        <f aca="false">IF(OR(F483="",Q483="",R483=""),"",ROUND(IF(P483="incl.",F483/(1+Q483),F483)/IF(S483="per pack",R483,1),2))</f>
        <v>83.14</v>
      </c>
      <c r="AE483" s="109" t="str">
        <f aca="false">IF(AND(AC483="yes",ISNUMBER(F483),IF(Compare!$H$5="All mapped",TRUE(),IF(Compare!$H$5="EXACT only",J483="EXACT",OR(J483="EXACT",J483="CLOSE")))),"yes","no")</f>
        <v>yes</v>
      </c>
      <c r="AF483" s="109" t="n">
        <f aca="false">IF(ISNUMBER(H483),COUNTIFS($B$7:$B$3000,B483,$C$7:$C$3000,C483,$H$7:$H$3000,"&lt;"&amp;H483,$AH$7:$AH$3000,"yes")+COUNTIFS($B$7:B483,B483,$C$7:C483,C483,$H$7:H483,H483,$AH$7:AH483,"yes"),"")</f>
        <v>5</v>
      </c>
      <c r="AG483" s="109" t="n">
        <f aca="false">IF(ISNUMBER(I483),COUNTIFS($B$7:$B$3000,B483,$C$7:$C$3000,C483,$I$7:$I$3000,"&lt;"&amp;I483,$AI$7:$AI$3000,"yes")+COUNTIFS($B$7:B483,B483,$C$7:C483,C483,$I$7:I483,I483,$AI$7:AI483,"yes"),"")</f>
        <v>5</v>
      </c>
      <c r="AH483" s="109" t="str">
        <f aca="false">IF(ISNUMBER(H483),"yes","no")</f>
        <v>yes</v>
      </c>
      <c r="AI483" s="109" t="str">
        <f aca="false">IF(ISNUMBER(I483),"yes","no")</f>
        <v>yes</v>
      </c>
      <c r="AJ483" s="116" t="n">
        <v>46295</v>
      </c>
      <c r="AK483" s="109"/>
    </row>
    <row r="484" customFormat="false" ht="42" hidden="false" customHeight="true" outlineLevel="0" collapsed="false">
      <c r="A484" s="3"/>
      <c r="B484" s="36" t="s">
        <v>51</v>
      </c>
      <c r="C484" s="98" t="s">
        <v>17</v>
      </c>
      <c r="D484" s="98" t="s">
        <v>342</v>
      </c>
      <c r="E484" s="110" t="s">
        <v>1738</v>
      </c>
      <c r="F484" s="99" t="n">
        <v>83</v>
      </c>
      <c r="G484" s="98" t="s">
        <v>333</v>
      </c>
      <c r="H484" s="112" t="n">
        <f aca="false">IF(AND(AE484="yes",ISNUMBER(AD484)),AD484,"")</f>
        <v>68.6</v>
      </c>
      <c r="I484" s="95" t="n">
        <f aca="false">IF(AND(AE484="yes",ISNUMBER(AD484),ISNUMBER(INDEX(Sources!$G$7:$G$10,MATCH(AB484,Sources!$B$7:$B$10,0)))),ROUND(AD484/INDEX(Sources!$G$7:$G$10,MATCH(AB484,Sources!$B$7:$B$10,0)),6),"")</f>
        <v>2.808757</v>
      </c>
      <c r="J484" s="98" t="s">
        <v>530</v>
      </c>
      <c r="K484" s="98" t="s">
        <v>586</v>
      </c>
      <c r="L484" s="96"/>
      <c r="M484" s="110" t="s">
        <v>1739</v>
      </c>
      <c r="N484" s="117" t="s">
        <v>1740</v>
      </c>
      <c r="O484" s="110" t="s">
        <v>733</v>
      </c>
      <c r="P484" s="110" t="s">
        <v>265</v>
      </c>
      <c r="Q484" s="118" t="n">
        <v>0.21</v>
      </c>
      <c r="R484" s="110" t="n">
        <v>1</v>
      </c>
      <c r="S484" s="110" t="s">
        <v>632</v>
      </c>
      <c r="T484" s="110" t="s">
        <v>530</v>
      </c>
      <c r="U484" s="110" t="s">
        <v>1535</v>
      </c>
      <c r="V484" s="119"/>
      <c r="W484" s="119"/>
      <c r="X484" s="110" t="s">
        <v>1555</v>
      </c>
      <c r="Y484" s="110"/>
      <c r="Z484" s="110"/>
      <c r="AA484" s="110"/>
      <c r="AB484" s="110" t="s">
        <v>333</v>
      </c>
      <c r="AC484" s="110" t="s">
        <v>538</v>
      </c>
      <c r="AD484" s="110" t="n">
        <f aca="false">IF(OR(F484="",Q484="",R484=""),"",ROUND(IF(P484="incl.",F484/(1+Q484),F484)/IF(S484="per pack",R484,1),2))</f>
        <v>68.6</v>
      </c>
      <c r="AE484" s="110" t="str">
        <f aca="false">IF(AND(AC484="yes",ISNUMBER(F484),IF(Compare!$H$5="All mapped",TRUE(),IF(Compare!$H$5="EXACT only",J484="EXACT",OR(J484="EXACT",J484="CLOSE")))),"yes","no")</f>
        <v>yes</v>
      </c>
      <c r="AF484" s="110" t="n">
        <f aca="false">IF(ISNUMBER(H484),COUNTIFS($B$7:$B$3000,B484,$C$7:$C$3000,C484,$H$7:$H$3000,"&lt;"&amp;H484,$AH$7:$AH$3000,"yes")+COUNTIFS($B$7:B484,B484,$C$7:C484,C484,$H$7:H484,H484,$AH$7:AH484,"yes"),"")</f>
        <v>3</v>
      </c>
      <c r="AG484" s="110" t="n">
        <f aca="false">IF(ISNUMBER(I484),COUNTIFS($B$7:$B$3000,B484,$C$7:$C$3000,C484,$I$7:$I$3000,"&lt;"&amp;I484,$AI$7:$AI$3000,"yes")+COUNTIFS($B$7:B484,B484,$C$7:C484,C484,$I$7:I484,I484,$AI$7:AI484,"yes"),"")</f>
        <v>3</v>
      </c>
      <c r="AH484" s="110" t="str">
        <f aca="false">IF(ISNUMBER(H484),"yes","no")</f>
        <v>yes</v>
      </c>
      <c r="AI484" s="110" t="str">
        <f aca="false">IF(ISNUMBER(I484),"yes","no")</f>
        <v>yes</v>
      </c>
      <c r="AJ484" s="120" t="n">
        <v>46295</v>
      </c>
      <c r="AK484" s="110"/>
    </row>
    <row r="485" customFormat="false" ht="42" hidden="false" customHeight="true" outlineLevel="0" collapsed="false">
      <c r="A485" s="3"/>
      <c r="B485" s="31" t="s">
        <v>51</v>
      </c>
      <c r="C485" s="91" t="s">
        <v>17</v>
      </c>
      <c r="D485" s="91" t="s">
        <v>346</v>
      </c>
      <c r="E485" s="109" t="s">
        <v>1741</v>
      </c>
      <c r="F485" s="92" t="n">
        <v>124</v>
      </c>
      <c r="G485" s="91" t="s">
        <v>333</v>
      </c>
      <c r="H485" s="112" t="n">
        <f aca="false">IF(AND(AE485="yes",ISNUMBER(AD485)),AD485,"")</f>
        <v>102.48</v>
      </c>
      <c r="I485" s="95" t="n">
        <f aca="false">IF(AND(AE485="yes",ISNUMBER(AD485),ISNUMBER(INDEX(Sources!$G$7:$G$10,MATCH(AB485,Sources!$B$7:$B$10,0)))),ROUND(AD485/INDEX(Sources!$G$7:$G$10,MATCH(AB485,Sources!$B$7:$B$10,0)),6),"")</f>
        <v>4.195939</v>
      </c>
      <c r="J485" s="91" t="s">
        <v>530</v>
      </c>
      <c r="K485" s="91" t="s">
        <v>586</v>
      </c>
      <c r="L485" s="96"/>
      <c r="M485" s="109" t="s">
        <v>1742</v>
      </c>
      <c r="N485" s="113" t="s">
        <v>1743</v>
      </c>
      <c r="O485" s="109" t="s">
        <v>662</v>
      </c>
      <c r="P485" s="109" t="s">
        <v>265</v>
      </c>
      <c r="Q485" s="114" t="n">
        <v>0.21</v>
      </c>
      <c r="R485" s="109" t="n">
        <v>1</v>
      </c>
      <c r="S485" s="109" t="s">
        <v>632</v>
      </c>
      <c r="T485" s="109" t="s">
        <v>530</v>
      </c>
      <c r="U485" s="109" t="s">
        <v>1535</v>
      </c>
      <c r="V485" s="115"/>
      <c r="W485" s="115"/>
      <c r="X485" s="109" t="s">
        <v>1555</v>
      </c>
      <c r="Y485" s="109"/>
      <c r="Z485" s="109"/>
      <c r="AA485" s="109"/>
      <c r="AB485" s="109" t="s">
        <v>333</v>
      </c>
      <c r="AC485" s="109" t="s">
        <v>538</v>
      </c>
      <c r="AD485" s="109" t="n">
        <f aca="false">IF(OR(F485="",Q485="",R485=""),"",ROUND(IF(P485="incl.",F485/(1+Q485),F485)/IF(S485="per pack",R485,1),2))</f>
        <v>102.48</v>
      </c>
      <c r="AE485" s="109" t="str">
        <f aca="false">IF(AND(AC485="yes",ISNUMBER(F485),IF(Compare!$H$5="All mapped",TRUE(),IF(Compare!$H$5="EXACT only",J485="EXACT",OR(J485="EXACT",J485="CLOSE")))),"yes","no")</f>
        <v>yes</v>
      </c>
      <c r="AF485" s="109" t="n">
        <f aca="false">IF(ISNUMBER(H485),COUNTIFS($B$7:$B$3000,B485,$C$7:$C$3000,C485,$H$7:$H$3000,"&lt;"&amp;H485,$AH$7:$AH$3000,"yes")+COUNTIFS($B$7:B485,B485,$C$7:C485,C485,$H$7:H485,H485,$AH$7:AH485,"yes"),"")</f>
        <v>7</v>
      </c>
      <c r="AG485" s="109" t="n">
        <f aca="false">IF(ISNUMBER(I485),COUNTIFS($B$7:$B$3000,B485,$C$7:$C$3000,C485,$I$7:$I$3000,"&lt;"&amp;I485,$AI$7:$AI$3000,"yes")+COUNTIFS($B$7:B485,B485,$C$7:C485,C485,$I$7:I485,I485,$AI$7:AI485,"yes"),"")</f>
        <v>7</v>
      </c>
      <c r="AH485" s="109" t="str">
        <f aca="false">IF(ISNUMBER(H485),"yes","no")</f>
        <v>yes</v>
      </c>
      <c r="AI485" s="109" t="str">
        <f aca="false">IF(ISNUMBER(I485),"yes","no")</f>
        <v>yes</v>
      </c>
      <c r="AJ485" s="116" t="n">
        <v>46295</v>
      </c>
      <c r="AK485" s="109"/>
    </row>
    <row r="486" customFormat="false" ht="42" hidden="false" customHeight="true" outlineLevel="0" collapsed="false">
      <c r="A486" s="3"/>
      <c r="B486" s="36" t="s">
        <v>51</v>
      </c>
      <c r="C486" s="98" t="s">
        <v>17</v>
      </c>
      <c r="D486" s="98" t="s">
        <v>361</v>
      </c>
      <c r="E486" s="110" t="s">
        <v>1744</v>
      </c>
      <c r="F486" s="99" t="n">
        <v>105</v>
      </c>
      <c r="G486" s="98" t="s">
        <v>333</v>
      </c>
      <c r="H486" s="112" t="n">
        <f aca="false">IF(AND(AE486="yes",ISNUMBER(AD486)),AD486,"")</f>
        <v>86.78</v>
      </c>
      <c r="I486" s="95" t="n">
        <f aca="false">IF(AND(AE486="yes",ISNUMBER(AD486),ISNUMBER(INDEX(Sources!$G$7:$G$10,MATCH(AB486,Sources!$B$7:$B$10,0)))),ROUND(AD486/INDEX(Sources!$G$7:$G$10,MATCH(AB486,Sources!$B$7:$B$10,0)),6),"")</f>
        <v>3.553118</v>
      </c>
      <c r="J486" s="98" t="s">
        <v>530</v>
      </c>
      <c r="K486" s="98" t="s">
        <v>586</v>
      </c>
      <c r="L486" s="96"/>
      <c r="M486" s="110" t="s">
        <v>1745</v>
      </c>
      <c r="N486" s="117" t="s">
        <v>1746</v>
      </c>
      <c r="O486" s="110" t="s">
        <v>642</v>
      </c>
      <c r="P486" s="110" t="s">
        <v>265</v>
      </c>
      <c r="Q486" s="118" t="n">
        <v>0.21</v>
      </c>
      <c r="R486" s="110" t="n">
        <v>1</v>
      </c>
      <c r="S486" s="110" t="s">
        <v>632</v>
      </c>
      <c r="T486" s="110" t="s">
        <v>530</v>
      </c>
      <c r="U486" s="110" t="s">
        <v>1535</v>
      </c>
      <c r="V486" s="119"/>
      <c r="W486" s="119"/>
      <c r="X486" s="110" t="s">
        <v>1555</v>
      </c>
      <c r="Y486" s="110"/>
      <c r="Z486" s="110"/>
      <c r="AA486" s="110"/>
      <c r="AB486" s="110" t="s">
        <v>333</v>
      </c>
      <c r="AC486" s="110" t="s">
        <v>538</v>
      </c>
      <c r="AD486" s="110" t="n">
        <f aca="false">IF(OR(F486="",Q486="",R486=""),"",ROUND(IF(P486="incl.",F486/(1+Q486),F486)/IF(S486="per pack",R486,1),2))</f>
        <v>86.78</v>
      </c>
      <c r="AE486" s="110" t="str">
        <f aca="false">IF(AND(AC486="yes",ISNUMBER(F486),IF(Compare!$H$5="All mapped",TRUE(),IF(Compare!$H$5="EXACT only",J486="EXACT",OR(J486="EXACT",J486="CLOSE")))),"yes","no")</f>
        <v>yes</v>
      </c>
      <c r="AF486" s="110" t="n">
        <f aca="false">IF(ISNUMBER(H486),COUNTIFS($B$7:$B$3000,B486,$C$7:$C$3000,C486,$H$7:$H$3000,"&lt;"&amp;H486,$AH$7:$AH$3000,"yes")+COUNTIFS($B$7:B486,B486,$C$7:C486,C486,$H$7:H486,H486,$AH$7:AH486,"yes"),"")</f>
        <v>6</v>
      </c>
      <c r="AG486" s="110" t="n">
        <f aca="false">IF(ISNUMBER(I486),COUNTIFS($B$7:$B$3000,B486,$C$7:$C$3000,C486,$I$7:$I$3000,"&lt;"&amp;I486,$AI$7:$AI$3000,"yes")+COUNTIFS($B$7:B486,B486,$C$7:C486,C486,$I$7:I486,I486,$AI$7:AI486,"yes"),"")</f>
        <v>6</v>
      </c>
      <c r="AH486" s="110" t="str">
        <f aca="false">IF(ISNUMBER(H486),"yes","no")</f>
        <v>yes</v>
      </c>
      <c r="AI486" s="110" t="str">
        <f aca="false">IF(ISNUMBER(I486),"yes","no")</f>
        <v>yes</v>
      </c>
      <c r="AJ486" s="120" t="n">
        <v>46295</v>
      </c>
      <c r="AK486" s="110"/>
    </row>
    <row r="487" customFormat="false" ht="42" hidden="false" customHeight="true" outlineLevel="0" collapsed="false">
      <c r="A487" s="3"/>
      <c r="B487" s="31" t="s">
        <v>52</v>
      </c>
      <c r="C487" s="91" t="s">
        <v>15</v>
      </c>
      <c r="D487" s="91" t="s">
        <v>243</v>
      </c>
      <c r="E487" s="109" t="s">
        <v>1747</v>
      </c>
      <c r="F487" s="92" t="n">
        <v>1.27</v>
      </c>
      <c r="G487" s="91" t="s">
        <v>244</v>
      </c>
      <c r="H487" s="112" t="n">
        <f aca="false">IF(AND(AE487="yes",ISNUMBER(AD487)),AD487,"")</f>
        <v>1.27</v>
      </c>
      <c r="I487" s="95" t="n">
        <f aca="false">IF(AND(AE487="yes",ISNUMBER(AD487),ISNUMBER(INDEX(Sources!$G$7:$G$10,MATCH(AB487,Sources!$B$7:$B$10,0)))),ROUND(AD487/INDEX(Sources!$G$7:$G$10,MATCH(AB487,Sources!$B$7:$B$10,0)),6),"")</f>
        <v>1.27</v>
      </c>
      <c r="J487" s="91" t="s">
        <v>702</v>
      </c>
      <c r="K487" s="91" t="s">
        <v>586</v>
      </c>
      <c r="L487" s="96"/>
      <c r="M487" s="109" t="s">
        <v>1748</v>
      </c>
      <c r="N487" s="113" t="s">
        <v>1749</v>
      </c>
      <c r="O487" s="109" t="s">
        <v>388</v>
      </c>
      <c r="P487" s="109" t="s">
        <v>590</v>
      </c>
      <c r="Q487" s="114"/>
      <c r="R487" s="109" t="n">
        <v>1</v>
      </c>
      <c r="S487" s="109"/>
      <c r="T487" s="109" t="s">
        <v>702</v>
      </c>
      <c r="U487" s="109" t="s">
        <v>1535</v>
      </c>
      <c r="V487" s="115" t="n">
        <v>1.27</v>
      </c>
      <c r="W487" s="115"/>
      <c r="X487" s="109" t="s">
        <v>1536</v>
      </c>
      <c r="Y487" s="109"/>
      <c r="Z487" s="109"/>
      <c r="AA487" s="109"/>
      <c r="AB487" s="109" t="s">
        <v>244</v>
      </c>
      <c r="AC487" s="109" t="s">
        <v>538</v>
      </c>
      <c r="AD487" s="109" t="n">
        <f aca="false">IF(ISNUMBER(V487),ROUND(V487,6),"")</f>
        <v>1.27</v>
      </c>
      <c r="AE487" s="109" t="str">
        <f aca="false">IF(AND(AC487="yes",ISNUMBER(F487),IF(Compare!$H$5="All mapped",TRUE(),IF(Compare!$H$5="EXACT only",J487="EXACT",OR(J487="EXACT",J487="CLOSE")))),"yes","no")</f>
        <v>yes</v>
      </c>
      <c r="AF487" s="109" t="n">
        <f aca="false">IF(ISNUMBER(H487),COUNTIFS($B$7:$B$3000,B487,$C$7:$C$3000,C487,$H$7:$H$3000,"&lt;"&amp;H487,$AH$7:$AH$3000,"yes")+COUNTIFS($B$7:B487,B487,$C$7:C487,C487,$H$7:H487,H487,$AH$7:AH487,"yes"),"")</f>
        <v>4</v>
      </c>
      <c r="AG487" s="109" t="n">
        <f aca="false">IF(ISNUMBER(I487),COUNTIFS($B$7:$B$3000,B487,$C$7:$C$3000,C487,$I$7:$I$3000,"&lt;"&amp;I487,$AI$7:$AI$3000,"yes")+COUNTIFS($B$7:B487,B487,$C$7:C487,C487,$I$7:I487,I487,$AI$7:AI487,"yes"),"")</f>
        <v>4</v>
      </c>
      <c r="AH487" s="109" t="str">
        <f aca="false">IF(ISNUMBER(H487),"yes","no")</f>
        <v>yes</v>
      </c>
      <c r="AI487" s="109" t="str">
        <f aca="false">IF(ISNUMBER(I487),"yes","no")</f>
        <v>yes</v>
      </c>
      <c r="AJ487" s="116" t="n">
        <v>46295</v>
      </c>
      <c r="AK487" s="109"/>
    </row>
    <row r="488" customFormat="false" ht="42" hidden="false" customHeight="true" outlineLevel="0" collapsed="false">
      <c r="A488" s="3"/>
      <c r="B488" s="36" t="s">
        <v>52</v>
      </c>
      <c r="C488" s="98" t="s">
        <v>15</v>
      </c>
      <c r="D488" s="98" t="s">
        <v>269</v>
      </c>
      <c r="E488" s="110" t="s">
        <v>1750</v>
      </c>
      <c r="F488" s="99" t="n">
        <v>6.59</v>
      </c>
      <c r="G488" s="98" t="s">
        <v>244</v>
      </c>
      <c r="H488" s="112" t="n">
        <f aca="false">IF(AND(AE488="yes",ISNUMBER(AD488)),AD488,"")</f>
        <v>6.59</v>
      </c>
      <c r="I488" s="95" t="n">
        <f aca="false">IF(AND(AE488="yes",ISNUMBER(AD488),ISNUMBER(INDEX(Sources!$G$7:$G$10,MATCH(AB488,Sources!$B$7:$B$10,0)))),ROUND(AD488/INDEX(Sources!$G$7:$G$10,MATCH(AB488,Sources!$B$7:$B$10,0)),6),"")</f>
        <v>6.59</v>
      </c>
      <c r="J488" s="98" t="s">
        <v>702</v>
      </c>
      <c r="K488" s="98" t="s">
        <v>586</v>
      </c>
      <c r="L488" s="96"/>
      <c r="M488" s="110" t="s">
        <v>1751</v>
      </c>
      <c r="N488" s="117" t="s">
        <v>1752</v>
      </c>
      <c r="O488" s="110" t="s">
        <v>646</v>
      </c>
      <c r="P488" s="110" t="s">
        <v>590</v>
      </c>
      <c r="Q488" s="118"/>
      <c r="R488" s="110" t="n">
        <v>1</v>
      </c>
      <c r="S488" s="110"/>
      <c r="T488" s="110" t="s">
        <v>702</v>
      </c>
      <c r="U488" s="110" t="s">
        <v>1535</v>
      </c>
      <c r="V488" s="119" t="n">
        <v>6.59</v>
      </c>
      <c r="W488" s="119"/>
      <c r="X488" s="110" t="s">
        <v>1536</v>
      </c>
      <c r="Y488" s="110"/>
      <c r="Z488" s="110"/>
      <c r="AA488" s="110"/>
      <c r="AB488" s="110" t="s">
        <v>244</v>
      </c>
      <c r="AC488" s="110" t="s">
        <v>538</v>
      </c>
      <c r="AD488" s="110" t="n">
        <f aca="false">IF(ISNUMBER(V488),ROUND(V488,6),"")</f>
        <v>6.59</v>
      </c>
      <c r="AE488" s="110" t="str">
        <f aca="false">IF(AND(AC488="yes",ISNUMBER(F488),IF(Compare!$H$5="All mapped",TRUE(),IF(Compare!$H$5="EXACT only",J488="EXACT",OR(J488="EXACT",J488="CLOSE")))),"yes","no")</f>
        <v>yes</v>
      </c>
      <c r="AF488" s="110" t="n">
        <f aca="false">IF(ISNUMBER(H488),COUNTIFS($B$7:$B$3000,B488,$C$7:$C$3000,C488,$H$7:$H$3000,"&lt;"&amp;H488,$AH$7:$AH$3000,"yes")+COUNTIFS($B$7:B488,B488,$C$7:C488,C488,$H$7:H488,H488,$AH$7:AH488,"yes"),"")</f>
        <v>6</v>
      </c>
      <c r="AG488" s="110" t="n">
        <f aca="false">IF(ISNUMBER(I488),COUNTIFS($B$7:$B$3000,B488,$C$7:$C$3000,C488,$I$7:$I$3000,"&lt;"&amp;I488,$AI$7:$AI$3000,"yes")+COUNTIFS($B$7:B488,B488,$C$7:C488,C488,$I$7:I488,I488,$AI$7:AI488,"yes"),"")</f>
        <v>6</v>
      </c>
      <c r="AH488" s="110" t="str">
        <f aca="false">IF(ISNUMBER(H488),"yes","no")</f>
        <v>yes</v>
      </c>
      <c r="AI488" s="110" t="str">
        <f aca="false">IF(ISNUMBER(I488),"yes","no")</f>
        <v>yes</v>
      </c>
      <c r="AJ488" s="120" t="n">
        <v>46295</v>
      </c>
      <c r="AK488" s="110"/>
    </row>
    <row r="489" customFormat="false" ht="42" hidden="false" customHeight="true" outlineLevel="0" collapsed="false">
      <c r="A489" s="3"/>
      <c r="B489" s="31" t="s">
        <v>52</v>
      </c>
      <c r="C489" s="91" t="s">
        <v>15</v>
      </c>
      <c r="D489" s="91" t="s">
        <v>264</v>
      </c>
      <c r="E489" s="109" t="s">
        <v>1753</v>
      </c>
      <c r="F489" s="92" t="n">
        <v>0.84</v>
      </c>
      <c r="G489" s="91" t="s">
        <v>244</v>
      </c>
      <c r="H489" s="112" t="n">
        <f aca="false">IF(AND(AE489="yes",ISNUMBER(AD489)),AD489,"")</f>
        <v>0.84</v>
      </c>
      <c r="I489" s="95" t="n">
        <f aca="false">IF(AND(AE489="yes",ISNUMBER(AD489),ISNUMBER(INDEX(Sources!$G$7:$G$10,MATCH(AB489,Sources!$B$7:$B$10,0)))),ROUND(AD489/INDEX(Sources!$G$7:$G$10,MATCH(AB489,Sources!$B$7:$B$10,0)),6),"")</f>
        <v>0.84</v>
      </c>
      <c r="J489" s="91" t="s">
        <v>702</v>
      </c>
      <c r="K489" s="91" t="s">
        <v>586</v>
      </c>
      <c r="L489" s="96"/>
      <c r="M489" s="109" t="s">
        <v>1754</v>
      </c>
      <c r="N489" s="113" t="s">
        <v>1755</v>
      </c>
      <c r="O489" s="109" t="s">
        <v>646</v>
      </c>
      <c r="P489" s="109" t="s">
        <v>590</v>
      </c>
      <c r="Q489" s="114"/>
      <c r="R489" s="109" t="n">
        <v>1</v>
      </c>
      <c r="S489" s="109"/>
      <c r="T489" s="109" t="s">
        <v>702</v>
      </c>
      <c r="U489" s="109" t="s">
        <v>1535</v>
      </c>
      <c r="V489" s="115" t="n">
        <v>0.84</v>
      </c>
      <c r="W489" s="115"/>
      <c r="X489" s="109" t="s">
        <v>1536</v>
      </c>
      <c r="Y489" s="109"/>
      <c r="Z489" s="109"/>
      <c r="AA489" s="109"/>
      <c r="AB489" s="109" t="s">
        <v>244</v>
      </c>
      <c r="AC489" s="109" t="s">
        <v>538</v>
      </c>
      <c r="AD489" s="109" t="n">
        <f aca="false">IF(ISNUMBER(V489),ROUND(V489,6),"")</f>
        <v>0.84</v>
      </c>
      <c r="AE489" s="109" t="str">
        <f aca="false">IF(AND(AC489="yes",ISNUMBER(F489),IF(Compare!$H$5="All mapped",TRUE(),IF(Compare!$H$5="EXACT only",J489="EXACT",OR(J489="EXACT",J489="CLOSE")))),"yes","no")</f>
        <v>yes</v>
      </c>
      <c r="AF489" s="109" t="n">
        <f aca="false">IF(ISNUMBER(H489),COUNTIFS($B$7:$B$3000,B489,$C$7:$C$3000,C489,$H$7:$H$3000,"&lt;"&amp;H489,$AH$7:$AH$3000,"yes")+COUNTIFS($B$7:B489,B489,$C$7:C489,C489,$H$7:H489,H489,$AH$7:AH489,"yes"),"")</f>
        <v>2</v>
      </c>
      <c r="AG489" s="109" t="n">
        <f aca="false">IF(ISNUMBER(I489),COUNTIFS($B$7:$B$3000,B489,$C$7:$C$3000,C489,$I$7:$I$3000,"&lt;"&amp;I489,$AI$7:$AI$3000,"yes")+COUNTIFS($B$7:B489,B489,$C$7:C489,C489,$I$7:I489,I489,$AI$7:AI489,"yes"),"")</f>
        <v>2</v>
      </c>
      <c r="AH489" s="109" t="str">
        <f aca="false">IF(ISNUMBER(H489),"yes","no")</f>
        <v>yes</v>
      </c>
      <c r="AI489" s="109" t="str">
        <f aca="false">IF(ISNUMBER(I489),"yes","no")</f>
        <v>yes</v>
      </c>
      <c r="AJ489" s="116" t="n">
        <v>46295</v>
      </c>
      <c r="AK489" s="109"/>
    </row>
    <row r="490" customFormat="false" ht="42" hidden="false" customHeight="true" outlineLevel="0" collapsed="false">
      <c r="A490" s="3"/>
      <c r="B490" s="36" t="s">
        <v>52</v>
      </c>
      <c r="C490" s="98" t="s">
        <v>15</v>
      </c>
      <c r="D490" s="98" t="s">
        <v>273</v>
      </c>
      <c r="E490" s="110" t="s">
        <v>1756</v>
      </c>
      <c r="F490" s="99" t="n">
        <v>1.29</v>
      </c>
      <c r="G490" s="98" t="s">
        <v>244</v>
      </c>
      <c r="H490" s="112" t="n">
        <f aca="false">IF(AND(AE490="yes",ISNUMBER(AD490)),AD490,"")</f>
        <v>1.08</v>
      </c>
      <c r="I490" s="95" t="n">
        <f aca="false">IF(AND(AE490="yes",ISNUMBER(AD490),ISNUMBER(INDEX(Sources!$G$7:$G$10,MATCH(AB490,Sources!$B$7:$B$10,0)))),ROUND(AD490/INDEX(Sources!$G$7:$G$10,MATCH(AB490,Sources!$B$7:$B$10,0)),6),"")</f>
        <v>1.08</v>
      </c>
      <c r="J490" s="98" t="s">
        <v>702</v>
      </c>
      <c r="K490" s="98" t="s">
        <v>586</v>
      </c>
      <c r="L490" s="96"/>
      <c r="M490" s="110" t="s">
        <v>1757</v>
      </c>
      <c r="N490" s="117" t="s">
        <v>1758</v>
      </c>
      <c r="O490" s="110" t="s">
        <v>598</v>
      </c>
      <c r="P490" s="110" t="s">
        <v>265</v>
      </c>
      <c r="Q490" s="118"/>
      <c r="R490" s="110" t="n">
        <v>1</v>
      </c>
      <c r="S490" s="110"/>
      <c r="T490" s="110" t="s">
        <v>702</v>
      </c>
      <c r="U490" s="110" t="s">
        <v>1535</v>
      </c>
      <c r="V490" s="119" t="n">
        <v>1.08</v>
      </c>
      <c r="W490" s="119"/>
      <c r="X490" s="110" t="s">
        <v>1536</v>
      </c>
      <c r="Y490" s="110"/>
      <c r="Z490" s="110"/>
      <c r="AA490" s="110"/>
      <c r="AB490" s="110" t="s">
        <v>244</v>
      </c>
      <c r="AC490" s="110" t="s">
        <v>538</v>
      </c>
      <c r="AD490" s="110" t="n">
        <f aca="false">IF(ISNUMBER(V490),ROUND(V490,6),"")</f>
        <v>1.08</v>
      </c>
      <c r="AE490" s="110" t="str">
        <f aca="false">IF(AND(AC490="yes",ISNUMBER(F490),IF(Compare!$H$5="All mapped",TRUE(),IF(Compare!$H$5="EXACT only",J490="EXACT",OR(J490="EXACT",J490="CLOSE")))),"yes","no")</f>
        <v>yes</v>
      </c>
      <c r="AF490" s="110" t="n">
        <f aca="false">IF(ISNUMBER(H490),COUNTIFS($B$7:$B$3000,B490,$C$7:$C$3000,C490,$H$7:$H$3000,"&lt;"&amp;H490,$AH$7:$AH$3000,"yes")+COUNTIFS($B$7:B490,B490,$C$7:C490,C490,$H$7:H490,H490,$AH$7:AH490,"yes"),"")</f>
        <v>3</v>
      </c>
      <c r="AG490" s="110" t="n">
        <f aca="false">IF(ISNUMBER(I490),COUNTIFS($B$7:$B$3000,B490,$C$7:$C$3000,C490,$I$7:$I$3000,"&lt;"&amp;I490,$AI$7:$AI$3000,"yes")+COUNTIFS($B$7:B490,B490,$C$7:C490,C490,$I$7:I490,I490,$AI$7:AI490,"yes"),"")</f>
        <v>3</v>
      </c>
      <c r="AH490" s="110" t="str">
        <f aca="false">IF(ISNUMBER(H490),"yes","no")</f>
        <v>yes</v>
      </c>
      <c r="AI490" s="110" t="str">
        <f aca="false">IF(ISNUMBER(I490),"yes","no")</f>
        <v>yes</v>
      </c>
      <c r="AJ490" s="120" t="n">
        <v>46295</v>
      </c>
      <c r="AK490" s="110"/>
    </row>
    <row r="491" customFormat="false" ht="42" hidden="false" customHeight="true" outlineLevel="0" collapsed="false">
      <c r="A491" s="3"/>
      <c r="B491" s="31" t="s">
        <v>52</v>
      </c>
      <c r="C491" s="91" t="s">
        <v>15</v>
      </c>
      <c r="D491" s="91" t="s">
        <v>281</v>
      </c>
      <c r="E491" s="109" t="s">
        <v>1759</v>
      </c>
      <c r="F491" s="92" t="n">
        <v>0.81</v>
      </c>
      <c r="G491" s="91" t="s">
        <v>244</v>
      </c>
      <c r="H491" s="112" t="n">
        <f aca="false">IF(AND(AE491="yes",ISNUMBER(AD491)),AD491,"")</f>
        <v>0.81</v>
      </c>
      <c r="I491" s="95" t="n">
        <f aca="false">IF(AND(AE491="yes",ISNUMBER(AD491),ISNUMBER(INDEX(Sources!$G$7:$G$10,MATCH(AB491,Sources!$B$7:$B$10,0)))),ROUND(AD491/INDEX(Sources!$G$7:$G$10,MATCH(AB491,Sources!$B$7:$B$10,0)),6),"")</f>
        <v>0.81</v>
      </c>
      <c r="J491" s="91" t="s">
        <v>702</v>
      </c>
      <c r="K491" s="91" t="s">
        <v>586</v>
      </c>
      <c r="L491" s="96"/>
      <c r="M491" s="109" t="s">
        <v>1760</v>
      </c>
      <c r="N491" s="113" t="s">
        <v>1761</v>
      </c>
      <c r="O491" s="109" t="s">
        <v>646</v>
      </c>
      <c r="P491" s="109" t="s">
        <v>590</v>
      </c>
      <c r="Q491" s="114"/>
      <c r="R491" s="109" t="n">
        <v>1</v>
      </c>
      <c r="S491" s="109"/>
      <c r="T491" s="109" t="s">
        <v>702</v>
      </c>
      <c r="U491" s="109" t="s">
        <v>1535</v>
      </c>
      <c r="V491" s="115" t="n">
        <v>0.81</v>
      </c>
      <c r="W491" s="115"/>
      <c r="X491" s="109" t="s">
        <v>1536</v>
      </c>
      <c r="Y491" s="109"/>
      <c r="Z491" s="109"/>
      <c r="AA491" s="109"/>
      <c r="AB491" s="109" t="s">
        <v>244</v>
      </c>
      <c r="AC491" s="109" t="s">
        <v>538</v>
      </c>
      <c r="AD491" s="109" t="n">
        <f aca="false">IF(ISNUMBER(V491),ROUND(V491,6),"")</f>
        <v>0.81</v>
      </c>
      <c r="AE491" s="109" t="str">
        <f aca="false">IF(AND(AC491="yes",ISNUMBER(F491),IF(Compare!$H$5="All mapped",TRUE(),IF(Compare!$H$5="EXACT only",J491="EXACT",OR(J491="EXACT",J491="CLOSE")))),"yes","no")</f>
        <v>yes</v>
      </c>
      <c r="AF491" s="109" t="n">
        <f aca="false">IF(ISNUMBER(H491),COUNTIFS($B$7:$B$3000,B491,$C$7:$C$3000,C491,$H$7:$H$3000,"&lt;"&amp;H491,$AH$7:$AH$3000,"yes")+COUNTIFS($B$7:B491,B491,$C$7:C491,C491,$H$7:H491,H491,$AH$7:AH491,"yes"),"")</f>
        <v>1</v>
      </c>
      <c r="AG491" s="109" t="n">
        <f aca="false">IF(ISNUMBER(I491),COUNTIFS($B$7:$B$3000,B491,$C$7:$C$3000,C491,$I$7:$I$3000,"&lt;"&amp;I491,$AI$7:$AI$3000,"yes")+COUNTIFS($B$7:B491,B491,$C$7:C491,C491,$I$7:I491,I491,$AI$7:AI491,"yes"),"")</f>
        <v>1</v>
      </c>
      <c r="AH491" s="109" t="str">
        <f aca="false">IF(ISNUMBER(H491),"yes","no")</f>
        <v>yes</v>
      </c>
      <c r="AI491" s="109" t="str">
        <f aca="false">IF(ISNUMBER(I491),"yes","no")</f>
        <v>yes</v>
      </c>
      <c r="AJ491" s="116" t="n">
        <v>46295</v>
      </c>
      <c r="AK491" s="109"/>
    </row>
    <row r="492" customFormat="false" ht="42" hidden="false" customHeight="true" outlineLevel="0" collapsed="false">
      <c r="A492" s="3"/>
      <c r="B492" s="36" t="s">
        <v>52</v>
      </c>
      <c r="C492" s="98" t="s">
        <v>17</v>
      </c>
      <c r="D492" s="98" t="s">
        <v>332</v>
      </c>
      <c r="E492" s="110" t="s">
        <v>869</v>
      </c>
      <c r="F492" s="99" t="n">
        <v>29</v>
      </c>
      <c r="G492" s="98" t="s">
        <v>333</v>
      </c>
      <c r="H492" s="112" t="str">
        <f aca="false">IF(AND(AE492="yes",ISNUMBER(AD492)),AD492,"")</f>
        <v/>
      </c>
      <c r="I492" s="95" t="str">
        <f aca="false">IF(AND(AE492="yes",ISNUMBER(AD492),ISNUMBER(INDEX(Sources!$G$7:$G$10,MATCH(AB492,Sources!$B$7:$B$10,0)))),ROUND(AD492/INDEX(Sources!$G$7:$G$10,MATCH(AB492,Sources!$B$7:$B$10,0)),6),"")</f>
        <v/>
      </c>
      <c r="J492" s="98" t="s">
        <v>629</v>
      </c>
      <c r="K492" s="98" t="s">
        <v>586</v>
      </c>
      <c r="L492" s="96"/>
      <c r="M492" s="110" t="s">
        <v>1762</v>
      </c>
      <c r="N492" s="117" t="s">
        <v>871</v>
      </c>
      <c r="O492" s="110"/>
      <c r="P492" s="110" t="s">
        <v>590</v>
      </c>
      <c r="Q492" s="118" t="n">
        <v>0.21</v>
      </c>
      <c r="R492" s="110" t="n">
        <v>1</v>
      </c>
      <c r="S492" s="110" t="s">
        <v>632</v>
      </c>
      <c r="T492" s="110" t="s">
        <v>629</v>
      </c>
      <c r="U492" s="110" t="s">
        <v>1535</v>
      </c>
      <c r="V492" s="119"/>
      <c r="W492" s="119"/>
      <c r="X492" s="110" t="s">
        <v>1555</v>
      </c>
      <c r="Y492" s="110"/>
      <c r="Z492" s="110"/>
      <c r="AA492" s="110"/>
      <c r="AB492" s="110" t="s">
        <v>333</v>
      </c>
      <c r="AC492" s="110" t="s">
        <v>538</v>
      </c>
      <c r="AD492" s="110" t="n">
        <f aca="false">IF(OR(F492="",Q492="",R492=""),"",ROUND(IF(P492="incl.",F492/(1+Q492),F492)/IF(S492="per pack",R492,1),2))</f>
        <v>29</v>
      </c>
      <c r="AE492" s="110" t="str">
        <f aca="false">IF(AND(AC492="yes",ISNUMBER(F492),IF(Compare!$H$5="All mapped",TRUE(),IF(Compare!$H$5="EXACT only",J492="EXACT",OR(J492="EXACT",J492="CLOSE")))),"yes","no")</f>
        <v>no</v>
      </c>
      <c r="AF492" s="110" t="str">
        <f aca="false">IF(ISNUMBER(H492),COUNTIFS($B$7:$B$3000,B492,$C$7:$C$3000,C492,$H$7:$H$3000,"&lt;"&amp;H492,$AH$7:$AH$3000,"yes")+COUNTIFS($B$7:B492,B492,$C$7:C492,C492,$H$7:H492,H492,$AH$7:AH492,"yes"),"")</f>
        <v/>
      </c>
      <c r="AG492" s="110" t="str">
        <f aca="false">IF(ISNUMBER(I492),COUNTIFS($B$7:$B$3000,B492,$C$7:$C$3000,C492,$I$7:$I$3000,"&lt;"&amp;I492,$AI$7:$AI$3000,"yes")+COUNTIFS($B$7:B492,B492,$C$7:C492,C492,$I$7:I492,I492,$AI$7:AI492,"yes"),"")</f>
        <v/>
      </c>
      <c r="AH492" s="110" t="str">
        <f aca="false">IF(ISNUMBER(H492),"yes","no")</f>
        <v>no</v>
      </c>
      <c r="AI492" s="110" t="str">
        <f aca="false">IF(ISNUMBER(I492),"yes","no")</f>
        <v>no</v>
      </c>
      <c r="AJ492" s="120" t="n">
        <v>46295</v>
      </c>
      <c r="AK492" s="110"/>
    </row>
    <row r="493" customFormat="false" ht="42" hidden="false" customHeight="true" outlineLevel="0" collapsed="false">
      <c r="A493" s="3"/>
      <c r="B493" s="31" t="s">
        <v>52</v>
      </c>
      <c r="C493" s="91" t="s">
        <v>17</v>
      </c>
      <c r="D493" s="91" t="s">
        <v>342</v>
      </c>
      <c r="E493" s="109" t="s">
        <v>1763</v>
      </c>
      <c r="F493" s="92" t="n">
        <v>43</v>
      </c>
      <c r="G493" s="91" t="s">
        <v>333</v>
      </c>
      <c r="H493" s="112" t="n">
        <f aca="false">IF(AND(AE493="yes",ISNUMBER(AD493)),AD493,"")</f>
        <v>35.54</v>
      </c>
      <c r="I493" s="95" t="n">
        <f aca="false">IF(AND(AE493="yes",ISNUMBER(AD493),ISNUMBER(INDEX(Sources!$G$7:$G$10,MATCH(AB493,Sources!$B$7:$B$10,0)))),ROUND(AD493/INDEX(Sources!$G$7:$G$10,MATCH(AB493,Sources!$B$7:$B$10,0)),6),"")</f>
        <v>1.455149</v>
      </c>
      <c r="J493" s="91" t="s">
        <v>702</v>
      </c>
      <c r="K493" s="91" t="s">
        <v>586</v>
      </c>
      <c r="L493" s="96"/>
      <c r="M493" s="109" t="s">
        <v>1764</v>
      </c>
      <c r="N493" s="113" t="s">
        <v>1765</v>
      </c>
      <c r="O493" s="109" t="s">
        <v>646</v>
      </c>
      <c r="P493" s="109" t="s">
        <v>265</v>
      </c>
      <c r="Q493" s="114" t="n">
        <v>0.21</v>
      </c>
      <c r="R493" s="109" t="n">
        <v>1</v>
      </c>
      <c r="S493" s="109" t="s">
        <v>632</v>
      </c>
      <c r="T493" s="109" t="s">
        <v>702</v>
      </c>
      <c r="U493" s="109" t="s">
        <v>1535</v>
      </c>
      <c r="V493" s="115"/>
      <c r="W493" s="115"/>
      <c r="X493" s="109" t="s">
        <v>1555</v>
      </c>
      <c r="Y493" s="109"/>
      <c r="Z493" s="109"/>
      <c r="AA493" s="109"/>
      <c r="AB493" s="109" t="s">
        <v>333</v>
      </c>
      <c r="AC493" s="109" t="s">
        <v>538</v>
      </c>
      <c r="AD493" s="109" t="n">
        <f aca="false">IF(OR(F493="",Q493="",R493=""),"",ROUND(IF(P493="incl.",F493/(1+Q493),F493)/IF(S493="per pack",R493,1),2))</f>
        <v>35.54</v>
      </c>
      <c r="AE493" s="109" t="str">
        <f aca="false">IF(AND(AC493="yes",ISNUMBER(F493),IF(Compare!$H$5="All mapped",TRUE(),IF(Compare!$H$5="EXACT only",J493="EXACT",OR(J493="EXACT",J493="CLOSE")))),"yes","no")</f>
        <v>yes</v>
      </c>
      <c r="AF493" s="109" t="n">
        <f aca="false">IF(ISNUMBER(H493),COUNTIFS($B$7:$B$3000,B493,$C$7:$C$3000,C493,$H$7:$H$3000,"&lt;"&amp;H493,$AH$7:$AH$3000,"yes")+COUNTIFS($B$7:B493,B493,$C$7:C493,C493,$H$7:H493,H493,$AH$7:AH493,"yes"),"")</f>
        <v>1</v>
      </c>
      <c r="AG493" s="109" t="n">
        <f aca="false">IF(ISNUMBER(I493),COUNTIFS($B$7:$B$3000,B493,$C$7:$C$3000,C493,$I$7:$I$3000,"&lt;"&amp;I493,$AI$7:$AI$3000,"yes")+COUNTIFS($B$7:B493,B493,$C$7:C493,C493,$I$7:I493,I493,$AI$7:AI493,"yes"),"")</f>
        <v>1</v>
      </c>
      <c r="AH493" s="109" t="str">
        <f aca="false">IF(ISNUMBER(H493),"yes","no")</f>
        <v>yes</v>
      </c>
      <c r="AI493" s="109" t="str">
        <f aca="false">IF(ISNUMBER(I493),"yes","no")</f>
        <v>yes</v>
      </c>
      <c r="AJ493" s="116" t="n">
        <v>46295</v>
      </c>
      <c r="AK493" s="109"/>
    </row>
    <row r="494" customFormat="false" ht="42" hidden="false" customHeight="true" outlineLevel="0" collapsed="false">
      <c r="A494" s="3"/>
      <c r="B494" s="36" t="s">
        <v>52</v>
      </c>
      <c r="C494" s="98" t="s">
        <v>17</v>
      </c>
      <c r="D494" s="98" t="s">
        <v>346</v>
      </c>
      <c r="E494" s="110" t="s">
        <v>1766</v>
      </c>
      <c r="F494" s="99" t="n">
        <v>99</v>
      </c>
      <c r="G494" s="98" t="s">
        <v>333</v>
      </c>
      <c r="H494" s="112" t="n">
        <f aca="false">IF(AND(AE494="yes",ISNUMBER(AD494)),AD494,"")</f>
        <v>81.82</v>
      </c>
      <c r="I494" s="95" t="n">
        <f aca="false">IF(AND(AE494="yes",ISNUMBER(AD494),ISNUMBER(INDEX(Sources!$G$7:$G$10,MATCH(AB494,Sources!$B$7:$B$10,0)))),ROUND(AD494/INDEX(Sources!$G$7:$G$10,MATCH(AB494,Sources!$B$7:$B$10,0)),6),"")</f>
        <v>3.350036</v>
      </c>
      <c r="J494" s="98" t="s">
        <v>702</v>
      </c>
      <c r="K494" s="98" t="s">
        <v>586</v>
      </c>
      <c r="L494" s="96"/>
      <c r="M494" s="110" t="s">
        <v>1767</v>
      </c>
      <c r="N494" s="117" t="s">
        <v>1768</v>
      </c>
      <c r="O494" s="110" t="s">
        <v>565</v>
      </c>
      <c r="P494" s="110" t="s">
        <v>265</v>
      </c>
      <c r="Q494" s="118" t="n">
        <v>0.21</v>
      </c>
      <c r="R494" s="110" t="n">
        <v>1</v>
      </c>
      <c r="S494" s="110" t="s">
        <v>632</v>
      </c>
      <c r="T494" s="110" t="s">
        <v>702</v>
      </c>
      <c r="U494" s="110" t="s">
        <v>1535</v>
      </c>
      <c r="V494" s="119"/>
      <c r="W494" s="119"/>
      <c r="X494" s="110" t="s">
        <v>1555</v>
      </c>
      <c r="Y494" s="110"/>
      <c r="Z494" s="110"/>
      <c r="AA494" s="110"/>
      <c r="AB494" s="110" t="s">
        <v>333</v>
      </c>
      <c r="AC494" s="110" t="s">
        <v>538</v>
      </c>
      <c r="AD494" s="110" t="n">
        <f aca="false">IF(OR(F494="",Q494="",R494=""),"",ROUND(IF(P494="incl.",F494/(1+Q494),F494)/IF(S494="per pack",R494,1),2))</f>
        <v>81.82</v>
      </c>
      <c r="AE494" s="110" t="str">
        <f aca="false">IF(AND(AC494="yes",ISNUMBER(F494),IF(Compare!$H$5="All mapped",TRUE(),IF(Compare!$H$5="EXACT only",J494="EXACT",OR(J494="EXACT",J494="CLOSE")))),"yes","no")</f>
        <v>yes</v>
      </c>
      <c r="AF494" s="110" t="n">
        <f aca="false">IF(ISNUMBER(H494),COUNTIFS($B$7:$B$3000,B494,$C$7:$C$3000,C494,$H$7:$H$3000,"&lt;"&amp;H494,$AH$7:$AH$3000,"yes")+COUNTIFS($B$7:B494,B494,$C$7:C494,C494,$H$7:H494,H494,$AH$7:AH494,"yes"),"")</f>
        <v>4</v>
      </c>
      <c r="AG494" s="110" t="n">
        <f aca="false">IF(ISNUMBER(I494),COUNTIFS($B$7:$B$3000,B494,$C$7:$C$3000,C494,$I$7:$I$3000,"&lt;"&amp;I494,$AI$7:$AI$3000,"yes")+COUNTIFS($B$7:B494,B494,$C$7:C494,C494,$I$7:I494,I494,$AI$7:AI494,"yes"),"")</f>
        <v>4</v>
      </c>
      <c r="AH494" s="110" t="str">
        <f aca="false">IF(ISNUMBER(H494),"yes","no")</f>
        <v>yes</v>
      </c>
      <c r="AI494" s="110" t="str">
        <f aca="false">IF(ISNUMBER(I494),"yes","no")</f>
        <v>yes</v>
      </c>
      <c r="AJ494" s="120" t="n">
        <v>46295</v>
      </c>
      <c r="AK494" s="110"/>
    </row>
    <row r="495" customFormat="false" ht="42" hidden="false" customHeight="true" outlineLevel="0" collapsed="false">
      <c r="A495" s="3"/>
      <c r="B495" s="31" t="s">
        <v>52</v>
      </c>
      <c r="C495" s="91" t="s">
        <v>17</v>
      </c>
      <c r="D495" s="91" t="s">
        <v>361</v>
      </c>
      <c r="E495" s="109" t="s">
        <v>1769</v>
      </c>
      <c r="F495" s="92" t="n">
        <v>52</v>
      </c>
      <c r="G495" s="91" t="s">
        <v>333</v>
      </c>
      <c r="H495" s="112" t="n">
        <f aca="false">IF(AND(AE495="yes",ISNUMBER(AD495)),AD495,"")</f>
        <v>42.98</v>
      </c>
      <c r="I495" s="95" t="n">
        <f aca="false">IF(AND(AE495="yes",ISNUMBER(AD495),ISNUMBER(INDEX(Sources!$G$7:$G$10,MATCH(AB495,Sources!$B$7:$B$10,0)))),ROUND(AD495/INDEX(Sources!$G$7:$G$10,MATCH(AB495,Sources!$B$7:$B$10,0)),6),"")</f>
        <v>1.759772</v>
      </c>
      <c r="J495" s="91" t="s">
        <v>702</v>
      </c>
      <c r="K495" s="91" t="s">
        <v>586</v>
      </c>
      <c r="L495" s="96"/>
      <c r="M495" s="109" t="s">
        <v>1770</v>
      </c>
      <c r="N495" s="113" t="s">
        <v>1771</v>
      </c>
      <c r="O495" s="109" t="s">
        <v>882</v>
      </c>
      <c r="P495" s="109" t="s">
        <v>265</v>
      </c>
      <c r="Q495" s="114" t="n">
        <v>0.21</v>
      </c>
      <c r="R495" s="109" t="n">
        <v>1</v>
      </c>
      <c r="S495" s="109" t="s">
        <v>632</v>
      </c>
      <c r="T495" s="109" t="s">
        <v>702</v>
      </c>
      <c r="U495" s="109" t="s">
        <v>1535</v>
      </c>
      <c r="V495" s="115"/>
      <c r="W495" s="115"/>
      <c r="X495" s="109" t="s">
        <v>1555</v>
      </c>
      <c r="Y495" s="109"/>
      <c r="Z495" s="109"/>
      <c r="AA495" s="109"/>
      <c r="AB495" s="109" t="s">
        <v>333</v>
      </c>
      <c r="AC495" s="109" t="s">
        <v>538</v>
      </c>
      <c r="AD495" s="109" t="n">
        <f aca="false">IF(OR(F495="",Q495="",R495=""),"",ROUND(IF(P495="incl.",F495/(1+Q495),F495)/IF(S495="per pack",R495,1),2))</f>
        <v>42.98</v>
      </c>
      <c r="AE495" s="109" t="str">
        <f aca="false">IF(AND(AC495="yes",ISNUMBER(F495),IF(Compare!$H$5="All mapped",TRUE(),IF(Compare!$H$5="EXACT only",J495="EXACT",OR(J495="EXACT",J495="CLOSE")))),"yes","no")</f>
        <v>yes</v>
      </c>
      <c r="AF495" s="109" t="n">
        <f aca="false">IF(ISNUMBER(H495),COUNTIFS($B$7:$B$3000,B495,$C$7:$C$3000,C495,$H$7:$H$3000,"&lt;"&amp;H495,$AH$7:$AH$3000,"yes")+COUNTIFS($B$7:B495,B495,$C$7:C495,C495,$H$7:H495,H495,$AH$7:AH495,"yes"),"")</f>
        <v>3</v>
      </c>
      <c r="AG495" s="109" t="n">
        <f aca="false">IF(ISNUMBER(I495),COUNTIFS($B$7:$B$3000,B495,$C$7:$C$3000,C495,$I$7:$I$3000,"&lt;"&amp;I495,$AI$7:$AI$3000,"yes")+COUNTIFS($B$7:B495,B495,$C$7:C495,C495,$I$7:I495,I495,$AI$7:AI495,"yes"),"")</f>
        <v>3</v>
      </c>
      <c r="AH495" s="109" t="str">
        <f aca="false">IF(ISNUMBER(H495),"yes","no")</f>
        <v>yes</v>
      </c>
      <c r="AI495" s="109" t="str">
        <f aca="false">IF(ISNUMBER(I495),"yes","no")</f>
        <v>yes</v>
      </c>
      <c r="AJ495" s="116" t="n">
        <v>46295</v>
      </c>
      <c r="AK495" s="109"/>
    </row>
    <row r="496" customFormat="false" ht="42" hidden="false" customHeight="true" outlineLevel="0" collapsed="false">
      <c r="A496" s="3"/>
      <c r="B496" s="36" t="s">
        <v>53</v>
      </c>
      <c r="C496" s="98" t="s">
        <v>15</v>
      </c>
      <c r="D496" s="98" t="s">
        <v>243</v>
      </c>
      <c r="E496" s="110" t="s">
        <v>1772</v>
      </c>
      <c r="F496" s="99" t="n">
        <v>1.91</v>
      </c>
      <c r="G496" s="98" t="s">
        <v>244</v>
      </c>
      <c r="H496" s="112" t="n">
        <f aca="false">IF(AND(AE496="yes",ISNUMBER(AD496)),AD496,"")</f>
        <v>1.91</v>
      </c>
      <c r="I496" s="95" t="n">
        <f aca="false">IF(AND(AE496="yes",ISNUMBER(AD496),ISNUMBER(INDEX(Sources!$G$7:$G$10,MATCH(AB496,Sources!$B$7:$B$10,0)))),ROUND(AD496/INDEX(Sources!$G$7:$G$10,MATCH(AB496,Sources!$B$7:$B$10,0)),6),"")</f>
        <v>1.91</v>
      </c>
      <c r="J496" s="98" t="s">
        <v>702</v>
      </c>
      <c r="K496" s="98" t="s">
        <v>586</v>
      </c>
      <c r="L496" s="96"/>
      <c r="M496" s="110" t="s">
        <v>1773</v>
      </c>
      <c r="N496" s="117" t="s">
        <v>1774</v>
      </c>
      <c r="O496" s="110" t="s">
        <v>388</v>
      </c>
      <c r="P496" s="110" t="s">
        <v>590</v>
      </c>
      <c r="Q496" s="118"/>
      <c r="R496" s="110" t="n">
        <v>1</v>
      </c>
      <c r="S496" s="110"/>
      <c r="T496" s="110" t="s">
        <v>702</v>
      </c>
      <c r="U496" s="110" t="s">
        <v>1535</v>
      </c>
      <c r="V496" s="119" t="n">
        <v>1.91</v>
      </c>
      <c r="W496" s="119"/>
      <c r="X496" s="110" t="s">
        <v>1536</v>
      </c>
      <c r="Y496" s="110"/>
      <c r="Z496" s="110"/>
      <c r="AA496" s="110"/>
      <c r="AB496" s="110" t="s">
        <v>244</v>
      </c>
      <c r="AC496" s="110" t="s">
        <v>538</v>
      </c>
      <c r="AD496" s="110" t="n">
        <f aca="false">IF(ISNUMBER(V496),ROUND(V496,6),"")</f>
        <v>1.91</v>
      </c>
      <c r="AE496" s="110" t="str">
        <f aca="false">IF(AND(AC496="yes",ISNUMBER(F496),IF(Compare!$H$5="All mapped",TRUE(),IF(Compare!$H$5="EXACT only",J496="EXACT",OR(J496="EXACT",J496="CLOSE")))),"yes","no")</f>
        <v>yes</v>
      </c>
      <c r="AF496" s="110" t="n">
        <f aca="false">IF(ISNUMBER(H496),COUNTIFS($B$7:$B$3000,B496,$C$7:$C$3000,C496,$H$7:$H$3000,"&lt;"&amp;H496,$AH$7:$AH$3000,"yes")+COUNTIFS($B$7:B496,B496,$C$7:C496,C496,$H$7:H496,H496,$AH$7:AH496,"yes"),"")</f>
        <v>5</v>
      </c>
      <c r="AG496" s="110" t="n">
        <f aca="false">IF(ISNUMBER(I496),COUNTIFS($B$7:$B$3000,B496,$C$7:$C$3000,C496,$I$7:$I$3000,"&lt;"&amp;I496,$AI$7:$AI$3000,"yes")+COUNTIFS($B$7:B496,B496,$C$7:C496,C496,$I$7:I496,I496,$AI$7:AI496,"yes"),"")</f>
        <v>5</v>
      </c>
      <c r="AH496" s="110" t="str">
        <f aca="false">IF(ISNUMBER(H496),"yes","no")</f>
        <v>yes</v>
      </c>
      <c r="AI496" s="110" t="str">
        <f aca="false">IF(ISNUMBER(I496),"yes","no")</f>
        <v>yes</v>
      </c>
      <c r="AJ496" s="120" t="n">
        <v>46295</v>
      </c>
      <c r="AK496" s="110"/>
    </row>
    <row r="497" customFormat="false" ht="42" hidden="false" customHeight="true" outlineLevel="0" collapsed="false">
      <c r="A497" s="3"/>
      <c r="B497" s="31" t="s">
        <v>53</v>
      </c>
      <c r="C497" s="91" t="s">
        <v>15</v>
      </c>
      <c r="D497" s="91" t="s">
        <v>277</v>
      </c>
      <c r="E497" s="109" t="s">
        <v>1775</v>
      </c>
      <c r="F497" s="92" t="n">
        <v>34.99</v>
      </c>
      <c r="G497" s="91" t="s">
        <v>244</v>
      </c>
      <c r="H497" s="112" t="n">
        <f aca="false">IF(AND(AE497="yes",ISNUMBER(AD497)),AD497,"")</f>
        <v>5.83</v>
      </c>
      <c r="I497" s="95" t="n">
        <f aca="false">IF(AND(AE497="yes",ISNUMBER(AD497),ISNUMBER(INDEX(Sources!$G$7:$G$10,MATCH(AB497,Sources!$B$7:$B$10,0)))),ROUND(AD497/INDEX(Sources!$G$7:$G$10,MATCH(AB497,Sources!$B$7:$B$10,0)),6),"")</f>
        <v>5.83</v>
      </c>
      <c r="J497" s="91" t="s">
        <v>702</v>
      </c>
      <c r="K497" s="91" t="s">
        <v>586</v>
      </c>
      <c r="L497" s="96"/>
      <c r="M497" s="109" t="s">
        <v>1776</v>
      </c>
      <c r="N497" s="113" t="s">
        <v>1777</v>
      </c>
      <c r="O497" s="109" t="s">
        <v>610</v>
      </c>
      <c r="P497" s="109" t="s">
        <v>590</v>
      </c>
      <c r="Q497" s="114"/>
      <c r="R497" s="109" t="n">
        <v>6</v>
      </c>
      <c r="S497" s="109" t="s">
        <v>611</v>
      </c>
      <c r="T497" s="109" t="s">
        <v>702</v>
      </c>
      <c r="U497" s="109" t="s">
        <v>1535</v>
      </c>
      <c r="V497" s="115" t="n">
        <v>5.83</v>
      </c>
      <c r="W497" s="115"/>
      <c r="X497" s="109" t="s">
        <v>1536</v>
      </c>
      <c r="Y497" s="109"/>
      <c r="Z497" s="109"/>
      <c r="AA497" s="109"/>
      <c r="AB497" s="109" t="s">
        <v>244</v>
      </c>
      <c r="AC497" s="109" t="s">
        <v>538</v>
      </c>
      <c r="AD497" s="109" t="n">
        <f aca="false">IF(ISNUMBER(V497),ROUND(V497,6),"")</f>
        <v>5.83</v>
      </c>
      <c r="AE497" s="109" t="str">
        <f aca="false">IF(AND(AC497="yes",ISNUMBER(F497),IF(Compare!$H$5="All mapped",TRUE(),IF(Compare!$H$5="EXACT only",J497="EXACT",OR(J497="EXACT",J497="CLOSE")))),"yes","no")</f>
        <v>yes</v>
      </c>
      <c r="AF497" s="109" t="n">
        <f aca="false">IF(ISNUMBER(H497),COUNTIFS($B$7:$B$3000,B497,$C$7:$C$3000,C497,$H$7:$H$3000,"&lt;"&amp;H497,$AH$7:$AH$3000,"yes")+COUNTIFS($B$7:B497,B497,$C$7:C497,C497,$H$7:H497,H497,$AH$7:AH497,"yes"),"")</f>
        <v>7</v>
      </c>
      <c r="AG497" s="109" t="n">
        <f aca="false">IF(ISNUMBER(I497),COUNTIFS($B$7:$B$3000,B497,$C$7:$C$3000,C497,$I$7:$I$3000,"&lt;"&amp;I497,$AI$7:$AI$3000,"yes")+COUNTIFS($B$7:B497,B497,$C$7:C497,C497,$I$7:I497,I497,$AI$7:AI497,"yes"),"")</f>
        <v>7</v>
      </c>
      <c r="AH497" s="109" t="str">
        <f aca="false">IF(ISNUMBER(H497),"yes","no")</f>
        <v>yes</v>
      </c>
      <c r="AI497" s="109" t="str">
        <f aca="false">IF(ISNUMBER(I497),"yes","no")</f>
        <v>yes</v>
      </c>
      <c r="AJ497" s="116" t="n">
        <v>46295</v>
      </c>
      <c r="AK497" s="109"/>
    </row>
    <row r="498" customFormat="false" ht="42" hidden="false" customHeight="true" outlineLevel="0" collapsed="false">
      <c r="A498" s="3"/>
      <c r="B498" s="36" t="s">
        <v>53</v>
      </c>
      <c r="C498" s="98" t="s">
        <v>15</v>
      </c>
      <c r="D498" s="98" t="s">
        <v>269</v>
      </c>
      <c r="E498" s="110" t="s">
        <v>1778</v>
      </c>
      <c r="F498" s="99" t="n">
        <v>1.59</v>
      </c>
      <c r="G498" s="98" t="s">
        <v>244</v>
      </c>
      <c r="H498" s="112" t="n">
        <f aca="false">IF(AND(AE498="yes",ISNUMBER(AD498)),AD498,"")</f>
        <v>1.59</v>
      </c>
      <c r="I498" s="95" t="n">
        <f aca="false">IF(AND(AE498="yes",ISNUMBER(AD498),ISNUMBER(INDEX(Sources!$G$7:$G$10,MATCH(AB498,Sources!$B$7:$B$10,0)))),ROUND(AD498/INDEX(Sources!$G$7:$G$10,MATCH(AB498,Sources!$B$7:$B$10,0)),6),"")</f>
        <v>1.59</v>
      </c>
      <c r="J498" s="98" t="s">
        <v>702</v>
      </c>
      <c r="K498" s="98" t="s">
        <v>586</v>
      </c>
      <c r="L498" s="96"/>
      <c r="M498" s="110" t="s">
        <v>1779</v>
      </c>
      <c r="N498" s="117" t="s">
        <v>1780</v>
      </c>
      <c r="O498" s="110" t="s">
        <v>598</v>
      </c>
      <c r="P498" s="110" t="s">
        <v>590</v>
      </c>
      <c r="Q498" s="118"/>
      <c r="R498" s="110" t="n">
        <v>1</v>
      </c>
      <c r="S498" s="110"/>
      <c r="T498" s="110" t="s">
        <v>702</v>
      </c>
      <c r="U498" s="110" t="s">
        <v>1535</v>
      </c>
      <c r="V498" s="119" t="n">
        <v>1.59</v>
      </c>
      <c r="W498" s="119"/>
      <c r="X498" s="110" t="s">
        <v>1536</v>
      </c>
      <c r="Y498" s="110"/>
      <c r="Z498" s="110"/>
      <c r="AA498" s="110"/>
      <c r="AB498" s="110" t="s">
        <v>244</v>
      </c>
      <c r="AC498" s="110" t="s">
        <v>538</v>
      </c>
      <c r="AD498" s="110" t="n">
        <f aca="false">IF(ISNUMBER(V498),ROUND(V498,6),"")</f>
        <v>1.59</v>
      </c>
      <c r="AE498" s="110" t="str">
        <f aca="false">IF(AND(AC498="yes",ISNUMBER(F498),IF(Compare!$H$5="All mapped",TRUE(),IF(Compare!$H$5="EXACT only",J498="EXACT",OR(J498="EXACT",J498="CLOSE")))),"yes","no")</f>
        <v>yes</v>
      </c>
      <c r="AF498" s="110" t="n">
        <f aca="false">IF(ISNUMBER(H498),COUNTIFS($B$7:$B$3000,B498,$C$7:$C$3000,C498,$H$7:$H$3000,"&lt;"&amp;H498,$AH$7:$AH$3000,"yes")+COUNTIFS($B$7:B498,B498,$C$7:C498,C498,$H$7:H498,H498,$AH$7:AH498,"yes"),"")</f>
        <v>3</v>
      </c>
      <c r="AG498" s="110" t="n">
        <f aca="false">IF(ISNUMBER(I498),COUNTIFS($B$7:$B$3000,B498,$C$7:$C$3000,C498,$I$7:$I$3000,"&lt;"&amp;I498,$AI$7:$AI$3000,"yes")+COUNTIFS($B$7:B498,B498,$C$7:C498,C498,$I$7:I498,I498,$AI$7:AI498,"yes"),"")</f>
        <v>3</v>
      </c>
      <c r="AH498" s="110" t="str">
        <f aca="false">IF(ISNUMBER(H498),"yes","no")</f>
        <v>yes</v>
      </c>
      <c r="AI498" s="110" t="str">
        <f aca="false">IF(ISNUMBER(I498),"yes","no")</f>
        <v>yes</v>
      </c>
      <c r="AJ498" s="120" t="n">
        <v>46295</v>
      </c>
      <c r="AK498" s="110"/>
    </row>
    <row r="499" customFormat="false" ht="42" hidden="false" customHeight="true" outlineLevel="0" collapsed="false">
      <c r="A499" s="3"/>
      <c r="B499" s="31" t="s">
        <v>53</v>
      </c>
      <c r="C499" s="91" t="s">
        <v>15</v>
      </c>
      <c r="D499" s="91" t="s">
        <v>264</v>
      </c>
      <c r="E499" s="109" t="s">
        <v>1781</v>
      </c>
      <c r="F499" s="92" t="n">
        <v>1.08</v>
      </c>
      <c r="G499" s="91" t="s">
        <v>244</v>
      </c>
      <c r="H499" s="112" t="n">
        <f aca="false">IF(AND(AE499="yes",ISNUMBER(AD499)),AD499,"")</f>
        <v>1.08</v>
      </c>
      <c r="I499" s="95" t="n">
        <f aca="false">IF(AND(AE499="yes",ISNUMBER(AD499),ISNUMBER(INDEX(Sources!$G$7:$G$10,MATCH(AB499,Sources!$B$7:$B$10,0)))),ROUND(AD499/INDEX(Sources!$G$7:$G$10,MATCH(AB499,Sources!$B$7:$B$10,0)),6),"")</f>
        <v>1.08</v>
      </c>
      <c r="J499" s="91" t="s">
        <v>702</v>
      </c>
      <c r="K499" s="91" t="s">
        <v>586</v>
      </c>
      <c r="L499" s="96"/>
      <c r="M499" s="109" t="s">
        <v>1782</v>
      </c>
      <c r="N499" s="113" t="s">
        <v>1783</v>
      </c>
      <c r="O499" s="109" t="s">
        <v>646</v>
      </c>
      <c r="P499" s="109" t="s">
        <v>590</v>
      </c>
      <c r="Q499" s="114"/>
      <c r="R499" s="109" t="n">
        <v>1</v>
      </c>
      <c r="S499" s="109"/>
      <c r="T499" s="109" t="s">
        <v>702</v>
      </c>
      <c r="U499" s="109" t="s">
        <v>1535</v>
      </c>
      <c r="V499" s="115" t="n">
        <v>1.08</v>
      </c>
      <c r="W499" s="115"/>
      <c r="X499" s="109" t="s">
        <v>1536</v>
      </c>
      <c r="Y499" s="109"/>
      <c r="Z499" s="109"/>
      <c r="AA499" s="109"/>
      <c r="AB499" s="109" t="s">
        <v>244</v>
      </c>
      <c r="AC499" s="109" t="s">
        <v>538</v>
      </c>
      <c r="AD499" s="109" t="n">
        <f aca="false">IF(ISNUMBER(V499),ROUND(V499,6),"")</f>
        <v>1.08</v>
      </c>
      <c r="AE499" s="109" t="str">
        <f aca="false">IF(AND(AC499="yes",ISNUMBER(F499),IF(Compare!$H$5="All mapped",TRUE(),IF(Compare!$H$5="EXACT only",J499="EXACT",OR(J499="EXACT",J499="CLOSE")))),"yes","no")</f>
        <v>yes</v>
      </c>
      <c r="AF499" s="109" t="n">
        <f aca="false">IF(ISNUMBER(H499),COUNTIFS($B$7:$B$3000,B499,$C$7:$C$3000,C499,$H$7:$H$3000,"&lt;"&amp;H499,$AH$7:$AH$3000,"yes")+COUNTIFS($B$7:B499,B499,$C$7:C499,C499,$H$7:H499,H499,$AH$7:AH499,"yes"),"")</f>
        <v>2</v>
      </c>
      <c r="AG499" s="109" t="n">
        <f aca="false">IF(ISNUMBER(I499),COUNTIFS($B$7:$B$3000,B499,$C$7:$C$3000,C499,$I$7:$I$3000,"&lt;"&amp;I499,$AI$7:$AI$3000,"yes")+COUNTIFS($B$7:B499,B499,$C$7:C499,C499,$I$7:I499,I499,$AI$7:AI499,"yes"),"")</f>
        <v>2</v>
      </c>
      <c r="AH499" s="109" t="str">
        <f aca="false">IF(ISNUMBER(H499),"yes","no")</f>
        <v>yes</v>
      </c>
      <c r="AI499" s="109" t="str">
        <f aca="false">IF(ISNUMBER(I499),"yes","no")</f>
        <v>yes</v>
      </c>
      <c r="AJ499" s="116" t="n">
        <v>46295</v>
      </c>
      <c r="AK499" s="109"/>
    </row>
    <row r="500" customFormat="false" ht="42" hidden="false" customHeight="true" outlineLevel="0" collapsed="false">
      <c r="A500" s="3"/>
      <c r="B500" s="36" t="s">
        <v>53</v>
      </c>
      <c r="C500" s="98" t="s">
        <v>15</v>
      </c>
      <c r="D500" s="98" t="s">
        <v>273</v>
      </c>
      <c r="E500" s="110" t="s">
        <v>1784</v>
      </c>
      <c r="F500" s="99" t="n">
        <v>2.69</v>
      </c>
      <c r="G500" s="98" t="s">
        <v>244</v>
      </c>
      <c r="H500" s="112" t="n">
        <f aca="false">IF(AND(AE500="yes",ISNUMBER(AD500)),AD500,"")</f>
        <v>2.24</v>
      </c>
      <c r="I500" s="95" t="n">
        <f aca="false">IF(AND(AE500="yes",ISNUMBER(AD500),ISNUMBER(INDEX(Sources!$G$7:$G$10,MATCH(AB500,Sources!$B$7:$B$10,0)))),ROUND(AD500/INDEX(Sources!$G$7:$G$10,MATCH(AB500,Sources!$B$7:$B$10,0)),6),"")</f>
        <v>2.24</v>
      </c>
      <c r="J500" s="98" t="s">
        <v>702</v>
      </c>
      <c r="K500" s="98" t="s">
        <v>586</v>
      </c>
      <c r="L500" s="96"/>
      <c r="M500" s="110" t="s">
        <v>1785</v>
      </c>
      <c r="N500" s="117" t="s">
        <v>1786</v>
      </c>
      <c r="O500" s="110" t="s">
        <v>598</v>
      </c>
      <c r="P500" s="110" t="s">
        <v>265</v>
      </c>
      <c r="Q500" s="118"/>
      <c r="R500" s="110" t="n">
        <v>1</v>
      </c>
      <c r="S500" s="110"/>
      <c r="T500" s="110" t="s">
        <v>702</v>
      </c>
      <c r="U500" s="110" t="s">
        <v>1535</v>
      </c>
      <c r="V500" s="119" t="n">
        <v>2.24</v>
      </c>
      <c r="W500" s="119"/>
      <c r="X500" s="110" t="s">
        <v>1536</v>
      </c>
      <c r="Y500" s="110"/>
      <c r="Z500" s="110"/>
      <c r="AA500" s="110"/>
      <c r="AB500" s="110" t="s">
        <v>244</v>
      </c>
      <c r="AC500" s="110" t="s">
        <v>538</v>
      </c>
      <c r="AD500" s="110" t="n">
        <f aca="false">IF(ISNUMBER(V500),ROUND(V500,6),"")</f>
        <v>2.24</v>
      </c>
      <c r="AE500" s="110" t="str">
        <f aca="false">IF(AND(AC500="yes",ISNUMBER(F500),IF(Compare!$H$5="All mapped",TRUE(),IF(Compare!$H$5="EXACT only",J500="EXACT",OR(J500="EXACT",J500="CLOSE")))),"yes","no")</f>
        <v>yes</v>
      </c>
      <c r="AF500" s="110" t="n">
        <f aca="false">IF(ISNUMBER(H500),COUNTIFS($B$7:$B$3000,B500,$C$7:$C$3000,C500,$H$7:$H$3000,"&lt;"&amp;H500,$AH$7:$AH$3000,"yes")+COUNTIFS($B$7:B500,B500,$C$7:C500,C500,$H$7:H500,H500,$AH$7:AH500,"yes"),"")</f>
        <v>6</v>
      </c>
      <c r="AG500" s="110" t="n">
        <f aca="false">IF(ISNUMBER(I500),COUNTIFS($B$7:$B$3000,B500,$C$7:$C$3000,C500,$I$7:$I$3000,"&lt;"&amp;I500,$AI$7:$AI$3000,"yes")+COUNTIFS($B$7:B500,B500,$C$7:C500,C500,$I$7:I500,I500,$AI$7:AI500,"yes"),"")</f>
        <v>6</v>
      </c>
      <c r="AH500" s="110" t="str">
        <f aca="false">IF(ISNUMBER(H500),"yes","no")</f>
        <v>yes</v>
      </c>
      <c r="AI500" s="110" t="str">
        <f aca="false">IF(ISNUMBER(I500),"yes","no")</f>
        <v>yes</v>
      </c>
      <c r="AJ500" s="120" t="n">
        <v>46295</v>
      </c>
      <c r="AK500" s="110"/>
    </row>
    <row r="501" customFormat="false" ht="42" hidden="false" customHeight="true" outlineLevel="0" collapsed="false">
      <c r="A501" s="3"/>
      <c r="B501" s="31" t="s">
        <v>53</v>
      </c>
      <c r="C501" s="91" t="s">
        <v>15</v>
      </c>
      <c r="D501" s="91" t="s">
        <v>281</v>
      </c>
      <c r="E501" s="109" t="s">
        <v>1787</v>
      </c>
      <c r="F501" s="92" t="n">
        <v>1.06</v>
      </c>
      <c r="G501" s="91" t="s">
        <v>244</v>
      </c>
      <c r="H501" s="112" t="n">
        <f aca="false">IF(AND(AE501="yes",ISNUMBER(AD501)),AD501,"")</f>
        <v>1.06</v>
      </c>
      <c r="I501" s="95" t="n">
        <f aca="false">IF(AND(AE501="yes",ISNUMBER(AD501),ISNUMBER(INDEX(Sources!$G$7:$G$10,MATCH(AB501,Sources!$B$7:$B$10,0)))),ROUND(AD501/INDEX(Sources!$G$7:$G$10,MATCH(AB501,Sources!$B$7:$B$10,0)),6),"")</f>
        <v>1.06</v>
      </c>
      <c r="J501" s="91" t="s">
        <v>702</v>
      </c>
      <c r="K501" s="91" t="s">
        <v>586</v>
      </c>
      <c r="L501" s="96"/>
      <c r="M501" s="109" t="s">
        <v>1788</v>
      </c>
      <c r="N501" s="113" t="s">
        <v>1789</v>
      </c>
      <c r="O501" s="109" t="s">
        <v>646</v>
      </c>
      <c r="P501" s="109" t="s">
        <v>590</v>
      </c>
      <c r="Q501" s="114"/>
      <c r="R501" s="109" t="n">
        <v>1</v>
      </c>
      <c r="S501" s="109"/>
      <c r="T501" s="109" t="s">
        <v>702</v>
      </c>
      <c r="U501" s="109" t="s">
        <v>1535</v>
      </c>
      <c r="V501" s="115" t="n">
        <v>1.06</v>
      </c>
      <c r="W501" s="115"/>
      <c r="X501" s="109" t="s">
        <v>1536</v>
      </c>
      <c r="Y501" s="109"/>
      <c r="Z501" s="109"/>
      <c r="AA501" s="109"/>
      <c r="AB501" s="109" t="s">
        <v>244</v>
      </c>
      <c r="AC501" s="109" t="s">
        <v>538</v>
      </c>
      <c r="AD501" s="109" t="n">
        <f aca="false">IF(ISNUMBER(V501),ROUND(V501,6),"")</f>
        <v>1.06</v>
      </c>
      <c r="AE501" s="109" t="str">
        <f aca="false">IF(AND(AC501="yes",ISNUMBER(F501),IF(Compare!$H$5="All mapped",TRUE(),IF(Compare!$H$5="EXACT only",J501="EXACT",OR(J501="EXACT",J501="CLOSE")))),"yes","no")</f>
        <v>yes</v>
      </c>
      <c r="AF501" s="109" t="n">
        <f aca="false">IF(ISNUMBER(H501),COUNTIFS($B$7:$B$3000,B501,$C$7:$C$3000,C501,$H$7:$H$3000,"&lt;"&amp;H501,$AH$7:$AH$3000,"yes")+COUNTIFS($B$7:B501,B501,$C$7:C501,C501,$H$7:H501,H501,$AH$7:AH501,"yes"),"")</f>
        <v>1</v>
      </c>
      <c r="AG501" s="109" t="n">
        <f aca="false">IF(ISNUMBER(I501),COUNTIFS($B$7:$B$3000,B501,$C$7:$C$3000,C501,$I$7:$I$3000,"&lt;"&amp;I501,$AI$7:$AI$3000,"yes")+COUNTIFS($B$7:B501,B501,$C$7:C501,C501,$I$7:I501,I501,$AI$7:AI501,"yes"),"")</f>
        <v>1</v>
      </c>
      <c r="AH501" s="109" t="str">
        <f aca="false">IF(ISNUMBER(H501),"yes","no")</f>
        <v>yes</v>
      </c>
      <c r="AI501" s="109" t="str">
        <f aca="false">IF(ISNUMBER(I501),"yes","no")</f>
        <v>yes</v>
      </c>
      <c r="AJ501" s="116" t="n">
        <v>46295</v>
      </c>
      <c r="AK501" s="109"/>
    </row>
    <row r="502" customFormat="false" ht="42" hidden="false" customHeight="true" outlineLevel="0" collapsed="false">
      <c r="A502" s="3"/>
      <c r="B502" s="36" t="s">
        <v>53</v>
      </c>
      <c r="C502" s="98" t="s">
        <v>17</v>
      </c>
      <c r="D502" s="98" t="s">
        <v>354</v>
      </c>
      <c r="E502" s="110" t="s">
        <v>1790</v>
      </c>
      <c r="F502" s="99" t="n">
        <v>827.28</v>
      </c>
      <c r="G502" s="98" t="s">
        <v>333</v>
      </c>
      <c r="H502" s="112" t="n">
        <f aca="false">IF(AND(AE502="yes",ISNUMBER(AD502)),AD502,"")</f>
        <v>137.88</v>
      </c>
      <c r="I502" s="95" t="n">
        <f aca="false">IF(AND(AE502="yes",ISNUMBER(AD502),ISNUMBER(INDEX(Sources!$G$7:$G$10,MATCH(AB502,Sources!$B$7:$B$10,0)))),ROUND(AD502/INDEX(Sources!$G$7:$G$10,MATCH(AB502,Sources!$B$7:$B$10,0)),6),"")</f>
        <v>5.645356</v>
      </c>
      <c r="J502" s="98" t="s">
        <v>702</v>
      </c>
      <c r="K502" s="98" t="s">
        <v>586</v>
      </c>
      <c r="L502" s="96"/>
      <c r="M502" s="110" t="s">
        <v>1791</v>
      </c>
      <c r="N502" s="117" t="s">
        <v>1792</v>
      </c>
      <c r="O502" s="110" t="s">
        <v>610</v>
      </c>
      <c r="P502" s="110" t="s">
        <v>590</v>
      </c>
      <c r="Q502" s="118" t="n">
        <v>0.19</v>
      </c>
      <c r="R502" s="110" t="n">
        <v>6</v>
      </c>
      <c r="S502" s="110" t="s">
        <v>625</v>
      </c>
      <c r="T502" s="110" t="s">
        <v>702</v>
      </c>
      <c r="U502" s="110" t="s">
        <v>1535</v>
      </c>
      <c r="V502" s="119"/>
      <c r="W502" s="119"/>
      <c r="X502" s="110" t="s">
        <v>1555</v>
      </c>
      <c r="Y502" s="110"/>
      <c r="Z502" s="110"/>
      <c r="AA502" s="110"/>
      <c r="AB502" s="110" t="s">
        <v>333</v>
      </c>
      <c r="AC502" s="110" t="s">
        <v>538</v>
      </c>
      <c r="AD502" s="110" t="n">
        <f aca="false">IF(OR(F502="",Q502="",R502=""),"",ROUND(IF(P502="incl.",F502/(1+Q502),F502)/IF(S502="per pack",R502,1),2))</f>
        <v>137.88</v>
      </c>
      <c r="AE502" s="110" t="str">
        <f aca="false">IF(AND(AC502="yes",ISNUMBER(F502),IF(Compare!$H$5="All mapped",TRUE(),IF(Compare!$H$5="EXACT only",J502="EXACT",OR(J502="EXACT",J502="CLOSE")))),"yes","no")</f>
        <v>yes</v>
      </c>
      <c r="AF502" s="110" t="n">
        <f aca="false">IF(ISNUMBER(H502),COUNTIFS($B$7:$B$3000,B502,$C$7:$C$3000,C502,$H$7:$H$3000,"&lt;"&amp;H502,$AH$7:$AH$3000,"yes")+COUNTIFS($B$7:B502,B502,$C$7:C502,C502,$H$7:H502,H502,$AH$7:AH502,"yes"),"")</f>
        <v>7</v>
      </c>
      <c r="AG502" s="110" t="n">
        <f aca="false">IF(ISNUMBER(I502),COUNTIFS($B$7:$B$3000,B502,$C$7:$C$3000,C502,$I$7:$I$3000,"&lt;"&amp;I502,$AI$7:$AI$3000,"yes")+COUNTIFS($B$7:B502,B502,$C$7:C502,C502,$I$7:I502,I502,$AI$7:AI502,"yes"),"")</f>
        <v>7</v>
      </c>
      <c r="AH502" s="110" t="str">
        <f aca="false">IF(ISNUMBER(H502),"yes","no")</f>
        <v>yes</v>
      </c>
      <c r="AI502" s="110" t="str">
        <f aca="false">IF(ISNUMBER(I502),"yes","no")</f>
        <v>yes</v>
      </c>
      <c r="AJ502" s="120" t="n">
        <v>46295</v>
      </c>
      <c r="AK502" s="110"/>
    </row>
    <row r="503" customFormat="false" ht="42" hidden="false" customHeight="true" outlineLevel="0" collapsed="false">
      <c r="A503" s="3"/>
      <c r="B503" s="31" t="s">
        <v>53</v>
      </c>
      <c r="C503" s="91" t="s">
        <v>17</v>
      </c>
      <c r="D503" s="91" t="s">
        <v>332</v>
      </c>
      <c r="E503" s="109" t="s">
        <v>1793</v>
      </c>
      <c r="F503" s="92" t="n">
        <v>39</v>
      </c>
      <c r="G503" s="91" t="s">
        <v>333</v>
      </c>
      <c r="H503" s="112" t="n">
        <f aca="false">IF(AND(AE503="yes",ISNUMBER(AD503)),AD503,"")</f>
        <v>39</v>
      </c>
      <c r="I503" s="95" t="n">
        <f aca="false">IF(AND(AE503="yes",ISNUMBER(AD503),ISNUMBER(INDEX(Sources!$G$7:$G$10,MATCH(AB503,Sources!$B$7:$B$10,0)))),ROUND(AD503/INDEX(Sources!$G$7:$G$10,MATCH(AB503,Sources!$B$7:$B$10,0)),6),"")</f>
        <v>1.596815</v>
      </c>
      <c r="J503" s="91" t="s">
        <v>702</v>
      </c>
      <c r="K503" s="91" t="s">
        <v>586</v>
      </c>
      <c r="L503" s="96"/>
      <c r="M503" s="109" t="s">
        <v>1794</v>
      </c>
      <c r="N503" s="113" t="s">
        <v>1795</v>
      </c>
      <c r="O503" s="109"/>
      <c r="P503" s="109" t="s">
        <v>590</v>
      </c>
      <c r="Q503" s="114" t="n">
        <v>0.21</v>
      </c>
      <c r="R503" s="109" t="n">
        <v>1</v>
      </c>
      <c r="S503" s="109" t="s">
        <v>632</v>
      </c>
      <c r="T503" s="109" t="s">
        <v>702</v>
      </c>
      <c r="U503" s="109" t="s">
        <v>1535</v>
      </c>
      <c r="V503" s="115"/>
      <c r="W503" s="115"/>
      <c r="X503" s="109" t="s">
        <v>1555</v>
      </c>
      <c r="Y503" s="109"/>
      <c r="Z503" s="109"/>
      <c r="AA503" s="109"/>
      <c r="AB503" s="109" t="s">
        <v>333</v>
      </c>
      <c r="AC503" s="109" t="s">
        <v>538</v>
      </c>
      <c r="AD503" s="109" t="n">
        <f aca="false">IF(OR(F503="",Q503="",R503=""),"",ROUND(IF(P503="incl.",F503/(1+Q503),F503)/IF(S503="per pack",R503,1),2))</f>
        <v>39</v>
      </c>
      <c r="AE503" s="109" t="str">
        <f aca="false">IF(AND(AC503="yes",ISNUMBER(F503),IF(Compare!$H$5="All mapped",TRUE(),IF(Compare!$H$5="EXACT only",J503="EXACT",OR(J503="EXACT",J503="CLOSE")))),"yes","no")</f>
        <v>yes</v>
      </c>
      <c r="AF503" s="109" t="n">
        <f aca="false">IF(ISNUMBER(H503),COUNTIFS($B$7:$B$3000,B503,$C$7:$C$3000,C503,$H$7:$H$3000,"&lt;"&amp;H503,$AH$7:$AH$3000,"yes")+COUNTIFS($B$7:B503,B503,$C$7:C503,C503,$H$7:H503,H503,$AH$7:AH503,"yes"),"")</f>
        <v>5</v>
      </c>
      <c r="AG503" s="109" t="n">
        <f aca="false">IF(ISNUMBER(I503),COUNTIFS($B$7:$B$3000,B503,$C$7:$C$3000,C503,$I$7:$I$3000,"&lt;"&amp;I503,$AI$7:$AI$3000,"yes")+COUNTIFS($B$7:B503,B503,$C$7:C503,C503,$I$7:I503,I503,$AI$7:AI503,"yes"),"")</f>
        <v>5</v>
      </c>
      <c r="AH503" s="109" t="str">
        <f aca="false">IF(ISNUMBER(H503),"yes","no")</f>
        <v>yes</v>
      </c>
      <c r="AI503" s="109" t="str">
        <f aca="false">IF(ISNUMBER(I503),"yes","no")</f>
        <v>yes</v>
      </c>
      <c r="AJ503" s="116" t="n">
        <v>46295</v>
      </c>
      <c r="AK503" s="109"/>
    </row>
    <row r="504" customFormat="false" ht="42" hidden="false" customHeight="true" outlineLevel="0" collapsed="false">
      <c r="A504" s="3"/>
      <c r="B504" s="36" t="s">
        <v>53</v>
      </c>
      <c r="C504" s="98" t="s">
        <v>17</v>
      </c>
      <c r="D504" s="98" t="s">
        <v>342</v>
      </c>
      <c r="E504" s="110" t="s">
        <v>1796</v>
      </c>
      <c r="F504" s="99" t="n">
        <v>34</v>
      </c>
      <c r="G504" s="98" t="s">
        <v>333</v>
      </c>
      <c r="H504" s="112" t="n">
        <f aca="false">IF(AND(AE504="yes",ISNUMBER(AD504)),AD504,"")</f>
        <v>28.1</v>
      </c>
      <c r="I504" s="95" t="n">
        <f aca="false">IF(AND(AE504="yes",ISNUMBER(AD504),ISNUMBER(INDEX(Sources!$G$7:$G$10,MATCH(AB504,Sources!$B$7:$B$10,0)))),ROUND(AD504/INDEX(Sources!$G$7:$G$10,MATCH(AB504,Sources!$B$7:$B$10,0)),6),"")</f>
        <v>1.150526</v>
      </c>
      <c r="J504" s="98" t="s">
        <v>702</v>
      </c>
      <c r="K504" s="98" t="s">
        <v>586</v>
      </c>
      <c r="L504" s="96"/>
      <c r="M504" s="110" t="s">
        <v>1797</v>
      </c>
      <c r="N504" s="117" t="s">
        <v>1798</v>
      </c>
      <c r="O504" s="110" t="s">
        <v>361</v>
      </c>
      <c r="P504" s="110" t="s">
        <v>265</v>
      </c>
      <c r="Q504" s="118" t="n">
        <v>0.21</v>
      </c>
      <c r="R504" s="110" t="n">
        <v>1</v>
      </c>
      <c r="S504" s="110" t="s">
        <v>632</v>
      </c>
      <c r="T504" s="110" t="s">
        <v>702</v>
      </c>
      <c r="U504" s="110" t="s">
        <v>1535</v>
      </c>
      <c r="V504" s="119"/>
      <c r="W504" s="119"/>
      <c r="X504" s="110" t="s">
        <v>1555</v>
      </c>
      <c r="Y504" s="110"/>
      <c r="Z504" s="110"/>
      <c r="AA504" s="110"/>
      <c r="AB504" s="110" t="s">
        <v>333</v>
      </c>
      <c r="AC504" s="110" t="s">
        <v>538</v>
      </c>
      <c r="AD504" s="110" t="n">
        <f aca="false">IF(OR(F504="",Q504="",R504=""),"",ROUND(IF(P504="incl.",F504/(1+Q504),F504)/IF(S504="per pack",R504,1),2))</f>
        <v>28.1</v>
      </c>
      <c r="AE504" s="110" t="str">
        <f aca="false">IF(AND(AC504="yes",ISNUMBER(F504),IF(Compare!$H$5="All mapped",TRUE(),IF(Compare!$H$5="EXACT only",J504="EXACT",OR(J504="EXACT",J504="CLOSE")))),"yes","no")</f>
        <v>yes</v>
      </c>
      <c r="AF504" s="110" t="n">
        <f aca="false">IF(ISNUMBER(H504),COUNTIFS($B$7:$B$3000,B504,$C$7:$C$3000,C504,$H$7:$H$3000,"&lt;"&amp;H504,$AH$7:$AH$3000,"yes")+COUNTIFS($B$7:B504,B504,$C$7:C504,C504,$H$7:H504,H504,$AH$7:AH504,"yes"),"")</f>
        <v>1</v>
      </c>
      <c r="AG504" s="110" t="n">
        <f aca="false">IF(ISNUMBER(I504),COUNTIFS($B$7:$B$3000,B504,$C$7:$C$3000,C504,$I$7:$I$3000,"&lt;"&amp;I504,$AI$7:$AI$3000,"yes")+COUNTIFS($B$7:B504,B504,$C$7:C504,C504,$I$7:I504,I504,$AI$7:AI504,"yes"),"")</f>
        <v>1</v>
      </c>
      <c r="AH504" s="110" t="str">
        <f aca="false">IF(ISNUMBER(H504),"yes","no")</f>
        <v>yes</v>
      </c>
      <c r="AI504" s="110" t="str">
        <f aca="false">IF(ISNUMBER(I504),"yes","no")</f>
        <v>yes</v>
      </c>
      <c r="AJ504" s="120" t="n">
        <v>46295</v>
      </c>
      <c r="AK504" s="110"/>
    </row>
    <row r="505" customFormat="false" ht="42" hidden="false" customHeight="true" outlineLevel="0" collapsed="false">
      <c r="A505" s="3"/>
      <c r="B505" s="31" t="s">
        <v>53</v>
      </c>
      <c r="C505" s="91" t="s">
        <v>17</v>
      </c>
      <c r="D505" s="91" t="s">
        <v>346</v>
      </c>
      <c r="E505" s="109" t="s">
        <v>1799</v>
      </c>
      <c r="F505" s="92" t="n">
        <v>154</v>
      </c>
      <c r="G505" s="91" t="s">
        <v>333</v>
      </c>
      <c r="H505" s="112" t="n">
        <f aca="false">IF(AND(AE505="yes",ISNUMBER(AD505)),AD505,"")</f>
        <v>127.27</v>
      </c>
      <c r="I505" s="95" t="n">
        <f aca="false">IF(AND(AE505="yes",ISNUMBER(AD505),ISNUMBER(INDEX(Sources!$G$7:$G$10,MATCH(AB505,Sources!$B$7:$B$10,0)))),ROUND(AD505/INDEX(Sources!$G$7:$G$10,MATCH(AB505,Sources!$B$7:$B$10,0)),6),"")</f>
        <v>5.21094</v>
      </c>
      <c r="J505" s="91" t="s">
        <v>702</v>
      </c>
      <c r="K505" s="91" t="s">
        <v>586</v>
      </c>
      <c r="L505" s="96"/>
      <c r="M505" s="109" t="s">
        <v>1800</v>
      </c>
      <c r="N505" s="113" t="s">
        <v>1801</v>
      </c>
      <c r="O505" s="109" t="s">
        <v>565</v>
      </c>
      <c r="P505" s="109" t="s">
        <v>265</v>
      </c>
      <c r="Q505" s="114" t="n">
        <v>0.21</v>
      </c>
      <c r="R505" s="109" t="n">
        <v>1</v>
      </c>
      <c r="S505" s="109" t="s">
        <v>632</v>
      </c>
      <c r="T505" s="109" t="s">
        <v>702</v>
      </c>
      <c r="U505" s="109" t="s">
        <v>1535</v>
      </c>
      <c r="V505" s="115"/>
      <c r="W505" s="115"/>
      <c r="X505" s="109" t="s">
        <v>1555</v>
      </c>
      <c r="Y505" s="109"/>
      <c r="Z505" s="109"/>
      <c r="AA505" s="109"/>
      <c r="AB505" s="109" t="s">
        <v>333</v>
      </c>
      <c r="AC505" s="109" t="s">
        <v>538</v>
      </c>
      <c r="AD505" s="109" t="n">
        <f aca="false">IF(OR(F505="",Q505="",R505=""),"",ROUND(IF(P505="incl.",F505/(1+Q505),F505)/IF(S505="per pack",R505,1),2))</f>
        <v>127.27</v>
      </c>
      <c r="AE505" s="109" t="str">
        <f aca="false">IF(AND(AC505="yes",ISNUMBER(F505),IF(Compare!$H$5="All mapped",TRUE(),IF(Compare!$H$5="EXACT only",J505="EXACT",OR(J505="EXACT",J505="CLOSE")))),"yes","no")</f>
        <v>yes</v>
      </c>
      <c r="AF505" s="109" t="n">
        <f aca="false">IF(ISNUMBER(H505),COUNTIFS($B$7:$B$3000,B505,$C$7:$C$3000,C505,$H$7:$H$3000,"&lt;"&amp;H505,$AH$7:$AH$3000,"yes")+COUNTIFS($B$7:B505,B505,$C$7:C505,C505,$H$7:H505,H505,$AH$7:AH505,"yes"),"")</f>
        <v>6</v>
      </c>
      <c r="AG505" s="109" t="n">
        <f aca="false">IF(ISNUMBER(I505),COUNTIFS($B$7:$B$3000,B505,$C$7:$C$3000,C505,$I$7:$I$3000,"&lt;"&amp;I505,$AI$7:$AI$3000,"yes")+COUNTIFS($B$7:B505,B505,$C$7:C505,C505,$I$7:I505,I505,$AI$7:AI505,"yes"),"")</f>
        <v>6</v>
      </c>
      <c r="AH505" s="109" t="str">
        <f aca="false">IF(ISNUMBER(H505),"yes","no")</f>
        <v>yes</v>
      </c>
      <c r="AI505" s="109" t="str">
        <f aca="false">IF(ISNUMBER(I505),"yes","no")</f>
        <v>yes</v>
      </c>
      <c r="AJ505" s="116" t="n">
        <v>46295</v>
      </c>
      <c r="AK505" s="109"/>
    </row>
    <row r="506" customFormat="false" ht="42" hidden="false" customHeight="true" outlineLevel="0" collapsed="false">
      <c r="A506" s="3"/>
      <c r="B506" s="36" t="s">
        <v>53</v>
      </c>
      <c r="C506" s="98" t="s">
        <v>17</v>
      </c>
      <c r="D506" s="98" t="s">
        <v>361</v>
      </c>
      <c r="E506" s="110" t="s">
        <v>1802</v>
      </c>
      <c r="F506" s="99" t="n">
        <v>34</v>
      </c>
      <c r="G506" s="98" t="s">
        <v>333</v>
      </c>
      <c r="H506" s="112" t="n">
        <f aca="false">IF(AND(AE506="yes",ISNUMBER(AD506)),AD506,"")</f>
        <v>28.1</v>
      </c>
      <c r="I506" s="95" t="n">
        <f aca="false">IF(AND(AE506="yes",ISNUMBER(AD506),ISNUMBER(INDEX(Sources!$G$7:$G$10,MATCH(AB506,Sources!$B$7:$B$10,0)))),ROUND(AD506/INDEX(Sources!$G$7:$G$10,MATCH(AB506,Sources!$B$7:$B$10,0)),6),"")</f>
        <v>1.150526</v>
      </c>
      <c r="J506" s="98" t="s">
        <v>702</v>
      </c>
      <c r="K506" s="98" t="s">
        <v>586</v>
      </c>
      <c r="L506" s="96"/>
      <c r="M506" s="110" t="s">
        <v>1803</v>
      </c>
      <c r="N506" s="117" t="s">
        <v>1804</v>
      </c>
      <c r="O506" s="110" t="s">
        <v>361</v>
      </c>
      <c r="P506" s="110" t="s">
        <v>265</v>
      </c>
      <c r="Q506" s="118" t="n">
        <v>0.21</v>
      </c>
      <c r="R506" s="110" t="n">
        <v>1</v>
      </c>
      <c r="S506" s="110" t="s">
        <v>632</v>
      </c>
      <c r="T506" s="110" t="s">
        <v>702</v>
      </c>
      <c r="U506" s="110" t="s">
        <v>1535</v>
      </c>
      <c r="V506" s="119"/>
      <c r="W506" s="119"/>
      <c r="X506" s="110" t="s">
        <v>1555</v>
      </c>
      <c r="Y506" s="110"/>
      <c r="Z506" s="110"/>
      <c r="AA506" s="110"/>
      <c r="AB506" s="110" t="s">
        <v>333</v>
      </c>
      <c r="AC506" s="110" t="s">
        <v>538</v>
      </c>
      <c r="AD506" s="110" t="n">
        <f aca="false">IF(OR(F506="",Q506="",R506=""),"",ROUND(IF(P506="incl.",F506/(1+Q506),F506)/IF(S506="per pack",R506,1),2))</f>
        <v>28.1</v>
      </c>
      <c r="AE506" s="110" t="str">
        <f aca="false">IF(AND(AC506="yes",ISNUMBER(F506),IF(Compare!$H$5="All mapped",TRUE(),IF(Compare!$H$5="EXACT only",J506="EXACT",OR(J506="EXACT",J506="CLOSE")))),"yes","no")</f>
        <v>yes</v>
      </c>
      <c r="AF506" s="110" t="n">
        <f aca="false">IF(ISNUMBER(H506),COUNTIFS($B$7:$B$3000,B506,$C$7:$C$3000,C506,$H$7:$H$3000,"&lt;"&amp;H506,$AH$7:$AH$3000,"yes")+COUNTIFS($B$7:B506,B506,$C$7:C506,C506,$H$7:H506,H506,$AH$7:AH506,"yes"),"")</f>
        <v>2</v>
      </c>
      <c r="AG506" s="110" t="n">
        <f aca="false">IF(ISNUMBER(I506),COUNTIFS($B$7:$B$3000,B506,$C$7:$C$3000,C506,$I$7:$I$3000,"&lt;"&amp;I506,$AI$7:$AI$3000,"yes")+COUNTIFS($B$7:B506,B506,$C$7:C506,C506,$I$7:I506,I506,$AI$7:AI506,"yes"),"")</f>
        <v>2</v>
      </c>
      <c r="AH506" s="110" t="str">
        <f aca="false">IF(ISNUMBER(H506),"yes","no")</f>
        <v>yes</v>
      </c>
      <c r="AI506" s="110" t="str">
        <f aca="false">IF(ISNUMBER(I506),"yes","no")</f>
        <v>yes</v>
      </c>
      <c r="AJ506" s="120" t="n">
        <v>46295</v>
      </c>
      <c r="AK506" s="110"/>
    </row>
    <row r="507" customFormat="false" ht="42" hidden="false" customHeight="true" outlineLevel="0" collapsed="false">
      <c r="A507" s="3"/>
      <c r="B507" s="31" t="s">
        <v>55</v>
      </c>
      <c r="C507" s="91" t="s">
        <v>15</v>
      </c>
      <c r="D507" s="91" t="s">
        <v>243</v>
      </c>
      <c r="E507" s="109" t="s">
        <v>1805</v>
      </c>
      <c r="F507" s="92" t="n">
        <v>11.59</v>
      </c>
      <c r="G507" s="91" t="s">
        <v>244</v>
      </c>
      <c r="H507" s="112" t="str">
        <f aca="false">IF(AND(AE507="yes",ISNUMBER(AD507)),AD507,"")</f>
        <v/>
      </c>
      <c r="I507" s="95" t="str">
        <f aca="false">IF(AND(AE507="yes",ISNUMBER(AD507),ISNUMBER(INDEX(Sources!$G$7:$G$10,MATCH(AB507,Sources!$B$7:$B$10,0)))),ROUND(AD507/INDEX(Sources!$G$7:$G$10,MATCH(AB507,Sources!$B$7:$B$10,0)),6),"")</f>
        <v/>
      </c>
      <c r="J507" s="91" t="s">
        <v>629</v>
      </c>
      <c r="K507" s="91" t="s">
        <v>586</v>
      </c>
      <c r="L507" s="96"/>
      <c r="M507" s="109" t="s">
        <v>1806</v>
      </c>
      <c r="N507" s="113" t="s">
        <v>1807</v>
      </c>
      <c r="O507" s="109" t="s">
        <v>388</v>
      </c>
      <c r="P507" s="109" t="s">
        <v>590</v>
      </c>
      <c r="Q507" s="114"/>
      <c r="R507" s="109" t="n">
        <v>1</v>
      </c>
      <c r="S507" s="109"/>
      <c r="T507" s="109" t="s">
        <v>629</v>
      </c>
      <c r="U507" s="109" t="s">
        <v>1535</v>
      </c>
      <c r="V507" s="115" t="n">
        <v>11.59</v>
      </c>
      <c r="W507" s="115"/>
      <c r="X507" s="109" t="s">
        <v>1536</v>
      </c>
      <c r="Y507" s="109"/>
      <c r="Z507" s="109"/>
      <c r="AA507" s="109"/>
      <c r="AB507" s="109" t="s">
        <v>244</v>
      </c>
      <c r="AC507" s="109" t="s">
        <v>538</v>
      </c>
      <c r="AD507" s="109" t="n">
        <f aca="false">IF(ISNUMBER(V507),ROUND(V507,6),"")</f>
        <v>11.59</v>
      </c>
      <c r="AE507" s="109" t="str">
        <f aca="false">IF(AND(AC507="yes",ISNUMBER(F507),IF(Compare!$H$5="All mapped",TRUE(),IF(Compare!$H$5="EXACT only",J507="EXACT",OR(J507="EXACT",J507="CLOSE")))),"yes","no")</f>
        <v>no</v>
      </c>
      <c r="AF507" s="109" t="str">
        <f aca="false">IF(ISNUMBER(H507),COUNTIFS($B$7:$B$3000,B507,$C$7:$C$3000,C507,$H$7:$H$3000,"&lt;"&amp;H507,$AH$7:$AH$3000,"yes")+COUNTIFS($B$7:B507,B507,$C$7:C507,C507,$H$7:H507,H507,$AH$7:AH507,"yes"),"")</f>
        <v/>
      </c>
      <c r="AG507" s="109" t="str">
        <f aca="false">IF(ISNUMBER(I507),COUNTIFS($B$7:$B$3000,B507,$C$7:$C$3000,C507,$I$7:$I$3000,"&lt;"&amp;I507,$AI$7:$AI$3000,"yes")+COUNTIFS($B$7:B507,B507,$C$7:C507,C507,$I$7:I507,I507,$AI$7:AI507,"yes"),"")</f>
        <v/>
      </c>
      <c r="AH507" s="109" t="str">
        <f aca="false">IF(ISNUMBER(H507),"yes","no")</f>
        <v>no</v>
      </c>
      <c r="AI507" s="109" t="str">
        <f aca="false">IF(ISNUMBER(I507),"yes","no")</f>
        <v>no</v>
      </c>
      <c r="AJ507" s="116" t="n">
        <v>46295</v>
      </c>
      <c r="AK507" s="109"/>
    </row>
    <row r="508" customFormat="false" ht="42" hidden="false" customHeight="true" outlineLevel="0" collapsed="false">
      <c r="A508" s="3"/>
      <c r="B508" s="36" t="s">
        <v>55</v>
      </c>
      <c r="C508" s="98" t="s">
        <v>15</v>
      </c>
      <c r="D508" s="98" t="s">
        <v>277</v>
      </c>
      <c r="E508" s="110" t="s">
        <v>1808</v>
      </c>
      <c r="F508" s="99" t="n">
        <v>16.99</v>
      </c>
      <c r="G508" s="98" t="s">
        <v>244</v>
      </c>
      <c r="H508" s="112" t="str">
        <f aca="false">IF(AND(AE508="yes",ISNUMBER(AD508)),AD508,"")</f>
        <v/>
      </c>
      <c r="I508" s="95" t="str">
        <f aca="false">IF(AND(AE508="yes",ISNUMBER(AD508),ISNUMBER(INDEX(Sources!$G$7:$G$10,MATCH(AB508,Sources!$B$7:$B$10,0)))),ROUND(AD508/INDEX(Sources!$G$7:$G$10,MATCH(AB508,Sources!$B$7:$B$10,0)),6),"")</f>
        <v/>
      </c>
      <c r="J508" s="98" t="s">
        <v>629</v>
      </c>
      <c r="K508" s="98" t="s">
        <v>586</v>
      </c>
      <c r="L508" s="96"/>
      <c r="M508" s="110" t="s">
        <v>1809</v>
      </c>
      <c r="N508" s="117" t="s">
        <v>1810</v>
      </c>
      <c r="O508" s="110" t="s">
        <v>610</v>
      </c>
      <c r="P508" s="110" t="s">
        <v>590</v>
      </c>
      <c r="Q508" s="118"/>
      <c r="R508" s="110" t="n">
        <v>1</v>
      </c>
      <c r="S508" s="110"/>
      <c r="T508" s="110" t="s">
        <v>629</v>
      </c>
      <c r="U508" s="110" t="s">
        <v>1535</v>
      </c>
      <c r="V508" s="119" t="n">
        <v>16.99</v>
      </c>
      <c r="W508" s="119"/>
      <c r="X508" s="110" t="s">
        <v>1536</v>
      </c>
      <c r="Y508" s="110"/>
      <c r="Z508" s="110"/>
      <c r="AA508" s="110"/>
      <c r="AB508" s="110" t="s">
        <v>244</v>
      </c>
      <c r="AC508" s="110" t="s">
        <v>538</v>
      </c>
      <c r="AD508" s="110" t="n">
        <f aca="false">IF(ISNUMBER(V508),ROUND(V508,6),"")</f>
        <v>16.99</v>
      </c>
      <c r="AE508" s="110" t="str">
        <f aca="false">IF(AND(AC508="yes",ISNUMBER(F508),IF(Compare!$H$5="All mapped",TRUE(),IF(Compare!$H$5="EXACT only",J508="EXACT",OR(J508="EXACT",J508="CLOSE")))),"yes","no")</f>
        <v>no</v>
      </c>
      <c r="AF508" s="110" t="str">
        <f aca="false">IF(ISNUMBER(H508),COUNTIFS($B$7:$B$3000,B508,$C$7:$C$3000,C508,$H$7:$H$3000,"&lt;"&amp;H508,$AH$7:$AH$3000,"yes")+COUNTIFS($B$7:B508,B508,$C$7:C508,C508,$H$7:H508,H508,$AH$7:AH508,"yes"),"")</f>
        <v/>
      </c>
      <c r="AG508" s="110" t="str">
        <f aca="false">IF(ISNUMBER(I508),COUNTIFS($B$7:$B$3000,B508,$C$7:$C$3000,C508,$I$7:$I$3000,"&lt;"&amp;I508,$AI$7:$AI$3000,"yes")+COUNTIFS($B$7:B508,B508,$C$7:C508,C508,$I$7:I508,I508,$AI$7:AI508,"yes"),"")</f>
        <v/>
      </c>
      <c r="AH508" s="110" t="str">
        <f aca="false">IF(ISNUMBER(H508),"yes","no")</f>
        <v>no</v>
      </c>
      <c r="AI508" s="110" t="str">
        <f aca="false">IF(ISNUMBER(I508),"yes","no")</f>
        <v>no</v>
      </c>
      <c r="AJ508" s="120" t="n">
        <v>46295</v>
      </c>
      <c r="AK508" s="110"/>
    </row>
    <row r="509" customFormat="false" ht="42" hidden="false" customHeight="true" outlineLevel="0" collapsed="false">
      <c r="A509" s="3"/>
      <c r="B509" s="31" t="s">
        <v>55</v>
      </c>
      <c r="C509" s="91" t="s">
        <v>15</v>
      </c>
      <c r="D509" s="91" t="s">
        <v>269</v>
      </c>
      <c r="E509" s="109" t="s">
        <v>1811</v>
      </c>
      <c r="F509" s="92" t="n">
        <v>26.29</v>
      </c>
      <c r="G509" s="91" t="s">
        <v>244</v>
      </c>
      <c r="H509" s="112" t="str">
        <f aca="false">IF(AND(AE509="yes",ISNUMBER(AD509)),AD509,"")</f>
        <v/>
      </c>
      <c r="I509" s="95" t="str">
        <f aca="false">IF(AND(AE509="yes",ISNUMBER(AD509),ISNUMBER(INDEX(Sources!$G$7:$G$10,MATCH(AB509,Sources!$B$7:$B$10,0)))),ROUND(AD509/INDEX(Sources!$G$7:$G$10,MATCH(AB509,Sources!$B$7:$B$10,0)),6),"")</f>
        <v/>
      </c>
      <c r="J509" s="91" t="s">
        <v>629</v>
      </c>
      <c r="K509" s="91" t="s">
        <v>586</v>
      </c>
      <c r="L509" s="96"/>
      <c r="M509" s="109" t="s">
        <v>1812</v>
      </c>
      <c r="N509" s="113" t="s">
        <v>1813</v>
      </c>
      <c r="O509" s="109" t="s">
        <v>388</v>
      </c>
      <c r="P509" s="109" t="s">
        <v>590</v>
      </c>
      <c r="Q509" s="114"/>
      <c r="R509" s="109" t="n">
        <v>1</v>
      </c>
      <c r="S509" s="109"/>
      <c r="T509" s="109" t="s">
        <v>629</v>
      </c>
      <c r="U509" s="109" t="s">
        <v>1535</v>
      </c>
      <c r="V509" s="115" t="n">
        <v>26.29</v>
      </c>
      <c r="W509" s="115"/>
      <c r="X509" s="109" t="s">
        <v>1536</v>
      </c>
      <c r="Y509" s="109"/>
      <c r="Z509" s="109"/>
      <c r="AA509" s="109"/>
      <c r="AB509" s="109" t="s">
        <v>244</v>
      </c>
      <c r="AC509" s="109" t="s">
        <v>538</v>
      </c>
      <c r="AD509" s="109" t="n">
        <f aca="false">IF(ISNUMBER(V509),ROUND(V509,6),"")</f>
        <v>26.29</v>
      </c>
      <c r="AE509" s="109" t="str">
        <f aca="false">IF(AND(AC509="yes",ISNUMBER(F509),IF(Compare!$H$5="All mapped",TRUE(),IF(Compare!$H$5="EXACT only",J509="EXACT",OR(J509="EXACT",J509="CLOSE")))),"yes","no")</f>
        <v>no</v>
      </c>
      <c r="AF509" s="109" t="str">
        <f aca="false">IF(ISNUMBER(H509),COUNTIFS($B$7:$B$3000,B509,$C$7:$C$3000,C509,$H$7:$H$3000,"&lt;"&amp;H509,$AH$7:$AH$3000,"yes")+COUNTIFS($B$7:B509,B509,$C$7:C509,C509,$H$7:H509,H509,$AH$7:AH509,"yes"),"")</f>
        <v/>
      </c>
      <c r="AG509" s="109" t="str">
        <f aca="false">IF(ISNUMBER(I509),COUNTIFS($B$7:$B$3000,B509,$C$7:$C$3000,C509,$I$7:$I$3000,"&lt;"&amp;I509,$AI$7:$AI$3000,"yes")+COUNTIFS($B$7:B509,B509,$C$7:C509,C509,$I$7:I509,I509,$AI$7:AI509,"yes"),"")</f>
        <v/>
      </c>
      <c r="AH509" s="109" t="str">
        <f aca="false">IF(ISNUMBER(H509),"yes","no")</f>
        <v>no</v>
      </c>
      <c r="AI509" s="109" t="str">
        <f aca="false">IF(ISNUMBER(I509),"yes","no")</f>
        <v>no</v>
      </c>
      <c r="AJ509" s="116" t="n">
        <v>46295</v>
      </c>
      <c r="AK509" s="109"/>
    </row>
    <row r="510" customFormat="false" ht="42" hidden="false" customHeight="true" outlineLevel="0" collapsed="false">
      <c r="A510" s="3"/>
      <c r="B510" s="36" t="s">
        <v>55</v>
      </c>
      <c r="C510" s="98" t="s">
        <v>15</v>
      </c>
      <c r="D510" s="98" t="s">
        <v>264</v>
      </c>
      <c r="E510" s="110" t="s">
        <v>1814</v>
      </c>
      <c r="F510" s="99" t="n">
        <v>16.88</v>
      </c>
      <c r="G510" s="98" t="s">
        <v>244</v>
      </c>
      <c r="H510" s="112" t="str">
        <f aca="false">IF(AND(AE510="yes",ISNUMBER(AD510)),AD510,"")</f>
        <v/>
      </c>
      <c r="I510" s="95" t="str">
        <f aca="false">IF(AND(AE510="yes",ISNUMBER(AD510),ISNUMBER(INDEX(Sources!$G$7:$G$10,MATCH(AB510,Sources!$B$7:$B$10,0)))),ROUND(AD510/INDEX(Sources!$G$7:$G$10,MATCH(AB510,Sources!$B$7:$B$10,0)),6),"")</f>
        <v/>
      </c>
      <c r="J510" s="98" t="s">
        <v>629</v>
      </c>
      <c r="K510" s="98" t="s">
        <v>586</v>
      </c>
      <c r="L510" s="96"/>
      <c r="M510" s="110" t="s">
        <v>1815</v>
      </c>
      <c r="N510" s="117" t="s">
        <v>1816</v>
      </c>
      <c r="O510" s="110" t="s">
        <v>388</v>
      </c>
      <c r="P510" s="110" t="s">
        <v>590</v>
      </c>
      <c r="Q510" s="118"/>
      <c r="R510" s="110" t="n">
        <v>1</v>
      </c>
      <c r="S510" s="110"/>
      <c r="T510" s="110" t="s">
        <v>629</v>
      </c>
      <c r="U510" s="110" t="s">
        <v>1535</v>
      </c>
      <c r="V510" s="119" t="n">
        <v>16.88</v>
      </c>
      <c r="W510" s="119"/>
      <c r="X510" s="110" t="s">
        <v>1536</v>
      </c>
      <c r="Y510" s="110"/>
      <c r="Z510" s="110"/>
      <c r="AA510" s="110"/>
      <c r="AB510" s="110" t="s">
        <v>244</v>
      </c>
      <c r="AC510" s="110" t="s">
        <v>538</v>
      </c>
      <c r="AD510" s="110" t="n">
        <f aca="false">IF(ISNUMBER(V510),ROUND(V510,6),"")</f>
        <v>16.88</v>
      </c>
      <c r="AE510" s="110" t="str">
        <f aca="false">IF(AND(AC510="yes",ISNUMBER(F510),IF(Compare!$H$5="All mapped",TRUE(),IF(Compare!$H$5="EXACT only",J510="EXACT",OR(J510="EXACT",J510="CLOSE")))),"yes","no")</f>
        <v>no</v>
      </c>
      <c r="AF510" s="110" t="str">
        <f aca="false">IF(ISNUMBER(H510),COUNTIFS($B$7:$B$3000,B510,$C$7:$C$3000,C510,$H$7:$H$3000,"&lt;"&amp;H510,$AH$7:$AH$3000,"yes")+COUNTIFS($B$7:B510,B510,$C$7:C510,C510,$H$7:H510,H510,$AH$7:AH510,"yes"),"")</f>
        <v/>
      </c>
      <c r="AG510" s="110" t="str">
        <f aca="false">IF(ISNUMBER(I510),COUNTIFS($B$7:$B$3000,B510,$C$7:$C$3000,C510,$I$7:$I$3000,"&lt;"&amp;I510,$AI$7:$AI$3000,"yes")+COUNTIFS($B$7:B510,B510,$C$7:C510,C510,$I$7:I510,I510,$AI$7:AI510,"yes"),"")</f>
        <v/>
      </c>
      <c r="AH510" s="110" t="str">
        <f aca="false">IF(ISNUMBER(H510),"yes","no")</f>
        <v>no</v>
      </c>
      <c r="AI510" s="110" t="str">
        <f aca="false">IF(ISNUMBER(I510),"yes","no")</f>
        <v>no</v>
      </c>
      <c r="AJ510" s="120" t="n">
        <v>46295</v>
      </c>
      <c r="AK510" s="110"/>
    </row>
    <row r="511" customFormat="false" ht="42" hidden="false" customHeight="true" outlineLevel="0" collapsed="false">
      <c r="A511" s="3"/>
      <c r="B511" s="31" t="s">
        <v>55</v>
      </c>
      <c r="C511" s="91" t="s">
        <v>15</v>
      </c>
      <c r="D511" s="91" t="s">
        <v>273</v>
      </c>
      <c r="E511" s="109" t="s">
        <v>1817</v>
      </c>
      <c r="F511" s="92" t="n">
        <v>15.89</v>
      </c>
      <c r="G511" s="91" t="s">
        <v>244</v>
      </c>
      <c r="H511" s="112" t="str">
        <f aca="false">IF(AND(AE511="yes",ISNUMBER(AD511)),AD511,"")</f>
        <v/>
      </c>
      <c r="I511" s="95" t="str">
        <f aca="false">IF(AND(AE511="yes",ISNUMBER(AD511),ISNUMBER(INDEX(Sources!$G$7:$G$10,MATCH(AB511,Sources!$B$7:$B$10,0)))),ROUND(AD511/INDEX(Sources!$G$7:$G$10,MATCH(AB511,Sources!$B$7:$B$10,0)),6),"")</f>
        <v/>
      </c>
      <c r="J511" s="91" t="s">
        <v>629</v>
      </c>
      <c r="K511" s="91" t="s">
        <v>586</v>
      </c>
      <c r="L511" s="96"/>
      <c r="M511" s="109" t="s">
        <v>1818</v>
      </c>
      <c r="N511" s="113" t="s">
        <v>1819</v>
      </c>
      <c r="O511" s="109" t="s">
        <v>1167</v>
      </c>
      <c r="P511" s="109" t="s">
        <v>265</v>
      </c>
      <c r="Q511" s="114"/>
      <c r="R511" s="109" t="n">
        <v>1</v>
      </c>
      <c r="S511" s="109"/>
      <c r="T511" s="109" t="s">
        <v>629</v>
      </c>
      <c r="U511" s="109" t="s">
        <v>1535</v>
      </c>
      <c r="V511" s="115" t="n">
        <v>13.24</v>
      </c>
      <c r="W511" s="115"/>
      <c r="X511" s="109" t="s">
        <v>1536</v>
      </c>
      <c r="Y511" s="109"/>
      <c r="Z511" s="109"/>
      <c r="AA511" s="109"/>
      <c r="AB511" s="109" t="s">
        <v>244</v>
      </c>
      <c r="AC511" s="109" t="s">
        <v>538</v>
      </c>
      <c r="AD511" s="109" t="n">
        <f aca="false">IF(ISNUMBER(V511),ROUND(V511,6),"")</f>
        <v>13.24</v>
      </c>
      <c r="AE511" s="109" t="str">
        <f aca="false">IF(AND(AC511="yes",ISNUMBER(F511),IF(Compare!$H$5="All mapped",TRUE(),IF(Compare!$H$5="EXACT only",J511="EXACT",OR(J511="EXACT",J511="CLOSE")))),"yes","no")</f>
        <v>no</v>
      </c>
      <c r="AF511" s="109" t="str">
        <f aca="false">IF(ISNUMBER(H511),COUNTIFS($B$7:$B$3000,B511,$C$7:$C$3000,C511,$H$7:$H$3000,"&lt;"&amp;H511,$AH$7:$AH$3000,"yes")+COUNTIFS($B$7:B511,B511,$C$7:C511,C511,$H$7:H511,H511,$AH$7:AH511,"yes"),"")</f>
        <v/>
      </c>
      <c r="AG511" s="109" t="str">
        <f aca="false">IF(ISNUMBER(I511),COUNTIFS($B$7:$B$3000,B511,$C$7:$C$3000,C511,$I$7:$I$3000,"&lt;"&amp;I511,$AI$7:$AI$3000,"yes")+COUNTIFS($B$7:B511,B511,$C$7:C511,C511,$I$7:I511,I511,$AI$7:AI511,"yes"),"")</f>
        <v/>
      </c>
      <c r="AH511" s="109" t="str">
        <f aca="false">IF(ISNUMBER(H511),"yes","no")</f>
        <v>no</v>
      </c>
      <c r="AI511" s="109" t="str">
        <f aca="false">IF(ISNUMBER(I511),"yes","no")</f>
        <v>no</v>
      </c>
      <c r="AJ511" s="116" t="n">
        <v>46295</v>
      </c>
      <c r="AK511" s="109"/>
    </row>
    <row r="512" customFormat="false" ht="42" hidden="false" customHeight="true" outlineLevel="0" collapsed="false">
      <c r="A512" s="3"/>
      <c r="B512" s="36" t="s">
        <v>55</v>
      </c>
      <c r="C512" s="98" t="s">
        <v>15</v>
      </c>
      <c r="D512" s="98" t="s">
        <v>281</v>
      </c>
      <c r="E512" s="110" t="s">
        <v>1820</v>
      </c>
      <c r="F512" s="99" t="n">
        <v>20.96</v>
      </c>
      <c r="G512" s="98" t="s">
        <v>244</v>
      </c>
      <c r="H512" s="112" t="n">
        <f aca="false">IF(AND(AE512="yes",ISNUMBER(AD512)),AD512,"")</f>
        <v>20.96</v>
      </c>
      <c r="I512" s="95" t="n">
        <f aca="false">IF(AND(AE512="yes",ISNUMBER(AD512),ISNUMBER(INDEX(Sources!$G$7:$G$10,MATCH(AB512,Sources!$B$7:$B$10,0)))),ROUND(AD512/INDEX(Sources!$G$7:$G$10,MATCH(AB512,Sources!$B$7:$B$10,0)),6),"")</f>
        <v>20.96</v>
      </c>
      <c r="J512" s="98" t="s">
        <v>530</v>
      </c>
      <c r="K512" s="98" t="s">
        <v>586</v>
      </c>
      <c r="L512" s="96"/>
      <c r="M512" s="110" t="s">
        <v>1821</v>
      </c>
      <c r="N512" s="117" t="s">
        <v>1822</v>
      </c>
      <c r="O512" s="110" t="s">
        <v>1823</v>
      </c>
      <c r="P512" s="110" t="s">
        <v>590</v>
      </c>
      <c r="Q512" s="118"/>
      <c r="R512" s="110" t="n">
        <v>1</v>
      </c>
      <c r="S512" s="110"/>
      <c r="T512" s="110" t="s">
        <v>530</v>
      </c>
      <c r="U512" s="110" t="s">
        <v>1535</v>
      </c>
      <c r="V512" s="119" t="n">
        <v>20.96</v>
      </c>
      <c r="W512" s="119"/>
      <c r="X512" s="110" t="s">
        <v>1536</v>
      </c>
      <c r="Y512" s="110"/>
      <c r="Z512" s="110"/>
      <c r="AA512" s="110"/>
      <c r="AB512" s="110" t="s">
        <v>244</v>
      </c>
      <c r="AC512" s="110" t="s">
        <v>538</v>
      </c>
      <c r="AD512" s="110" t="n">
        <f aca="false">IF(ISNUMBER(V512),ROUND(V512,6),"")</f>
        <v>20.96</v>
      </c>
      <c r="AE512" s="110" t="str">
        <f aca="false">IF(AND(AC512="yes",ISNUMBER(F512),IF(Compare!$H$5="All mapped",TRUE(),IF(Compare!$H$5="EXACT only",J512="EXACT",OR(J512="EXACT",J512="CLOSE")))),"yes","no")</f>
        <v>yes</v>
      </c>
      <c r="AF512" s="110" t="n">
        <f aca="false">IF(ISNUMBER(H512),COUNTIFS($B$7:$B$3000,B512,$C$7:$C$3000,C512,$H$7:$H$3000,"&lt;"&amp;H512,$AH$7:$AH$3000,"yes")+COUNTIFS($B$7:B512,B512,$C$7:C512,C512,$H$7:H512,H512,$AH$7:AH512,"yes"),"")</f>
        <v>1</v>
      </c>
      <c r="AG512" s="110" t="n">
        <f aca="false">IF(ISNUMBER(I512),COUNTIFS($B$7:$B$3000,B512,$C$7:$C$3000,C512,$I$7:$I$3000,"&lt;"&amp;I512,$AI$7:$AI$3000,"yes")+COUNTIFS($B$7:B512,B512,$C$7:C512,C512,$I$7:I512,I512,$AI$7:AI512,"yes"),"")</f>
        <v>1</v>
      </c>
      <c r="AH512" s="110" t="str">
        <f aca="false">IF(ISNUMBER(H512),"yes","no")</f>
        <v>yes</v>
      </c>
      <c r="AI512" s="110" t="str">
        <f aca="false">IF(ISNUMBER(I512),"yes","no")</f>
        <v>yes</v>
      </c>
      <c r="AJ512" s="120" t="n">
        <v>46295</v>
      </c>
      <c r="AK512" s="110"/>
    </row>
    <row r="513" customFormat="false" ht="42" hidden="false" customHeight="true" outlineLevel="0" collapsed="false">
      <c r="A513" s="3"/>
      <c r="B513" s="31" t="s">
        <v>55</v>
      </c>
      <c r="C513" s="91" t="s">
        <v>15</v>
      </c>
      <c r="D513" s="91" t="s">
        <v>285</v>
      </c>
      <c r="E513" s="109" t="s">
        <v>1824</v>
      </c>
      <c r="F513" s="92" t="n">
        <v>18.1</v>
      </c>
      <c r="G513" s="91" t="s">
        <v>244</v>
      </c>
      <c r="H513" s="112" t="str">
        <f aca="false">IF(AND(AE513="yes",ISNUMBER(AD513)),AD513,"")</f>
        <v/>
      </c>
      <c r="I513" s="95" t="str">
        <f aca="false">IF(AND(AE513="yes",ISNUMBER(AD513),ISNUMBER(INDEX(Sources!$G$7:$G$10,MATCH(AB513,Sources!$B$7:$B$10,0)))),ROUND(AD513/INDEX(Sources!$G$7:$G$10,MATCH(AB513,Sources!$B$7:$B$10,0)),6),"")</f>
        <v/>
      </c>
      <c r="J513" s="91" t="s">
        <v>629</v>
      </c>
      <c r="K513" s="91" t="s">
        <v>586</v>
      </c>
      <c r="L513" s="96"/>
      <c r="M513" s="109" t="s">
        <v>1825</v>
      </c>
      <c r="N513" s="113" t="s">
        <v>1826</v>
      </c>
      <c r="O513" s="109" t="s">
        <v>733</v>
      </c>
      <c r="P513" s="109" t="s">
        <v>590</v>
      </c>
      <c r="Q513" s="114"/>
      <c r="R513" s="109" t="n">
        <v>1</v>
      </c>
      <c r="S513" s="109"/>
      <c r="T513" s="109" t="s">
        <v>629</v>
      </c>
      <c r="U513" s="109" t="s">
        <v>1535</v>
      </c>
      <c r="V513" s="115" t="n">
        <v>18.1</v>
      </c>
      <c r="W513" s="115"/>
      <c r="X513" s="109" t="s">
        <v>1536</v>
      </c>
      <c r="Y513" s="109"/>
      <c r="Z513" s="109"/>
      <c r="AA513" s="109"/>
      <c r="AB513" s="109" t="s">
        <v>244</v>
      </c>
      <c r="AC513" s="109" t="s">
        <v>538</v>
      </c>
      <c r="AD513" s="109" t="n">
        <f aca="false">IF(ISNUMBER(V513),ROUND(V513,6),"")</f>
        <v>18.1</v>
      </c>
      <c r="AE513" s="109" t="str">
        <f aca="false">IF(AND(AC513="yes",ISNUMBER(F513),IF(Compare!$H$5="All mapped",TRUE(),IF(Compare!$H$5="EXACT only",J513="EXACT",OR(J513="EXACT",J513="CLOSE")))),"yes","no")</f>
        <v>no</v>
      </c>
      <c r="AF513" s="109" t="str">
        <f aca="false">IF(ISNUMBER(H513),COUNTIFS($B$7:$B$3000,B513,$C$7:$C$3000,C513,$H$7:$H$3000,"&lt;"&amp;H513,$AH$7:$AH$3000,"yes")+COUNTIFS($B$7:B513,B513,$C$7:C513,C513,$H$7:H513,H513,$AH$7:AH513,"yes"),"")</f>
        <v/>
      </c>
      <c r="AG513" s="109" t="str">
        <f aca="false">IF(ISNUMBER(I513),COUNTIFS($B$7:$B$3000,B513,$C$7:$C$3000,C513,$I$7:$I$3000,"&lt;"&amp;I513,$AI$7:$AI$3000,"yes")+COUNTIFS($B$7:B513,B513,$C$7:C513,C513,$I$7:I513,I513,$AI$7:AI513,"yes"),"")</f>
        <v/>
      </c>
      <c r="AH513" s="109" t="str">
        <f aca="false">IF(ISNUMBER(H513),"yes","no")</f>
        <v>no</v>
      </c>
      <c r="AI513" s="109" t="str">
        <f aca="false">IF(ISNUMBER(I513),"yes","no")</f>
        <v>no</v>
      </c>
      <c r="AJ513" s="116" t="n">
        <v>46295</v>
      </c>
      <c r="AK513" s="109"/>
    </row>
    <row r="514" customFormat="false" ht="42" hidden="false" customHeight="true" outlineLevel="0" collapsed="false">
      <c r="A514" s="3"/>
      <c r="B514" s="36" t="s">
        <v>55</v>
      </c>
      <c r="C514" s="98" t="s">
        <v>17</v>
      </c>
      <c r="D514" s="98" t="s">
        <v>354</v>
      </c>
      <c r="E514" s="110" t="s">
        <v>1827</v>
      </c>
      <c r="F514" s="99" t="n">
        <v>413.52</v>
      </c>
      <c r="G514" s="98" t="s">
        <v>333</v>
      </c>
      <c r="H514" s="112" t="str">
        <f aca="false">IF(AND(AE514="yes",ISNUMBER(AD514)),AD514,"")</f>
        <v/>
      </c>
      <c r="I514" s="95" t="str">
        <f aca="false">IF(AND(AE514="yes",ISNUMBER(AD514),ISNUMBER(INDEX(Sources!$G$7:$G$10,MATCH(AB514,Sources!$B$7:$B$10,0)))),ROUND(AD514/INDEX(Sources!$G$7:$G$10,MATCH(AB514,Sources!$B$7:$B$10,0)),6),"")</f>
        <v/>
      </c>
      <c r="J514" s="98" t="s">
        <v>629</v>
      </c>
      <c r="K514" s="98" t="s">
        <v>586</v>
      </c>
      <c r="L514" s="96"/>
      <c r="M514" s="110" t="s">
        <v>1809</v>
      </c>
      <c r="N514" s="117" t="s">
        <v>1828</v>
      </c>
      <c r="O514" s="110" t="s">
        <v>610</v>
      </c>
      <c r="P514" s="110" t="s">
        <v>590</v>
      </c>
      <c r="Q514" s="118" t="n">
        <v>0.19</v>
      </c>
      <c r="R514" s="110" t="n">
        <v>1</v>
      </c>
      <c r="S514" s="110" t="s">
        <v>632</v>
      </c>
      <c r="T514" s="110" t="s">
        <v>629</v>
      </c>
      <c r="U514" s="110" t="s">
        <v>1535</v>
      </c>
      <c r="V514" s="119"/>
      <c r="W514" s="119"/>
      <c r="X514" s="110" t="s">
        <v>1555</v>
      </c>
      <c r="Y514" s="110"/>
      <c r="Z514" s="110"/>
      <c r="AA514" s="110"/>
      <c r="AB514" s="110" t="s">
        <v>333</v>
      </c>
      <c r="AC514" s="110" t="s">
        <v>538</v>
      </c>
      <c r="AD514" s="110" t="n">
        <f aca="false">IF(OR(F514="",Q514="",R514=""),"",ROUND(IF(P514="incl.",F514/(1+Q514),F514)/IF(S514="per pack",R514,1),2))</f>
        <v>413.52</v>
      </c>
      <c r="AE514" s="110" t="str">
        <f aca="false">IF(AND(AC514="yes",ISNUMBER(F514),IF(Compare!$H$5="All mapped",TRUE(),IF(Compare!$H$5="EXACT only",J514="EXACT",OR(J514="EXACT",J514="CLOSE")))),"yes","no")</f>
        <v>no</v>
      </c>
      <c r="AF514" s="110" t="str">
        <f aca="false">IF(ISNUMBER(H514),COUNTIFS($B$7:$B$3000,B514,$C$7:$C$3000,C514,$H$7:$H$3000,"&lt;"&amp;H514,$AH$7:$AH$3000,"yes")+COUNTIFS($B$7:B514,B514,$C$7:C514,C514,$H$7:H514,H514,$AH$7:AH514,"yes"),"")</f>
        <v/>
      </c>
      <c r="AG514" s="110" t="str">
        <f aca="false">IF(ISNUMBER(I514),COUNTIFS($B$7:$B$3000,B514,$C$7:$C$3000,C514,$I$7:$I$3000,"&lt;"&amp;I514,$AI$7:$AI$3000,"yes")+COUNTIFS($B$7:B514,B514,$C$7:C514,C514,$I$7:I514,I514,$AI$7:AI514,"yes"),"")</f>
        <v/>
      </c>
      <c r="AH514" s="110" t="str">
        <f aca="false">IF(ISNUMBER(H514),"yes","no")</f>
        <v>no</v>
      </c>
      <c r="AI514" s="110" t="str">
        <f aca="false">IF(ISNUMBER(I514),"yes","no")</f>
        <v>no</v>
      </c>
      <c r="AJ514" s="120" t="n">
        <v>46295</v>
      </c>
      <c r="AK514" s="110"/>
    </row>
    <row r="515" customFormat="false" ht="48.75" hidden="false" customHeight="true" outlineLevel="0" collapsed="false">
      <c r="A515" s="3"/>
      <c r="B515" s="31" t="s">
        <v>55</v>
      </c>
      <c r="C515" s="91" t="s">
        <v>17</v>
      </c>
      <c r="D515" s="91" t="s">
        <v>342</v>
      </c>
      <c r="E515" s="109" t="s">
        <v>1829</v>
      </c>
      <c r="F515" s="92" t="n">
        <v>304</v>
      </c>
      <c r="G515" s="91" t="s">
        <v>333</v>
      </c>
      <c r="H515" s="112" t="str">
        <f aca="false">IF(AND(AE515="yes",ISNUMBER(AD515)),AD515,"")</f>
        <v/>
      </c>
      <c r="I515" s="95" t="str">
        <f aca="false">IF(AND(AE515="yes",ISNUMBER(AD515),ISNUMBER(INDEX(Sources!$G$7:$G$10,MATCH(AB515,Sources!$B$7:$B$10,0)))),ROUND(AD515/INDEX(Sources!$G$7:$G$10,MATCH(AB515,Sources!$B$7:$B$10,0)),6),"")</f>
        <v/>
      </c>
      <c r="J515" s="91" t="s">
        <v>629</v>
      </c>
      <c r="K515" s="91" t="s">
        <v>586</v>
      </c>
      <c r="L515" s="96"/>
      <c r="M515" s="109" t="s">
        <v>1830</v>
      </c>
      <c r="N515" s="113" t="s">
        <v>1831</v>
      </c>
      <c r="O515" s="109" t="s">
        <v>388</v>
      </c>
      <c r="P515" s="109" t="s">
        <v>265</v>
      </c>
      <c r="Q515" s="114" t="n">
        <v>0.21</v>
      </c>
      <c r="R515" s="109" t="n">
        <v>1</v>
      </c>
      <c r="S515" s="109" t="s">
        <v>632</v>
      </c>
      <c r="T515" s="109" t="s">
        <v>629</v>
      </c>
      <c r="U515" s="109" t="s">
        <v>1535</v>
      </c>
      <c r="V515" s="115"/>
      <c r="W515" s="115"/>
      <c r="X515" s="109" t="s">
        <v>1555</v>
      </c>
      <c r="Y515" s="109"/>
      <c r="Z515" s="109"/>
      <c r="AA515" s="109"/>
      <c r="AB515" s="109" t="s">
        <v>333</v>
      </c>
      <c r="AC515" s="109" t="s">
        <v>538</v>
      </c>
      <c r="AD515" s="109" t="n">
        <f aca="false">IF(OR(F515="",Q515="",R515=""),"",ROUND(IF(P515="incl.",F515/(1+Q515),F515)/IF(S515="per pack",R515,1),2))</f>
        <v>251.24</v>
      </c>
      <c r="AE515" s="109" t="str">
        <f aca="false">IF(AND(AC515="yes",ISNUMBER(F515),IF(Compare!$H$5="All mapped",TRUE(),IF(Compare!$H$5="EXACT only",J515="EXACT",OR(J515="EXACT",J515="CLOSE")))),"yes","no")</f>
        <v>no</v>
      </c>
      <c r="AF515" s="109" t="str">
        <f aca="false">IF(ISNUMBER(H515),COUNTIFS($B$7:$B$3000,B515,$C$7:$C$3000,C515,$H$7:$H$3000,"&lt;"&amp;H515,$AH$7:$AH$3000,"yes")+COUNTIFS($B$7:B515,B515,$C$7:C515,C515,$H$7:H515,H515,$AH$7:AH515,"yes"),"")</f>
        <v/>
      </c>
      <c r="AG515" s="109" t="str">
        <f aca="false">IF(ISNUMBER(I515),COUNTIFS($B$7:$B$3000,B515,$C$7:$C$3000,C515,$I$7:$I$3000,"&lt;"&amp;I515,$AI$7:$AI$3000,"yes")+COUNTIFS($B$7:B515,B515,$C$7:C515,C515,$I$7:I515,I515,$AI$7:AI515,"yes"),"")</f>
        <v/>
      </c>
      <c r="AH515" s="109" t="str">
        <f aca="false">IF(ISNUMBER(H515),"yes","no")</f>
        <v>no</v>
      </c>
      <c r="AI515" s="109" t="str">
        <f aca="false">IF(ISNUMBER(I515),"yes","no")</f>
        <v>no</v>
      </c>
      <c r="AJ515" s="116" t="n">
        <v>46295</v>
      </c>
      <c r="AK515" s="109"/>
    </row>
    <row r="516" customFormat="false" ht="42" hidden="false" customHeight="true" outlineLevel="0" collapsed="false">
      <c r="A516" s="3"/>
      <c r="B516" s="36" t="s">
        <v>55</v>
      </c>
      <c r="C516" s="98" t="s">
        <v>17</v>
      </c>
      <c r="D516" s="98" t="s">
        <v>346</v>
      </c>
      <c r="E516" s="110" t="s">
        <v>1832</v>
      </c>
      <c r="F516" s="99" t="n">
        <v>1082</v>
      </c>
      <c r="G516" s="98" t="s">
        <v>333</v>
      </c>
      <c r="H516" s="112" t="n">
        <f aca="false">IF(AND(AE516="yes",ISNUMBER(AD516)),AD516,"")</f>
        <v>894.21</v>
      </c>
      <c r="I516" s="95" t="n">
        <f aca="false">IF(AND(AE516="yes",ISNUMBER(AD516),ISNUMBER(INDEX(Sources!$G$7:$G$10,MATCH(AB516,Sources!$B$7:$B$10,0)))),ROUND(AD516/INDEX(Sources!$G$7:$G$10,MATCH(AB516,Sources!$B$7:$B$10,0)),6),"")</f>
        <v>36.612515</v>
      </c>
      <c r="J516" s="98" t="s">
        <v>702</v>
      </c>
      <c r="K516" s="98" t="s">
        <v>586</v>
      </c>
      <c r="L516" s="96"/>
      <c r="M516" s="110" t="s">
        <v>1833</v>
      </c>
      <c r="N516" s="117" t="s">
        <v>1834</v>
      </c>
      <c r="O516" s="110" t="s">
        <v>1074</v>
      </c>
      <c r="P516" s="110" t="s">
        <v>265</v>
      </c>
      <c r="Q516" s="118" t="n">
        <v>0.21</v>
      </c>
      <c r="R516" s="110" t="n">
        <v>1</v>
      </c>
      <c r="S516" s="110" t="s">
        <v>632</v>
      </c>
      <c r="T516" s="110" t="s">
        <v>702</v>
      </c>
      <c r="U516" s="110" t="s">
        <v>1535</v>
      </c>
      <c r="V516" s="119"/>
      <c r="W516" s="119"/>
      <c r="X516" s="110" t="s">
        <v>1555</v>
      </c>
      <c r="Y516" s="110"/>
      <c r="Z516" s="110"/>
      <c r="AA516" s="110"/>
      <c r="AB516" s="110" t="s">
        <v>333</v>
      </c>
      <c r="AC516" s="110" t="s">
        <v>538</v>
      </c>
      <c r="AD516" s="110" t="n">
        <f aca="false">IF(OR(F516="",Q516="",R516=""),"",ROUND(IF(P516="incl.",F516/(1+Q516),F516)/IF(S516="per pack",R516,1),2))</f>
        <v>894.21</v>
      </c>
      <c r="AE516" s="110" t="str">
        <f aca="false">IF(AND(AC516="yes",ISNUMBER(F516),IF(Compare!$H$5="All mapped",TRUE(),IF(Compare!$H$5="EXACT only",J516="EXACT",OR(J516="EXACT",J516="CLOSE")))),"yes","no")</f>
        <v>yes</v>
      </c>
      <c r="AF516" s="110" t="n">
        <f aca="false">IF(ISNUMBER(H516),COUNTIFS($B$7:$B$3000,B516,$C$7:$C$3000,C516,$H$7:$H$3000,"&lt;"&amp;H516,$AH$7:$AH$3000,"yes")+COUNTIFS($B$7:B516,B516,$C$7:C516,C516,$H$7:H516,H516,$AH$7:AH516,"yes"),"")</f>
        <v>1</v>
      </c>
      <c r="AG516" s="110" t="n">
        <f aca="false">IF(ISNUMBER(I516),COUNTIFS($B$7:$B$3000,B516,$C$7:$C$3000,C516,$I$7:$I$3000,"&lt;"&amp;I516,$AI$7:$AI$3000,"yes")+COUNTIFS($B$7:B516,B516,$C$7:C516,C516,$I$7:I516,I516,$AI$7:AI516,"yes"),"")</f>
        <v>1</v>
      </c>
      <c r="AH516" s="110" t="str">
        <f aca="false">IF(ISNUMBER(H516),"yes","no")</f>
        <v>yes</v>
      </c>
      <c r="AI516" s="110" t="str">
        <f aca="false">IF(ISNUMBER(I516),"yes","no")</f>
        <v>yes</v>
      </c>
      <c r="AJ516" s="120" t="n">
        <v>46295</v>
      </c>
      <c r="AK516" s="110"/>
    </row>
    <row r="517" customFormat="false" ht="42" hidden="false" customHeight="true" outlineLevel="0" collapsed="false">
      <c r="A517" s="3"/>
      <c r="B517" s="31" t="s">
        <v>55</v>
      </c>
      <c r="C517" s="91" t="s">
        <v>17</v>
      </c>
      <c r="D517" s="91" t="s">
        <v>361</v>
      </c>
      <c r="E517" s="109" t="s">
        <v>1835</v>
      </c>
      <c r="F517" s="92" t="n">
        <v>353</v>
      </c>
      <c r="G517" s="91" t="s">
        <v>333</v>
      </c>
      <c r="H517" s="112" t="str">
        <f aca="false">IF(AND(AE517="yes",ISNUMBER(AD517)),AD517,"")</f>
        <v/>
      </c>
      <c r="I517" s="95" t="str">
        <f aca="false">IF(AND(AE517="yes",ISNUMBER(AD517),ISNUMBER(INDEX(Sources!$G$7:$G$10,MATCH(AB517,Sources!$B$7:$B$10,0)))),ROUND(AD517/INDEX(Sources!$G$7:$G$10,MATCH(AB517,Sources!$B$7:$B$10,0)),6),"")</f>
        <v/>
      </c>
      <c r="J517" s="91" t="s">
        <v>629</v>
      </c>
      <c r="K517" s="91" t="s">
        <v>586</v>
      </c>
      <c r="L517" s="96"/>
      <c r="M517" s="109" t="s">
        <v>1836</v>
      </c>
      <c r="N517" s="113" t="s">
        <v>1837</v>
      </c>
      <c r="O517" s="109" t="s">
        <v>361</v>
      </c>
      <c r="P517" s="109" t="s">
        <v>265</v>
      </c>
      <c r="Q517" s="114" t="n">
        <v>0.21</v>
      </c>
      <c r="R517" s="109" t="n">
        <v>1</v>
      </c>
      <c r="S517" s="109" t="s">
        <v>632</v>
      </c>
      <c r="T517" s="109" t="s">
        <v>629</v>
      </c>
      <c r="U517" s="109" t="s">
        <v>1535</v>
      </c>
      <c r="V517" s="115"/>
      <c r="W517" s="115"/>
      <c r="X517" s="109" t="s">
        <v>1555</v>
      </c>
      <c r="Y517" s="109"/>
      <c r="Z517" s="109"/>
      <c r="AA517" s="109"/>
      <c r="AB517" s="109" t="s">
        <v>333</v>
      </c>
      <c r="AC517" s="109" t="s">
        <v>538</v>
      </c>
      <c r="AD517" s="109" t="n">
        <f aca="false">IF(OR(F517="",Q517="",R517=""),"",ROUND(IF(P517="incl.",F517/(1+Q517),F517)/IF(S517="per pack",R517,1),2))</f>
        <v>291.74</v>
      </c>
      <c r="AE517" s="109" t="str">
        <f aca="false">IF(AND(AC517="yes",ISNUMBER(F517),IF(Compare!$H$5="All mapped",TRUE(),IF(Compare!$H$5="EXACT only",J517="EXACT",OR(J517="EXACT",J517="CLOSE")))),"yes","no")</f>
        <v>no</v>
      </c>
      <c r="AF517" s="109" t="str">
        <f aca="false">IF(ISNUMBER(H517),COUNTIFS($B$7:$B$3000,B517,$C$7:$C$3000,C517,$H$7:$H$3000,"&lt;"&amp;H517,$AH$7:$AH$3000,"yes")+COUNTIFS($B$7:B517,B517,$C$7:C517,C517,$H$7:H517,H517,$AH$7:AH517,"yes"),"")</f>
        <v/>
      </c>
      <c r="AG517" s="109" t="str">
        <f aca="false">IF(ISNUMBER(I517),COUNTIFS($B$7:$B$3000,B517,$C$7:$C$3000,C517,$I$7:$I$3000,"&lt;"&amp;I517,$AI$7:$AI$3000,"yes")+COUNTIFS($B$7:B517,B517,$C$7:C517,C517,$I$7:I517,I517,$AI$7:AI517,"yes"),"")</f>
        <v/>
      </c>
      <c r="AH517" s="109" t="str">
        <f aca="false">IF(ISNUMBER(H517),"yes","no")</f>
        <v>no</v>
      </c>
      <c r="AI517" s="109" t="str">
        <f aca="false">IF(ISNUMBER(I517),"yes","no")</f>
        <v>no</v>
      </c>
      <c r="AJ517" s="116" t="n">
        <v>46295</v>
      </c>
      <c r="AK517" s="109"/>
    </row>
    <row r="518" customFormat="false" ht="42" hidden="false" customHeight="true" outlineLevel="0" collapsed="false">
      <c r="A518" s="3"/>
      <c r="B518" s="36" t="s">
        <v>57</v>
      </c>
      <c r="C518" s="98" t="s">
        <v>15</v>
      </c>
      <c r="D518" s="98" t="s">
        <v>277</v>
      </c>
      <c r="E518" s="110" t="s">
        <v>1838</v>
      </c>
      <c r="F518" s="99" t="n">
        <v>72.99</v>
      </c>
      <c r="G518" s="98" t="s">
        <v>244</v>
      </c>
      <c r="H518" s="112" t="n">
        <f aca="false">IF(AND(AE518="yes",ISNUMBER(AD518)),AD518,"")</f>
        <v>9.12</v>
      </c>
      <c r="I518" s="95" t="n">
        <f aca="false">IF(AND(AE518="yes",ISNUMBER(AD518),ISNUMBER(INDEX(Sources!$G$7:$G$10,MATCH(AB518,Sources!$B$7:$B$10,0)))),ROUND(AD518/INDEX(Sources!$G$7:$G$10,MATCH(AB518,Sources!$B$7:$B$10,0)),6),"")</f>
        <v>9.12</v>
      </c>
      <c r="J518" s="98" t="s">
        <v>702</v>
      </c>
      <c r="K518" s="98" t="s">
        <v>586</v>
      </c>
      <c r="L518" s="96"/>
      <c r="M518" s="110" t="s">
        <v>1839</v>
      </c>
      <c r="N518" s="117" t="s">
        <v>1840</v>
      </c>
      <c r="O518" s="110" t="s">
        <v>610</v>
      </c>
      <c r="P518" s="110" t="s">
        <v>590</v>
      </c>
      <c r="Q518" s="118"/>
      <c r="R518" s="110" t="n">
        <v>8</v>
      </c>
      <c r="S518" s="110" t="s">
        <v>1240</v>
      </c>
      <c r="T518" s="110" t="s">
        <v>702</v>
      </c>
      <c r="U518" s="110" t="s">
        <v>1535</v>
      </c>
      <c r="V518" s="119" t="n">
        <v>9.12</v>
      </c>
      <c r="W518" s="119"/>
      <c r="X518" s="110" t="s">
        <v>1536</v>
      </c>
      <c r="Y518" s="110"/>
      <c r="Z518" s="110"/>
      <c r="AA518" s="110"/>
      <c r="AB518" s="110" t="s">
        <v>244</v>
      </c>
      <c r="AC518" s="110" t="s">
        <v>538</v>
      </c>
      <c r="AD518" s="110" t="n">
        <f aca="false">IF(ISNUMBER(V518),ROUND(V518,6),"")</f>
        <v>9.12</v>
      </c>
      <c r="AE518" s="110" t="str">
        <f aca="false">IF(AND(AC518="yes",ISNUMBER(F518),IF(Compare!$H$5="All mapped",TRUE(),IF(Compare!$H$5="EXACT only",J518="EXACT",OR(J518="EXACT",J518="CLOSE")))),"yes","no")</f>
        <v>yes</v>
      </c>
      <c r="AF518" s="110" t="n">
        <f aca="false">IF(ISNUMBER(H518),COUNTIFS($B$7:$B$3000,B518,$C$7:$C$3000,C518,$H$7:$H$3000,"&lt;"&amp;H518,$AH$7:$AH$3000,"yes")+COUNTIFS($B$7:B518,B518,$C$7:C518,C518,$H$7:H518,H518,$AH$7:AH518,"yes"),"")</f>
        <v>1</v>
      </c>
      <c r="AG518" s="110" t="n">
        <f aca="false">IF(ISNUMBER(I518),COUNTIFS($B$7:$B$3000,B518,$C$7:$C$3000,C518,$I$7:$I$3000,"&lt;"&amp;I518,$AI$7:$AI$3000,"yes")+COUNTIFS($B$7:B518,B518,$C$7:C518,C518,$I$7:I518,I518,$AI$7:AI518,"yes"),"")</f>
        <v>1</v>
      </c>
      <c r="AH518" s="110" t="str">
        <f aca="false">IF(ISNUMBER(H518),"yes","no")</f>
        <v>yes</v>
      </c>
      <c r="AI518" s="110" t="str">
        <f aca="false">IF(ISNUMBER(I518),"yes","no")</f>
        <v>yes</v>
      </c>
      <c r="AJ518" s="120" t="n">
        <v>46295</v>
      </c>
      <c r="AK518" s="110"/>
    </row>
    <row r="519" customFormat="false" ht="42" hidden="false" customHeight="true" outlineLevel="0" collapsed="false">
      <c r="A519" s="3"/>
      <c r="B519" s="31" t="s">
        <v>57</v>
      </c>
      <c r="C519" s="91" t="s">
        <v>15</v>
      </c>
      <c r="D519" s="91" t="s">
        <v>264</v>
      </c>
      <c r="E519" s="109" t="s">
        <v>1841</v>
      </c>
      <c r="F519" s="92" t="n">
        <v>38</v>
      </c>
      <c r="G519" s="91" t="s">
        <v>244</v>
      </c>
      <c r="H519" s="112" t="n">
        <f aca="false">IF(AND(AE519="yes",ISNUMBER(AD519)),AD519,"")</f>
        <v>38</v>
      </c>
      <c r="I519" s="95" t="n">
        <f aca="false">IF(AND(AE519="yes",ISNUMBER(AD519),ISNUMBER(INDEX(Sources!$G$7:$G$10,MATCH(AB519,Sources!$B$7:$B$10,0)))),ROUND(AD519/INDEX(Sources!$G$7:$G$10,MATCH(AB519,Sources!$B$7:$B$10,0)),6),"")</f>
        <v>38</v>
      </c>
      <c r="J519" s="91" t="s">
        <v>702</v>
      </c>
      <c r="K519" s="91" t="s">
        <v>586</v>
      </c>
      <c r="L519" s="96"/>
      <c r="M519" s="109" t="s">
        <v>1842</v>
      </c>
      <c r="N519" s="113" t="s">
        <v>1843</v>
      </c>
      <c r="O519" s="109" t="s">
        <v>603</v>
      </c>
      <c r="P519" s="109" t="s">
        <v>590</v>
      </c>
      <c r="Q519" s="114"/>
      <c r="R519" s="109" t="n">
        <v>1</v>
      </c>
      <c r="S519" s="109"/>
      <c r="T519" s="109" t="s">
        <v>702</v>
      </c>
      <c r="U519" s="109" t="s">
        <v>1535</v>
      </c>
      <c r="V519" s="115" t="n">
        <v>38</v>
      </c>
      <c r="W519" s="115"/>
      <c r="X519" s="109" t="s">
        <v>1536</v>
      </c>
      <c r="Y519" s="109"/>
      <c r="Z519" s="109"/>
      <c r="AA519" s="109"/>
      <c r="AB519" s="109" t="s">
        <v>244</v>
      </c>
      <c r="AC519" s="109" t="s">
        <v>538</v>
      </c>
      <c r="AD519" s="109" t="n">
        <f aca="false">IF(ISNUMBER(V519),ROUND(V519,6),"")</f>
        <v>38</v>
      </c>
      <c r="AE519" s="109" t="str">
        <f aca="false">IF(AND(AC519="yes",ISNUMBER(F519),IF(Compare!$H$5="All mapped",TRUE(),IF(Compare!$H$5="EXACT only",J519="EXACT",OR(J519="EXACT",J519="CLOSE")))),"yes","no")</f>
        <v>yes</v>
      </c>
      <c r="AF519" s="109" t="n">
        <f aca="false">IF(ISNUMBER(H519),COUNTIFS($B$7:$B$3000,B519,$C$7:$C$3000,C519,$H$7:$H$3000,"&lt;"&amp;H519,$AH$7:$AH$3000,"yes")+COUNTIFS($B$7:B519,B519,$C$7:C519,C519,$H$7:H519,H519,$AH$7:AH519,"yes"),"")</f>
        <v>6</v>
      </c>
      <c r="AG519" s="109" t="n">
        <f aca="false">IF(ISNUMBER(I519),COUNTIFS($B$7:$B$3000,B519,$C$7:$C$3000,C519,$I$7:$I$3000,"&lt;"&amp;I519,$AI$7:$AI$3000,"yes")+COUNTIFS($B$7:B519,B519,$C$7:C519,C519,$I$7:I519,I519,$AI$7:AI519,"yes"),"")</f>
        <v>6</v>
      </c>
      <c r="AH519" s="109" t="str">
        <f aca="false">IF(ISNUMBER(H519),"yes","no")</f>
        <v>yes</v>
      </c>
      <c r="AI519" s="109" t="str">
        <f aca="false">IF(ISNUMBER(I519),"yes","no")</f>
        <v>yes</v>
      </c>
      <c r="AJ519" s="116" t="n">
        <v>46295</v>
      </c>
      <c r="AK519" s="109"/>
    </row>
    <row r="520" customFormat="false" ht="42" hidden="false" customHeight="true" outlineLevel="0" collapsed="false">
      <c r="A520" s="3"/>
      <c r="B520" s="36" t="s">
        <v>57</v>
      </c>
      <c r="C520" s="98" t="s">
        <v>15</v>
      </c>
      <c r="D520" s="98" t="s">
        <v>273</v>
      </c>
      <c r="E520" s="110" t="s">
        <v>1844</v>
      </c>
      <c r="F520" s="99" t="n">
        <v>29.9</v>
      </c>
      <c r="G520" s="98" t="s">
        <v>244</v>
      </c>
      <c r="H520" s="112" t="n">
        <f aca="false">IF(AND(AE520="yes",ISNUMBER(AD520)),AD520,"")</f>
        <v>24.92</v>
      </c>
      <c r="I520" s="95" t="n">
        <f aca="false">IF(AND(AE520="yes",ISNUMBER(AD520),ISNUMBER(INDEX(Sources!$G$7:$G$10,MATCH(AB520,Sources!$B$7:$B$10,0)))),ROUND(AD520/INDEX(Sources!$G$7:$G$10,MATCH(AB520,Sources!$B$7:$B$10,0)),6),"")</f>
        <v>24.92</v>
      </c>
      <c r="J520" s="98" t="s">
        <v>702</v>
      </c>
      <c r="K520" s="98" t="s">
        <v>586</v>
      </c>
      <c r="L520" s="96"/>
      <c r="M520" s="110" t="s">
        <v>1845</v>
      </c>
      <c r="N520" s="117" t="s">
        <v>1846</v>
      </c>
      <c r="O520" s="110" t="s">
        <v>642</v>
      </c>
      <c r="P520" s="110" t="s">
        <v>265</v>
      </c>
      <c r="Q520" s="118"/>
      <c r="R520" s="110" t="n">
        <v>1</v>
      </c>
      <c r="S520" s="110"/>
      <c r="T520" s="110" t="s">
        <v>702</v>
      </c>
      <c r="U520" s="110" t="s">
        <v>1535</v>
      </c>
      <c r="V520" s="119" t="n">
        <v>24.92</v>
      </c>
      <c r="W520" s="119"/>
      <c r="X520" s="110" t="s">
        <v>1536</v>
      </c>
      <c r="Y520" s="110"/>
      <c r="Z520" s="110"/>
      <c r="AA520" s="110"/>
      <c r="AB520" s="110" t="s">
        <v>244</v>
      </c>
      <c r="AC520" s="110" t="s">
        <v>538</v>
      </c>
      <c r="AD520" s="110" t="n">
        <f aca="false">IF(ISNUMBER(V520),ROUND(V520,6),"")</f>
        <v>24.92</v>
      </c>
      <c r="AE520" s="110" t="str">
        <f aca="false">IF(AND(AC520="yes",ISNUMBER(F520),IF(Compare!$H$5="All mapped",TRUE(),IF(Compare!$H$5="EXACT only",J520="EXACT",OR(J520="EXACT",J520="CLOSE")))),"yes","no")</f>
        <v>yes</v>
      </c>
      <c r="AF520" s="110" t="n">
        <f aca="false">IF(ISNUMBER(H520),COUNTIFS($B$7:$B$3000,B520,$C$7:$C$3000,C520,$H$7:$H$3000,"&lt;"&amp;H520,$AH$7:$AH$3000,"yes")+COUNTIFS($B$7:B520,B520,$C$7:C520,C520,$H$7:H520,H520,$AH$7:AH520,"yes"),"")</f>
        <v>4</v>
      </c>
      <c r="AG520" s="110" t="n">
        <f aca="false">IF(ISNUMBER(I520),COUNTIFS($B$7:$B$3000,B520,$C$7:$C$3000,C520,$I$7:$I$3000,"&lt;"&amp;I520,$AI$7:$AI$3000,"yes")+COUNTIFS($B$7:B520,B520,$C$7:C520,C520,$I$7:I520,I520,$AI$7:AI520,"yes"),"")</f>
        <v>4</v>
      </c>
      <c r="AH520" s="110" t="str">
        <f aca="false">IF(ISNUMBER(H520),"yes","no")</f>
        <v>yes</v>
      </c>
      <c r="AI520" s="110" t="str">
        <f aca="false">IF(ISNUMBER(I520),"yes","no")</f>
        <v>yes</v>
      </c>
      <c r="AJ520" s="120" t="n">
        <v>46295</v>
      </c>
      <c r="AK520" s="110"/>
    </row>
    <row r="521" customFormat="false" ht="42" hidden="false" customHeight="true" outlineLevel="0" collapsed="false">
      <c r="A521" s="3"/>
      <c r="B521" s="31" t="s">
        <v>57</v>
      </c>
      <c r="C521" s="91" t="s">
        <v>15</v>
      </c>
      <c r="D521" s="91" t="s">
        <v>281</v>
      </c>
      <c r="E521" s="109" t="s">
        <v>1847</v>
      </c>
      <c r="F521" s="92" t="n">
        <v>10.01</v>
      </c>
      <c r="G521" s="91" t="s">
        <v>244</v>
      </c>
      <c r="H521" s="112" t="n">
        <f aca="false">IF(AND(AE521="yes",ISNUMBER(AD521)),AD521,"")</f>
        <v>10.01</v>
      </c>
      <c r="I521" s="95" t="n">
        <f aca="false">IF(AND(AE521="yes",ISNUMBER(AD521),ISNUMBER(INDEX(Sources!$G$7:$G$10,MATCH(AB521,Sources!$B$7:$B$10,0)))),ROUND(AD521/INDEX(Sources!$G$7:$G$10,MATCH(AB521,Sources!$B$7:$B$10,0)),6),"")</f>
        <v>10.01</v>
      </c>
      <c r="J521" s="91" t="s">
        <v>702</v>
      </c>
      <c r="K521" s="91" t="s">
        <v>586</v>
      </c>
      <c r="L521" s="96"/>
      <c r="M521" s="109" t="s">
        <v>1848</v>
      </c>
      <c r="N521" s="113" t="s">
        <v>1849</v>
      </c>
      <c r="O521" s="109" t="s">
        <v>603</v>
      </c>
      <c r="P521" s="109" t="s">
        <v>590</v>
      </c>
      <c r="Q521" s="114"/>
      <c r="R521" s="109" t="n">
        <v>1</v>
      </c>
      <c r="S521" s="109"/>
      <c r="T521" s="109" t="s">
        <v>702</v>
      </c>
      <c r="U521" s="109" t="s">
        <v>1535</v>
      </c>
      <c r="V521" s="115" t="n">
        <v>10.01</v>
      </c>
      <c r="W521" s="115"/>
      <c r="X521" s="109" t="s">
        <v>1536</v>
      </c>
      <c r="Y521" s="109"/>
      <c r="Z521" s="109"/>
      <c r="AA521" s="109"/>
      <c r="AB521" s="109" t="s">
        <v>244</v>
      </c>
      <c r="AC521" s="109" t="s">
        <v>538</v>
      </c>
      <c r="AD521" s="109" t="n">
        <f aca="false">IF(ISNUMBER(V521),ROUND(V521,6),"")</f>
        <v>10.01</v>
      </c>
      <c r="AE521" s="109" t="str">
        <f aca="false">IF(AND(AC521="yes",ISNUMBER(F521),IF(Compare!$H$5="All mapped",TRUE(),IF(Compare!$H$5="EXACT only",J521="EXACT",OR(J521="EXACT",J521="CLOSE")))),"yes","no")</f>
        <v>yes</v>
      </c>
      <c r="AF521" s="109" t="n">
        <f aca="false">IF(ISNUMBER(H521),COUNTIFS($B$7:$B$3000,B521,$C$7:$C$3000,C521,$H$7:$H$3000,"&lt;"&amp;H521,$AH$7:$AH$3000,"yes")+COUNTIFS($B$7:B521,B521,$C$7:C521,C521,$H$7:H521,H521,$AH$7:AH521,"yes"),"")</f>
        <v>2</v>
      </c>
      <c r="AG521" s="109" t="n">
        <f aca="false">IF(ISNUMBER(I521),COUNTIFS($B$7:$B$3000,B521,$C$7:$C$3000,C521,$I$7:$I$3000,"&lt;"&amp;I521,$AI$7:$AI$3000,"yes")+COUNTIFS($B$7:B521,B521,$C$7:C521,C521,$I$7:I521,I521,$AI$7:AI521,"yes"),"")</f>
        <v>2</v>
      </c>
      <c r="AH521" s="109" t="str">
        <f aca="false">IF(ISNUMBER(H521),"yes","no")</f>
        <v>yes</v>
      </c>
      <c r="AI521" s="109" t="str">
        <f aca="false">IF(ISNUMBER(I521),"yes","no")</f>
        <v>yes</v>
      </c>
      <c r="AJ521" s="116" t="n">
        <v>46295</v>
      </c>
      <c r="AK521" s="109"/>
    </row>
    <row r="522" customFormat="false" ht="42" hidden="false" customHeight="true" outlineLevel="0" collapsed="false">
      <c r="A522" s="3"/>
      <c r="B522" s="36" t="s">
        <v>57</v>
      </c>
      <c r="C522" s="98" t="s">
        <v>15</v>
      </c>
      <c r="D522" s="98" t="s">
        <v>285</v>
      </c>
      <c r="E522" s="110" t="s">
        <v>1345</v>
      </c>
      <c r="F522" s="99" t="n">
        <v>34.9</v>
      </c>
      <c r="G522" s="98" t="s">
        <v>244</v>
      </c>
      <c r="H522" s="112" t="n">
        <f aca="false">IF(AND(AE522="yes",ISNUMBER(AD522)),AD522,"")</f>
        <v>34.9</v>
      </c>
      <c r="I522" s="95" t="n">
        <f aca="false">IF(AND(AE522="yes",ISNUMBER(AD522),ISNUMBER(INDEX(Sources!$G$7:$G$10,MATCH(AB522,Sources!$B$7:$B$10,0)))),ROUND(AD522/INDEX(Sources!$G$7:$G$10,MATCH(AB522,Sources!$B$7:$B$10,0)),6),"")</f>
        <v>34.9</v>
      </c>
      <c r="J522" s="98" t="s">
        <v>702</v>
      </c>
      <c r="K522" s="98" t="s">
        <v>586</v>
      </c>
      <c r="L522" s="96"/>
      <c r="M522" s="110" t="s">
        <v>1850</v>
      </c>
      <c r="N522" s="117" t="s">
        <v>1347</v>
      </c>
      <c r="O522" s="110" t="s">
        <v>733</v>
      </c>
      <c r="P522" s="110" t="s">
        <v>590</v>
      </c>
      <c r="Q522" s="118"/>
      <c r="R522" s="110" t="n">
        <v>1</v>
      </c>
      <c r="S522" s="110"/>
      <c r="T522" s="110" t="s">
        <v>702</v>
      </c>
      <c r="U522" s="110" t="s">
        <v>1535</v>
      </c>
      <c r="V522" s="119" t="n">
        <v>34.9</v>
      </c>
      <c r="W522" s="119"/>
      <c r="X522" s="110" t="s">
        <v>1536</v>
      </c>
      <c r="Y522" s="110"/>
      <c r="Z522" s="110"/>
      <c r="AA522" s="110"/>
      <c r="AB522" s="110" t="s">
        <v>244</v>
      </c>
      <c r="AC522" s="110" t="s">
        <v>538</v>
      </c>
      <c r="AD522" s="110" t="n">
        <f aca="false">IF(ISNUMBER(V522),ROUND(V522,6),"")</f>
        <v>34.9</v>
      </c>
      <c r="AE522" s="110" t="str">
        <f aca="false">IF(AND(AC522="yes",ISNUMBER(F522),IF(Compare!$H$5="All mapped",TRUE(),IF(Compare!$H$5="EXACT only",J522="EXACT",OR(J522="EXACT",J522="CLOSE")))),"yes","no")</f>
        <v>yes</v>
      </c>
      <c r="AF522" s="110" t="n">
        <f aca="false">IF(ISNUMBER(H522),COUNTIFS($B$7:$B$3000,B522,$C$7:$C$3000,C522,$H$7:$H$3000,"&lt;"&amp;H522,$AH$7:$AH$3000,"yes")+COUNTIFS($B$7:B522,B522,$C$7:C522,C522,$H$7:H522,H522,$AH$7:AH522,"yes"),"")</f>
        <v>5</v>
      </c>
      <c r="AG522" s="110" t="n">
        <f aca="false">IF(ISNUMBER(I522),COUNTIFS($B$7:$B$3000,B522,$C$7:$C$3000,C522,$I$7:$I$3000,"&lt;"&amp;I522,$AI$7:$AI$3000,"yes")+COUNTIFS($B$7:B522,B522,$C$7:C522,C522,$I$7:I522,I522,$AI$7:AI522,"yes"),"")</f>
        <v>5</v>
      </c>
      <c r="AH522" s="110" t="str">
        <f aca="false">IF(ISNUMBER(H522),"yes","no")</f>
        <v>yes</v>
      </c>
      <c r="AI522" s="110" t="str">
        <f aca="false">IF(ISNUMBER(I522),"yes","no")</f>
        <v>yes</v>
      </c>
      <c r="AJ522" s="120" t="n">
        <v>46295</v>
      </c>
      <c r="AK522" s="110"/>
    </row>
    <row r="523" customFormat="false" ht="42" hidden="false" customHeight="true" outlineLevel="0" collapsed="false">
      <c r="A523" s="3"/>
      <c r="B523" s="31" t="s">
        <v>57</v>
      </c>
      <c r="C523" s="91" t="s">
        <v>15</v>
      </c>
      <c r="D523" s="91" t="s">
        <v>293</v>
      </c>
      <c r="E523" s="109" t="s">
        <v>1851</v>
      </c>
      <c r="F523" s="92" t="n">
        <v>18</v>
      </c>
      <c r="G523" s="91" t="s">
        <v>244</v>
      </c>
      <c r="H523" s="112" t="n">
        <f aca="false">IF(AND(AE523="yes",ISNUMBER(AD523)),AD523,"")</f>
        <v>18</v>
      </c>
      <c r="I523" s="95" t="n">
        <f aca="false">IF(AND(AE523="yes",ISNUMBER(AD523),ISNUMBER(INDEX(Sources!$G$7:$G$10,MATCH(AB523,Sources!$B$7:$B$10,0)))),ROUND(AD523/INDEX(Sources!$G$7:$G$10,MATCH(AB523,Sources!$B$7:$B$10,0)),6),"")</f>
        <v>18</v>
      </c>
      <c r="J523" s="91" t="s">
        <v>702</v>
      </c>
      <c r="K523" s="91" t="s">
        <v>586</v>
      </c>
      <c r="L523" s="96"/>
      <c r="M523" s="109" t="s">
        <v>1852</v>
      </c>
      <c r="N523" s="113" t="s">
        <v>1853</v>
      </c>
      <c r="O523" s="109" t="s">
        <v>589</v>
      </c>
      <c r="P523" s="109" t="s">
        <v>590</v>
      </c>
      <c r="Q523" s="114"/>
      <c r="R523" s="109" t="n">
        <v>1</v>
      </c>
      <c r="S523" s="109"/>
      <c r="T523" s="109" t="s">
        <v>702</v>
      </c>
      <c r="U523" s="109" t="s">
        <v>1535</v>
      </c>
      <c r="V523" s="115" t="n">
        <v>18</v>
      </c>
      <c r="W523" s="115"/>
      <c r="X523" s="109" t="s">
        <v>1536</v>
      </c>
      <c r="Y523" s="109"/>
      <c r="Z523" s="109"/>
      <c r="AA523" s="109"/>
      <c r="AB523" s="109" t="s">
        <v>244</v>
      </c>
      <c r="AC523" s="109" t="s">
        <v>538</v>
      </c>
      <c r="AD523" s="109" t="n">
        <f aca="false">IF(ISNUMBER(V523),ROUND(V523,6),"")</f>
        <v>18</v>
      </c>
      <c r="AE523" s="109" t="str">
        <f aca="false">IF(AND(AC523="yes",ISNUMBER(F523),IF(Compare!$H$5="All mapped",TRUE(),IF(Compare!$H$5="EXACT only",J523="EXACT",OR(J523="EXACT",J523="CLOSE")))),"yes","no")</f>
        <v>yes</v>
      </c>
      <c r="AF523" s="109" t="n">
        <f aca="false">IF(ISNUMBER(H523),COUNTIFS($B$7:$B$3000,B523,$C$7:$C$3000,C523,$H$7:$H$3000,"&lt;"&amp;H523,$AH$7:$AH$3000,"yes")+COUNTIFS($B$7:B523,B523,$C$7:C523,C523,$H$7:H523,H523,$AH$7:AH523,"yes"),"")</f>
        <v>3</v>
      </c>
      <c r="AG523" s="109" t="n">
        <f aca="false">IF(ISNUMBER(I523),COUNTIFS($B$7:$B$3000,B523,$C$7:$C$3000,C523,$I$7:$I$3000,"&lt;"&amp;I523,$AI$7:$AI$3000,"yes")+COUNTIFS($B$7:B523,B523,$C$7:C523,C523,$I$7:I523,I523,$AI$7:AI523,"yes"),"")</f>
        <v>3</v>
      </c>
      <c r="AH523" s="109" t="str">
        <f aca="false">IF(ISNUMBER(H523),"yes","no")</f>
        <v>yes</v>
      </c>
      <c r="AI523" s="109" t="str">
        <f aca="false">IF(ISNUMBER(I523),"yes","no")</f>
        <v>yes</v>
      </c>
      <c r="AJ523" s="116" t="n">
        <v>46295</v>
      </c>
      <c r="AK523" s="109"/>
    </row>
    <row r="524" customFormat="false" ht="42" hidden="false" customHeight="true" outlineLevel="0" collapsed="false">
      <c r="A524" s="3"/>
      <c r="B524" s="36" t="s">
        <v>57</v>
      </c>
      <c r="C524" s="98" t="s">
        <v>17</v>
      </c>
      <c r="D524" s="98" t="s">
        <v>354</v>
      </c>
      <c r="E524" s="110" t="s">
        <v>1854</v>
      </c>
      <c r="F524" s="99" t="n">
        <v>1752.16</v>
      </c>
      <c r="G524" s="98" t="s">
        <v>333</v>
      </c>
      <c r="H524" s="112" t="n">
        <f aca="false">IF(AND(AE524="yes",ISNUMBER(AD524)),AD524,"")</f>
        <v>219.02</v>
      </c>
      <c r="I524" s="95" t="n">
        <f aca="false">IF(AND(AE524="yes",ISNUMBER(AD524),ISNUMBER(INDEX(Sources!$G$7:$G$10,MATCH(AB524,Sources!$B$7:$B$10,0)))),ROUND(AD524/INDEX(Sources!$G$7:$G$10,MATCH(AB524,Sources!$B$7:$B$10,0)),6),"")</f>
        <v>8.96755</v>
      </c>
      <c r="J524" s="98" t="s">
        <v>702</v>
      </c>
      <c r="K524" s="98" t="s">
        <v>586</v>
      </c>
      <c r="L524" s="96"/>
      <c r="M524" s="110" t="s">
        <v>1855</v>
      </c>
      <c r="N524" s="117" t="s">
        <v>1364</v>
      </c>
      <c r="O524" s="110" t="s">
        <v>610</v>
      </c>
      <c r="P524" s="110" t="s">
        <v>590</v>
      </c>
      <c r="Q524" s="118" t="n">
        <v>0.19</v>
      </c>
      <c r="R524" s="110" t="n">
        <v>8</v>
      </c>
      <c r="S524" s="110" t="s">
        <v>625</v>
      </c>
      <c r="T524" s="110" t="s">
        <v>702</v>
      </c>
      <c r="U524" s="110" t="s">
        <v>1535</v>
      </c>
      <c r="V524" s="119"/>
      <c r="W524" s="119"/>
      <c r="X524" s="110" t="s">
        <v>1555</v>
      </c>
      <c r="Y524" s="110"/>
      <c r="Z524" s="110"/>
      <c r="AA524" s="110"/>
      <c r="AB524" s="110" t="s">
        <v>333</v>
      </c>
      <c r="AC524" s="110" t="s">
        <v>538</v>
      </c>
      <c r="AD524" s="110" t="n">
        <f aca="false">IF(OR(F524="",Q524="",R524=""),"",ROUND(IF(P524="incl.",F524/(1+Q524),F524)/IF(S524="per pack",R524,1),2))</f>
        <v>219.02</v>
      </c>
      <c r="AE524" s="110" t="str">
        <f aca="false">IF(AND(AC524="yes",ISNUMBER(F524),IF(Compare!$H$5="All mapped",TRUE(),IF(Compare!$H$5="EXACT only",J524="EXACT",OR(J524="EXACT",J524="CLOSE")))),"yes","no")</f>
        <v>yes</v>
      </c>
      <c r="AF524" s="110" t="n">
        <f aca="false">IF(ISNUMBER(H524),COUNTIFS($B$7:$B$3000,B524,$C$7:$C$3000,C524,$H$7:$H$3000,"&lt;"&amp;H524,$AH$7:$AH$3000,"yes")+COUNTIFS($B$7:B524,B524,$C$7:C524,C524,$H$7:H524,H524,$AH$7:AH524,"yes"),"")</f>
        <v>1</v>
      </c>
      <c r="AG524" s="110" t="n">
        <f aca="false">IF(ISNUMBER(I524),COUNTIFS($B$7:$B$3000,B524,$C$7:$C$3000,C524,$I$7:$I$3000,"&lt;"&amp;I524,$AI$7:$AI$3000,"yes")+COUNTIFS($B$7:B524,B524,$C$7:C524,C524,$I$7:I524,I524,$AI$7:AI524,"yes"),"")</f>
        <v>1</v>
      </c>
      <c r="AH524" s="110" t="str">
        <f aca="false">IF(ISNUMBER(H524),"yes","no")</f>
        <v>yes</v>
      </c>
      <c r="AI524" s="110" t="str">
        <f aca="false">IF(ISNUMBER(I524),"yes","no")</f>
        <v>yes</v>
      </c>
      <c r="AJ524" s="120" t="n">
        <v>46295</v>
      </c>
      <c r="AK524" s="110"/>
    </row>
    <row r="525" customFormat="false" ht="42" hidden="false" customHeight="true" outlineLevel="0" collapsed="false">
      <c r="A525" s="3"/>
      <c r="B525" s="31" t="s">
        <v>57</v>
      </c>
      <c r="C525" s="91" t="s">
        <v>17</v>
      </c>
      <c r="D525" s="91" t="s">
        <v>332</v>
      </c>
      <c r="E525" s="109" t="s">
        <v>1250</v>
      </c>
      <c r="F525" s="92" t="n">
        <v>390</v>
      </c>
      <c r="G525" s="91" t="s">
        <v>333</v>
      </c>
      <c r="H525" s="112" t="str">
        <f aca="false">IF(AND(AE525="yes",ISNUMBER(AD525)),AD525,"")</f>
        <v/>
      </c>
      <c r="I525" s="95" t="str">
        <f aca="false">IF(AND(AE525="yes",ISNUMBER(AD525),ISNUMBER(INDEX(Sources!$G$7:$G$10,MATCH(AB525,Sources!$B$7:$B$10,0)))),ROUND(AD525/INDEX(Sources!$G$7:$G$10,MATCH(AB525,Sources!$B$7:$B$10,0)),6),"")</f>
        <v/>
      </c>
      <c r="J525" s="91" t="s">
        <v>629</v>
      </c>
      <c r="K525" s="91" t="s">
        <v>586</v>
      </c>
      <c r="L525" s="96"/>
      <c r="M525" s="109" t="s">
        <v>1856</v>
      </c>
      <c r="N525" s="113" t="s">
        <v>1252</v>
      </c>
      <c r="O525" s="109"/>
      <c r="P525" s="109" t="s">
        <v>590</v>
      </c>
      <c r="Q525" s="114" t="n">
        <v>0.21</v>
      </c>
      <c r="R525" s="109" t="n">
        <v>1</v>
      </c>
      <c r="S525" s="109" t="s">
        <v>632</v>
      </c>
      <c r="T525" s="109" t="s">
        <v>629</v>
      </c>
      <c r="U525" s="109" t="s">
        <v>1535</v>
      </c>
      <c r="V525" s="115"/>
      <c r="W525" s="115"/>
      <c r="X525" s="109" t="s">
        <v>1555</v>
      </c>
      <c r="Y525" s="109"/>
      <c r="Z525" s="109"/>
      <c r="AA525" s="109"/>
      <c r="AB525" s="109" t="s">
        <v>333</v>
      </c>
      <c r="AC525" s="109" t="s">
        <v>538</v>
      </c>
      <c r="AD525" s="109" t="n">
        <f aca="false">IF(OR(F525="",Q525="",R525=""),"",ROUND(IF(P525="incl.",F525/(1+Q525),F525)/IF(S525="per pack",R525,1),2))</f>
        <v>390</v>
      </c>
      <c r="AE525" s="109" t="str">
        <f aca="false">IF(AND(AC525="yes",ISNUMBER(F525),IF(Compare!$H$5="All mapped",TRUE(),IF(Compare!$H$5="EXACT only",J525="EXACT",OR(J525="EXACT",J525="CLOSE")))),"yes","no")</f>
        <v>no</v>
      </c>
      <c r="AF525" s="109" t="str">
        <f aca="false">IF(ISNUMBER(H525),COUNTIFS($B$7:$B$3000,B525,$C$7:$C$3000,C525,$H$7:$H$3000,"&lt;"&amp;H525,$AH$7:$AH$3000,"yes")+COUNTIFS($B$7:B525,B525,$C$7:C525,C525,$H$7:H525,H525,$AH$7:AH525,"yes"),"")</f>
        <v/>
      </c>
      <c r="AG525" s="109" t="str">
        <f aca="false">IF(ISNUMBER(I525),COUNTIFS($B$7:$B$3000,B525,$C$7:$C$3000,C525,$I$7:$I$3000,"&lt;"&amp;I525,$AI$7:$AI$3000,"yes")+COUNTIFS($B$7:B525,B525,$C$7:C525,C525,$I$7:I525,I525,$AI$7:AI525,"yes"),"")</f>
        <v/>
      </c>
      <c r="AH525" s="109" t="str">
        <f aca="false">IF(ISNUMBER(H525),"yes","no")</f>
        <v>no</v>
      </c>
      <c r="AI525" s="109" t="str">
        <f aca="false">IF(ISNUMBER(I525),"yes","no")</f>
        <v>no</v>
      </c>
      <c r="AJ525" s="116" t="n">
        <v>46295</v>
      </c>
      <c r="AK525" s="109"/>
    </row>
    <row r="526" customFormat="false" ht="48.75" hidden="false" customHeight="true" outlineLevel="0" collapsed="false">
      <c r="A526" s="3"/>
      <c r="B526" s="36" t="s">
        <v>57</v>
      </c>
      <c r="C526" s="98" t="s">
        <v>17</v>
      </c>
      <c r="D526" s="98" t="s">
        <v>342</v>
      </c>
      <c r="E526" s="110" t="s">
        <v>1857</v>
      </c>
      <c r="F526" s="99" t="n">
        <v>339</v>
      </c>
      <c r="G526" s="98" t="s">
        <v>333</v>
      </c>
      <c r="H526" s="112" t="n">
        <f aca="false">IF(AND(AE526="yes",ISNUMBER(AD526)),AD526,"")</f>
        <v>280.17</v>
      </c>
      <c r="I526" s="95" t="n">
        <f aca="false">IF(AND(AE526="yes",ISNUMBER(AD526),ISNUMBER(INDEX(Sources!$G$7:$G$10,MATCH(AB526,Sources!$B$7:$B$10,0)))),ROUND(AD526/INDEX(Sources!$G$7:$G$10,MATCH(AB526,Sources!$B$7:$B$10,0)),6),"")</f>
        <v>11.471274</v>
      </c>
      <c r="J526" s="98" t="s">
        <v>530</v>
      </c>
      <c r="K526" s="98" t="s">
        <v>586</v>
      </c>
      <c r="L526" s="96"/>
      <c r="M526" s="110" t="s">
        <v>1858</v>
      </c>
      <c r="N526" s="117" t="s">
        <v>1859</v>
      </c>
      <c r="O526" s="110" t="s">
        <v>361</v>
      </c>
      <c r="P526" s="110" t="s">
        <v>265</v>
      </c>
      <c r="Q526" s="118" t="n">
        <v>0.21</v>
      </c>
      <c r="R526" s="110" t="n">
        <v>1</v>
      </c>
      <c r="S526" s="110" t="s">
        <v>632</v>
      </c>
      <c r="T526" s="110" t="s">
        <v>530</v>
      </c>
      <c r="U526" s="110" t="s">
        <v>1535</v>
      </c>
      <c r="V526" s="119"/>
      <c r="W526" s="119"/>
      <c r="X526" s="110" t="s">
        <v>1555</v>
      </c>
      <c r="Y526" s="110"/>
      <c r="Z526" s="110"/>
      <c r="AA526" s="110"/>
      <c r="AB526" s="110" t="s">
        <v>333</v>
      </c>
      <c r="AC526" s="110" t="s">
        <v>538</v>
      </c>
      <c r="AD526" s="110" t="n">
        <f aca="false">IF(OR(F526="",Q526="",R526=""),"",ROUND(IF(P526="incl.",F526/(1+Q526),F526)/IF(S526="per pack",R526,1),2))</f>
        <v>280.17</v>
      </c>
      <c r="AE526" s="110" t="str">
        <f aca="false">IF(AND(AC526="yes",ISNUMBER(F526),IF(Compare!$H$5="All mapped",TRUE(),IF(Compare!$H$5="EXACT only",J526="EXACT",OR(J526="EXACT",J526="CLOSE")))),"yes","no")</f>
        <v>yes</v>
      </c>
      <c r="AF526" s="110" t="n">
        <f aca="false">IF(ISNUMBER(H526),COUNTIFS($B$7:$B$3000,B526,$C$7:$C$3000,C526,$H$7:$H$3000,"&lt;"&amp;H526,$AH$7:$AH$3000,"yes")+COUNTIFS($B$7:B526,B526,$C$7:C526,C526,$H$7:H526,H526,$AH$7:AH526,"yes"),"")</f>
        <v>3</v>
      </c>
      <c r="AG526" s="110" t="n">
        <f aca="false">IF(ISNUMBER(I526),COUNTIFS($B$7:$B$3000,B526,$C$7:$C$3000,C526,$I$7:$I$3000,"&lt;"&amp;I526,$AI$7:$AI$3000,"yes")+COUNTIFS($B$7:B526,B526,$C$7:C526,C526,$I$7:I526,I526,$AI$7:AI526,"yes"),"")</f>
        <v>3</v>
      </c>
      <c r="AH526" s="110" t="str">
        <f aca="false">IF(ISNUMBER(H526),"yes","no")</f>
        <v>yes</v>
      </c>
      <c r="AI526" s="110" t="str">
        <f aca="false">IF(ISNUMBER(I526),"yes","no")</f>
        <v>yes</v>
      </c>
      <c r="AJ526" s="120" t="n">
        <v>46295</v>
      </c>
      <c r="AK526" s="110"/>
    </row>
    <row r="527" customFormat="false" ht="42" hidden="false" customHeight="true" outlineLevel="0" collapsed="false">
      <c r="A527" s="3"/>
      <c r="B527" s="31" t="s">
        <v>57</v>
      </c>
      <c r="C527" s="91" t="s">
        <v>17</v>
      </c>
      <c r="D527" s="91" t="s">
        <v>346</v>
      </c>
      <c r="E527" s="109" t="s">
        <v>1369</v>
      </c>
      <c r="F527" s="92" t="n">
        <v>285</v>
      </c>
      <c r="G527" s="91" t="s">
        <v>333</v>
      </c>
      <c r="H527" s="112" t="n">
        <f aca="false">IF(AND(AE527="yes",ISNUMBER(AD527)),AD527,"")</f>
        <v>235.54</v>
      </c>
      <c r="I527" s="95" t="n">
        <f aca="false">IF(AND(AE527="yes",ISNUMBER(AD527),ISNUMBER(INDEX(Sources!$G$7:$G$10,MATCH(AB527,Sources!$B$7:$B$10,0)))),ROUND(AD527/INDEX(Sources!$G$7:$G$10,MATCH(AB527,Sources!$B$7:$B$10,0)),6),"")</f>
        <v>9.643945</v>
      </c>
      <c r="J527" s="91" t="s">
        <v>702</v>
      </c>
      <c r="K527" s="91" t="s">
        <v>586</v>
      </c>
      <c r="L527" s="96"/>
      <c r="M527" s="109" t="s">
        <v>1860</v>
      </c>
      <c r="N527" s="113" t="s">
        <v>1371</v>
      </c>
      <c r="O527" s="109" t="s">
        <v>1372</v>
      </c>
      <c r="P527" s="109" t="s">
        <v>265</v>
      </c>
      <c r="Q527" s="114" t="n">
        <v>0.21</v>
      </c>
      <c r="R527" s="109" t="n">
        <v>1</v>
      </c>
      <c r="S527" s="109" t="s">
        <v>632</v>
      </c>
      <c r="T527" s="109" t="s">
        <v>702</v>
      </c>
      <c r="U527" s="109" t="s">
        <v>1535</v>
      </c>
      <c r="V527" s="115"/>
      <c r="W527" s="115"/>
      <c r="X527" s="109" t="s">
        <v>1555</v>
      </c>
      <c r="Y527" s="109"/>
      <c r="Z527" s="109"/>
      <c r="AA527" s="109"/>
      <c r="AB527" s="109" t="s">
        <v>333</v>
      </c>
      <c r="AC527" s="109" t="s">
        <v>538</v>
      </c>
      <c r="AD527" s="109" t="n">
        <f aca="false">IF(OR(F527="",Q527="",R527=""),"",ROUND(IF(P527="incl.",F527/(1+Q527),F527)/IF(S527="per pack",R527,1),2))</f>
        <v>235.54</v>
      </c>
      <c r="AE527" s="109" t="str">
        <f aca="false">IF(AND(AC527="yes",ISNUMBER(F527),IF(Compare!$H$5="All mapped",TRUE(),IF(Compare!$H$5="EXACT only",J527="EXACT",OR(J527="EXACT",J527="CLOSE")))),"yes","no")</f>
        <v>yes</v>
      </c>
      <c r="AF527" s="109" t="n">
        <f aca="false">IF(ISNUMBER(H527),COUNTIFS($B$7:$B$3000,B527,$C$7:$C$3000,C527,$H$7:$H$3000,"&lt;"&amp;H527,$AH$7:$AH$3000,"yes")+COUNTIFS($B$7:B527,B527,$C$7:C527,C527,$H$7:H527,H527,$AH$7:AH527,"yes"),"")</f>
        <v>2</v>
      </c>
      <c r="AG527" s="109" t="n">
        <f aca="false">IF(ISNUMBER(I527),COUNTIFS($B$7:$B$3000,B527,$C$7:$C$3000,C527,$I$7:$I$3000,"&lt;"&amp;I527,$AI$7:$AI$3000,"yes")+COUNTIFS($B$7:B527,B527,$C$7:C527,C527,$I$7:I527,I527,$AI$7:AI527,"yes"),"")</f>
        <v>2</v>
      </c>
      <c r="AH527" s="109" t="str">
        <f aca="false">IF(ISNUMBER(H527),"yes","no")</f>
        <v>yes</v>
      </c>
      <c r="AI527" s="109" t="str">
        <f aca="false">IF(ISNUMBER(I527),"yes","no")</f>
        <v>yes</v>
      </c>
      <c r="AJ527" s="116" t="n">
        <v>46295</v>
      </c>
      <c r="AK527" s="109"/>
    </row>
    <row r="528" customFormat="false" ht="42" hidden="false" customHeight="true" outlineLevel="0" collapsed="false">
      <c r="A528" s="3"/>
      <c r="B528" s="36" t="s">
        <v>57</v>
      </c>
      <c r="C528" s="98" t="s">
        <v>17</v>
      </c>
      <c r="D528" s="98" t="s">
        <v>361</v>
      </c>
      <c r="E528" s="110" t="s">
        <v>1259</v>
      </c>
      <c r="F528" s="99" t="n">
        <v>339</v>
      </c>
      <c r="G528" s="98" t="s">
        <v>333</v>
      </c>
      <c r="H528" s="112" t="n">
        <f aca="false">IF(AND(AE528="yes",ISNUMBER(AD528)),AD528,"")</f>
        <v>280.17</v>
      </c>
      <c r="I528" s="95" t="n">
        <f aca="false">IF(AND(AE528="yes",ISNUMBER(AD528),ISNUMBER(INDEX(Sources!$G$7:$G$10,MATCH(AB528,Sources!$B$7:$B$10,0)))),ROUND(AD528/INDEX(Sources!$G$7:$G$10,MATCH(AB528,Sources!$B$7:$B$10,0)),6),"")</f>
        <v>11.471274</v>
      </c>
      <c r="J528" s="98" t="s">
        <v>530</v>
      </c>
      <c r="K528" s="98" t="s">
        <v>586</v>
      </c>
      <c r="L528" s="96"/>
      <c r="M528" s="110" t="s">
        <v>1861</v>
      </c>
      <c r="N528" s="117" t="s">
        <v>1261</v>
      </c>
      <c r="O528" s="110" t="s">
        <v>361</v>
      </c>
      <c r="P528" s="110" t="s">
        <v>265</v>
      </c>
      <c r="Q528" s="118" t="n">
        <v>0.21</v>
      </c>
      <c r="R528" s="110" t="n">
        <v>1</v>
      </c>
      <c r="S528" s="110" t="s">
        <v>632</v>
      </c>
      <c r="T528" s="110" t="s">
        <v>530</v>
      </c>
      <c r="U528" s="110" t="s">
        <v>1535</v>
      </c>
      <c r="V528" s="119"/>
      <c r="W528" s="119"/>
      <c r="X528" s="110" t="s">
        <v>1555</v>
      </c>
      <c r="Y528" s="110"/>
      <c r="Z528" s="110"/>
      <c r="AA528" s="110"/>
      <c r="AB528" s="110" t="s">
        <v>333</v>
      </c>
      <c r="AC528" s="110" t="s">
        <v>538</v>
      </c>
      <c r="AD528" s="110" t="n">
        <f aca="false">IF(OR(F528="",Q528="",R528=""),"",ROUND(IF(P528="incl.",F528/(1+Q528),F528)/IF(S528="per pack",R528,1),2))</f>
        <v>280.17</v>
      </c>
      <c r="AE528" s="110" t="str">
        <f aca="false">IF(AND(AC528="yes",ISNUMBER(F528),IF(Compare!$H$5="All mapped",TRUE(),IF(Compare!$H$5="EXACT only",J528="EXACT",OR(J528="EXACT",J528="CLOSE")))),"yes","no")</f>
        <v>yes</v>
      </c>
      <c r="AF528" s="110" t="n">
        <f aca="false">IF(ISNUMBER(H528),COUNTIFS($B$7:$B$3000,B528,$C$7:$C$3000,C528,$H$7:$H$3000,"&lt;"&amp;H528,$AH$7:$AH$3000,"yes")+COUNTIFS($B$7:B528,B528,$C$7:C528,C528,$H$7:H528,H528,$AH$7:AH528,"yes"),"")</f>
        <v>4</v>
      </c>
      <c r="AG528" s="110" t="n">
        <f aca="false">IF(ISNUMBER(I528),COUNTIFS($B$7:$B$3000,B528,$C$7:$C$3000,C528,$I$7:$I$3000,"&lt;"&amp;I528,$AI$7:$AI$3000,"yes")+COUNTIFS($B$7:B528,B528,$C$7:C528,C528,$I$7:I528,I528,$AI$7:AI528,"yes"),"")</f>
        <v>4</v>
      </c>
      <c r="AH528" s="110" t="str">
        <f aca="false">IF(ISNUMBER(H528),"yes","no")</f>
        <v>yes</v>
      </c>
      <c r="AI528" s="110" t="str">
        <f aca="false">IF(ISNUMBER(I528),"yes","no")</f>
        <v>yes</v>
      </c>
      <c r="AJ528" s="120" t="n">
        <v>46295</v>
      </c>
      <c r="AK528" s="110"/>
    </row>
    <row r="529" customFormat="false" ht="42" hidden="false" customHeight="true" outlineLevel="0" collapsed="false">
      <c r="A529" s="3"/>
      <c r="B529" s="31" t="s">
        <v>58</v>
      </c>
      <c r="C529" s="91" t="s">
        <v>15</v>
      </c>
      <c r="D529" s="91" t="s">
        <v>243</v>
      </c>
      <c r="E529" s="109" t="s">
        <v>1862</v>
      </c>
      <c r="F529" s="92" t="n">
        <v>6.4</v>
      </c>
      <c r="G529" s="91" t="s">
        <v>244</v>
      </c>
      <c r="H529" s="112" t="n">
        <f aca="false">IF(AND(AE529="yes",ISNUMBER(AD529)),AD529,"")</f>
        <v>6.4</v>
      </c>
      <c r="I529" s="95" t="n">
        <f aca="false">IF(AND(AE529="yes",ISNUMBER(AD529),ISNUMBER(INDEX(Sources!$G$7:$G$10,MATCH(AB529,Sources!$B$7:$B$10,0)))),ROUND(AD529/INDEX(Sources!$G$7:$G$10,MATCH(AB529,Sources!$B$7:$B$10,0)),6),"")</f>
        <v>6.4</v>
      </c>
      <c r="J529" s="91" t="s">
        <v>530</v>
      </c>
      <c r="K529" s="91" t="s">
        <v>586</v>
      </c>
      <c r="L529" s="96"/>
      <c r="M529" s="109" t="s">
        <v>1863</v>
      </c>
      <c r="N529" s="113" t="s">
        <v>1864</v>
      </c>
      <c r="O529" s="109"/>
      <c r="P529" s="109" t="s">
        <v>590</v>
      </c>
      <c r="Q529" s="114"/>
      <c r="R529" s="109" t="n">
        <v>1</v>
      </c>
      <c r="S529" s="109"/>
      <c r="T529" s="109" t="s">
        <v>530</v>
      </c>
      <c r="U529" s="109" t="s">
        <v>1535</v>
      </c>
      <c r="V529" s="115" t="n">
        <v>6.4</v>
      </c>
      <c r="W529" s="115"/>
      <c r="X529" s="109" t="s">
        <v>1536</v>
      </c>
      <c r="Y529" s="109"/>
      <c r="Z529" s="109"/>
      <c r="AA529" s="109"/>
      <c r="AB529" s="109" t="s">
        <v>244</v>
      </c>
      <c r="AC529" s="109" t="s">
        <v>538</v>
      </c>
      <c r="AD529" s="109" t="n">
        <f aca="false">IF(ISNUMBER(V529),ROUND(V529,6),"")</f>
        <v>6.4</v>
      </c>
      <c r="AE529" s="109" t="str">
        <f aca="false">IF(AND(AC529="yes",ISNUMBER(F529),IF(Compare!$H$5="All mapped",TRUE(),IF(Compare!$H$5="EXACT only",J529="EXACT",OR(J529="EXACT",J529="CLOSE")))),"yes","no")</f>
        <v>yes</v>
      </c>
      <c r="AF529" s="109" t="n">
        <f aca="false">IF(ISNUMBER(H529),COUNTIFS($B$7:$B$3000,B529,$C$7:$C$3000,C529,$H$7:$H$3000,"&lt;"&amp;H529,$AH$7:$AH$3000,"yes")+COUNTIFS($B$7:B529,B529,$C$7:C529,C529,$H$7:H529,H529,$AH$7:AH529,"yes"),"")</f>
        <v>1</v>
      </c>
      <c r="AG529" s="109" t="n">
        <f aca="false">IF(ISNUMBER(I529),COUNTIFS($B$7:$B$3000,B529,$C$7:$C$3000,C529,$I$7:$I$3000,"&lt;"&amp;I529,$AI$7:$AI$3000,"yes")+COUNTIFS($B$7:B529,B529,$C$7:C529,C529,$I$7:I529,I529,$AI$7:AI529,"yes"),"")</f>
        <v>1</v>
      </c>
      <c r="AH529" s="109" t="str">
        <f aca="false">IF(ISNUMBER(H529),"yes","no")</f>
        <v>yes</v>
      </c>
      <c r="AI529" s="109" t="str">
        <f aca="false">IF(ISNUMBER(I529),"yes","no")</f>
        <v>yes</v>
      </c>
      <c r="AJ529" s="116" t="n">
        <v>46295</v>
      </c>
      <c r="AK529" s="109"/>
    </row>
    <row r="530" customFormat="false" ht="42" hidden="false" customHeight="true" outlineLevel="0" collapsed="false">
      <c r="A530" s="3"/>
      <c r="B530" s="36" t="s">
        <v>58</v>
      </c>
      <c r="C530" s="98" t="s">
        <v>15</v>
      </c>
      <c r="D530" s="98" t="s">
        <v>277</v>
      </c>
      <c r="E530" s="110" t="s">
        <v>1865</v>
      </c>
      <c r="F530" s="99" t="n">
        <v>54.99</v>
      </c>
      <c r="G530" s="98" t="s">
        <v>244</v>
      </c>
      <c r="H530" s="112" t="n">
        <f aca="false">IF(AND(AE530="yes",ISNUMBER(AD530)),AD530,"")</f>
        <v>9.17</v>
      </c>
      <c r="I530" s="95" t="n">
        <f aca="false">IF(AND(AE530="yes",ISNUMBER(AD530),ISNUMBER(INDEX(Sources!$G$7:$G$10,MATCH(AB530,Sources!$B$7:$B$10,0)))),ROUND(AD530/INDEX(Sources!$G$7:$G$10,MATCH(AB530,Sources!$B$7:$B$10,0)),6),"")</f>
        <v>9.17</v>
      </c>
      <c r="J530" s="98" t="s">
        <v>530</v>
      </c>
      <c r="K530" s="98" t="s">
        <v>586</v>
      </c>
      <c r="L530" s="96"/>
      <c r="M530" s="110" t="s">
        <v>696</v>
      </c>
      <c r="N530" s="117" t="s">
        <v>1866</v>
      </c>
      <c r="O530" s="110" t="s">
        <v>610</v>
      </c>
      <c r="P530" s="110" t="s">
        <v>590</v>
      </c>
      <c r="Q530" s="118"/>
      <c r="R530" s="110" t="n">
        <v>6</v>
      </c>
      <c r="S530" s="110" t="s">
        <v>611</v>
      </c>
      <c r="T530" s="110" t="s">
        <v>530</v>
      </c>
      <c r="U530" s="110" t="s">
        <v>1535</v>
      </c>
      <c r="V530" s="119" t="n">
        <v>9.17</v>
      </c>
      <c r="W530" s="119"/>
      <c r="X530" s="110" t="s">
        <v>1536</v>
      </c>
      <c r="Y530" s="110"/>
      <c r="Z530" s="110"/>
      <c r="AA530" s="110"/>
      <c r="AB530" s="110" t="s">
        <v>244</v>
      </c>
      <c r="AC530" s="110" t="s">
        <v>538</v>
      </c>
      <c r="AD530" s="110" t="n">
        <f aca="false">IF(ISNUMBER(V530),ROUND(V530,6),"")</f>
        <v>9.17</v>
      </c>
      <c r="AE530" s="110" t="str">
        <f aca="false">IF(AND(AC530="yes",ISNUMBER(F530),IF(Compare!$H$5="All mapped",TRUE(),IF(Compare!$H$5="EXACT only",J530="EXACT",OR(J530="EXACT",J530="CLOSE")))),"yes","no")</f>
        <v>yes</v>
      </c>
      <c r="AF530" s="110" t="n">
        <f aca="false">IF(ISNUMBER(H530),COUNTIFS($B$7:$B$3000,B530,$C$7:$C$3000,C530,$H$7:$H$3000,"&lt;"&amp;H530,$AH$7:$AH$3000,"yes")+COUNTIFS($B$7:B530,B530,$C$7:C530,C530,$H$7:H530,H530,$AH$7:AH530,"yes"),"")</f>
        <v>2</v>
      </c>
      <c r="AG530" s="110" t="n">
        <f aca="false">IF(ISNUMBER(I530),COUNTIFS($B$7:$B$3000,B530,$C$7:$C$3000,C530,$I$7:$I$3000,"&lt;"&amp;I530,$AI$7:$AI$3000,"yes")+COUNTIFS($B$7:B530,B530,$C$7:C530,C530,$I$7:I530,I530,$AI$7:AI530,"yes"),"")</f>
        <v>2</v>
      </c>
      <c r="AH530" s="110" t="str">
        <f aca="false">IF(ISNUMBER(H530),"yes","no")</f>
        <v>yes</v>
      </c>
      <c r="AI530" s="110" t="str">
        <f aca="false">IF(ISNUMBER(I530),"yes","no")</f>
        <v>yes</v>
      </c>
      <c r="AJ530" s="120" t="n">
        <v>46295</v>
      </c>
      <c r="AK530" s="110"/>
    </row>
    <row r="531" customFormat="false" ht="42" hidden="false" customHeight="true" outlineLevel="0" collapsed="false">
      <c r="A531" s="3"/>
      <c r="B531" s="31" t="s">
        <v>58</v>
      </c>
      <c r="C531" s="91" t="s">
        <v>15</v>
      </c>
      <c r="D531" s="91" t="s">
        <v>257</v>
      </c>
      <c r="E531" s="109" t="s">
        <v>1867</v>
      </c>
      <c r="F531" s="92" t="n">
        <v>28</v>
      </c>
      <c r="G531" s="91" t="s">
        <v>244</v>
      </c>
      <c r="H531" s="112" t="n">
        <f aca="false">IF(AND(AE531="yes",ISNUMBER(AD531)),AD531,"")</f>
        <v>28</v>
      </c>
      <c r="I531" s="95" t="n">
        <f aca="false">IF(AND(AE531="yes",ISNUMBER(AD531),ISNUMBER(INDEX(Sources!$G$7:$G$10,MATCH(AB531,Sources!$B$7:$B$10,0)))),ROUND(AD531/INDEX(Sources!$G$7:$G$10,MATCH(AB531,Sources!$B$7:$B$10,0)),6),"")</f>
        <v>28</v>
      </c>
      <c r="J531" s="91" t="s">
        <v>530</v>
      </c>
      <c r="K531" s="91" t="s">
        <v>586</v>
      </c>
      <c r="L531" s="96"/>
      <c r="M531" s="109"/>
      <c r="N531" s="113" t="s">
        <v>1868</v>
      </c>
      <c r="O531" s="109" t="s">
        <v>1576</v>
      </c>
      <c r="P531" s="109" t="s">
        <v>590</v>
      </c>
      <c r="Q531" s="114"/>
      <c r="R531" s="109" t="n">
        <v>1</v>
      </c>
      <c r="S531" s="109"/>
      <c r="T531" s="109" t="s">
        <v>530</v>
      </c>
      <c r="U531" s="109" t="s">
        <v>1535</v>
      </c>
      <c r="V531" s="115" t="n">
        <v>28</v>
      </c>
      <c r="W531" s="115"/>
      <c r="X531" s="109" t="s">
        <v>1536</v>
      </c>
      <c r="Y531" s="109"/>
      <c r="Z531" s="109"/>
      <c r="AA531" s="109"/>
      <c r="AB531" s="109" t="s">
        <v>244</v>
      </c>
      <c r="AC531" s="109" t="s">
        <v>538</v>
      </c>
      <c r="AD531" s="109" t="n">
        <f aca="false">IF(ISNUMBER(V531),ROUND(V531,6),"")</f>
        <v>28</v>
      </c>
      <c r="AE531" s="109" t="str">
        <f aca="false">IF(AND(AC531="yes",ISNUMBER(F531),IF(Compare!$H$5="All mapped",TRUE(),IF(Compare!$H$5="EXACT only",J531="EXACT",OR(J531="EXACT",J531="CLOSE")))),"yes","no")</f>
        <v>yes</v>
      </c>
      <c r="AF531" s="109" t="n">
        <f aca="false">IF(ISNUMBER(H531),COUNTIFS($B$7:$B$3000,B531,$C$7:$C$3000,C531,$H$7:$H$3000,"&lt;"&amp;H531,$AH$7:$AH$3000,"yes")+COUNTIFS($B$7:B531,B531,$C$7:C531,C531,$H$7:H531,H531,$AH$7:AH531,"yes"),"")</f>
        <v>8</v>
      </c>
      <c r="AG531" s="109" t="n">
        <f aca="false">IF(ISNUMBER(I531),COUNTIFS($B$7:$B$3000,B531,$C$7:$C$3000,C531,$I$7:$I$3000,"&lt;"&amp;I531,$AI$7:$AI$3000,"yes")+COUNTIFS($B$7:B531,B531,$C$7:C531,C531,$I$7:I531,I531,$AI$7:AI531,"yes"),"")</f>
        <v>8</v>
      </c>
      <c r="AH531" s="109" t="str">
        <f aca="false">IF(ISNUMBER(H531),"yes","no")</f>
        <v>yes</v>
      </c>
      <c r="AI531" s="109" t="str">
        <f aca="false">IF(ISNUMBER(I531),"yes","no")</f>
        <v>yes</v>
      </c>
      <c r="AJ531" s="116" t="n">
        <v>46295</v>
      </c>
      <c r="AK531" s="109"/>
    </row>
    <row r="532" customFormat="false" ht="42" hidden="false" customHeight="true" outlineLevel="0" collapsed="false">
      <c r="A532" s="3"/>
      <c r="B532" s="36" t="s">
        <v>58</v>
      </c>
      <c r="C532" s="98" t="s">
        <v>15</v>
      </c>
      <c r="D532" s="98" t="s">
        <v>269</v>
      </c>
      <c r="E532" s="110" t="s">
        <v>1869</v>
      </c>
      <c r="F532" s="99" t="n">
        <v>18.09</v>
      </c>
      <c r="G532" s="98" t="s">
        <v>244</v>
      </c>
      <c r="H532" s="112" t="n">
        <f aca="false">IF(AND(AE532="yes",ISNUMBER(AD532)),AD532,"")</f>
        <v>18.09</v>
      </c>
      <c r="I532" s="95" t="n">
        <f aca="false">IF(AND(AE532="yes",ISNUMBER(AD532),ISNUMBER(INDEX(Sources!$G$7:$G$10,MATCH(AB532,Sources!$B$7:$B$10,0)))),ROUND(AD532/INDEX(Sources!$G$7:$G$10,MATCH(AB532,Sources!$B$7:$B$10,0)),6),"")</f>
        <v>18.09</v>
      </c>
      <c r="J532" s="98" t="s">
        <v>530</v>
      </c>
      <c r="K532" s="98" t="s">
        <v>586</v>
      </c>
      <c r="L532" s="96"/>
      <c r="M532" s="110" t="s">
        <v>1870</v>
      </c>
      <c r="N532" s="117" t="s">
        <v>1871</v>
      </c>
      <c r="O532" s="110" t="s">
        <v>598</v>
      </c>
      <c r="P532" s="110" t="s">
        <v>590</v>
      </c>
      <c r="Q532" s="118"/>
      <c r="R532" s="110" t="n">
        <v>1</v>
      </c>
      <c r="S532" s="110"/>
      <c r="T532" s="110" t="s">
        <v>530</v>
      </c>
      <c r="U532" s="110" t="s">
        <v>1535</v>
      </c>
      <c r="V532" s="119" t="n">
        <v>18.09</v>
      </c>
      <c r="W532" s="119"/>
      <c r="X532" s="110" t="s">
        <v>1536</v>
      </c>
      <c r="Y532" s="110"/>
      <c r="Z532" s="110"/>
      <c r="AA532" s="110"/>
      <c r="AB532" s="110" t="s">
        <v>244</v>
      </c>
      <c r="AC532" s="110" t="s">
        <v>538</v>
      </c>
      <c r="AD532" s="110" t="n">
        <f aca="false">IF(ISNUMBER(V532),ROUND(V532,6),"")</f>
        <v>18.09</v>
      </c>
      <c r="AE532" s="110" t="str">
        <f aca="false">IF(AND(AC532="yes",ISNUMBER(F532),IF(Compare!$H$5="All mapped",TRUE(),IF(Compare!$H$5="EXACT only",J532="EXACT",OR(J532="EXACT",J532="CLOSE")))),"yes","no")</f>
        <v>yes</v>
      </c>
      <c r="AF532" s="110" t="n">
        <f aca="false">IF(ISNUMBER(H532),COUNTIFS($B$7:$B$3000,B532,$C$7:$C$3000,C532,$H$7:$H$3000,"&lt;"&amp;H532,$AH$7:$AH$3000,"yes")+COUNTIFS($B$7:B532,B532,$C$7:C532,C532,$H$7:H532,H532,$AH$7:AH532,"yes"),"")</f>
        <v>6</v>
      </c>
      <c r="AG532" s="110" t="n">
        <f aca="false">IF(ISNUMBER(I532),COUNTIFS($B$7:$B$3000,B532,$C$7:$C$3000,C532,$I$7:$I$3000,"&lt;"&amp;I532,$AI$7:$AI$3000,"yes")+COUNTIFS($B$7:B532,B532,$C$7:C532,C532,$I$7:I532,I532,$AI$7:AI532,"yes"),"")</f>
        <v>6</v>
      </c>
      <c r="AH532" s="110" t="str">
        <f aca="false">IF(ISNUMBER(H532),"yes","no")</f>
        <v>yes</v>
      </c>
      <c r="AI532" s="110" t="str">
        <f aca="false">IF(ISNUMBER(I532),"yes","no")</f>
        <v>yes</v>
      </c>
      <c r="AJ532" s="120" t="n">
        <v>46295</v>
      </c>
      <c r="AK532" s="110"/>
    </row>
    <row r="533" customFormat="false" ht="42" hidden="false" customHeight="true" outlineLevel="0" collapsed="false">
      <c r="A533" s="3"/>
      <c r="B533" s="31" t="s">
        <v>58</v>
      </c>
      <c r="C533" s="91" t="s">
        <v>15</v>
      </c>
      <c r="D533" s="91" t="s">
        <v>264</v>
      </c>
      <c r="E533" s="109" t="s">
        <v>1872</v>
      </c>
      <c r="F533" s="92" t="n">
        <v>29.25</v>
      </c>
      <c r="G533" s="91" t="s">
        <v>244</v>
      </c>
      <c r="H533" s="112" t="n">
        <f aca="false">IF(AND(AE533="yes",ISNUMBER(AD533)),AD533,"")</f>
        <v>29.25</v>
      </c>
      <c r="I533" s="95" t="n">
        <f aca="false">IF(AND(AE533="yes",ISNUMBER(AD533),ISNUMBER(INDEX(Sources!$G$7:$G$10,MATCH(AB533,Sources!$B$7:$B$10,0)))),ROUND(AD533/INDEX(Sources!$G$7:$G$10,MATCH(AB533,Sources!$B$7:$B$10,0)),6),"")</f>
        <v>29.25</v>
      </c>
      <c r="J533" s="91" t="s">
        <v>530</v>
      </c>
      <c r="K533" s="91" t="s">
        <v>586</v>
      </c>
      <c r="L533" s="96"/>
      <c r="M533" s="109" t="s">
        <v>1873</v>
      </c>
      <c r="N533" s="113" t="s">
        <v>1874</v>
      </c>
      <c r="O533" s="109" t="s">
        <v>388</v>
      </c>
      <c r="P533" s="109" t="s">
        <v>590</v>
      </c>
      <c r="Q533" s="114"/>
      <c r="R533" s="109" t="n">
        <v>1</v>
      </c>
      <c r="S533" s="109"/>
      <c r="T533" s="109" t="s">
        <v>530</v>
      </c>
      <c r="U533" s="109" t="s">
        <v>1535</v>
      </c>
      <c r="V533" s="115" t="n">
        <v>29.25</v>
      </c>
      <c r="W533" s="115"/>
      <c r="X533" s="109" t="s">
        <v>1536</v>
      </c>
      <c r="Y533" s="109"/>
      <c r="Z533" s="109"/>
      <c r="AA533" s="109"/>
      <c r="AB533" s="109" t="s">
        <v>244</v>
      </c>
      <c r="AC533" s="109" t="s">
        <v>538</v>
      </c>
      <c r="AD533" s="109" t="n">
        <f aca="false">IF(ISNUMBER(V533),ROUND(V533,6),"")</f>
        <v>29.25</v>
      </c>
      <c r="AE533" s="109" t="str">
        <f aca="false">IF(AND(AC533="yes",ISNUMBER(F533),IF(Compare!$H$5="All mapped",TRUE(),IF(Compare!$H$5="EXACT only",J533="EXACT",OR(J533="EXACT",J533="CLOSE")))),"yes","no")</f>
        <v>yes</v>
      </c>
      <c r="AF533" s="109" t="n">
        <f aca="false">IF(ISNUMBER(H533),COUNTIFS($B$7:$B$3000,B533,$C$7:$C$3000,C533,$H$7:$H$3000,"&lt;"&amp;H533,$AH$7:$AH$3000,"yes")+COUNTIFS($B$7:B533,B533,$C$7:C533,C533,$H$7:H533,H533,$AH$7:AH533,"yes"),"")</f>
        <v>9</v>
      </c>
      <c r="AG533" s="109" t="n">
        <f aca="false">IF(ISNUMBER(I533),COUNTIFS($B$7:$B$3000,B533,$C$7:$C$3000,C533,$I$7:$I$3000,"&lt;"&amp;I533,$AI$7:$AI$3000,"yes")+COUNTIFS($B$7:B533,B533,$C$7:C533,C533,$I$7:I533,I533,$AI$7:AI533,"yes"),"")</f>
        <v>9</v>
      </c>
      <c r="AH533" s="109" t="str">
        <f aca="false">IF(ISNUMBER(H533),"yes","no")</f>
        <v>yes</v>
      </c>
      <c r="AI533" s="109" t="str">
        <f aca="false">IF(ISNUMBER(I533),"yes","no")</f>
        <v>yes</v>
      </c>
      <c r="AJ533" s="116" t="n">
        <v>46295</v>
      </c>
      <c r="AK533" s="109"/>
    </row>
    <row r="534" customFormat="false" ht="42" hidden="false" customHeight="true" outlineLevel="0" collapsed="false">
      <c r="A534" s="3"/>
      <c r="B534" s="36" t="s">
        <v>58</v>
      </c>
      <c r="C534" s="98" t="s">
        <v>15</v>
      </c>
      <c r="D534" s="98" t="s">
        <v>273</v>
      </c>
      <c r="E534" s="110" t="s">
        <v>1875</v>
      </c>
      <c r="F534" s="99" t="n">
        <v>15.39</v>
      </c>
      <c r="G534" s="98" t="s">
        <v>244</v>
      </c>
      <c r="H534" s="112" t="n">
        <f aca="false">IF(AND(AE534="yes",ISNUMBER(AD534)),AD534,"")</f>
        <v>12.83</v>
      </c>
      <c r="I534" s="95" t="n">
        <f aca="false">IF(AND(AE534="yes",ISNUMBER(AD534),ISNUMBER(INDEX(Sources!$G$7:$G$10,MATCH(AB534,Sources!$B$7:$B$10,0)))),ROUND(AD534/INDEX(Sources!$G$7:$G$10,MATCH(AB534,Sources!$B$7:$B$10,0)),6),"")</f>
        <v>12.83</v>
      </c>
      <c r="J534" s="98" t="s">
        <v>530</v>
      </c>
      <c r="K534" s="98" t="s">
        <v>586</v>
      </c>
      <c r="L534" s="96"/>
      <c r="M534" s="110" t="s">
        <v>1876</v>
      </c>
      <c r="N534" s="117" t="s">
        <v>1877</v>
      </c>
      <c r="O534" s="110" t="s">
        <v>598</v>
      </c>
      <c r="P534" s="110" t="s">
        <v>265</v>
      </c>
      <c r="Q534" s="118"/>
      <c r="R534" s="110" t="n">
        <v>1</v>
      </c>
      <c r="S534" s="110"/>
      <c r="T534" s="110" t="s">
        <v>530</v>
      </c>
      <c r="U534" s="110" t="s">
        <v>1535</v>
      </c>
      <c r="V534" s="119" t="n">
        <v>12.83</v>
      </c>
      <c r="W534" s="119"/>
      <c r="X534" s="110" t="s">
        <v>1536</v>
      </c>
      <c r="Y534" s="110"/>
      <c r="Z534" s="110"/>
      <c r="AA534" s="110"/>
      <c r="AB534" s="110" t="s">
        <v>244</v>
      </c>
      <c r="AC534" s="110" t="s">
        <v>538</v>
      </c>
      <c r="AD534" s="110" t="n">
        <f aca="false">IF(ISNUMBER(V534),ROUND(V534,6),"")</f>
        <v>12.83</v>
      </c>
      <c r="AE534" s="110" t="str">
        <f aca="false">IF(AND(AC534="yes",ISNUMBER(F534),IF(Compare!$H$5="All mapped",TRUE(),IF(Compare!$H$5="EXACT only",J534="EXACT",OR(J534="EXACT",J534="CLOSE")))),"yes","no")</f>
        <v>yes</v>
      </c>
      <c r="AF534" s="110" t="n">
        <f aca="false">IF(ISNUMBER(H534),COUNTIFS($B$7:$B$3000,B534,$C$7:$C$3000,C534,$H$7:$H$3000,"&lt;"&amp;H534,$AH$7:$AH$3000,"yes")+COUNTIFS($B$7:B534,B534,$C$7:C534,C534,$H$7:H534,H534,$AH$7:AH534,"yes"),"")</f>
        <v>3</v>
      </c>
      <c r="AG534" s="110" t="n">
        <f aca="false">IF(ISNUMBER(I534),COUNTIFS($B$7:$B$3000,B534,$C$7:$C$3000,C534,$I$7:$I$3000,"&lt;"&amp;I534,$AI$7:$AI$3000,"yes")+COUNTIFS($B$7:B534,B534,$C$7:C534,C534,$I$7:I534,I534,$AI$7:AI534,"yes"),"")</f>
        <v>3</v>
      </c>
      <c r="AH534" s="110" t="str">
        <f aca="false">IF(ISNUMBER(H534),"yes","no")</f>
        <v>yes</v>
      </c>
      <c r="AI534" s="110" t="str">
        <f aca="false">IF(ISNUMBER(I534),"yes","no")</f>
        <v>yes</v>
      </c>
      <c r="AJ534" s="120" t="n">
        <v>46295</v>
      </c>
      <c r="AK534" s="110"/>
    </row>
    <row r="535" customFormat="false" ht="42" hidden="false" customHeight="true" outlineLevel="0" collapsed="false">
      <c r="A535" s="3"/>
      <c r="B535" s="31" t="s">
        <v>58</v>
      </c>
      <c r="C535" s="91" t="s">
        <v>15</v>
      </c>
      <c r="D535" s="91" t="s">
        <v>281</v>
      </c>
      <c r="E535" s="109" t="s">
        <v>1878</v>
      </c>
      <c r="F535" s="92" t="n">
        <v>20.65</v>
      </c>
      <c r="G535" s="91" t="s">
        <v>244</v>
      </c>
      <c r="H535" s="112" t="n">
        <f aca="false">IF(AND(AE535="yes",ISNUMBER(AD535)),AD535,"")</f>
        <v>20.65</v>
      </c>
      <c r="I535" s="95" t="n">
        <f aca="false">IF(AND(AE535="yes",ISNUMBER(AD535),ISNUMBER(INDEX(Sources!$G$7:$G$10,MATCH(AB535,Sources!$B$7:$B$10,0)))),ROUND(AD535/INDEX(Sources!$G$7:$G$10,MATCH(AB535,Sources!$B$7:$B$10,0)),6),"")</f>
        <v>20.65</v>
      </c>
      <c r="J535" s="91" t="s">
        <v>530</v>
      </c>
      <c r="K535" s="91" t="s">
        <v>586</v>
      </c>
      <c r="L535" s="96"/>
      <c r="M535" s="109" t="s">
        <v>696</v>
      </c>
      <c r="N535" s="113" t="s">
        <v>1879</v>
      </c>
      <c r="O535" s="109" t="s">
        <v>603</v>
      </c>
      <c r="P535" s="109" t="s">
        <v>590</v>
      </c>
      <c r="Q535" s="114"/>
      <c r="R535" s="109" t="n">
        <v>1</v>
      </c>
      <c r="S535" s="109"/>
      <c r="T535" s="109" t="s">
        <v>530</v>
      </c>
      <c r="U535" s="109" t="s">
        <v>1535</v>
      </c>
      <c r="V535" s="115" t="n">
        <v>20.65</v>
      </c>
      <c r="W535" s="115"/>
      <c r="X535" s="109" t="s">
        <v>1536</v>
      </c>
      <c r="Y535" s="109"/>
      <c r="Z535" s="109"/>
      <c r="AA535" s="109"/>
      <c r="AB535" s="109" t="s">
        <v>244</v>
      </c>
      <c r="AC535" s="109" t="s">
        <v>538</v>
      </c>
      <c r="AD535" s="109" t="n">
        <f aca="false">IF(ISNUMBER(V535),ROUND(V535,6),"")</f>
        <v>20.65</v>
      </c>
      <c r="AE535" s="109" t="str">
        <f aca="false">IF(AND(AC535="yes",ISNUMBER(F535),IF(Compare!$H$5="All mapped",TRUE(),IF(Compare!$H$5="EXACT only",J535="EXACT",OR(J535="EXACT",J535="CLOSE")))),"yes","no")</f>
        <v>yes</v>
      </c>
      <c r="AF535" s="109" t="n">
        <f aca="false">IF(ISNUMBER(H535),COUNTIFS($B$7:$B$3000,B535,$C$7:$C$3000,C535,$H$7:$H$3000,"&lt;"&amp;H535,$AH$7:$AH$3000,"yes")+COUNTIFS($B$7:B535,B535,$C$7:C535,C535,$H$7:H535,H535,$AH$7:AH535,"yes"),"")</f>
        <v>7</v>
      </c>
      <c r="AG535" s="109" t="n">
        <f aca="false">IF(ISNUMBER(I535),COUNTIFS($B$7:$B$3000,B535,$C$7:$C$3000,C535,$I$7:$I$3000,"&lt;"&amp;I535,$AI$7:$AI$3000,"yes")+COUNTIFS($B$7:B535,B535,$C$7:C535,C535,$I$7:I535,I535,$AI$7:AI535,"yes"),"")</f>
        <v>7</v>
      </c>
      <c r="AH535" s="109" t="str">
        <f aca="false">IF(ISNUMBER(H535),"yes","no")</f>
        <v>yes</v>
      </c>
      <c r="AI535" s="109" t="str">
        <f aca="false">IF(ISNUMBER(I535),"yes","no")</f>
        <v>yes</v>
      </c>
      <c r="AJ535" s="116" t="n">
        <v>46295</v>
      </c>
      <c r="AK535" s="109"/>
    </row>
    <row r="536" customFormat="false" ht="42" hidden="false" customHeight="true" outlineLevel="0" collapsed="false">
      <c r="A536" s="3"/>
      <c r="B536" s="36" t="s">
        <v>58</v>
      </c>
      <c r="C536" s="98" t="s">
        <v>15</v>
      </c>
      <c r="D536" s="98" t="s">
        <v>293</v>
      </c>
      <c r="E536" s="110" t="s">
        <v>1880</v>
      </c>
      <c r="F536" s="99" t="n">
        <v>17</v>
      </c>
      <c r="G536" s="98" t="s">
        <v>244</v>
      </c>
      <c r="H536" s="112" t="n">
        <f aca="false">IF(AND(AE536="yes",ISNUMBER(AD536)),AD536,"")</f>
        <v>17</v>
      </c>
      <c r="I536" s="95" t="n">
        <f aca="false">IF(AND(AE536="yes",ISNUMBER(AD536),ISNUMBER(INDEX(Sources!$G$7:$G$10,MATCH(AB536,Sources!$B$7:$B$10,0)))),ROUND(AD536/INDEX(Sources!$G$7:$G$10,MATCH(AB536,Sources!$B$7:$B$10,0)),6),"")</f>
        <v>17</v>
      </c>
      <c r="J536" s="98" t="s">
        <v>530</v>
      </c>
      <c r="K536" s="98" t="s">
        <v>586</v>
      </c>
      <c r="L536" s="96"/>
      <c r="M536" s="110" t="s">
        <v>1881</v>
      </c>
      <c r="N536" s="117" t="s">
        <v>1882</v>
      </c>
      <c r="O536" s="110" t="s">
        <v>589</v>
      </c>
      <c r="P536" s="110" t="s">
        <v>590</v>
      </c>
      <c r="Q536" s="118"/>
      <c r="R536" s="110" t="n">
        <v>1</v>
      </c>
      <c r="S536" s="110"/>
      <c r="T536" s="110" t="s">
        <v>530</v>
      </c>
      <c r="U536" s="110" t="s">
        <v>1535</v>
      </c>
      <c r="V536" s="119" t="n">
        <v>17</v>
      </c>
      <c r="W536" s="119"/>
      <c r="X536" s="110" t="s">
        <v>1536</v>
      </c>
      <c r="Y536" s="110"/>
      <c r="Z536" s="110"/>
      <c r="AA536" s="110"/>
      <c r="AB536" s="110" t="s">
        <v>244</v>
      </c>
      <c r="AC536" s="110" t="s">
        <v>538</v>
      </c>
      <c r="AD536" s="110" t="n">
        <f aca="false">IF(ISNUMBER(V536),ROUND(V536,6),"")</f>
        <v>17</v>
      </c>
      <c r="AE536" s="110" t="str">
        <f aca="false">IF(AND(AC536="yes",ISNUMBER(F536),IF(Compare!$H$5="All mapped",TRUE(),IF(Compare!$H$5="EXACT only",J536="EXACT",OR(J536="EXACT",J536="CLOSE")))),"yes","no")</f>
        <v>yes</v>
      </c>
      <c r="AF536" s="110" t="n">
        <f aca="false">IF(ISNUMBER(H536),COUNTIFS($B$7:$B$3000,B536,$C$7:$C$3000,C536,$H$7:$H$3000,"&lt;"&amp;H536,$AH$7:$AH$3000,"yes")+COUNTIFS($B$7:B536,B536,$C$7:C536,C536,$H$7:H536,H536,$AH$7:AH536,"yes"),"")</f>
        <v>5</v>
      </c>
      <c r="AG536" s="110" t="n">
        <f aca="false">IF(ISNUMBER(I536),COUNTIFS($B$7:$B$3000,B536,$C$7:$C$3000,C536,$I$7:$I$3000,"&lt;"&amp;I536,$AI$7:$AI$3000,"yes")+COUNTIFS($B$7:B536,B536,$C$7:C536,C536,$I$7:I536,I536,$AI$7:AI536,"yes"),"")</f>
        <v>5</v>
      </c>
      <c r="AH536" s="110" t="str">
        <f aca="false">IF(ISNUMBER(H536),"yes","no")</f>
        <v>yes</v>
      </c>
      <c r="AI536" s="110" t="str">
        <f aca="false">IF(ISNUMBER(I536),"yes","no")</f>
        <v>yes</v>
      </c>
      <c r="AJ536" s="120" t="n">
        <v>46295</v>
      </c>
      <c r="AK536" s="110"/>
    </row>
    <row r="537" customFormat="false" ht="42" hidden="false" customHeight="true" outlineLevel="0" collapsed="false">
      <c r="A537" s="3"/>
      <c r="B537" s="31" t="s">
        <v>58</v>
      </c>
      <c r="C537" s="91" t="s">
        <v>17</v>
      </c>
      <c r="D537" s="91" t="s">
        <v>354</v>
      </c>
      <c r="E537" s="109" t="s">
        <v>1883</v>
      </c>
      <c r="F537" s="92" t="n">
        <v>1314.06</v>
      </c>
      <c r="G537" s="91" t="s">
        <v>333</v>
      </c>
      <c r="H537" s="112" t="n">
        <f aca="false">IF(AND(AE537="yes",ISNUMBER(AD537)),AD537,"")</f>
        <v>219.01</v>
      </c>
      <c r="I537" s="95" t="n">
        <f aca="false">IF(AND(AE537="yes",ISNUMBER(AD537),ISNUMBER(INDEX(Sources!$G$7:$G$10,MATCH(AB537,Sources!$B$7:$B$10,0)))),ROUND(AD537/INDEX(Sources!$G$7:$G$10,MATCH(AB537,Sources!$B$7:$B$10,0)),6),"")</f>
        <v>8.967141</v>
      </c>
      <c r="J537" s="91" t="s">
        <v>530</v>
      </c>
      <c r="K537" s="91" t="s">
        <v>586</v>
      </c>
      <c r="L537" s="96"/>
      <c r="M537" s="109" t="s">
        <v>696</v>
      </c>
      <c r="N537" s="113" t="s">
        <v>1884</v>
      </c>
      <c r="O537" s="109" t="s">
        <v>610</v>
      </c>
      <c r="P537" s="109" t="s">
        <v>590</v>
      </c>
      <c r="Q537" s="114" t="n">
        <v>0.19</v>
      </c>
      <c r="R537" s="109" t="n">
        <v>6</v>
      </c>
      <c r="S537" s="109" t="s">
        <v>625</v>
      </c>
      <c r="T537" s="109" t="s">
        <v>530</v>
      </c>
      <c r="U537" s="109" t="s">
        <v>1535</v>
      </c>
      <c r="V537" s="115"/>
      <c r="W537" s="115"/>
      <c r="X537" s="109" t="s">
        <v>1555</v>
      </c>
      <c r="Y537" s="109"/>
      <c r="Z537" s="109"/>
      <c r="AA537" s="109"/>
      <c r="AB537" s="109" t="s">
        <v>333</v>
      </c>
      <c r="AC537" s="109" t="s">
        <v>538</v>
      </c>
      <c r="AD537" s="109" t="n">
        <f aca="false">IF(OR(F537="",Q537="",R537=""),"",ROUND(IF(P537="incl.",F537/(1+Q537),F537)/IF(S537="per pack",R537,1),2))</f>
        <v>219.01</v>
      </c>
      <c r="AE537" s="109" t="str">
        <f aca="false">IF(AND(AC537="yes",ISNUMBER(F537),IF(Compare!$H$5="All mapped",TRUE(),IF(Compare!$H$5="EXACT only",J537="EXACT",OR(J537="EXACT",J537="CLOSE")))),"yes","no")</f>
        <v>yes</v>
      </c>
      <c r="AF537" s="109" t="n">
        <f aca="false">IF(ISNUMBER(H537),COUNTIFS($B$7:$B$3000,B537,$C$7:$C$3000,C537,$H$7:$H$3000,"&lt;"&amp;H537,$AH$7:$AH$3000,"yes")+COUNTIFS($B$7:B537,B537,$C$7:C537,C537,$H$7:H537,H537,$AH$7:AH537,"yes"),"")</f>
        <v>1</v>
      </c>
      <c r="AG537" s="109" t="n">
        <f aca="false">IF(ISNUMBER(I537),COUNTIFS($B$7:$B$3000,B537,$C$7:$C$3000,C537,$I$7:$I$3000,"&lt;"&amp;I537,$AI$7:$AI$3000,"yes")+COUNTIFS($B$7:B537,B537,$C$7:C537,C537,$I$7:I537,I537,$AI$7:AI537,"yes"),"")</f>
        <v>1</v>
      </c>
      <c r="AH537" s="109" t="str">
        <f aca="false">IF(ISNUMBER(H537),"yes","no")</f>
        <v>yes</v>
      </c>
      <c r="AI537" s="109" t="str">
        <f aca="false">IF(ISNUMBER(I537),"yes","no")</f>
        <v>yes</v>
      </c>
      <c r="AJ537" s="116" t="n">
        <v>46295</v>
      </c>
      <c r="AK537" s="109"/>
    </row>
    <row r="538" customFormat="false" ht="42" hidden="false" customHeight="true" outlineLevel="0" collapsed="false">
      <c r="A538" s="3"/>
      <c r="B538" s="36" t="s">
        <v>58</v>
      </c>
      <c r="C538" s="98" t="s">
        <v>17</v>
      </c>
      <c r="D538" s="98" t="s">
        <v>332</v>
      </c>
      <c r="E538" s="110" t="s">
        <v>628</v>
      </c>
      <c r="F538" s="99" t="n">
        <v>289</v>
      </c>
      <c r="G538" s="98" t="s">
        <v>333</v>
      </c>
      <c r="H538" s="112" t="n">
        <f aca="false">IF(AND(AE538="yes",ISNUMBER(AD538)),AD538,"")</f>
        <v>289</v>
      </c>
      <c r="I538" s="95" t="n">
        <f aca="false">IF(AND(AE538="yes",ISNUMBER(AD538),ISNUMBER(INDEX(Sources!$G$7:$G$10,MATCH(AB538,Sources!$B$7:$B$10,0)))),ROUND(AD538/INDEX(Sources!$G$7:$G$10,MATCH(AB538,Sources!$B$7:$B$10,0)),6),"")</f>
        <v>11.83281</v>
      </c>
      <c r="J538" s="98" t="s">
        <v>530</v>
      </c>
      <c r="K538" s="98" t="s">
        <v>586</v>
      </c>
      <c r="L538" s="96"/>
      <c r="M538" s="110" t="s">
        <v>1885</v>
      </c>
      <c r="N538" s="117" t="s">
        <v>631</v>
      </c>
      <c r="O538" s="110"/>
      <c r="P538" s="110" t="s">
        <v>590</v>
      </c>
      <c r="Q538" s="118" t="n">
        <v>0.21</v>
      </c>
      <c r="R538" s="110" t="n">
        <v>1</v>
      </c>
      <c r="S538" s="110" t="s">
        <v>632</v>
      </c>
      <c r="T538" s="110" t="s">
        <v>530</v>
      </c>
      <c r="U538" s="110" t="s">
        <v>1535</v>
      </c>
      <c r="V538" s="119"/>
      <c r="W538" s="119"/>
      <c r="X538" s="110" t="s">
        <v>1555</v>
      </c>
      <c r="Y538" s="110"/>
      <c r="Z538" s="110"/>
      <c r="AA538" s="110"/>
      <c r="AB538" s="110" t="s">
        <v>333</v>
      </c>
      <c r="AC538" s="110" t="s">
        <v>538</v>
      </c>
      <c r="AD538" s="110" t="n">
        <f aca="false">IF(OR(F538="",Q538="",R538=""),"",ROUND(IF(P538="incl.",F538/(1+Q538),F538)/IF(S538="per pack",R538,1),2))</f>
        <v>289</v>
      </c>
      <c r="AE538" s="110" t="str">
        <f aca="false">IF(AND(AC538="yes",ISNUMBER(F538),IF(Compare!$H$5="All mapped",TRUE(),IF(Compare!$H$5="EXACT only",J538="EXACT",OR(J538="EXACT",J538="CLOSE")))),"yes","no")</f>
        <v>yes</v>
      </c>
      <c r="AF538" s="110" t="n">
        <f aca="false">IF(ISNUMBER(H538),COUNTIFS($B$7:$B$3000,B538,$C$7:$C$3000,C538,$H$7:$H$3000,"&lt;"&amp;H538,$AH$7:$AH$3000,"yes")+COUNTIFS($B$7:B538,B538,$C$7:C538,C538,$H$7:H538,H538,$AH$7:AH538,"yes"),"")</f>
        <v>4</v>
      </c>
      <c r="AG538" s="110" t="n">
        <f aca="false">IF(ISNUMBER(I538),COUNTIFS($B$7:$B$3000,B538,$C$7:$C$3000,C538,$I$7:$I$3000,"&lt;"&amp;I538,$AI$7:$AI$3000,"yes")+COUNTIFS($B$7:B538,B538,$C$7:C538,C538,$I$7:I538,I538,$AI$7:AI538,"yes"),"")</f>
        <v>4</v>
      </c>
      <c r="AH538" s="110" t="str">
        <f aca="false">IF(ISNUMBER(H538),"yes","no")</f>
        <v>yes</v>
      </c>
      <c r="AI538" s="110" t="str">
        <f aca="false">IF(ISNUMBER(I538),"yes","no")</f>
        <v>yes</v>
      </c>
      <c r="AJ538" s="120" t="n">
        <v>46295</v>
      </c>
      <c r="AK538" s="110"/>
    </row>
    <row r="539" customFormat="false" ht="42" hidden="false" customHeight="true" outlineLevel="0" collapsed="false">
      <c r="A539" s="3"/>
      <c r="B539" s="31" t="s">
        <v>58</v>
      </c>
      <c r="C539" s="91" t="s">
        <v>17</v>
      </c>
      <c r="D539" s="91" t="s">
        <v>342</v>
      </c>
      <c r="E539" s="109" t="s">
        <v>1886</v>
      </c>
      <c r="F539" s="92" t="n">
        <v>294</v>
      </c>
      <c r="G539" s="91" t="s">
        <v>333</v>
      </c>
      <c r="H539" s="112" t="n">
        <f aca="false">IF(AND(AE539="yes",ISNUMBER(AD539)),AD539,"")</f>
        <v>242.98</v>
      </c>
      <c r="I539" s="95" t="n">
        <f aca="false">IF(AND(AE539="yes",ISNUMBER(AD539),ISNUMBER(INDEX(Sources!$G$7:$G$10,MATCH(AB539,Sources!$B$7:$B$10,0)))),ROUND(AD539/INDEX(Sources!$G$7:$G$10,MATCH(AB539,Sources!$B$7:$B$10,0)),6),"")</f>
        <v>9.948568</v>
      </c>
      <c r="J539" s="91" t="s">
        <v>530</v>
      </c>
      <c r="K539" s="91" t="s">
        <v>586</v>
      </c>
      <c r="L539" s="96"/>
      <c r="M539" s="109" t="s">
        <v>1887</v>
      </c>
      <c r="N539" s="113" t="s">
        <v>1888</v>
      </c>
      <c r="O539" s="109" t="s">
        <v>1138</v>
      </c>
      <c r="P539" s="109" t="s">
        <v>265</v>
      </c>
      <c r="Q539" s="114" t="n">
        <v>0.21</v>
      </c>
      <c r="R539" s="109" t="n">
        <v>1</v>
      </c>
      <c r="S539" s="109" t="s">
        <v>632</v>
      </c>
      <c r="T539" s="109" t="s">
        <v>530</v>
      </c>
      <c r="U539" s="109" t="s">
        <v>1535</v>
      </c>
      <c r="V539" s="115"/>
      <c r="W539" s="115"/>
      <c r="X539" s="109" t="s">
        <v>1555</v>
      </c>
      <c r="Y539" s="109"/>
      <c r="Z539" s="109"/>
      <c r="AA539" s="109"/>
      <c r="AB539" s="109" t="s">
        <v>333</v>
      </c>
      <c r="AC539" s="109" t="s">
        <v>538</v>
      </c>
      <c r="AD539" s="109" t="n">
        <f aca="false">IF(OR(F539="",Q539="",R539=""),"",ROUND(IF(P539="incl.",F539/(1+Q539),F539)/IF(S539="per pack",R539,1),2))</f>
        <v>242.98</v>
      </c>
      <c r="AE539" s="109" t="str">
        <f aca="false">IF(AND(AC539="yes",ISNUMBER(F539),IF(Compare!$H$5="All mapped",TRUE(),IF(Compare!$H$5="EXACT only",J539="EXACT",OR(J539="EXACT",J539="CLOSE")))),"yes","no")</f>
        <v>yes</v>
      </c>
      <c r="AF539" s="109" t="n">
        <f aca="false">IF(ISNUMBER(H539),COUNTIFS($B$7:$B$3000,B539,$C$7:$C$3000,C539,$H$7:$H$3000,"&lt;"&amp;H539,$AH$7:$AH$3000,"yes")+COUNTIFS($B$7:B539,B539,$C$7:C539,C539,$H$7:H539,H539,$AH$7:AH539,"yes"),"")</f>
        <v>3</v>
      </c>
      <c r="AG539" s="109" t="n">
        <f aca="false">IF(ISNUMBER(I539),COUNTIFS($B$7:$B$3000,B539,$C$7:$C$3000,C539,$I$7:$I$3000,"&lt;"&amp;I539,$AI$7:$AI$3000,"yes")+COUNTIFS($B$7:B539,B539,$C$7:C539,C539,$I$7:I539,I539,$AI$7:AI539,"yes"),"")</f>
        <v>3</v>
      </c>
      <c r="AH539" s="109" t="str">
        <f aca="false">IF(ISNUMBER(H539),"yes","no")</f>
        <v>yes</v>
      </c>
      <c r="AI539" s="109" t="str">
        <f aca="false">IF(ISNUMBER(I539),"yes","no")</f>
        <v>yes</v>
      </c>
      <c r="AJ539" s="116" t="n">
        <v>46295</v>
      </c>
      <c r="AK539" s="109"/>
    </row>
    <row r="540" customFormat="false" ht="42" hidden="false" customHeight="true" outlineLevel="0" collapsed="false">
      <c r="A540" s="3"/>
      <c r="B540" s="36" t="s">
        <v>58</v>
      </c>
      <c r="C540" s="98" t="s">
        <v>17</v>
      </c>
      <c r="D540" s="98" t="s">
        <v>346</v>
      </c>
      <c r="E540" s="110" t="s">
        <v>1889</v>
      </c>
      <c r="F540" s="99" t="n">
        <v>635</v>
      </c>
      <c r="G540" s="98" t="s">
        <v>333</v>
      </c>
      <c r="H540" s="112" t="n">
        <f aca="false">IF(AND(AE540="yes",ISNUMBER(AD540)),AD540,"")</f>
        <v>524.79</v>
      </c>
      <c r="I540" s="95" t="n">
        <f aca="false">IF(AND(AE540="yes",ISNUMBER(AD540),ISNUMBER(INDEX(Sources!$G$7:$G$10,MATCH(AB540,Sources!$B$7:$B$10,0)))),ROUND(AD540/INDEX(Sources!$G$7:$G$10,MATCH(AB540,Sources!$B$7:$B$10,0)),6),"")</f>
        <v>21.486991</v>
      </c>
      <c r="J540" s="98" t="s">
        <v>530</v>
      </c>
      <c r="K540" s="98" t="s">
        <v>586</v>
      </c>
      <c r="L540" s="96"/>
      <c r="M540" s="110" t="s">
        <v>1890</v>
      </c>
      <c r="N540" s="117" t="s">
        <v>1891</v>
      </c>
      <c r="O540" s="110" t="s">
        <v>565</v>
      </c>
      <c r="P540" s="110" t="s">
        <v>265</v>
      </c>
      <c r="Q540" s="118" t="n">
        <v>0.21</v>
      </c>
      <c r="R540" s="110" t="n">
        <v>1</v>
      </c>
      <c r="S540" s="110" t="s">
        <v>632</v>
      </c>
      <c r="T540" s="110" t="s">
        <v>530</v>
      </c>
      <c r="U540" s="110" t="s">
        <v>1535</v>
      </c>
      <c r="V540" s="119"/>
      <c r="W540" s="119"/>
      <c r="X540" s="110" t="s">
        <v>1555</v>
      </c>
      <c r="Y540" s="110"/>
      <c r="Z540" s="110"/>
      <c r="AA540" s="110"/>
      <c r="AB540" s="110" t="s">
        <v>333</v>
      </c>
      <c r="AC540" s="110" t="s">
        <v>538</v>
      </c>
      <c r="AD540" s="110" t="n">
        <f aca="false">IF(OR(F540="",Q540="",R540=""),"",ROUND(IF(P540="incl.",F540/(1+Q540),F540)/IF(S540="per pack",R540,1),2))</f>
        <v>524.79</v>
      </c>
      <c r="AE540" s="110" t="str">
        <f aca="false">IF(AND(AC540="yes",ISNUMBER(F540),IF(Compare!$H$5="All mapped",TRUE(),IF(Compare!$H$5="EXACT only",J540="EXACT",OR(J540="EXACT",J540="CLOSE")))),"yes","no")</f>
        <v>yes</v>
      </c>
      <c r="AF540" s="110" t="n">
        <f aca="false">IF(ISNUMBER(H540),COUNTIFS($B$7:$B$3000,B540,$C$7:$C$3000,C540,$H$7:$H$3000,"&lt;"&amp;H540,$AH$7:$AH$3000,"yes")+COUNTIFS($B$7:B540,B540,$C$7:C540,C540,$H$7:H540,H540,$AH$7:AH540,"yes"),"")</f>
        <v>7</v>
      </c>
      <c r="AG540" s="110" t="n">
        <f aca="false">IF(ISNUMBER(I540),COUNTIFS($B$7:$B$3000,B540,$C$7:$C$3000,C540,$I$7:$I$3000,"&lt;"&amp;I540,$AI$7:$AI$3000,"yes")+COUNTIFS($B$7:B540,B540,$C$7:C540,C540,$I$7:I540,I540,$AI$7:AI540,"yes"),"")</f>
        <v>7</v>
      </c>
      <c r="AH540" s="110" t="str">
        <f aca="false">IF(ISNUMBER(H540),"yes","no")</f>
        <v>yes</v>
      </c>
      <c r="AI540" s="110" t="str">
        <f aca="false">IF(ISNUMBER(I540),"yes","no")</f>
        <v>yes</v>
      </c>
      <c r="AJ540" s="120" t="n">
        <v>46295</v>
      </c>
      <c r="AK540" s="110"/>
    </row>
    <row r="541" customFormat="false" ht="42" hidden="false" customHeight="true" outlineLevel="0" collapsed="false">
      <c r="A541" s="3"/>
      <c r="B541" s="31" t="s">
        <v>58</v>
      </c>
      <c r="C541" s="91" t="s">
        <v>17</v>
      </c>
      <c r="D541" s="91" t="s">
        <v>361</v>
      </c>
      <c r="E541" s="109" t="s">
        <v>1892</v>
      </c>
      <c r="F541" s="92" t="n">
        <v>509</v>
      </c>
      <c r="G541" s="91" t="s">
        <v>333</v>
      </c>
      <c r="H541" s="112" t="n">
        <f aca="false">IF(AND(AE541="yes",ISNUMBER(AD541)),AD541,"")</f>
        <v>420.66</v>
      </c>
      <c r="I541" s="95" t="n">
        <f aca="false">IF(AND(AE541="yes",ISNUMBER(AD541),ISNUMBER(INDEX(Sources!$G$7:$G$10,MATCH(AB541,Sources!$B$7:$B$10,0)))),ROUND(AD541/INDEX(Sources!$G$7:$G$10,MATCH(AB541,Sources!$B$7:$B$10,0)),6),"")</f>
        <v>17.223494</v>
      </c>
      <c r="J541" s="91" t="s">
        <v>530</v>
      </c>
      <c r="K541" s="91" t="s">
        <v>586</v>
      </c>
      <c r="L541" s="96"/>
      <c r="M541" s="109" t="s">
        <v>1893</v>
      </c>
      <c r="N541" s="113" t="s">
        <v>1894</v>
      </c>
      <c r="O541" s="109" t="s">
        <v>642</v>
      </c>
      <c r="P541" s="109" t="s">
        <v>265</v>
      </c>
      <c r="Q541" s="114" t="n">
        <v>0.21</v>
      </c>
      <c r="R541" s="109" t="n">
        <v>1</v>
      </c>
      <c r="S541" s="109" t="s">
        <v>632</v>
      </c>
      <c r="T541" s="109" t="s">
        <v>530</v>
      </c>
      <c r="U541" s="109" t="s">
        <v>1535</v>
      </c>
      <c r="V541" s="115"/>
      <c r="W541" s="115"/>
      <c r="X541" s="109" t="s">
        <v>1555</v>
      </c>
      <c r="Y541" s="109"/>
      <c r="Z541" s="109"/>
      <c r="AA541" s="109"/>
      <c r="AB541" s="109" t="s">
        <v>333</v>
      </c>
      <c r="AC541" s="109" t="s">
        <v>538</v>
      </c>
      <c r="AD541" s="109" t="n">
        <f aca="false">IF(OR(F541="",Q541="",R541=""),"",ROUND(IF(P541="incl.",F541/(1+Q541),F541)/IF(S541="per pack",R541,1),2))</f>
        <v>420.66</v>
      </c>
      <c r="AE541" s="109" t="str">
        <f aca="false">IF(AND(AC541="yes",ISNUMBER(F541),IF(Compare!$H$5="All mapped",TRUE(),IF(Compare!$H$5="EXACT only",J541="EXACT",OR(J541="EXACT",J541="CLOSE")))),"yes","no")</f>
        <v>yes</v>
      </c>
      <c r="AF541" s="109" t="n">
        <f aca="false">IF(ISNUMBER(H541),COUNTIFS($B$7:$B$3000,B541,$C$7:$C$3000,C541,$H$7:$H$3000,"&lt;"&amp;H541,$AH$7:$AH$3000,"yes")+COUNTIFS($B$7:B541,B541,$C$7:C541,C541,$H$7:H541,H541,$AH$7:AH541,"yes"),"")</f>
        <v>6</v>
      </c>
      <c r="AG541" s="109" t="n">
        <f aca="false">IF(ISNUMBER(I541),COUNTIFS($B$7:$B$3000,B541,$C$7:$C$3000,C541,$I$7:$I$3000,"&lt;"&amp;I541,$AI$7:$AI$3000,"yes")+COUNTIFS($B$7:B541,B541,$C$7:C541,C541,$I$7:I541,I541,$AI$7:AI541,"yes"),"")</f>
        <v>6</v>
      </c>
      <c r="AH541" s="109" t="str">
        <f aca="false">IF(ISNUMBER(H541),"yes","no")</f>
        <v>yes</v>
      </c>
      <c r="AI541" s="109" t="str">
        <f aca="false">IF(ISNUMBER(I541),"yes","no")</f>
        <v>yes</v>
      </c>
      <c r="AJ541" s="116" t="n">
        <v>46295</v>
      </c>
      <c r="AK541" s="109"/>
    </row>
    <row r="542" customFormat="false" ht="42" hidden="false" customHeight="true" outlineLevel="0" collapsed="false">
      <c r="A542" s="3"/>
      <c r="B542" s="36" t="s">
        <v>59</v>
      </c>
      <c r="C542" s="98" t="s">
        <v>15</v>
      </c>
      <c r="D542" s="98" t="s">
        <v>243</v>
      </c>
      <c r="E542" s="110" t="s">
        <v>1895</v>
      </c>
      <c r="F542" s="99" t="n">
        <v>3.23</v>
      </c>
      <c r="G542" s="98" t="s">
        <v>244</v>
      </c>
      <c r="H542" s="112" t="n">
        <f aca="false">IF(AND(AE542="yes",ISNUMBER(AD542)),AD542,"")</f>
        <v>3.23</v>
      </c>
      <c r="I542" s="95" t="n">
        <f aca="false">IF(AND(AE542="yes",ISNUMBER(AD542),ISNUMBER(INDEX(Sources!$G$7:$G$10,MATCH(AB542,Sources!$B$7:$B$10,0)))),ROUND(AD542/INDEX(Sources!$G$7:$G$10,MATCH(AB542,Sources!$B$7:$B$10,0)),6),"")</f>
        <v>3.23</v>
      </c>
      <c r="J542" s="98" t="s">
        <v>530</v>
      </c>
      <c r="K542" s="98" t="s">
        <v>586</v>
      </c>
      <c r="L542" s="96"/>
      <c r="M542" s="110" t="s">
        <v>1896</v>
      </c>
      <c r="N542" s="117" t="s">
        <v>1897</v>
      </c>
      <c r="O542" s="110"/>
      <c r="P542" s="110" t="s">
        <v>590</v>
      </c>
      <c r="Q542" s="118"/>
      <c r="R542" s="110" t="n">
        <v>1</v>
      </c>
      <c r="S542" s="110"/>
      <c r="T542" s="110" t="s">
        <v>530</v>
      </c>
      <c r="U542" s="110" t="s">
        <v>1535</v>
      </c>
      <c r="V542" s="119" t="n">
        <v>3.23</v>
      </c>
      <c r="W542" s="119"/>
      <c r="X542" s="110" t="s">
        <v>1536</v>
      </c>
      <c r="Y542" s="110"/>
      <c r="Z542" s="110"/>
      <c r="AA542" s="110"/>
      <c r="AB542" s="110" t="s">
        <v>244</v>
      </c>
      <c r="AC542" s="110" t="s">
        <v>538</v>
      </c>
      <c r="AD542" s="110" t="n">
        <f aca="false">IF(ISNUMBER(V542),ROUND(V542,6),"")</f>
        <v>3.23</v>
      </c>
      <c r="AE542" s="110" t="str">
        <f aca="false">IF(AND(AC542="yes",ISNUMBER(F542),IF(Compare!$H$5="All mapped",TRUE(),IF(Compare!$H$5="EXACT only",J542="EXACT",OR(J542="EXACT",J542="CLOSE")))),"yes","no")</f>
        <v>yes</v>
      </c>
      <c r="AF542" s="110" t="n">
        <f aca="false">IF(ISNUMBER(H542),COUNTIFS($B$7:$B$3000,B542,$C$7:$C$3000,C542,$H$7:$H$3000,"&lt;"&amp;H542,$AH$7:$AH$3000,"yes")+COUNTIFS($B$7:B542,B542,$C$7:C542,C542,$H$7:H542,H542,$AH$7:AH542,"yes"),"")</f>
        <v>1</v>
      </c>
      <c r="AG542" s="110" t="n">
        <f aca="false">IF(ISNUMBER(I542),COUNTIFS($B$7:$B$3000,B542,$C$7:$C$3000,C542,$I$7:$I$3000,"&lt;"&amp;I542,$AI$7:$AI$3000,"yes")+COUNTIFS($B$7:B542,B542,$C$7:C542,C542,$I$7:I542,I542,$AI$7:AI542,"yes"),"")</f>
        <v>1</v>
      </c>
      <c r="AH542" s="110" t="str">
        <f aca="false">IF(ISNUMBER(H542),"yes","no")</f>
        <v>yes</v>
      </c>
      <c r="AI542" s="110" t="str">
        <f aca="false">IF(ISNUMBER(I542),"yes","no")</f>
        <v>yes</v>
      </c>
      <c r="AJ542" s="120" t="n">
        <v>46295</v>
      </c>
      <c r="AK542" s="110"/>
    </row>
    <row r="543" customFormat="false" ht="42" hidden="false" customHeight="true" outlineLevel="0" collapsed="false">
      <c r="A543" s="3"/>
      <c r="B543" s="31" t="s">
        <v>59</v>
      </c>
      <c r="C543" s="91" t="s">
        <v>15</v>
      </c>
      <c r="D543" s="91" t="s">
        <v>277</v>
      </c>
      <c r="E543" s="109" t="s">
        <v>1898</v>
      </c>
      <c r="F543" s="92" t="n">
        <v>46.99</v>
      </c>
      <c r="G543" s="91" t="s">
        <v>244</v>
      </c>
      <c r="H543" s="112" t="n">
        <f aca="false">IF(AND(AE543="yes",ISNUMBER(AD543)),AD543,"")</f>
        <v>3.92</v>
      </c>
      <c r="I543" s="95" t="n">
        <f aca="false">IF(AND(AE543="yes",ISNUMBER(AD543),ISNUMBER(INDEX(Sources!$G$7:$G$10,MATCH(AB543,Sources!$B$7:$B$10,0)))),ROUND(AD543/INDEX(Sources!$G$7:$G$10,MATCH(AB543,Sources!$B$7:$B$10,0)),6),"")</f>
        <v>3.92</v>
      </c>
      <c r="J543" s="91" t="s">
        <v>530</v>
      </c>
      <c r="K543" s="91" t="s">
        <v>586</v>
      </c>
      <c r="L543" s="96"/>
      <c r="M543" s="109"/>
      <c r="N543" s="113" t="s">
        <v>1899</v>
      </c>
      <c r="O543" s="109" t="s">
        <v>610</v>
      </c>
      <c r="P543" s="109" t="s">
        <v>590</v>
      </c>
      <c r="Q543" s="114"/>
      <c r="R543" s="109" t="n">
        <v>12</v>
      </c>
      <c r="S543" s="109" t="s">
        <v>754</v>
      </c>
      <c r="T543" s="109" t="s">
        <v>530</v>
      </c>
      <c r="U543" s="109" t="s">
        <v>1535</v>
      </c>
      <c r="V543" s="115" t="n">
        <v>3.92</v>
      </c>
      <c r="W543" s="115"/>
      <c r="X543" s="109" t="s">
        <v>1536</v>
      </c>
      <c r="Y543" s="109"/>
      <c r="Z543" s="109"/>
      <c r="AA543" s="109"/>
      <c r="AB543" s="109" t="s">
        <v>244</v>
      </c>
      <c r="AC543" s="109" t="s">
        <v>538</v>
      </c>
      <c r="AD543" s="109" t="n">
        <f aca="false">IF(ISNUMBER(V543),ROUND(V543,6),"")</f>
        <v>3.92</v>
      </c>
      <c r="AE543" s="109" t="str">
        <f aca="false">IF(AND(AC543="yes",ISNUMBER(F543),IF(Compare!$H$5="All mapped",TRUE(),IF(Compare!$H$5="EXACT only",J543="EXACT",OR(J543="EXACT",J543="CLOSE")))),"yes","no")</f>
        <v>yes</v>
      </c>
      <c r="AF543" s="109" t="n">
        <f aca="false">IF(ISNUMBER(H543),COUNTIFS($B$7:$B$3000,B543,$C$7:$C$3000,C543,$H$7:$H$3000,"&lt;"&amp;H543,$AH$7:$AH$3000,"yes")+COUNTIFS($B$7:B543,B543,$C$7:C543,C543,$H$7:H543,H543,$AH$7:AH543,"yes"),"")</f>
        <v>5</v>
      </c>
      <c r="AG543" s="109" t="n">
        <f aca="false">IF(ISNUMBER(I543),COUNTIFS($B$7:$B$3000,B543,$C$7:$C$3000,C543,$I$7:$I$3000,"&lt;"&amp;I543,$AI$7:$AI$3000,"yes")+COUNTIFS($B$7:B543,B543,$C$7:C543,C543,$I$7:I543,I543,$AI$7:AI543,"yes"),"")</f>
        <v>5</v>
      </c>
      <c r="AH543" s="109" t="str">
        <f aca="false">IF(ISNUMBER(H543),"yes","no")</f>
        <v>yes</v>
      </c>
      <c r="AI543" s="109" t="str">
        <f aca="false">IF(ISNUMBER(I543),"yes","no")</f>
        <v>yes</v>
      </c>
      <c r="AJ543" s="116" t="n">
        <v>46295</v>
      </c>
      <c r="AK543" s="109"/>
    </row>
    <row r="544" customFormat="false" ht="42" hidden="false" customHeight="true" outlineLevel="0" collapsed="false">
      <c r="A544" s="3"/>
      <c r="B544" s="36" t="s">
        <v>59</v>
      </c>
      <c r="C544" s="98" t="s">
        <v>15</v>
      </c>
      <c r="D544" s="98" t="s">
        <v>257</v>
      </c>
      <c r="E544" s="110" t="s">
        <v>1900</v>
      </c>
      <c r="F544" s="99" t="n">
        <v>8</v>
      </c>
      <c r="G544" s="98" t="s">
        <v>244</v>
      </c>
      <c r="H544" s="112" t="n">
        <f aca="false">IF(AND(AE544="yes",ISNUMBER(AD544)),AD544,"")</f>
        <v>8</v>
      </c>
      <c r="I544" s="95" t="n">
        <f aca="false">IF(AND(AE544="yes",ISNUMBER(AD544),ISNUMBER(INDEX(Sources!$G$7:$G$10,MATCH(AB544,Sources!$B$7:$B$10,0)))),ROUND(AD544/INDEX(Sources!$G$7:$G$10,MATCH(AB544,Sources!$B$7:$B$10,0)),6),"")</f>
        <v>8</v>
      </c>
      <c r="J544" s="98" t="s">
        <v>530</v>
      </c>
      <c r="K544" s="98" t="s">
        <v>586</v>
      </c>
      <c r="L544" s="96"/>
      <c r="M544" s="110"/>
      <c r="N544" s="117" t="s">
        <v>1901</v>
      </c>
      <c r="O544" s="110" t="s">
        <v>1576</v>
      </c>
      <c r="P544" s="110" t="s">
        <v>590</v>
      </c>
      <c r="Q544" s="118"/>
      <c r="R544" s="110" t="n">
        <v>1</v>
      </c>
      <c r="S544" s="110"/>
      <c r="T544" s="110" t="s">
        <v>530</v>
      </c>
      <c r="U544" s="110" t="s">
        <v>1535</v>
      </c>
      <c r="V544" s="119" t="n">
        <v>8</v>
      </c>
      <c r="W544" s="119"/>
      <c r="X544" s="110" t="s">
        <v>1536</v>
      </c>
      <c r="Y544" s="110"/>
      <c r="Z544" s="110"/>
      <c r="AA544" s="110"/>
      <c r="AB544" s="110" t="s">
        <v>244</v>
      </c>
      <c r="AC544" s="110" t="s">
        <v>538</v>
      </c>
      <c r="AD544" s="110" t="n">
        <f aca="false">IF(ISNUMBER(V544),ROUND(V544,6),"")</f>
        <v>8</v>
      </c>
      <c r="AE544" s="110" t="str">
        <f aca="false">IF(AND(AC544="yes",ISNUMBER(F544),IF(Compare!$H$5="All mapped",TRUE(),IF(Compare!$H$5="EXACT only",J544="EXACT",OR(J544="EXACT",J544="CLOSE")))),"yes","no")</f>
        <v>yes</v>
      </c>
      <c r="AF544" s="110" t="n">
        <f aca="false">IF(ISNUMBER(H544),COUNTIFS($B$7:$B$3000,B544,$C$7:$C$3000,C544,$H$7:$H$3000,"&lt;"&amp;H544,$AH$7:$AH$3000,"yes")+COUNTIFS($B$7:B544,B544,$C$7:C544,C544,$H$7:H544,H544,$AH$7:AH544,"yes"),"")</f>
        <v>9</v>
      </c>
      <c r="AG544" s="110" t="n">
        <f aca="false">IF(ISNUMBER(I544),COUNTIFS($B$7:$B$3000,B544,$C$7:$C$3000,C544,$I$7:$I$3000,"&lt;"&amp;I544,$AI$7:$AI$3000,"yes")+COUNTIFS($B$7:B544,B544,$C$7:C544,C544,$I$7:I544,I544,$AI$7:AI544,"yes"),"")</f>
        <v>9</v>
      </c>
      <c r="AH544" s="110" t="str">
        <f aca="false">IF(ISNUMBER(H544),"yes","no")</f>
        <v>yes</v>
      </c>
      <c r="AI544" s="110" t="str">
        <f aca="false">IF(ISNUMBER(I544),"yes","no")</f>
        <v>yes</v>
      </c>
      <c r="AJ544" s="120" t="n">
        <v>46295</v>
      </c>
      <c r="AK544" s="110"/>
    </row>
    <row r="545" customFormat="false" ht="42" hidden="false" customHeight="true" outlineLevel="0" collapsed="false">
      <c r="A545" s="3"/>
      <c r="B545" s="31" t="s">
        <v>59</v>
      </c>
      <c r="C545" s="91" t="s">
        <v>15</v>
      </c>
      <c r="D545" s="91" t="s">
        <v>269</v>
      </c>
      <c r="E545" s="109" t="s">
        <v>1902</v>
      </c>
      <c r="F545" s="92" t="n">
        <v>3.79</v>
      </c>
      <c r="G545" s="91" t="s">
        <v>244</v>
      </c>
      <c r="H545" s="112" t="n">
        <f aca="false">IF(AND(AE545="yes",ISNUMBER(AD545)),AD545,"")</f>
        <v>3.79</v>
      </c>
      <c r="I545" s="95" t="n">
        <f aca="false">IF(AND(AE545="yes",ISNUMBER(AD545),ISNUMBER(INDEX(Sources!$G$7:$G$10,MATCH(AB545,Sources!$B$7:$B$10,0)))),ROUND(AD545/INDEX(Sources!$G$7:$G$10,MATCH(AB545,Sources!$B$7:$B$10,0)),6),"")</f>
        <v>3.79</v>
      </c>
      <c r="J545" s="91" t="s">
        <v>530</v>
      </c>
      <c r="K545" s="91" t="s">
        <v>586</v>
      </c>
      <c r="L545" s="96"/>
      <c r="M545" s="109" t="s">
        <v>1903</v>
      </c>
      <c r="N545" s="113" t="s">
        <v>1904</v>
      </c>
      <c r="O545" s="109" t="s">
        <v>598</v>
      </c>
      <c r="P545" s="109" t="s">
        <v>590</v>
      </c>
      <c r="Q545" s="114"/>
      <c r="R545" s="109" t="n">
        <v>1</v>
      </c>
      <c r="S545" s="109"/>
      <c r="T545" s="109" t="s">
        <v>530</v>
      </c>
      <c r="U545" s="109" t="s">
        <v>1535</v>
      </c>
      <c r="V545" s="115" t="n">
        <v>3.79</v>
      </c>
      <c r="W545" s="115"/>
      <c r="X545" s="109" t="s">
        <v>1536</v>
      </c>
      <c r="Y545" s="109"/>
      <c r="Z545" s="109"/>
      <c r="AA545" s="109"/>
      <c r="AB545" s="109" t="s">
        <v>244</v>
      </c>
      <c r="AC545" s="109" t="s">
        <v>538</v>
      </c>
      <c r="AD545" s="109" t="n">
        <f aca="false">IF(ISNUMBER(V545),ROUND(V545,6),"")</f>
        <v>3.79</v>
      </c>
      <c r="AE545" s="109" t="str">
        <f aca="false">IF(AND(AC545="yes",ISNUMBER(F545),IF(Compare!$H$5="All mapped",TRUE(),IF(Compare!$H$5="EXACT only",J545="EXACT",OR(J545="EXACT",J545="CLOSE")))),"yes","no")</f>
        <v>yes</v>
      </c>
      <c r="AF545" s="109" t="n">
        <f aca="false">IF(ISNUMBER(H545),COUNTIFS($B$7:$B$3000,B545,$C$7:$C$3000,C545,$H$7:$H$3000,"&lt;"&amp;H545,$AH$7:$AH$3000,"yes")+COUNTIFS($B$7:B545,B545,$C$7:C545,C545,$H$7:H545,H545,$AH$7:AH545,"yes"),"")</f>
        <v>4</v>
      </c>
      <c r="AG545" s="109" t="n">
        <f aca="false">IF(ISNUMBER(I545),COUNTIFS($B$7:$B$3000,B545,$C$7:$C$3000,C545,$I$7:$I$3000,"&lt;"&amp;I545,$AI$7:$AI$3000,"yes")+COUNTIFS($B$7:B545,B545,$C$7:C545,C545,$I$7:I545,I545,$AI$7:AI545,"yes"),"")</f>
        <v>4</v>
      </c>
      <c r="AH545" s="109" t="str">
        <f aca="false">IF(ISNUMBER(H545),"yes","no")</f>
        <v>yes</v>
      </c>
      <c r="AI545" s="109" t="str">
        <f aca="false">IF(ISNUMBER(I545),"yes","no")</f>
        <v>yes</v>
      </c>
      <c r="AJ545" s="116" t="n">
        <v>46295</v>
      </c>
      <c r="AK545" s="109"/>
    </row>
    <row r="546" customFormat="false" ht="42" hidden="false" customHeight="true" outlineLevel="0" collapsed="false">
      <c r="A546" s="3"/>
      <c r="B546" s="36" t="s">
        <v>59</v>
      </c>
      <c r="C546" s="98" t="s">
        <v>15</v>
      </c>
      <c r="D546" s="98" t="s">
        <v>264</v>
      </c>
      <c r="E546" s="110" t="s">
        <v>1905</v>
      </c>
      <c r="F546" s="99" t="n">
        <v>14.86</v>
      </c>
      <c r="G546" s="98" t="s">
        <v>244</v>
      </c>
      <c r="H546" s="112" t="n">
        <f aca="false">IF(AND(AE546="yes",ISNUMBER(AD546)),AD546,"")</f>
        <v>14.86</v>
      </c>
      <c r="I546" s="95" t="n">
        <f aca="false">IF(AND(AE546="yes",ISNUMBER(AD546),ISNUMBER(INDEX(Sources!$G$7:$G$10,MATCH(AB546,Sources!$B$7:$B$10,0)))),ROUND(AD546/INDEX(Sources!$G$7:$G$10,MATCH(AB546,Sources!$B$7:$B$10,0)),6),"")</f>
        <v>14.86</v>
      </c>
      <c r="J546" s="98" t="s">
        <v>530</v>
      </c>
      <c r="K546" s="98" t="s">
        <v>586</v>
      </c>
      <c r="L546" s="96"/>
      <c r="M546" s="110"/>
      <c r="N546" s="117" t="s">
        <v>1906</v>
      </c>
      <c r="O546" s="110" t="s">
        <v>388</v>
      </c>
      <c r="P546" s="110" t="s">
        <v>590</v>
      </c>
      <c r="Q546" s="118"/>
      <c r="R546" s="110" t="n">
        <v>1</v>
      </c>
      <c r="S546" s="110"/>
      <c r="T546" s="110" t="s">
        <v>530</v>
      </c>
      <c r="U546" s="110" t="s">
        <v>1535</v>
      </c>
      <c r="V546" s="119" t="n">
        <v>14.86</v>
      </c>
      <c r="W546" s="119"/>
      <c r="X546" s="110" t="s">
        <v>1536</v>
      </c>
      <c r="Y546" s="110"/>
      <c r="Z546" s="110"/>
      <c r="AA546" s="110"/>
      <c r="AB546" s="110" t="s">
        <v>244</v>
      </c>
      <c r="AC546" s="110" t="s">
        <v>538</v>
      </c>
      <c r="AD546" s="110" t="n">
        <f aca="false">IF(ISNUMBER(V546),ROUND(V546,6),"")</f>
        <v>14.86</v>
      </c>
      <c r="AE546" s="110" t="str">
        <f aca="false">IF(AND(AC546="yes",ISNUMBER(F546),IF(Compare!$H$5="All mapped",TRUE(),IF(Compare!$H$5="EXACT only",J546="EXACT",OR(J546="EXACT",J546="CLOSE")))),"yes","no")</f>
        <v>yes</v>
      </c>
      <c r="AF546" s="110" t="n">
        <f aca="false">IF(ISNUMBER(H546),COUNTIFS($B$7:$B$3000,B546,$C$7:$C$3000,C546,$H$7:$H$3000,"&lt;"&amp;H546,$AH$7:$AH$3000,"yes")+COUNTIFS($B$7:B546,B546,$C$7:C546,C546,$H$7:H546,H546,$AH$7:AH546,"yes"),"")</f>
        <v>11</v>
      </c>
      <c r="AG546" s="110" t="n">
        <f aca="false">IF(ISNUMBER(I546),COUNTIFS($B$7:$B$3000,B546,$C$7:$C$3000,C546,$I$7:$I$3000,"&lt;"&amp;I546,$AI$7:$AI$3000,"yes")+COUNTIFS($B$7:B546,B546,$C$7:C546,C546,$I$7:I546,I546,$AI$7:AI546,"yes"),"")</f>
        <v>11</v>
      </c>
      <c r="AH546" s="110" t="str">
        <f aca="false">IF(ISNUMBER(H546),"yes","no")</f>
        <v>yes</v>
      </c>
      <c r="AI546" s="110" t="str">
        <f aca="false">IF(ISNUMBER(I546),"yes","no")</f>
        <v>yes</v>
      </c>
      <c r="AJ546" s="120" t="n">
        <v>46295</v>
      </c>
      <c r="AK546" s="110"/>
    </row>
    <row r="547" customFormat="false" ht="42" hidden="false" customHeight="true" outlineLevel="0" collapsed="false">
      <c r="A547" s="3"/>
      <c r="B547" s="31" t="s">
        <v>59</v>
      </c>
      <c r="C547" s="91" t="s">
        <v>15</v>
      </c>
      <c r="D547" s="91" t="s">
        <v>273</v>
      </c>
      <c r="E547" s="109" t="s">
        <v>1907</v>
      </c>
      <c r="F547" s="92" t="n">
        <v>3.89</v>
      </c>
      <c r="G547" s="91" t="s">
        <v>244</v>
      </c>
      <c r="H547" s="112" t="n">
        <f aca="false">IF(AND(AE547="yes",ISNUMBER(AD547)),AD547,"")</f>
        <v>3.24</v>
      </c>
      <c r="I547" s="95" t="n">
        <f aca="false">IF(AND(AE547="yes",ISNUMBER(AD547),ISNUMBER(INDEX(Sources!$G$7:$G$10,MATCH(AB547,Sources!$B$7:$B$10,0)))),ROUND(AD547/INDEX(Sources!$G$7:$G$10,MATCH(AB547,Sources!$B$7:$B$10,0)),6),"")</f>
        <v>3.24</v>
      </c>
      <c r="J547" s="91" t="s">
        <v>530</v>
      </c>
      <c r="K547" s="91" t="s">
        <v>586</v>
      </c>
      <c r="L547" s="96"/>
      <c r="M547" s="109"/>
      <c r="N547" s="113" t="s">
        <v>1908</v>
      </c>
      <c r="O547" s="109" t="s">
        <v>598</v>
      </c>
      <c r="P547" s="109" t="s">
        <v>265</v>
      </c>
      <c r="Q547" s="114"/>
      <c r="R547" s="109" t="n">
        <v>1</v>
      </c>
      <c r="S547" s="109"/>
      <c r="T547" s="109" t="s">
        <v>530</v>
      </c>
      <c r="U547" s="109" t="s">
        <v>1535</v>
      </c>
      <c r="V547" s="115" t="n">
        <v>3.24</v>
      </c>
      <c r="W547" s="115"/>
      <c r="X547" s="109" t="s">
        <v>1536</v>
      </c>
      <c r="Y547" s="109"/>
      <c r="Z547" s="109"/>
      <c r="AA547" s="109"/>
      <c r="AB547" s="109" t="s">
        <v>244</v>
      </c>
      <c r="AC547" s="109" t="s">
        <v>538</v>
      </c>
      <c r="AD547" s="109" t="n">
        <f aca="false">IF(ISNUMBER(V547),ROUND(V547,6),"")</f>
        <v>3.24</v>
      </c>
      <c r="AE547" s="109" t="str">
        <f aca="false">IF(AND(AC547="yes",ISNUMBER(F547),IF(Compare!$H$5="All mapped",TRUE(),IF(Compare!$H$5="EXACT only",J547="EXACT",OR(J547="EXACT",J547="CLOSE")))),"yes","no")</f>
        <v>yes</v>
      </c>
      <c r="AF547" s="109" t="n">
        <f aca="false">IF(ISNUMBER(H547),COUNTIFS($B$7:$B$3000,B547,$C$7:$C$3000,C547,$H$7:$H$3000,"&lt;"&amp;H547,$AH$7:$AH$3000,"yes")+COUNTIFS($B$7:B547,B547,$C$7:C547,C547,$H$7:H547,H547,$AH$7:AH547,"yes"),"")</f>
        <v>2</v>
      </c>
      <c r="AG547" s="109" t="n">
        <f aca="false">IF(ISNUMBER(I547),COUNTIFS($B$7:$B$3000,B547,$C$7:$C$3000,C547,$I$7:$I$3000,"&lt;"&amp;I547,$AI$7:$AI$3000,"yes")+COUNTIFS($B$7:B547,B547,$C$7:C547,C547,$I$7:I547,I547,$AI$7:AI547,"yes"),"")</f>
        <v>2</v>
      </c>
      <c r="AH547" s="109" t="str">
        <f aca="false">IF(ISNUMBER(H547),"yes","no")</f>
        <v>yes</v>
      </c>
      <c r="AI547" s="109" t="str">
        <f aca="false">IF(ISNUMBER(I547),"yes","no")</f>
        <v>yes</v>
      </c>
      <c r="AJ547" s="116" t="n">
        <v>46295</v>
      </c>
      <c r="AK547" s="109"/>
    </row>
    <row r="548" customFormat="false" ht="42" hidden="false" customHeight="true" outlineLevel="0" collapsed="false">
      <c r="A548" s="3"/>
      <c r="B548" s="36" t="s">
        <v>59</v>
      </c>
      <c r="C548" s="98" t="s">
        <v>15</v>
      </c>
      <c r="D548" s="98" t="s">
        <v>281</v>
      </c>
      <c r="E548" s="110" t="s">
        <v>1909</v>
      </c>
      <c r="F548" s="99" t="n">
        <v>4.13</v>
      </c>
      <c r="G548" s="98" t="s">
        <v>244</v>
      </c>
      <c r="H548" s="112" t="n">
        <f aca="false">IF(AND(AE548="yes",ISNUMBER(AD548)),AD548,"")</f>
        <v>4.13</v>
      </c>
      <c r="I548" s="95" t="n">
        <f aca="false">IF(AND(AE548="yes",ISNUMBER(AD548),ISNUMBER(INDEX(Sources!$G$7:$G$10,MATCH(AB548,Sources!$B$7:$B$10,0)))),ROUND(AD548/INDEX(Sources!$G$7:$G$10,MATCH(AB548,Sources!$B$7:$B$10,0)),6),"")</f>
        <v>4.13</v>
      </c>
      <c r="J548" s="98" t="s">
        <v>530</v>
      </c>
      <c r="K548" s="98" t="s">
        <v>586</v>
      </c>
      <c r="L548" s="96"/>
      <c r="M548" s="110" t="s">
        <v>696</v>
      </c>
      <c r="N548" s="117" t="s">
        <v>1910</v>
      </c>
      <c r="O548" s="110" t="s">
        <v>603</v>
      </c>
      <c r="P548" s="110" t="s">
        <v>590</v>
      </c>
      <c r="Q548" s="118"/>
      <c r="R548" s="110" t="n">
        <v>1</v>
      </c>
      <c r="S548" s="110"/>
      <c r="T548" s="110" t="s">
        <v>530</v>
      </c>
      <c r="U548" s="110" t="s">
        <v>1535</v>
      </c>
      <c r="V548" s="119" t="n">
        <v>4.13</v>
      </c>
      <c r="W548" s="119"/>
      <c r="X548" s="110" t="s">
        <v>1536</v>
      </c>
      <c r="Y548" s="110"/>
      <c r="Z548" s="110"/>
      <c r="AA548" s="110"/>
      <c r="AB548" s="110" t="s">
        <v>244</v>
      </c>
      <c r="AC548" s="110" t="s">
        <v>538</v>
      </c>
      <c r="AD548" s="110" t="n">
        <f aca="false">IF(ISNUMBER(V548),ROUND(V548,6),"")</f>
        <v>4.13</v>
      </c>
      <c r="AE548" s="110" t="str">
        <f aca="false">IF(AND(AC548="yes",ISNUMBER(F548),IF(Compare!$H$5="All mapped",TRUE(),IF(Compare!$H$5="EXACT only",J548="EXACT",OR(J548="EXACT",J548="CLOSE")))),"yes","no")</f>
        <v>yes</v>
      </c>
      <c r="AF548" s="110" t="n">
        <f aca="false">IF(ISNUMBER(H548),COUNTIFS($B$7:$B$3000,B548,$C$7:$C$3000,C548,$H$7:$H$3000,"&lt;"&amp;H548,$AH$7:$AH$3000,"yes")+COUNTIFS($B$7:B548,B548,$C$7:C548,C548,$H$7:H548,H548,$AH$7:AH548,"yes"),"")</f>
        <v>6</v>
      </c>
      <c r="AG548" s="110" t="n">
        <f aca="false">IF(ISNUMBER(I548),COUNTIFS($B$7:$B$3000,B548,$C$7:$C$3000,C548,$I$7:$I$3000,"&lt;"&amp;I548,$AI$7:$AI$3000,"yes")+COUNTIFS($B$7:B548,B548,$C$7:C548,C548,$I$7:I548,I548,$AI$7:AI548,"yes"),"")</f>
        <v>6</v>
      </c>
      <c r="AH548" s="110" t="str">
        <f aca="false">IF(ISNUMBER(H548),"yes","no")</f>
        <v>yes</v>
      </c>
      <c r="AI548" s="110" t="str">
        <f aca="false">IF(ISNUMBER(I548),"yes","no")</f>
        <v>yes</v>
      </c>
      <c r="AJ548" s="120" t="n">
        <v>46295</v>
      </c>
      <c r="AK548" s="110"/>
    </row>
    <row r="549" customFormat="false" ht="42" hidden="false" customHeight="true" outlineLevel="0" collapsed="false">
      <c r="A549" s="3"/>
      <c r="B549" s="31" t="s">
        <v>59</v>
      </c>
      <c r="C549" s="91" t="s">
        <v>15</v>
      </c>
      <c r="D549" s="91" t="s">
        <v>285</v>
      </c>
      <c r="E549" s="109" t="s">
        <v>1911</v>
      </c>
      <c r="F549" s="92" t="n">
        <v>14.3</v>
      </c>
      <c r="G549" s="91" t="s">
        <v>244</v>
      </c>
      <c r="H549" s="112" t="n">
        <f aca="false">IF(AND(AE549="yes",ISNUMBER(AD549)),AD549,"")</f>
        <v>14.3</v>
      </c>
      <c r="I549" s="95" t="n">
        <f aca="false">IF(AND(AE549="yes",ISNUMBER(AD549),ISNUMBER(INDEX(Sources!$G$7:$G$10,MATCH(AB549,Sources!$B$7:$B$10,0)))),ROUND(AD549/INDEX(Sources!$G$7:$G$10,MATCH(AB549,Sources!$B$7:$B$10,0)),6),"")</f>
        <v>14.3</v>
      </c>
      <c r="J549" s="91" t="s">
        <v>530</v>
      </c>
      <c r="K549" s="91" t="s">
        <v>586</v>
      </c>
      <c r="L549" s="96"/>
      <c r="M549" s="109" t="s">
        <v>696</v>
      </c>
      <c r="N549" s="113" t="s">
        <v>1912</v>
      </c>
      <c r="O549" s="109" t="s">
        <v>733</v>
      </c>
      <c r="P549" s="109" t="s">
        <v>590</v>
      </c>
      <c r="Q549" s="114"/>
      <c r="R549" s="109" t="n">
        <v>1</v>
      </c>
      <c r="S549" s="109"/>
      <c r="T549" s="109" t="s">
        <v>530</v>
      </c>
      <c r="U549" s="109" t="s">
        <v>1535</v>
      </c>
      <c r="V549" s="115" t="n">
        <v>14.3</v>
      </c>
      <c r="W549" s="115"/>
      <c r="X549" s="109" t="s">
        <v>1536</v>
      </c>
      <c r="Y549" s="109"/>
      <c r="Z549" s="109"/>
      <c r="AA549" s="109"/>
      <c r="AB549" s="109" t="s">
        <v>244</v>
      </c>
      <c r="AC549" s="109" t="s">
        <v>538</v>
      </c>
      <c r="AD549" s="109" t="n">
        <f aca="false">IF(ISNUMBER(V549),ROUND(V549,6),"")</f>
        <v>14.3</v>
      </c>
      <c r="AE549" s="109" t="str">
        <f aca="false">IF(AND(AC549="yes",ISNUMBER(F549),IF(Compare!$H$5="All mapped",TRUE(),IF(Compare!$H$5="EXACT only",J549="EXACT",OR(J549="EXACT",J549="CLOSE")))),"yes","no")</f>
        <v>yes</v>
      </c>
      <c r="AF549" s="109" t="n">
        <f aca="false">IF(ISNUMBER(H549),COUNTIFS($B$7:$B$3000,B549,$C$7:$C$3000,C549,$H$7:$H$3000,"&lt;"&amp;H549,$AH$7:$AH$3000,"yes")+COUNTIFS($B$7:B549,B549,$C$7:C549,C549,$H$7:H549,H549,$AH$7:AH549,"yes"),"")</f>
        <v>10</v>
      </c>
      <c r="AG549" s="109" t="n">
        <f aca="false">IF(ISNUMBER(I549),COUNTIFS($B$7:$B$3000,B549,$C$7:$C$3000,C549,$I$7:$I$3000,"&lt;"&amp;I549,$AI$7:$AI$3000,"yes")+COUNTIFS($B$7:B549,B549,$C$7:C549,C549,$I$7:I549,I549,$AI$7:AI549,"yes"),"")</f>
        <v>10</v>
      </c>
      <c r="AH549" s="109" t="str">
        <f aca="false">IF(ISNUMBER(H549),"yes","no")</f>
        <v>yes</v>
      </c>
      <c r="AI549" s="109" t="str">
        <f aca="false">IF(ISNUMBER(I549),"yes","no")</f>
        <v>yes</v>
      </c>
      <c r="AJ549" s="116" t="n">
        <v>46295</v>
      </c>
      <c r="AK549" s="109"/>
    </row>
    <row r="550" customFormat="false" ht="42" hidden="false" customHeight="true" outlineLevel="0" collapsed="false">
      <c r="A550" s="3"/>
      <c r="B550" s="36" t="s">
        <v>59</v>
      </c>
      <c r="C550" s="98" t="s">
        <v>15</v>
      </c>
      <c r="D550" s="98" t="s">
        <v>293</v>
      </c>
      <c r="E550" s="110" t="s">
        <v>1913</v>
      </c>
      <c r="F550" s="99" t="n">
        <v>3.7</v>
      </c>
      <c r="G550" s="98" t="s">
        <v>244</v>
      </c>
      <c r="H550" s="112" t="n">
        <f aca="false">IF(AND(AE550="yes",ISNUMBER(AD550)),AD550,"")</f>
        <v>3.7</v>
      </c>
      <c r="I550" s="95" t="n">
        <f aca="false">IF(AND(AE550="yes",ISNUMBER(AD550),ISNUMBER(INDEX(Sources!$G$7:$G$10,MATCH(AB550,Sources!$B$7:$B$10,0)))),ROUND(AD550/INDEX(Sources!$G$7:$G$10,MATCH(AB550,Sources!$B$7:$B$10,0)),6),"")</f>
        <v>3.7</v>
      </c>
      <c r="J550" s="98" t="s">
        <v>530</v>
      </c>
      <c r="K550" s="98" t="s">
        <v>586</v>
      </c>
      <c r="L550" s="96"/>
      <c r="M550" s="110" t="s">
        <v>1914</v>
      </c>
      <c r="N550" s="117" t="s">
        <v>1915</v>
      </c>
      <c r="O550" s="110" t="s">
        <v>589</v>
      </c>
      <c r="P550" s="110" t="s">
        <v>590</v>
      </c>
      <c r="Q550" s="118"/>
      <c r="R550" s="110" t="n">
        <v>1</v>
      </c>
      <c r="S550" s="110"/>
      <c r="T550" s="110" t="s">
        <v>530</v>
      </c>
      <c r="U550" s="110" t="s">
        <v>1535</v>
      </c>
      <c r="V550" s="119" t="n">
        <v>3.7</v>
      </c>
      <c r="W550" s="119"/>
      <c r="X550" s="110" t="s">
        <v>1536</v>
      </c>
      <c r="Y550" s="110"/>
      <c r="Z550" s="110"/>
      <c r="AA550" s="110"/>
      <c r="AB550" s="110" t="s">
        <v>244</v>
      </c>
      <c r="AC550" s="110" t="s">
        <v>538</v>
      </c>
      <c r="AD550" s="110" t="n">
        <f aca="false">IF(ISNUMBER(V550),ROUND(V550,6),"")</f>
        <v>3.7</v>
      </c>
      <c r="AE550" s="110" t="str">
        <f aca="false">IF(AND(AC550="yes",ISNUMBER(F550),IF(Compare!$H$5="All mapped",TRUE(),IF(Compare!$H$5="EXACT only",J550="EXACT",OR(J550="EXACT",J550="CLOSE")))),"yes","no")</f>
        <v>yes</v>
      </c>
      <c r="AF550" s="110" t="n">
        <f aca="false">IF(ISNUMBER(H550),COUNTIFS($B$7:$B$3000,B550,$C$7:$C$3000,C550,$H$7:$H$3000,"&lt;"&amp;H550,$AH$7:$AH$3000,"yes")+COUNTIFS($B$7:B550,B550,$C$7:C550,C550,$H$7:H550,H550,$AH$7:AH550,"yes"),"")</f>
        <v>3</v>
      </c>
      <c r="AG550" s="110" t="n">
        <f aca="false">IF(ISNUMBER(I550),COUNTIFS($B$7:$B$3000,B550,$C$7:$C$3000,C550,$I$7:$I$3000,"&lt;"&amp;I550,$AI$7:$AI$3000,"yes")+COUNTIFS($B$7:B550,B550,$C$7:C550,C550,$I$7:I550,I550,$AI$7:AI550,"yes"),"")</f>
        <v>3</v>
      </c>
      <c r="AH550" s="110" t="str">
        <f aca="false">IF(ISNUMBER(H550),"yes","no")</f>
        <v>yes</v>
      </c>
      <c r="AI550" s="110" t="str">
        <f aca="false">IF(ISNUMBER(I550),"yes","no")</f>
        <v>yes</v>
      </c>
      <c r="AJ550" s="120" t="n">
        <v>46295</v>
      </c>
      <c r="AK550" s="110"/>
    </row>
    <row r="551" customFormat="false" ht="42" hidden="false" customHeight="true" outlineLevel="0" collapsed="false">
      <c r="A551" s="3"/>
      <c r="B551" s="31" t="s">
        <v>59</v>
      </c>
      <c r="C551" s="91" t="s">
        <v>17</v>
      </c>
      <c r="D551" s="91" t="s">
        <v>354</v>
      </c>
      <c r="E551" s="109" t="s">
        <v>1916</v>
      </c>
      <c r="F551" s="92" t="n">
        <v>1143.69</v>
      </c>
      <c r="G551" s="91" t="s">
        <v>333</v>
      </c>
      <c r="H551" s="112" t="n">
        <f aca="false">IF(AND(AE551="yes",ISNUMBER(AD551)),AD551,"")</f>
        <v>95.31</v>
      </c>
      <c r="I551" s="95" t="n">
        <f aca="false">IF(AND(AE551="yes",ISNUMBER(AD551),ISNUMBER(INDEX(Sources!$G$7:$G$10,MATCH(AB551,Sources!$B$7:$B$10,0)))),ROUND(AD551/INDEX(Sources!$G$7:$G$10,MATCH(AB551,Sources!$B$7:$B$10,0)),6),"")</f>
        <v>3.902371</v>
      </c>
      <c r="J551" s="91" t="s">
        <v>530</v>
      </c>
      <c r="K551" s="91" t="s">
        <v>586</v>
      </c>
      <c r="L551" s="96"/>
      <c r="M551" s="109"/>
      <c r="N551" s="113" t="s">
        <v>1917</v>
      </c>
      <c r="O551" s="109" t="s">
        <v>610</v>
      </c>
      <c r="P551" s="109" t="s">
        <v>590</v>
      </c>
      <c r="Q551" s="114" t="n">
        <v>0.19</v>
      </c>
      <c r="R551" s="109" t="n">
        <v>12</v>
      </c>
      <c r="S551" s="109" t="s">
        <v>625</v>
      </c>
      <c r="T551" s="109" t="s">
        <v>530</v>
      </c>
      <c r="U551" s="109" t="s">
        <v>1535</v>
      </c>
      <c r="V551" s="115"/>
      <c r="W551" s="115"/>
      <c r="X551" s="109" t="s">
        <v>1555</v>
      </c>
      <c r="Y551" s="109"/>
      <c r="Z551" s="109"/>
      <c r="AA551" s="109"/>
      <c r="AB551" s="109" t="s">
        <v>333</v>
      </c>
      <c r="AC551" s="109" t="s">
        <v>538</v>
      </c>
      <c r="AD551" s="109" t="n">
        <f aca="false">IF(OR(F551="",Q551="",R551=""),"",ROUND(IF(P551="incl.",F551/(1+Q551),F551)/IF(S551="per pack",R551,1),2))</f>
        <v>95.31</v>
      </c>
      <c r="AE551" s="109" t="str">
        <f aca="false">IF(AND(AC551="yes",ISNUMBER(F551),IF(Compare!$H$5="All mapped",TRUE(),IF(Compare!$H$5="EXACT only",J551="EXACT",OR(J551="EXACT",J551="CLOSE")))),"yes","no")</f>
        <v>yes</v>
      </c>
      <c r="AF551" s="109" t="n">
        <f aca="false">IF(ISNUMBER(H551),COUNTIFS($B$7:$B$3000,B551,$C$7:$C$3000,C551,$H$7:$H$3000,"&lt;"&amp;H551,$AH$7:$AH$3000,"yes")+COUNTIFS($B$7:B551,B551,$C$7:C551,C551,$H$7:H551,H551,$AH$7:AH551,"yes"),"")</f>
        <v>3</v>
      </c>
      <c r="AG551" s="109" t="n">
        <f aca="false">IF(ISNUMBER(I551),COUNTIFS($B$7:$B$3000,B551,$C$7:$C$3000,C551,$I$7:$I$3000,"&lt;"&amp;I551,$AI$7:$AI$3000,"yes")+COUNTIFS($B$7:B551,B551,$C$7:C551,C551,$I$7:I551,I551,$AI$7:AI551,"yes"),"")</f>
        <v>3</v>
      </c>
      <c r="AH551" s="109" t="str">
        <f aca="false">IF(ISNUMBER(H551),"yes","no")</f>
        <v>yes</v>
      </c>
      <c r="AI551" s="109" t="str">
        <f aca="false">IF(ISNUMBER(I551),"yes","no")</f>
        <v>yes</v>
      </c>
      <c r="AJ551" s="116" t="n">
        <v>46295</v>
      </c>
      <c r="AK551" s="109"/>
    </row>
    <row r="552" customFormat="false" ht="42" hidden="false" customHeight="true" outlineLevel="0" collapsed="false">
      <c r="A552" s="3"/>
      <c r="B552" s="36" t="s">
        <v>59</v>
      </c>
      <c r="C552" s="98" t="s">
        <v>17</v>
      </c>
      <c r="D552" s="98" t="s">
        <v>342</v>
      </c>
      <c r="E552" s="110" t="s">
        <v>1918</v>
      </c>
      <c r="F552" s="99" t="n">
        <v>76</v>
      </c>
      <c r="G552" s="98" t="s">
        <v>333</v>
      </c>
      <c r="H552" s="112" t="n">
        <f aca="false">IF(AND(AE552="yes",ISNUMBER(AD552)),AD552,"")</f>
        <v>62.81</v>
      </c>
      <c r="I552" s="95" t="n">
        <f aca="false">IF(AND(AE552="yes",ISNUMBER(AD552),ISNUMBER(INDEX(Sources!$G$7:$G$10,MATCH(AB552,Sources!$B$7:$B$10,0)))),ROUND(AD552/INDEX(Sources!$G$7:$G$10,MATCH(AB552,Sources!$B$7:$B$10,0)),6),"")</f>
        <v>2.571691</v>
      </c>
      <c r="J552" s="98" t="s">
        <v>530</v>
      </c>
      <c r="K552" s="98" t="s">
        <v>586</v>
      </c>
      <c r="L552" s="96"/>
      <c r="M552" s="110" t="s">
        <v>1919</v>
      </c>
      <c r="N552" s="117" t="s">
        <v>1920</v>
      </c>
      <c r="O552" s="110" t="s">
        <v>1138</v>
      </c>
      <c r="P552" s="110" t="s">
        <v>265</v>
      </c>
      <c r="Q552" s="118" t="n">
        <v>0.21</v>
      </c>
      <c r="R552" s="110" t="n">
        <v>1</v>
      </c>
      <c r="S552" s="110" t="s">
        <v>632</v>
      </c>
      <c r="T552" s="110" t="s">
        <v>530</v>
      </c>
      <c r="U552" s="110" t="s">
        <v>1535</v>
      </c>
      <c r="V552" s="119"/>
      <c r="W552" s="119"/>
      <c r="X552" s="110" t="s">
        <v>1555</v>
      </c>
      <c r="Y552" s="110"/>
      <c r="Z552" s="110"/>
      <c r="AA552" s="110"/>
      <c r="AB552" s="110" t="s">
        <v>333</v>
      </c>
      <c r="AC552" s="110" t="s">
        <v>538</v>
      </c>
      <c r="AD552" s="110" t="n">
        <f aca="false">IF(OR(F552="",Q552="",R552=""),"",ROUND(IF(P552="incl.",F552/(1+Q552),F552)/IF(S552="per pack",R552,1),2))</f>
        <v>62.81</v>
      </c>
      <c r="AE552" s="110" t="str">
        <f aca="false">IF(AND(AC552="yes",ISNUMBER(F552),IF(Compare!$H$5="All mapped",TRUE(),IF(Compare!$H$5="EXACT only",J552="EXACT",OR(J552="EXACT",J552="CLOSE")))),"yes","no")</f>
        <v>yes</v>
      </c>
      <c r="AF552" s="110" t="n">
        <f aca="false">IF(ISNUMBER(H552),COUNTIFS($B$7:$B$3000,B552,$C$7:$C$3000,C552,$H$7:$H$3000,"&lt;"&amp;H552,$AH$7:$AH$3000,"yes")+COUNTIFS($B$7:B552,B552,$C$7:C552,C552,$H$7:H552,H552,$AH$7:AH552,"yes"),"")</f>
        <v>2</v>
      </c>
      <c r="AG552" s="110" t="n">
        <f aca="false">IF(ISNUMBER(I552),COUNTIFS($B$7:$B$3000,B552,$C$7:$C$3000,C552,$I$7:$I$3000,"&lt;"&amp;I552,$AI$7:$AI$3000,"yes")+COUNTIFS($B$7:B552,B552,$C$7:C552,C552,$I$7:I552,I552,$AI$7:AI552,"yes"),"")</f>
        <v>2</v>
      </c>
      <c r="AH552" s="110" t="str">
        <f aca="false">IF(ISNUMBER(H552),"yes","no")</f>
        <v>yes</v>
      </c>
      <c r="AI552" s="110" t="str">
        <f aca="false">IF(ISNUMBER(I552),"yes","no")</f>
        <v>yes</v>
      </c>
      <c r="AJ552" s="120" t="n">
        <v>46295</v>
      </c>
      <c r="AK552" s="110"/>
    </row>
    <row r="553" customFormat="false" ht="42" hidden="false" customHeight="true" outlineLevel="0" collapsed="false">
      <c r="A553" s="3"/>
      <c r="B553" s="31" t="s">
        <v>59</v>
      </c>
      <c r="C553" s="91" t="s">
        <v>17</v>
      </c>
      <c r="D553" s="91" t="s">
        <v>346</v>
      </c>
      <c r="E553" s="109" t="s">
        <v>1921</v>
      </c>
      <c r="F553" s="92" t="n">
        <v>162</v>
      </c>
      <c r="G553" s="91" t="s">
        <v>333</v>
      </c>
      <c r="H553" s="112" t="n">
        <f aca="false">IF(AND(AE553="yes",ISNUMBER(AD553)),AD553,"")</f>
        <v>133.88</v>
      </c>
      <c r="I553" s="95" t="n">
        <f aca="false">IF(AND(AE553="yes",ISNUMBER(AD553),ISNUMBER(INDEX(Sources!$G$7:$G$10,MATCH(AB553,Sources!$B$7:$B$10,0)))),ROUND(AD553/INDEX(Sources!$G$7:$G$10,MATCH(AB553,Sources!$B$7:$B$10,0)),6),"")</f>
        <v>5.48158</v>
      </c>
      <c r="J553" s="91" t="s">
        <v>530</v>
      </c>
      <c r="K553" s="91" t="s">
        <v>586</v>
      </c>
      <c r="L553" s="96"/>
      <c r="M553" s="109" t="s">
        <v>1922</v>
      </c>
      <c r="N553" s="113" t="s">
        <v>1923</v>
      </c>
      <c r="O553" s="109" t="s">
        <v>565</v>
      </c>
      <c r="P553" s="109" t="s">
        <v>265</v>
      </c>
      <c r="Q553" s="114" t="n">
        <v>0.21</v>
      </c>
      <c r="R553" s="109" t="n">
        <v>1</v>
      </c>
      <c r="S553" s="109" t="s">
        <v>632</v>
      </c>
      <c r="T553" s="109" t="s">
        <v>530</v>
      </c>
      <c r="U553" s="109" t="s">
        <v>1535</v>
      </c>
      <c r="V553" s="115"/>
      <c r="W553" s="115"/>
      <c r="X553" s="109" t="s">
        <v>1555</v>
      </c>
      <c r="Y553" s="109"/>
      <c r="Z553" s="109"/>
      <c r="AA553" s="109"/>
      <c r="AB553" s="109" t="s">
        <v>333</v>
      </c>
      <c r="AC553" s="109" t="s">
        <v>538</v>
      </c>
      <c r="AD553" s="109" t="n">
        <f aca="false">IF(OR(F553="",Q553="",R553=""),"",ROUND(IF(P553="incl.",F553/(1+Q553),F553)/IF(S553="per pack",R553,1),2))</f>
        <v>133.88</v>
      </c>
      <c r="AE553" s="109" t="str">
        <f aca="false">IF(AND(AC553="yes",ISNUMBER(F553),IF(Compare!$H$5="All mapped",TRUE(),IF(Compare!$H$5="EXACT only",J553="EXACT",OR(J553="EXACT",J553="CLOSE")))),"yes","no")</f>
        <v>yes</v>
      </c>
      <c r="AF553" s="109" t="n">
        <f aca="false">IF(ISNUMBER(H553),COUNTIFS($B$7:$B$3000,B553,$C$7:$C$3000,C553,$H$7:$H$3000,"&lt;"&amp;H553,$AH$7:$AH$3000,"yes")+COUNTIFS($B$7:B553,B553,$C$7:C553,C553,$H$7:H553,H553,$AH$7:AH553,"yes"),"")</f>
        <v>6</v>
      </c>
      <c r="AG553" s="109" t="n">
        <f aca="false">IF(ISNUMBER(I553),COUNTIFS($B$7:$B$3000,B553,$C$7:$C$3000,C553,$I$7:$I$3000,"&lt;"&amp;I553,$AI$7:$AI$3000,"yes")+COUNTIFS($B$7:B553,B553,$C$7:C553,C553,$I$7:I553,I553,$AI$7:AI553,"yes"),"")</f>
        <v>6</v>
      </c>
      <c r="AH553" s="109" t="str">
        <f aca="false">IF(ISNUMBER(H553),"yes","no")</f>
        <v>yes</v>
      </c>
      <c r="AI553" s="109" t="str">
        <f aca="false">IF(ISNUMBER(I553),"yes","no")</f>
        <v>yes</v>
      </c>
      <c r="AJ553" s="116" t="n">
        <v>46295</v>
      </c>
      <c r="AK553" s="109"/>
    </row>
    <row r="554" customFormat="false" ht="42" hidden="false" customHeight="true" outlineLevel="0" collapsed="false">
      <c r="A554" s="3"/>
      <c r="B554" s="36" t="s">
        <v>59</v>
      </c>
      <c r="C554" s="98" t="s">
        <v>17</v>
      </c>
      <c r="D554" s="98" t="s">
        <v>361</v>
      </c>
      <c r="E554" s="110" t="s">
        <v>1924</v>
      </c>
      <c r="F554" s="99" t="n">
        <v>138</v>
      </c>
      <c r="G554" s="98" t="s">
        <v>333</v>
      </c>
      <c r="H554" s="112" t="n">
        <f aca="false">IF(AND(AE554="yes",ISNUMBER(AD554)),AD554,"")</f>
        <v>114.05</v>
      </c>
      <c r="I554" s="95" t="n">
        <f aca="false">IF(AND(AE554="yes",ISNUMBER(AD554),ISNUMBER(INDEX(Sources!$G$7:$G$10,MATCH(AB554,Sources!$B$7:$B$10,0)))),ROUND(AD554/INDEX(Sources!$G$7:$G$10,MATCH(AB554,Sources!$B$7:$B$10,0)),6),"")</f>
        <v>4.669661</v>
      </c>
      <c r="J554" s="98" t="s">
        <v>530</v>
      </c>
      <c r="K554" s="98" t="s">
        <v>586</v>
      </c>
      <c r="L554" s="96"/>
      <c r="M554" s="110" t="s">
        <v>1925</v>
      </c>
      <c r="N554" s="117" t="s">
        <v>1926</v>
      </c>
      <c r="O554" s="110" t="s">
        <v>642</v>
      </c>
      <c r="P554" s="110" t="s">
        <v>265</v>
      </c>
      <c r="Q554" s="118" t="n">
        <v>0.21</v>
      </c>
      <c r="R554" s="110" t="n">
        <v>1</v>
      </c>
      <c r="S554" s="110" t="s">
        <v>632</v>
      </c>
      <c r="T554" s="110" t="s">
        <v>530</v>
      </c>
      <c r="U554" s="110" t="s">
        <v>1535</v>
      </c>
      <c r="V554" s="119"/>
      <c r="W554" s="119"/>
      <c r="X554" s="110" t="s">
        <v>1555</v>
      </c>
      <c r="Y554" s="110"/>
      <c r="Z554" s="110"/>
      <c r="AA554" s="110"/>
      <c r="AB554" s="110" t="s">
        <v>333</v>
      </c>
      <c r="AC554" s="110" t="s">
        <v>538</v>
      </c>
      <c r="AD554" s="110" t="n">
        <f aca="false">IF(OR(F554="",Q554="",R554=""),"",ROUND(IF(P554="incl.",F554/(1+Q554),F554)/IF(S554="per pack",R554,1),2))</f>
        <v>114.05</v>
      </c>
      <c r="AE554" s="110" t="str">
        <f aca="false">IF(AND(AC554="yes",ISNUMBER(F554),IF(Compare!$H$5="All mapped",TRUE(),IF(Compare!$H$5="EXACT only",J554="EXACT",OR(J554="EXACT",J554="CLOSE")))),"yes","no")</f>
        <v>yes</v>
      </c>
      <c r="AF554" s="110" t="n">
        <f aca="false">IF(ISNUMBER(H554),COUNTIFS($B$7:$B$3000,B554,$C$7:$C$3000,C554,$H$7:$H$3000,"&lt;"&amp;H554,$AH$7:$AH$3000,"yes")+COUNTIFS($B$7:B554,B554,$C$7:C554,C554,$H$7:H554,H554,$AH$7:AH554,"yes"),"")</f>
        <v>5</v>
      </c>
      <c r="AG554" s="110" t="n">
        <f aca="false">IF(ISNUMBER(I554),COUNTIFS($B$7:$B$3000,B554,$C$7:$C$3000,C554,$I$7:$I$3000,"&lt;"&amp;I554,$AI$7:$AI$3000,"yes")+COUNTIFS($B$7:B554,B554,$C$7:C554,C554,$I$7:I554,I554,$AI$7:AI554,"yes"),"")</f>
        <v>5</v>
      </c>
      <c r="AH554" s="110" t="str">
        <f aca="false">IF(ISNUMBER(H554),"yes","no")</f>
        <v>yes</v>
      </c>
      <c r="AI554" s="110" t="str">
        <f aca="false">IF(ISNUMBER(I554),"yes","no")</f>
        <v>yes</v>
      </c>
      <c r="AJ554" s="120" t="n">
        <v>46295</v>
      </c>
      <c r="AK554" s="110"/>
    </row>
    <row r="555" customFormat="false" ht="42" hidden="false" customHeight="true" outlineLevel="0" collapsed="false">
      <c r="A555" s="3"/>
      <c r="B555" s="31" t="s">
        <v>60</v>
      </c>
      <c r="C555" s="91" t="s">
        <v>15</v>
      </c>
      <c r="D555" s="91" t="s">
        <v>243</v>
      </c>
      <c r="E555" s="109" t="s">
        <v>1927</v>
      </c>
      <c r="F555" s="92" t="n">
        <v>21.24</v>
      </c>
      <c r="G555" s="91" t="s">
        <v>244</v>
      </c>
      <c r="H555" s="112" t="n">
        <f aca="false">IF(AND(AE555="yes",ISNUMBER(AD555)),AD555,"")</f>
        <v>21.24</v>
      </c>
      <c r="I555" s="95" t="n">
        <f aca="false">IF(AND(AE555="yes",ISNUMBER(AD555),ISNUMBER(INDEX(Sources!$G$7:$G$10,MATCH(AB555,Sources!$B$7:$B$10,0)))),ROUND(AD555/INDEX(Sources!$G$7:$G$10,MATCH(AB555,Sources!$B$7:$B$10,0)),6),"")</f>
        <v>21.24</v>
      </c>
      <c r="J555" s="91" t="s">
        <v>702</v>
      </c>
      <c r="K555" s="91" t="s">
        <v>586</v>
      </c>
      <c r="L555" s="96"/>
      <c r="M555" s="109" t="s">
        <v>1928</v>
      </c>
      <c r="N555" s="113" t="s">
        <v>1929</v>
      </c>
      <c r="O555" s="109" t="s">
        <v>388</v>
      </c>
      <c r="P555" s="109" t="s">
        <v>590</v>
      </c>
      <c r="Q555" s="114"/>
      <c r="R555" s="109" t="n">
        <v>1</v>
      </c>
      <c r="S555" s="109"/>
      <c r="T555" s="109" t="s">
        <v>702</v>
      </c>
      <c r="U555" s="109" t="s">
        <v>1535</v>
      </c>
      <c r="V555" s="115" t="n">
        <v>21.24</v>
      </c>
      <c r="W555" s="115"/>
      <c r="X555" s="109" t="s">
        <v>1536</v>
      </c>
      <c r="Y555" s="109"/>
      <c r="Z555" s="109"/>
      <c r="AA555" s="109"/>
      <c r="AB555" s="109" t="s">
        <v>244</v>
      </c>
      <c r="AC555" s="109" t="s">
        <v>538</v>
      </c>
      <c r="AD555" s="109" t="n">
        <f aca="false">IF(ISNUMBER(V555),ROUND(V555,6),"")</f>
        <v>21.24</v>
      </c>
      <c r="AE555" s="109" t="str">
        <f aca="false">IF(AND(AC555="yes",ISNUMBER(F555),IF(Compare!$H$5="All mapped",TRUE(),IF(Compare!$H$5="EXACT only",J555="EXACT",OR(J555="EXACT",J555="CLOSE")))),"yes","no")</f>
        <v>yes</v>
      </c>
      <c r="AF555" s="109" t="n">
        <f aca="false">IF(ISNUMBER(H555),COUNTIFS($B$7:$B$3000,B555,$C$7:$C$3000,C555,$H$7:$H$3000,"&lt;"&amp;H555,$AH$7:$AH$3000,"yes")+COUNTIFS($B$7:B555,B555,$C$7:C555,C555,$H$7:H555,H555,$AH$7:AH555,"yes"),"")</f>
        <v>2</v>
      </c>
      <c r="AG555" s="109" t="n">
        <f aca="false">IF(ISNUMBER(I555),COUNTIFS($B$7:$B$3000,B555,$C$7:$C$3000,C555,$I$7:$I$3000,"&lt;"&amp;I555,$AI$7:$AI$3000,"yes")+COUNTIFS($B$7:B555,B555,$C$7:C555,C555,$I$7:I555,I555,$AI$7:AI555,"yes"),"")</f>
        <v>2</v>
      </c>
      <c r="AH555" s="109" t="str">
        <f aca="false">IF(ISNUMBER(H555),"yes","no")</f>
        <v>yes</v>
      </c>
      <c r="AI555" s="109" t="str">
        <f aca="false">IF(ISNUMBER(I555),"yes","no")</f>
        <v>yes</v>
      </c>
      <c r="AJ555" s="116" t="n">
        <v>46295</v>
      </c>
      <c r="AK555" s="109"/>
    </row>
    <row r="556" customFormat="false" ht="42" hidden="false" customHeight="true" outlineLevel="0" collapsed="false">
      <c r="A556" s="3"/>
      <c r="B556" s="36" t="s">
        <v>60</v>
      </c>
      <c r="C556" s="98" t="s">
        <v>15</v>
      </c>
      <c r="D556" s="98" t="s">
        <v>277</v>
      </c>
      <c r="E556" s="110" t="s">
        <v>1930</v>
      </c>
      <c r="F556" s="99" t="n">
        <v>26.49</v>
      </c>
      <c r="G556" s="98" t="s">
        <v>244</v>
      </c>
      <c r="H556" s="112" t="n">
        <f aca="false">IF(AND(AE556="yes",ISNUMBER(AD556)),AD556,"")</f>
        <v>26.49</v>
      </c>
      <c r="I556" s="95" t="n">
        <f aca="false">IF(AND(AE556="yes",ISNUMBER(AD556),ISNUMBER(INDEX(Sources!$G$7:$G$10,MATCH(AB556,Sources!$B$7:$B$10,0)))),ROUND(AD556/INDEX(Sources!$G$7:$G$10,MATCH(AB556,Sources!$B$7:$B$10,0)),6),"")</f>
        <v>26.49</v>
      </c>
      <c r="J556" s="98" t="s">
        <v>702</v>
      </c>
      <c r="K556" s="98" t="s">
        <v>586</v>
      </c>
      <c r="L556" s="96"/>
      <c r="M556" s="110" t="s">
        <v>1931</v>
      </c>
      <c r="N556" s="117" t="s">
        <v>1932</v>
      </c>
      <c r="O556" s="110" t="s">
        <v>610</v>
      </c>
      <c r="P556" s="110" t="s">
        <v>590</v>
      </c>
      <c r="Q556" s="118"/>
      <c r="R556" s="110" t="n">
        <v>1</v>
      </c>
      <c r="S556" s="110"/>
      <c r="T556" s="110" t="s">
        <v>702</v>
      </c>
      <c r="U556" s="110" t="s">
        <v>1535</v>
      </c>
      <c r="V556" s="119" t="n">
        <v>26.49</v>
      </c>
      <c r="W556" s="119"/>
      <c r="X556" s="110" t="s">
        <v>1536</v>
      </c>
      <c r="Y556" s="110"/>
      <c r="Z556" s="110"/>
      <c r="AA556" s="110"/>
      <c r="AB556" s="110" t="s">
        <v>244</v>
      </c>
      <c r="AC556" s="110" t="s">
        <v>538</v>
      </c>
      <c r="AD556" s="110" t="n">
        <f aca="false">IF(ISNUMBER(V556),ROUND(V556,6),"")</f>
        <v>26.49</v>
      </c>
      <c r="AE556" s="110" t="str">
        <f aca="false">IF(AND(AC556="yes",ISNUMBER(F556),IF(Compare!$H$5="All mapped",TRUE(),IF(Compare!$H$5="EXACT only",J556="EXACT",OR(J556="EXACT",J556="CLOSE")))),"yes","no")</f>
        <v>yes</v>
      </c>
      <c r="AF556" s="110" t="n">
        <f aca="false">IF(ISNUMBER(H556),COUNTIFS($B$7:$B$3000,B556,$C$7:$C$3000,C556,$H$7:$H$3000,"&lt;"&amp;H556,$AH$7:$AH$3000,"yes")+COUNTIFS($B$7:B556,B556,$C$7:C556,C556,$H$7:H556,H556,$AH$7:AH556,"yes"),"")</f>
        <v>5</v>
      </c>
      <c r="AG556" s="110" t="n">
        <f aca="false">IF(ISNUMBER(I556),COUNTIFS($B$7:$B$3000,B556,$C$7:$C$3000,C556,$I$7:$I$3000,"&lt;"&amp;I556,$AI$7:$AI$3000,"yes")+COUNTIFS($B$7:B556,B556,$C$7:C556,C556,$I$7:I556,I556,$AI$7:AI556,"yes"),"")</f>
        <v>5</v>
      </c>
      <c r="AH556" s="110" t="str">
        <f aca="false">IF(ISNUMBER(H556),"yes","no")</f>
        <v>yes</v>
      </c>
      <c r="AI556" s="110" t="str">
        <f aca="false">IF(ISNUMBER(I556),"yes","no")</f>
        <v>yes</v>
      </c>
      <c r="AJ556" s="120" t="n">
        <v>46295</v>
      </c>
      <c r="AK556" s="110"/>
    </row>
    <row r="557" customFormat="false" ht="42" hidden="false" customHeight="true" outlineLevel="0" collapsed="false">
      <c r="A557" s="3"/>
      <c r="B557" s="31" t="s">
        <v>60</v>
      </c>
      <c r="C557" s="91" t="s">
        <v>15</v>
      </c>
      <c r="D557" s="91" t="s">
        <v>264</v>
      </c>
      <c r="E557" s="109" t="s">
        <v>1933</v>
      </c>
      <c r="F557" s="92" t="n">
        <v>20.95</v>
      </c>
      <c r="G557" s="91" t="s">
        <v>244</v>
      </c>
      <c r="H557" s="112" t="n">
        <f aca="false">IF(AND(AE557="yes",ISNUMBER(AD557)),AD557,"")</f>
        <v>20.95</v>
      </c>
      <c r="I557" s="95" t="n">
        <f aca="false">IF(AND(AE557="yes",ISNUMBER(AD557),ISNUMBER(INDEX(Sources!$G$7:$G$10,MATCH(AB557,Sources!$B$7:$B$10,0)))),ROUND(AD557/INDEX(Sources!$G$7:$G$10,MATCH(AB557,Sources!$B$7:$B$10,0)),6),"")</f>
        <v>20.95</v>
      </c>
      <c r="J557" s="91" t="s">
        <v>530</v>
      </c>
      <c r="K557" s="91" t="s">
        <v>586</v>
      </c>
      <c r="L557" s="96"/>
      <c r="M557" s="109" t="s">
        <v>1934</v>
      </c>
      <c r="N557" s="113" t="s">
        <v>1935</v>
      </c>
      <c r="O557" s="109" t="s">
        <v>388</v>
      </c>
      <c r="P557" s="109" t="s">
        <v>590</v>
      </c>
      <c r="Q557" s="114"/>
      <c r="R557" s="109" t="n">
        <v>1</v>
      </c>
      <c r="S557" s="109"/>
      <c r="T557" s="109" t="s">
        <v>530</v>
      </c>
      <c r="U557" s="109" t="s">
        <v>1535</v>
      </c>
      <c r="V557" s="115" t="n">
        <v>20.95</v>
      </c>
      <c r="W557" s="115"/>
      <c r="X557" s="109" t="s">
        <v>1536</v>
      </c>
      <c r="Y557" s="109"/>
      <c r="Z557" s="109"/>
      <c r="AA557" s="109"/>
      <c r="AB557" s="109" t="s">
        <v>244</v>
      </c>
      <c r="AC557" s="109" t="s">
        <v>538</v>
      </c>
      <c r="AD557" s="109" t="n">
        <f aca="false">IF(ISNUMBER(V557),ROUND(V557,6),"")</f>
        <v>20.95</v>
      </c>
      <c r="AE557" s="109" t="str">
        <f aca="false">IF(AND(AC557="yes",ISNUMBER(F557),IF(Compare!$H$5="All mapped",TRUE(),IF(Compare!$H$5="EXACT only",J557="EXACT",OR(J557="EXACT",J557="CLOSE")))),"yes","no")</f>
        <v>yes</v>
      </c>
      <c r="AF557" s="109" t="n">
        <f aca="false">IF(ISNUMBER(H557),COUNTIFS($B$7:$B$3000,B557,$C$7:$C$3000,C557,$H$7:$H$3000,"&lt;"&amp;H557,$AH$7:$AH$3000,"yes")+COUNTIFS($B$7:B557,B557,$C$7:C557,C557,$H$7:H557,H557,$AH$7:AH557,"yes"),"")</f>
        <v>1</v>
      </c>
      <c r="AG557" s="109" t="n">
        <f aca="false">IF(ISNUMBER(I557),COUNTIFS($B$7:$B$3000,B557,$C$7:$C$3000,C557,$I$7:$I$3000,"&lt;"&amp;I557,$AI$7:$AI$3000,"yes")+COUNTIFS($B$7:B557,B557,$C$7:C557,C557,$I$7:I557,I557,$AI$7:AI557,"yes"),"")</f>
        <v>1</v>
      </c>
      <c r="AH557" s="109" t="str">
        <f aca="false">IF(ISNUMBER(H557),"yes","no")</f>
        <v>yes</v>
      </c>
      <c r="AI557" s="109" t="str">
        <f aca="false">IF(ISNUMBER(I557),"yes","no")</f>
        <v>yes</v>
      </c>
      <c r="AJ557" s="116" t="n">
        <v>46295</v>
      </c>
      <c r="AK557" s="109"/>
    </row>
    <row r="558" customFormat="false" ht="42" hidden="false" customHeight="true" outlineLevel="0" collapsed="false">
      <c r="A558" s="3"/>
      <c r="B558" s="36" t="s">
        <v>60</v>
      </c>
      <c r="C558" s="98" t="s">
        <v>15</v>
      </c>
      <c r="D558" s="98" t="s">
        <v>273</v>
      </c>
      <c r="E558" s="110" t="s">
        <v>1936</v>
      </c>
      <c r="F558" s="99" t="n">
        <v>29.49</v>
      </c>
      <c r="G558" s="98" t="s">
        <v>244</v>
      </c>
      <c r="H558" s="112" t="n">
        <f aca="false">IF(AND(AE558="yes",ISNUMBER(AD558)),AD558,"")</f>
        <v>24.57</v>
      </c>
      <c r="I558" s="95" t="n">
        <f aca="false">IF(AND(AE558="yes",ISNUMBER(AD558),ISNUMBER(INDEX(Sources!$G$7:$G$10,MATCH(AB558,Sources!$B$7:$B$10,0)))),ROUND(AD558/INDEX(Sources!$G$7:$G$10,MATCH(AB558,Sources!$B$7:$B$10,0)),6),"")</f>
        <v>24.57</v>
      </c>
      <c r="J558" s="98" t="s">
        <v>702</v>
      </c>
      <c r="K558" s="98" t="s">
        <v>586</v>
      </c>
      <c r="L558" s="96"/>
      <c r="M558" s="110" t="s">
        <v>1937</v>
      </c>
      <c r="N558" s="117" t="s">
        <v>1938</v>
      </c>
      <c r="O558" s="110" t="s">
        <v>1030</v>
      </c>
      <c r="P558" s="110" t="s">
        <v>265</v>
      </c>
      <c r="Q558" s="118"/>
      <c r="R558" s="110" t="n">
        <v>1</v>
      </c>
      <c r="S558" s="110"/>
      <c r="T558" s="110" t="s">
        <v>702</v>
      </c>
      <c r="U558" s="110" t="s">
        <v>1535</v>
      </c>
      <c r="V558" s="119" t="n">
        <v>24.57</v>
      </c>
      <c r="W558" s="119"/>
      <c r="X558" s="110" t="s">
        <v>1536</v>
      </c>
      <c r="Y558" s="110"/>
      <c r="Z558" s="110"/>
      <c r="AA558" s="110"/>
      <c r="AB558" s="110" t="s">
        <v>244</v>
      </c>
      <c r="AC558" s="110" t="s">
        <v>538</v>
      </c>
      <c r="AD558" s="110" t="n">
        <f aca="false">IF(ISNUMBER(V558),ROUND(V558,6),"")</f>
        <v>24.57</v>
      </c>
      <c r="AE558" s="110" t="str">
        <f aca="false">IF(AND(AC558="yes",ISNUMBER(F558),IF(Compare!$H$5="All mapped",TRUE(),IF(Compare!$H$5="EXACT only",J558="EXACT",OR(J558="EXACT",J558="CLOSE")))),"yes","no")</f>
        <v>yes</v>
      </c>
      <c r="AF558" s="110" t="n">
        <f aca="false">IF(ISNUMBER(H558),COUNTIFS($B$7:$B$3000,B558,$C$7:$C$3000,C558,$H$7:$H$3000,"&lt;"&amp;H558,$AH$7:$AH$3000,"yes")+COUNTIFS($B$7:B558,B558,$C$7:C558,C558,$H$7:H558,H558,$AH$7:AH558,"yes"),"")</f>
        <v>4</v>
      </c>
      <c r="AG558" s="110" t="n">
        <f aca="false">IF(ISNUMBER(I558),COUNTIFS($B$7:$B$3000,B558,$C$7:$C$3000,C558,$I$7:$I$3000,"&lt;"&amp;I558,$AI$7:$AI$3000,"yes")+COUNTIFS($B$7:B558,B558,$C$7:C558,C558,$I$7:I558,I558,$AI$7:AI558,"yes"),"")</f>
        <v>4</v>
      </c>
      <c r="AH558" s="110" t="str">
        <f aca="false">IF(ISNUMBER(H558),"yes","no")</f>
        <v>yes</v>
      </c>
      <c r="AI558" s="110" t="str">
        <f aca="false">IF(ISNUMBER(I558),"yes","no")</f>
        <v>yes</v>
      </c>
      <c r="AJ558" s="120" t="n">
        <v>46295</v>
      </c>
      <c r="AK558" s="110"/>
    </row>
    <row r="559" customFormat="false" ht="42" hidden="false" customHeight="true" outlineLevel="0" collapsed="false">
      <c r="A559" s="3"/>
      <c r="B559" s="31" t="s">
        <v>60</v>
      </c>
      <c r="C559" s="91" t="s">
        <v>15</v>
      </c>
      <c r="D559" s="91" t="s">
        <v>281</v>
      </c>
      <c r="E559" s="109" t="s">
        <v>1939</v>
      </c>
      <c r="F559" s="92" t="n">
        <v>51.09</v>
      </c>
      <c r="G559" s="91" t="s">
        <v>244</v>
      </c>
      <c r="H559" s="112" t="n">
        <f aca="false">IF(AND(AE559="yes",ISNUMBER(AD559)),AD559,"")</f>
        <v>51.09</v>
      </c>
      <c r="I559" s="95" t="n">
        <f aca="false">IF(AND(AE559="yes",ISNUMBER(AD559),ISNUMBER(INDEX(Sources!$G$7:$G$10,MATCH(AB559,Sources!$B$7:$B$10,0)))),ROUND(AD559/INDEX(Sources!$G$7:$G$10,MATCH(AB559,Sources!$B$7:$B$10,0)),6),"")</f>
        <v>51.09</v>
      </c>
      <c r="J559" s="91" t="s">
        <v>702</v>
      </c>
      <c r="K559" s="91" t="s">
        <v>586</v>
      </c>
      <c r="L559" s="96"/>
      <c r="M559" s="109" t="s">
        <v>1940</v>
      </c>
      <c r="N559" s="113" t="s">
        <v>1941</v>
      </c>
      <c r="O559" s="109" t="s">
        <v>1942</v>
      </c>
      <c r="P559" s="109" t="s">
        <v>590</v>
      </c>
      <c r="Q559" s="114"/>
      <c r="R559" s="109" t="n">
        <v>1</v>
      </c>
      <c r="S559" s="109"/>
      <c r="T559" s="109" t="s">
        <v>702</v>
      </c>
      <c r="U559" s="109" t="s">
        <v>1535</v>
      </c>
      <c r="V559" s="115" t="n">
        <v>51.09</v>
      </c>
      <c r="W559" s="115"/>
      <c r="X559" s="109" t="s">
        <v>1536</v>
      </c>
      <c r="Y559" s="109"/>
      <c r="Z559" s="109"/>
      <c r="AA559" s="109"/>
      <c r="AB559" s="109" t="s">
        <v>244</v>
      </c>
      <c r="AC559" s="109" t="s">
        <v>538</v>
      </c>
      <c r="AD559" s="109" t="n">
        <f aca="false">IF(ISNUMBER(V559),ROUND(V559,6),"")</f>
        <v>51.09</v>
      </c>
      <c r="AE559" s="109" t="str">
        <f aca="false">IF(AND(AC559="yes",ISNUMBER(F559),IF(Compare!$H$5="All mapped",TRUE(),IF(Compare!$H$5="EXACT only",J559="EXACT",OR(J559="EXACT",J559="CLOSE")))),"yes","no")</f>
        <v>yes</v>
      </c>
      <c r="AF559" s="109" t="n">
        <f aca="false">IF(ISNUMBER(H559),COUNTIFS($B$7:$B$3000,B559,$C$7:$C$3000,C559,$H$7:$H$3000,"&lt;"&amp;H559,$AH$7:$AH$3000,"yes")+COUNTIFS($B$7:B559,B559,$C$7:C559,C559,$H$7:H559,H559,$AH$7:AH559,"yes"),"")</f>
        <v>8</v>
      </c>
      <c r="AG559" s="109" t="n">
        <f aca="false">IF(ISNUMBER(I559),COUNTIFS($B$7:$B$3000,B559,$C$7:$C$3000,C559,$I$7:$I$3000,"&lt;"&amp;I559,$AI$7:$AI$3000,"yes")+COUNTIFS($B$7:B559,B559,$C$7:C559,C559,$I$7:I559,I559,$AI$7:AI559,"yes"),"")</f>
        <v>8</v>
      </c>
      <c r="AH559" s="109" t="str">
        <f aca="false">IF(ISNUMBER(H559),"yes","no")</f>
        <v>yes</v>
      </c>
      <c r="AI559" s="109" t="str">
        <f aca="false">IF(ISNUMBER(I559),"yes","no")</f>
        <v>yes</v>
      </c>
      <c r="AJ559" s="116" t="n">
        <v>46295</v>
      </c>
      <c r="AK559" s="109"/>
    </row>
    <row r="560" customFormat="false" ht="42" hidden="false" customHeight="true" outlineLevel="0" collapsed="false">
      <c r="A560" s="3"/>
      <c r="B560" s="36" t="s">
        <v>60</v>
      </c>
      <c r="C560" s="98" t="s">
        <v>15</v>
      </c>
      <c r="D560" s="98" t="s">
        <v>285</v>
      </c>
      <c r="E560" s="110" t="s">
        <v>1943</v>
      </c>
      <c r="F560" s="99" t="n">
        <v>23.9</v>
      </c>
      <c r="G560" s="98" t="s">
        <v>244</v>
      </c>
      <c r="H560" s="112" t="n">
        <f aca="false">IF(AND(AE560="yes",ISNUMBER(AD560)),AD560,"")</f>
        <v>23.9</v>
      </c>
      <c r="I560" s="95" t="n">
        <f aca="false">IF(AND(AE560="yes",ISNUMBER(AD560),ISNUMBER(INDEX(Sources!$G$7:$G$10,MATCH(AB560,Sources!$B$7:$B$10,0)))),ROUND(AD560/INDEX(Sources!$G$7:$G$10,MATCH(AB560,Sources!$B$7:$B$10,0)),6),"")</f>
        <v>23.9</v>
      </c>
      <c r="J560" s="98" t="s">
        <v>702</v>
      </c>
      <c r="K560" s="98" t="s">
        <v>586</v>
      </c>
      <c r="L560" s="96"/>
      <c r="M560" s="110" t="s">
        <v>1944</v>
      </c>
      <c r="N560" s="117" t="s">
        <v>1945</v>
      </c>
      <c r="O560" s="110" t="s">
        <v>733</v>
      </c>
      <c r="P560" s="110" t="s">
        <v>590</v>
      </c>
      <c r="Q560" s="118"/>
      <c r="R560" s="110" t="n">
        <v>1</v>
      </c>
      <c r="S560" s="110"/>
      <c r="T560" s="110" t="s">
        <v>702</v>
      </c>
      <c r="U560" s="110" t="s">
        <v>1535</v>
      </c>
      <c r="V560" s="119" t="n">
        <v>23.9</v>
      </c>
      <c r="W560" s="119"/>
      <c r="X560" s="110" t="s">
        <v>1536</v>
      </c>
      <c r="Y560" s="110"/>
      <c r="Z560" s="110"/>
      <c r="AA560" s="110"/>
      <c r="AB560" s="110" t="s">
        <v>244</v>
      </c>
      <c r="AC560" s="110" t="s">
        <v>538</v>
      </c>
      <c r="AD560" s="110" t="n">
        <f aca="false">IF(ISNUMBER(V560),ROUND(V560,6),"")</f>
        <v>23.9</v>
      </c>
      <c r="AE560" s="110" t="str">
        <f aca="false">IF(AND(AC560="yes",ISNUMBER(F560),IF(Compare!$H$5="All mapped",TRUE(),IF(Compare!$H$5="EXACT only",J560="EXACT",OR(J560="EXACT",J560="CLOSE")))),"yes","no")</f>
        <v>yes</v>
      </c>
      <c r="AF560" s="110" t="n">
        <f aca="false">IF(ISNUMBER(H560),COUNTIFS($B$7:$B$3000,B560,$C$7:$C$3000,C560,$H$7:$H$3000,"&lt;"&amp;H560,$AH$7:$AH$3000,"yes")+COUNTIFS($B$7:B560,B560,$C$7:C560,C560,$H$7:H560,H560,$AH$7:AH560,"yes"),"")</f>
        <v>3</v>
      </c>
      <c r="AG560" s="110" t="n">
        <f aca="false">IF(ISNUMBER(I560),COUNTIFS($B$7:$B$3000,B560,$C$7:$C$3000,C560,$I$7:$I$3000,"&lt;"&amp;I560,$AI$7:$AI$3000,"yes")+COUNTIFS($B$7:B560,B560,$C$7:C560,C560,$I$7:I560,I560,$AI$7:AI560,"yes"),"")</f>
        <v>3</v>
      </c>
      <c r="AH560" s="110" t="str">
        <f aca="false">IF(ISNUMBER(H560),"yes","no")</f>
        <v>yes</v>
      </c>
      <c r="AI560" s="110" t="str">
        <f aca="false">IF(ISNUMBER(I560),"yes","no")</f>
        <v>yes</v>
      </c>
      <c r="AJ560" s="120" t="n">
        <v>46295</v>
      </c>
      <c r="AK560" s="110"/>
    </row>
    <row r="561" customFormat="false" ht="42" hidden="false" customHeight="true" outlineLevel="0" collapsed="false">
      <c r="A561" s="3"/>
      <c r="B561" s="31" t="s">
        <v>60</v>
      </c>
      <c r="C561" s="91" t="s">
        <v>15</v>
      </c>
      <c r="D561" s="91" t="s">
        <v>293</v>
      </c>
      <c r="E561" s="109" t="s">
        <v>1946</v>
      </c>
      <c r="F561" s="92" t="n">
        <v>29</v>
      </c>
      <c r="G561" s="91" t="s">
        <v>244</v>
      </c>
      <c r="H561" s="112" t="n">
        <f aca="false">IF(AND(AE561="yes",ISNUMBER(AD561)),AD561,"")</f>
        <v>29</v>
      </c>
      <c r="I561" s="95" t="n">
        <f aca="false">IF(AND(AE561="yes",ISNUMBER(AD561),ISNUMBER(INDEX(Sources!$G$7:$G$10,MATCH(AB561,Sources!$B$7:$B$10,0)))),ROUND(AD561/INDEX(Sources!$G$7:$G$10,MATCH(AB561,Sources!$B$7:$B$10,0)),6),"")</f>
        <v>29</v>
      </c>
      <c r="J561" s="91" t="s">
        <v>702</v>
      </c>
      <c r="K561" s="91" t="s">
        <v>586</v>
      </c>
      <c r="L561" s="96"/>
      <c r="M561" s="109" t="s">
        <v>1947</v>
      </c>
      <c r="N561" s="113" t="s">
        <v>1948</v>
      </c>
      <c r="O561" s="109" t="s">
        <v>589</v>
      </c>
      <c r="P561" s="109" t="s">
        <v>590</v>
      </c>
      <c r="Q561" s="114"/>
      <c r="R561" s="109" t="n">
        <v>1</v>
      </c>
      <c r="S561" s="109"/>
      <c r="T561" s="109" t="s">
        <v>702</v>
      </c>
      <c r="U561" s="109" t="s">
        <v>1535</v>
      </c>
      <c r="V561" s="115" t="n">
        <v>29</v>
      </c>
      <c r="W561" s="115"/>
      <c r="X561" s="109" t="s">
        <v>1536</v>
      </c>
      <c r="Y561" s="109"/>
      <c r="Z561" s="109"/>
      <c r="AA561" s="109"/>
      <c r="AB561" s="109" t="s">
        <v>244</v>
      </c>
      <c r="AC561" s="109" t="s">
        <v>538</v>
      </c>
      <c r="AD561" s="109" t="n">
        <f aca="false">IF(ISNUMBER(V561),ROUND(V561,6),"")</f>
        <v>29</v>
      </c>
      <c r="AE561" s="109" t="str">
        <f aca="false">IF(AND(AC561="yes",ISNUMBER(F561),IF(Compare!$H$5="All mapped",TRUE(),IF(Compare!$H$5="EXACT only",J561="EXACT",OR(J561="EXACT",J561="CLOSE")))),"yes","no")</f>
        <v>yes</v>
      </c>
      <c r="AF561" s="109" t="n">
        <f aca="false">IF(ISNUMBER(H561),COUNTIFS($B$7:$B$3000,B561,$C$7:$C$3000,C561,$H$7:$H$3000,"&lt;"&amp;H561,$AH$7:$AH$3000,"yes")+COUNTIFS($B$7:B561,B561,$C$7:C561,C561,$H$7:H561,H561,$AH$7:AH561,"yes"),"")</f>
        <v>6</v>
      </c>
      <c r="AG561" s="109" t="n">
        <f aca="false">IF(ISNUMBER(I561),COUNTIFS($B$7:$B$3000,B561,$C$7:$C$3000,C561,$I$7:$I$3000,"&lt;"&amp;I561,$AI$7:$AI$3000,"yes")+COUNTIFS($B$7:B561,B561,$C$7:C561,C561,$I$7:I561,I561,$AI$7:AI561,"yes"),"")</f>
        <v>6</v>
      </c>
      <c r="AH561" s="109" t="str">
        <f aca="false">IF(ISNUMBER(H561),"yes","no")</f>
        <v>yes</v>
      </c>
      <c r="AI561" s="109" t="str">
        <f aca="false">IF(ISNUMBER(I561),"yes","no")</f>
        <v>yes</v>
      </c>
      <c r="AJ561" s="116" t="n">
        <v>46295</v>
      </c>
      <c r="AK561" s="109"/>
    </row>
    <row r="562" customFormat="false" ht="42" hidden="false" customHeight="true" outlineLevel="0" collapsed="false">
      <c r="A562" s="3"/>
      <c r="B562" s="36" t="s">
        <v>60</v>
      </c>
      <c r="C562" s="98" t="s">
        <v>17</v>
      </c>
      <c r="D562" s="98" t="s">
        <v>354</v>
      </c>
      <c r="E562" s="110" t="s">
        <v>1949</v>
      </c>
      <c r="F562" s="99" t="n">
        <v>632.57</v>
      </c>
      <c r="G562" s="98" t="s">
        <v>333</v>
      </c>
      <c r="H562" s="112" t="n">
        <f aca="false">IF(AND(AE562="yes",ISNUMBER(AD562)),AD562,"")</f>
        <v>632.57</v>
      </c>
      <c r="I562" s="95" t="n">
        <f aca="false">IF(AND(AE562="yes",ISNUMBER(AD562),ISNUMBER(INDEX(Sources!$G$7:$G$10,MATCH(AB562,Sources!$B$7:$B$10,0)))),ROUND(AD562/INDEX(Sources!$G$7:$G$10,MATCH(AB562,Sources!$B$7:$B$10,0)),6),"")</f>
        <v>25.899933</v>
      </c>
      <c r="J562" s="98" t="s">
        <v>702</v>
      </c>
      <c r="K562" s="98" t="s">
        <v>586</v>
      </c>
      <c r="L562" s="96"/>
      <c r="M562" s="110" t="s">
        <v>1950</v>
      </c>
      <c r="N562" s="117" t="s">
        <v>1951</v>
      </c>
      <c r="O562" s="110" t="s">
        <v>610</v>
      </c>
      <c r="P562" s="110" t="s">
        <v>590</v>
      </c>
      <c r="Q562" s="118" t="n">
        <v>0.19</v>
      </c>
      <c r="R562" s="110" t="n">
        <v>1</v>
      </c>
      <c r="S562" s="110" t="s">
        <v>632</v>
      </c>
      <c r="T562" s="110" t="s">
        <v>702</v>
      </c>
      <c r="U562" s="110" t="s">
        <v>1535</v>
      </c>
      <c r="V562" s="119"/>
      <c r="W562" s="119"/>
      <c r="X562" s="110" t="s">
        <v>1555</v>
      </c>
      <c r="Y562" s="110"/>
      <c r="Z562" s="110"/>
      <c r="AA562" s="110"/>
      <c r="AB562" s="110" t="s">
        <v>333</v>
      </c>
      <c r="AC562" s="110" t="s">
        <v>538</v>
      </c>
      <c r="AD562" s="110" t="n">
        <f aca="false">IF(OR(F562="",Q562="",R562=""),"",ROUND(IF(P562="incl.",F562/(1+Q562),F562)/IF(S562="per pack",R562,1),2))</f>
        <v>632.57</v>
      </c>
      <c r="AE562" s="110" t="str">
        <f aca="false">IF(AND(AC562="yes",ISNUMBER(F562),IF(Compare!$H$5="All mapped",TRUE(),IF(Compare!$H$5="EXACT only",J562="EXACT",OR(J562="EXACT",J562="CLOSE")))),"yes","no")</f>
        <v>yes</v>
      </c>
      <c r="AF562" s="110" t="n">
        <f aca="false">IF(ISNUMBER(H562),COUNTIFS($B$7:$B$3000,B562,$C$7:$C$3000,C562,$H$7:$H$3000,"&lt;"&amp;H562,$AH$7:$AH$3000,"yes")+COUNTIFS($B$7:B562,B562,$C$7:C562,C562,$H$7:H562,H562,$AH$7:AH562,"yes"),"")</f>
        <v>2</v>
      </c>
      <c r="AG562" s="110" t="n">
        <f aca="false">IF(ISNUMBER(I562),COUNTIFS($B$7:$B$3000,B562,$C$7:$C$3000,C562,$I$7:$I$3000,"&lt;"&amp;I562,$AI$7:$AI$3000,"yes")+COUNTIFS($B$7:B562,B562,$C$7:C562,C562,$I$7:I562,I562,$AI$7:AI562,"yes"),"")</f>
        <v>2</v>
      </c>
      <c r="AH562" s="110" t="str">
        <f aca="false">IF(ISNUMBER(H562),"yes","no")</f>
        <v>yes</v>
      </c>
      <c r="AI562" s="110" t="str">
        <f aca="false">IF(ISNUMBER(I562),"yes","no")</f>
        <v>yes</v>
      </c>
      <c r="AJ562" s="120" t="n">
        <v>46295</v>
      </c>
      <c r="AK562" s="110"/>
    </row>
    <row r="563" customFormat="false" ht="42" hidden="false" customHeight="true" outlineLevel="0" collapsed="false">
      <c r="A563" s="3"/>
      <c r="B563" s="31" t="s">
        <v>60</v>
      </c>
      <c r="C563" s="91" t="s">
        <v>17</v>
      </c>
      <c r="D563" s="91" t="s">
        <v>332</v>
      </c>
      <c r="E563" s="109" t="s">
        <v>1065</v>
      </c>
      <c r="F563" s="92" t="n">
        <v>1090</v>
      </c>
      <c r="G563" s="91" t="s">
        <v>333</v>
      </c>
      <c r="H563" s="112" t="n">
        <f aca="false">IF(AND(AE563="yes",ISNUMBER(AD563)),AD563,"")</f>
        <v>1090</v>
      </c>
      <c r="I563" s="95" t="n">
        <f aca="false">IF(AND(AE563="yes",ISNUMBER(AD563),ISNUMBER(INDEX(Sources!$G$7:$G$10,MATCH(AB563,Sources!$B$7:$B$10,0)))),ROUND(AD563/INDEX(Sources!$G$7:$G$10,MATCH(AB563,Sources!$B$7:$B$10,0)),6),"")</f>
        <v>44.628937</v>
      </c>
      <c r="J563" s="91" t="s">
        <v>702</v>
      </c>
      <c r="K563" s="91" t="s">
        <v>586</v>
      </c>
      <c r="L563" s="96"/>
      <c r="M563" s="109" t="s">
        <v>1952</v>
      </c>
      <c r="N563" s="113" t="s">
        <v>1067</v>
      </c>
      <c r="O563" s="109"/>
      <c r="P563" s="109" t="s">
        <v>590</v>
      </c>
      <c r="Q563" s="114" t="n">
        <v>0.21</v>
      </c>
      <c r="R563" s="109" t="n">
        <v>1</v>
      </c>
      <c r="S563" s="109" t="s">
        <v>632</v>
      </c>
      <c r="T563" s="109" t="s">
        <v>702</v>
      </c>
      <c r="U563" s="109" t="s">
        <v>1535</v>
      </c>
      <c r="V563" s="115"/>
      <c r="W563" s="115"/>
      <c r="X563" s="109" t="s">
        <v>1555</v>
      </c>
      <c r="Y563" s="109"/>
      <c r="Z563" s="109"/>
      <c r="AA563" s="109"/>
      <c r="AB563" s="109" t="s">
        <v>333</v>
      </c>
      <c r="AC563" s="109" t="s">
        <v>538</v>
      </c>
      <c r="AD563" s="109" t="n">
        <f aca="false">IF(OR(F563="",Q563="",R563=""),"",ROUND(IF(P563="incl.",F563/(1+Q563),F563)/IF(S563="per pack",R563,1),2))</f>
        <v>1090</v>
      </c>
      <c r="AE563" s="109" t="str">
        <f aca="false">IF(AND(AC563="yes",ISNUMBER(F563),IF(Compare!$H$5="All mapped",TRUE(),IF(Compare!$H$5="EXACT only",J563="EXACT",OR(J563="EXACT",J563="CLOSE")))),"yes","no")</f>
        <v>yes</v>
      </c>
      <c r="AF563" s="109" t="n">
        <f aca="false">IF(ISNUMBER(H563),COUNTIFS($B$7:$B$3000,B563,$C$7:$C$3000,C563,$H$7:$H$3000,"&lt;"&amp;H563,$AH$7:$AH$3000,"yes")+COUNTIFS($B$7:B563,B563,$C$7:C563,C563,$H$7:H563,H563,$AH$7:AH563,"yes"),"")</f>
        <v>4</v>
      </c>
      <c r="AG563" s="109" t="n">
        <f aca="false">IF(ISNUMBER(I563),COUNTIFS($B$7:$B$3000,B563,$C$7:$C$3000,C563,$I$7:$I$3000,"&lt;"&amp;I563,$AI$7:$AI$3000,"yes")+COUNTIFS($B$7:B563,B563,$C$7:C563,C563,$I$7:I563,I563,$AI$7:AI563,"yes"),"")</f>
        <v>4</v>
      </c>
      <c r="AH563" s="109" t="str">
        <f aca="false">IF(ISNUMBER(H563),"yes","no")</f>
        <v>yes</v>
      </c>
      <c r="AI563" s="109" t="str">
        <f aca="false">IF(ISNUMBER(I563),"yes","no")</f>
        <v>yes</v>
      </c>
      <c r="AJ563" s="116" t="n">
        <v>46295</v>
      </c>
      <c r="AK563" s="109"/>
    </row>
    <row r="564" customFormat="false" ht="48.75" hidden="false" customHeight="true" outlineLevel="0" collapsed="false">
      <c r="A564" s="3"/>
      <c r="B564" s="36" t="s">
        <v>60</v>
      </c>
      <c r="C564" s="98" t="s">
        <v>17</v>
      </c>
      <c r="D564" s="98" t="s">
        <v>342</v>
      </c>
      <c r="E564" s="110" t="s">
        <v>1953</v>
      </c>
      <c r="F564" s="99" t="n">
        <v>653</v>
      </c>
      <c r="G564" s="98" t="s">
        <v>333</v>
      </c>
      <c r="H564" s="112" t="n">
        <f aca="false">IF(AND(AE564="yes",ISNUMBER(AD564)),AD564,"")</f>
        <v>539.67</v>
      </c>
      <c r="I564" s="95" t="n">
        <f aca="false">IF(AND(AE564="yes",ISNUMBER(AD564),ISNUMBER(INDEX(Sources!$G$7:$G$10,MATCH(AB564,Sources!$B$7:$B$10,0)))),ROUND(AD564/INDEX(Sources!$G$7:$G$10,MATCH(AB564,Sources!$B$7:$B$10,0)),6),"")</f>
        <v>22.096237</v>
      </c>
      <c r="J564" s="98" t="s">
        <v>702</v>
      </c>
      <c r="K564" s="98" t="s">
        <v>586</v>
      </c>
      <c r="L564" s="96"/>
      <c r="M564" s="110" t="s">
        <v>1954</v>
      </c>
      <c r="N564" s="117" t="s">
        <v>1955</v>
      </c>
      <c r="O564" s="110" t="s">
        <v>733</v>
      </c>
      <c r="P564" s="110" t="s">
        <v>265</v>
      </c>
      <c r="Q564" s="118" t="n">
        <v>0.21</v>
      </c>
      <c r="R564" s="110" t="n">
        <v>1</v>
      </c>
      <c r="S564" s="110" t="s">
        <v>632</v>
      </c>
      <c r="T564" s="110" t="s">
        <v>702</v>
      </c>
      <c r="U564" s="110" t="s">
        <v>1535</v>
      </c>
      <c r="V564" s="119"/>
      <c r="W564" s="119"/>
      <c r="X564" s="110" t="s">
        <v>1555</v>
      </c>
      <c r="Y564" s="110"/>
      <c r="Z564" s="110"/>
      <c r="AA564" s="110"/>
      <c r="AB564" s="110" t="s">
        <v>333</v>
      </c>
      <c r="AC564" s="110" t="s">
        <v>538</v>
      </c>
      <c r="AD564" s="110" t="n">
        <f aca="false">IF(OR(F564="",Q564="",R564=""),"",ROUND(IF(P564="incl.",F564/(1+Q564),F564)/IF(S564="per pack",R564,1),2))</f>
        <v>539.67</v>
      </c>
      <c r="AE564" s="110" t="str">
        <f aca="false">IF(AND(AC564="yes",ISNUMBER(F564),IF(Compare!$H$5="All mapped",TRUE(),IF(Compare!$H$5="EXACT only",J564="EXACT",OR(J564="EXACT",J564="CLOSE")))),"yes","no")</f>
        <v>yes</v>
      </c>
      <c r="AF564" s="110" t="n">
        <f aca="false">IF(ISNUMBER(H564),COUNTIFS($B$7:$B$3000,B564,$C$7:$C$3000,C564,$H$7:$H$3000,"&lt;"&amp;H564,$AH$7:$AH$3000,"yes")+COUNTIFS($B$7:B564,B564,$C$7:C564,C564,$H$7:H564,H564,$AH$7:AH564,"yes"),"")</f>
        <v>1</v>
      </c>
      <c r="AG564" s="110" t="n">
        <f aca="false">IF(ISNUMBER(I564),COUNTIFS($B$7:$B$3000,B564,$C$7:$C$3000,C564,$I$7:$I$3000,"&lt;"&amp;I564,$AI$7:$AI$3000,"yes")+COUNTIFS($B$7:B564,B564,$C$7:C564,C564,$I$7:I564,I564,$AI$7:AI564,"yes"),"")</f>
        <v>1</v>
      </c>
      <c r="AH564" s="110" t="str">
        <f aca="false">IF(ISNUMBER(H564),"yes","no")</f>
        <v>yes</v>
      </c>
      <c r="AI564" s="110" t="str">
        <f aca="false">IF(ISNUMBER(I564),"yes","no")</f>
        <v>yes</v>
      </c>
      <c r="AJ564" s="120" t="n">
        <v>46295</v>
      </c>
      <c r="AK564" s="110"/>
    </row>
    <row r="565" customFormat="false" ht="42" hidden="false" customHeight="true" outlineLevel="0" collapsed="false">
      <c r="A565" s="3"/>
      <c r="B565" s="31" t="s">
        <v>60</v>
      </c>
      <c r="C565" s="91" t="s">
        <v>17</v>
      </c>
      <c r="D565" s="91" t="s">
        <v>346</v>
      </c>
      <c r="E565" s="109" t="s">
        <v>1956</v>
      </c>
      <c r="F565" s="92" t="n">
        <v>1531</v>
      </c>
      <c r="G565" s="91" t="s">
        <v>333</v>
      </c>
      <c r="H565" s="112" t="n">
        <f aca="false">IF(AND(AE565="yes",ISNUMBER(AD565)),AD565,"")</f>
        <v>1265.29</v>
      </c>
      <c r="I565" s="95" t="n">
        <f aca="false">IF(AND(AE565="yes",ISNUMBER(AD565),ISNUMBER(INDEX(Sources!$G$7:$G$10,MATCH(AB565,Sources!$B$7:$B$10,0)))),ROUND(AD565/INDEX(Sources!$G$7:$G$10,MATCH(AB565,Sources!$B$7:$B$10,0)),6),"")</f>
        <v>51.806007</v>
      </c>
      <c r="J565" s="91" t="s">
        <v>702</v>
      </c>
      <c r="K565" s="91" t="s">
        <v>586</v>
      </c>
      <c r="L565" s="96"/>
      <c r="M565" s="109" t="s">
        <v>1957</v>
      </c>
      <c r="N565" s="113" t="s">
        <v>1073</v>
      </c>
      <c r="O565" s="109" t="s">
        <v>1074</v>
      </c>
      <c r="P565" s="109" t="s">
        <v>265</v>
      </c>
      <c r="Q565" s="114" t="n">
        <v>0.21</v>
      </c>
      <c r="R565" s="109" t="n">
        <v>1</v>
      </c>
      <c r="S565" s="109" t="s">
        <v>632</v>
      </c>
      <c r="T565" s="109" t="s">
        <v>702</v>
      </c>
      <c r="U565" s="109" t="s">
        <v>1535</v>
      </c>
      <c r="V565" s="115"/>
      <c r="W565" s="115"/>
      <c r="X565" s="109" t="s">
        <v>1555</v>
      </c>
      <c r="Y565" s="109"/>
      <c r="Z565" s="109"/>
      <c r="AA565" s="109"/>
      <c r="AB565" s="109" t="s">
        <v>333</v>
      </c>
      <c r="AC565" s="109" t="s">
        <v>538</v>
      </c>
      <c r="AD565" s="109" t="n">
        <f aca="false">IF(OR(F565="",Q565="",R565=""),"",ROUND(IF(P565="incl.",F565/(1+Q565),F565)/IF(S565="per pack",R565,1),2))</f>
        <v>1265.29</v>
      </c>
      <c r="AE565" s="109" t="str">
        <f aca="false">IF(AND(AC565="yes",ISNUMBER(F565),IF(Compare!$H$5="All mapped",TRUE(),IF(Compare!$H$5="EXACT only",J565="EXACT",OR(J565="EXACT",J565="CLOSE")))),"yes","no")</f>
        <v>yes</v>
      </c>
      <c r="AF565" s="109" t="n">
        <f aca="false">IF(ISNUMBER(H565),COUNTIFS($B$7:$B$3000,B565,$C$7:$C$3000,C565,$H$7:$H$3000,"&lt;"&amp;H565,$AH$7:$AH$3000,"yes")+COUNTIFS($B$7:B565,B565,$C$7:C565,C565,$H$7:H565,H565,$AH$7:AH565,"yes"),"")</f>
        <v>5</v>
      </c>
      <c r="AG565" s="109" t="n">
        <f aca="false">IF(ISNUMBER(I565),COUNTIFS($B$7:$B$3000,B565,$C$7:$C$3000,C565,$I$7:$I$3000,"&lt;"&amp;I565,$AI$7:$AI$3000,"yes")+COUNTIFS($B$7:B565,B565,$C$7:C565,C565,$I$7:I565,I565,$AI$7:AI565,"yes"),"")</f>
        <v>5</v>
      </c>
      <c r="AH565" s="109" t="str">
        <f aca="false">IF(ISNUMBER(H565),"yes","no")</f>
        <v>yes</v>
      </c>
      <c r="AI565" s="109" t="str">
        <f aca="false">IF(ISNUMBER(I565),"yes","no")</f>
        <v>yes</v>
      </c>
      <c r="AJ565" s="116" t="n">
        <v>46295</v>
      </c>
      <c r="AK565" s="109"/>
    </row>
    <row r="566" customFormat="false" ht="42" hidden="false" customHeight="true" outlineLevel="0" collapsed="false">
      <c r="A566" s="3"/>
      <c r="B566" s="36" t="s">
        <v>60</v>
      </c>
      <c r="C566" s="98" t="s">
        <v>17</v>
      </c>
      <c r="D566" s="98" t="s">
        <v>361</v>
      </c>
      <c r="E566" s="110" t="s">
        <v>1075</v>
      </c>
      <c r="F566" s="99" t="n">
        <v>1016</v>
      </c>
      <c r="G566" s="98" t="s">
        <v>333</v>
      </c>
      <c r="H566" s="112" t="str">
        <f aca="false">IF(AND(AE566="yes",ISNUMBER(AD566)),AD566,"")</f>
        <v/>
      </c>
      <c r="I566" s="95" t="str">
        <f aca="false">IF(AND(AE566="yes",ISNUMBER(AD566),ISNUMBER(INDEX(Sources!$G$7:$G$10,MATCH(AB566,Sources!$B$7:$B$10,0)))),ROUND(AD566/INDEX(Sources!$G$7:$G$10,MATCH(AB566,Sources!$B$7:$B$10,0)),6),"")</f>
        <v/>
      </c>
      <c r="J566" s="98" t="s">
        <v>629</v>
      </c>
      <c r="K566" s="98" t="s">
        <v>586</v>
      </c>
      <c r="L566" s="96"/>
      <c r="M566" s="110" t="s">
        <v>1958</v>
      </c>
      <c r="N566" s="117" t="s">
        <v>1077</v>
      </c>
      <c r="O566" s="110" t="s">
        <v>361</v>
      </c>
      <c r="P566" s="110" t="s">
        <v>265</v>
      </c>
      <c r="Q566" s="118" t="n">
        <v>0.21</v>
      </c>
      <c r="R566" s="110" t="n">
        <v>1</v>
      </c>
      <c r="S566" s="110" t="s">
        <v>632</v>
      </c>
      <c r="T566" s="110" t="s">
        <v>629</v>
      </c>
      <c r="U566" s="110" t="s">
        <v>1535</v>
      </c>
      <c r="V566" s="119"/>
      <c r="W566" s="119"/>
      <c r="X566" s="110" t="s">
        <v>1555</v>
      </c>
      <c r="Y566" s="110"/>
      <c r="Z566" s="110"/>
      <c r="AA566" s="110"/>
      <c r="AB566" s="110" t="s">
        <v>333</v>
      </c>
      <c r="AC566" s="110" t="s">
        <v>538</v>
      </c>
      <c r="AD566" s="110" t="n">
        <f aca="false">IF(OR(F566="",Q566="",R566=""),"",ROUND(IF(P566="incl.",F566/(1+Q566),F566)/IF(S566="per pack",R566,1),2))</f>
        <v>839.67</v>
      </c>
      <c r="AE566" s="110" t="str">
        <f aca="false">IF(AND(AC566="yes",ISNUMBER(F566),IF(Compare!$H$5="All mapped",TRUE(),IF(Compare!$H$5="EXACT only",J566="EXACT",OR(J566="EXACT",J566="CLOSE")))),"yes","no")</f>
        <v>no</v>
      </c>
      <c r="AF566" s="110" t="str">
        <f aca="false">IF(ISNUMBER(H566),COUNTIFS($B$7:$B$3000,B566,$C$7:$C$3000,C566,$H$7:$H$3000,"&lt;"&amp;H566,$AH$7:$AH$3000,"yes")+COUNTIFS($B$7:B566,B566,$C$7:C566,C566,$H$7:H566,H566,$AH$7:AH566,"yes"),"")</f>
        <v/>
      </c>
      <c r="AG566" s="110" t="str">
        <f aca="false">IF(ISNUMBER(I566),COUNTIFS($B$7:$B$3000,B566,$C$7:$C$3000,C566,$I$7:$I$3000,"&lt;"&amp;I566,$AI$7:$AI$3000,"yes")+COUNTIFS($B$7:B566,B566,$C$7:C566,C566,$I$7:I566,I566,$AI$7:AI566,"yes"),"")</f>
        <v/>
      </c>
      <c r="AH566" s="110" t="str">
        <f aca="false">IF(ISNUMBER(H566),"yes","no")</f>
        <v>no</v>
      </c>
      <c r="AI566" s="110" t="str">
        <f aca="false">IF(ISNUMBER(I566),"yes","no")</f>
        <v>no</v>
      </c>
      <c r="AJ566" s="120" t="n">
        <v>46295</v>
      </c>
      <c r="AK566" s="110"/>
    </row>
    <row r="567" customFormat="false" ht="42" hidden="false" customHeight="true" outlineLevel="0" collapsed="false">
      <c r="A567" s="3"/>
      <c r="B567" s="31" t="s">
        <v>61</v>
      </c>
      <c r="C567" s="91" t="s">
        <v>15</v>
      </c>
      <c r="D567" s="91" t="s">
        <v>243</v>
      </c>
      <c r="E567" s="109" t="s">
        <v>1959</v>
      </c>
      <c r="F567" s="92" t="n">
        <v>3.38</v>
      </c>
      <c r="G567" s="91" t="s">
        <v>244</v>
      </c>
      <c r="H567" s="112" t="n">
        <f aca="false">IF(AND(AE567="yes",ISNUMBER(AD567)),AD567,"")</f>
        <v>3.38</v>
      </c>
      <c r="I567" s="95" t="n">
        <f aca="false">IF(AND(AE567="yes",ISNUMBER(AD567),ISNUMBER(INDEX(Sources!$G$7:$G$10,MATCH(AB567,Sources!$B$7:$B$10,0)))),ROUND(AD567/INDEX(Sources!$G$7:$G$10,MATCH(AB567,Sources!$B$7:$B$10,0)),6),"")</f>
        <v>3.38</v>
      </c>
      <c r="J567" s="91" t="s">
        <v>702</v>
      </c>
      <c r="K567" s="91" t="s">
        <v>586</v>
      </c>
      <c r="L567" s="96"/>
      <c r="M567" s="109" t="s">
        <v>1960</v>
      </c>
      <c r="N567" s="113" t="s">
        <v>1961</v>
      </c>
      <c r="O567" s="109" t="s">
        <v>388</v>
      </c>
      <c r="P567" s="109" t="s">
        <v>590</v>
      </c>
      <c r="Q567" s="114"/>
      <c r="R567" s="109" t="n">
        <v>1</v>
      </c>
      <c r="S567" s="109"/>
      <c r="T567" s="109" t="s">
        <v>702</v>
      </c>
      <c r="U567" s="109" t="s">
        <v>1535</v>
      </c>
      <c r="V567" s="115" t="n">
        <v>3.38</v>
      </c>
      <c r="W567" s="115"/>
      <c r="X567" s="109" t="s">
        <v>1536</v>
      </c>
      <c r="Y567" s="109"/>
      <c r="Z567" s="109"/>
      <c r="AA567" s="109"/>
      <c r="AB567" s="109" t="s">
        <v>244</v>
      </c>
      <c r="AC567" s="109" t="s">
        <v>538</v>
      </c>
      <c r="AD567" s="109" t="n">
        <f aca="false">IF(ISNUMBER(V567),ROUND(V567,6),"")</f>
        <v>3.38</v>
      </c>
      <c r="AE567" s="109" t="str">
        <f aca="false">IF(AND(AC567="yes",ISNUMBER(F567),IF(Compare!$H$5="All mapped",TRUE(),IF(Compare!$H$5="EXACT only",J567="EXACT",OR(J567="EXACT",J567="CLOSE")))),"yes","no")</f>
        <v>yes</v>
      </c>
      <c r="AF567" s="109" t="n">
        <f aca="false">IF(ISNUMBER(H567),COUNTIFS($B$7:$B$3000,B567,$C$7:$C$3000,C567,$H$7:$H$3000,"&lt;"&amp;H567,$AH$7:$AH$3000,"yes")+COUNTIFS($B$7:B567,B567,$C$7:C567,C567,$H$7:H567,H567,$AH$7:AH567,"yes"),"")</f>
        <v>6</v>
      </c>
      <c r="AG567" s="109" t="n">
        <f aca="false">IF(ISNUMBER(I567),COUNTIFS($B$7:$B$3000,B567,$C$7:$C$3000,C567,$I$7:$I$3000,"&lt;"&amp;I567,$AI$7:$AI$3000,"yes")+COUNTIFS($B$7:B567,B567,$C$7:C567,C567,$I$7:I567,I567,$AI$7:AI567,"yes"),"")</f>
        <v>6</v>
      </c>
      <c r="AH567" s="109" t="str">
        <f aca="false">IF(ISNUMBER(H567),"yes","no")</f>
        <v>yes</v>
      </c>
      <c r="AI567" s="109" t="str">
        <f aca="false">IF(ISNUMBER(I567),"yes","no")</f>
        <v>yes</v>
      </c>
      <c r="AJ567" s="116" t="n">
        <v>46295</v>
      </c>
      <c r="AK567" s="109"/>
    </row>
    <row r="568" customFormat="false" ht="42" hidden="false" customHeight="true" outlineLevel="0" collapsed="false">
      <c r="A568" s="3"/>
      <c r="B568" s="36" t="s">
        <v>61</v>
      </c>
      <c r="C568" s="98" t="s">
        <v>15</v>
      </c>
      <c r="D568" s="98" t="s">
        <v>277</v>
      </c>
      <c r="E568" s="110" t="s">
        <v>1962</v>
      </c>
      <c r="F568" s="99" t="n">
        <v>18.99</v>
      </c>
      <c r="G568" s="98" t="s">
        <v>244</v>
      </c>
      <c r="H568" s="112" t="n">
        <f aca="false">IF(AND(AE568="yes",ISNUMBER(AD568)),AD568,"")</f>
        <v>3.16</v>
      </c>
      <c r="I568" s="95" t="n">
        <f aca="false">IF(AND(AE568="yes",ISNUMBER(AD568),ISNUMBER(INDEX(Sources!$G$7:$G$10,MATCH(AB568,Sources!$B$7:$B$10,0)))),ROUND(AD568/INDEX(Sources!$G$7:$G$10,MATCH(AB568,Sources!$B$7:$B$10,0)),6),"")</f>
        <v>3.16</v>
      </c>
      <c r="J568" s="98" t="s">
        <v>530</v>
      </c>
      <c r="K568" s="98" t="s">
        <v>586</v>
      </c>
      <c r="L568" s="96"/>
      <c r="M568" s="110"/>
      <c r="N568" s="117" t="s">
        <v>1963</v>
      </c>
      <c r="O568" s="110" t="s">
        <v>642</v>
      </c>
      <c r="P568" s="110" t="s">
        <v>590</v>
      </c>
      <c r="Q568" s="118"/>
      <c r="R568" s="110" t="n">
        <v>6</v>
      </c>
      <c r="S568" s="110" t="s">
        <v>611</v>
      </c>
      <c r="T568" s="110" t="s">
        <v>530</v>
      </c>
      <c r="U568" s="110" t="s">
        <v>1535</v>
      </c>
      <c r="V568" s="119" t="n">
        <v>3.16</v>
      </c>
      <c r="W568" s="119"/>
      <c r="X568" s="110" t="s">
        <v>1536</v>
      </c>
      <c r="Y568" s="110"/>
      <c r="Z568" s="110"/>
      <c r="AA568" s="110"/>
      <c r="AB568" s="110" t="s">
        <v>244</v>
      </c>
      <c r="AC568" s="110" t="s">
        <v>538</v>
      </c>
      <c r="AD568" s="110" t="n">
        <f aca="false">IF(ISNUMBER(V568),ROUND(V568,6),"")</f>
        <v>3.16</v>
      </c>
      <c r="AE568" s="110" t="str">
        <f aca="false">IF(AND(AC568="yes",ISNUMBER(F568),IF(Compare!$H$5="All mapped",TRUE(),IF(Compare!$H$5="EXACT only",J568="EXACT",OR(J568="EXACT",J568="CLOSE")))),"yes","no")</f>
        <v>yes</v>
      </c>
      <c r="AF568" s="110" t="n">
        <f aca="false">IF(ISNUMBER(H568),COUNTIFS($B$7:$B$3000,B568,$C$7:$C$3000,C568,$H$7:$H$3000,"&lt;"&amp;H568,$AH$7:$AH$3000,"yes")+COUNTIFS($B$7:B568,B568,$C$7:C568,C568,$H$7:H568,H568,$AH$7:AH568,"yes"),"")</f>
        <v>5</v>
      </c>
      <c r="AG568" s="110" t="n">
        <f aca="false">IF(ISNUMBER(I568),COUNTIFS($B$7:$B$3000,B568,$C$7:$C$3000,C568,$I$7:$I$3000,"&lt;"&amp;I568,$AI$7:$AI$3000,"yes")+COUNTIFS($B$7:B568,B568,$C$7:C568,C568,$I$7:I568,I568,$AI$7:AI568,"yes"),"")</f>
        <v>5</v>
      </c>
      <c r="AH568" s="110" t="str">
        <f aca="false">IF(ISNUMBER(H568),"yes","no")</f>
        <v>yes</v>
      </c>
      <c r="AI568" s="110" t="str">
        <f aca="false">IF(ISNUMBER(I568),"yes","no")</f>
        <v>yes</v>
      </c>
      <c r="AJ568" s="120" t="n">
        <v>46295</v>
      </c>
      <c r="AK568" s="110"/>
    </row>
    <row r="569" customFormat="false" ht="42" hidden="false" customHeight="true" outlineLevel="0" collapsed="false">
      <c r="A569" s="3"/>
      <c r="B569" s="31" t="s">
        <v>61</v>
      </c>
      <c r="C569" s="91" t="s">
        <v>15</v>
      </c>
      <c r="D569" s="91" t="s">
        <v>257</v>
      </c>
      <c r="E569" s="109" t="s">
        <v>1964</v>
      </c>
      <c r="F569" s="92" t="n">
        <v>2.65</v>
      </c>
      <c r="G569" s="91" t="s">
        <v>244</v>
      </c>
      <c r="H569" s="112" t="n">
        <f aca="false">IF(AND(AE569="yes",ISNUMBER(AD569)),AD569,"")</f>
        <v>2.65</v>
      </c>
      <c r="I569" s="95" t="n">
        <f aca="false">IF(AND(AE569="yes",ISNUMBER(AD569),ISNUMBER(INDEX(Sources!$G$7:$G$10,MATCH(AB569,Sources!$B$7:$B$10,0)))),ROUND(AD569/INDEX(Sources!$G$7:$G$10,MATCH(AB569,Sources!$B$7:$B$10,0)),6),"")</f>
        <v>2.65</v>
      </c>
      <c r="J569" s="91" t="s">
        <v>530</v>
      </c>
      <c r="K569" s="91" t="s">
        <v>586</v>
      </c>
      <c r="L569" s="96"/>
      <c r="M569" s="109"/>
      <c r="N569" s="113" t="s">
        <v>1965</v>
      </c>
      <c r="O569" s="109" t="s">
        <v>388</v>
      </c>
      <c r="P569" s="109" t="s">
        <v>590</v>
      </c>
      <c r="Q569" s="114"/>
      <c r="R569" s="109" t="n">
        <v>1</v>
      </c>
      <c r="S569" s="109"/>
      <c r="T569" s="109" t="s">
        <v>530</v>
      </c>
      <c r="U569" s="109" t="s">
        <v>1535</v>
      </c>
      <c r="V569" s="115" t="n">
        <v>2.65</v>
      </c>
      <c r="W569" s="115"/>
      <c r="X569" s="109" t="s">
        <v>1536</v>
      </c>
      <c r="Y569" s="109"/>
      <c r="Z569" s="109"/>
      <c r="AA569" s="109"/>
      <c r="AB569" s="109" t="s">
        <v>244</v>
      </c>
      <c r="AC569" s="109" t="s">
        <v>538</v>
      </c>
      <c r="AD569" s="109" t="n">
        <f aca="false">IF(ISNUMBER(V569),ROUND(V569,6),"")</f>
        <v>2.65</v>
      </c>
      <c r="AE569" s="109" t="str">
        <f aca="false">IF(AND(AC569="yes",ISNUMBER(F569),IF(Compare!$H$5="All mapped",TRUE(),IF(Compare!$H$5="EXACT only",J569="EXACT",OR(J569="EXACT",J569="CLOSE")))),"yes","no")</f>
        <v>yes</v>
      </c>
      <c r="AF569" s="109" t="n">
        <f aca="false">IF(ISNUMBER(H569),COUNTIFS($B$7:$B$3000,B569,$C$7:$C$3000,C569,$H$7:$H$3000,"&lt;"&amp;H569,$AH$7:$AH$3000,"yes")+COUNTIFS($B$7:B569,B569,$C$7:C569,C569,$H$7:H569,H569,$AH$7:AH569,"yes"),"")</f>
        <v>3</v>
      </c>
      <c r="AG569" s="109" t="n">
        <f aca="false">IF(ISNUMBER(I569),COUNTIFS($B$7:$B$3000,B569,$C$7:$C$3000,C569,$I$7:$I$3000,"&lt;"&amp;I569,$AI$7:$AI$3000,"yes")+COUNTIFS($B$7:B569,B569,$C$7:C569,C569,$I$7:I569,I569,$AI$7:AI569,"yes"),"")</f>
        <v>3</v>
      </c>
      <c r="AH569" s="109" t="str">
        <f aca="false">IF(ISNUMBER(H569),"yes","no")</f>
        <v>yes</v>
      </c>
      <c r="AI569" s="109" t="str">
        <f aca="false">IF(ISNUMBER(I569),"yes","no")</f>
        <v>yes</v>
      </c>
      <c r="AJ569" s="116" t="n">
        <v>46295</v>
      </c>
      <c r="AK569" s="109"/>
    </row>
    <row r="570" customFormat="false" ht="42" hidden="false" customHeight="true" outlineLevel="0" collapsed="false">
      <c r="A570" s="3"/>
      <c r="B570" s="36" t="s">
        <v>61</v>
      </c>
      <c r="C570" s="98" t="s">
        <v>15</v>
      </c>
      <c r="D570" s="98" t="s">
        <v>269</v>
      </c>
      <c r="E570" s="110" t="s">
        <v>1966</v>
      </c>
      <c r="F570" s="99" t="n">
        <v>5.59</v>
      </c>
      <c r="G570" s="98" t="s">
        <v>244</v>
      </c>
      <c r="H570" s="112" t="n">
        <f aca="false">IF(AND(AE570="yes",ISNUMBER(AD570)),AD570,"")</f>
        <v>5.59</v>
      </c>
      <c r="I570" s="95" t="n">
        <f aca="false">IF(AND(AE570="yes",ISNUMBER(AD570),ISNUMBER(INDEX(Sources!$G$7:$G$10,MATCH(AB570,Sources!$B$7:$B$10,0)))),ROUND(AD570/INDEX(Sources!$G$7:$G$10,MATCH(AB570,Sources!$B$7:$B$10,0)),6),"")</f>
        <v>5.59</v>
      </c>
      <c r="J570" s="98" t="s">
        <v>530</v>
      </c>
      <c r="K570" s="98" t="s">
        <v>586</v>
      </c>
      <c r="L570" s="96"/>
      <c r="M570" s="110" t="s">
        <v>1618</v>
      </c>
      <c r="N570" s="117" t="s">
        <v>1967</v>
      </c>
      <c r="O570" s="110" t="s">
        <v>589</v>
      </c>
      <c r="P570" s="110" t="s">
        <v>590</v>
      </c>
      <c r="Q570" s="118"/>
      <c r="R570" s="110" t="n">
        <v>1</v>
      </c>
      <c r="S570" s="110"/>
      <c r="T570" s="110" t="s">
        <v>530</v>
      </c>
      <c r="U570" s="110" t="s">
        <v>1535</v>
      </c>
      <c r="V570" s="119" t="n">
        <v>5.59</v>
      </c>
      <c r="W570" s="119"/>
      <c r="X570" s="110" t="s">
        <v>1536</v>
      </c>
      <c r="Y570" s="110"/>
      <c r="Z570" s="110"/>
      <c r="AA570" s="110"/>
      <c r="AB570" s="110" t="s">
        <v>244</v>
      </c>
      <c r="AC570" s="110" t="s">
        <v>538</v>
      </c>
      <c r="AD570" s="110" t="n">
        <f aca="false">IF(ISNUMBER(V570),ROUND(V570,6),"")</f>
        <v>5.59</v>
      </c>
      <c r="AE570" s="110" t="str">
        <f aca="false">IF(AND(AC570="yes",ISNUMBER(F570),IF(Compare!$H$5="All mapped",TRUE(),IF(Compare!$H$5="EXACT only",J570="EXACT",OR(J570="EXACT",J570="CLOSE")))),"yes","no")</f>
        <v>yes</v>
      </c>
      <c r="AF570" s="110" t="n">
        <f aca="false">IF(ISNUMBER(H570),COUNTIFS($B$7:$B$3000,B570,$C$7:$C$3000,C570,$H$7:$H$3000,"&lt;"&amp;H570,$AH$7:$AH$3000,"yes")+COUNTIFS($B$7:B570,B570,$C$7:C570,C570,$H$7:H570,H570,$AH$7:AH570,"yes"),"")</f>
        <v>8</v>
      </c>
      <c r="AG570" s="110" t="n">
        <f aca="false">IF(ISNUMBER(I570),COUNTIFS($B$7:$B$3000,B570,$C$7:$C$3000,C570,$I$7:$I$3000,"&lt;"&amp;I570,$AI$7:$AI$3000,"yes")+COUNTIFS($B$7:B570,B570,$C$7:C570,C570,$I$7:I570,I570,$AI$7:AI570,"yes"),"")</f>
        <v>8</v>
      </c>
      <c r="AH570" s="110" t="str">
        <f aca="false">IF(ISNUMBER(H570),"yes","no")</f>
        <v>yes</v>
      </c>
      <c r="AI570" s="110" t="str">
        <f aca="false">IF(ISNUMBER(I570),"yes","no")</f>
        <v>yes</v>
      </c>
      <c r="AJ570" s="120" t="n">
        <v>46295</v>
      </c>
      <c r="AK570" s="110"/>
    </row>
    <row r="571" customFormat="false" ht="42" hidden="false" customHeight="true" outlineLevel="0" collapsed="false">
      <c r="A571" s="3"/>
      <c r="B571" s="31" t="s">
        <v>61</v>
      </c>
      <c r="C571" s="91" t="s">
        <v>15</v>
      </c>
      <c r="D571" s="91" t="s">
        <v>264</v>
      </c>
      <c r="E571" s="109" t="s">
        <v>1968</v>
      </c>
      <c r="F571" s="92" t="n">
        <v>12</v>
      </c>
      <c r="G571" s="91" t="s">
        <v>244</v>
      </c>
      <c r="H571" s="112" t="n">
        <f aca="false">IF(AND(AE571="yes",ISNUMBER(AD571)),AD571,"")</f>
        <v>12</v>
      </c>
      <c r="I571" s="95" t="n">
        <f aca="false">IF(AND(AE571="yes",ISNUMBER(AD571),ISNUMBER(INDEX(Sources!$G$7:$G$10,MATCH(AB571,Sources!$B$7:$B$10,0)))),ROUND(AD571/INDEX(Sources!$G$7:$G$10,MATCH(AB571,Sources!$B$7:$B$10,0)),6),"")</f>
        <v>12</v>
      </c>
      <c r="J571" s="91" t="s">
        <v>530</v>
      </c>
      <c r="K571" s="91" t="s">
        <v>586</v>
      </c>
      <c r="L571" s="96"/>
      <c r="M571" s="109" t="s">
        <v>1969</v>
      </c>
      <c r="N571" s="113" t="s">
        <v>1970</v>
      </c>
      <c r="O571" s="109" t="s">
        <v>603</v>
      </c>
      <c r="P571" s="109" t="s">
        <v>590</v>
      </c>
      <c r="Q571" s="114"/>
      <c r="R571" s="109" t="n">
        <v>1</v>
      </c>
      <c r="S571" s="109"/>
      <c r="T571" s="109" t="s">
        <v>530</v>
      </c>
      <c r="U571" s="109" t="s">
        <v>1535</v>
      </c>
      <c r="V571" s="115" t="n">
        <v>12</v>
      </c>
      <c r="W571" s="115"/>
      <c r="X571" s="109" t="s">
        <v>1536</v>
      </c>
      <c r="Y571" s="109"/>
      <c r="Z571" s="109"/>
      <c r="AA571" s="109"/>
      <c r="AB571" s="109" t="s">
        <v>244</v>
      </c>
      <c r="AC571" s="109" t="s">
        <v>538</v>
      </c>
      <c r="AD571" s="109" t="n">
        <f aca="false">IF(ISNUMBER(V571),ROUND(V571,6),"")</f>
        <v>12</v>
      </c>
      <c r="AE571" s="109" t="str">
        <f aca="false">IF(AND(AC571="yes",ISNUMBER(F571),IF(Compare!$H$5="All mapped",TRUE(),IF(Compare!$H$5="EXACT only",J571="EXACT",OR(J571="EXACT",J571="CLOSE")))),"yes","no")</f>
        <v>yes</v>
      </c>
      <c r="AF571" s="109" t="n">
        <f aca="false">IF(ISNUMBER(H571),COUNTIFS($B$7:$B$3000,B571,$C$7:$C$3000,C571,$H$7:$H$3000,"&lt;"&amp;H571,$AH$7:$AH$3000,"yes")+COUNTIFS($B$7:B571,B571,$C$7:C571,C571,$H$7:H571,H571,$AH$7:AH571,"yes"),"")</f>
        <v>9</v>
      </c>
      <c r="AG571" s="109" t="n">
        <f aca="false">IF(ISNUMBER(I571),COUNTIFS($B$7:$B$3000,B571,$C$7:$C$3000,C571,$I$7:$I$3000,"&lt;"&amp;I571,$AI$7:$AI$3000,"yes")+COUNTIFS($B$7:B571,B571,$C$7:C571,C571,$I$7:I571,I571,$AI$7:AI571,"yes"),"")</f>
        <v>9</v>
      </c>
      <c r="AH571" s="109" t="str">
        <f aca="false">IF(ISNUMBER(H571),"yes","no")</f>
        <v>yes</v>
      </c>
      <c r="AI571" s="109" t="str">
        <f aca="false">IF(ISNUMBER(I571),"yes","no")</f>
        <v>yes</v>
      </c>
      <c r="AJ571" s="116" t="n">
        <v>46295</v>
      </c>
      <c r="AK571" s="109"/>
    </row>
    <row r="572" customFormat="false" ht="42" hidden="false" customHeight="true" outlineLevel="0" collapsed="false">
      <c r="A572" s="3"/>
      <c r="B572" s="36" t="s">
        <v>61</v>
      </c>
      <c r="C572" s="98" t="s">
        <v>15</v>
      </c>
      <c r="D572" s="98" t="s">
        <v>273</v>
      </c>
      <c r="E572" s="110" t="s">
        <v>1971</v>
      </c>
      <c r="F572" s="99" t="n">
        <v>5.59</v>
      </c>
      <c r="G572" s="98" t="s">
        <v>244</v>
      </c>
      <c r="H572" s="112" t="n">
        <f aca="false">IF(AND(AE572="yes",ISNUMBER(AD572)),AD572,"")</f>
        <v>4.66</v>
      </c>
      <c r="I572" s="95" t="n">
        <f aca="false">IF(AND(AE572="yes",ISNUMBER(AD572),ISNUMBER(INDEX(Sources!$G$7:$G$10,MATCH(AB572,Sources!$B$7:$B$10,0)))),ROUND(AD572/INDEX(Sources!$G$7:$G$10,MATCH(AB572,Sources!$B$7:$B$10,0)),6),"")</f>
        <v>4.66</v>
      </c>
      <c r="J572" s="98" t="s">
        <v>530</v>
      </c>
      <c r="K572" s="98" t="s">
        <v>586</v>
      </c>
      <c r="L572" s="96"/>
      <c r="M572" s="110" t="s">
        <v>1972</v>
      </c>
      <c r="N572" s="117" t="s">
        <v>1973</v>
      </c>
      <c r="O572" s="110" t="s">
        <v>642</v>
      </c>
      <c r="P572" s="110" t="s">
        <v>265</v>
      </c>
      <c r="Q572" s="118"/>
      <c r="R572" s="110" t="n">
        <v>1</v>
      </c>
      <c r="S572" s="110"/>
      <c r="T572" s="110" t="s">
        <v>530</v>
      </c>
      <c r="U572" s="110" t="s">
        <v>1535</v>
      </c>
      <c r="V572" s="119" t="n">
        <v>4.66</v>
      </c>
      <c r="W572" s="119"/>
      <c r="X572" s="110" t="s">
        <v>1536</v>
      </c>
      <c r="Y572" s="110"/>
      <c r="Z572" s="110"/>
      <c r="AA572" s="110"/>
      <c r="AB572" s="110" t="s">
        <v>244</v>
      </c>
      <c r="AC572" s="110" t="s">
        <v>538</v>
      </c>
      <c r="AD572" s="110" t="n">
        <f aca="false">IF(ISNUMBER(V572),ROUND(V572,6),"")</f>
        <v>4.66</v>
      </c>
      <c r="AE572" s="110" t="str">
        <f aca="false">IF(AND(AC572="yes",ISNUMBER(F572),IF(Compare!$H$5="All mapped",TRUE(),IF(Compare!$H$5="EXACT only",J572="EXACT",OR(J572="EXACT",J572="CLOSE")))),"yes","no")</f>
        <v>yes</v>
      </c>
      <c r="AF572" s="110" t="n">
        <f aca="false">IF(ISNUMBER(H572),COUNTIFS($B$7:$B$3000,B572,$C$7:$C$3000,C572,$H$7:$H$3000,"&lt;"&amp;H572,$AH$7:$AH$3000,"yes")+COUNTIFS($B$7:B572,B572,$C$7:C572,C572,$H$7:H572,H572,$AH$7:AH572,"yes"),"")</f>
        <v>7</v>
      </c>
      <c r="AG572" s="110" t="n">
        <f aca="false">IF(ISNUMBER(I572),COUNTIFS($B$7:$B$3000,B572,$C$7:$C$3000,C572,$I$7:$I$3000,"&lt;"&amp;I572,$AI$7:$AI$3000,"yes")+COUNTIFS($B$7:B572,B572,$C$7:C572,C572,$I$7:I572,I572,$AI$7:AI572,"yes"),"")</f>
        <v>7</v>
      </c>
      <c r="AH572" s="110" t="str">
        <f aca="false">IF(ISNUMBER(H572),"yes","no")</f>
        <v>yes</v>
      </c>
      <c r="AI572" s="110" t="str">
        <f aca="false">IF(ISNUMBER(I572),"yes","no")</f>
        <v>yes</v>
      </c>
      <c r="AJ572" s="120" t="n">
        <v>46295</v>
      </c>
      <c r="AK572" s="110"/>
    </row>
    <row r="573" customFormat="false" ht="42" hidden="false" customHeight="true" outlineLevel="0" collapsed="false">
      <c r="A573" s="3"/>
      <c r="B573" s="31" t="s">
        <v>61</v>
      </c>
      <c r="C573" s="91" t="s">
        <v>15</v>
      </c>
      <c r="D573" s="91" t="s">
        <v>281</v>
      </c>
      <c r="E573" s="109" t="s">
        <v>1974</v>
      </c>
      <c r="F573" s="92" t="n">
        <v>2.97</v>
      </c>
      <c r="G573" s="91" t="s">
        <v>244</v>
      </c>
      <c r="H573" s="112" t="n">
        <f aca="false">IF(AND(AE573="yes",ISNUMBER(AD573)),AD573,"")</f>
        <v>2.97</v>
      </c>
      <c r="I573" s="95" t="n">
        <f aca="false">IF(AND(AE573="yes",ISNUMBER(AD573),ISNUMBER(INDEX(Sources!$G$7:$G$10,MATCH(AB573,Sources!$B$7:$B$10,0)))),ROUND(AD573/INDEX(Sources!$G$7:$G$10,MATCH(AB573,Sources!$B$7:$B$10,0)),6),"")</f>
        <v>2.97</v>
      </c>
      <c r="J573" s="91" t="s">
        <v>530</v>
      </c>
      <c r="K573" s="91" t="s">
        <v>586</v>
      </c>
      <c r="L573" s="96"/>
      <c r="M573" s="109" t="s">
        <v>1975</v>
      </c>
      <c r="N573" s="113" t="s">
        <v>1976</v>
      </c>
      <c r="O573" s="109" t="s">
        <v>603</v>
      </c>
      <c r="P573" s="109" t="s">
        <v>590</v>
      </c>
      <c r="Q573" s="114"/>
      <c r="R573" s="109" t="n">
        <v>1</v>
      </c>
      <c r="S573" s="109"/>
      <c r="T573" s="109" t="s">
        <v>530</v>
      </c>
      <c r="U573" s="109" t="s">
        <v>1535</v>
      </c>
      <c r="V573" s="115" t="n">
        <v>2.97</v>
      </c>
      <c r="W573" s="115"/>
      <c r="X573" s="109" t="s">
        <v>1536</v>
      </c>
      <c r="Y573" s="109"/>
      <c r="Z573" s="109"/>
      <c r="AA573" s="109"/>
      <c r="AB573" s="109" t="s">
        <v>244</v>
      </c>
      <c r="AC573" s="109" t="s">
        <v>538</v>
      </c>
      <c r="AD573" s="109" t="n">
        <f aca="false">IF(ISNUMBER(V573),ROUND(V573,6),"")</f>
        <v>2.97</v>
      </c>
      <c r="AE573" s="109" t="str">
        <f aca="false">IF(AND(AC573="yes",ISNUMBER(F573),IF(Compare!$H$5="All mapped",TRUE(),IF(Compare!$H$5="EXACT only",J573="EXACT",OR(J573="EXACT",J573="CLOSE")))),"yes","no")</f>
        <v>yes</v>
      </c>
      <c r="AF573" s="109" t="n">
        <f aca="false">IF(ISNUMBER(H573),COUNTIFS($B$7:$B$3000,B573,$C$7:$C$3000,C573,$H$7:$H$3000,"&lt;"&amp;H573,$AH$7:$AH$3000,"yes")+COUNTIFS($B$7:B573,B573,$C$7:C573,C573,$H$7:H573,H573,$AH$7:AH573,"yes"),"")</f>
        <v>4</v>
      </c>
      <c r="AG573" s="109" t="n">
        <f aca="false">IF(ISNUMBER(I573),COUNTIFS($B$7:$B$3000,B573,$C$7:$C$3000,C573,$I$7:$I$3000,"&lt;"&amp;I573,$AI$7:$AI$3000,"yes")+COUNTIFS($B$7:B573,B573,$C$7:C573,C573,$I$7:I573,I573,$AI$7:AI573,"yes"),"")</f>
        <v>4</v>
      </c>
      <c r="AH573" s="109" t="str">
        <f aca="false">IF(ISNUMBER(H573),"yes","no")</f>
        <v>yes</v>
      </c>
      <c r="AI573" s="109" t="str">
        <f aca="false">IF(ISNUMBER(I573),"yes","no")</f>
        <v>yes</v>
      </c>
      <c r="AJ573" s="116" t="n">
        <v>46295</v>
      </c>
      <c r="AK573" s="109"/>
    </row>
    <row r="574" customFormat="false" ht="42" hidden="false" customHeight="true" outlineLevel="0" collapsed="false">
      <c r="A574" s="3"/>
      <c r="B574" s="36" t="s">
        <v>61</v>
      </c>
      <c r="C574" s="98" t="s">
        <v>15</v>
      </c>
      <c r="D574" s="98" t="s">
        <v>285</v>
      </c>
      <c r="E574" s="110" t="s">
        <v>1977</v>
      </c>
      <c r="F574" s="99" t="n">
        <v>12.7</v>
      </c>
      <c r="G574" s="98" t="s">
        <v>244</v>
      </c>
      <c r="H574" s="112" t="n">
        <f aca="false">IF(AND(AE574="yes",ISNUMBER(AD574)),AD574,"")</f>
        <v>12.7</v>
      </c>
      <c r="I574" s="95" t="n">
        <f aca="false">IF(AND(AE574="yes",ISNUMBER(AD574),ISNUMBER(INDEX(Sources!$G$7:$G$10,MATCH(AB574,Sources!$B$7:$B$10,0)))),ROUND(AD574/INDEX(Sources!$G$7:$G$10,MATCH(AB574,Sources!$B$7:$B$10,0)),6),"")</f>
        <v>12.7</v>
      </c>
      <c r="J574" s="98" t="s">
        <v>530</v>
      </c>
      <c r="K574" s="98" t="s">
        <v>586</v>
      </c>
      <c r="L574" s="96"/>
      <c r="M574" s="110"/>
      <c r="N574" s="117" t="s">
        <v>1978</v>
      </c>
      <c r="O574" s="110" t="s">
        <v>733</v>
      </c>
      <c r="P574" s="110" t="s">
        <v>590</v>
      </c>
      <c r="Q574" s="118"/>
      <c r="R574" s="110" t="n">
        <v>1</v>
      </c>
      <c r="S574" s="110"/>
      <c r="T574" s="110" t="s">
        <v>530</v>
      </c>
      <c r="U574" s="110" t="s">
        <v>1535</v>
      </c>
      <c r="V574" s="119" t="n">
        <v>12.7</v>
      </c>
      <c r="W574" s="119"/>
      <c r="X574" s="110" t="s">
        <v>1536</v>
      </c>
      <c r="Y574" s="110"/>
      <c r="Z574" s="110"/>
      <c r="AA574" s="110"/>
      <c r="AB574" s="110" t="s">
        <v>244</v>
      </c>
      <c r="AC574" s="110" t="s">
        <v>538</v>
      </c>
      <c r="AD574" s="110" t="n">
        <f aca="false">IF(ISNUMBER(V574),ROUND(V574,6),"")</f>
        <v>12.7</v>
      </c>
      <c r="AE574" s="110" t="str">
        <f aca="false">IF(AND(AC574="yes",ISNUMBER(F574),IF(Compare!$H$5="All mapped",TRUE(),IF(Compare!$H$5="EXACT only",J574="EXACT",OR(J574="EXACT",J574="CLOSE")))),"yes","no")</f>
        <v>yes</v>
      </c>
      <c r="AF574" s="110" t="n">
        <f aca="false">IF(ISNUMBER(H574),COUNTIFS($B$7:$B$3000,B574,$C$7:$C$3000,C574,$H$7:$H$3000,"&lt;"&amp;H574,$AH$7:$AH$3000,"yes")+COUNTIFS($B$7:B574,B574,$C$7:C574,C574,$H$7:H574,H574,$AH$7:AH574,"yes"),"")</f>
        <v>10</v>
      </c>
      <c r="AG574" s="110" t="n">
        <f aca="false">IF(ISNUMBER(I574),COUNTIFS($B$7:$B$3000,B574,$C$7:$C$3000,C574,$I$7:$I$3000,"&lt;"&amp;I574,$AI$7:$AI$3000,"yes")+COUNTIFS($B$7:B574,B574,$C$7:C574,C574,$I$7:I574,I574,$AI$7:AI574,"yes"),"")</f>
        <v>10</v>
      </c>
      <c r="AH574" s="110" t="str">
        <f aca="false">IF(ISNUMBER(H574),"yes","no")</f>
        <v>yes</v>
      </c>
      <c r="AI574" s="110" t="str">
        <f aca="false">IF(ISNUMBER(I574),"yes","no")</f>
        <v>yes</v>
      </c>
      <c r="AJ574" s="120" t="n">
        <v>46295</v>
      </c>
      <c r="AK574" s="110"/>
    </row>
    <row r="575" customFormat="false" ht="42" hidden="false" customHeight="true" outlineLevel="0" collapsed="false">
      <c r="A575" s="3"/>
      <c r="B575" s="31" t="s">
        <v>61</v>
      </c>
      <c r="C575" s="91" t="s">
        <v>15</v>
      </c>
      <c r="D575" s="91" t="s">
        <v>293</v>
      </c>
      <c r="E575" s="109" t="s">
        <v>1979</v>
      </c>
      <c r="F575" s="92" t="n">
        <v>2.3</v>
      </c>
      <c r="G575" s="91" t="s">
        <v>244</v>
      </c>
      <c r="H575" s="112" t="n">
        <f aca="false">IF(AND(AE575="yes",ISNUMBER(AD575)),AD575,"")</f>
        <v>2.3</v>
      </c>
      <c r="I575" s="95" t="n">
        <f aca="false">IF(AND(AE575="yes",ISNUMBER(AD575),ISNUMBER(INDEX(Sources!$G$7:$G$10,MATCH(AB575,Sources!$B$7:$B$10,0)))),ROUND(AD575/INDEX(Sources!$G$7:$G$10,MATCH(AB575,Sources!$B$7:$B$10,0)),6),"")</f>
        <v>2.3</v>
      </c>
      <c r="J575" s="91" t="s">
        <v>530</v>
      </c>
      <c r="K575" s="91" t="s">
        <v>586</v>
      </c>
      <c r="L575" s="96"/>
      <c r="M575" s="109" t="s">
        <v>1980</v>
      </c>
      <c r="N575" s="113" t="s">
        <v>1981</v>
      </c>
      <c r="O575" s="109" t="s">
        <v>589</v>
      </c>
      <c r="P575" s="109" t="s">
        <v>590</v>
      </c>
      <c r="Q575" s="114"/>
      <c r="R575" s="109" t="n">
        <v>1</v>
      </c>
      <c r="S575" s="109"/>
      <c r="T575" s="109" t="s">
        <v>530</v>
      </c>
      <c r="U575" s="109" t="s">
        <v>1535</v>
      </c>
      <c r="V575" s="115" t="n">
        <v>2.3</v>
      </c>
      <c r="W575" s="115"/>
      <c r="X575" s="109" t="s">
        <v>1536</v>
      </c>
      <c r="Y575" s="109"/>
      <c r="Z575" s="109"/>
      <c r="AA575" s="109"/>
      <c r="AB575" s="109" t="s">
        <v>244</v>
      </c>
      <c r="AC575" s="109" t="s">
        <v>538</v>
      </c>
      <c r="AD575" s="109" t="n">
        <f aca="false">IF(ISNUMBER(V575),ROUND(V575,6),"")</f>
        <v>2.3</v>
      </c>
      <c r="AE575" s="109" t="str">
        <f aca="false">IF(AND(AC575="yes",ISNUMBER(F575),IF(Compare!$H$5="All mapped",TRUE(),IF(Compare!$H$5="EXACT only",J575="EXACT",OR(J575="EXACT",J575="CLOSE")))),"yes","no")</f>
        <v>yes</v>
      </c>
      <c r="AF575" s="109" t="n">
        <f aca="false">IF(ISNUMBER(H575),COUNTIFS($B$7:$B$3000,B575,$C$7:$C$3000,C575,$H$7:$H$3000,"&lt;"&amp;H575,$AH$7:$AH$3000,"yes")+COUNTIFS($B$7:B575,B575,$C$7:C575,C575,$H$7:H575,H575,$AH$7:AH575,"yes"),"")</f>
        <v>1</v>
      </c>
      <c r="AG575" s="109" t="n">
        <f aca="false">IF(ISNUMBER(I575),COUNTIFS($B$7:$B$3000,B575,$C$7:$C$3000,C575,$I$7:$I$3000,"&lt;"&amp;I575,$AI$7:$AI$3000,"yes")+COUNTIFS($B$7:B575,B575,$C$7:C575,C575,$I$7:I575,I575,$AI$7:AI575,"yes"),"")</f>
        <v>1</v>
      </c>
      <c r="AH575" s="109" t="str">
        <f aca="false">IF(ISNUMBER(H575),"yes","no")</f>
        <v>yes</v>
      </c>
      <c r="AI575" s="109" t="str">
        <f aca="false">IF(ISNUMBER(I575),"yes","no")</f>
        <v>yes</v>
      </c>
      <c r="AJ575" s="116" t="n">
        <v>46295</v>
      </c>
      <c r="AK575" s="109"/>
    </row>
    <row r="576" customFormat="false" ht="42" hidden="false" customHeight="true" outlineLevel="0" collapsed="false">
      <c r="A576" s="3"/>
      <c r="B576" s="36" t="s">
        <v>61</v>
      </c>
      <c r="C576" s="98" t="s">
        <v>17</v>
      </c>
      <c r="D576" s="98" t="s">
        <v>354</v>
      </c>
      <c r="E576" s="110" t="s">
        <v>1982</v>
      </c>
      <c r="F576" s="99" t="n">
        <v>437.86</v>
      </c>
      <c r="G576" s="98" t="s">
        <v>333</v>
      </c>
      <c r="H576" s="112" t="n">
        <f aca="false">IF(AND(AE576="yes",ISNUMBER(AD576)),AD576,"")</f>
        <v>72.98</v>
      </c>
      <c r="I576" s="95" t="n">
        <f aca="false">IF(AND(AE576="yes",ISNUMBER(AD576),ISNUMBER(INDEX(Sources!$G$7:$G$10,MATCH(AB576,Sources!$B$7:$B$10,0)))),ROUND(AD576/INDEX(Sources!$G$7:$G$10,MATCH(AB576,Sources!$B$7:$B$10,0)),6),"")</f>
        <v>2.988092</v>
      </c>
      <c r="J576" s="98" t="s">
        <v>530</v>
      </c>
      <c r="K576" s="98" t="s">
        <v>586</v>
      </c>
      <c r="L576" s="96"/>
      <c r="M576" s="110" t="s">
        <v>1983</v>
      </c>
      <c r="N576" s="117" t="s">
        <v>1984</v>
      </c>
      <c r="O576" s="110" t="s">
        <v>642</v>
      </c>
      <c r="P576" s="110" t="s">
        <v>590</v>
      </c>
      <c r="Q576" s="118" t="n">
        <v>0.19</v>
      </c>
      <c r="R576" s="110" t="n">
        <v>6</v>
      </c>
      <c r="S576" s="110" t="s">
        <v>625</v>
      </c>
      <c r="T576" s="110" t="s">
        <v>530</v>
      </c>
      <c r="U576" s="110" t="s">
        <v>1535</v>
      </c>
      <c r="V576" s="119"/>
      <c r="W576" s="119"/>
      <c r="X576" s="110" t="s">
        <v>1555</v>
      </c>
      <c r="Y576" s="110"/>
      <c r="Z576" s="110"/>
      <c r="AA576" s="110"/>
      <c r="AB576" s="110" t="s">
        <v>333</v>
      </c>
      <c r="AC576" s="110" t="s">
        <v>538</v>
      </c>
      <c r="AD576" s="110" t="n">
        <f aca="false">IF(OR(F576="",Q576="",R576=""),"",ROUND(IF(P576="incl.",F576/(1+Q576),F576)/IF(S576="per pack",R576,1),2))</f>
        <v>72.98</v>
      </c>
      <c r="AE576" s="110" t="str">
        <f aca="false">IF(AND(AC576="yes",ISNUMBER(F576),IF(Compare!$H$5="All mapped",TRUE(),IF(Compare!$H$5="EXACT only",J576="EXACT",OR(J576="EXACT",J576="CLOSE")))),"yes","no")</f>
        <v>yes</v>
      </c>
      <c r="AF576" s="110" t="n">
        <f aca="false">IF(ISNUMBER(H576),COUNTIFS($B$7:$B$3000,B576,$C$7:$C$3000,C576,$H$7:$H$3000,"&lt;"&amp;H576,$AH$7:$AH$3000,"yes")+COUNTIFS($B$7:B576,B576,$C$7:C576,C576,$H$7:H576,H576,$AH$7:AH576,"yes"),"")</f>
        <v>5</v>
      </c>
      <c r="AG576" s="110" t="n">
        <f aca="false">IF(ISNUMBER(I576),COUNTIFS($B$7:$B$3000,B576,$C$7:$C$3000,C576,$I$7:$I$3000,"&lt;"&amp;I576,$AI$7:$AI$3000,"yes")+COUNTIFS($B$7:B576,B576,$C$7:C576,C576,$I$7:I576,I576,$AI$7:AI576,"yes"),"")</f>
        <v>5</v>
      </c>
      <c r="AH576" s="110" t="str">
        <f aca="false">IF(ISNUMBER(H576),"yes","no")</f>
        <v>yes</v>
      </c>
      <c r="AI576" s="110" t="str">
        <f aca="false">IF(ISNUMBER(I576),"yes","no")</f>
        <v>yes</v>
      </c>
      <c r="AJ576" s="120" t="n">
        <v>46295</v>
      </c>
      <c r="AK576" s="110"/>
    </row>
    <row r="577" customFormat="false" ht="42" hidden="false" customHeight="true" outlineLevel="0" collapsed="false">
      <c r="A577" s="3"/>
      <c r="B577" s="31" t="s">
        <v>61</v>
      </c>
      <c r="C577" s="91" t="s">
        <v>17</v>
      </c>
      <c r="D577" s="91" t="s">
        <v>332</v>
      </c>
      <c r="E577" s="109" t="s">
        <v>1985</v>
      </c>
      <c r="F577" s="92" t="n">
        <v>60</v>
      </c>
      <c r="G577" s="91" t="s">
        <v>333</v>
      </c>
      <c r="H577" s="112" t="n">
        <f aca="false">IF(AND(AE577="yes",ISNUMBER(AD577)),AD577,"")</f>
        <v>60</v>
      </c>
      <c r="I577" s="95" t="n">
        <f aca="false">IF(AND(AE577="yes",ISNUMBER(AD577),ISNUMBER(INDEX(Sources!$G$7:$G$10,MATCH(AB577,Sources!$B$7:$B$10,0)))),ROUND(AD577/INDEX(Sources!$G$7:$G$10,MATCH(AB577,Sources!$B$7:$B$10,0)),6),"")</f>
        <v>2.456639</v>
      </c>
      <c r="J577" s="91" t="s">
        <v>530</v>
      </c>
      <c r="K577" s="91" t="s">
        <v>586</v>
      </c>
      <c r="L577" s="96"/>
      <c r="M577" s="109" t="s">
        <v>1986</v>
      </c>
      <c r="N577" s="113" t="s">
        <v>1987</v>
      </c>
      <c r="O577" s="109"/>
      <c r="P577" s="109" t="s">
        <v>590</v>
      </c>
      <c r="Q577" s="114" t="n">
        <v>0.21</v>
      </c>
      <c r="R577" s="109" t="n">
        <v>1</v>
      </c>
      <c r="S577" s="109" t="s">
        <v>632</v>
      </c>
      <c r="T577" s="109" t="s">
        <v>530</v>
      </c>
      <c r="U577" s="109" t="s">
        <v>1535</v>
      </c>
      <c r="V577" s="115"/>
      <c r="W577" s="115"/>
      <c r="X577" s="109" t="s">
        <v>1555</v>
      </c>
      <c r="Y577" s="109"/>
      <c r="Z577" s="109"/>
      <c r="AA577" s="109"/>
      <c r="AB577" s="109" t="s">
        <v>333</v>
      </c>
      <c r="AC577" s="109" t="s">
        <v>538</v>
      </c>
      <c r="AD577" s="109" t="n">
        <f aca="false">IF(OR(F577="",Q577="",R577=""),"",ROUND(IF(P577="incl.",F577/(1+Q577),F577)/IF(S577="per pack",R577,1),2))</f>
        <v>60</v>
      </c>
      <c r="AE577" s="109" t="str">
        <f aca="false">IF(AND(AC577="yes",ISNUMBER(F577),IF(Compare!$H$5="All mapped",TRUE(),IF(Compare!$H$5="EXACT only",J577="EXACT",OR(J577="EXACT",J577="CLOSE")))),"yes","no")</f>
        <v>yes</v>
      </c>
      <c r="AF577" s="109" t="n">
        <f aca="false">IF(ISNUMBER(H577),COUNTIFS($B$7:$B$3000,B577,$C$7:$C$3000,C577,$H$7:$H$3000,"&lt;"&amp;H577,$AH$7:$AH$3000,"yes")+COUNTIFS($B$7:B577,B577,$C$7:C577,C577,$H$7:H577,H577,$AH$7:AH577,"yes"),"")</f>
        <v>4</v>
      </c>
      <c r="AG577" s="109" t="n">
        <f aca="false">IF(ISNUMBER(I577),COUNTIFS($B$7:$B$3000,B577,$C$7:$C$3000,C577,$I$7:$I$3000,"&lt;"&amp;I577,$AI$7:$AI$3000,"yes")+COUNTIFS($B$7:B577,B577,$C$7:C577,C577,$I$7:I577,I577,$AI$7:AI577,"yes"),"")</f>
        <v>4</v>
      </c>
      <c r="AH577" s="109" t="str">
        <f aca="false">IF(ISNUMBER(H577),"yes","no")</f>
        <v>yes</v>
      </c>
      <c r="AI577" s="109" t="str">
        <f aca="false">IF(ISNUMBER(I577),"yes","no")</f>
        <v>yes</v>
      </c>
      <c r="AJ577" s="116" t="n">
        <v>46295</v>
      </c>
      <c r="AK577" s="109"/>
    </row>
    <row r="578" customFormat="false" ht="42" hidden="false" customHeight="true" outlineLevel="0" collapsed="false">
      <c r="A578" s="3"/>
      <c r="B578" s="36" t="s">
        <v>61</v>
      </c>
      <c r="C578" s="98" t="s">
        <v>17</v>
      </c>
      <c r="D578" s="98" t="s">
        <v>342</v>
      </c>
      <c r="E578" s="110" t="s">
        <v>1988</v>
      </c>
      <c r="F578" s="99" t="n">
        <v>57</v>
      </c>
      <c r="G578" s="98" t="s">
        <v>333</v>
      </c>
      <c r="H578" s="112" t="n">
        <f aca="false">IF(AND(AE578="yes",ISNUMBER(AD578)),AD578,"")</f>
        <v>47.11</v>
      </c>
      <c r="I578" s="95" t="n">
        <f aca="false">IF(AND(AE578="yes",ISNUMBER(AD578),ISNUMBER(INDEX(Sources!$G$7:$G$10,MATCH(AB578,Sources!$B$7:$B$10,0)))),ROUND(AD578/INDEX(Sources!$G$7:$G$10,MATCH(AB578,Sources!$B$7:$B$10,0)),6),"")</f>
        <v>1.928871</v>
      </c>
      <c r="J578" s="98" t="s">
        <v>530</v>
      </c>
      <c r="K578" s="98" t="s">
        <v>586</v>
      </c>
      <c r="L578" s="96"/>
      <c r="M578" s="110" t="s">
        <v>1989</v>
      </c>
      <c r="N578" s="117" t="s">
        <v>1990</v>
      </c>
      <c r="O578" s="110" t="s">
        <v>733</v>
      </c>
      <c r="P578" s="110" t="s">
        <v>265</v>
      </c>
      <c r="Q578" s="118" t="n">
        <v>0.21</v>
      </c>
      <c r="R578" s="110" t="n">
        <v>1</v>
      </c>
      <c r="S578" s="110" t="s">
        <v>632</v>
      </c>
      <c r="T578" s="110" t="s">
        <v>530</v>
      </c>
      <c r="U578" s="110" t="s">
        <v>1535</v>
      </c>
      <c r="V578" s="119"/>
      <c r="W578" s="119"/>
      <c r="X578" s="110" t="s">
        <v>1555</v>
      </c>
      <c r="Y578" s="110"/>
      <c r="Z578" s="110"/>
      <c r="AA578" s="110"/>
      <c r="AB578" s="110" t="s">
        <v>333</v>
      </c>
      <c r="AC578" s="110" t="s">
        <v>538</v>
      </c>
      <c r="AD578" s="110" t="n">
        <f aca="false">IF(OR(F578="",Q578="",R578=""),"",ROUND(IF(P578="incl.",F578/(1+Q578),F578)/IF(S578="per pack",R578,1),2))</f>
        <v>47.11</v>
      </c>
      <c r="AE578" s="110" t="str">
        <f aca="false">IF(AND(AC578="yes",ISNUMBER(F578),IF(Compare!$H$5="All mapped",TRUE(),IF(Compare!$H$5="EXACT only",J578="EXACT",OR(J578="EXACT",J578="CLOSE")))),"yes","no")</f>
        <v>yes</v>
      </c>
      <c r="AF578" s="110" t="n">
        <f aca="false">IF(ISNUMBER(H578),COUNTIFS($B$7:$B$3000,B578,$C$7:$C$3000,C578,$H$7:$H$3000,"&lt;"&amp;H578,$AH$7:$AH$3000,"yes")+COUNTIFS($B$7:B578,B578,$C$7:C578,C578,$H$7:H578,H578,$AH$7:AH578,"yes"),"")</f>
        <v>2</v>
      </c>
      <c r="AG578" s="110" t="n">
        <f aca="false">IF(ISNUMBER(I578),COUNTIFS($B$7:$B$3000,B578,$C$7:$C$3000,C578,$I$7:$I$3000,"&lt;"&amp;I578,$AI$7:$AI$3000,"yes")+COUNTIFS($B$7:B578,B578,$C$7:C578,C578,$I$7:I578,I578,$AI$7:AI578,"yes"),"")</f>
        <v>2</v>
      </c>
      <c r="AH578" s="110" t="str">
        <f aca="false">IF(ISNUMBER(H578),"yes","no")</f>
        <v>yes</v>
      </c>
      <c r="AI578" s="110" t="str">
        <f aca="false">IF(ISNUMBER(I578),"yes","no")</f>
        <v>yes</v>
      </c>
      <c r="AJ578" s="120" t="n">
        <v>46295</v>
      </c>
      <c r="AK578" s="110"/>
    </row>
    <row r="579" customFormat="false" ht="42" hidden="false" customHeight="true" outlineLevel="0" collapsed="false">
      <c r="A579" s="3"/>
      <c r="B579" s="31" t="s">
        <v>61</v>
      </c>
      <c r="C579" s="91" t="s">
        <v>17</v>
      </c>
      <c r="D579" s="91" t="s">
        <v>346</v>
      </c>
      <c r="E579" s="109" t="s">
        <v>1991</v>
      </c>
      <c r="F579" s="92" t="n">
        <v>181</v>
      </c>
      <c r="G579" s="91" t="s">
        <v>333</v>
      </c>
      <c r="H579" s="112" t="n">
        <f aca="false">IF(AND(AE579="yes",ISNUMBER(AD579)),AD579,"")</f>
        <v>149.59</v>
      </c>
      <c r="I579" s="95" t="n">
        <f aca="false">IF(AND(AE579="yes",ISNUMBER(AD579),ISNUMBER(INDEX(Sources!$G$7:$G$10,MATCH(AB579,Sources!$B$7:$B$10,0)))),ROUND(AD579/INDEX(Sources!$G$7:$G$10,MATCH(AB579,Sources!$B$7:$B$10,0)),6),"")</f>
        <v>6.12481</v>
      </c>
      <c r="J579" s="91" t="s">
        <v>530</v>
      </c>
      <c r="K579" s="91" t="s">
        <v>586</v>
      </c>
      <c r="L579" s="96"/>
      <c r="M579" s="109" t="s">
        <v>1992</v>
      </c>
      <c r="N579" s="113" t="s">
        <v>1993</v>
      </c>
      <c r="O579" s="109" t="s">
        <v>731</v>
      </c>
      <c r="P579" s="109" t="s">
        <v>265</v>
      </c>
      <c r="Q579" s="114" t="n">
        <v>0.21</v>
      </c>
      <c r="R579" s="109" t="n">
        <v>1</v>
      </c>
      <c r="S579" s="109" t="s">
        <v>632</v>
      </c>
      <c r="T579" s="109" t="s">
        <v>530</v>
      </c>
      <c r="U579" s="109" t="s">
        <v>1535</v>
      </c>
      <c r="V579" s="115"/>
      <c r="W579" s="115"/>
      <c r="X579" s="109" t="s">
        <v>1555</v>
      </c>
      <c r="Y579" s="109"/>
      <c r="Z579" s="109"/>
      <c r="AA579" s="109"/>
      <c r="AB579" s="109" t="s">
        <v>333</v>
      </c>
      <c r="AC579" s="109" t="s">
        <v>538</v>
      </c>
      <c r="AD579" s="109" t="n">
        <f aca="false">IF(OR(F579="",Q579="",R579=""),"",ROUND(IF(P579="incl.",F579/(1+Q579),F579)/IF(S579="per pack",R579,1),2))</f>
        <v>149.59</v>
      </c>
      <c r="AE579" s="109" t="str">
        <f aca="false">IF(AND(AC579="yes",ISNUMBER(F579),IF(Compare!$H$5="All mapped",TRUE(),IF(Compare!$H$5="EXACT only",J579="EXACT",OR(J579="EXACT",J579="CLOSE")))),"yes","no")</f>
        <v>yes</v>
      </c>
      <c r="AF579" s="109" t="n">
        <f aca="false">IF(ISNUMBER(H579),COUNTIFS($B$7:$B$3000,B579,$C$7:$C$3000,C579,$H$7:$H$3000,"&lt;"&amp;H579,$AH$7:$AH$3000,"yes")+COUNTIFS($B$7:B579,B579,$C$7:C579,C579,$H$7:H579,H579,$AH$7:AH579,"yes"),"")</f>
        <v>8</v>
      </c>
      <c r="AG579" s="109" t="n">
        <f aca="false">IF(ISNUMBER(I579),COUNTIFS($B$7:$B$3000,B579,$C$7:$C$3000,C579,$I$7:$I$3000,"&lt;"&amp;I579,$AI$7:$AI$3000,"yes")+COUNTIFS($B$7:B579,B579,$C$7:C579,C579,$I$7:I579,I579,$AI$7:AI579,"yes"),"")</f>
        <v>8</v>
      </c>
      <c r="AH579" s="109" t="str">
        <f aca="false">IF(ISNUMBER(H579),"yes","no")</f>
        <v>yes</v>
      </c>
      <c r="AI579" s="109" t="str">
        <f aca="false">IF(ISNUMBER(I579),"yes","no")</f>
        <v>yes</v>
      </c>
      <c r="AJ579" s="116" t="n">
        <v>46295</v>
      </c>
      <c r="AK579" s="109"/>
    </row>
    <row r="580" customFormat="false" ht="42" hidden="false" customHeight="true" outlineLevel="0" collapsed="false">
      <c r="A580" s="3"/>
      <c r="B580" s="36" t="s">
        <v>61</v>
      </c>
      <c r="C580" s="98" t="s">
        <v>17</v>
      </c>
      <c r="D580" s="98" t="s">
        <v>361</v>
      </c>
      <c r="E580" s="110" t="s">
        <v>1994</v>
      </c>
      <c r="F580" s="99" t="n">
        <v>97</v>
      </c>
      <c r="G580" s="98" t="s">
        <v>333</v>
      </c>
      <c r="H580" s="112" t="n">
        <f aca="false">IF(AND(AE580="yes",ISNUMBER(AD580)),AD580,"")</f>
        <v>80.17</v>
      </c>
      <c r="I580" s="95" t="n">
        <f aca="false">IF(AND(AE580="yes",ISNUMBER(AD580),ISNUMBER(INDEX(Sources!$G$7:$G$10,MATCH(AB580,Sources!$B$7:$B$10,0)))),ROUND(AD580/INDEX(Sources!$G$7:$G$10,MATCH(AB580,Sources!$B$7:$B$10,0)),6),"")</f>
        <v>3.282479</v>
      </c>
      <c r="J580" s="98" t="s">
        <v>702</v>
      </c>
      <c r="K580" s="98" t="s">
        <v>586</v>
      </c>
      <c r="L580" s="96"/>
      <c r="M580" s="110" t="s">
        <v>1995</v>
      </c>
      <c r="N580" s="117" t="s">
        <v>1996</v>
      </c>
      <c r="O580" s="110" t="s">
        <v>642</v>
      </c>
      <c r="P580" s="110" t="s">
        <v>265</v>
      </c>
      <c r="Q580" s="118" t="n">
        <v>0.21</v>
      </c>
      <c r="R580" s="110" t="n">
        <v>1</v>
      </c>
      <c r="S580" s="110" t="s">
        <v>632</v>
      </c>
      <c r="T580" s="110" t="s">
        <v>702</v>
      </c>
      <c r="U580" s="110" t="s">
        <v>1535</v>
      </c>
      <c r="V580" s="119"/>
      <c r="W580" s="119"/>
      <c r="X580" s="110" t="s">
        <v>1555</v>
      </c>
      <c r="Y580" s="110"/>
      <c r="Z580" s="110"/>
      <c r="AA580" s="110"/>
      <c r="AB580" s="110" t="s">
        <v>333</v>
      </c>
      <c r="AC580" s="110" t="s">
        <v>538</v>
      </c>
      <c r="AD580" s="110" t="n">
        <f aca="false">IF(OR(F580="",Q580="",R580=""),"",ROUND(IF(P580="incl.",F580/(1+Q580),F580)/IF(S580="per pack",R580,1),2))</f>
        <v>80.17</v>
      </c>
      <c r="AE580" s="110" t="str">
        <f aca="false">IF(AND(AC580="yes",ISNUMBER(F580),IF(Compare!$H$5="All mapped",TRUE(),IF(Compare!$H$5="EXACT only",J580="EXACT",OR(J580="EXACT",J580="CLOSE")))),"yes","no")</f>
        <v>yes</v>
      </c>
      <c r="AF580" s="110" t="n">
        <f aca="false">IF(ISNUMBER(H580),COUNTIFS($B$7:$B$3000,B580,$C$7:$C$3000,C580,$H$7:$H$3000,"&lt;"&amp;H580,$AH$7:$AH$3000,"yes")+COUNTIFS($B$7:B580,B580,$C$7:C580,C580,$H$7:H580,H580,$AH$7:AH580,"yes"),"")</f>
        <v>7</v>
      </c>
      <c r="AG580" s="110" t="n">
        <f aca="false">IF(ISNUMBER(I580),COUNTIFS($B$7:$B$3000,B580,$C$7:$C$3000,C580,$I$7:$I$3000,"&lt;"&amp;I580,$AI$7:$AI$3000,"yes")+COUNTIFS($B$7:B580,B580,$C$7:C580,C580,$I$7:I580,I580,$AI$7:AI580,"yes"),"")</f>
        <v>7</v>
      </c>
      <c r="AH580" s="110" t="str">
        <f aca="false">IF(ISNUMBER(H580),"yes","no")</f>
        <v>yes</v>
      </c>
      <c r="AI580" s="110" t="str">
        <f aca="false">IF(ISNUMBER(I580),"yes","no")</f>
        <v>yes</v>
      </c>
      <c r="AJ580" s="120" t="n">
        <v>46295</v>
      </c>
      <c r="AK580" s="110"/>
    </row>
    <row r="581" customFormat="false" ht="42" hidden="false" customHeight="true" outlineLevel="0" collapsed="false">
      <c r="A581" s="3"/>
      <c r="B581" s="31" t="s">
        <v>62</v>
      </c>
      <c r="C581" s="91" t="s">
        <v>15</v>
      </c>
      <c r="D581" s="91" t="s">
        <v>273</v>
      </c>
      <c r="E581" s="109" t="s">
        <v>1997</v>
      </c>
      <c r="F581" s="92" t="n">
        <v>6.49</v>
      </c>
      <c r="G581" s="91" t="s">
        <v>244</v>
      </c>
      <c r="H581" s="112" t="n">
        <f aca="false">IF(AND(AE581="yes",ISNUMBER(AD581)),AD581,"")</f>
        <v>5.41</v>
      </c>
      <c r="I581" s="95" t="n">
        <f aca="false">IF(AND(AE581="yes",ISNUMBER(AD581),ISNUMBER(INDEX(Sources!$G$7:$G$10,MATCH(AB581,Sources!$B$7:$B$10,0)))),ROUND(AD581/INDEX(Sources!$G$7:$G$10,MATCH(AB581,Sources!$B$7:$B$10,0)),6),"")</f>
        <v>5.41</v>
      </c>
      <c r="J581" s="91" t="s">
        <v>702</v>
      </c>
      <c r="K581" s="91" t="s">
        <v>586</v>
      </c>
      <c r="L581" s="96"/>
      <c r="M581" s="109" t="s">
        <v>1998</v>
      </c>
      <c r="N581" s="113" t="s">
        <v>1999</v>
      </c>
      <c r="O581" s="109" t="s">
        <v>565</v>
      </c>
      <c r="P581" s="109" t="s">
        <v>265</v>
      </c>
      <c r="Q581" s="114"/>
      <c r="R581" s="109" t="n">
        <v>1</v>
      </c>
      <c r="S581" s="109"/>
      <c r="T581" s="109" t="s">
        <v>702</v>
      </c>
      <c r="U581" s="109" t="s">
        <v>1535</v>
      </c>
      <c r="V581" s="115" t="n">
        <v>5.41</v>
      </c>
      <c r="W581" s="115"/>
      <c r="X581" s="109" t="s">
        <v>1536</v>
      </c>
      <c r="Y581" s="109"/>
      <c r="Z581" s="109"/>
      <c r="AA581" s="109"/>
      <c r="AB581" s="109" t="s">
        <v>244</v>
      </c>
      <c r="AC581" s="109" t="s">
        <v>538</v>
      </c>
      <c r="AD581" s="109" t="n">
        <f aca="false">IF(ISNUMBER(V581),ROUND(V581,6),"")</f>
        <v>5.41</v>
      </c>
      <c r="AE581" s="109" t="str">
        <f aca="false">IF(AND(AC581="yes",ISNUMBER(F581),IF(Compare!$H$5="All mapped",TRUE(),IF(Compare!$H$5="EXACT only",J581="EXACT",OR(J581="EXACT",J581="CLOSE")))),"yes","no")</f>
        <v>yes</v>
      </c>
      <c r="AF581" s="109" t="n">
        <f aca="false">IF(ISNUMBER(H581),COUNTIFS($B$7:$B$3000,B581,$C$7:$C$3000,C581,$H$7:$H$3000,"&lt;"&amp;H581,$AH$7:$AH$3000,"yes")+COUNTIFS($B$7:B581,B581,$C$7:C581,C581,$H$7:H581,H581,$AH$7:AH581,"yes"),"")</f>
        <v>5</v>
      </c>
      <c r="AG581" s="109" t="n">
        <f aca="false">IF(ISNUMBER(I581),COUNTIFS($B$7:$B$3000,B581,$C$7:$C$3000,C581,$I$7:$I$3000,"&lt;"&amp;I581,$AI$7:$AI$3000,"yes")+COUNTIFS($B$7:B581,B581,$C$7:C581,C581,$I$7:I581,I581,$AI$7:AI581,"yes"),"")</f>
        <v>5</v>
      </c>
      <c r="AH581" s="109" t="str">
        <f aca="false">IF(ISNUMBER(H581),"yes","no")</f>
        <v>yes</v>
      </c>
      <c r="AI581" s="109" t="str">
        <f aca="false">IF(ISNUMBER(I581),"yes","no")</f>
        <v>yes</v>
      </c>
      <c r="AJ581" s="116" t="n">
        <v>46295</v>
      </c>
      <c r="AK581" s="109"/>
    </row>
    <row r="582" customFormat="false" ht="42" hidden="false" customHeight="true" outlineLevel="0" collapsed="false">
      <c r="A582" s="3"/>
      <c r="B582" s="36" t="s">
        <v>62</v>
      </c>
      <c r="C582" s="98" t="s">
        <v>15</v>
      </c>
      <c r="D582" s="98" t="s">
        <v>281</v>
      </c>
      <c r="E582" s="110" t="s">
        <v>2000</v>
      </c>
      <c r="F582" s="99" t="n">
        <v>1.61</v>
      </c>
      <c r="G582" s="98" t="s">
        <v>244</v>
      </c>
      <c r="H582" s="112" t="n">
        <f aca="false">IF(AND(AE582="yes",ISNUMBER(AD582)),AD582,"")</f>
        <v>1.61</v>
      </c>
      <c r="I582" s="95" t="n">
        <f aca="false">IF(AND(AE582="yes",ISNUMBER(AD582),ISNUMBER(INDEX(Sources!$G$7:$G$10,MATCH(AB582,Sources!$B$7:$B$10,0)))),ROUND(AD582/INDEX(Sources!$G$7:$G$10,MATCH(AB582,Sources!$B$7:$B$10,0)),6),"")</f>
        <v>1.61</v>
      </c>
      <c r="J582" s="98" t="s">
        <v>702</v>
      </c>
      <c r="K582" s="98" t="s">
        <v>586</v>
      </c>
      <c r="L582" s="96"/>
      <c r="M582" s="110" t="s">
        <v>2001</v>
      </c>
      <c r="N582" s="117" t="s">
        <v>2002</v>
      </c>
      <c r="O582" s="110" t="s">
        <v>662</v>
      </c>
      <c r="P582" s="110" t="s">
        <v>590</v>
      </c>
      <c r="Q582" s="118"/>
      <c r="R582" s="110" t="n">
        <v>1</v>
      </c>
      <c r="S582" s="110"/>
      <c r="T582" s="110" t="s">
        <v>702</v>
      </c>
      <c r="U582" s="110" t="s">
        <v>1535</v>
      </c>
      <c r="V582" s="119" t="n">
        <v>1.61</v>
      </c>
      <c r="W582" s="119"/>
      <c r="X582" s="110" t="s">
        <v>1536</v>
      </c>
      <c r="Y582" s="110"/>
      <c r="Z582" s="110"/>
      <c r="AA582" s="110"/>
      <c r="AB582" s="110" t="s">
        <v>244</v>
      </c>
      <c r="AC582" s="110" t="s">
        <v>538</v>
      </c>
      <c r="AD582" s="110" t="n">
        <f aca="false">IF(ISNUMBER(V582),ROUND(V582,6),"")</f>
        <v>1.61</v>
      </c>
      <c r="AE582" s="110" t="str">
        <f aca="false">IF(AND(AC582="yes",ISNUMBER(F582),IF(Compare!$H$5="All mapped",TRUE(),IF(Compare!$H$5="EXACT only",J582="EXACT",OR(J582="EXACT",J582="CLOSE")))),"yes","no")</f>
        <v>yes</v>
      </c>
      <c r="AF582" s="110" t="n">
        <f aca="false">IF(ISNUMBER(H582),COUNTIFS($B$7:$B$3000,B582,$C$7:$C$3000,C582,$H$7:$H$3000,"&lt;"&amp;H582,$AH$7:$AH$3000,"yes")+COUNTIFS($B$7:B582,B582,$C$7:C582,C582,$H$7:H582,H582,$AH$7:AH582,"yes"),"")</f>
        <v>2</v>
      </c>
      <c r="AG582" s="110" t="n">
        <f aca="false">IF(ISNUMBER(I582),COUNTIFS($B$7:$B$3000,B582,$C$7:$C$3000,C582,$I$7:$I$3000,"&lt;"&amp;I582,$AI$7:$AI$3000,"yes")+COUNTIFS($B$7:B582,B582,$C$7:C582,C582,$I$7:I582,I582,$AI$7:AI582,"yes"),"")</f>
        <v>2</v>
      </c>
      <c r="AH582" s="110" t="str">
        <f aca="false">IF(ISNUMBER(H582),"yes","no")</f>
        <v>yes</v>
      </c>
      <c r="AI582" s="110" t="str">
        <f aca="false">IF(ISNUMBER(I582),"yes","no")</f>
        <v>yes</v>
      </c>
      <c r="AJ582" s="120" t="n">
        <v>46295</v>
      </c>
      <c r="AK582" s="110"/>
    </row>
    <row r="583" customFormat="false" ht="42" hidden="false" customHeight="true" outlineLevel="0" collapsed="false">
      <c r="A583" s="3"/>
      <c r="B583" s="31" t="s">
        <v>62</v>
      </c>
      <c r="C583" s="91" t="s">
        <v>17</v>
      </c>
      <c r="D583" s="91" t="s">
        <v>346</v>
      </c>
      <c r="E583" s="109" t="s">
        <v>2003</v>
      </c>
      <c r="F583" s="92" t="n">
        <v>98</v>
      </c>
      <c r="G583" s="91" t="s">
        <v>333</v>
      </c>
      <c r="H583" s="112" t="n">
        <f aca="false">IF(AND(AE583="yes",ISNUMBER(AD583)),AD583,"")</f>
        <v>80.99</v>
      </c>
      <c r="I583" s="95" t="n">
        <f aca="false">IF(AND(AE583="yes",ISNUMBER(AD583),ISNUMBER(INDEX(Sources!$G$7:$G$10,MATCH(AB583,Sources!$B$7:$B$10,0)))),ROUND(AD583/INDEX(Sources!$G$7:$G$10,MATCH(AB583,Sources!$B$7:$B$10,0)),6),"")</f>
        <v>3.316053</v>
      </c>
      <c r="J583" s="91" t="s">
        <v>702</v>
      </c>
      <c r="K583" s="91" t="s">
        <v>586</v>
      </c>
      <c r="L583" s="96"/>
      <c r="M583" s="109" t="s">
        <v>2004</v>
      </c>
      <c r="N583" s="113" t="s">
        <v>2005</v>
      </c>
      <c r="O583" s="109" t="s">
        <v>662</v>
      </c>
      <c r="P583" s="109" t="s">
        <v>265</v>
      </c>
      <c r="Q583" s="114" t="n">
        <v>0.21</v>
      </c>
      <c r="R583" s="109" t="n">
        <v>1</v>
      </c>
      <c r="S583" s="109" t="s">
        <v>632</v>
      </c>
      <c r="T583" s="109" t="s">
        <v>702</v>
      </c>
      <c r="U583" s="109" t="s">
        <v>1535</v>
      </c>
      <c r="V583" s="115"/>
      <c r="W583" s="115"/>
      <c r="X583" s="109" t="s">
        <v>1555</v>
      </c>
      <c r="Y583" s="109"/>
      <c r="Z583" s="109"/>
      <c r="AA583" s="109"/>
      <c r="AB583" s="109" t="s">
        <v>333</v>
      </c>
      <c r="AC583" s="109" t="s">
        <v>538</v>
      </c>
      <c r="AD583" s="109" t="n">
        <f aca="false">IF(OR(F583="",Q583="",R583=""),"",ROUND(IF(P583="incl.",F583/(1+Q583),F583)/IF(S583="per pack",R583,1),2))</f>
        <v>80.99</v>
      </c>
      <c r="AE583" s="109" t="str">
        <f aca="false">IF(AND(AC583="yes",ISNUMBER(F583),IF(Compare!$H$5="All mapped",TRUE(),IF(Compare!$H$5="EXACT only",J583="EXACT",OR(J583="EXACT",J583="CLOSE")))),"yes","no")</f>
        <v>yes</v>
      </c>
      <c r="AF583" s="109" t="n">
        <f aca="false">IF(ISNUMBER(H583),COUNTIFS($B$7:$B$3000,B583,$C$7:$C$3000,C583,$H$7:$H$3000,"&lt;"&amp;H583,$AH$7:$AH$3000,"yes")+COUNTIFS($B$7:B583,B583,$C$7:C583,C583,$H$7:H583,H583,$AH$7:AH583,"yes"),"")</f>
        <v>2</v>
      </c>
      <c r="AG583" s="109" t="n">
        <f aca="false">IF(ISNUMBER(I583),COUNTIFS($B$7:$B$3000,B583,$C$7:$C$3000,C583,$I$7:$I$3000,"&lt;"&amp;I583,$AI$7:$AI$3000,"yes")+COUNTIFS($B$7:B583,B583,$C$7:C583,C583,$I$7:I583,I583,$AI$7:AI583,"yes"),"")</f>
        <v>2</v>
      </c>
      <c r="AH583" s="109" t="str">
        <f aca="false">IF(ISNUMBER(H583),"yes","no")</f>
        <v>yes</v>
      </c>
      <c r="AI583" s="109" t="str">
        <f aca="false">IF(ISNUMBER(I583),"yes","no")</f>
        <v>yes</v>
      </c>
      <c r="AJ583" s="116" t="n">
        <v>46295</v>
      </c>
      <c r="AK583" s="109"/>
    </row>
    <row r="584" customFormat="false" ht="42" hidden="false" customHeight="true" outlineLevel="0" collapsed="false">
      <c r="A584" s="3"/>
      <c r="B584" s="36" t="s">
        <v>63</v>
      </c>
      <c r="C584" s="98" t="s">
        <v>15</v>
      </c>
      <c r="D584" s="98" t="s">
        <v>273</v>
      </c>
      <c r="E584" s="110" t="s">
        <v>2006</v>
      </c>
      <c r="F584" s="99" t="n">
        <v>8.89</v>
      </c>
      <c r="G584" s="98" t="s">
        <v>244</v>
      </c>
      <c r="H584" s="112" t="n">
        <f aca="false">IF(AND(AE584="yes",ISNUMBER(AD584)),AD584,"")</f>
        <v>7.41</v>
      </c>
      <c r="I584" s="95" t="n">
        <f aca="false">IF(AND(AE584="yes",ISNUMBER(AD584),ISNUMBER(INDEX(Sources!$G$7:$G$10,MATCH(AB584,Sources!$B$7:$B$10,0)))),ROUND(AD584/INDEX(Sources!$G$7:$G$10,MATCH(AB584,Sources!$B$7:$B$10,0)),6),"")</f>
        <v>7.41</v>
      </c>
      <c r="J584" s="98" t="s">
        <v>702</v>
      </c>
      <c r="K584" s="98" t="s">
        <v>586</v>
      </c>
      <c r="L584" s="96"/>
      <c r="M584" s="110" t="s">
        <v>2007</v>
      </c>
      <c r="N584" s="117" t="s">
        <v>2008</v>
      </c>
      <c r="O584" s="110" t="s">
        <v>1167</v>
      </c>
      <c r="P584" s="110" t="s">
        <v>265</v>
      </c>
      <c r="Q584" s="118"/>
      <c r="R584" s="110" t="n">
        <v>1</v>
      </c>
      <c r="S584" s="110"/>
      <c r="T584" s="110" t="s">
        <v>702</v>
      </c>
      <c r="U584" s="110" t="s">
        <v>1535</v>
      </c>
      <c r="V584" s="119" t="n">
        <v>7.41</v>
      </c>
      <c r="W584" s="119"/>
      <c r="X584" s="110" t="s">
        <v>1536</v>
      </c>
      <c r="Y584" s="110"/>
      <c r="Z584" s="110"/>
      <c r="AA584" s="110"/>
      <c r="AB584" s="110" t="s">
        <v>244</v>
      </c>
      <c r="AC584" s="110" t="s">
        <v>538</v>
      </c>
      <c r="AD584" s="110" t="n">
        <f aca="false">IF(ISNUMBER(V584),ROUND(V584,6),"")</f>
        <v>7.41</v>
      </c>
      <c r="AE584" s="110" t="str">
        <f aca="false">IF(AND(AC584="yes",ISNUMBER(F584),IF(Compare!$H$5="All mapped",TRUE(),IF(Compare!$H$5="EXACT only",J584="EXACT",OR(J584="EXACT",J584="CLOSE")))),"yes","no")</f>
        <v>yes</v>
      </c>
      <c r="AF584" s="110" t="n">
        <f aca="false">IF(ISNUMBER(H584),COUNTIFS($B$7:$B$3000,B584,$C$7:$C$3000,C584,$H$7:$H$3000,"&lt;"&amp;H584,$AH$7:$AH$3000,"yes")+COUNTIFS($B$7:B584,B584,$C$7:C584,C584,$H$7:H584,H584,$AH$7:AH584,"yes"),"")</f>
        <v>1</v>
      </c>
      <c r="AG584" s="110" t="n">
        <f aca="false">IF(ISNUMBER(I584),COUNTIFS($B$7:$B$3000,B584,$C$7:$C$3000,C584,$I$7:$I$3000,"&lt;"&amp;I584,$AI$7:$AI$3000,"yes")+COUNTIFS($B$7:B584,B584,$C$7:C584,C584,$I$7:I584,I584,$AI$7:AI584,"yes"),"")</f>
        <v>1</v>
      </c>
      <c r="AH584" s="110" t="str">
        <f aca="false">IF(ISNUMBER(H584),"yes","no")</f>
        <v>yes</v>
      </c>
      <c r="AI584" s="110" t="str">
        <f aca="false">IF(ISNUMBER(I584),"yes","no")</f>
        <v>yes</v>
      </c>
      <c r="AJ584" s="120" t="n">
        <v>46295</v>
      </c>
      <c r="AK584" s="110"/>
    </row>
    <row r="585" customFormat="false" ht="42" hidden="false" customHeight="true" outlineLevel="0" collapsed="false">
      <c r="A585" s="3"/>
      <c r="B585" s="31" t="s">
        <v>63</v>
      </c>
      <c r="C585" s="91" t="s">
        <v>15</v>
      </c>
      <c r="D585" s="91" t="s">
        <v>281</v>
      </c>
      <c r="E585" s="109" t="s">
        <v>2009</v>
      </c>
      <c r="F585" s="92" t="n">
        <v>11.19</v>
      </c>
      <c r="G585" s="91" t="s">
        <v>244</v>
      </c>
      <c r="H585" s="112" t="n">
        <f aca="false">IF(AND(AE585="yes",ISNUMBER(AD585)),AD585,"")</f>
        <v>11.19</v>
      </c>
      <c r="I585" s="95" t="n">
        <f aca="false">IF(AND(AE585="yes",ISNUMBER(AD585),ISNUMBER(INDEX(Sources!$G$7:$G$10,MATCH(AB585,Sources!$B$7:$B$10,0)))),ROUND(AD585/INDEX(Sources!$G$7:$G$10,MATCH(AB585,Sources!$B$7:$B$10,0)),6),"")</f>
        <v>11.19</v>
      </c>
      <c r="J585" s="91" t="s">
        <v>702</v>
      </c>
      <c r="K585" s="91" t="s">
        <v>586</v>
      </c>
      <c r="L585" s="96"/>
      <c r="M585" s="109" t="s">
        <v>2010</v>
      </c>
      <c r="N585" s="113" t="s">
        <v>2011</v>
      </c>
      <c r="O585" s="109" t="s">
        <v>1823</v>
      </c>
      <c r="P585" s="109" t="s">
        <v>590</v>
      </c>
      <c r="Q585" s="114"/>
      <c r="R585" s="109" t="n">
        <v>1</v>
      </c>
      <c r="S585" s="109"/>
      <c r="T585" s="109" t="s">
        <v>702</v>
      </c>
      <c r="U585" s="109" t="s">
        <v>1535</v>
      </c>
      <c r="V585" s="115" t="n">
        <v>11.19</v>
      </c>
      <c r="W585" s="115"/>
      <c r="X585" s="109" t="s">
        <v>1536</v>
      </c>
      <c r="Y585" s="109"/>
      <c r="Z585" s="109"/>
      <c r="AA585" s="109"/>
      <c r="AB585" s="109" t="s">
        <v>244</v>
      </c>
      <c r="AC585" s="109" t="s">
        <v>538</v>
      </c>
      <c r="AD585" s="109" t="n">
        <f aca="false">IF(ISNUMBER(V585),ROUND(V585,6),"")</f>
        <v>11.19</v>
      </c>
      <c r="AE585" s="109" t="str">
        <f aca="false">IF(AND(AC585="yes",ISNUMBER(F585),IF(Compare!$H$5="All mapped",TRUE(),IF(Compare!$H$5="EXACT only",J585="EXACT",OR(J585="EXACT",J585="CLOSE")))),"yes","no")</f>
        <v>yes</v>
      </c>
      <c r="AF585" s="109" t="n">
        <f aca="false">IF(ISNUMBER(H585),COUNTIFS($B$7:$B$3000,B585,$C$7:$C$3000,C585,$H$7:$H$3000,"&lt;"&amp;H585,$AH$7:$AH$3000,"yes")+COUNTIFS($B$7:B585,B585,$C$7:C585,C585,$H$7:H585,H585,$AH$7:AH585,"yes"),"")</f>
        <v>2</v>
      </c>
      <c r="AG585" s="109" t="n">
        <f aca="false">IF(ISNUMBER(I585),COUNTIFS($B$7:$B$3000,B585,$C$7:$C$3000,C585,$I$7:$I$3000,"&lt;"&amp;I585,$AI$7:$AI$3000,"yes")+COUNTIFS($B$7:B585,B585,$C$7:C585,C585,$I$7:I585,I585,$AI$7:AI585,"yes"),"")</f>
        <v>2</v>
      </c>
      <c r="AH585" s="109" t="str">
        <f aca="false">IF(ISNUMBER(H585),"yes","no")</f>
        <v>yes</v>
      </c>
      <c r="AI585" s="109" t="str">
        <f aca="false">IF(ISNUMBER(I585),"yes","no")</f>
        <v>yes</v>
      </c>
      <c r="AJ585" s="116" t="n">
        <v>46295</v>
      </c>
      <c r="AK585" s="109"/>
    </row>
    <row r="586" customFormat="false" ht="42" hidden="false" customHeight="true" outlineLevel="0" collapsed="false">
      <c r="A586" s="3"/>
      <c r="B586" s="36" t="s">
        <v>63</v>
      </c>
      <c r="C586" s="98" t="s">
        <v>17</v>
      </c>
      <c r="D586" s="98" t="s">
        <v>361</v>
      </c>
      <c r="E586" s="110" t="s">
        <v>1192</v>
      </c>
      <c r="F586" s="99" t="n">
        <v>115</v>
      </c>
      <c r="G586" s="98" t="s">
        <v>333</v>
      </c>
      <c r="H586" s="112" t="str">
        <f aca="false">IF(AND(AE586="yes",ISNUMBER(AD586)),AD586,"")</f>
        <v/>
      </c>
      <c r="I586" s="95" t="str">
        <f aca="false">IF(AND(AE586="yes",ISNUMBER(AD586),ISNUMBER(INDEX(Sources!$G$7:$G$10,MATCH(AB586,Sources!$B$7:$B$10,0)))),ROUND(AD586/INDEX(Sources!$G$7:$G$10,MATCH(AB586,Sources!$B$7:$B$10,0)),6),"")</f>
        <v/>
      </c>
      <c r="J586" s="98" t="s">
        <v>629</v>
      </c>
      <c r="K586" s="98" t="s">
        <v>586</v>
      </c>
      <c r="L586" s="96"/>
      <c r="M586" s="110" t="s">
        <v>2012</v>
      </c>
      <c r="N586" s="117" t="s">
        <v>1194</v>
      </c>
      <c r="O586" s="110" t="s">
        <v>361</v>
      </c>
      <c r="P586" s="110" t="s">
        <v>265</v>
      </c>
      <c r="Q586" s="118" t="n">
        <v>0.21</v>
      </c>
      <c r="R586" s="110" t="n">
        <v>1</v>
      </c>
      <c r="S586" s="110" t="s">
        <v>632</v>
      </c>
      <c r="T586" s="110" t="s">
        <v>629</v>
      </c>
      <c r="U586" s="110" t="s">
        <v>1535</v>
      </c>
      <c r="V586" s="119"/>
      <c r="W586" s="119"/>
      <c r="X586" s="110" t="s">
        <v>1555</v>
      </c>
      <c r="Y586" s="110"/>
      <c r="Z586" s="110"/>
      <c r="AA586" s="110"/>
      <c r="AB586" s="110" t="s">
        <v>333</v>
      </c>
      <c r="AC586" s="110" t="s">
        <v>538</v>
      </c>
      <c r="AD586" s="110" t="n">
        <f aca="false">IF(OR(F586="",Q586="",R586=""),"",ROUND(IF(P586="incl.",F586/(1+Q586),F586)/IF(S586="per pack",R586,1),2))</f>
        <v>95.04</v>
      </c>
      <c r="AE586" s="110" t="str">
        <f aca="false">IF(AND(AC586="yes",ISNUMBER(F586),IF(Compare!$H$5="All mapped",TRUE(),IF(Compare!$H$5="EXACT only",J586="EXACT",OR(J586="EXACT",J586="CLOSE")))),"yes","no")</f>
        <v>no</v>
      </c>
      <c r="AF586" s="110" t="str">
        <f aca="false">IF(ISNUMBER(H586),COUNTIFS($B$7:$B$3000,B586,$C$7:$C$3000,C586,$H$7:$H$3000,"&lt;"&amp;H586,$AH$7:$AH$3000,"yes")+COUNTIFS($B$7:B586,B586,$C$7:C586,C586,$H$7:H586,H586,$AH$7:AH586,"yes"),"")</f>
        <v/>
      </c>
      <c r="AG586" s="110" t="str">
        <f aca="false">IF(ISNUMBER(I586),COUNTIFS($B$7:$B$3000,B586,$C$7:$C$3000,C586,$I$7:$I$3000,"&lt;"&amp;I586,$AI$7:$AI$3000,"yes")+COUNTIFS($B$7:B586,B586,$C$7:C586,C586,$I$7:I586,I586,$AI$7:AI586,"yes"),"")</f>
        <v/>
      </c>
      <c r="AH586" s="110" t="str">
        <f aca="false">IF(ISNUMBER(H586),"yes","no")</f>
        <v>no</v>
      </c>
      <c r="AI586" s="110" t="str">
        <f aca="false">IF(ISNUMBER(I586),"yes","no")</f>
        <v>no</v>
      </c>
      <c r="AJ586" s="120" t="n">
        <v>46295</v>
      </c>
      <c r="AK586" s="110"/>
    </row>
    <row r="587" customFormat="false" ht="42" hidden="false" customHeight="true" outlineLevel="0" collapsed="false">
      <c r="A587" s="3"/>
      <c r="B587" s="31" t="s">
        <v>64</v>
      </c>
      <c r="C587" s="91" t="s">
        <v>15</v>
      </c>
      <c r="D587" s="91" t="s">
        <v>281</v>
      </c>
      <c r="E587" s="109" t="s">
        <v>2013</v>
      </c>
      <c r="F587" s="92" t="n">
        <v>11.97</v>
      </c>
      <c r="G587" s="91" t="s">
        <v>244</v>
      </c>
      <c r="H587" s="112" t="n">
        <f aca="false">IF(AND(AE587="yes",ISNUMBER(AD587)),AD587,"")</f>
        <v>11.97</v>
      </c>
      <c r="I587" s="95" t="n">
        <f aca="false">IF(AND(AE587="yes",ISNUMBER(AD587),ISNUMBER(INDEX(Sources!$G$7:$G$10,MATCH(AB587,Sources!$B$7:$B$10,0)))),ROUND(AD587/INDEX(Sources!$G$7:$G$10,MATCH(AB587,Sources!$B$7:$B$10,0)),6),"")</f>
        <v>11.97</v>
      </c>
      <c r="J587" s="91" t="s">
        <v>530</v>
      </c>
      <c r="K587" s="91" t="s">
        <v>586</v>
      </c>
      <c r="L587" s="96"/>
      <c r="M587" s="109" t="s">
        <v>2014</v>
      </c>
      <c r="N587" s="113" t="s">
        <v>2015</v>
      </c>
      <c r="O587" s="109" t="s">
        <v>589</v>
      </c>
      <c r="P587" s="109" t="s">
        <v>590</v>
      </c>
      <c r="Q587" s="114"/>
      <c r="R587" s="109" t="n">
        <v>1</v>
      </c>
      <c r="S587" s="109"/>
      <c r="T587" s="109" t="s">
        <v>530</v>
      </c>
      <c r="U587" s="109" t="s">
        <v>1535</v>
      </c>
      <c r="V587" s="115" t="n">
        <v>11.97</v>
      </c>
      <c r="W587" s="115"/>
      <c r="X587" s="109" t="s">
        <v>1536</v>
      </c>
      <c r="Y587" s="109"/>
      <c r="Z587" s="109"/>
      <c r="AA587" s="109"/>
      <c r="AB587" s="109" t="s">
        <v>244</v>
      </c>
      <c r="AC587" s="109" t="s">
        <v>538</v>
      </c>
      <c r="AD587" s="109" t="n">
        <f aca="false">IF(ISNUMBER(V587),ROUND(V587,6),"")</f>
        <v>11.97</v>
      </c>
      <c r="AE587" s="109" t="str">
        <f aca="false">IF(AND(AC587="yes",ISNUMBER(F587),IF(Compare!$H$5="All mapped",TRUE(),IF(Compare!$H$5="EXACT only",J587="EXACT",OR(J587="EXACT",J587="CLOSE")))),"yes","no")</f>
        <v>yes</v>
      </c>
      <c r="AF587" s="109" t="n">
        <f aca="false">IF(ISNUMBER(H587),COUNTIFS($B$7:$B$3000,B587,$C$7:$C$3000,C587,$H$7:$H$3000,"&lt;"&amp;H587,$AH$7:$AH$3000,"yes")+COUNTIFS($B$7:B587,B587,$C$7:C587,C587,$H$7:H587,H587,$AH$7:AH587,"yes"),"")</f>
        <v>2</v>
      </c>
      <c r="AG587" s="109" t="n">
        <f aca="false">IF(ISNUMBER(I587),COUNTIFS($B$7:$B$3000,B587,$C$7:$C$3000,C587,$I$7:$I$3000,"&lt;"&amp;I587,$AI$7:$AI$3000,"yes")+COUNTIFS($B$7:B587,B587,$C$7:C587,C587,$I$7:I587,I587,$AI$7:AI587,"yes"),"")</f>
        <v>2</v>
      </c>
      <c r="AH587" s="109" t="str">
        <f aca="false">IF(ISNUMBER(H587),"yes","no")</f>
        <v>yes</v>
      </c>
      <c r="AI587" s="109" t="str">
        <f aca="false">IF(ISNUMBER(I587),"yes","no")</f>
        <v>yes</v>
      </c>
      <c r="AJ587" s="116" t="n">
        <v>46295</v>
      </c>
      <c r="AK587" s="109"/>
    </row>
    <row r="588" customFormat="false" ht="42" hidden="false" customHeight="true" outlineLevel="0" collapsed="false">
      <c r="A588" s="3"/>
      <c r="B588" s="36" t="s">
        <v>64</v>
      </c>
      <c r="C588" s="98" t="s">
        <v>15</v>
      </c>
      <c r="D588" s="98" t="s">
        <v>285</v>
      </c>
      <c r="E588" s="110" t="s">
        <v>2016</v>
      </c>
      <c r="F588" s="99" t="n">
        <v>20.9</v>
      </c>
      <c r="G588" s="98" t="s">
        <v>244</v>
      </c>
      <c r="H588" s="112" t="n">
        <f aca="false">IF(AND(AE588="yes",ISNUMBER(AD588)),AD588,"")</f>
        <v>20.9</v>
      </c>
      <c r="I588" s="95" t="n">
        <f aca="false">IF(AND(AE588="yes",ISNUMBER(AD588),ISNUMBER(INDEX(Sources!$G$7:$G$10,MATCH(AB588,Sources!$B$7:$B$10,0)))),ROUND(AD588/INDEX(Sources!$G$7:$G$10,MATCH(AB588,Sources!$B$7:$B$10,0)),6),"")</f>
        <v>20.9</v>
      </c>
      <c r="J588" s="98" t="s">
        <v>530</v>
      </c>
      <c r="K588" s="98" t="s">
        <v>586</v>
      </c>
      <c r="L588" s="96"/>
      <c r="M588" s="110" t="s">
        <v>2017</v>
      </c>
      <c r="N588" s="117" t="s">
        <v>2018</v>
      </c>
      <c r="O588" s="110" t="s">
        <v>733</v>
      </c>
      <c r="P588" s="110" t="s">
        <v>590</v>
      </c>
      <c r="Q588" s="118"/>
      <c r="R588" s="110" t="n">
        <v>1</v>
      </c>
      <c r="S588" s="110"/>
      <c r="T588" s="110" t="s">
        <v>530</v>
      </c>
      <c r="U588" s="110" t="s">
        <v>1535</v>
      </c>
      <c r="V588" s="119" t="n">
        <v>20.9</v>
      </c>
      <c r="W588" s="119"/>
      <c r="X588" s="110" t="s">
        <v>1536</v>
      </c>
      <c r="Y588" s="110"/>
      <c r="Z588" s="110"/>
      <c r="AA588" s="110"/>
      <c r="AB588" s="110" t="s">
        <v>244</v>
      </c>
      <c r="AC588" s="110" t="s">
        <v>538</v>
      </c>
      <c r="AD588" s="110" t="n">
        <f aca="false">IF(ISNUMBER(V588),ROUND(V588,6),"")</f>
        <v>20.9</v>
      </c>
      <c r="AE588" s="110" t="str">
        <f aca="false">IF(AND(AC588="yes",ISNUMBER(F588),IF(Compare!$H$5="All mapped",TRUE(),IF(Compare!$H$5="EXACT only",J588="EXACT",OR(J588="EXACT",J588="CLOSE")))),"yes","no")</f>
        <v>yes</v>
      </c>
      <c r="AF588" s="110" t="n">
        <f aca="false">IF(ISNUMBER(H588),COUNTIFS($B$7:$B$3000,B588,$C$7:$C$3000,C588,$H$7:$H$3000,"&lt;"&amp;H588,$AH$7:$AH$3000,"yes")+COUNTIFS($B$7:B588,B588,$C$7:C588,C588,$H$7:H588,H588,$AH$7:AH588,"yes"),"")</f>
        <v>3</v>
      </c>
      <c r="AG588" s="110" t="n">
        <f aca="false">IF(ISNUMBER(I588),COUNTIFS($B$7:$B$3000,B588,$C$7:$C$3000,C588,$I$7:$I$3000,"&lt;"&amp;I588,$AI$7:$AI$3000,"yes")+COUNTIFS($B$7:B588,B588,$C$7:C588,C588,$I$7:I588,I588,$AI$7:AI588,"yes"),"")</f>
        <v>3</v>
      </c>
      <c r="AH588" s="110" t="str">
        <f aca="false">IF(ISNUMBER(H588),"yes","no")</f>
        <v>yes</v>
      </c>
      <c r="AI588" s="110" t="str">
        <f aca="false">IF(ISNUMBER(I588),"yes","no")</f>
        <v>yes</v>
      </c>
      <c r="AJ588" s="120" t="n">
        <v>46295</v>
      </c>
      <c r="AK588" s="110"/>
    </row>
    <row r="589" customFormat="false" ht="42" hidden="false" customHeight="true" outlineLevel="0" collapsed="false">
      <c r="A589" s="3"/>
      <c r="B589" s="31" t="s">
        <v>64</v>
      </c>
      <c r="C589" s="91" t="s">
        <v>15</v>
      </c>
      <c r="D589" s="91" t="s">
        <v>293</v>
      </c>
      <c r="E589" s="109" t="s">
        <v>2019</v>
      </c>
      <c r="F589" s="92" t="n">
        <v>9.8</v>
      </c>
      <c r="G589" s="91" t="s">
        <v>244</v>
      </c>
      <c r="H589" s="112" t="n">
        <f aca="false">IF(AND(AE589="yes",ISNUMBER(AD589)),AD589,"")</f>
        <v>9.8</v>
      </c>
      <c r="I589" s="95" t="n">
        <f aca="false">IF(AND(AE589="yes",ISNUMBER(AD589),ISNUMBER(INDEX(Sources!$G$7:$G$10,MATCH(AB589,Sources!$B$7:$B$10,0)))),ROUND(AD589/INDEX(Sources!$G$7:$G$10,MATCH(AB589,Sources!$B$7:$B$10,0)),6),"")</f>
        <v>9.8</v>
      </c>
      <c r="J589" s="91" t="s">
        <v>530</v>
      </c>
      <c r="K589" s="91" t="s">
        <v>586</v>
      </c>
      <c r="L589" s="96"/>
      <c r="M589" s="109" t="s">
        <v>2020</v>
      </c>
      <c r="N589" s="113" t="s">
        <v>2021</v>
      </c>
      <c r="O589" s="109" t="s">
        <v>589</v>
      </c>
      <c r="P589" s="109" t="s">
        <v>590</v>
      </c>
      <c r="Q589" s="114"/>
      <c r="R589" s="109" t="n">
        <v>1</v>
      </c>
      <c r="S589" s="109"/>
      <c r="T589" s="109" t="s">
        <v>530</v>
      </c>
      <c r="U589" s="109" t="s">
        <v>1535</v>
      </c>
      <c r="V589" s="115" t="n">
        <v>9.8</v>
      </c>
      <c r="W589" s="115"/>
      <c r="X589" s="109" t="s">
        <v>1536</v>
      </c>
      <c r="Y589" s="109"/>
      <c r="Z589" s="109"/>
      <c r="AA589" s="109"/>
      <c r="AB589" s="109" t="s">
        <v>244</v>
      </c>
      <c r="AC589" s="109" t="s">
        <v>538</v>
      </c>
      <c r="AD589" s="109" t="n">
        <f aca="false">IF(ISNUMBER(V589),ROUND(V589,6),"")</f>
        <v>9.8</v>
      </c>
      <c r="AE589" s="109" t="str">
        <f aca="false">IF(AND(AC589="yes",ISNUMBER(F589),IF(Compare!$H$5="All mapped",TRUE(),IF(Compare!$H$5="EXACT only",J589="EXACT",OR(J589="EXACT",J589="CLOSE")))),"yes","no")</f>
        <v>yes</v>
      </c>
      <c r="AF589" s="109" t="n">
        <f aca="false">IF(ISNUMBER(H589),COUNTIFS($B$7:$B$3000,B589,$C$7:$C$3000,C589,$H$7:$H$3000,"&lt;"&amp;H589,$AH$7:$AH$3000,"yes")+COUNTIFS($B$7:B589,B589,$C$7:C589,C589,$H$7:H589,H589,$AH$7:AH589,"yes"),"")</f>
        <v>1</v>
      </c>
      <c r="AG589" s="109" t="n">
        <f aca="false">IF(ISNUMBER(I589),COUNTIFS($B$7:$B$3000,B589,$C$7:$C$3000,C589,$I$7:$I$3000,"&lt;"&amp;I589,$AI$7:$AI$3000,"yes")+COUNTIFS($B$7:B589,B589,$C$7:C589,C589,$I$7:I589,I589,$AI$7:AI589,"yes"),"")</f>
        <v>1</v>
      </c>
      <c r="AH589" s="109" t="str">
        <f aca="false">IF(ISNUMBER(H589),"yes","no")</f>
        <v>yes</v>
      </c>
      <c r="AI589" s="109" t="str">
        <f aca="false">IF(ISNUMBER(I589),"yes","no")</f>
        <v>yes</v>
      </c>
      <c r="AJ589" s="116" t="n">
        <v>46295</v>
      </c>
      <c r="AK589" s="109"/>
    </row>
    <row r="590" customFormat="false" ht="42" hidden="false" customHeight="true" outlineLevel="0" collapsed="false">
      <c r="A590" s="3"/>
      <c r="B590" s="36" t="s">
        <v>64</v>
      </c>
      <c r="C590" s="98" t="s">
        <v>17</v>
      </c>
      <c r="D590" s="98" t="s">
        <v>342</v>
      </c>
      <c r="E590" s="110" t="s">
        <v>2022</v>
      </c>
      <c r="F590" s="99" t="n">
        <v>336</v>
      </c>
      <c r="G590" s="98" t="s">
        <v>333</v>
      </c>
      <c r="H590" s="112" t="n">
        <f aca="false">IF(AND(AE590="yes",ISNUMBER(AD590)),AD590,"")</f>
        <v>277.69</v>
      </c>
      <c r="I590" s="95" t="n">
        <f aca="false">IF(AND(AE590="yes",ISNUMBER(AD590),ISNUMBER(INDEX(Sources!$G$7:$G$10,MATCH(AB590,Sources!$B$7:$B$10,0)))),ROUND(AD590/INDEX(Sources!$G$7:$G$10,MATCH(AB590,Sources!$B$7:$B$10,0)),6),"")</f>
        <v>11.369733</v>
      </c>
      <c r="J590" s="98" t="s">
        <v>702</v>
      </c>
      <c r="K590" s="98" t="s">
        <v>586</v>
      </c>
      <c r="L590" s="96"/>
      <c r="M590" s="110" t="s">
        <v>2023</v>
      </c>
      <c r="N590" s="117" t="s">
        <v>2024</v>
      </c>
      <c r="O590" s="110" t="s">
        <v>733</v>
      </c>
      <c r="P590" s="110" t="s">
        <v>265</v>
      </c>
      <c r="Q590" s="118" t="n">
        <v>0.21</v>
      </c>
      <c r="R590" s="110" t="n">
        <v>1</v>
      </c>
      <c r="S590" s="110" t="s">
        <v>632</v>
      </c>
      <c r="T590" s="110" t="s">
        <v>702</v>
      </c>
      <c r="U590" s="110" t="s">
        <v>1535</v>
      </c>
      <c r="V590" s="119"/>
      <c r="W590" s="119"/>
      <c r="X590" s="110" t="s">
        <v>1555</v>
      </c>
      <c r="Y590" s="110"/>
      <c r="Z590" s="110"/>
      <c r="AA590" s="110"/>
      <c r="AB590" s="110" t="s">
        <v>333</v>
      </c>
      <c r="AC590" s="110" t="s">
        <v>538</v>
      </c>
      <c r="AD590" s="110" t="n">
        <f aca="false">IF(OR(F590="",Q590="",R590=""),"",ROUND(IF(P590="incl.",F590/(1+Q590),F590)/IF(S590="per pack",R590,1),2))</f>
        <v>277.69</v>
      </c>
      <c r="AE590" s="110" t="str">
        <f aca="false">IF(AND(AC590="yes",ISNUMBER(F590),IF(Compare!$H$5="All mapped",TRUE(),IF(Compare!$H$5="EXACT only",J590="EXACT",OR(J590="EXACT",J590="CLOSE")))),"yes","no")</f>
        <v>yes</v>
      </c>
      <c r="AF590" s="110" t="n">
        <f aca="false">IF(ISNUMBER(H590),COUNTIFS($B$7:$B$3000,B590,$C$7:$C$3000,C590,$H$7:$H$3000,"&lt;"&amp;H590,$AH$7:$AH$3000,"yes")+COUNTIFS($B$7:B590,B590,$C$7:C590,C590,$H$7:H590,H590,$AH$7:AH590,"yes"),"")</f>
        <v>1</v>
      </c>
      <c r="AG590" s="110" t="n">
        <f aca="false">IF(ISNUMBER(I590),COUNTIFS($B$7:$B$3000,B590,$C$7:$C$3000,C590,$I$7:$I$3000,"&lt;"&amp;I590,$AI$7:$AI$3000,"yes")+COUNTIFS($B$7:B590,B590,$C$7:C590,C590,$I$7:I590,I590,$AI$7:AI590,"yes"),"")</f>
        <v>1</v>
      </c>
      <c r="AH590" s="110" t="str">
        <f aca="false">IF(ISNUMBER(H590),"yes","no")</f>
        <v>yes</v>
      </c>
      <c r="AI590" s="110" t="str">
        <f aca="false">IF(ISNUMBER(I590),"yes","no")</f>
        <v>yes</v>
      </c>
      <c r="AJ590" s="120" t="n">
        <v>46295</v>
      </c>
      <c r="AK590" s="110"/>
    </row>
    <row r="591" customFormat="false" ht="42" hidden="false" customHeight="true" outlineLevel="0" collapsed="false">
      <c r="A591" s="3"/>
      <c r="B591" s="31" t="s">
        <v>9</v>
      </c>
      <c r="C591" s="91" t="s">
        <v>15</v>
      </c>
      <c r="D591" s="91" t="s">
        <v>277</v>
      </c>
      <c r="E591" s="109" t="s">
        <v>607</v>
      </c>
      <c r="F591" s="92" t="n">
        <v>46.99</v>
      </c>
      <c r="G591" s="91" t="s">
        <v>244</v>
      </c>
      <c r="H591" s="112" t="n">
        <f aca="false">IF(AND(AE591="yes",ISNUMBER(AD591)),AD591,"")</f>
        <v>7.83</v>
      </c>
      <c r="I591" s="95" t="n">
        <f aca="false">IF(AND(AE591="yes",ISNUMBER(AD591),ISNUMBER(INDEX(Sources!$G$7:$G$10,MATCH(AB591,Sources!$B$7:$B$10,0)))),ROUND(AD591/INDEX(Sources!$G$7:$G$10,MATCH(AB591,Sources!$B$7:$B$10,0)),6),"")</f>
        <v>7.83</v>
      </c>
      <c r="J591" s="91" t="s">
        <v>530</v>
      </c>
      <c r="K591" s="91" t="s">
        <v>586</v>
      </c>
      <c r="L591" s="96"/>
      <c r="M591" s="109" t="s">
        <v>608</v>
      </c>
      <c r="N591" s="113" t="s">
        <v>2025</v>
      </c>
      <c r="O591" s="109" t="s">
        <v>610</v>
      </c>
      <c r="P591" s="109" t="s">
        <v>590</v>
      </c>
      <c r="Q591" s="114"/>
      <c r="R591" s="109" t="n">
        <v>6</v>
      </c>
      <c r="S591" s="109" t="s">
        <v>611</v>
      </c>
      <c r="T591" s="109" t="s">
        <v>530</v>
      </c>
      <c r="U591" s="109" t="s">
        <v>2026</v>
      </c>
      <c r="V591" s="115" t="n">
        <v>7.83</v>
      </c>
      <c r="W591" s="115"/>
      <c r="X591" s="109" t="s">
        <v>1536</v>
      </c>
      <c r="Y591" s="109"/>
      <c r="Z591" s="109"/>
      <c r="AA591" s="109"/>
      <c r="AB591" s="109" t="s">
        <v>244</v>
      </c>
      <c r="AC591" s="109" t="s">
        <v>538</v>
      </c>
      <c r="AD591" s="109" t="n">
        <f aca="false">IF(ISNUMBER(V591),ROUND(V591,6),"")</f>
        <v>7.83</v>
      </c>
      <c r="AE591" s="109" t="str">
        <f aca="false">IF(AND(AC591="yes",ISNUMBER(F591),IF(Compare!$H$5="All mapped",TRUE(),IF(Compare!$H$5="EXACT only",J591="EXACT",OR(J591="EXACT",J591="CLOSE")))),"yes","no")</f>
        <v>yes</v>
      </c>
      <c r="AF591" s="109" t="n">
        <f aca="false">IF(ISNUMBER(H591),COUNTIFS($B$7:$B$3000,B591,$C$7:$C$3000,C591,$H$7:$H$3000,"&lt;"&amp;H591,$AH$7:$AH$3000,"yes")+COUNTIFS($B$7:B591,B591,$C$7:C591,C591,$H$7:H591,H591,$AH$7:AH591,"yes"),"")</f>
        <v>1</v>
      </c>
      <c r="AG591" s="109" t="n">
        <f aca="false">IF(ISNUMBER(I591),COUNTIFS($B$7:$B$3000,B591,$C$7:$C$3000,C591,$I$7:$I$3000,"&lt;"&amp;I591,$AI$7:$AI$3000,"yes")+COUNTIFS($B$7:B591,B591,$C$7:C591,C591,$I$7:I591,I591,$AI$7:AI591,"yes"),"")</f>
        <v>1</v>
      </c>
      <c r="AH591" s="109" t="str">
        <f aca="false">IF(ISNUMBER(H591),"yes","no")</f>
        <v>yes</v>
      </c>
      <c r="AI591" s="109" t="str">
        <f aca="false">IF(ISNUMBER(I591),"yes","no")</f>
        <v>yes</v>
      </c>
      <c r="AJ591" s="116" t="n">
        <v>46295</v>
      </c>
      <c r="AK591" s="109"/>
    </row>
    <row r="592" customFormat="false" ht="42" hidden="false" customHeight="true" outlineLevel="0" collapsed="false">
      <c r="A592" s="3"/>
      <c r="B592" s="36" t="s">
        <v>9</v>
      </c>
      <c r="C592" s="98" t="s">
        <v>15</v>
      </c>
      <c r="D592" s="98" t="s">
        <v>257</v>
      </c>
      <c r="E592" s="110" t="s">
        <v>2027</v>
      </c>
      <c r="F592" s="99" t="n">
        <v>23</v>
      </c>
      <c r="G592" s="98" t="s">
        <v>244</v>
      </c>
      <c r="H592" s="112" t="n">
        <f aca="false">IF(AND(AE592="yes",ISNUMBER(AD592)),AD592,"")</f>
        <v>23</v>
      </c>
      <c r="I592" s="95" t="n">
        <f aca="false">IF(AND(AE592="yes",ISNUMBER(AD592),ISNUMBER(INDEX(Sources!$G$7:$G$10,MATCH(AB592,Sources!$B$7:$B$10,0)))),ROUND(AD592/INDEX(Sources!$G$7:$G$10,MATCH(AB592,Sources!$B$7:$B$10,0)),6),"")</f>
        <v>23</v>
      </c>
      <c r="J592" s="98" t="s">
        <v>530</v>
      </c>
      <c r="K592" s="98" t="s">
        <v>586</v>
      </c>
      <c r="L592" s="96"/>
      <c r="M592" s="110" t="s">
        <v>2028</v>
      </c>
      <c r="N592" s="117" t="s">
        <v>2029</v>
      </c>
      <c r="O592" s="110" t="s">
        <v>1576</v>
      </c>
      <c r="P592" s="110" t="s">
        <v>590</v>
      </c>
      <c r="Q592" s="118"/>
      <c r="R592" s="110" t="n">
        <v>1</v>
      </c>
      <c r="S592" s="110"/>
      <c r="T592" s="110" t="s">
        <v>530</v>
      </c>
      <c r="U592" s="110" t="s">
        <v>2026</v>
      </c>
      <c r="V592" s="119" t="n">
        <v>23</v>
      </c>
      <c r="W592" s="119"/>
      <c r="X592" s="110" t="s">
        <v>1536</v>
      </c>
      <c r="Y592" s="110"/>
      <c r="Z592" s="110"/>
      <c r="AA592" s="110"/>
      <c r="AB592" s="110" t="s">
        <v>244</v>
      </c>
      <c r="AC592" s="110" t="s">
        <v>538</v>
      </c>
      <c r="AD592" s="110" t="n">
        <f aca="false">IF(ISNUMBER(V592),ROUND(V592,6),"")</f>
        <v>23</v>
      </c>
      <c r="AE592" s="110" t="str">
        <f aca="false">IF(AND(AC592="yes",ISNUMBER(F592),IF(Compare!$H$5="All mapped",TRUE(),IF(Compare!$H$5="EXACT only",J592="EXACT",OR(J592="EXACT",J592="CLOSE")))),"yes","no")</f>
        <v>yes</v>
      </c>
      <c r="AF592" s="110" t="n">
        <f aca="false">IF(ISNUMBER(H592),COUNTIFS($B$7:$B$3000,B592,$C$7:$C$3000,C592,$H$7:$H$3000,"&lt;"&amp;H592,$AH$7:$AH$3000,"yes")+COUNTIFS($B$7:B592,B592,$C$7:C592,C592,$H$7:H592,H592,$AH$7:AH592,"yes"),"")</f>
        <v>9</v>
      </c>
      <c r="AG592" s="110" t="n">
        <f aca="false">IF(ISNUMBER(I592),COUNTIFS($B$7:$B$3000,B592,$C$7:$C$3000,C592,$I$7:$I$3000,"&lt;"&amp;I592,$AI$7:$AI$3000,"yes")+COUNTIFS($B$7:B592,B592,$C$7:C592,C592,$I$7:I592,I592,$AI$7:AI592,"yes"),"")</f>
        <v>9</v>
      </c>
      <c r="AH592" s="110" t="str">
        <f aca="false">IF(ISNUMBER(H592),"yes","no")</f>
        <v>yes</v>
      </c>
      <c r="AI592" s="110" t="str">
        <f aca="false">IF(ISNUMBER(I592),"yes","no")</f>
        <v>yes</v>
      </c>
      <c r="AJ592" s="120" t="n">
        <v>46295</v>
      </c>
      <c r="AK592" s="110"/>
    </row>
    <row r="593" customFormat="false" ht="42" hidden="false" customHeight="true" outlineLevel="0" collapsed="false">
      <c r="A593" s="3"/>
      <c r="B593" s="31" t="s">
        <v>22</v>
      </c>
      <c r="C593" s="91" t="s">
        <v>15</v>
      </c>
      <c r="D593" s="91" t="s">
        <v>277</v>
      </c>
      <c r="E593" s="109" t="s">
        <v>690</v>
      </c>
      <c r="F593" s="92" t="n">
        <v>60.99</v>
      </c>
      <c r="G593" s="91" t="s">
        <v>244</v>
      </c>
      <c r="H593" s="112" t="str">
        <f aca="false">IF(AND(AE593="yes",ISNUMBER(AD593)),AD593,"")</f>
        <v/>
      </c>
      <c r="I593" s="95" t="str">
        <f aca="false">IF(AND(AE593="yes",ISNUMBER(AD593),ISNUMBER(INDEX(Sources!$G$7:$G$10,MATCH(AB593,Sources!$B$7:$B$10,0)))),ROUND(AD593/INDEX(Sources!$G$7:$G$10,MATCH(AB593,Sources!$B$7:$B$10,0)),6),"")</f>
        <v/>
      </c>
      <c r="J593" s="91" t="s">
        <v>629</v>
      </c>
      <c r="K593" s="91" t="s">
        <v>586</v>
      </c>
      <c r="L593" s="96"/>
      <c r="M593" s="109" t="s">
        <v>691</v>
      </c>
      <c r="N593" s="113" t="s">
        <v>2030</v>
      </c>
      <c r="O593" s="109" t="s">
        <v>642</v>
      </c>
      <c r="P593" s="109" t="s">
        <v>590</v>
      </c>
      <c r="Q593" s="114"/>
      <c r="R593" s="109" t="n">
        <v>6</v>
      </c>
      <c r="S593" s="109" t="s">
        <v>611</v>
      </c>
      <c r="T593" s="109" t="s">
        <v>629</v>
      </c>
      <c r="U593" s="109" t="s">
        <v>2026</v>
      </c>
      <c r="V593" s="115" t="n">
        <v>10.17</v>
      </c>
      <c r="W593" s="115"/>
      <c r="X593" s="109" t="s">
        <v>1536</v>
      </c>
      <c r="Y593" s="109"/>
      <c r="Z593" s="109"/>
      <c r="AA593" s="109"/>
      <c r="AB593" s="109" t="s">
        <v>244</v>
      </c>
      <c r="AC593" s="109" t="s">
        <v>538</v>
      </c>
      <c r="AD593" s="109" t="n">
        <f aca="false">IF(ISNUMBER(V593),ROUND(V593,6),"")</f>
        <v>10.17</v>
      </c>
      <c r="AE593" s="109" t="str">
        <f aca="false">IF(AND(AC593="yes",ISNUMBER(F593),IF(Compare!$H$5="All mapped",TRUE(),IF(Compare!$H$5="EXACT only",J593="EXACT",OR(J593="EXACT",J593="CLOSE")))),"yes","no")</f>
        <v>no</v>
      </c>
      <c r="AF593" s="109" t="str">
        <f aca="false">IF(ISNUMBER(H593),COUNTIFS($B$7:$B$3000,B593,$C$7:$C$3000,C593,$H$7:$H$3000,"&lt;"&amp;H593,$AH$7:$AH$3000,"yes")+COUNTIFS($B$7:B593,B593,$C$7:C593,C593,$H$7:H593,H593,$AH$7:AH593,"yes"),"")</f>
        <v/>
      </c>
      <c r="AG593" s="109" t="str">
        <f aca="false">IF(ISNUMBER(I593),COUNTIFS($B$7:$B$3000,B593,$C$7:$C$3000,C593,$I$7:$I$3000,"&lt;"&amp;I593,$AI$7:$AI$3000,"yes")+COUNTIFS($B$7:B593,B593,$C$7:C593,C593,$I$7:I593,I593,$AI$7:AI593,"yes"),"")</f>
        <v/>
      </c>
      <c r="AH593" s="109" t="str">
        <f aca="false">IF(ISNUMBER(H593),"yes","no")</f>
        <v>no</v>
      </c>
      <c r="AI593" s="109" t="str">
        <f aca="false">IF(ISNUMBER(I593),"yes","no")</f>
        <v>no</v>
      </c>
      <c r="AJ593" s="116" t="n">
        <v>46295</v>
      </c>
      <c r="AK593" s="109"/>
    </row>
    <row r="594" customFormat="false" ht="42" hidden="false" customHeight="true" outlineLevel="0" collapsed="false">
      <c r="A594" s="3"/>
      <c r="B594" s="36" t="s">
        <v>22</v>
      </c>
      <c r="C594" s="98" t="s">
        <v>15</v>
      </c>
      <c r="D594" s="98" t="s">
        <v>257</v>
      </c>
      <c r="E594" s="110" t="s">
        <v>2031</v>
      </c>
      <c r="F594" s="99" t="n">
        <v>21</v>
      </c>
      <c r="G594" s="98" t="s">
        <v>244</v>
      </c>
      <c r="H594" s="112" t="n">
        <f aca="false">IF(AND(AE594="yes",ISNUMBER(AD594)),AD594,"")</f>
        <v>21</v>
      </c>
      <c r="I594" s="95" t="n">
        <f aca="false">IF(AND(AE594="yes",ISNUMBER(AD594),ISNUMBER(INDEX(Sources!$G$7:$G$10,MATCH(AB594,Sources!$B$7:$B$10,0)))),ROUND(AD594/INDEX(Sources!$G$7:$G$10,MATCH(AB594,Sources!$B$7:$B$10,0)),6),"")</f>
        <v>21</v>
      </c>
      <c r="J594" s="98" t="s">
        <v>530</v>
      </c>
      <c r="K594" s="98" t="s">
        <v>586</v>
      </c>
      <c r="L594" s="96"/>
      <c r="M594" s="110" t="s">
        <v>2032</v>
      </c>
      <c r="N594" s="117" t="s">
        <v>2033</v>
      </c>
      <c r="O594" s="110" t="s">
        <v>1576</v>
      </c>
      <c r="P594" s="110" t="s">
        <v>590</v>
      </c>
      <c r="Q594" s="118"/>
      <c r="R594" s="110" t="n">
        <v>1</v>
      </c>
      <c r="S594" s="110"/>
      <c r="T594" s="110" t="s">
        <v>530</v>
      </c>
      <c r="U594" s="110" t="s">
        <v>2026</v>
      </c>
      <c r="V594" s="119" t="n">
        <v>21</v>
      </c>
      <c r="W594" s="119"/>
      <c r="X594" s="110" t="s">
        <v>1536</v>
      </c>
      <c r="Y594" s="110"/>
      <c r="Z594" s="110"/>
      <c r="AA594" s="110"/>
      <c r="AB594" s="110" t="s">
        <v>244</v>
      </c>
      <c r="AC594" s="110" t="s">
        <v>538</v>
      </c>
      <c r="AD594" s="110" t="n">
        <f aca="false">IF(ISNUMBER(V594),ROUND(V594,6),"")</f>
        <v>21</v>
      </c>
      <c r="AE594" s="110" t="str">
        <f aca="false">IF(AND(AC594="yes",ISNUMBER(F594),IF(Compare!$H$5="All mapped",TRUE(),IF(Compare!$H$5="EXACT only",J594="EXACT",OR(J594="EXACT",J594="CLOSE")))),"yes","no")</f>
        <v>yes</v>
      </c>
      <c r="AF594" s="110" t="n">
        <f aca="false">IF(ISNUMBER(H594),COUNTIFS($B$7:$B$3000,B594,$C$7:$C$3000,C594,$H$7:$H$3000,"&lt;"&amp;H594,$AH$7:$AH$3000,"yes")+COUNTIFS($B$7:B594,B594,$C$7:C594,C594,$H$7:H594,H594,$AH$7:AH594,"yes"),"")</f>
        <v>9</v>
      </c>
      <c r="AG594" s="110" t="n">
        <f aca="false">IF(ISNUMBER(I594),COUNTIFS($B$7:$B$3000,B594,$C$7:$C$3000,C594,$I$7:$I$3000,"&lt;"&amp;I594,$AI$7:$AI$3000,"yes")+COUNTIFS($B$7:B594,B594,$C$7:C594,C594,$I$7:I594,I594,$AI$7:AI594,"yes"),"")</f>
        <v>9</v>
      </c>
      <c r="AH594" s="110" t="str">
        <f aca="false">IF(ISNUMBER(H594),"yes","no")</f>
        <v>yes</v>
      </c>
      <c r="AI594" s="110" t="str">
        <f aca="false">IF(ISNUMBER(I594),"yes","no")</f>
        <v>yes</v>
      </c>
      <c r="AJ594" s="120" t="n">
        <v>46295</v>
      </c>
      <c r="AK594" s="110"/>
    </row>
    <row r="595" customFormat="false" ht="42" hidden="false" customHeight="true" outlineLevel="0" collapsed="false">
      <c r="A595" s="3"/>
      <c r="B595" s="31" t="s">
        <v>23</v>
      </c>
      <c r="C595" s="91" t="s">
        <v>15</v>
      </c>
      <c r="D595" s="91" t="s">
        <v>277</v>
      </c>
      <c r="E595" s="109" t="s">
        <v>751</v>
      </c>
      <c r="F595" s="92" t="n">
        <v>39.99</v>
      </c>
      <c r="G595" s="91" t="s">
        <v>244</v>
      </c>
      <c r="H595" s="112" t="n">
        <f aca="false">IF(AND(AE595="yes",ISNUMBER(AD595)),AD595,"")</f>
        <v>3.33</v>
      </c>
      <c r="I595" s="95" t="n">
        <f aca="false">IF(AND(AE595="yes",ISNUMBER(AD595),ISNUMBER(INDEX(Sources!$G$7:$G$10,MATCH(AB595,Sources!$B$7:$B$10,0)))),ROUND(AD595/INDEX(Sources!$G$7:$G$10,MATCH(AB595,Sources!$B$7:$B$10,0)),6),"")</f>
        <v>3.33</v>
      </c>
      <c r="J595" s="91" t="s">
        <v>530</v>
      </c>
      <c r="K595" s="91" t="s">
        <v>586</v>
      </c>
      <c r="L595" s="96"/>
      <c r="M595" s="109" t="s">
        <v>2034</v>
      </c>
      <c r="N595" s="113" t="s">
        <v>2035</v>
      </c>
      <c r="O595" s="109" t="s">
        <v>610</v>
      </c>
      <c r="P595" s="109" t="s">
        <v>590</v>
      </c>
      <c r="Q595" s="114"/>
      <c r="R595" s="109" t="n">
        <v>12</v>
      </c>
      <c r="S595" s="109" t="s">
        <v>754</v>
      </c>
      <c r="T595" s="109" t="s">
        <v>530</v>
      </c>
      <c r="U595" s="109" t="s">
        <v>2026</v>
      </c>
      <c r="V595" s="115" t="n">
        <v>3.33</v>
      </c>
      <c r="W595" s="115"/>
      <c r="X595" s="109" t="s">
        <v>1536</v>
      </c>
      <c r="Y595" s="109"/>
      <c r="Z595" s="109"/>
      <c r="AA595" s="109"/>
      <c r="AB595" s="109" t="s">
        <v>244</v>
      </c>
      <c r="AC595" s="109" t="s">
        <v>538</v>
      </c>
      <c r="AD595" s="109" t="n">
        <f aca="false">IF(ISNUMBER(V595),ROUND(V595,6),"")</f>
        <v>3.33</v>
      </c>
      <c r="AE595" s="109" t="str">
        <f aca="false">IF(AND(AC595="yes",ISNUMBER(F595),IF(Compare!$H$5="All mapped",TRUE(),IF(Compare!$H$5="EXACT only",J595="EXACT",OR(J595="EXACT",J595="CLOSE")))),"yes","no")</f>
        <v>yes</v>
      </c>
      <c r="AF595" s="109" t="n">
        <f aca="false">IF(ISNUMBER(H595),COUNTIFS($B$7:$B$3000,B595,$C$7:$C$3000,C595,$H$7:$H$3000,"&lt;"&amp;H595,$AH$7:$AH$3000,"yes")+COUNTIFS($B$7:B595,B595,$C$7:C595,C595,$H$7:H595,H595,$AH$7:AH595,"yes"),"")</f>
        <v>1</v>
      </c>
      <c r="AG595" s="109" t="n">
        <f aca="false">IF(ISNUMBER(I595),COUNTIFS($B$7:$B$3000,B595,$C$7:$C$3000,C595,$I$7:$I$3000,"&lt;"&amp;I595,$AI$7:$AI$3000,"yes")+COUNTIFS($B$7:B595,B595,$C$7:C595,C595,$I$7:I595,I595,$AI$7:AI595,"yes"),"")</f>
        <v>1</v>
      </c>
      <c r="AH595" s="109" t="str">
        <f aca="false">IF(ISNUMBER(H595),"yes","no")</f>
        <v>yes</v>
      </c>
      <c r="AI595" s="109" t="str">
        <f aca="false">IF(ISNUMBER(I595),"yes","no")</f>
        <v>yes</v>
      </c>
      <c r="AJ595" s="116" t="n">
        <v>46295</v>
      </c>
      <c r="AK595" s="109"/>
    </row>
    <row r="596" customFormat="false" ht="42" hidden="false" customHeight="true" outlineLevel="0" collapsed="false">
      <c r="A596" s="3"/>
      <c r="B596" s="36" t="s">
        <v>23</v>
      </c>
      <c r="C596" s="98" t="s">
        <v>15</v>
      </c>
      <c r="D596" s="98" t="s">
        <v>257</v>
      </c>
      <c r="E596" s="110" t="s">
        <v>2036</v>
      </c>
      <c r="F596" s="99" t="n">
        <v>4.75</v>
      </c>
      <c r="G596" s="98" t="s">
        <v>244</v>
      </c>
      <c r="H596" s="112" t="n">
        <f aca="false">IF(AND(AE596="yes",ISNUMBER(AD596)),AD596,"")</f>
        <v>4.75</v>
      </c>
      <c r="I596" s="95" t="n">
        <f aca="false">IF(AND(AE596="yes",ISNUMBER(AD596),ISNUMBER(INDEX(Sources!$G$7:$G$10,MATCH(AB596,Sources!$B$7:$B$10,0)))),ROUND(AD596/INDEX(Sources!$G$7:$G$10,MATCH(AB596,Sources!$B$7:$B$10,0)),6),"")</f>
        <v>4.75</v>
      </c>
      <c r="J596" s="98" t="s">
        <v>530</v>
      </c>
      <c r="K596" s="98" t="s">
        <v>586</v>
      </c>
      <c r="L596" s="96"/>
      <c r="M596" s="110" t="s">
        <v>2037</v>
      </c>
      <c r="N596" s="117" t="s">
        <v>2038</v>
      </c>
      <c r="O596" s="110" t="s">
        <v>388</v>
      </c>
      <c r="P596" s="110" t="s">
        <v>590</v>
      </c>
      <c r="Q596" s="118"/>
      <c r="R596" s="110" t="n">
        <v>1</v>
      </c>
      <c r="S596" s="110"/>
      <c r="T596" s="110" t="s">
        <v>530</v>
      </c>
      <c r="U596" s="110" t="s">
        <v>2026</v>
      </c>
      <c r="V596" s="119" t="n">
        <v>4.75</v>
      </c>
      <c r="W596" s="119"/>
      <c r="X596" s="110" t="s">
        <v>1536</v>
      </c>
      <c r="Y596" s="110"/>
      <c r="Z596" s="110"/>
      <c r="AA596" s="110"/>
      <c r="AB596" s="110" t="s">
        <v>244</v>
      </c>
      <c r="AC596" s="110" t="s">
        <v>538</v>
      </c>
      <c r="AD596" s="110" t="n">
        <f aca="false">IF(ISNUMBER(V596),ROUND(V596,6),"")</f>
        <v>4.75</v>
      </c>
      <c r="AE596" s="110" t="str">
        <f aca="false">IF(AND(AC596="yes",ISNUMBER(F596),IF(Compare!$H$5="All mapped",TRUE(),IF(Compare!$H$5="EXACT only",J596="EXACT",OR(J596="EXACT",J596="CLOSE")))),"yes","no")</f>
        <v>yes</v>
      </c>
      <c r="AF596" s="110" t="n">
        <f aca="false">IF(ISNUMBER(H596),COUNTIFS($B$7:$B$3000,B596,$C$7:$C$3000,C596,$H$7:$H$3000,"&lt;"&amp;H596,$AH$7:$AH$3000,"yes")+COUNTIFS($B$7:B596,B596,$C$7:C596,C596,$H$7:H596,H596,$AH$7:AH596,"yes"),"")</f>
        <v>4</v>
      </c>
      <c r="AG596" s="110" t="n">
        <f aca="false">IF(ISNUMBER(I596),COUNTIFS($B$7:$B$3000,B596,$C$7:$C$3000,C596,$I$7:$I$3000,"&lt;"&amp;I596,$AI$7:$AI$3000,"yes")+COUNTIFS($B$7:B596,B596,$C$7:C596,C596,$I$7:I596,I596,$AI$7:AI596,"yes"),"")</f>
        <v>4</v>
      </c>
      <c r="AH596" s="110" t="str">
        <f aca="false">IF(ISNUMBER(H596),"yes","no")</f>
        <v>yes</v>
      </c>
      <c r="AI596" s="110" t="str">
        <f aca="false">IF(ISNUMBER(I596),"yes","no")</f>
        <v>yes</v>
      </c>
      <c r="AJ596" s="120" t="n">
        <v>46295</v>
      </c>
      <c r="AK596" s="110"/>
    </row>
    <row r="597" customFormat="false" ht="42" hidden="false" customHeight="true" outlineLevel="0" collapsed="false">
      <c r="A597" s="3"/>
      <c r="B597" s="31" t="s">
        <v>24</v>
      </c>
      <c r="C597" s="91" t="s">
        <v>15</v>
      </c>
      <c r="D597" s="91" t="s">
        <v>277</v>
      </c>
      <c r="E597" s="109" t="s">
        <v>806</v>
      </c>
      <c r="F597" s="92" t="n">
        <v>29.49</v>
      </c>
      <c r="G597" s="91" t="s">
        <v>244</v>
      </c>
      <c r="H597" s="112" t="n">
        <f aca="false">IF(AND(AE597="yes",ISNUMBER(AD597)),AD597,"")</f>
        <v>2.46</v>
      </c>
      <c r="I597" s="95" t="n">
        <f aca="false">IF(AND(AE597="yes",ISNUMBER(AD597),ISNUMBER(INDEX(Sources!$G$7:$G$10,MATCH(AB597,Sources!$B$7:$B$10,0)))),ROUND(AD597/INDEX(Sources!$G$7:$G$10,MATCH(AB597,Sources!$B$7:$B$10,0)),6),"")</f>
        <v>2.46</v>
      </c>
      <c r="J597" s="91" t="s">
        <v>530</v>
      </c>
      <c r="K597" s="91" t="s">
        <v>586</v>
      </c>
      <c r="L597" s="96"/>
      <c r="M597" s="109" t="s">
        <v>2039</v>
      </c>
      <c r="N597" s="113" t="s">
        <v>2040</v>
      </c>
      <c r="O597" s="109" t="s">
        <v>610</v>
      </c>
      <c r="P597" s="109" t="s">
        <v>590</v>
      </c>
      <c r="Q597" s="114"/>
      <c r="R597" s="109" t="n">
        <v>12</v>
      </c>
      <c r="S597" s="109" t="s">
        <v>809</v>
      </c>
      <c r="T597" s="109" t="s">
        <v>530</v>
      </c>
      <c r="U597" s="109" t="s">
        <v>2026</v>
      </c>
      <c r="V597" s="115" t="n">
        <v>2.46</v>
      </c>
      <c r="W597" s="115"/>
      <c r="X597" s="109" t="s">
        <v>1536</v>
      </c>
      <c r="Y597" s="109"/>
      <c r="Z597" s="109"/>
      <c r="AA597" s="109"/>
      <c r="AB597" s="109" t="s">
        <v>244</v>
      </c>
      <c r="AC597" s="109" t="s">
        <v>538</v>
      </c>
      <c r="AD597" s="109" t="n">
        <f aca="false">IF(ISNUMBER(V597),ROUND(V597,6),"")</f>
        <v>2.46</v>
      </c>
      <c r="AE597" s="109" t="str">
        <f aca="false">IF(AND(AC597="yes",ISNUMBER(F597),IF(Compare!$H$5="All mapped",TRUE(),IF(Compare!$H$5="EXACT only",J597="EXACT",OR(J597="EXACT",J597="CLOSE")))),"yes","no")</f>
        <v>yes</v>
      </c>
      <c r="AF597" s="109" t="n">
        <f aca="false">IF(ISNUMBER(H597),COUNTIFS($B$7:$B$3000,B597,$C$7:$C$3000,C597,$H$7:$H$3000,"&lt;"&amp;H597,$AH$7:$AH$3000,"yes")+COUNTIFS($B$7:B597,B597,$C$7:C597,C597,$H$7:H597,H597,$AH$7:AH597,"yes"),"")</f>
        <v>1</v>
      </c>
      <c r="AG597" s="109" t="n">
        <f aca="false">IF(ISNUMBER(I597),COUNTIFS($B$7:$B$3000,B597,$C$7:$C$3000,C597,$I$7:$I$3000,"&lt;"&amp;I597,$AI$7:$AI$3000,"yes")+COUNTIFS($B$7:B597,B597,$C$7:C597,C597,$I$7:I597,I597,$AI$7:AI597,"yes"),"")</f>
        <v>1</v>
      </c>
      <c r="AH597" s="109" t="str">
        <f aca="false">IF(ISNUMBER(H597),"yes","no")</f>
        <v>yes</v>
      </c>
      <c r="AI597" s="109" t="str">
        <f aca="false">IF(ISNUMBER(I597),"yes","no")</f>
        <v>yes</v>
      </c>
      <c r="AJ597" s="116" t="n">
        <v>46295</v>
      </c>
      <c r="AK597" s="109"/>
    </row>
    <row r="598" customFormat="false" ht="42" hidden="false" customHeight="true" outlineLevel="0" collapsed="false">
      <c r="A598" s="3"/>
      <c r="B598" s="36" t="s">
        <v>24</v>
      </c>
      <c r="C598" s="98" t="s">
        <v>15</v>
      </c>
      <c r="D598" s="98" t="s">
        <v>257</v>
      </c>
      <c r="E598" s="110" t="s">
        <v>2041</v>
      </c>
      <c r="F598" s="99" t="n">
        <v>5.55</v>
      </c>
      <c r="G598" s="98" t="s">
        <v>244</v>
      </c>
      <c r="H598" s="112" t="n">
        <f aca="false">IF(AND(AE598="yes",ISNUMBER(AD598)),AD598,"")</f>
        <v>5.55</v>
      </c>
      <c r="I598" s="95" t="n">
        <f aca="false">IF(AND(AE598="yes",ISNUMBER(AD598),ISNUMBER(INDEX(Sources!$G$7:$G$10,MATCH(AB598,Sources!$B$7:$B$10,0)))),ROUND(AD598/INDEX(Sources!$G$7:$G$10,MATCH(AB598,Sources!$B$7:$B$10,0)),6),"")</f>
        <v>5.55</v>
      </c>
      <c r="J598" s="98" t="s">
        <v>530</v>
      </c>
      <c r="K598" s="98" t="s">
        <v>586</v>
      </c>
      <c r="L598" s="96"/>
      <c r="M598" s="110" t="s">
        <v>2042</v>
      </c>
      <c r="N598" s="117" t="s">
        <v>2043</v>
      </c>
      <c r="O598" s="110" t="s">
        <v>388</v>
      </c>
      <c r="P598" s="110" t="s">
        <v>590</v>
      </c>
      <c r="Q598" s="118"/>
      <c r="R598" s="110" t="n">
        <v>1</v>
      </c>
      <c r="S598" s="110"/>
      <c r="T598" s="110" t="s">
        <v>530</v>
      </c>
      <c r="U598" s="110" t="s">
        <v>2026</v>
      </c>
      <c r="V598" s="119" t="n">
        <v>5.55</v>
      </c>
      <c r="W598" s="119"/>
      <c r="X598" s="110" t="s">
        <v>1536</v>
      </c>
      <c r="Y598" s="110"/>
      <c r="Z598" s="110"/>
      <c r="AA598" s="110"/>
      <c r="AB598" s="110" t="s">
        <v>244</v>
      </c>
      <c r="AC598" s="110" t="s">
        <v>538</v>
      </c>
      <c r="AD598" s="110" t="n">
        <f aca="false">IF(ISNUMBER(V598),ROUND(V598,6),"")</f>
        <v>5.55</v>
      </c>
      <c r="AE598" s="110" t="str">
        <f aca="false">IF(AND(AC598="yes",ISNUMBER(F598),IF(Compare!$H$5="All mapped",TRUE(),IF(Compare!$H$5="EXACT only",J598="EXACT",OR(J598="EXACT",J598="CLOSE")))),"yes","no")</f>
        <v>yes</v>
      </c>
      <c r="AF598" s="110" t="n">
        <f aca="false">IF(ISNUMBER(H598),COUNTIFS($B$7:$B$3000,B598,$C$7:$C$3000,C598,$H$7:$H$3000,"&lt;"&amp;H598,$AH$7:$AH$3000,"yes")+COUNTIFS($B$7:B598,B598,$C$7:C598,C598,$H$7:H598,H598,$AH$7:AH598,"yes"),"")</f>
        <v>4</v>
      </c>
      <c r="AG598" s="110" t="n">
        <f aca="false">IF(ISNUMBER(I598),COUNTIFS($B$7:$B$3000,B598,$C$7:$C$3000,C598,$I$7:$I$3000,"&lt;"&amp;I598,$AI$7:$AI$3000,"yes")+COUNTIFS($B$7:B598,B598,$C$7:C598,C598,$I$7:I598,I598,$AI$7:AI598,"yes"),"")</f>
        <v>4</v>
      </c>
      <c r="AH598" s="110" t="str">
        <f aca="false">IF(ISNUMBER(H598),"yes","no")</f>
        <v>yes</v>
      </c>
      <c r="AI598" s="110" t="str">
        <f aca="false">IF(ISNUMBER(I598),"yes","no")</f>
        <v>yes</v>
      </c>
      <c r="AJ598" s="120" t="n">
        <v>46295</v>
      </c>
      <c r="AK598" s="110"/>
    </row>
    <row r="599" customFormat="false" ht="42" hidden="false" customHeight="true" outlineLevel="0" collapsed="false">
      <c r="A599" s="3"/>
      <c r="B599" s="31" t="s">
        <v>25</v>
      </c>
      <c r="C599" s="91" t="s">
        <v>15</v>
      </c>
      <c r="D599" s="91" t="s">
        <v>277</v>
      </c>
      <c r="E599" s="109" t="s">
        <v>856</v>
      </c>
      <c r="F599" s="92" t="n">
        <v>51.99</v>
      </c>
      <c r="G599" s="91" t="s">
        <v>244</v>
      </c>
      <c r="H599" s="112" t="n">
        <f aca="false">IF(AND(AE599="yes",ISNUMBER(AD599)),AD599,"")</f>
        <v>4.33</v>
      </c>
      <c r="I599" s="95" t="n">
        <f aca="false">IF(AND(AE599="yes",ISNUMBER(AD599),ISNUMBER(INDEX(Sources!$G$7:$G$10,MATCH(AB599,Sources!$B$7:$B$10,0)))),ROUND(AD599/INDEX(Sources!$G$7:$G$10,MATCH(AB599,Sources!$B$7:$B$10,0)),6),"")</f>
        <v>4.33</v>
      </c>
      <c r="J599" s="91" t="s">
        <v>702</v>
      </c>
      <c r="K599" s="91" t="s">
        <v>586</v>
      </c>
      <c r="L599" s="96"/>
      <c r="M599" s="109" t="s">
        <v>857</v>
      </c>
      <c r="N599" s="113" t="s">
        <v>2044</v>
      </c>
      <c r="O599" s="109" t="s">
        <v>610</v>
      </c>
      <c r="P599" s="109" t="s">
        <v>590</v>
      </c>
      <c r="Q599" s="114"/>
      <c r="R599" s="109" t="n">
        <v>12</v>
      </c>
      <c r="S599" s="109" t="s">
        <v>754</v>
      </c>
      <c r="T599" s="109" t="s">
        <v>702</v>
      </c>
      <c r="U599" s="109" t="s">
        <v>2026</v>
      </c>
      <c r="V599" s="115" t="n">
        <v>4.33</v>
      </c>
      <c r="W599" s="115"/>
      <c r="X599" s="109" t="s">
        <v>1536</v>
      </c>
      <c r="Y599" s="109"/>
      <c r="Z599" s="109"/>
      <c r="AA599" s="109"/>
      <c r="AB599" s="109" t="s">
        <v>244</v>
      </c>
      <c r="AC599" s="109" t="s">
        <v>538</v>
      </c>
      <c r="AD599" s="109" t="n">
        <f aca="false">IF(ISNUMBER(V599),ROUND(V599,6),"")</f>
        <v>4.33</v>
      </c>
      <c r="AE599" s="109" t="str">
        <f aca="false">IF(AND(AC599="yes",ISNUMBER(F599),IF(Compare!$H$5="All mapped",TRUE(),IF(Compare!$H$5="EXACT only",J599="EXACT",OR(J599="EXACT",J599="CLOSE")))),"yes","no")</f>
        <v>yes</v>
      </c>
      <c r="AF599" s="109" t="n">
        <f aca="false">IF(ISNUMBER(H599),COUNTIFS($B$7:$B$3000,B599,$C$7:$C$3000,C599,$H$7:$H$3000,"&lt;"&amp;H599,$AH$7:$AH$3000,"yes")+COUNTIFS($B$7:B599,B599,$C$7:C599,C599,$H$7:H599,H599,$AH$7:AH599,"yes"),"")</f>
        <v>7</v>
      </c>
      <c r="AG599" s="109" t="n">
        <f aca="false">IF(ISNUMBER(I599),COUNTIFS($B$7:$B$3000,B599,$C$7:$C$3000,C599,$I$7:$I$3000,"&lt;"&amp;I599,$AI$7:$AI$3000,"yes")+COUNTIFS($B$7:B599,B599,$C$7:C599,C599,$I$7:I599,I599,$AI$7:AI599,"yes"),"")</f>
        <v>7</v>
      </c>
      <c r="AH599" s="109" t="str">
        <f aca="false">IF(ISNUMBER(H599),"yes","no")</f>
        <v>yes</v>
      </c>
      <c r="AI599" s="109" t="str">
        <f aca="false">IF(ISNUMBER(I599),"yes","no")</f>
        <v>yes</v>
      </c>
      <c r="AJ599" s="116" t="n">
        <v>46295</v>
      </c>
      <c r="AK599" s="109"/>
    </row>
    <row r="600" customFormat="false" ht="42" hidden="false" customHeight="true" outlineLevel="0" collapsed="false">
      <c r="A600" s="3"/>
      <c r="B600" s="36" t="s">
        <v>26</v>
      </c>
      <c r="C600" s="98" t="s">
        <v>15</v>
      </c>
      <c r="D600" s="98" t="s">
        <v>277</v>
      </c>
      <c r="E600" s="110" t="s">
        <v>901</v>
      </c>
      <c r="F600" s="99" t="n">
        <v>35.99</v>
      </c>
      <c r="G600" s="98" t="s">
        <v>244</v>
      </c>
      <c r="H600" s="112" t="n">
        <f aca="false">IF(AND(AE600="yes",ISNUMBER(AD600)),AD600,"")</f>
        <v>6</v>
      </c>
      <c r="I600" s="95" t="n">
        <f aca="false">IF(AND(AE600="yes",ISNUMBER(AD600),ISNUMBER(INDEX(Sources!$G$7:$G$10,MATCH(AB600,Sources!$B$7:$B$10,0)))),ROUND(AD600/INDEX(Sources!$G$7:$G$10,MATCH(AB600,Sources!$B$7:$B$10,0)),6),"")</f>
        <v>6</v>
      </c>
      <c r="J600" s="98" t="s">
        <v>702</v>
      </c>
      <c r="K600" s="98" t="s">
        <v>586</v>
      </c>
      <c r="L600" s="96"/>
      <c r="M600" s="110" t="s">
        <v>902</v>
      </c>
      <c r="N600" s="117" t="s">
        <v>2045</v>
      </c>
      <c r="O600" s="110" t="s">
        <v>610</v>
      </c>
      <c r="P600" s="110" t="s">
        <v>590</v>
      </c>
      <c r="Q600" s="118"/>
      <c r="R600" s="110" t="n">
        <v>6</v>
      </c>
      <c r="S600" s="110" t="s">
        <v>611</v>
      </c>
      <c r="T600" s="110" t="s">
        <v>702</v>
      </c>
      <c r="U600" s="110" t="s">
        <v>2026</v>
      </c>
      <c r="V600" s="119" t="n">
        <v>6</v>
      </c>
      <c r="W600" s="119"/>
      <c r="X600" s="110" t="s">
        <v>1536</v>
      </c>
      <c r="Y600" s="110"/>
      <c r="Z600" s="110"/>
      <c r="AA600" s="110"/>
      <c r="AB600" s="110" t="s">
        <v>244</v>
      </c>
      <c r="AC600" s="110" t="s">
        <v>538</v>
      </c>
      <c r="AD600" s="110" t="n">
        <f aca="false">IF(ISNUMBER(V600),ROUND(V600,6),"")</f>
        <v>6</v>
      </c>
      <c r="AE600" s="110" t="str">
        <f aca="false">IF(AND(AC600="yes",ISNUMBER(F600),IF(Compare!$H$5="All mapped",TRUE(),IF(Compare!$H$5="EXACT only",J600="EXACT",OR(J600="EXACT",J600="CLOSE")))),"yes","no")</f>
        <v>yes</v>
      </c>
      <c r="AF600" s="110" t="n">
        <f aca="false">IF(ISNUMBER(H600),COUNTIFS($B$7:$B$3000,B600,$C$7:$C$3000,C600,$H$7:$H$3000,"&lt;"&amp;H600,$AH$7:$AH$3000,"yes")+COUNTIFS($B$7:B600,B600,$C$7:C600,C600,$H$7:H600,H600,$AH$7:AH600,"yes"),"")</f>
        <v>5</v>
      </c>
      <c r="AG600" s="110" t="n">
        <f aca="false">IF(ISNUMBER(I600),COUNTIFS($B$7:$B$3000,B600,$C$7:$C$3000,C600,$I$7:$I$3000,"&lt;"&amp;I600,$AI$7:$AI$3000,"yes")+COUNTIFS($B$7:B600,B600,$C$7:C600,C600,$I$7:I600,I600,$AI$7:AI600,"yes"),"")</f>
        <v>5</v>
      </c>
      <c r="AH600" s="110" t="str">
        <f aca="false">IF(ISNUMBER(H600),"yes","no")</f>
        <v>yes</v>
      </c>
      <c r="AI600" s="110" t="str">
        <f aca="false">IF(ISNUMBER(I600),"yes","no")</f>
        <v>yes</v>
      </c>
      <c r="AJ600" s="120" t="n">
        <v>46295</v>
      </c>
      <c r="AK600" s="110"/>
    </row>
    <row r="601" customFormat="false" ht="42" hidden="false" customHeight="true" outlineLevel="0" collapsed="false">
      <c r="A601" s="3"/>
      <c r="B601" s="31" t="s">
        <v>28</v>
      </c>
      <c r="C601" s="91" t="s">
        <v>15</v>
      </c>
      <c r="D601" s="91" t="s">
        <v>277</v>
      </c>
      <c r="E601" s="109" t="s">
        <v>984</v>
      </c>
      <c r="F601" s="92" t="n">
        <v>28.99</v>
      </c>
      <c r="G601" s="91" t="s">
        <v>244</v>
      </c>
      <c r="H601" s="112" t="n">
        <f aca="false">IF(AND(AE601="yes",ISNUMBER(AD601)),AD601,"")</f>
        <v>28.99</v>
      </c>
      <c r="I601" s="95" t="n">
        <f aca="false">IF(AND(AE601="yes",ISNUMBER(AD601),ISNUMBER(INDEX(Sources!$G$7:$G$10,MATCH(AB601,Sources!$B$7:$B$10,0)))),ROUND(AD601/INDEX(Sources!$G$7:$G$10,MATCH(AB601,Sources!$B$7:$B$10,0)),6),"")</f>
        <v>28.99</v>
      </c>
      <c r="J601" s="91" t="s">
        <v>530</v>
      </c>
      <c r="K601" s="91" t="s">
        <v>586</v>
      </c>
      <c r="L601" s="96"/>
      <c r="M601" s="109" t="s">
        <v>985</v>
      </c>
      <c r="N601" s="113" t="s">
        <v>2046</v>
      </c>
      <c r="O601" s="109" t="s">
        <v>610</v>
      </c>
      <c r="P601" s="109" t="s">
        <v>590</v>
      </c>
      <c r="Q601" s="114"/>
      <c r="R601" s="109" t="n">
        <v>1</v>
      </c>
      <c r="S601" s="109"/>
      <c r="T601" s="109" t="s">
        <v>530</v>
      </c>
      <c r="U601" s="109" t="s">
        <v>2026</v>
      </c>
      <c r="V601" s="115" t="n">
        <v>28.99</v>
      </c>
      <c r="W601" s="115"/>
      <c r="X601" s="109" t="s">
        <v>1536</v>
      </c>
      <c r="Y601" s="109"/>
      <c r="Z601" s="109"/>
      <c r="AA601" s="109"/>
      <c r="AB601" s="109" t="s">
        <v>244</v>
      </c>
      <c r="AC601" s="109" t="s">
        <v>538</v>
      </c>
      <c r="AD601" s="109" t="n">
        <f aca="false">IF(ISNUMBER(V601),ROUND(V601,6),"")</f>
        <v>28.99</v>
      </c>
      <c r="AE601" s="109" t="str">
        <f aca="false">IF(AND(AC601="yes",ISNUMBER(F601),IF(Compare!$H$5="All mapped",TRUE(),IF(Compare!$H$5="EXACT only",J601="EXACT",OR(J601="EXACT",J601="CLOSE")))),"yes","no")</f>
        <v>yes</v>
      </c>
      <c r="AF601" s="109" t="n">
        <f aca="false">IF(ISNUMBER(H601),COUNTIFS($B$7:$B$3000,B601,$C$7:$C$3000,C601,$H$7:$H$3000,"&lt;"&amp;H601,$AH$7:$AH$3000,"yes")+COUNTIFS($B$7:B601,B601,$C$7:C601,C601,$H$7:H601,H601,$AH$7:AH601,"yes"),"")</f>
        <v>3</v>
      </c>
      <c r="AG601" s="109" t="n">
        <f aca="false">IF(ISNUMBER(I601),COUNTIFS($B$7:$B$3000,B601,$C$7:$C$3000,C601,$I$7:$I$3000,"&lt;"&amp;I601,$AI$7:$AI$3000,"yes")+COUNTIFS($B$7:B601,B601,$C$7:C601,C601,$I$7:I601,I601,$AI$7:AI601,"yes"),"")</f>
        <v>3</v>
      </c>
      <c r="AH601" s="109" t="str">
        <f aca="false">IF(ISNUMBER(H601),"yes","no")</f>
        <v>yes</v>
      </c>
      <c r="AI601" s="109" t="str">
        <f aca="false">IF(ISNUMBER(I601),"yes","no")</f>
        <v>yes</v>
      </c>
      <c r="AJ601" s="116" t="n">
        <v>46295</v>
      </c>
      <c r="AK601" s="109"/>
    </row>
    <row r="602" customFormat="false" ht="42" hidden="false" customHeight="true" outlineLevel="0" collapsed="false">
      <c r="A602" s="3"/>
      <c r="B602" s="36" t="s">
        <v>29</v>
      </c>
      <c r="C602" s="98" t="s">
        <v>15</v>
      </c>
      <c r="D602" s="98" t="s">
        <v>277</v>
      </c>
      <c r="E602" s="110" t="s">
        <v>1050</v>
      </c>
      <c r="F602" s="99" t="n">
        <v>26.49</v>
      </c>
      <c r="G602" s="98" t="s">
        <v>244</v>
      </c>
      <c r="H602" s="112" t="n">
        <f aca="false">IF(AND(AE602="yes",ISNUMBER(AD602)),AD602,"")</f>
        <v>26.49</v>
      </c>
      <c r="I602" s="95" t="n">
        <f aca="false">IF(AND(AE602="yes",ISNUMBER(AD602),ISNUMBER(INDEX(Sources!$G$7:$G$10,MATCH(AB602,Sources!$B$7:$B$10,0)))),ROUND(AD602/INDEX(Sources!$G$7:$G$10,MATCH(AB602,Sources!$B$7:$B$10,0)),6),"")</f>
        <v>26.49</v>
      </c>
      <c r="J602" s="98" t="s">
        <v>530</v>
      </c>
      <c r="K602" s="98" t="s">
        <v>586</v>
      </c>
      <c r="L602" s="96"/>
      <c r="M602" s="110" t="s">
        <v>1051</v>
      </c>
      <c r="N602" s="117" t="s">
        <v>2047</v>
      </c>
      <c r="O602" s="110" t="s">
        <v>610</v>
      </c>
      <c r="P602" s="110" t="s">
        <v>590</v>
      </c>
      <c r="Q602" s="118"/>
      <c r="R602" s="110" t="n">
        <v>1</v>
      </c>
      <c r="S602" s="110"/>
      <c r="T602" s="110" t="s">
        <v>530</v>
      </c>
      <c r="U602" s="110" t="s">
        <v>2026</v>
      </c>
      <c r="V602" s="119" t="n">
        <v>26.49</v>
      </c>
      <c r="W602" s="119"/>
      <c r="X602" s="110" t="s">
        <v>1536</v>
      </c>
      <c r="Y602" s="110"/>
      <c r="Z602" s="110"/>
      <c r="AA602" s="110"/>
      <c r="AB602" s="110" t="s">
        <v>244</v>
      </c>
      <c r="AC602" s="110" t="s">
        <v>538</v>
      </c>
      <c r="AD602" s="110" t="n">
        <f aca="false">IF(ISNUMBER(V602),ROUND(V602,6),"")</f>
        <v>26.49</v>
      </c>
      <c r="AE602" s="110" t="str">
        <f aca="false">IF(AND(AC602="yes",ISNUMBER(F602),IF(Compare!$H$5="All mapped",TRUE(),IF(Compare!$H$5="EXACT only",J602="EXACT",OR(J602="EXACT",J602="CLOSE")))),"yes","no")</f>
        <v>yes</v>
      </c>
      <c r="AF602" s="110" t="n">
        <f aca="false">IF(ISNUMBER(H602),COUNTIFS($B$7:$B$3000,B602,$C$7:$C$3000,C602,$H$7:$H$3000,"&lt;"&amp;H602,$AH$7:$AH$3000,"yes")+COUNTIFS($B$7:B602,B602,$C$7:C602,C602,$H$7:H602,H602,$AH$7:AH602,"yes"),"")</f>
        <v>6</v>
      </c>
      <c r="AG602" s="110" t="n">
        <f aca="false">IF(ISNUMBER(I602),COUNTIFS($B$7:$B$3000,B602,$C$7:$C$3000,C602,$I$7:$I$3000,"&lt;"&amp;I602,$AI$7:$AI$3000,"yes")+COUNTIFS($B$7:B602,B602,$C$7:C602,C602,$I$7:I602,I602,$AI$7:AI602,"yes"),"")</f>
        <v>6</v>
      </c>
      <c r="AH602" s="110" t="str">
        <f aca="false">IF(ISNUMBER(H602),"yes","no")</f>
        <v>yes</v>
      </c>
      <c r="AI602" s="110" t="str">
        <f aca="false">IF(ISNUMBER(I602),"yes","no")</f>
        <v>yes</v>
      </c>
      <c r="AJ602" s="120" t="n">
        <v>46295</v>
      </c>
      <c r="AK602" s="110"/>
    </row>
    <row r="603" customFormat="false" ht="42" hidden="false" customHeight="true" outlineLevel="0" collapsed="false">
      <c r="A603" s="3"/>
      <c r="B603" s="31" t="s">
        <v>31</v>
      </c>
      <c r="C603" s="91" t="s">
        <v>15</v>
      </c>
      <c r="D603" s="91" t="s">
        <v>277</v>
      </c>
      <c r="E603" s="109" t="s">
        <v>1118</v>
      </c>
      <c r="F603" s="92" t="n">
        <v>29.49</v>
      </c>
      <c r="G603" s="91" t="s">
        <v>244</v>
      </c>
      <c r="H603" s="112" t="n">
        <f aca="false">IF(AND(AE603="yes",ISNUMBER(AD603)),AD603,"")</f>
        <v>29.49</v>
      </c>
      <c r="I603" s="95" t="n">
        <f aca="false">IF(AND(AE603="yes",ISNUMBER(AD603),ISNUMBER(INDEX(Sources!$G$7:$G$10,MATCH(AB603,Sources!$B$7:$B$10,0)))),ROUND(AD603/INDEX(Sources!$G$7:$G$10,MATCH(AB603,Sources!$B$7:$B$10,0)),6),"")</f>
        <v>29.49</v>
      </c>
      <c r="J603" s="91" t="s">
        <v>530</v>
      </c>
      <c r="K603" s="91" t="s">
        <v>586</v>
      </c>
      <c r="L603" s="96"/>
      <c r="M603" s="109" t="s">
        <v>1119</v>
      </c>
      <c r="N603" s="113" t="s">
        <v>2048</v>
      </c>
      <c r="O603" s="109" t="s">
        <v>610</v>
      </c>
      <c r="P603" s="109" t="s">
        <v>590</v>
      </c>
      <c r="Q603" s="114"/>
      <c r="R603" s="109" t="n">
        <v>1</v>
      </c>
      <c r="S603" s="109"/>
      <c r="T603" s="109" t="s">
        <v>530</v>
      </c>
      <c r="U603" s="109" t="s">
        <v>2026</v>
      </c>
      <c r="V603" s="115" t="n">
        <v>29.49</v>
      </c>
      <c r="W603" s="115"/>
      <c r="X603" s="109" t="s">
        <v>1536</v>
      </c>
      <c r="Y603" s="109"/>
      <c r="Z603" s="109"/>
      <c r="AA603" s="109"/>
      <c r="AB603" s="109" t="s">
        <v>244</v>
      </c>
      <c r="AC603" s="109" t="s">
        <v>538</v>
      </c>
      <c r="AD603" s="109" t="n">
        <f aca="false">IF(ISNUMBER(V603),ROUND(V603,6),"")</f>
        <v>29.49</v>
      </c>
      <c r="AE603" s="109" t="str">
        <f aca="false">IF(AND(AC603="yes",ISNUMBER(F603),IF(Compare!$H$5="All mapped",TRUE(),IF(Compare!$H$5="EXACT only",J603="EXACT",OR(J603="EXACT",J603="CLOSE")))),"yes","no")</f>
        <v>yes</v>
      </c>
      <c r="AF603" s="109" t="n">
        <f aca="false">IF(ISNUMBER(H603),COUNTIFS($B$7:$B$3000,B603,$C$7:$C$3000,C603,$H$7:$H$3000,"&lt;"&amp;H603,$AH$7:$AH$3000,"yes")+COUNTIFS($B$7:B603,B603,$C$7:C603,C603,$H$7:H603,H603,$AH$7:AH603,"yes"),"")</f>
        <v>3</v>
      </c>
      <c r="AG603" s="109" t="n">
        <f aca="false">IF(ISNUMBER(I603),COUNTIFS($B$7:$B$3000,B603,$C$7:$C$3000,C603,$I$7:$I$3000,"&lt;"&amp;I603,$AI$7:$AI$3000,"yes")+COUNTIFS($B$7:B603,B603,$C$7:C603,C603,$I$7:I603,I603,$AI$7:AI603,"yes"),"")</f>
        <v>3</v>
      </c>
      <c r="AH603" s="109" t="str">
        <f aca="false">IF(ISNUMBER(H603),"yes","no")</f>
        <v>yes</v>
      </c>
      <c r="AI603" s="109" t="str">
        <f aca="false">IF(ISNUMBER(I603),"yes","no")</f>
        <v>yes</v>
      </c>
      <c r="AJ603" s="116" t="n">
        <v>46295</v>
      </c>
      <c r="AK603" s="109"/>
    </row>
    <row r="604" customFormat="false" ht="42" hidden="false" customHeight="true" outlineLevel="0" collapsed="false">
      <c r="A604" s="3"/>
      <c r="B604" s="36" t="s">
        <v>34</v>
      </c>
      <c r="C604" s="98" t="s">
        <v>15</v>
      </c>
      <c r="D604" s="98" t="s">
        <v>277</v>
      </c>
      <c r="E604" s="110" t="s">
        <v>1237</v>
      </c>
      <c r="F604" s="99" t="n">
        <v>88.99</v>
      </c>
      <c r="G604" s="98" t="s">
        <v>244</v>
      </c>
      <c r="H604" s="112" t="n">
        <f aca="false">IF(AND(AE604="yes",ISNUMBER(AD604)),AD604,"")</f>
        <v>11.12</v>
      </c>
      <c r="I604" s="95" t="n">
        <f aca="false">IF(AND(AE604="yes",ISNUMBER(AD604),ISNUMBER(INDEX(Sources!$G$7:$G$10,MATCH(AB604,Sources!$B$7:$B$10,0)))),ROUND(AD604/INDEX(Sources!$G$7:$G$10,MATCH(AB604,Sources!$B$7:$B$10,0)),6),"")</f>
        <v>11.12</v>
      </c>
      <c r="J604" s="98" t="s">
        <v>702</v>
      </c>
      <c r="K604" s="98" t="s">
        <v>586</v>
      </c>
      <c r="L604" s="96"/>
      <c r="M604" s="110" t="s">
        <v>1238</v>
      </c>
      <c r="N604" s="117" t="s">
        <v>2049</v>
      </c>
      <c r="O604" s="110" t="s">
        <v>610</v>
      </c>
      <c r="P604" s="110" t="s">
        <v>590</v>
      </c>
      <c r="Q604" s="118"/>
      <c r="R604" s="110" t="n">
        <v>8</v>
      </c>
      <c r="S604" s="110" t="s">
        <v>1240</v>
      </c>
      <c r="T604" s="110" t="s">
        <v>702</v>
      </c>
      <c r="U604" s="110" t="s">
        <v>2026</v>
      </c>
      <c r="V604" s="119" t="n">
        <v>11.12</v>
      </c>
      <c r="W604" s="119"/>
      <c r="X604" s="110" t="s">
        <v>1536</v>
      </c>
      <c r="Y604" s="110"/>
      <c r="Z604" s="110"/>
      <c r="AA604" s="110"/>
      <c r="AB604" s="110" t="s">
        <v>244</v>
      </c>
      <c r="AC604" s="110" t="s">
        <v>538</v>
      </c>
      <c r="AD604" s="110" t="n">
        <f aca="false">IF(ISNUMBER(V604),ROUND(V604,6),"")</f>
        <v>11.12</v>
      </c>
      <c r="AE604" s="110" t="str">
        <f aca="false">IF(AND(AC604="yes",ISNUMBER(F604),IF(Compare!$H$5="All mapped",TRUE(),IF(Compare!$H$5="EXACT only",J604="EXACT",OR(J604="EXACT",J604="CLOSE")))),"yes","no")</f>
        <v>yes</v>
      </c>
      <c r="AF604" s="110" t="n">
        <f aca="false">IF(ISNUMBER(H604),COUNTIFS($B$7:$B$3000,B604,$C$7:$C$3000,C604,$H$7:$H$3000,"&lt;"&amp;H604,$AH$7:$AH$3000,"yes")+COUNTIFS($B$7:B604,B604,$C$7:C604,C604,$H$7:H604,H604,$AH$7:AH604,"yes"),"")</f>
        <v>2</v>
      </c>
      <c r="AG604" s="110" t="n">
        <f aca="false">IF(ISNUMBER(I604),COUNTIFS($B$7:$B$3000,B604,$C$7:$C$3000,C604,$I$7:$I$3000,"&lt;"&amp;I604,$AI$7:$AI$3000,"yes")+COUNTIFS($B$7:B604,B604,$C$7:C604,C604,$I$7:I604,I604,$AI$7:AI604,"yes"),"")</f>
        <v>2</v>
      </c>
      <c r="AH604" s="110" t="str">
        <f aca="false">IF(ISNUMBER(H604),"yes","no")</f>
        <v>yes</v>
      </c>
      <c r="AI604" s="110" t="str">
        <f aca="false">IF(ISNUMBER(I604),"yes","no")</f>
        <v>yes</v>
      </c>
      <c r="AJ604" s="120" t="n">
        <v>46295</v>
      </c>
      <c r="AK604" s="110"/>
    </row>
    <row r="605" customFormat="false" ht="42" hidden="false" customHeight="true" outlineLevel="0" collapsed="false">
      <c r="A605" s="3"/>
      <c r="B605" s="31" t="s">
        <v>37</v>
      </c>
      <c r="C605" s="91" t="s">
        <v>15</v>
      </c>
      <c r="D605" s="91" t="s">
        <v>277</v>
      </c>
      <c r="E605" s="109" t="s">
        <v>1352</v>
      </c>
      <c r="F605" s="92" t="n">
        <v>76.99</v>
      </c>
      <c r="G605" s="91" t="s">
        <v>244</v>
      </c>
      <c r="H605" s="112" t="n">
        <f aca="false">IF(AND(AE605="yes",ISNUMBER(AD605)),AD605,"")</f>
        <v>9.62</v>
      </c>
      <c r="I605" s="95" t="n">
        <f aca="false">IF(AND(AE605="yes",ISNUMBER(AD605),ISNUMBER(INDEX(Sources!$G$7:$G$10,MATCH(AB605,Sources!$B$7:$B$10,0)))),ROUND(AD605/INDEX(Sources!$G$7:$G$10,MATCH(AB605,Sources!$B$7:$B$10,0)),6),"")</f>
        <v>9.62</v>
      </c>
      <c r="J605" s="91" t="s">
        <v>702</v>
      </c>
      <c r="K605" s="91" t="s">
        <v>586</v>
      </c>
      <c r="L605" s="96"/>
      <c r="M605" s="109" t="s">
        <v>1353</v>
      </c>
      <c r="N605" s="113" t="s">
        <v>2050</v>
      </c>
      <c r="O605" s="109" t="s">
        <v>610</v>
      </c>
      <c r="P605" s="109" t="s">
        <v>590</v>
      </c>
      <c r="Q605" s="114"/>
      <c r="R605" s="109" t="n">
        <v>8</v>
      </c>
      <c r="S605" s="109" t="s">
        <v>1355</v>
      </c>
      <c r="T605" s="109" t="s">
        <v>702</v>
      </c>
      <c r="U605" s="109" t="s">
        <v>2026</v>
      </c>
      <c r="V605" s="115" t="n">
        <v>9.62</v>
      </c>
      <c r="W605" s="115"/>
      <c r="X605" s="109" t="s">
        <v>1536</v>
      </c>
      <c r="Y605" s="109"/>
      <c r="Z605" s="109"/>
      <c r="AA605" s="109"/>
      <c r="AB605" s="109" t="s">
        <v>244</v>
      </c>
      <c r="AC605" s="109" t="s">
        <v>538</v>
      </c>
      <c r="AD605" s="109" t="n">
        <f aca="false">IF(ISNUMBER(V605),ROUND(V605,6),"")</f>
        <v>9.62</v>
      </c>
      <c r="AE605" s="109" t="str">
        <f aca="false">IF(AND(AC605="yes",ISNUMBER(F605),IF(Compare!$H$5="All mapped",TRUE(),IF(Compare!$H$5="EXACT only",J605="EXACT",OR(J605="EXACT",J605="CLOSE")))),"yes","no")</f>
        <v>yes</v>
      </c>
      <c r="AF605" s="109" t="n">
        <f aca="false">IF(ISNUMBER(H605),COUNTIFS($B$7:$B$3000,B605,$C$7:$C$3000,C605,$H$7:$H$3000,"&lt;"&amp;H605,$AH$7:$AH$3000,"yes")+COUNTIFS($B$7:B605,B605,$C$7:C605,C605,$H$7:H605,H605,$AH$7:AH605,"yes"),"")</f>
        <v>2</v>
      </c>
      <c r="AG605" s="109" t="n">
        <f aca="false">IF(ISNUMBER(I605),COUNTIFS($B$7:$B$3000,B605,$C$7:$C$3000,C605,$I$7:$I$3000,"&lt;"&amp;I605,$AI$7:$AI$3000,"yes")+COUNTIFS($B$7:B605,B605,$C$7:C605,C605,$I$7:I605,I605,$AI$7:AI605,"yes"),"")</f>
        <v>2</v>
      </c>
      <c r="AH605" s="109" t="str">
        <f aca="false">IF(ISNUMBER(H605),"yes","no")</f>
        <v>yes</v>
      </c>
      <c r="AI605" s="109" t="str">
        <f aca="false">IF(ISNUMBER(I605),"yes","no")</f>
        <v>yes</v>
      </c>
      <c r="AJ605" s="116" t="n">
        <v>46295</v>
      </c>
      <c r="AK605" s="109"/>
    </row>
    <row r="606" customFormat="false" ht="42" hidden="false" customHeight="true" outlineLevel="0" collapsed="false">
      <c r="A606" s="3"/>
      <c r="B606" s="36" t="s">
        <v>39</v>
      </c>
      <c r="C606" s="98" t="s">
        <v>15</v>
      </c>
      <c r="D606" s="98" t="s">
        <v>277</v>
      </c>
      <c r="E606" s="110" t="s">
        <v>1402</v>
      </c>
      <c r="F606" s="99" t="n">
        <v>289.99</v>
      </c>
      <c r="G606" s="98" t="s">
        <v>244</v>
      </c>
      <c r="H606" s="112" t="n">
        <f aca="false">IF(AND(AE606="yes",ISNUMBER(AD606)),AD606,"")</f>
        <v>289.99</v>
      </c>
      <c r="I606" s="95" t="n">
        <f aca="false">IF(AND(AE606="yes",ISNUMBER(AD606),ISNUMBER(INDEX(Sources!$G$7:$G$10,MATCH(AB606,Sources!$B$7:$B$10,0)))),ROUND(AD606/INDEX(Sources!$G$7:$G$10,MATCH(AB606,Sources!$B$7:$B$10,0)),6),"")</f>
        <v>289.99</v>
      </c>
      <c r="J606" s="98" t="s">
        <v>530</v>
      </c>
      <c r="K606" s="98" t="s">
        <v>586</v>
      </c>
      <c r="L606" s="96"/>
      <c r="M606" s="110" t="s">
        <v>2051</v>
      </c>
      <c r="N606" s="117" t="s">
        <v>2052</v>
      </c>
      <c r="O606" s="110" t="s">
        <v>610</v>
      </c>
      <c r="P606" s="110" t="s">
        <v>590</v>
      </c>
      <c r="Q606" s="118"/>
      <c r="R606" s="110" t="n">
        <v>1</v>
      </c>
      <c r="S606" s="110"/>
      <c r="T606" s="110" t="s">
        <v>530</v>
      </c>
      <c r="U606" s="110" t="s">
        <v>2026</v>
      </c>
      <c r="V606" s="119" t="n">
        <v>289.99</v>
      </c>
      <c r="W606" s="119"/>
      <c r="X606" s="110" t="s">
        <v>1536</v>
      </c>
      <c r="Y606" s="110"/>
      <c r="Z606" s="110"/>
      <c r="AA606" s="110"/>
      <c r="AB606" s="110" t="s">
        <v>244</v>
      </c>
      <c r="AC606" s="110" t="s">
        <v>538</v>
      </c>
      <c r="AD606" s="110" t="n">
        <f aca="false">IF(ISNUMBER(V606),ROUND(V606,6),"")</f>
        <v>289.99</v>
      </c>
      <c r="AE606" s="110" t="str">
        <f aca="false">IF(AND(AC606="yes",ISNUMBER(F606),IF(Compare!$H$5="All mapped",TRUE(),IF(Compare!$H$5="EXACT only",J606="EXACT",OR(J606="EXACT",J606="CLOSE")))),"yes","no")</f>
        <v>yes</v>
      </c>
      <c r="AF606" s="110" t="n">
        <f aca="false">IF(ISNUMBER(H606),COUNTIFS($B$7:$B$3000,B606,$C$7:$C$3000,C606,$H$7:$H$3000,"&lt;"&amp;H606,$AH$7:$AH$3000,"yes")+COUNTIFS($B$7:B606,B606,$C$7:C606,C606,$H$7:H606,H606,$AH$7:AH606,"yes"),"")</f>
        <v>9</v>
      </c>
      <c r="AG606" s="110" t="n">
        <f aca="false">IF(ISNUMBER(I606),COUNTIFS($B$7:$B$3000,B606,$C$7:$C$3000,C606,$I$7:$I$3000,"&lt;"&amp;I606,$AI$7:$AI$3000,"yes")+COUNTIFS($B$7:B606,B606,$C$7:C606,C606,$I$7:I606,I606,$AI$7:AI606,"yes"),"")</f>
        <v>9</v>
      </c>
      <c r="AH606" s="110" t="str">
        <f aca="false">IF(ISNUMBER(H606),"yes","no")</f>
        <v>yes</v>
      </c>
      <c r="AI606" s="110" t="str">
        <f aca="false">IF(ISNUMBER(I606),"yes","no")</f>
        <v>yes</v>
      </c>
      <c r="AJ606" s="120" t="n">
        <v>46295</v>
      </c>
      <c r="AK606" s="110"/>
    </row>
    <row r="607" customFormat="false" ht="42" hidden="false" customHeight="true" outlineLevel="0" collapsed="false">
      <c r="A607" s="3"/>
      <c r="B607" s="31" t="s">
        <v>39</v>
      </c>
      <c r="C607" s="91" t="s">
        <v>15</v>
      </c>
      <c r="D607" s="91" t="s">
        <v>257</v>
      </c>
      <c r="E607" s="109" t="s">
        <v>2053</v>
      </c>
      <c r="F607" s="92" t="n">
        <v>561</v>
      </c>
      <c r="G607" s="91" t="s">
        <v>244</v>
      </c>
      <c r="H607" s="112" t="str">
        <f aca="false">IF(AND(AE607="yes",ISNUMBER(AD607)),AD607,"")</f>
        <v/>
      </c>
      <c r="I607" s="95" t="str">
        <f aca="false">IF(AND(AE607="yes",ISNUMBER(AD607),ISNUMBER(INDEX(Sources!$G$7:$G$10,MATCH(AB607,Sources!$B$7:$B$10,0)))),ROUND(AD607/INDEX(Sources!$G$7:$G$10,MATCH(AB607,Sources!$B$7:$B$10,0)),6),"")</f>
        <v/>
      </c>
      <c r="J607" s="91" t="s">
        <v>629</v>
      </c>
      <c r="K607" s="91" t="s">
        <v>586</v>
      </c>
      <c r="L607" s="96"/>
      <c r="M607" s="109" t="s">
        <v>2054</v>
      </c>
      <c r="N607" s="113" t="s">
        <v>2055</v>
      </c>
      <c r="O607" s="109" t="s">
        <v>1576</v>
      </c>
      <c r="P607" s="109" t="s">
        <v>590</v>
      </c>
      <c r="Q607" s="114"/>
      <c r="R607" s="109" t="n">
        <v>1</v>
      </c>
      <c r="S607" s="109"/>
      <c r="T607" s="109" t="s">
        <v>629</v>
      </c>
      <c r="U607" s="109" t="s">
        <v>2026</v>
      </c>
      <c r="V607" s="115" t="n">
        <v>561</v>
      </c>
      <c r="W607" s="115"/>
      <c r="X607" s="109" t="s">
        <v>1536</v>
      </c>
      <c r="Y607" s="109"/>
      <c r="Z607" s="109"/>
      <c r="AA607" s="109"/>
      <c r="AB607" s="109" t="s">
        <v>244</v>
      </c>
      <c r="AC607" s="109" t="s">
        <v>538</v>
      </c>
      <c r="AD607" s="109" t="n">
        <f aca="false">IF(ISNUMBER(V607),ROUND(V607,6),"")</f>
        <v>561</v>
      </c>
      <c r="AE607" s="109" t="str">
        <f aca="false">IF(AND(AC607="yes",ISNUMBER(F607),IF(Compare!$H$5="All mapped",TRUE(),IF(Compare!$H$5="EXACT only",J607="EXACT",OR(J607="EXACT",J607="CLOSE")))),"yes","no")</f>
        <v>no</v>
      </c>
      <c r="AF607" s="109" t="str">
        <f aca="false">IF(ISNUMBER(H607),COUNTIFS($B$7:$B$3000,B607,$C$7:$C$3000,C607,$H$7:$H$3000,"&lt;"&amp;H607,$AH$7:$AH$3000,"yes")+COUNTIFS($B$7:B607,B607,$C$7:C607,C607,$H$7:H607,H607,$AH$7:AH607,"yes"),"")</f>
        <v/>
      </c>
      <c r="AG607" s="109" t="str">
        <f aca="false">IF(ISNUMBER(I607),COUNTIFS($B$7:$B$3000,B607,$C$7:$C$3000,C607,$I$7:$I$3000,"&lt;"&amp;I607,$AI$7:$AI$3000,"yes")+COUNTIFS($B$7:B607,B607,$C$7:C607,C607,$I$7:I607,I607,$AI$7:AI607,"yes"),"")</f>
        <v/>
      </c>
      <c r="AH607" s="109" t="str">
        <f aca="false">IF(ISNUMBER(H607),"yes","no")</f>
        <v>no</v>
      </c>
      <c r="AI607" s="109" t="str">
        <f aca="false">IF(ISNUMBER(I607),"yes","no")</f>
        <v>no</v>
      </c>
      <c r="AJ607" s="116" t="n">
        <v>46295</v>
      </c>
      <c r="AK607" s="109"/>
    </row>
    <row r="608" customFormat="false" ht="42" hidden="false" customHeight="true" outlineLevel="0" collapsed="false">
      <c r="A608" s="3"/>
      <c r="B608" s="36" t="s">
        <v>40</v>
      </c>
      <c r="C608" s="98" t="s">
        <v>15</v>
      </c>
      <c r="D608" s="98" t="s">
        <v>277</v>
      </c>
      <c r="E608" s="110" t="s">
        <v>1461</v>
      </c>
      <c r="F608" s="99" t="n">
        <v>43.99</v>
      </c>
      <c r="G608" s="98" t="s">
        <v>244</v>
      </c>
      <c r="H608" s="112" t="str">
        <f aca="false">IF(AND(AE608="yes",ISNUMBER(AD608)),AD608,"")</f>
        <v/>
      </c>
      <c r="I608" s="95" t="str">
        <f aca="false">IF(AND(AE608="yes",ISNUMBER(AD608),ISNUMBER(INDEX(Sources!$G$7:$G$10,MATCH(AB608,Sources!$B$7:$B$10,0)))),ROUND(AD608/INDEX(Sources!$G$7:$G$10,MATCH(AB608,Sources!$B$7:$B$10,0)),6),"")</f>
        <v/>
      </c>
      <c r="J608" s="98" t="s">
        <v>629</v>
      </c>
      <c r="K608" s="98" t="s">
        <v>586</v>
      </c>
      <c r="L608" s="96"/>
      <c r="M608" s="110" t="s">
        <v>2056</v>
      </c>
      <c r="N608" s="117" t="s">
        <v>2057</v>
      </c>
      <c r="O608" s="110" t="s">
        <v>610</v>
      </c>
      <c r="P608" s="110" t="s">
        <v>590</v>
      </c>
      <c r="Q608" s="118"/>
      <c r="R608" s="110" t="n">
        <v>6</v>
      </c>
      <c r="S608" s="110" t="s">
        <v>611</v>
      </c>
      <c r="T608" s="110" t="s">
        <v>629</v>
      </c>
      <c r="U608" s="110" t="s">
        <v>2026</v>
      </c>
      <c r="V608" s="119" t="n">
        <v>7.33</v>
      </c>
      <c r="W608" s="119"/>
      <c r="X608" s="110" t="s">
        <v>1536</v>
      </c>
      <c r="Y608" s="110"/>
      <c r="Z608" s="110"/>
      <c r="AA608" s="110"/>
      <c r="AB608" s="110" t="s">
        <v>244</v>
      </c>
      <c r="AC608" s="110" t="s">
        <v>538</v>
      </c>
      <c r="AD608" s="110" t="n">
        <f aca="false">IF(ISNUMBER(V608),ROUND(V608,6),"")</f>
        <v>7.33</v>
      </c>
      <c r="AE608" s="110" t="str">
        <f aca="false">IF(AND(AC608="yes",ISNUMBER(F608),IF(Compare!$H$5="All mapped",TRUE(),IF(Compare!$H$5="EXACT only",J608="EXACT",OR(J608="EXACT",J608="CLOSE")))),"yes","no")</f>
        <v>no</v>
      </c>
      <c r="AF608" s="110" t="str">
        <f aca="false">IF(ISNUMBER(H608),COUNTIFS($B$7:$B$3000,B608,$C$7:$C$3000,C608,$H$7:$H$3000,"&lt;"&amp;H608,$AH$7:$AH$3000,"yes")+COUNTIFS($B$7:B608,B608,$C$7:C608,C608,$H$7:H608,H608,$AH$7:AH608,"yes"),"")</f>
        <v/>
      </c>
      <c r="AG608" s="110" t="str">
        <f aca="false">IF(ISNUMBER(I608),COUNTIFS($B$7:$B$3000,B608,$C$7:$C$3000,C608,$I$7:$I$3000,"&lt;"&amp;I608,$AI$7:$AI$3000,"yes")+COUNTIFS($B$7:B608,B608,$C$7:C608,C608,$I$7:I608,I608,$AI$7:AI608,"yes"),"")</f>
        <v/>
      </c>
      <c r="AH608" s="110" t="str">
        <f aca="false">IF(ISNUMBER(H608),"yes","no")</f>
        <v>no</v>
      </c>
      <c r="AI608" s="110" t="str">
        <f aca="false">IF(ISNUMBER(I608),"yes","no")</f>
        <v>no</v>
      </c>
      <c r="AJ608" s="120" t="n">
        <v>46295</v>
      </c>
      <c r="AK608" s="110"/>
    </row>
    <row r="609" customFormat="false" ht="34.5" hidden="false" customHeight="true" outlineLevel="0" collapsed="false">
      <c r="B609" s="36" t="s">
        <v>33</v>
      </c>
      <c r="C609" s="98" t="s">
        <v>15</v>
      </c>
      <c r="D609" s="98" t="s">
        <v>243</v>
      </c>
      <c r="E609" s="110" t="s">
        <v>2058</v>
      </c>
      <c r="F609" s="99" t="n">
        <v>4.67</v>
      </c>
      <c r="G609" s="98" t="s">
        <v>244</v>
      </c>
      <c r="H609" s="112" t="str">
        <f aca="false">IF(AND(AE609="yes",ISNUMBER(AD609)),AD609,"")</f>
        <v/>
      </c>
      <c r="I609" s="95" t="str">
        <f aca="false">IF(AND(AE609="yes",ISNUMBER(AD609),ISNUMBER(INDEX(Sources!$G$7:$G$10,MATCH(AB609,Sources!$B$7:$B$10,0)))),ROUND(AD609/INDEX(Sources!$G$7:$G$10,MATCH(AB609,Sources!$B$7:$B$10,0)),6),"")</f>
        <v/>
      </c>
      <c r="J609" s="98" t="s">
        <v>629</v>
      </c>
      <c r="K609" s="98" t="s">
        <v>2059</v>
      </c>
      <c r="L609" s="96"/>
      <c r="M609" s="110" t="s">
        <v>2060</v>
      </c>
      <c r="N609" s="117" t="s">
        <v>2061</v>
      </c>
      <c r="O609" s="110" t="s">
        <v>603</v>
      </c>
      <c r="P609" s="110" t="s">
        <v>590</v>
      </c>
      <c r="Q609" s="118" t="n">
        <v>0.2</v>
      </c>
      <c r="R609" s="110" t="n">
        <v>1</v>
      </c>
      <c r="S609" s="110" t="s">
        <v>632</v>
      </c>
      <c r="T609" s="110" t="s">
        <v>629</v>
      </c>
      <c r="U609" s="110" t="s">
        <v>2062</v>
      </c>
      <c r="V609" s="119" t="n">
        <v>4.67</v>
      </c>
      <c r="W609" s="119"/>
      <c r="X609" s="110" t="s">
        <v>2063</v>
      </c>
      <c r="Y609" s="110" t="s">
        <v>2064</v>
      </c>
      <c r="Z609" s="110" t="s">
        <v>2065</v>
      </c>
      <c r="AA609" s="110" t="s">
        <v>537</v>
      </c>
      <c r="AB609" s="110" t="s">
        <v>244</v>
      </c>
      <c r="AC609" s="110" t="s">
        <v>538</v>
      </c>
      <c r="AD609" s="110" t="n">
        <f aca="false">IF(OR(F609="",Q609="",R609=""),"",ROUND(IF(P609="incl.",F609/(1+Q609),F609)/IF(S609="per pack",R609,1),2))</f>
        <v>4.67</v>
      </c>
      <c r="AE609" s="110" t="str">
        <f aca="false">IF(AND(AC609="yes",ISNUMBER(F609),IF(Compare!$H$5="All mapped",TRUE(),IF(Compare!$H$5="EXACT only",J609="EXACT",OR(J609="EXACT",J609="CLOSE")))),"yes","no")</f>
        <v>no</v>
      </c>
      <c r="AF609" s="110" t="str">
        <f aca="false">IF(ISNUMBER(H609),COUNTIFS($B$7:$B$3000,B609,$C$7:$C$3000,C609,$H$7:$H$3000,"&lt;"&amp;H609,$AH$7:$AH$3000,"yes")+COUNTIFS($B$7:B609,B609,$C$7:C609,C609,$H$7:H609,H609,$AH$7:AH609,"yes"),"")</f>
        <v/>
      </c>
      <c r="AG609" s="110" t="str">
        <f aca="false">IF(ISNUMBER(I609),COUNTIFS($B$7:$B$3000,B609,$C$7:$C$3000,C609,$I$7:$I$3000,"&lt;"&amp;I609,$AI$7:$AI$3000,"yes")+COUNTIFS($B$7:B609,B609,$C$7:C609,C609,$I$7:I609,I609,$AI$7:AI609,"yes"),"")</f>
        <v/>
      </c>
      <c r="AH609" s="110" t="str">
        <f aca="false">IF(ISNUMBER(H609),"yes","no")</f>
        <v>no</v>
      </c>
      <c r="AI609" s="110" t="str">
        <f aca="false">IF(ISNUMBER(I609),"yes","no")</f>
        <v>no</v>
      </c>
      <c r="AJ609" s="120" t="n">
        <v>46297</v>
      </c>
      <c r="AK609" s="110"/>
    </row>
    <row r="610" customFormat="false" ht="34.5" hidden="false" customHeight="true" outlineLevel="0" collapsed="false">
      <c r="B610" s="36" t="s">
        <v>63</v>
      </c>
      <c r="C610" s="98" t="s">
        <v>15</v>
      </c>
      <c r="D610" s="98" t="s">
        <v>243</v>
      </c>
      <c r="E610" s="110" t="s">
        <v>2066</v>
      </c>
      <c r="F610" s="99" t="n">
        <v>9.85</v>
      </c>
      <c r="G610" s="98" t="s">
        <v>244</v>
      </c>
      <c r="H610" s="112" t="str">
        <f aca="false">IF(AND(AE610="yes",ISNUMBER(AD610)),AD610,"")</f>
        <v/>
      </c>
      <c r="I610" s="95" t="str">
        <f aca="false">IF(AND(AE610="yes",ISNUMBER(AD610),ISNUMBER(INDEX(Sources!$G$7:$G$10,MATCH(AB610,Sources!$B$7:$B$10,0)))),ROUND(AD610/INDEX(Sources!$G$7:$G$10,MATCH(AB610,Sources!$B$7:$B$10,0)),6),"")</f>
        <v/>
      </c>
      <c r="J610" s="98" t="s">
        <v>629</v>
      </c>
      <c r="K610" s="98" t="s">
        <v>2059</v>
      </c>
      <c r="L610" s="96"/>
      <c r="M610" s="110" t="s">
        <v>2067</v>
      </c>
      <c r="N610" s="117" t="s">
        <v>2068</v>
      </c>
      <c r="O610" s="110" t="s">
        <v>388</v>
      </c>
      <c r="P610" s="110" t="s">
        <v>590</v>
      </c>
      <c r="Q610" s="118" t="n">
        <v>0.2</v>
      </c>
      <c r="R610" s="110" t="n">
        <v>1</v>
      </c>
      <c r="S610" s="110" t="s">
        <v>632</v>
      </c>
      <c r="T610" s="110" t="s">
        <v>629</v>
      </c>
      <c r="U610" s="110" t="s">
        <v>2062</v>
      </c>
      <c r="V610" s="119" t="n">
        <v>9.85</v>
      </c>
      <c r="W610" s="119"/>
      <c r="X610" s="110" t="s">
        <v>2063</v>
      </c>
      <c r="Y610" s="110" t="s">
        <v>2064</v>
      </c>
      <c r="Z610" s="110" t="s">
        <v>2065</v>
      </c>
      <c r="AA610" s="110" t="s">
        <v>537</v>
      </c>
      <c r="AB610" s="110" t="s">
        <v>244</v>
      </c>
      <c r="AC610" s="110" t="s">
        <v>538</v>
      </c>
      <c r="AD610" s="110" t="n">
        <f aca="false">IF(OR(F610="",Q610="",R610=""),"",ROUND(IF(P610="incl.",F610/(1+Q610),F610)/IF(S610="per pack",R610,1),2))</f>
        <v>9.85</v>
      </c>
      <c r="AE610" s="110" t="str">
        <f aca="false">IF(AND(AC610="yes",ISNUMBER(F610),IF(Compare!$H$5="All mapped",TRUE(),IF(Compare!$H$5="EXACT only",J610="EXACT",OR(J610="EXACT",J610="CLOSE")))),"yes","no")</f>
        <v>no</v>
      </c>
      <c r="AF610" s="110" t="str">
        <f aca="false">IF(ISNUMBER(H610),COUNTIFS($B$7:$B$3000,B610,$C$7:$C$3000,C610,$H$7:$H$3000,"&lt;"&amp;H610,$AH$7:$AH$3000,"yes")+COUNTIFS($B$7:B610,B610,$C$7:C610,C610,$H$7:H610,H610,$AH$7:AH610,"yes"),"")</f>
        <v/>
      </c>
      <c r="AG610" s="110" t="str">
        <f aca="false">IF(ISNUMBER(I610),COUNTIFS($B$7:$B$3000,B610,$C$7:$C$3000,C610,$I$7:$I$3000,"&lt;"&amp;I610,$AI$7:$AI$3000,"yes")+COUNTIFS($B$7:B610,B610,$C$7:C610,C610,$I$7:I610,I610,$AI$7:AI610,"yes"),"")</f>
        <v/>
      </c>
      <c r="AH610" s="110" t="str">
        <f aca="false">IF(ISNUMBER(H610),"yes","no")</f>
        <v>no</v>
      </c>
      <c r="AI610" s="110" t="str">
        <f aca="false">IF(ISNUMBER(I610),"yes","no")</f>
        <v>no</v>
      </c>
      <c r="AJ610" s="120" t="n">
        <v>46297</v>
      </c>
      <c r="AK610" s="110"/>
    </row>
    <row r="611" customFormat="false" ht="34.5" hidden="false" customHeight="true" outlineLevel="0" collapsed="false">
      <c r="B611" s="36" t="s">
        <v>33</v>
      </c>
      <c r="C611" s="98" t="s">
        <v>15</v>
      </c>
      <c r="D611" s="98" t="s">
        <v>277</v>
      </c>
      <c r="E611" s="110" t="s">
        <v>1174</v>
      </c>
      <c r="F611" s="99" t="n">
        <v>18.99</v>
      </c>
      <c r="G611" s="98" t="s">
        <v>244</v>
      </c>
      <c r="H611" s="112" t="str">
        <f aca="false">IF(AND(AE611="yes",ISNUMBER(AD611)),AD611,"")</f>
        <v/>
      </c>
      <c r="I611" s="95" t="str">
        <f aca="false">IF(AND(AE611="yes",ISNUMBER(AD611),ISNUMBER(INDEX(Sources!$G$7:$G$10,MATCH(AB611,Sources!$B$7:$B$10,0)))),ROUND(AD611/INDEX(Sources!$G$7:$G$10,MATCH(AB611,Sources!$B$7:$B$10,0)),6),"")</f>
        <v/>
      </c>
      <c r="J611" s="98" t="s">
        <v>629</v>
      </c>
      <c r="K611" s="98" t="s">
        <v>2059</v>
      </c>
      <c r="L611" s="96"/>
      <c r="M611" s="110" t="s">
        <v>2069</v>
      </c>
      <c r="N611" s="117" t="s">
        <v>2070</v>
      </c>
      <c r="O611" s="110" t="s">
        <v>610</v>
      </c>
      <c r="P611" s="110" t="s">
        <v>590</v>
      </c>
      <c r="Q611" s="118" t="n">
        <v>0.19</v>
      </c>
      <c r="R611" s="110" t="n">
        <v>1</v>
      </c>
      <c r="S611" s="110" t="s">
        <v>632</v>
      </c>
      <c r="T611" s="110" t="s">
        <v>629</v>
      </c>
      <c r="U611" s="110" t="s">
        <v>2062</v>
      </c>
      <c r="V611" s="119" t="n">
        <v>18.99</v>
      </c>
      <c r="W611" s="119"/>
      <c r="X611" s="110" t="s">
        <v>2063</v>
      </c>
      <c r="Y611" s="110" t="s">
        <v>2064</v>
      </c>
      <c r="Z611" s="110" t="s">
        <v>2071</v>
      </c>
      <c r="AA611" s="110" t="s">
        <v>537</v>
      </c>
      <c r="AB611" s="110" t="s">
        <v>244</v>
      </c>
      <c r="AC611" s="110" t="s">
        <v>538</v>
      </c>
      <c r="AD611" s="110" t="n">
        <f aca="false">IF(OR(F611="",Q611="",R611=""),"",ROUND(IF(P611="incl.",F611/(1+Q611),F611)/IF(S611="per pack",R611,1),2))</f>
        <v>18.99</v>
      </c>
      <c r="AE611" s="110" t="str">
        <f aca="false">IF(AND(AC611="yes",ISNUMBER(F611),IF(Compare!$H$5="All mapped",TRUE(),IF(Compare!$H$5="EXACT only",J611="EXACT",OR(J611="EXACT",J611="CLOSE")))),"yes","no")</f>
        <v>no</v>
      </c>
      <c r="AF611" s="110" t="str">
        <f aca="false">IF(ISNUMBER(H611),COUNTIFS($B$7:$B$3000,B611,$C$7:$C$3000,C611,$H$7:$H$3000,"&lt;"&amp;H611,$AH$7:$AH$3000,"yes")+COUNTIFS($B$7:B611,B611,$C$7:C611,C611,$H$7:H611,H611,$AH$7:AH611,"yes"),"")</f>
        <v/>
      </c>
      <c r="AG611" s="110" t="str">
        <f aca="false">IF(ISNUMBER(I611),COUNTIFS($B$7:$B$3000,B611,$C$7:$C$3000,C611,$I$7:$I$3000,"&lt;"&amp;I611,$AI$7:$AI$3000,"yes")+COUNTIFS($B$7:B611,B611,$C$7:C611,C611,$I$7:I611,I611,$AI$7:AI611,"yes"),"")</f>
        <v/>
      </c>
      <c r="AH611" s="110" t="str">
        <f aca="false">IF(ISNUMBER(H611),"yes","no")</f>
        <v>no</v>
      </c>
      <c r="AI611" s="110" t="str">
        <f aca="false">IF(ISNUMBER(I611),"yes","no")</f>
        <v>no</v>
      </c>
      <c r="AJ611" s="120" t="n">
        <v>46297</v>
      </c>
      <c r="AK611" s="110"/>
    </row>
    <row r="612" customFormat="false" ht="34.5" hidden="false" customHeight="true" outlineLevel="0" collapsed="false">
      <c r="B612" s="36" t="s">
        <v>63</v>
      </c>
      <c r="C612" s="98" t="s">
        <v>15</v>
      </c>
      <c r="D612" s="98" t="s">
        <v>277</v>
      </c>
      <c r="E612" s="110" t="s">
        <v>1808</v>
      </c>
      <c r="F612" s="99" t="n">
        <v>16.99</v>
      </c>
      <c r="G612" s="98" t="s">
        <v>244</v>
      </c>
      <c r="H612" s="112" t="str">
        <f aca="false">IF(AND(AE612="yes",ISNUMBER(AD612)),AD612,"")</f>
        <v/>
      </c>
      <c r="I612" s="95" t="str">
        <f aca="false">IF(AND(AE612="yes",ISNUMBER(AD612),ISNUMBER(INDEX(Sources!$G$7:$G$10,MATCH(AB612,Sources!$B$7:$B$10,0)))),ROUND(AD612/INDEX(Sources!$G$7:$G$10,MATCH(AB612,Sources!$B$7:$B$10,0)),6),"")</f>
        <v/>
      </c>
      <c r="J612" s="98" t="s">
        <v>629</v>
      </c>
      <c r="K612" s="98" t="s">
        <v>2059</v>
      </c>
      <c r="L612" s="96"/>
      <c r="M612" s="110" t="s">
        <v>2072</v>
      </c>
      <c r="N612" s="117" t="s">
        <v>1810</v>
      </c>
      <c r="O612" s="110" t="s">
        <v>610</v>
      </c>
      <c r="P612" s="110" t="s">
        <v>590</v>
      </c>
      <c r="Q612" s="118" t="n">
        <v>0.19</v>
      </c>
      <c r="R612" s="110" t="n">
        <v>1</v>
      </c>
      <c r="S612" s="110" t="s">
        <v>632</v>
      </c>
      <c r="T612" s="110" t="s">
        <v>629</v>
      </c>
      <c r="U612" s="110" t="s">
        <v>2062</v>
      </c>
      <c r="V612" s="119" t="n">
        <v>16.99</v>
      </c>
      <c r="W612" s="119"/>
      <c r="X612" s="110" t="s">
        <v>2063</v>
      </c>
      <c r="Y612" s="110" t="s">
        <v>2064</v>
      </c>
      <c r="Z612" s="110" t="s">
        <v>2071</v>
      </c>
      <c r="AA612" s="110" t="s">
        <v>537</v>
      </c>
      <c r="AB612" s="110" t="s">
        <v>244</v>
      </c>
      <c r="AC612" s="110" t="s">
        <v>538</v>
      </c>
      <c r="AD612" s="110" t="n">
        <f aca="false">IF(OR(F612="",Q612="",R612=""),"",ROUND(IF(P612="incl.",F612/(1+Q612),F612)/IF(S612="per pack",R612,1),2))</f>
        <v>16.99</v>
      </c>
      <c r="AE612" s="110" t="str">
        <f aca="false">IF(AND(AC612="yes",ISNUMBER(F612),IF(Compare!$H$5="All mapped",TRUE(),IF(Compare!$H$5="EXACT only",J612="EXACT",OR(J612="EXACT",J612="CLOSE")))),"yes","no")</f>
        <v>no</v>
      </c>
      <c r="AF612" s="110" t="str">
        <f aca="false">IF(ISNUMBER(H612),COUNTIFS($B$7:$B$3000,B612,$C$7:$C$3000,C612,$H$7:$H$3000,"&lt;"&amp;H612,$AH$7:$AH$3000,"yes")+COUNTIFS($B$7:B612,B612,$C$7:C612,C612,$H$7:H612,H612,$AH$7:AH612,"yes"),"")</f>
        <v/>
      </c>
      <c r="AG612" s="110" t="str">
        <f aca="false">IF(ISNUMBER(I612),COUNTIFS($B$7:$B$3000,B612,$C$7:$C$3000,C612,$I$7:$I$3000,"&lt;"&amp;I612,$AI$7:$AI$3000,"yes")+COUNTIFS($B$7:B612,B612,$C$7:C612,C612,$I$7:I612,I612,$AI$7:AI612,"yes"),"")</f>
        <v/>
      </c>
      <c r="AH612" s="110" t="str">
        <f aca="false">IF(ISNUMBER(H612),"yes","no")</f>
        <v>no</v>
      </c>
      <c r="AI612" s="110" t="str">
        <f aca="false">IF(ISNUMBER(I612),"yes","no")</f>
        <v>no</v>
      </c>
      <c r="AJ612" s="120" t="n">
        <v>46297</v>
      </c>
      <c r="AK612" s="110"/>
    </row>
    <row r="613" customFormat="false" ht="34.5" hidden="false" customHeight="true" outlineLevel="0" collapsed="false">
      <c r="B613" s="36" t="s">
        <v>63</v>
      </c>
      <c r="C613" s="98" t="s">
        <v>15</v>
      </c>
      <c r="D613" s="98" t="s">
        <v>269</v>
      </c>
      <c r="E613" s="110" t="s">
        <v>2073</v>
      </c>
      <c r="F613" s="99" t="n">
        <v>7.19</v>
      </c>
      <c r="G613" s="98" t="s">
        <v>244</v>
      </c>
      <c r="H613" s="112" t="str">
        <f aca="false">IF(AND(AE613="yes",ISNUMBER(AD613)),AD613,"")</f>
        <v/>
      </c>
      <c r="I613" s="95" t="str">
        <f aca="false">IF(AND(AE613="yes",ISNUMBER(AD613),ISNUMBER(INDEX(Sources!$G$7:$G$10,MATCH(AB613,Sources!$B$7:$B$10,0)))),ROUND(AD613/INDEX(Sources!$G$7:$G$10,MATCH(AB613,Sources!$B$7:$B$10,0)),6),"")</f>
        <v/>
      </c>
      <c r="J613" s="98" t="s">
        <v>629</v>
      </c>
      <c r="K613" s="98" t="s">
        <v>2059</v>
      </c>
      <c r="L613" s="96"/>
      <c r="M613" s="110" t="s">
        <v>2074</v>
      </c>
      <c r="N613" s="117" t="s">
        <v>2075</v>
      </c>
      <c r="O613" s="110" t="s">
        <v>1167</v>
      </c>
      <c r="P613" s="110" t="s">
        <v>590</v>
      </c>
      <c r="Q613" s="118" t="n">
        <v>0.2</v>
      </c>
      <c r="R613" s="110" t="n">
        <v>1</v>
      </c>
      <c r="S613" s="110" t="s">
        <v>632</v>
      </c>
      <c r="T613" s="110" t="s">
        <v>629</v>
      </c>
      <c r="U613" s="110" t="s">
        <v>2062</v>
      </c>
      <c r="V613" s="119" t="n">
        <v>7.19</v>
      </c>
      <c r="W613" s="119"/>
      <c r="X613" s="110" t="s">
        <v>2063</v>
      </c>
      <c r="Y613" s="110" t="s">
        <v>2064</v>
      </c>
      <c r="Z613" s="110" t="s">
        <v>2076</v>
      </c>
      <c r="AA613" s="110" t="s">
        <v>537</v>
      </c>
      <c r="AB613" s="110" t="s">
        <v>244</v>
      </c>
      <c r="AC613" s="110" t="s">
        <v>538</v>
      </c>
      <c r="AD613" s="110" t="n">
        <f aca="false">IF(OR(F613="",Q613="",R613=""),"",ROUND(IF(P613="incl.",F613/(1+Q613),F613)/IF(S613="per pack",R613,1),2))</f>
        <v>7.19</v>
      </c>
      <c r="AE613" s="110" t="str">
        <f aca="false">IF(AND(AC613="yes",ISNUMBER(F613),IF(Compare!$H$5="All mapped",TRUE(),IF(Compare!$H$5="EXACT only",J613="EXACT",OR(J613="EXACT",J613="CLOSE")))),"yes","no")</f>
        <v>no</v>
      </c>
      <c r="AF613" s="110" t="str">
        <f aca="false">IF(ISNUMBER(H613),COUNTIFS($B$7:$B$3000,B613,$C$7:$C$3000,C613,$H$7:$H$3000,"&lt;"&amp;H613,$AH$7:$AH$3000,"yes")+COUNTIFS($B$7:B613,B613,$C$7:C613,C613,$H$7:H613,H613,$AH$7:AH613,"yes"),"")</f>
        <v/>
      </c>
      <c r="AG613" s="110" t="str">
        <f aca="false">IF(ISNUMBER(I613),COUNTIFS($B$7:$B$3000,B613,$C$7:$C$3000,C613,$I$7:$I$3000,"&lt;"&amp;I613,$AI$7:$AI$3000,"yes")+COUNTIFS($B$7:B613,B613,$C$7:C613,C613,$I$7:I613,I613,$AI$7:AI613,"yes"),"")</f>
        <v/>
      </c>
      <c r="AH613" s="110" t="str">
        <f aca="false">IF(ISNUMBER(H613),"yes","no")</f>
        <v>no</v>
      </c>
      <c r="AI613" s="110" t="str">
        <f aca="false">IF(ISNUMBER(I613),"yes","no")</f>
        <v>no</v>
      </c>
      <c r="AJ613" s="120" t="n">
        <v>46297</v>
      </c>
      <c r="AK613" s="110"/>
    </row>
    <row r="614" customFormat="false" ht="34.5" hidden="false" customHeight="true" outlineLevel="0" collapsed="false">
      <c r="B614" s="36" t="s">
        <v>63</v>
      </c>
      <c r="C614" s="98" t="s">
        <v>15</v>
      </c>
      <c r="D614" s="98" t="s">
        <v>285</v>
      </c>
      <c r="E614" s="110" t="s">
        <v>2077</v>
      </c>
      <c r="F614" s="99" t="n">
        <v>17.5</v>
      </c>
      <c r="G614" s="98" t="s">
        <v>244</v>
      </c>
      <c r="H614" s="112" t="str">
        <f aca="false">IF(AND(AE614="yes",ISNUMBER(AD614)),AD614,"")</f>
        <v/>
      </c>
      <c r="I614" s="95" t="str">
        <f aca="false">IF(AND(AE614="yes",ISNUMBER(AD614),ISNUMBER(INDEX(Sources!$G$7:$G$10,MATCH(AB614,Sources!$B$7:$B$10,0)))),ROUND(AD614/INDEX(Sources!$G$7:$G$10,MATCH(AB614,Sources!$B$7:$B$10,0)),6),"")</f>
        <v/>
      </c>
      <c r="J614" s="98" t="s">
        <v>629</v>
      </c>
      <c r="K614" s="98" t="s">
        <v>2059</v>
      </c>
      <c r="L614" s="96"/>
      <c r="M614" s="110" t="s">
        <v>2078</v>
      </c>
      <c r="N614" s="117" t="s">
        <v>2079</v>
      </c>
      <c r="O614" s="110" t="s">
        <v>733</v>
      </c>
      <c r="P614" s="110" t="s">
        <v>590</v>
      </c>
      <c r="Q614" s="118" t="n">
        <v>0.2</v>
      </c>
      <c r="R614" s="110" t="n">
        <v>1</v>
      </c>
      <c r="S614" s="110" t="s">
        <v>632</v>
      </c>
      <c r="T614" s="110" t="s">
        <v>629</v>
      </c>
      <c r="U614" s="110" t="s">
        <v>2062</v>
      </c>
      <c r="V614" s="119" t="n">
        <v>17.5</v>
      </c>
      <c r="W614" s="119"/>
      <c r="X614" s="110" t="s">
        <v>2063</v>
      </c>
      <c r="Y614" s="110" t="s">
        <v>2064</v>
      </c>
      <c r="Z614" s="110" t="s">
        <v>2080</v>
      </c>
      <c r="AA614" s="110" t="s">
        <v>537</v>
      </c>
      <c r="AB614" s="110" t="s">
        <v>244</v>
      </c>
      <c r="AC614" s="110" t="s">
        <v>538</v>
      </c>
      <c r="AD614" s="110" t="n">
        <f aca="false">IF(OR(F614="",Q614="",R614=""),"",ROUND(IF(P614="incl.",F614/(1+Q614),F614)/IF(S614="per pack",R614,1),2))</f>
        <v>17.5</v>
      </c>
      <c r="AE614" s="110" t="str">
        <f aca="false">IF(AND(AC614="yes",ISNUMBER(F614),IF(Compare!$H$5="All mapped",TRUE(),IF(Compare!$H$5="EXACT only",J614="EXACT",OR(J614="EXACT",J614="CLOSE")))),"yes","no")</f>
        <v>no</v>
      </c>
      <c r="AF614" s="110" t="str">
        <f aca="false">IF(ISNUMBER(H614),COUNTIFS($B$7:$B$3000,B614,$C$7:$C$3000,C614,$H$7:$H$3000,"&lt;"&amp;H614,$AH$7:$AH$3000,"yes")+COUNTIFS($B$7:B614,B614,$C$7:C614,C614,$H$7:H614,H614,$AH$7:AH614,"yes"),"")</f>
        <v/>
      </c>
      <c r="AG614" s="110" t="str">
        <f aca="false">IF(ISNUMBER(I614),COUNTIFS($B$7:$B$3000,B614,$C$7:$C$3000,C614,$I$7:$I$3000,"&lt;"&amp;I614,$AI$7:$AI$3000,"yes")+COUNTIFS($B$7:B614,B614,$C$7:C614,C614,$I$7:I614,I614,$AI$7:AI614,"yes"),"")</f>
        <v/>
      </c>
      <c r="AH614" s="110" t="str">
        <f aca="false">IF(ISNUMBER(H614),"yes","no")</f>
        <v>no</v>
      </c>
      <c r="AI614" s="110" t="str">
        <f aca="false">IF(ISNUMBER(I614),"yes","no")</f>
        <v>no</v>
      </c>
      <c r="AJ614" s="120" t="n">
        <v>46297</v>
      </c>
      <c r="AK614" s="110"/>
    </row>
    <row r="615" customFormat="false" ht="34.5" hidden="false" customHeight="true" outlineLevel="0" collapsed="false">
      <c r="B615" s="36" t="s">
        <v>33</v>
      </c>
      <c r="C615" s="98" t="s">
        <v>15</v>
      </c>
      <c r="D615" s="98" t="s">
        <v>288</v>
      </c>
      <c r="E615" s="110" t="s">
        <v>2081</v>
      </c>
      <c r="F615" s="99" t="n">
        <v>6.29</v>
      </c>
      <c r="G615" s="98" t="s">
        <v>244</v>
      </c>
      <c r="H615" s="112" t="str">
        <f aca="false">IF(AND(AE615="yes",ISNUMBER(AD615)),AD615,"")</f>
        <v/>
      </c>
      <c r="I615" s="95" t="str">
        <f aca="false">IF(AND(AE615="yes",ISNUMBER(AD615),ISNUMBER(INDEX(Sources!$G$7:$G$10,MATCH(AB615,Sources!$B$7:$B$10,0)))),ROUND(AD615/INDEX(Sources!$G$7:$G$10,MATCH(AB615,Sources!$B$7:$B$10,0)),6),"")</f>
        <v/>
      </c>
      <c r="J615" s="98" t="s">
        <v>629</v>
      </c>
      <c r="K615" s="98" t="s">
        <v>2059</v>
      </c>
      <c r="L615" s="96"/>
      <c r="M615" s="110" t="s">
        <v>2082</v>
      </c>
      <c r="N615" s="117" t="s">
        <v>2083</v>
      </c>
      <c r="O615" s="110" t="s">
        <v>733</v>
      </c>
      <c r="P615" s="110" t="s">
        <v>590</v>
      </c>
      <c r="Q615" s="118" t="n">
        <v>0.2</v>
      </c>
      <c r="R615" s="110" t="n">
        <v>1</v>
      </c>
      <c r="S615" s="110" t="s">
        <v>632</v>
      </c>
      <c r="T615" s="110" t="s">
        <v>629</v>
      </c>
      <c r="U615" s="110" t="s">
        <v>2062</v>
      </c>
      <c r="V615" s="119" t="n">
        <v>6.29</v>
      </c>
      <c r="W615" s="119"/>
      <c r="X615" s="110" t="s">
        <v>2063</v>
      </c>
      <c r="Y615" s="110" t="s">
        <v>2064</v>
      </c>
      <c r="Z615" s="110" t="s">
        <v>2084</v>
      </c>
      <c r="AA615" s="110" t="s">
        <v>537</v>
      </c>
      <c r="AB615" s="110" t="s">
        <v>244</v>
      </c>
      <c r="AC615" s="110" t="s">
        <v>538</v>
      </c>
      <c r="AD615" s="110" t="n">
        <f aca="false">IF(OR(F615="",Q615="",R615=""),"",ROUND(IF(P615="incl.",F615/(1+Q615),F615)/IF(S615="per pack",R615,1),2))</f>
        <v>6.29</v>
      </c>
      <c r="AE615" s="110" t="str">
        <f aca="false">IF(AND(AC615="yes",ISNUMBER(F615),IF(Compare!$H$5="All mapped",TRUE(),IF(Compare!$H$5="EXACT only",J615="EXACT",OR(J615="EXACT",J615="CLOSE")))),"yes","no")</f>
        <v>no</v>
      </c>
      <c r="AF615" s="110" t="str">
        <f aca="false">IF(ISNUMBER(H615),COUNTIFS($B$7:$B$3000,B615,$C$7:$C$3000,C615,$H$7:$H$3000,"&lt;"&amp;H615,$AH$7:$AH$3000,"yes")+COUNTIFS($B$7:B615,B615,$C$7:C615,C615,$H$7:H615,H615,$AH$7:AH615,"yes"),"")</f>
        <v/>
      </c>
      <c r="AG615" s="110" t="str">
        <f aca="false">IF(ISNUMBER(I615),COUNTIFS($B$7:$B$3000,B615,$C$7:$C$3000,C615,$I$7:$I$3000,"&lt;"&amp;I615,$AI$7:$AI$3000,"yes")+COUNTIFS($B$7:B615,B615,$C$7:C615,C615,$I$7:I615,I615,$AI$7:AI615,"yes"),"")</f>
        <v/>
      </c>
      <c r="AH615" s="110" t="str">
        <f aca="false">IF(ISNUMBER(H615),"yes","no")</f>
        <v>no</v>
      </c>
      <c r="AI615" s="110" t="str">
        <f aca="false">IF(ISNUMBER(I615),"yes","no")</f>
        <v>no</v>
      </c>
      <c r="AJ615" s="120" t="n">
        <v>46297</v>
      </c>
      <c r="AK615" s="110"/>
    </row>
    <row r="616" customFormat="false" ht="45.75" hidden="false" customHeight="true" outlineLevel="0" collapsed="false">
      <c r="B616" s="36" t="s">
        <v>29</v>
      </c>
      <c r="C616" s="98" t="s">
        <v>15</v>
      </c>
      <c r="D616" s="98" t="s">
        <v>288</v>
      </c>
      <c r="E616" s="110" t="s">
        <v>2085</v>
      </c>
      <c r="F616" s="99" t="n">
        <v>34.99</v>
      </c>
      <c r="G616" s="98" t="s">
        <v>244</v>
      </c>
      <c r="H616" s="112" t="n">
        <f aca="false">IF(AND(AE616="yes",ISNUMBER(AD616)),AD616,"")</f>
        <v>34.99</v>
      </c>
      <c r="I616" s="95" t="n">
        <f aca="false">IF(AND(AE616="yes",ISNUMBER(AD616),ISNUMBER(INDEX(Sources!$G$7:$G$10,MATCH(AB616,Sources!$B$7:$B$10,0)))),ROUND(AD616/INDEX(Sources!$G$7:$G$10,MATCH(AB616,Sources!$B$7:$B$10,0)),6),"")</f>
        <v>34.99</v>
      </c>
      <c r="J616" s="98" t="s">
        <v>702</v>
      </c>
      <c r="K616" s="98" t="s">
        <v>2059</v>
      </c>
      <c r="L616" s="96"/>
      <c r="M616" s="110" t="s">
        <v>2086</v>
      </c>
      <c r="N616" s="117" t="s">
        <v>2087</v>
      </c>
      <c r="O616" s="110" t="s">
        <v>1030</v>
      </c>
      <c r="P616" s="110" t="s">
        <v>590</v>
      </c>
      <c r="Q616" s="118" t="n">
        <v>0.2</v>
      </c>
      <c r="R616" s="110" t="n">
        <v>1</v>
      </c>
      <c r="S616" s="110" t="s">
        <v>632</v>
      </c>
      <c r="T616" s="110" t="s">
        <v>702</v>
      </c>
      <c r="U616" s="110" t="s">
        <v>2062</v>
      </c>
      <c r="V616" s="119" t="n">
        <v>34.99</v>
      </c>
      <c r="W616" s="119"/>
      <c r="X616" s="110" t="s">
        <v>2063</v>
      </c>
      <c r="Y616" s="110" t="s">
        <v>2064</v>
      </c>
      <c r="Z616" s="110" t="s">
        <v>2088</v>
      </c>
      <c r="AA616" s="110" t="s">
        <v>537</v>
      </c>
      <c r="AB616" s="110" t="s">
        <v>244</v>
      </c>
      <c r="AC616" s="110" t="s">
        <v>538</v>
      </c>
      <c r="AD616" s="110" t="n">
        <f aca="false">IF(OR(F616="",Q616="",R616=""),"",ROUND(IF(P616="incl.",F616/(1+Q616),F616)/IF(S616="per pack",R616,1),2))</f>
        <v>34.99</v>
      </c>
      <c r="AE616" s="110" t="str">
        <f aca="false">IF(AND(AC616="yes",ISNUMBER(F616),IF(Compare!$H$5="All mapped",TRUE(),IF(Compare!$H$5="EXACT only",J616="EXACT",OR(J616="EXACT",J616="CLOSE")))),"yes","no")</f>
        <v>yes</v>
      </c>
      <c r="AF616" s="110" t="n">
        <f aca="false">IF(ISNUMBER(H616),COUNTIFS($B$7:$B$3000,B616,$C$7:$C$3000,C616,$H$7:$H$3000,"&lt;"&amp;H616,$AH$7:$AH$3000,"yes")+COUNTIFS($B$7:B616,B616,$C$7:C616,C616,$H$7:H616,H616,$AH$7:AH616,"yes"),"")</f>
        <v>9</v>
      </c>
      <c r="AG616" s="110" t="n">
        <f aca="false">IF(ISNUMBER(I616),COUNTIFS($B$7:$B$3000,B616,$C$7:$C$3000,C616,$I$7:$I$3000,"&lt;"&amp;I616,$AI$7:$AI$3000,"yes")+COUNTIFS($B$7:B616,B616,$C$7:C616,C616,$I$7:I616,I616,$AI$7:AI616,"yes"),"")</f>
        <v>9</v>
      </c>
      <c r="AH616" s="110" t="str">
        <f aca="false">IF(ISNUMBER(H616),"yes","no")</f>
        <v>yes</v>
      </c>
      <c r="AI616" s="110" t="str">
        <f aca="false">IF(ISNUMBER(I616),"yes","no")</f>
        <v>yes</v>
      </c>
      <c r="AJ616" s="120" t="n">
        <v>46297</v>
      </c>
      <c r="AK616" s="110"/>
    </row>
    <row r="617" customFormat="false" ht="34.5" hidden="false" customHeight="true" outlineLevel="0" collapsed="false">
      <c r="B617" s="36" t="s">
        <v>63</v>
      </c>
      <c r="C617" s="98" t="s">
        <v>15</v>
      </c>
      <c r="D617" s="98" t="s">
        <v>288</v>
      </c>
      <c r="E617" s="110" t="s">
        <v>2089</v>
      </c>
      <c r="F617" s="99" t="n">
        <v>7.99</v>
      </c>
      <c r="G617" s="98" t="s">
        <v>244</v>
      </c>
      <c r="H617" s="112" t="str">
        <f aca="false">IF(AND(AE617="yes",ISNUMBER(AD617)),AD617,"")</f>
        <v/>
      </c>
      <c r="I617" s="95" t="str">
        <f aca="false">IF(AND(AE617="yes",ISNUMBER(AD617),ISNUMBER(INDEX(Sources!$G$7:$G$10,MATCH(AB617,Sources!$B$7:$B$10,0)))),ROUND(AD617/INDEX(Sources!$G$7:$G$10,MATCH(AB617,Sources!$B$7:$B$10,0)),6),"")</f>
        <v/>
      </c>
      <c r="J617" s="98" t="s">
        <v>629</v>
      </c>
      <c r="K617" s="98" t="s">
        <v>2059</v>
      </c>
      <c r="L617" s="96"/>
      <c r="M617" s="110" t="s">
        <v>2090</v>
      </c>
      <c r="N617" s="117" t="s">
        <v>2091</v>
      </c>
      <c r="O617" s="110" t="s">
        <v>733</v>
      </c>
      <c r="P617" s="110" t="s">
        <v>590</v>
      </c>
      <c r="Q617" s="118" t="n">
        <v>0.2</v>
      </c>
      <c r="R617" s="110" t="n">
        <v>1</v>
      </c>
      <c r="S617" s="110" t="s">
        <v>632</v>
      </c>
      <c r="T617" s="110" t="s">
        <v>629</v>
      </c>
      <c r="U617" s="110" t="s">
        <v>2062</v>
      </c>
      <c r="V617" s="119" t="n">
        <v>7.99</v>
      </c>
      <c r="W617" s="119"/>
      <c r="X617" s="110" t="s">
        <v>2063</v>
      </c>
      <c r="Y617" s="110" t="s">
        <v>2064</v>
      </c>
      <c r="Z617" s="110" t="s">
        <v>2092</v>
      </c>
      <c r="AA617" s="110" t="s">
        <v>537</v>
      </c>
      <c r="AB617" s="110" t="s">
        <v>244</v>
      </c>
      <c r="AC617" s="110" t="s">
        <v>538</v>
      </c>
      <c r="AD617" s="110" t="n">
        <f aca="false">IF(OR(F617="",Q617="",R617=""),"",ROUND(IF(P617="incl.",F617/(1+Q617),F617)/IF(S617="per pack",R617,1),2))</f>
        <v>7.99</v>
      </c>
      <c r="AE617" s="110" t="str">
        <f aca="false">IF(AND(AC617="yes",ISNUMBER(F617),IF(Compare!$H$5="All mapped",TRUE(),IF(Compare!$H$5="EXACT only",J617="EXACT",OR(J617="EXACT",J617="CLOSE")))),"yes","no")</f>
        <v>no</v>
      </c>
      <c r="AF617" s="110" t="str">
        <f aca="false">IF(ISNUMBER(H617),COUNTIFS($B$7:$B$3000,B617,$C$7:$C$3000,C617,$H$7:$H$3000,"&lt;"&amp;H617,$AH$7:$AH$3000,"yes")+COUNTIFS($B$7:B617,B617,$C$7:C617,C617,$H$7:H617,H617,$AH$7:AH617,"yes"),"")</f>
        <v/>
      </c>
      <c r="AG617" s="110" t="str">
        <f aca="false">IF(ISNUMBER(I617),COUNTIFS($B$7:$B$3000,B617,$C$7:$C$3000,C617,$I$7:$I$3000,"&lt;"&amp;I617,$AI$7:$AI$3000,"yes")+COUNTIFS($B$7:B617,B617,$C$7:C617,C617,$I$7:I617,I617,$AI$7:AI617,"yes"),"")</f>
        <v/>
      </c>
      <c r="AH617" s="110" t="str">
        <f aca="false">IF(ISNUMBER(H617),"yes","no")</f>
        <v>no</v>
      </c>
      <c r="AI617" s="110" t="str">
        <f aca="false">IF(ISNUMBER(I617),"yes","no")</f>
        <v>no</v>
      </c>
      <c r="AJ617" s="120" t="n">
        <v>46297</v>
      </c>
      <c r="AK617" s="110"/>
    </row>
    <row r="618" customFormat="false" ht="45.75" hidden="false" customHeight="true" outlineLevel="0" collapsed="false">
      <c r="B618" s="36" t="s">
        <v>55</v>
      </c>
      <c r="C618" s="98" t="s">
        <v>15</v>
      </c>
      <c r="D618" s="98" t="s">
        <v>288</v>
      </c>
      <c r="E618" s="110" t="s">
        <v>2093</v>
      </c>
      <c r="F618" s="99" t="n">
        <v>17.99</v>
      </c>
      <c r="G618" s="98" t="s">
        <v>244</v>
      </c>
      <c r="H618" s="112" t="str">
        <f aca="false">IF(AND(AE618="yes",ISNUMBER(AD618)),AD618,"")</f>
        <v/>
      </c>
      <c r="I618" s="95" t="str">
        <f aca="false">IF(AND(AE618="yes",ISNUMBER(AD618),ISNUMBER(INDEX(Sources!$G$7:$G$10,MATCH(AB618,Sources!$B$7:$B$10,0)))),ROUND(AD618/INDEX(Sources!$G$7:$G$10,MATCH(AB618,Sources!$B$7:$B$10,0)),6),"")</f>
        <v/>
      </c>
      <c r="J618" s="98" t="s">
        <v>629</v>
      </c>
      <c r="K618" s="98" t="s">
        <v>2059</v>
      </c>
      <c r="L618" s="96"/>
      <c r="M618" s="110" t="s">
        <v>2094</v>
      </c>
      <c r="N618" s="117" t="s">
        <v>2095</v>
      </c>
      <c r="O618" s="110" t="s">
        <v>2096</v>
      </c>
      <c r="P618" s="110" t="s">
        <v>590</v>
      </c>
      <c r="Q618" s="118" t="n">
        <v>0.2</v>
      </c>
      <c r="R618" s="110" t="n">
        <v>1</v>
      </c>
      <c r="S618" s="110" t="s">
        <v>632</v>
      </c>
      <c r="T618" s="110" t="s">
        <v>629</v>
      </c>
      <c r="U618" s="110" t="s">
        <v>2062</v>
      </c>
      <c r="V618" s="119" t="n">
        <v>17.99</v>
      </c>
      <c r="W618" s="119"/>
      <c r="X618" s="110" t="s">
        <v>2063</v>
      </c>
      <c r="Y618" s="110" t="s">
        <v>2064</v>
      </c>
      <c r="Z618" s="110" t="s">
        <v>2097</v>
      </c>
      <c r="AA618" s="110" t="s">
        <v>537</v>
      </c>
      <c r="AB618" s="110" t="s">
        <v>244</v>
      </c>
      <c r="AC618" s="110" t="s">
        <v>538</v>
      </c>
      <c r="AD618" s="110" t="n">
        <f aca="false">IF(OR(F618="",Q618="",R618=""),"",ROUND(IF(P618="incl.",F618/(1+Q618),F618)/IF(S618="per pack",R618,1),2))</f>
        <v>17.99</v>
      </c>
      <c r="AE618" s="110" t="str">
        <f aca="false">IF(AND(AC618="yes",ISNUMBER(F618),IF(Compare!$H$5="All mapped",TRUE(),IF(Compare!$H$5="EXACT only",J618="EXACT",OR(J618="EXACT",J618="CLOSE")))),"yes","no")</f>
        <v>no</v>
      </c>
      <c r="AF618" s="110" t="str">
        <f aca="false">IF(ISNUMBER(H618),COUNTIFS($B$7:$B$3000,B618,$C$7:$C$3000,C618,$H$7:$H$3000,"&lt;"&amp;H618,$AH$7:$AH$3000,"yes")+COUNTIFS($B$7:B618,B618,$C$7:C618,C618,$H$7:H618,H618,$AH$7:AH618,"yes"),"")</f>
        <v/>
      </c>
      <c r="AG618" s="110" t="str">
        <f aca="false">IF(ISNUMBER(I618),COUNTIFS($B$7:$B$3000,B618,$C$7:$C$3000,C618,$I$7:$I$3000,"&lt;"&amp;I618,$AI$7:$AI$3000,"yes")+COUNTIFS($B$7:B618,B618,$C$7:C618,C618,$I$7:I618,I618,$AI$7:AI618,"yes"),"")</f>
        <v/>
      </c>
      <c r="AH618" s="110" t="str">
        <f aca="false">IF(ISNUMBER(H618),"yes","no")</f>
        <v>no</v>
      </c>
      <c r="AI618" s="110" t="str">
        <f aca="false">IF(ISNUMBER(I618),"yes","no")</f>
        <v>no</v>
      </c>
      <c r="AJ618" s="120" t="n">
        <v>46297</v>
      </c>
      <c r="AK618" s="110"/>
    </row>
    <row r="619" customFormat="false" ht="34.5" hidden="false" customHeight="true" outlineLevel="0" collapsed="false">
      <c r="B619" s="36" t="s">
        <v>60</v>
      </c>
      <c r="C619" s="98" t="s">
        <v>15</v>
      </c>
      <c r="D619" s="98" t="s">
        <v>288</v>
      </c>
      <c r="E619" s="110" t="s">
        <v>2098</v>
      </c>
      <c r="F619" s="99" t="n">
        <v>31.99</v>
      </c>
      <c r="G619" s="98" t="s">
        <v>244</v>
      </c>
      <c r="H619" s="112" t="n">
        <f aca="false">IF(AND(AE619="yes",ISNUMBER(AD619)),AD619,"")</f>
        <v>31.99</v>
      </c>
      <c r="I619" s="95" t="n">
        <f aca="false">IF(AND(AE619="yes",ISNUMBER(AD619),ISNUMBER(INDEX(Sources!$G$7:$G$10,MATCH(AB619,Sources!$B$7:$B$10,0)))),ROUND(AD619/INDEX(Sources!$G$7:$G$10,MATCH(AB619,Sources!$B$7:$B$10,0)),6),"")</f>
        <v>31.99</v>
      </c>
      <c r="J619" s="98" t="s">
        <v>530</v>
      </c>
      <c r="K619" s="98" t="s">
        <v>2059</v>
      </c>
      <c r="L619" s="96"/>
      <c r="M619" s="110" t="s">
        <v>2099</v>
      </c>
      <c r="N619" s="117" t="s">
        <v>2100</v>
      </c>
      <c r="O619" s="110" t="s">
        <v>2096</v>
      </c>
      <c r="P619" s="110" t="s">
        <v>590</v>
      </c>
      <c r="Q619" s="118" t="n">
        <v>0.2</v>
      </c>
      <c r="R619" s="110" t="n">
        <v>1</v>
      </c>
      <c r="S619" s="110" t="s">
        <v>632</v>
      </c>
      <c r="T619" s="110" t="s">
        <v>530</v>
      </c>
      <c r="U619" s="110" t="s">
        <v>2062</v>
      </c>
      <c r="V619" s="119" t="n">
        <v>31.99</v>
      </c>
      <c r="W619" s="119"/>
      <c r="X619" s="110" t="s">
        <v>2063</v>
      </c>
      <c r="Y619" s="110" t="s">
        <v>2064</v>
      </c>
      <c r="Z619" s="110" t="s">
        <v>2084</v>
      </c>
      <c r="AA619" s="110" t="s">
        <v>537</v>
      </c>
      <c r="AB619" s="110" t="s">
        <v>244</v>
      </c>
      <c r="AC619" s="110" t="s">
        <v>538</v>
      </c>
      <c r="AD619" s="110" t="n">
        <f aca="false">IF(OR(F619="",Q619="",R619=""),"",ROUND(IF(P619="incl.",F619/(1+Q619),F619)/IF(S619="per pack",R619,1),2))</f>
        <v>31.99</v>
      </c>
      <c r="AE619" s="110" t="str">
        <f aca="false">IF(AND(AC619="yes",ISNUMBER(F619),IF(Compare!$H$5="All mapped",TRUE(),IF(Compare!$H$5="EXACT only",J619="EXACT",OR(J619="EXACT",J619="CLOSE")))),"yes","no")</f>
        <v>yes</v>
      </c>
      <c r="AF619" s="110" t="n">
        <f aca="false">IF(ISNUMBER(H619),COUNTIFS($B$7:$B$3000,B619,$C$7:$C$3000,C619,$H$7:$H$3000,"&lt;"&amp;H619,$AH$7:$AH$3000,"yes")+COUNTIFS($B$7:B619,B619,$C$7:C619,C619,$H$7:H619,H619,$AH$7:AH619,"yes"),"")</f>
        <v>7</v>
      </c>
      <c r="AG619" s="110" t="n">
        <f aca="false">IF(ISNUMBER(I619),COUNTIFS($B$7:$B$3000,B619,$C$7:$C$3000,C619,$I$7:$I$3000,"&lt;"&amp;I619,$AI$7:$AI$3000,"yes")+COUNTIFS($B$7:B619,B619,$C$7:C619,C619,$I$7:I619,I619,$AI$7:AI619,"yes"),"")</f>
        <v>7</v>
      </c>
      <c r="AH619" s="110" t="str">
        <f aca="false">IF(ISNUMBER(H619),"yes","no")</f>
        <v>yes</v>
      </c>
      <c r="AI619" s="110" t="str">
        <f aca="false">IF(ISNUMBER(I619),"yes","no")</f>
        <v>yes</v>
      </c>
      <c r="AJ619" s="120" t="n">
        <v>46297</v>
      </c>
      <c r="AK619" s="110"/>
    </row>
    <row r="620" customFormat="false" ht="34.5" hidden="false" customHeight="true" outlineLevel="0" collapsed="false">
      <c r="B620" s="36" t="s">
        <v>33</v>
      </c>
      <c r="C620" s="98" t="s">
        <v>15</v>
      </c>
      <c r="D620" s="98" t="s">
        <v>293</v>
      </c>
      <c r="E620" s="110" t="s">
        <v>2101</v>
      </c>
      <c r="F620" s="99" t="n">
        <v>7.5</v>
      </c>
      <c r="G620" s="98" t="s">
        <v>244</v>
      </c>
      <c r="H620" s="112" t="n">
        <f aca="false">IF(AND(AE620="yes",ISNUMBER(AD620)),AD620,"")</f>
        <v>7.5</v>
      </c>
      <c r="I620" s="95" t="n">
        <f aca="false">IF(AND(AE620="yes",ISNUMBER(AD620),ISNUMBER(INDEX(Sources!$G$7:$G$10,MATCH(AB620,Sources!$B$7:$B$10,0)))),ROUND(AD620/INDEX(Sources!$G$7:$G$10,MATCH(AB620,Sources!$B$7:$B$10,0)),6),"")</f>
        <v>7.5</v>
      </c>
      <c r="J620" s="98" t="s">
        <v>702</v>
      </c>
      <c r="K620" s="98" t="s">
        <v>2059</v>
      </c>
      <c r="L620" s="96"/>
      <c r="M620" s="110" t="s">
        <v>2102</v>
      </c>
      <c r="N620" s="117" t="s">
        <v>2103</v>
      </c>
      <c r="O620" s="110" t="s">
        <v>2104</v>
      </c>
      <c r="P620" s="110" t="s">
        <v>590</v>
      </c>
      <c r="Q620" s="118" t="n">
        <v>0.2</v>
      </c>
      <c r="R620" s="110" t="n">
        <v>1</v>
      </c>
      <c r="S620" s="110" t="s">
        <v>632</v>
      </c>
      <c r="T620" s="110" t="s">
        <v>702</v>
      </c>
      <c r="U620" s="110" t="s">
        <v>2062</v>
      </c>
      <c r="V620" s="119" t="n">
        <v>7.5</v>
      </c>
      <c r="W620" s="119"/>
      <c r="X620" s="110" t="s">
        <v>2063</v>
      </c>
      <c r="Y620" s="110" t="s">
        <v>2064</v>
      </c>
      <c r="Z620" s="110" t="s">
        <v>2105</v>
      </c>
      <c r="AA620" s="110" t="s">
        <v>537</v>
      </c>
      <c r="AB620" s="110" t="s">
        <v>244</v>
      </c>
      <c r="AC620" s="110" t="s">
        <v>538</v>
      </c>
      <c r="AD620" s="110" t="n">
        <f aca="false">IF(OR(F620="",Q620="",R620=""),"",ROUND(IF(P620="incl.",F620/(1+Q620),F620)/IF(S620="per pack",R620,1),2))</f>
        <v>7.5</v>
      </c>
      <c r="AE620" s="110" t="str">
        <f aca="false">IF(AND(AC620="yes",ISNUMBER(F620),IF(Compare!$H$5="All mapped",TRUE(),IF(Compare!$H$5="EXACT only",J620="EXACT",OR(J620="EXACT",J620="CLOSE")))),"yes","no")</f>
        <v>yes</v>
      </c>
      <c r="AF620" s="110" t="n">
        <f aca="false">IF(ISNUMBER(H620),COUNTIFS($B$7:$B$3000,B620,$C$7:$C$3000,C620,$H$7:$H$3000,"&lt;"&amp;H620,$AH$7:$AH$3000,"yes")+COUNTIFS($B$7:B620,B620,$C$7:C620,C620,$H$7:H620,H620,$AH$7:AH620,"yes"),"")</f>
        <v>2</v>
      </c>
      <c r="AG620" s="110" t="n">
        <f aca="false">IF(ISNUMBER(I620),COUNTIFS($B$7:$B$3000,B620,$C$7:$C$3000,C620,$I$7:$I$3000,"&lt;"&amp;I620,$AI$7:$AI$3000,"yes")+COUNTIFS($B$7:B620,B620,$C$7:C620,C620,$I$7:I620,I620,$AI$7:AI620,"yes"),"")</f>
        <v>2</v>
      </c>
      <c r="AH620" s="110" t="str">
        <f aca="false">IF(ISNUMBER(H620),"yes","no")</f>
        <v>yes</v>
      </c>
      <c r="AI620" s="110" t="str">
        <f aca="false">IF(ISNUMBER(I620),"yes","no")</f>
        <v>yes</v>
      </c>
      <c r="AJ620" s="120" t="n">
        <v>46297</v>
      </c>
      <c r="AK620" s="110"/>
    </row>
    <row r="621" customFormat="false" ht="34.5" hidden="false" customHeight="true" outlineLevel="0" collapsed="false">
      <c r="B621" s="36" t="s">
        <v>55</v>
      </c>
      <c r="C621" s="98" t="s">
        <v>15</v>
      </c>
      <c r="D621" s="98" t="s">
        <v>293</v>
      </c>
      <c r="E621" s="110" t="s">
        <v>2106</v>
      </c>
      <c r="F621" s="99" t="n">
        <v>15</v>
      </c>
      <c r="G621" s="98" t="s">
        <v>244</v>
      </c>
      <c r="H621" s="112" t="str">
        <f aca="false">IF(AND(AE621="yes",ISNUMBER(AD621)),AD621,"")</f>
        <v/>
      </c>
      <c r="I621" s="95" t="str">
        <f aca="false">IF(AND(AE621="yes",ISNUMBER(AD621),ISNUMBER(INDEX(Sources!$G$7:$G$10,MATCH(AB621,Sources!$B$7:$B$10,0)))),ROUND(AD621/INDEX(Sources!$G$7:$G$10,MATCH(AB621,Sources!$B$7:$B$10,0)),6),"")</f>
        <v/>
      </c>
      <c r="J621" s="98" t="s">
        <v>629</v>
      </c>
      <c r="K621" s="98" t="s">
        <v>2059</v>
      </c>
      <c r="L621" s="96"/>
      <c r="M621" s="110" t="s">
        <v>2107</v>
      </c>
      <c r="N621" s="117" t="s">
        <v>2108</v>
      </c>
      <c r="O621" s="110" t="s">
        <v>2104</v>
      </c>
      <c r="P621" s="110" t="s">
        <v>590</v>
      </c>
      <c r="Q621" s="118" t="n">
        <v>0.2</v>
      </c>
      <c r="R621" s="110" t="n">
        <v>1</v>
      </c>
      <c r="S621" s="110" t="s">
        <v>632</v>
      </c>
      <c r="T621" s="110" t="s">
        <v>629</v>
      </c>
      <c r="U621" s="110" t="s">
        <v>2062</v>
      </c>
      <c r="V621" s="119" t="n">
        <v>15</v>
      </c>
      <c r="W621" s="119"/>
      <c r="X621" s="110" t="s">
        <v>2063</v>
      </c>
      <c r="Y621" s="110" t="s">
        <v>2064</v>
      </c>
      <c r="Z621" s="110" t="s">
        <v>2105</v>
      </c>
      <c r="AA621" s="110" t="s">
        <v>537</v>
      </c>
      <c r="AB621" s="110" t="s">
        <v>244</v>
      </c>
      <c r="AC621" s="110" t="s">
        <v>538</v>
      </c>
      <c r="AD621" s="110" t="n">
        <f aca="false">IF(OR(F621="",Q621="",R621=""),"",ROUND(IF(P621="incl.",F621/(1+Q621),F621)/IF(S621="per pack",R621,1),2))</f>
        <v>15</v>
      </c>
      <c r="AE621" s="110" t="str">
        <f aca="false">IF(AND(AC621="yes",ISNUMBER(F621),IF(Compare!$H$5="All mapped",TRUE(),IF(Compare!$H$5="EXACT only",J621="EXACT",OR(J621="EXACT",J621="CLOSE")))),"yes","no")</f>
        <v>no</v>
      </c>
      <c r="AF621" s="110" t="str">
        <f aca="false">IF(ISNUMBER(H621),COUNTIFS($B$7:$B$3000,B621,$C$7:$C$3000,C621,$H$7:$H$3000,"&lt;"&amp;H621,$AH$7:$AH$3000,"yes")+COUNTIFS($B$7:B621,B621,$C$7:C621,C621,$H$7:H621,H621,$AH$7:AH621,"yes"),"")</f>
        <v/>
      </c>
      <c r="AG621" s="110" t="str">
        <f aca="false">IF(ISNUMBER(I621),COUNTIFS($B$7:$B$3000,B621,$C$7:$C$3000,C621,$I$7:$I$3000,"&lt;"&amp;I621,$AI$7:$AI$3000,"yes")+COUNTIFS($B$7:B621,B621,$C$7:C621,C621,$I$7:I621,I621,$AI$7:AI621,"yes"),"")</f>
        <v/>
      </c>
      <c r="AH621" s="110" t="str">
        <f aca="false">IF(ISNUMBER(H621),"yes","no")</f>
        <v>no</v>
      </c>
      <c r="AI621" s="110" t="str">
        <f aca="false">IF(ISNUMBER(I621),"yes","no")</f>
        <v>no</v>
      </c>
      <c r="AJ621" s="120" t="n">
        <v>46297</v>
      </c>
      <c r="AK621" s="110"/>
    </row>
    <row r="622" customFormat="false" ht="23.25" hidden="false" customHeight="true" outlineLevel="0" collapsed="false">
      <c r="B622" s="36" t="s">
        <v>65</v>
      </c>
      <c r="C622" s="98" t="s">
        <v>15</v>
      </c>
      <c r="D622" s="98" t="s">
        <v>243</v>
      </c>
      <c r="E622" s="110" t="s">
        <v>965</v>
      </c>
      <c r="F622" s="99" t="n">
        <v>36.1</v>
      </c>
      <c r="G622" s="98" t="s">
        <v>244</v>
      </c>
      <c r="H622" s="112" t="str">
        <f aca="false">IF(AND(AE622="yes",ISNUMBER(AD622)),AD622,"")</f>
        <v/>
      </c>
      <c r="I622" s="95" t="str">
        <f aca="false">IF(AND(AE622="yes",ISNUMBER(AD622),ISNUMBER(INDEX(Sources!$G$7:$G$10,MATCH(AB622,Sources!$B$7:$B$10,0)))),ROUND(AD622/INDEX(Sources!$G$7:$G$10,MATCH(AB622,Sources!$B$7:$B$10,0)),6),"")</f>
        <v/>
      </c>
      <c r="J622" s="98" t="s">
        <v>956</v>
      </c>
      <c r="K622" s="98" t="s">
        <v>2059</v>
      </c>
      <c r="L622" s="96"/>
      <c r="M622" s="110" t="s">
        <v>2109</v>
      </c>
      <c r="N622" s="117" t="s">
        <v>967</v>
      </c>
      <c r="O622" s="110" t="s">
        <v>603</v>
      </c>
      <c r="P622" s="110" t="s">
        <v>590</v>
      </c>
      <c r="Q622" s="118" t="n">
        <v>0.2</v>
      </c>
      <c r="R622" s="110" t="n">
        <v>1</v>
      </c>
      <c r="S622" s="110" t="s">
        <v>632</v>
      </c>
      <c r="T622" s="110" t="s">
        <v>956</v>
      </c>
      <c r="U622" s="110" t="s">
        <v>2062</v>
      </c>
      <c r="V622" s="119" t="n">
        <v>36.1</v>
      </c>
      <c r="W622" s="119"/>
      <c r="X622" s="110" t="s">
        <v>2063</v>
      </c>
      <c r="Y622" s="110" t="s">
        <v>2064</v>
      </c>
      <c r="Z622" s="110" t="s">
        <v>2110</v>
      </c>
      <c r="AA622" s="110" t="s">
        <v>537</v>
      </c>
      <c r="AB622" s="110" t="s">
        <v>244</v>
      </c>
      <c r="AC622" s="110" t="s">
        <v>538</v>
      </c>
      <c r="AD622" s="110" t="n">
        <f aca="false">IF(OR(F622="",Q622="",R622=""),"",ROUND(IF(P622="incl.",F622/(1+Q622),F622)/IF(S622="per pack",R622,1),2))</f>
        <v>36.1</v>
      </c>
      <c r="AE622" s="110" t="str">
        <f aca="false">IF(AND(AC622="yes",ISNUMBER(F622),IF(Compare!$H$5="All mapped",TRUE(),IF(Compare!$H$5="EXACT only",J622="EXACT",OR(J622="EXACT",J622="CLOSE")))),"yes","no")</f>
        <v>no</v>
      </c>
      <c r="AF622" s="110" t="str">
        <f aca="false">IF(ISNUMBER(H622),COUNTIFS($B$7:$B$3000,B622,$C$7:$C$3000,C622,$H$7:$H$3000,"&lt;"&amp;H622,$AH$7:$AH$3000,"yes")+COUNTIFS($B$7:B622,B622,$C$7:C622,C622,$H$7:H622,H622,$AH$7:AH622,"yes"),"")</f>
        <v/>
      </c>
      <c r="AG622" s="110" t="str">
        <f aca="false">IF(ISNUMBER(I622),COUNTIFS($B$7:$B$3000,B622,$C$7:$C$3000,C622,$I$7:$I$3000,"&lt;"&amp;I622,$AI$7:$AI$3000,"yes")+COUNTIFS($B$7:B622,B622,$C$7:C622,C622,$I$7:I622,I622,$AI$7:AI622,"yes"),"")</f>
        <v/>
      </c>
      <c r="AH622" s="110" t="str">
        <f aca="false">IF(ISNUMBER(H622),"yes","no")</f>
        <v>no</v>
      </c>
      <c r="AI622" s="110" t="str">
        <f aca="false">IF(ISNUMBER(I622),"yes","no")</f>
        <v>no</v>
      </c>
      <c r="AJ622" s="120" t="n">
        <v>46297</v>
      </c>
      <c r="AK622" s="110"/>
    </row>
    <row r="623" customFormat="false" ht="34.5" hidden="false" customHeight="true" outlineLevel="0" collapsed="false">
      <c r="B623" s="36" t="s">
        <v>65</v>
      </c>
      <c r="C623" s="98" t="s">
        <v>15</v>
      </c>
      <c r="D623" s="98" t="s">
        <v>277</v>
      </c>
      <c r="E623" s="110" t="s">
        <v>2111</v>
      </c>
      <c r="F623" s="99" t="n">
        <v>28.99</v>
      </c>
      <c r="G623" s="98" t="s">
        <v>244</v>
      </c>
      <c r="H623" s="112" t="n">
        <f aca="false">IF(AND(AE623="yes",ISNUMBER(AD623)),AD623,"")</f>
        <v>28.99</v>
      </c>
      <c r="I623" s="95" t="n">
        <f aca="false">IF(AND(AE623="yes",ISNUMBER(AD623),ISNUMBER(INDEX(Sources!$G$7:$G$10,MATCH(AB623,Sources!$B$7:$B$10,0)))),ROUND(AD623/INDEX(Sources!$G$7:$G$10,MATCH(AB623,Sources!$B$7:$B$10,0)),6),"")</f>
        <v>28.99</v>
      </c>
      <c r="J623" s="98" t="s">
        <v>530</v>
      </c>
      <c r="K623" s="98" t="s">
        <v>2059</v>
      </c>
      <c r="L623" s="96"/>
      <c r="M623" s="110" t="s">
        <v>2112</v>
      </c>
      <c r="N623" s="117" t="s">
        <v>2046</v>
      </c>
      <c r="O623" s="110" t="s">
        <v>610</v>
      </c>
      <c r="P623" s="110" t="s">
        <v>590</v>
      </c>
      <c r="Q623" s="118" t="n">
        <v>0.19</v>
      </c>
      <c r="R623" s="110" t="n">
        <v>1</v>
      </c>
      <c r="S623" s="110" t="s">
        <v>632</v>
      </c>
      <c r="T623" s="110" t="s">
        <v>530</v>
      </c>
      <c r="U623" s="110" t="s">
        <v>2062</v>
      </c>
      <c r="V623" s="119" t="n">
        <v>28.99</v>
      </c>
      <c r="W623" s="119"/>
      <c r="X623" s="110" t="s">
        <v>2063</v>
      </c>
      <c r="Y623" s="110" t="s">
        <v>2064</v>
      </c>
      <c r="Z623" s="110" t="s">
        <v>2071</v>
      </c>
      <c r="AA623" s="110" t="s">
        <v>537</v>
      </c>
      <c r="AB623" s="110" t="s">
        <v>244</v>
      </c>
      <c r="AC623" s="110" t="s">
        <v>538</v>
      </c>
      <c r="AD623" s="110" t="n">
        <f aca="false">IF(OR(F623="",Q623="",R623=""),"",ROUND(IF(P623="incl.",F623/(1+Q623),F623)/IF(S623="per pack",R623,1),2))</f>
        <v>28.99</v>
      </c>
      <c r="AE623" s="110" t="str">
        <f aca="false">IF(AND(AC623="yes",ISNUMBER(F623),IF(Compare!$H$5="All mapped",TRUE(),IF(Compare!$H$5="EXACT only",J623="EXACT",OR(J623="EXACT",J623="CLOSE")))),"yes","no")</f>
        <v>yes</v>
      </c>
      <c r="AF623" s="110" t="n">
        <f aca="false">IF(ISNUMBER(H623),COUNTIFS($B$7:$B$3000,B623,$C$7:$C$3000,C623,$H$7:$H$3000,"&lt;"&amp;H623,$AH$7:$AH$3000,"yes")+COUNTIFS($B$7:B623,B623,$C$7:C623,C623,$H$7:H623,H623,$AH$7:AH623,"yes"),"")</f>
        <v>3</v>
      </c>
      <c r="AG623" s="110" t="n">
        <f aca="false">IF(ISNUMBER(I623),COUNTIFS($B$7:$B$3000,B623,$C$7:$C$3000,C623,$I$7:$I$3000,"&lt;"&amp;I623,$AI$7:$AI$3000,"yes")+COUNTIFS($B$7:B623,B623,$C$7:C623,C623,$I$7:I623,I623,$AI$7:AI623,"yes"),"")</f>
        <v>3</v>
      </c>
      <c r="AH623" s="110" t="str">
        <f aca="false">IF(ISNUMBER(H623),"yes","no")</f>
        <v>yes</v>
      </c>
      <c r="AI623" s="110" t="str">
        <f aca="false">IF(ISNUMBER(I623),"yes","no")</f>
        <v>yes</v>
      </c>
      <c r="AJ623" s="120" t="n">
        <v>46297</v>
      </c>
      <c r="AK623" s="110"/>
    </row>
    <row r="624" customFormat="false" ht="45.75" hidden="false" customHeight="true" outlineLevel="0" collapsed="false">
      <c r="B624" s="36" t="s">
        <v>65</v>
      </c>
      <c r="C624" s="98" t="s">
        <v>15</v>
      </c>
      <c r="D624" s="98" t="s">
        <v>261</v>
      </c>
      <c r="E624" s="110" t="s">
        <v>2113</v>
      </c>
      <c r="F624" s="99" t="n">
        <v>169</v>
      </c>
      <c r="G624" s="98" t="s">
        <v>244</v>
      </c>
      <c r="H624" s="112" t="str">
        <f aca="false">IF(AND(AE624="yes",ISNUMBER(AD624)),AD624,"")</f>
        <v/>
      </c>
      <c r="I624" s="95" t="str">
        <f aca="false">IF(AND(AE624="yes",ISNUMBER(AD624),ISNUMBER(INDEX(Sources!$G$7:$G$10,MATCH(AB624,Sources!$B$7:$B$10,0)))),ROUND(AD624/INDEX(Sources!$G$7:$G$10,MATCH(AB624,Sources!$B$7:$B$10,0)),6),"")</f>
        <v/>
      </c>
      <c r="J624" s="98" t="s">
        <v>629</v>
      </c>
      <c r="K624" s="98" t="s">
        <v>2059</v>
      </c>
      <c r="L624" s="96"/>
      <c r="M624" s="110" t="s">
        <v>2114</v>
      </c>
      <c r="N624" s="117" t="s">
        <v>2115</v>
      </c>
      <c r="O624" s="110"/>
      <c r="P624" s="110" t="s">
        <v>590</v>
      </c>
      <c r="Q624" s="118" t="n">
        <v>0.2</v>
      </c>
      <c r="R624" s="110" t="n">
        <v>1</v>
      </c>
      <c r="S624" s="110" t="s">
        <v>632</v>
      </c>
      <c r="T624" s="110" t="s">
        <v>629</v>
      </c>
      <c r="U624" s="110" t="s">
        <v>2062</v>
      </c>
      <c r="V624" s="119" t="n">
        <v>169</v>
      </c>
      <c r="W624" s="119"/>
      <c r="X624" s="110" t="s">
        <v>2063</v>
      </c>
      <c r="Y624" s="110" t="s">
        <v>2064</v>
      </c>
      <c r="Z624" s="110" t="s">
        <v>246</v>
      </c>
      <c r="AA624" s="110" t="s">
        <v>537</v>
      </c>
      <c r="AB624" s="110" t="s">
        <v>244</v>
      </c>
      <c r="AC624" s="110" t="s">
        <v>538</v>
      </c>
      <c r="AD624" s="110" t="n">
        <f aca="false">IF(OR(F624="",Q624="",R624=""),"",ROUND(IF(P624="incl.",F624/(1+Q624),F624)/IF(S624="per pack",R624,1),2))</f>
        <v>169</v>
      </c>
      <c r="AE624" s="110" t="str">
        <f aca="false">IF(AND(AC624="yes",ISNUMBER(F624),IF(Compare!$H$5="All mapped",TRUE(),IF(Compare!$H$5="EXACT only",J624="EXACT",OR(J624="EXACT",J624="CLOSE")))),"yes","no")</f>
        <v>no</v>
      </c>
      <c r="AF624" s="110" t="str">
        <f aca="false">IF(ISNUMBER(H624),COUNTIFS($B$7:$B$3000,B624,$C$7:$C$3000,C624,$H$7:$H$3000,"&lt;"&amp;H624,$AH$7:$AH$3000,"yes")+COUNTIFS($B$7:B624,B624,$C$7:C624,C624,$H$7:H624,H624,$AH$7:AH624,"yes"),"")</f>
        <v/>
      </c>
      <c r="AG624" s="110" t="str">
        <f aca="false">IF(ISNUMBER(I624),COUNTIFS($B$7:$B$3000,B624,$C$7:$C$3000,C624,$I$7:$I$3000,"&lt;"&amp;I624,$AI$7:$AI$3000,"yes")+COUNTIFS($B$7:B624,B624,$C$7:C624,C624,$I$7:I624,I624,$AI$7:AI624,"yes"),"")</f>
        <v/>
      </c>
      <c r="AH624" s="110" t="str">
        <f aca="false">IF(ISNUMBER(H624),"yes","no")</f>
        <v>no</v>
      </c>
      <c r="AI624" s="110" t="str">
        <f aca="false">IF(ISNUMBER(I624),"yes","no")</f>
        <v>no</v>
      </c>
      <c r="AJ624" s="120" t="n">
        <v>46297</v>
      </c>
      <c r="AK624" s="110"/>
    </row>
    <row r="625" customFormat="false" ht="45.75" hidden="false" customHeight="true" outlineLevel="0" collapsed="false">
      <c r="B625" s="36" t="s">
        <v>65</v>
      </c>
      <c r="C625" s="98" t="s">
        <v>15</v>
      </c>
      <c r="D625" s="98" t="s">
        <v>269</v>
      </c>
      <c r="E625" s="110" t="s">
        <v>2116</v>
      </c>
      <c r="F625" s="99" t="n">
        <v>26.89</v>
      </c>
      <c r="G625" s="98" t="s">
        <v>244</v>
      </c>
      <c r="H625" s="112" t="n">
        <f aca="false">IF(AND(AE625="yes",ISNUMBER(AD625)),AD625,"")</f>
        <v>26.89</v>
      </c>
      <c r="I625" s="95" t="n">
        <f aca="false">IF(AND(AE625="yes",ISNUMBER(AD625),ISNUMBER(INDEX(Sources!$G$7:$G$10,MATCH(AB625,Sources!$B$7:$B$10,0)))),ROUND(AD625/INDEX(Sources!$G$7:$G$10,MATCH(AB625,Sources!$B$7:$B$10,0)),6),"")</f>
        <v>26.89</v>
      </c>
      <c r="J625" s="98" t="s">
        <v>702</v>
      </c>
      <c r="K625" s="98" t="s">
        <v>2059</v>
      </c>
      <c r="L625" s="96"/>
      <c r="M625" s="110" t="s">
        <v>2117</v>
      </c>
      <c r="N625" s="117" t="s">
        <v>970</v>
      </c>
      <c r="O625" s="110" t="s">
        <v>388</v>
      </c>
      <c r="P625" s="110" t="s">
        <v>590</v>
      </c>
      <c r="Q625" s="118" t="n">
        <v>0.19</v>
      </c>
      <c r="R625" s="110" t="n">
        <v>1</v>
      </c>
      <c r="S625" s="110" t="s">
        <v>632</v>
      </c>
      <c r="T625" s="110" t="s">
        <v>702</v>
      </c>
      <c r="U625" s="110" t="s">
        <v>2062</v>
      </c>
      <c r="V625" s="119" t="n">
        <v>26.89</v>
      </c>
      <c r="W625" s="119"/>
      <c r="X625" s="110" t="s">
        <v>2063</v>
      </c>
      <c r="Y625" s="110" t="s">
        <v>2064</v>
      </c>
      <c r="Z625" s="110" t="s">
        <v>2118</v>
      </c>
      <c r="AA625" s="110" t="s">
        <v>537</v>
      </c>
      <c r="AB625" s="110" t="s">
        <v>244</v>
      </c>
      <c r="AC625" s="110" t="s">
        <v>538</v>
      </c>
      <c r="AD625" s="110" t="n">
        <f aca="false">IF(OR(F625="",Q625="",R625=""),"",ROUND(IF(P625="incl.",F625/(1+Q625),F625)/IF(S625="per pack",R625,1),2))</f>
        <v>26.89</v>
      </c>
      <c r="AE625" s="110" t="str">
        <f aca="false">IF(AND(AC625="yes",ISNUMBER(F625),IF(Compare!$H$5="All mapped",TRUE(),IF(Compare!$H$5="EXACT only",J625="EXACT",OR(J625="EXACT",J625="CLOSE")))),"yes","no")</f>
        <v>yes</v>
      </c>
      <c r="AF625" s="110" t="n">
        <f aca="false">IF(ISNUMBER(H625),COUNTIFS($B$7:$B$3000,B625,$C$7:$C$3000,C625,$H$7:$H$3000,"&lt;"&amp;H625,$AH$7:$AH$3000,"yes")+COUNTIFS($B$7:B625,B625,$C$7:C625,C625,$H$7:H625,H625,$AH$7:AH625,"yes"),"")</f>
        <v>2</v>
      </c>
      <c r="AG625" s="110" t="n">
        <f aca="false">IF(ISNUMBER(I625),COUNTIFS($B$7:$B$3000,B625,$C$7:$C$3000,C625,$I$7:$I$3000,"&lt;"&amp;I625,$AI$7:$AI$3000,"yes")+COUNTIFS($B$7:B625,B625,$C$7:C625,C625,$I$7:I625,I625,$AI$7:AI625,"yes"),"")</f>
        <v>2</v>
      </c>
      <c r="AH625" s="110" t="str">
        <f aca="false">IF(ISNUMBER(H625),"yes","no")</f>
        <v>yes</v>
      </c>
      <c r="AI625" s="110" t="str">
        <f aca="false">IF(ISNUMBER(I625),"yes","no")</f>
        <v>yes</v>
      </c>
      <c r="AJ625" s="120" t="n">
        <v>46297</v>
      </c>
      <c r="AK625" s="110"/>
    </row>
    <row r="626" customFormat="false" ht="23.25" hidden="false" customHeight="true" outlineLevel="0" collapsed="false">
      <c r="B626" s="36" t="s">
        <v>62</v>
      </c>
      <c r="C626" s="98" t="s">
        <v>15</v>
      </c>
      <c r="D626" s="98" t="s">
        <v>269</v>
      </c>
      <c r="E626" s="110" t="s">
        <v>2119</v>
      </c>
      <c r="F626" s="99" t="n">
        <v>3.39</v>
      </c>
      <c r="G626" s="98" t="s">
        <v>244</v>
      </c>
      <c r="H626" s="112" t="n">
        <f aca="false">IF(AND(AE626="yes",ISNUMBER(AD626)),AD626,"")</f>
        <v>3.39</v>
      </c>
      <c r="I626" s="95" t="n">
        <f aca="false">IF(AND(AE626="yes",ISNUMBER(AD626),ISNUMBER(INDEX(Sources!$G$7:$G$10,MATCH(AB626,Sources!$B$7:$B$10,0)))),ROUND(AD626/INDEX(Sources!$G$7:$G$10,MATCH(AB626,Sources!$B$7:$B$10,0)),6),"")</f>
        <v>3.39</v>
      </c>
      <c r="J626" s="98" t="s">
        <v>702</v>
      </c>
      <c r="K626" s="98" t="s">
        <v>2059</v>
      </c>
      <c r="L626" s="96"/>
      <c r="M626" s="110" t="s">
        <v>2120</v>
      </c>
      <c r="N626" s="117" t="s">
        <v>2121</v>
      </c>
      <c r="O626" s="110" t="s">
        <v>646</v>
      </c>
      <c r="P626" s="110" t="s">
        <v>590</v>
      </c>
      <c r="Q626" s="118" t="n">
        <v>0.19</v>
      </c>
      <c r="R626" s="110" t="n">
        <v>1</v>
      </c>
      <c r="S626" s="110" t="s">
        <v>632</v>
      </c>
      <c r="T626" s="110" t="s">
        <v>702</v>
      </c>
      <c r="U626" s="110" t="s">
        <v>2062</v>
      </c>
      <c r="V626" s="119" t="n">
        <v>3.39</v>
      </c>
      <c r="W626" s="119"/>
      <c r="X626" s="110" t="s">
        <v>2063</v>
      </c>
      <c r="Y626" s="110" t="s">
        <v>2064</v>
      </c>
      <c r="Z626" s="110" t="s">
        <v>2122</v>
      </c>
      <c r="AA626" s="110" t="s">
        <v>537</v>
      </c>
      <c r="AB626" s="110" t="s">
        <v>244</v>
      </c>
      <c r="AC626" s="110" t="s">
        <v>538</v>
      </c>
      <c r="AD626" s="110" t="n">
        <f aca="false">IF(OR(F626="",Q626="",R626=""),"",ROUND(IF(P626="incl.",F626/(1+Q626),F626)/IF(S626="per pack",R626,1),2))</f>
        <v>3.39</v>
      </c>
      <c r="AE626" s="110" t="str">
        <f aca="false">IF(AND(AC626="yes",ISNUMBER(F626),IF(Compare!$H$5="All mapped",TRUE(),IF(Compare!$H$5="EXACT only",J626="EXACT",OR(J626="EXACT",J626="CLOSE")))),"yes","no")</f>
        <v>yes</v>
      </c>
      <c r="AF626" s="110" t="n">
        <f aca="false">IF(ISNUMBER(H626),COUNTIFS($B$7:$B$3000,B626,$C$7:$C$3000,C626,$H$7:$H$3000,"&lt;"&amp;H626,$AH$7:$AH$3000,"yes")+COUNTIFS($B$7:B626,B626,$C$7:C626,C626,$H$7:H626,H626,$AH$7:AH626,"yes"),"")</f>
        <v>4</v>
      </c>
      <c r="AG626" s="110" t="n">
        <f aca="false">IF(ISNUMBER(I626),COUNTIFS($B$7:$B$3000,B626,$C$7:$C$3000,C626,$I$7:$I$3000,"&lt;"&amp;I626,$AI$7:$AI$3000,"yes")+COUNTIFS($B$7:B626,B626,$C$7:C626,C626,$I$7:I626,I626,$AI$7:AI626,"yes"),"")</f>
        <v>4</v>
      </c>
      <c r="AH626" s="110" t="str">
        <f aca="false">IF(ISNUMBER(H626),"yes","no")</f>
        <v>yes</v>
      </c>
      <c r="AI626" s="110" t="str">
        <f aca="false">IF(ISNUMBER(I626),"yes","no")</f>
        <v>yes</v>
      </c>
      <c r="AJ626" s="120" t="n">
        <v>46297</v>
      </c>
      <c r="AK626" s="110"/>
    </row>
    <row r="627" customFormat="false" ht="34.5" hidden="false" customHeight="true" outlineLevel="0" collapsed="false">
      <c r="B627" s="36" t="s">
        <v>65</v>
      </c>
      <c r="C627" s="98" t="s">
        <v>15</v>
      </c>
      <c r="D627" s="98" t="s">
        <v>264</v>
      </c>
      <c r="E627" s="110" t="s">
        <v>971</v>
      </c>
      <c r="F627" s="99" t="n">
        <v>23.51</v>
      </c>
      <c r="G627" s="98" t="s">
        <v>244</v>
      </c>
      <c r="H627" s="112" t="n">
        <f aca="false">IF(AND(AE627="yes",ISNUMBER(AD627)),AD627,"")</f>
        <v>19.76</v>
      </c>
      <c r="I627" s="95" t="n">
        <f aca="false">IF(AND(AE627="yes",ISNUMBER(AD627),ISNUMBER(INDEX(Sources!$G$7:$G$10,MATCH(AB627,Sources!$B$7:$B$10,0)))),ROUND(AD627/INDEX(Sources!$G$7:$G$10,MATCH(AB627,Sources!$B$7:$B$10,0)),6),"")</f>
        <v>19.76</v>
      </c>
      <c r="J627" s="98" t="s">
        <v>702</v>
      </c>
      <c r="K627" s="98" t="s">
        <v>2059</v>
      </c>
      <c r="L627" s="96"/>
      <c r="M627" s="110" t="s">
        <v>2123</v>
      </c>
      <c r="N627" s="117" t="s">
        <v>973</v>
      </c>
      <c r="O627" s="110" t="s">
        <v>388</v>
      </c>
      <c r="P627" s="110" t="s">
        <v>265</v>
      </c>
      <c r="Q627" s="118" t="n">
        <v>0.19</v>
      </c>
      <c r="R627" s="110" t="n">
        <v>1</v>
      </c>
      <c r="S627" s="110" t="s">
        <v>632</v>
      </c>
      <c r="T627" s="110" t="s">
        <v>702</v>
      </c>
      <c r="U627" s="110" t="s">
        <v>2124</v>
      </c>
      <c r="V627" s="119" t="n">
        <v>19.76</v>
      </c>
      <c r="W627" s="119"/>
      <c r="X627" s="110" t="s">
        <v>2063</v>
      </c>
      <c r="Y627" s="110" t="s">
        <v>2064</v>
      </c>
      <c r="Z627" s="110" t="s">
        <v>2125</v>
      </c>
      <c r="AA627" s="110" t="s">
        <v>537</v>
      </c>
      <c r="AB627" s="110" t="s">
        <v>244</v>
      </c>
      <c r="AC627" s="110" t="s">
        <v>538</v>
      </c>
      <c r="AD627" s="110" t="n">
        <f aca="false">IF(OR(F627="",Q627="",R627=""),"",ROUND(IF(P627="incl.",F627/(1+Q627),F627)/IF(S627="per pack",R627,1),2))</f>
        <v>19.76</v>
      </c>
      <c r="AE627" s="110" t="str">
        <f aca="false">IF(AND(AC627="yes",ISNUMBER(F627),IF(Compare!$H$5="All mapped",TRUE(),IF(Compare!$H$5="EXACT only",J627="EXACT",OR(J627="EXACT",J627="CLOSE")))),"yes","no")</f>
        <v>yes</v>
      </c>
      <c r="AF627" s="110" t="n">
        <f aca="false">IF(ISNUMBER(H627),COUNTIFS($B$7:$B$3000,B627,$C$7:$C$3000,C627,$H$7:$H$3000,"&lt;"&amp;H627,$AH$7:$AH$3000,"yes")+COUNTIFS($B$7:B627,B627,$C$7:C627,C627,$H$7:H627,H627,$AH$7:AH627,"yes"),"")</f>
        <v>1</v>
      </c>
      <c r="AG627" s="110" t="n">
        <f aca="false">IF(ISNUMBER(I627),COUNTIFS($B$7:$B$3000,B627,$C$7:$C$3000,C627,$I$7:$I$3000,"&lt;"&amp;I627,$AI$7:$AI$3000,"yes")+COUNTIFS($B$7:B627,B627,$C$7:C627,C627,$I$7:I627,I627,$AI$7:AI627,"yes"),"")</f>
        <v>1</v>
      </c>
      <c r="AH627" s="110" t="str">
        <f aca="false">IF(ISNUMBER(H627),"yes","no")</f>
        <v>yes</v>
      </c>
      <c r="AI627" s="110" t="str">
        <f aca="false">IF(ISNUMBER(I627),"yes","no")</f>
        <v>yes</v>
      </c>
      <c r="AJ627" s="120" t="n">
        <v>46297</v>
      </c>
      <c r="AK627" s="110"/>
    </row>
    <row r="628" customFormat="false" ht="34.5" hidden="false" customHeight="true" outlineLevel="0" collapsed="false">
      <c r="B628" s="36" t="s">
        <v>65</v>
      </c>
      <c r="C628" s="98" t="s">
        <v>15</v>
      </c>
      <c r="D628" s="98" t="s">
        <v>273</v>
      </c>
      <c r="E628" s="110" t="s">
        <v>2126</v>
      </c>
      <c r="F628" s="99" t="n">
        <v>37.9</v>
      </c>
      <c r="G628" s="98" t="s">
        <v>244</v>
      </c>
      <c r="H628" s="112" t="str">
        <f aca="false">IF(AND(AE628="yes",ISNUMBER(AD628)),AD628,"")</f>
        <v/>
      </c>
      <c r="I628" s="95" t="str">
        <f aca="false">IF(AND(AE628="yes",ISNUMBER(AD628),ISNUMBER(INDEX(Sources!$G$7:$G$10,MATCH(AB628,Sources!$B$7:$B$10,0)))),ROUND(AD628/INDEX(Sources!$G$7:$G$10,MATCH(AB628,Sources!$B$7:$B$10,0)),6),"")</f>
        <v/>
      </c>
      <c r="J628" s="98" t="s">
        <v>629</v>
      </c>
      <c r="K628" s="98" t="s">
        <v>2059</v>
      </c>
      <c r="L628" s="96"/>
      <c r="M628" s="110" t="s">
        <v>2127</v>
      </c>
      <c r="N628" s="117" t="s">
        <v>2128</v>
      </c>
      <c r="O628" s="110" t="s">
        <v>565</v>
      </c>
      <c r="P628" s="110" t="s">
        <v>265</v>
      </c>
      <c r="Q628" s="118" t="n">
        <v>0.2</v>
      </c>
      <c r="R628" s="110" t="n">
        <v>1</v>
      </c>
      <c r="S628" s="110" t="s">
        <v>632</v>
      </c>
      <c r="T628" s="110" t="s">
        <v>629</v>
      </c>
      <c r="U628" s="110" t="s">
        <v>2129</v>
      </c>
      <c r="V628" s="119" t="n">
        <v>31.58</v>
      </c>
      <c r="W628" s="119"/>
      <c r="X628" s="110" t="s">
        <v>2063</v>
      </c>
      <c r="Y628" s="110" t="s">
        <v>2064</v>
      </c>
      <c r="Z628" s="110" t="s">
        <v>2130</v>
      </c>
      <c r="AA628" s="110" t="s">
        <v>537</v>
      </c>
      <c r="AB628" s="110" t="s">
        <v>244</v>
      </c>
      <c r="AC628" s="110" t="s">
        <v>538</v>
      </c>
      <c r="AD628" s="110" t="n">
        <f aca="false">IF(OR(F628="",Q628="",R628=""),"",ROUND(IF(P628="incl.",F628/(1+Q628),F628)/IF(S628="per pack",R628,1),2))</f>
        <v>31.58</v>
      </c>
      <c r="AE628" s="110" t="str">
        <f aca="false">IF(AND(AC628="yes",ISNUMBER(F628),IF(Compare!$H$5="All mapped",TRUE(),IF(Compare!$H$5="EXACT only",J628="EXACT",OR(J628="EXACT",J628="CLOSE")))),"yes","no")</f>
        <v>no</v>
      </c>
      <c r="AF628" s="110" t="str">
        <f aca="false">IF(ISNUMBER(H628),COUNTIFS($B$7:$B$3000,B628,$C$7:$C$3000,C628,$H$7:$H$3000,"&lt;"&amp;H628,$AH$7:$AH$3000,"yes")+COUNTIFS($B$7:B628,B628,$C$7:C628,C628,$H$7:H628,H628,$AH$7:AH628,"yes"),"")</f>
        <v/>
      </c>
      <c r="AG628" s="110" t="str">
        <f aca="false">IF(ISNUMBER(I628),COUNTIFS($B$7:$B$3000,B628,$C$7:$C$3000,C628,$I$7:$I$3000,"&lt;"&amp;I628,$AI$7:$AI$3000,"yes")+COUNTIFS($B$7:B628,B628,$C$7:C628,C628,$I$7:I628,I628,$AI$7:AI628,"yes"),"")</f>
        <v/>
      </c>
      <c r="AH628" s="110" t="str">
        <f aca="false">IF(ISNUMBER(H628),"yes","no")</f>
        <v>no</v>
      </c>
      <c r="AI628" s="110" t="str">
        <f aca="false">IF(ISNUMBER(I628),"yes","no")</f>
        <v>no</v>
      </c>
      <c r="AJ628" s="120" t="n">
        <v>46297</v>
      </c>
      <c r="AK628" s="110"/>
    </row>
    <row r="629" customFormat="false" ht="34.5" hidden="false" customHeight="true" outlineLevel="0" collapsed="false">
      <c r="B629" s="36" t="s">
        <v>26</v>
      </c>
      <c r="C629" s="98" t="s">
        <v>15</v>
      </c>
      <c r="D629" s="98" t="s">
        <v>288</v>
      </c>
      <c r="E629" s="110" t="s">
        <v>2131</v>
      </c>
      <c r="F629" s="99" t="n">
        <v>7.59</v>
      </c>
      <c r="G629" s="98" t="s">
        <v>244</v>
      </c>
      <c r="H629" s="112" t="n">
        <f aca="false">IF(AND(AE629="yes",ISNUMBER(AD629)),AD629,"")</f>
        <v>7.59</v>
      </c>
      <c r="I629" s="95" t="n">
        <f aca="false">IF(AND(AE629="yes",ISNUMBER(AD629),ISNUMBER(INDEX(Sources!$G$7:$G$10,MATCH(AB629,Sources!$B$7:$B$10,0)))),ROUND(AD629/INDEX(Sources!$G$7:$G$10,MATCH(AB629,Sources!$B$7:$B$10,0)),6),"")</f>
        <v>7.59</v>
      </c>
      <c r="J629" s="98" t="s">
        <v>702</v>
      </c>
      <c r="K629" s="98" t="s">
        <v>2059</v>
      </c>
      <c r="L629" s="96"/>
      <c r="M629" s="110" t="s">
        <v>2132</v>
      </c>
      <c r="N629" s="117" t="s">
        <v>2133</v>
      </c>
      <c r="O629" s="110" t="s">
        <v>589</v>
      </c>
      <c r="P629" s="110" t="s">
        <v>590</v>
      </c>
      <c r="Q629" s="118" t="n">
        <v>0.2</v>
      </c>
      <c r="R629" s="110" t="n">
        <v>1</v>
      </c>
      <c r="S629" s="110" t="s">
        <v>632</v>
      </c>
      <c r="T629" s="110" t="s">
        <v>702</v>
      </c>
      <c r="U629" s="110" t="s">
        <v>2062</v>
      </c>
      <c r="V629" s="119" t="n">
        <v>7.59</v>
      </c>
      <c r="W629" s="119"/>
      <c r="X629" s="110" t="s">
        <v>2063</v>
      </c>
      <c r="Y629" s="110" t="s">
        <v>2064</v>
      </c>
      <c r="Z629" s="110" t="s">
        <v>2134</v>
      </c>
      <c r="AA629" s="110" t="s">
        <v>537</v>
      </c>
      <c r="AB629" s="110" t="s">
        <v>244</v>
      </c>
      <c r="AC629" s="110" t="s">
        <v>538</v>
      </c>
      <c r="AD629" s="110" t="n">
        <f aca="false">IF(OR(F629="",Q629="",R629=""),"",ROUND(IF(P629="incl.",F629/(1+Q629),F629)/IF(S629="per pack",R629,1),2))</f>
        <v>7.59</v>
      </c>
      <c r="AE629" s="110" t="str">
        <f aca="false">IF(AND(AC629="yes",ISNUMBER(F629),IF(Compare!$H$5="All mapped",TRUE(),IF(Compare!$H$5="EXACT only",J629="EXACT",OR(J629="EXACT",J629="CLOSE")))),"yes","no")</f>
        <v>yes</v>
      </c>
      <c r="AF629" s="110" t="n">
        <f aca="false">IF(ISNUMBER(H629),COUNTIFS($B$7:$B$3000,B629,$C$7:$C$3000,C629,$H$7:$H$3000,"&lt;"&amp;H629,$AH$7:$AH$3000,"yes")+COUNTIFS($B$7:B629,B629,$C$7:C629,C629,$H$7:H629,H629,$AH$7:AH629,"yes"),"")</f>
        <v>6</v>
      </c>
      <c r="AG629" s="110" t="n">
        <f aca="false">IF(ISNUMBER(I629),COUNTIFS($B$7:$B$3000,B629,$C$7:$C$3000,C629,$I$7:$I$3000,"&lt;"&amp;I629,$AI$7:$AI$3000,"yes")+COUNTIFS($B$7:B629,B629,$C$7:C629,C629,$I$7:I629,I629,$AI$7:AI629,"yes"),"")</f>
        <v>6</v>
      </c>
      <c r="AH629" s="110" t="str">
        <f aca="false">IF(ISNUMBER(H629),"yes","no")</f>
        <v>yes</v>
      </c>
      <c r="AI629" s="110" t="str">
        <f aca="false">IF(ISNUMBER(I629),"yes","no")</f>
        <v>yes</v>
      </c>
      <c r="AJ629" s="120" t="n">
        <v>46297</v>
      </c>
      <c r="AK629" s="110"/>
    </row>
    <row r="630" customFormat="false" ht="23.25" hidden="false" customHeight="true" outlineLevel="0" collapsed="false">
      <c r="B630" s="36" t="s">
        <v>52</v>
      </c>
      <c r="C630" s="98" t="s">
        <v>15</v>
      </c>
      <c r="D630" s="98" t="s">
        <v>288</v>
      </c>
      <c r="E630" s="110" t="s">
        <v>2135</v>
      </c>
      <c r="F630" s="99" t="n">
        <v>3.09</v>
      </c>
      <c r="G630" s="98" t="s">
        <v>244</v>
      </c>
      <c r="H630" s="112" t="n">
        <f aca="false">IF(AND(AE630="yes",ISNUMBER(AD630)),AD630,"")</f>
        <v>3.09</v>
      </c>
      <c r="I630" s="95" t="n">
        <f aca="false">IF(AND(AE630="yes",ISNUMBER(AD630),ISNUMBER(INDEX(Sources!$G$7:$G$10,MATCH(AB630,Sources!$B$7:$B$10,0)))),ROUND(AD630/INDEX(Sources!$G$7:$G$10,MATCH(AB630,Sources!$B$7:$B$10,0)),6),"")</f>
        <v>3.09</v>
      </c>
      <c r="J630" s="98" t="s">
        <v>530</v>
      </c>
      <c r="K630" s="98" t="s">
        <v>2059</v>
      </c>
      <c r="L630" s="96"/>
      <c r="M630" s="110" t="s">
        <v>2136</v>
      </c>
      <c r="N630" s="117" t="s">
        <v>2137</v>
      </c>
      <c r="O630" s="110" t="s">
        <v>589</v>
      </c>
      <c r="P630" s="110" t="s">
        <v>590</v>
      </c>
      <c r="Q630" s="118" t="n">
        <v>0.2</v>
      </c>
      <c r="R630" s="110" t="n">
        <v>1</v>
      </c>
      <c r="S630" s="110" t="s">
        <v>632</v>
      </c>
      <c r="T630" s="110" t="s">
        <v>530</v>
      </c>
      <c r="U630" s="110" t="s">
        <v>2062</v>
      </c>
      <c r="V630" s="119" t="n">
        <v>3.09</v>
      </c>
      <c r="W630" s="119"/>
      <c r="X630" s="110" t="s">
        <v>2063</v>
      </c>
      <c r="Y630" s="110" t="s">
        <v>2064</v>
      </c>
      <c r="Z630" s="110" t="s">
        <v>2138</v>
      </c>
      <c r="AA630" s="110" t="s">
        <v>537</v>
      </c>
      <c r="AB630" s="110" t="s">
        <v>244</v>
      </c>
      <c r="AC630" s="110" t="s">
        <v>538</v>
      </c>
      <c r="AD630" s="110" t="n">
        <f aca="false">IF(OR(F630="",Q630="",R630=""),"",ROUND(IF(P630="incl.",F630/(1+Q630),F630)/IF(S630="per pack",R630,1),2))</f>
        <v>3.09</v>
      </c>
      <c r="AE630" s="110" t="str">
        <f aca="false">IF(AND(AC630="yes",ISNUMBER(F630),IF(Compare!$H$5="All mapped",TRUE(),IF(Compare!$H$5="EXACT only",J630="EXACT",OR(J630="EXACT",J630="CLOSE")))),"yes","no")</f>
        <v>yes</v>
      </c>
      <c r="AF630" s="110" t="n">
        <f aca="false">IF(ISNUMBER(H630),COUNTIFS($B$7:$B$3000,B630,$C$7:$C$3000,C630,$H$7:$H$3000,"&lt;"&amp;H630,$AH$7:$AH$3000,"yes")+COUNTIFS($B$7:B630,B630,$C$7:C630,C630,$H$7:H630,H630,$AH$7:AH630,"yes"),"")</f>
        <v>5</v>
      </c>
      <c r="AG630" s="110" t="n">
        <f aca="false">IF(ISNUMBER(I630),COUNTIFS($B$7:$B$3000,B630,$C$7:$C$3000,C630,$I$7:$I$3000,"&lt;"&amp;I630,$AI$7:$AI$3000,"yes")+COUNTIFS($B$7:B630,B630,$C$7:C630,C630,$I$7:I630,I630,$AI$7:AI630,"yes"),"")</f>
        <v>5</v>
      </c>
      <c r="AH630" s="110" t="str">
        <f aca="false">IF(ISNUMBER(H630),"yes","no")</f>
        <v>yes</v>
      </c>
      <c r="AI630" s="110" t="str">
        <f aca="false">IF(ISNUMBER(I630),"yes","no")</f>
        <v>yes</v>
      </c>
      <c r="AJ630" s="120" t="n">
        <v>46297</v>
      </c>
      <c r="AK630" s="110"/>
    </row>
    <row r="631" customFormat="false" ht="34.5" hidden="false" customHeight="true" outlineLevel="0" collapsed="false">
      <c r="B631" s="36" t="s">
        <v>25</v>
      </c>
      <c r="C631" s="98" t="s">
        <v>15</v>
      </c>
      <c r="D631" s="98" t="s">
        <v>288</v>
      </c>
      <c r="E631" s="110" t="s">
        <v>2139</v>
      </c>
      <c r="F631" s="99" t="n">
        <v>9.99</v>
      </c>
      <c r="G631" s="98" t="s">
        <v>244</v>
      </c>
      <c r="H631" s="112" t="n">
        <f aca="false">IF(AND(AE631="yes",ISNUMBER(AD631)),AD631,"")</f>
        <v>1.67</v>
      </c>
      <c r="I631" s="95" t="n">
        <f aca="false">IF(AND(AE631="yes",ISNUMBER(AD631),ISNUMBER(INDEX(Sources!$G$7:$G$10,MATCH(AB631,Sources!$B$7:$B$10,0)))),ROUND(AD631/INDEX(Sources!$G$7:$G$10,MATCH(AB631,Sources!$B$7:$B$10,0)),6),"")</f>
        <v>1.67</v>
      </c>
      <c r="J631" s="98" t="s">
        <v>702</v>
      </c>
      <c r="K631" s="98" t="s">
        <v>2059</v>
      </c>
      <c r="L631" s="96"/>
      <c r="M631" s="110" t="s">
        <v>2140</v>
      </c>
      <c r="N631" s="117" t="s">
        <v>2141</v>
      </c>
      <c r="O631" s="110" t="s">
        <v>662</v>
      </c>
      <c r="P631" s="110" t="s">
        <v>590</v>
      </c>
      <c r="Q631" s="118" t="n">
        <v>0.2</v>
      </c>
      <c r="R631" s="110" t="n">
        <v>6</v>
      </c>
      <c r="S631" s="110" t="s">
        <v>625</v>
      </c>
      <c r="T631" s="110" t="s">
        <v>702</v>
      </c>
      <c r="U631" s="110" t="s">
        <v>2062</v>
      </c>
      <c r="V631" s="119" t="n">
        <v>1.67</v>
      </c>
      <c r="W631" s="119"/>
      <c r="X631" s="110" t="s">
        <v>2063</v>
      </c>
      <c r="Y631" s="110" t="s">
        <v>2064</v>
      </c>
      <c r="Z631" s="110" t="s">
        <v>2142</v>
      </c>
      <c r="AA631" s="110" t="s">
        <v>537</v>
      </c>
      <c r="AB631" s="110" t="s">
        <v>244</v>
      </c>
      <c r="AC631" s="110" t="s">
        <v>538</v>
      </c>
      <c r="AD631" s="110" t="n">
        <f aca="false">IF(OR(F631="",Q631="",R631=""),"",ROUND(IF(P631="incl.",F631/(1+Q631),F631)/IF(S631="per pack",R631,1),2))</f>
        <v>1.67</v>
      </c>
      <c r="AE631" s="110" t="str">
        <f aca="false">IF(AND(AC631="yes",ISNUMBER(F631),IF(Compare!$H$5="All mapped",TRUE(),IF(Compare!$H$5="EXACT only",J631="EXACT",OR(J631="EXACT",J631="CLOSE")))),"yes","no")</f>
        <v>yes</v>
      </c>
      <c r="AF631" s="110" t="n">
        <f aca="false">IF(ISNUMBER(H631),COUNTIFS($B$7:$B$3000,B631,$C$7:$C$3000,C631,$H$7:$H$3000,"&lt;"&amp;H631,$AH$7:$AH$3000,"yes")+COUNTIFS($B$7:B631,B631,$C$7:C631,C631,$H$7:H631,H631,$AH$7:AH631,"yes"),"")</f>
        <v>3</v>
      </c>
      <c r="AG631" s="110" t="n">
        <f aca="false">IF(ISNUMBER(I631),COUNTIFS($B$7:$B$3000,B631,$C$7:$C$3000,C631,$I$7:$I$3000,"&lt;"&amp;I631,$AI$7:$AI$3000,"yes")+COUNTIFS($B$7:B631,B631,$C$7:C631,C631,$I$7:I631,I631,$AI$7:AI631,"yes"),"")</f>
        <v>3</v>
      </c>
      <c r="AH631" s="110" t="str">
        <f aca="false">IF(ISNUMBER(H631),"yes","no")</f>
        <v>yes</v>
      </c>
      <c r="AI631" s="110" t="str">
        <f aca="false">IF(ISNUMBER(I631),"yes","no")</f>
        <v>yes</v>
      </c>
      <c r="AJ631" s="120" t="n">
        <v>46297</v>
      </c>
      <c r="AK631" s="110"/>
    </row>
    <row r="632" customFormat="false" ht="45.75" hidden="false" customHeight="true" outlineLevel="0" collapsed="false">
      <c r="B632" s="36" t="s">
        <v>53</v>
      </c>
      <c r="C632" s="98" t="s">
        <v>15</v>
      </c>
      <c r="D632" s="98" t="s">
        <v>288</v>
      </c>
      <c r="E632" s="110" t="s">
        <v>2143</v>
      </c>
      <c r="F632" s="99" t="n">
        <v>10.39</v>
      </c>
      <c r="G632" s="98" t="s">
        <v>244</v>
      </c>
      <c r="H632" s="112" t="n">
        <f aca="false">IF(AND(AE632="yes",ISNUMBER(AD632)),AD632,"")</f>
        <v>1.73</v>
      </c>
      <c r="I632" s="95" t="n">
        <f aca="false">IF(AND(AE632="yes",ISNUMBER(AD632),ISNUMBER(INDEX(Sources!$G$7:$G$10,MATCH(AB632,Sources!$B$7:$B$10,0)))),ROUND(AD632/INDEX(Sources!$G$7:$G$10,MATCH(AB632,Sources!$B$7:$B$10,0)),6),"")</f>
        <v>1.73</v>
      </c>
      <c r="J632" s="98" t="s">
        <v>702</v>
      </c>
      <c r="K632" s="98" t="s">
        <v>2059</v>
      </c>
      <c r="L632" s="96"/>
      <c r="M632" s="110" t="s">
        <v>2144</v>
      </c>
      <c r="N632" s="117" t="s">
        <v>2145</v>
      </c>
      <c r="O632" s="110" t="s">
        <v>662</v>
      </c>
      <c r="P632" s="110" t="s">
        <v>590</v>
      </c>
      <c r="Q632" s="118" t="n">
        <v>0.2</v>
      </c>
      <c r="R632" s="110" t="n">
        <v>6</v>
      </c>
      <c r="S632" s="110" t="s">
        <v>625</v>
      </c>
      <c r="T632" s="110" t="s">
        <v>702</v>
      </c>
      <c r="U632" s="110" t="s">
        <v>2062</v>
      </c>
      <c r="V632" s="119" t="n">
        <v>1.73</v>
      </c>
      <c r="W632" s="119"/>
      <c r="X632" s="110" t="s">
        <v>2063</v>
      </c>
      <c r="Y632" s="110" t="s">
        <v>2064</v>
      </c>
      <c r="Z632" s="110" t="s">
        <v>2146</v>
      </c>
      <c r="AA632" s="110" t="s">
        <v>537</v>
      </c>
      <c r="AB632" s="110" t="s">
        <v>244</v>
      </c>
      <c r="AC632" s="110" t="s">
        <v>538</v>
      </c>
      <c r="AD632" s="110" t="n">
        <f aca="false">IF(OR(F632="",Q632="",R632=""),"",ROUND(IF(P632="incl.",F632/(1+Q632),F632)/IF(S632="per pack",R632,1),2))</f>
        <v>1.73</v>
      </c>
      <c r="AE632" s="110" t="str">
        <f aca="false">IF(AND(AC632="yes",ISNUMBER(F632),IF(Compare!$H$5="All mapped",TRUE(),IF(Compare!$H$5="EXACT only",J632="EXACT",OR(J632="EXACT",J632="CLOSE")))),"yes","no")</f>
        <v>yes</v>
      </c>
      <c r="AF632" s="110" t="n">
        <f aca="false">IF(ISNUMBER(H632),COUNTIFS($B$7:$B$3000,B632,$C$7:$C$3000,C632,$H$7:$H$3000,"&lt;"&amp;H632,$AH$7:$AH$3000,"yes")+COUNTIFS($B$7:B632,B632,$C$7:C632,C632,$H$7:H632,H632,$AH$7:AH632,"yes"),"")</f>
        <v>4</v>
      </c>
      <c r="AG632" s="110" t="n">
        <f aca="false">IF(ISNUMBER(I632),COUNTIFS($B$7:$B$3000,B632,$C$7:$C$3000,C632,$I$7:$I$3000,"&lt;"&amp;I632,$AI$7:$AI$3000,"yes")+COUNTIFS($B$7:B632,B632,$C$7:C632,C632,$I$7:I632,I632,$AI$7:AI632,"yes"),"")</f>
        <v>4</v>
      </c>
      <c r="AH632" s="110" t="str">
        <f aca="false">IF(ISNUMBER(H632),"yes","no")</f>
        <v>yes</v>
      </c>
      <c r="AI632" s="110" t="str">
        <f aca="false">IF(ISNUMBER(I632),"yes","no")</f>
        <v>yes</v>
      </c>
      <c r="AJ632" s="120" t="n">
        <v>46297</v>
      </c>
      <c r="AK632" s="110"/>
    </row>
    <row r="633" customFormat="false" ht="23.25" hidden="false" customHeight="true" outlineLevel="0" collapsed="false">
      <c r="B633" s="36" t="s">
        <v>62</v>
      </c>
      <c r="C633" s="98" t="s">
        <v>15</v>
      </c>
      <c r="D633" s="98" t="s">
        <v>288</v>
      </c>
      <c r="E633" s="110" t="s">
        <v>2147</v>
      </c>
      <c r="F633" s="99" t="n">
        <v>10.39</v>
      </c>
      <c r="G633" s="98" t="s">
        <v>244</v>
      </c>
      <c r="H633" s="112" t="n">
        <f aca="false">IF(AND(AE633="yes",ISNUMBER(AD633)),AD633,"")</f>
        <v>1.73</v>
      </c>
      <c r="I633" s="95" t="n">
        <f aca="false">IF(AND(AE633="yes",ISNUMBER(AD633),ISNUMBER(INDEX(Sources!$G$7:$G$10,MATCH(AB633,Sources!$B$7:$B$10,0)))),ROUND(AD633/INDEX(Sources!$G$7:$G$10,MATCH(AB633,Sources!$B$7:$B$10,0)),6),"")</f>
        <v>1.73</v>
      </c>
      <c r="J633" s="98" t="s">
        <v>702</v>
      </c>
      <c r="K633" s="98" t="s">
        <v>2059</v>
      </c>
      <c r="L633" s="96"/>
      <c r="M633" s="110" t="s">
        <v>2148</v>
      </c>
      <c r="N633" s="117" t="s">
        <v>2145</v>
      </c>
      <c r="O633" s="110" t="s">
        <v>662</v>
      </c>
      <c r="P633" s="110" t="s">
        <v>590</v>
      </c>
      <c r="Q633" s="118" t="n">
        <v>0.2</v>
      </c>
      <c r="R633" s="110" t="n">
        <v>6</v>
      </c>
      <c r="S633" s="110" t="s">
        <v>625</v>
      </c>
      <c r="T633" s="110" t="s">
        <v>702</v>
      </c>
      <c r="U633" s="110" t="s">
        <v>2062</v>
      </c>
      <c r="V633" s="119" t="n">
        <v>1.73</v>
      </c>
      <c r="W633" s="119"/>
      <c r="X633" s="110" t="s">
        <v>2063</v>
      </c>
      <c r="Y633" s="110" t="s">
        <v>2064</v>
      </c>
      <c r="Z633" s="110" t="s">
        <v>2146</v>
      </c>
      <c r="AA633" s="110" t="s">
        <v>537</v>
      </c>
      <c r="AB633" s="110" t="s">
        <v>244</v>
      </c>
      <c r="AC633" s="110" t="s">
        <v>538</v>
      </c>
      <c r="AD633" s="110" t="n">
        <f aca="false">IF(OR(F633="",Q633="",R633=""),"",ROUND(IF(P633="incl.",F633/(1+Q633),F633)/IF(S633="per pack",R633,1),2))</f>
        <v>1.73</v>
      </c>
      <c r="AE633" s="110" t="str">
        <f aca="false">IF(AND(AC633="yes",ISNUMBER(F633),IF(Compare!$H$5="All mapped",TRUE(),IF(Compare!$H$5="EXACT only",J633="EXACT",OR(J633="EXACT",J633="CLOSE")))),"yes","no")</f>
        <v>yes</v>
      </c>
      <c r="AF633" s="110" t="n">
        <f aca="false">IF(ISNUMBER(H633),COUNTIFS($B$7:$B$3000,B633,$C$7:$C$3000,C633,$H$7:$H$3000,"&lt;"&amp;H633,$AH$7:$AH$3000,"yes")+COUNTIFS($B$7:B633,B633,$C$7:C633,C633,$H$7:H633,H633,$AH$7:AH633,"yes"),"")</f>
        <v>3</v>
      </c>
      <c r="AG633" s="110" t="n">
        <f aca="false">IF(ISNUMBER(I633),COUNTIFS($B$7:$B$3000,B633,$C$7:$C$3000,C633,$I$7:$I$3000,"&lt;"&amp;I633,$AI$7:$AI$3000,"yes")+COUNTIFS($B$7:B633,B633,$C$7:C633,C633,$I$7:I633,I633,$AI$7:AI633,"yes"),"")</f>
        <v>3</v>
      </c>
      <c r="AH633" s="110" t="str">
        <f aca="false">IF(ISNUMBER(H633),"yes","no")</f>
        <v>yes</v>
      </c>
      <c r="AI633" s="110" t="str">
        <f aca="false">IF(ISNUMBER(I633),"yes","no")</f>
        <v>yes</v>
      </c>
      <c r="AJ633" s="120" t="n">
        <v>46297</v>
      </c>
      <c r="AK633" s="110"/>
    </row>
    <row r="634" customFormat="false" ht="45.75" hidden="false" customHeight="true" outlineLevel="0" collapsed="false">
      <c r="B634" s="36" t="s">
        <v>65</v>
      </c>
      <c r="C634" s="98" t="s">
        <v>15</v>
      </c>
      <c r="D634" s="98" t="s">
        <v>293</v>
      </c>
      <c r="E634" s="110" t="s">
        <v>2149</v>
      </c>
      <c r="F634" s="99" t="n">
        <v>16.9</v>
      </c>
      <c r="G634" s="98" t="s">
        <v>244</v>
      </c>
      <c r="H634" s="112" t="str">
        <f aca="false">IF(AND(AE634="yes",ISNUMBER(AD634)),AD634,"")</f>
        <v/>
      </c>
      <c r="I634" s="95" t="str">
        <f aca="false">IF(AND(AE634="yes",ISNUMBER(AD634),ISNUMBER(INDEX(Sources!$G$7:$G$10,MATCH(AB634,Sources!$B$7:$B$10,0)))),ROUND(AD634/INDEX(Sources!$G$7:$G$10,MATCH(AB634,Sources!$B$7:$B$10,0)),6),"")</f>
        <v/>
      </c>
      <c r="J634" s="98" t="s">
        <v>629</v>
      </c>
      <c r="K634" s="98" t="s">
        <v>2059</v>
      </c>
      <c r="L634" s="96"/>
      <c r="M634" s="110" t="s">
        <v>2150</v>
      </c>
      <c r="N634" s="117" t="s">
        <v>2151</v>
      </c>
      <c r="O634" s="110" t="s">
        <v>603</v>
      </c>
      <c r="P634" s="110" t="s">
        <v>590</v>
      </c>
      <c r="Q634" s="118" t="n">
        <v>0.19</v>
      </c>
      <c r="R634" s="110" t="n">
        <v>1</v>
      </c>
      <c r="S634" s="110" t="s">
        <v>632</v>
      </c>
      <c r="T634" s="110" t="s">
        <v>629</v>
      </c>
      <c r="U634" s="110" t="s">
        <v>2062</v>
      </c>
      <c r="V634" s="119" t="n">
        <v>16.9</v>
      </c>
      <c r="W634" s="119"/>
      <c r="X634" s="110" t="s">
        <v>2063</v>
      </c>
      <c r="Y634" s="110" t="s">
        <v>2064</v>
      </c>
      <c r="Z634" s="110" t="s">
        <v>2152</v>
      </c>
      <c r="AA634" s="110" t="s">
        <v>537</v>
      </c>
      <c r="AB634" s="110" t="s">
        <v>244</v>
      </c>
      <c r="AC634" s="110" t="s">
        <v>538</v>
      </c>
      <c r="AD634" s="110" t="n">
        <f aca="false">IF(OR(F634="",Q634="",R634=""),"",ROUND(IF(P634="incl.",F634/(1+Q634),F634)/IF(S634="per pack",R634,1),2))</f>
        <v>16.9</v>
      </c>
      <c r="AE634" s="110" t="str">
        <f aca="false">IF(AND(AC634="yes",ISNUMBER(F634),IF(Compare!$H$5="All mapped",TRUE(),IF(Compare!$H$5="EXACT only",J634="EXACT",OR(J634="EXACT",J634="CLOSE")))),"yes","no")</f>
        <v>no</v>
      </c>
      <c r="AF634" s="110" t="str">
        <f aca="false">IF(ISNUMBER(H634),COUNTIFS($B$7:$B$3000,B634,$C$7:$C$3000,C634,$H$7:$H$3000,"&lt;"&amp;H634,$AH$7:$AH$3000,"yes")+COUNTIFS($B$7:B634,B634,$C$7:C634,C634,$H$7:H634,H634,$AH$7:AH634,"yes"),"")</f>
        <v/>
      </c>
      <c r="AG634" s="110" t="str">
        <f aca="false">IF(ISNUMBER(I634),COUNTIFS($B$7:$B$3000,B634,$C$7:$C$3000,C634,$I$7:$I$3000,"&lt;"&amp;I634,$AI$7:$AI$3000,"yes")+COUNTIFS($B$7:B634,B634,$C$7:C634,C634,$I$7:I634,I634,$AI$7:AI634,"yes"),"")</f>
        <v/>
      </c>
      <c r="AH634" s="110" t="str">
        <f aca="false">IF(ISNUMBER(H634),"yes","no")</f>
        <v>no</v>
      </c>
      <c r="AI634" s="110" t="str">
        <f aca="false">IF(ISNUMBER(I634),"yes","no")</f>
        <v>no</v>
      </c>
      <c r="AJ634" s="120" t="n">
        <v>46297</v>
      </c>
      <c r="AK634" s="110"/>
    </row>
    <row r="635" customFormat="false" ht="34.5" hidden="false" customHeight="true" outlineLevel="0" collapsed="false">
      <c r="B635" s="36" t="s">
        <v>27</v>
      </c>
      <c r="C635" s="98" t="s">
        <v>15</v>
      </c>
      <c r="D635" s="98" t="s">
        <v>293</v>
      </c>
      <c r="E635" s="110" t="s">
        <v>2153</v>
      </c>
      <c r="F635" s="99" t="n">
        <v>3.8</v>
      </c>
      <c r="G635" s="98" t="s">
        <v>244</v>
      </c>
      <c r="H635" s="112" t="str">
        <f aca="false">IF(AND(AE635="yes",ISNUMBER(AD635)),AD635,"")</f>
        <v/>
      </c>
      <c r="I635" s="95" t="str">
        <f aca="false">IF(AND(AE635="yes",ISNUMBER(AD635),ISNUMBER(INDEX(Sources!$G$7:$G$10,MATCH(AB635,Sources!$B$7:$B$10,0)))),ROUND(AD635/INDEX(Sources!$G$7:$G$10,MATCH(AB635,Sources!$B$7:$B$10,0)),6),"")</f>
        <v/>
      </c>
      <c r="J635" s="98" t="s">
        <v>629</v>
      </c>
      <c r="K635" s="98" t="s">
        <v>2059</v>
      </c>
      <c r="L635" s="96"/>
      <c r="M635" s="110" t="s">
        <v>2154</v>
      </c>
      <c r="N635" s="117" t="s">
        <v>2155</v>
      </c>
      <c r="O635" s="110" t="s">
        <v>589</v>
      </c>
      <c r="P635" s="110" t="s">
        <v>590</v>
      </c>
      <c r="Q635" s="118" t="n">
        <v>0.19</v>
      </c>
      <c r="R635" s="110" t="n">
        <v>1</v>
      </c>
      <c r="S635" s="110" t="s">
        <v>632</v>
      </c>
      <c r="T635" s="110" t="s">
        <v>629</v>
      </c>
      <c r="U635" s="110" t="s">
        <v>2062</v>
      </c>
      <c r="V635" s="119" t="n">
        <v>3.8</v>
      </c>
      <c r="W635" s="119"/>
      <c r="X635" s="110" t="s">
        <v>2063</v>
      </c>
      <c r="Y635" s="110" t="s">
        <v>2064</v>
      </c>
      <c r="Z635" s="110" t="s">
        <v>2156</v>
      </c>
      <c r="AA635" s="110" t="s">
        <v>537</v>
      </c>
      <c r="AB635" s="110" t="s">
        <v>244</v>
      </c>
      <c r="AC635" s="110" t="s">
        <v>538</v>
      </c>
      <c r="AD635" s="110" t="n">
        <f aca="false">IF(OR(F635="",Q635="",R635=""),"",ROUND(IF(P635="incl.",F635/(1+Q635),F635)/IF(S635="per pack",R635,1),2))</f>
        <v>3.8</v>
      </c>
      <c r="AE635" s="110" t="str">
        <f aca="false">IF(AND(AC635="yes",ISNUMBER(F635),IF(Compare!$H$5="All mapped",TRUE(),IF(Compare!$H$5="EXACT only",J635="EXACT",OR(J635="EXACT",J635="CLOSE")))),"yes","no")</f>
        <v>no</v>
      </c>
      <c r="AF635" s="110" t="str">
        <f aca="false">IF(ISNUMBER(H635),COUNTIFS($B$7:$B$3000,B635,$C$7:$C$3000,C635,$H$7:$H$3000,"&lt;"&amp;H635,$AH$7:$AH$3000,"yes")+COUNTIFS($B$7:B635,B635,$C$7:C635,C635,$H$7:H635,H635,$AH$7:AH635,"yes"),"")</f>
        <v/>
      </c>
      <c r="AG635" s="110" t="str">
        <f aca="false">IF(ISNUMBER(I635),COUNTIFS($B$7:$B$3000,B635,$C$7:$C$3000,C635,$I$7:$I$3000,"&lt;"&amp;I635,$AI$7:$AI$3000,"yes")+COUNTIFS($B$7:B635,B635,$C$7:C635,C635,$I$7:I635,I635,$AI$7:AI635,"yes"),"")</f>
        <v/>
      </c>
      <c r="AH635" s="110" t="str">
        <f aca="false">IF(ISNUMBER(H635),"yes","no")</f>
        <v>no</v>
      </c>
      <c r="AI635" s="110" t="str">
        <f aca="false">IF(ISNUMBER(I635),"yes","no")</f>
        <v>no</v>
      </c>
      <c r="AJ635" s="120" t="n">
        <v>46297</v>
      </c>
      <c r="AK635" s="110"/>
    </row>
    <row r="636" customFormat="false" ht="45.75" hidden="false" customHeight="true" outlineLevel="0" collapsed="false">
      <c r="B636" s="36" t="s">
        <v>62</v>
      </c>
      <c r="C636" s="98" t="s">
        <v>15</v>
      </c>
      <c r="D636" s="98" t="s">
        <v>293</v>
      </c>
      <c r="E636" s="110" t="s">
        <v>2157</v>
      </c>
      <c r="F636" s="99" t="n">
        <v>1.4</v>
      </c>
      <c r="G636" s="98" t="s">
        <v>244</v>
      </c>
      <c r="H636" s="112" t="n">
        <f aca="false">IF(AND(AE636="yes",ISNUMBER(AD636)),AD636,"")</f>
        <v>1.4</v>
      </c>
      <c r="I636" s="95" t="n">
        <f aca="false">IF(AND(AE636="yes",ISNUMBER(AD636),ISNUMBER(INDEX(Sources!$G$7:$G$10,MATCH(AB636,Sources!$B$7:$B$10,0)))),ROUND(AD636/INDEX(Sources!$G$7:$G$10,MATCH(AB636,Sources!$B$7:$B$10,0)),6),"")</f>
        <v>1.4</v>
      </c>
      <c r="J636" s="98" t="s">
        <v>702</v>
      </c>
      <c r="K636" s="98" t="s">
        <v>2059</v>
      </c>
      <c r="L636" s="96"/>
      <c r="M636" s="110" t="s">
        <v>2158</v>
      </c>
      <c r="N636" s="117" t="s">
        <v>2159</v>
      </c>
      <c r="O636" s="110" t="s">
        <v>662</v>
      </c>
      <c r="P636" s="110" t="s">
        <v>590</v>
      </c>
      <c r="Q636" s="118" t="n">
        <v>0.19</v>
      </c>
      <c r="R636" s="110" t="n">
        <v>1</v>
      </c>
      <c r="S636" s="110" t="s">
        <v>632</v>
      </c>
      <c r="T636" s="110" t="s">
        <v>702</v>
      </c>
      <c r="U636" s="110" t="s">
        <v>2062</v>
      </c>
      <c r="V636" s="119" t="n">
        <v>1.4</v>
      </c>
      <c r="W636" s="119"/>
      <c r="X636" s="110" t="s">
        <v>2063</v>
      </c>
      <c r="Y636" s="110" t="s">
        <v>2064</v>
      </c>
      <c r="Z636" s="110" t="s">
        <v>2156</v>
      </c>
      <c r="AA636" s="110" t="s">
        <v>537</v>
      </c>
      <c r="AB636" s="110" t="s">
        <v>244</v>
      </c>
      <c r="AC636" s="110" t="s">
        <v>538</v>
      </c>
      <c r="AD636" s="110" t="n">
        <f aca="false">IF(OR(F636="",Q636="",R636=""),"",ROUND(IF(P636="incl.",F636/(1+Q636),F636)/IF(S636="per pack",R636,1),2))</f>
        <v>1.4</v>
      </c>
      <c r="AE636" s="110" t="str">
        <f aca="false">IF(AND(AC636="yes",ISNUMBER(F636),IF(Compare!$H$5="All mapped",TRUE(),IF(Compare!$H$5="EXACT only",J636="EXACT",OR(J636="EXACT",J636="CLOSE")))),"yes","no")</f>
        <v>yes</v>
      </c>
      <c r="AF636" s="110" t="n">
        <f aca="false">IF(ISNUMBER(H636),COUNTIFS($B$7:$B$3000,B636,$C$7:$C$3000,C636,$H$7:$H$3000,"&lt;"&amp;H636,$AH$7:$AH$3000,"yes")+COUNTIFS($B$7:B636,B636,$C$7:C636,C636,$H$7:H636,H636,$AH$7:AH636,"yes"),"")</f>
        <v>1</v>
      </c>
      <c r="AG636" s="110" t="n">
        <f aca="false">IF(ISNUMBER(I636),COUNTIFS($B$7:$B$3000,B636,$C$7:$C$3000,C636,$I$7:$I$3000,"&lt;"&amp;I636,$AI$7:$AI$3000,"yes")+COUNTIFS($B$7:B636,B636,$C$7:C636,C636,$I$7:I636,I636,$AI$7:AI636,"yes"),"")</f>
        <v>1</v>
      </c>
      <c r="AH636" s="110" t="str">
        <f aca="false">IF(ISNUMBER(H636),"yes","no")</f>
        <v>yes</v>
      </c>
      <c r="AI636" s="110" t="str">
        <f aca="false">IF(ISNUMBER(I636),"yes","no")</f>
        <v>yes</v>
      </c>
      <c r="AJ636" s="120" t="n">
        <v>46297</v>
      </c>
      <c r="AK636" s="110"/>
    </row>
    <row r="637" customFormat="false" ht="45.75" hidden="false" customHeight="true" outlineLevel="0" collapsed="false">
      <c r="B637" s="36" t="s">
        <v>64</v>
      </c>
      <c r="C637" s="98" t="s">
        <v>15</v>
      </c>
      <c r="D637" s="98" t="s">
        <v>243</v>
      </c>
      <c r="E637" s="110" t="s">
        <v>2160</v>
      </c>
      <c r="F637" s="99" t="n">
        <v>9.85</v>
      </c>
      <c r="G637" s="98" t="s">
        <v>244</v>
      </c>
      <c r="H637" s="112" t="str">
        <f aca="false">IF(AND(AE637="yes",ISNUMBER(AD637)),AD637,"")</f>
        <v/>
      </c>
      <c r="I637" s="95" t="str">
        <f aca="false">IF(AND(AE637="yes",ISNUMBER(AD637),ISNUMBER(INDEX(Sources!$G$7:$G$10,MATCH(AB637,Sources!$B$7:$B$10,0)))),ROUND(AD637/INDEX(Sources!$G$7:$G$10,MATCH(AB637,Sources!$B$7:$B$10,0)),6),"")</f>
        <v/>
      </c>
      <c r="J637" s="98" t="s">
        <v>629</v>
      </c>
      <c r="K637" s="98" t="s">
        <v>2059</v>
      </c>
      <c r="L637" s="96"/>
      <c r="M637" s="110" t="s">
        <v>2161</v>
      </c>
      <c r="N637" s="117" t="s">
        <v>2162</v>
      </c>
      <c r="O637" s="110" t="s">
        <v>2163</v>
      </c>
      <c r="P637" s="110" t="s">
        <v>590</v>
      </c>
      <c r="Q637" s="118" t="n">
        <v>0.2</v>
      </c>
      <c r="R637" s="110" t="n">
        <v>1</v>
      </c>
      <c r="S637" s="110" t="s">
        <v>632</v>
      </c>
      <c r="T637" s="110" t="s">
        <v>629</v>
      </c>
      <c r="U637" s="110" t="s">
        <v>2062</v>
      </c>
      <c r="V637" s="119" t="n">
        <v>9.85</v>
      </c>
      <c r="W637" s="119"/>
      <c r="X637" s="110" t="s">
        <v>2063</v>
      </c>
      <c r="Y637" s="110" t="s">
        <v>2064</v>
      </c>
      <c r="Z637" s="110" t="s">
        <v>2164</v>
      </c>
      <c r="AA637" s="110" t="s">
        <v>537</v>
      </c>
      <c r="AB637" s="110" t="s">
        <v>244</v>
      </c>
      <c r="AC637" s="110" t="s">
        <v>538</v>
      </c>
      <c r="AD637" s="110" t="n">
        <f aca="false">IF(OR(F637="",Q637="",R637=""),"",ROUND(IF(P637="incl.",F637/(1+Q637),F637)/IF(S637="per pack",R637,1),2))</f>
        <v>9.85</v>
      </c>
      <c r="AE637" s="110" t="str">
        <f aca="false">IF(AND(AC637="yes",ISNUMBER(F637),IF(Compare!$H$5="All mapped",TRUE(),IF(Compare!$H$5="EXACT only",J637="EXACT",OR(J637="EXACT",J637="CLOSE")))),"yes","no")</f>
        <v>no</v>
      </c>
      <c r="AF637" s="110" t="str">
        <f aca="false">IF(ISNUMBER(H637),COUNTIFS($B$7:$B$3000,B637,$C$7:$C$3000,C637,$H$7:$H$3000,"&lt;"&amp;H637,$AH$7:$AH$3000,"yes")+COUNTIFS($B$7:B637,B637,$C$7:C637,C637,$H$7:H637,H637,$AH$7:AH637,"yes"),"")</f>
        <v/>
      </c>
      <c r="AG637" s="110" t="str">
        <f aca="false">IF(ISNUMBER(I637),COUNTIFS($B$7:$B$3000,B637,$C$7:$C$3000,C637,$I$7:$I$3000,"&lt;"&amp;I637,$AI$7:$AI$3000,"yes")+COUNTIFS($B$7:B637,B637,$C$7:C637,C637,$I$7:I637,I637,$AI$7:AI637,"yes"),"")</f>
        <v/>
      </c>
      <c r="AH637" s="110" t="str">
        <f aca="false">IF(ISNUMBER(H637),"yes","no")</f>
        <v>no</v>
      </c>
      <c r="AI637" s="110" t="str">
        <f aca="false">IF(ISNUMBER(I637),"yes","no")</f>
        <v>no</v>
      </c>
      <c r="AJ637" s="120" t="n">
        <v>46297</v>
      </c>
      <c r="AK637" s="110"/>
    </row>
    <row r="638" customFormat="false" ht="45.75" hidden="false" customHeight="true" outlineLevel="0" collapsed="false">
      <c r="B638" s="36" t="s">
        <v>64</v>
      </c>
      <c r="C638" s="98" t="s">
        <v>15</v>
      </c>
      <c r="D638" s="98" t="s">
        <v>269</v>
      </c>
      <c r="E638" s="110" t="s">
        <v>2165</v>
      </c>
      <c r="F638" s="99" t="n">
        <v>32.19</v>
      </c>
      <c r="G638" s="98" t="s">
        <v>244</v>
      </c>
      <c r="H638" s="112" t="str">
        <f aca="false">IF(AND(AE638="yes",ISNUMBER(AD638)),AD638,"")</f>
        <v/>
      </c>
      <c r="I638" s="95" t="str">
        <f aca="false">IF(AND(AE638="yes",ISNUMBER(AD638),ISNUMBER(INDEX(Sources!$G$7:$G$10,MATCH(AB638,Sources!$B$7:$B$10,0)))),ROUND(AD638/INDEX(Sources!$G$7:$G$10,MATCH(AB638,Sources!$B$7:$B$10,0)),6),"")</f>
        <v/>
      </c>
      <c r="J638" s="98" t="s">
        <v>629</v>
      </c>
      <c r="K638" s="98" t="s">
        <v>2059</v>
      </c>
      <c r="L638" s="96"/>
      <c r="M638" s="110" t="s">
        <v>2166</v>
      </c>
      <c r="N638" s="117" t="s">
        <v>2167</v>
      </c>
      <c r="O638" s="110" t="s">
        <v>589</v>
      </c>
      <c r="P638" s="110" t="s">
        <v>590</v>
      </c>
      <c r="Q638" s="118" t="n">
        <v>0.2</v>
      </c>
      <c r="R638" s="110" t="n">
        <v>1</v>
      </c>
      <c r="S638" s="110" t="s">
        <v>632</v>
      </c>
      <c r="T638" s="110" t="s">
        <v>629</v>
      </c>
      <c r="U638" s="110" t="s">
        <v>2062</v>
      </c>
      <c r="V638" s="119" t="n">
        <v>32.19</v>
      </c>
      <c r="W638" s="119"/>
      <c r="X638" s="110" t="s">
        <v>2063</v>
      </c>
      <c r="Y638" s="110" t="s">
        <v>2064</v>
      </c>
      <c r="Z638" s="110" t="s">
        <v>2168</v>
      </c>
      <c r="AA638" s="110" t="s">
        <v>537</v>
      </c>
      <c r="AB638" s="110" t="s">
        <v>244</v>
      </c>
      <c r="AC638" s="110" t="s">
        <v>538</v>
      </c>
      <c r="AD638" s="110" t="n">
        <f aca="false">IF(OR(F638="",Q638="",R638=""),"",ROUND(IF(P638="incl.",F638/(1+Q638),F638)/IF(S638="per pack",R638,1),2))</f>
        <v>32.19</v>
      </c>
      <c r="AE638" s="110" t="str">
        <f aca="false">IF(AND(AC638="yes",ISNUMBER(F638),IF(Compare!$H$5="All mapped",TRUE(),IF(Compare!$H$5="EXACT only",J638="EXACT",OR(J638="EXACT",J638="CLOSE")))),"yes","no")</f>
        <v>no</v>
      </c>
      <c r="AF638" s="110" t="str">
        <f aca="false">IF(ISNUMBER(H638),COUNTIFS($B$7:$B$3000,B638,$C$7:$C$3000,C638,$H$7:$H$3000,"&lt;"&amp;H638,$AH$7:$AH$3000,"yes")+COUNTIFS($B$7:B638,B638,$C$7:C638,C638,$H$7:H638,H638,$AH$7:AH638,"yes"),"")</f>
        <v/>
      </c>
      <c r="AG638" s="110" t="str">
        <f aca="false">IF(ISNUMBER(I638),COUNTIFS($B$7:$B$3000,B638,$C$7:$C$3000,C638,$I$7:$I$3000,"&lt;"&amp;I638,$AI$7:$AI$3000,"yes")+COUNTIFS($B$7:B638,B638,$C$7:C638,C638,$I$7:I638,I638,$AI$7:AI638,"yes"),"")</f>
        <v/>
      </c>
      <c r="AH638" s="110" t="str">
        <f aca="false">IF(ISNUMBER(H638),"yes","no")</f>
        <v>no</v>
      </c>
      <c r="AI638" s="110" t="str">
        <f aca="false">IF(ISNUMBER(I638),"yes","no")</f>
        <v>no</v>
      </c>
      <c r="AJ638" s="120" t="n">
        <v>46297</v>
      </c>
      <c r="AK638" s="110"/>
    </row>
    <row r="639" customFormat="false" ht="45.75" hidden="false" customHeight="true" outlineLevel="0" collapsed="false">
      <c r="B639" s="36" t="s">
        <v>35</v>
      </c>
      <c r="C639" s="98" t="s">
        <v>15</v>
      </c>
      <c r="D639" s="98" t="s">
        <v>288</v>
      </c>
      <c r="E639" s="110" t="s">
        <v>2169</v>
      </c>
      <c r="F639" s="99" t="n">
        <v>11.99</v>
      </c>
      <c r="G639" s="98" t="s">
        <v>244</v>
      </c>
      <c r="H639" s="112" t="n">
        <f aca="false">IF(AND(AE639="yes",ISNUMBER(AD639)),AD639,"")</f>
        <v>11.99</v>
      </c>
      <c r="I639" s="95" t="n">
        <f aca="false">IF(AND(AE639="yes",ISNUMBER(AD639),ISNUMBER(INDEX(Sources!$G$7:$G$10,MATCH(AB639,Sources!$B$7:$B$10,0)))),ROUND(AD639/INDEX(Sources!$G$7:$G$10,MATCH(AB639,Sources!$B$7:$B$10,0)),6),"")</f>
        <v>11.99</v>
      </c>
      <c r="J639" s="98" t="s">
        <v>530</v>
      </c>
      <c r="K639" s="98" t="s">
        <v>2059</v>
      </c>
      <c r="L639" s="96"/>
      <c r="M639" s="110" t="s">
        <v>2170</v>
      </c>
      <c r="N639" s="117" t="s">
        <v>2171</v>
      </c>
      <c r="O639" s="110" t="s">
        <v>2172</v>
      </c>
      <c r="P639" s="110" t="s">
        <v>590</v>
      </c>
      <c r="Q639" s="118" t="n">
        <v>0.2</v>
      </c>
      <c r="R639" s="110" t="n">
        <v>1</v>
      </c>
      <c r="S639" s="110" t="s">
        <v>632</v>
      </c>
      <c r="T639" s="110" t="s">
        <v>530</v>
      </c>
      <c r="U639" s="110" t="s">
        <v>2062</v>
      </c>
      <c r="V639" s="119" t="n">
        <v>11.99</v>
      </c>
      <c r="W639" s="119"/>
      <c r="X639" s="110" t="s">
        <v>2063</v>
      </c>
      <c r="Y639" s="110" t="s">
        <v>2064</v>
      </c>
      <c r="Z639" s="110" t="s">
        <v>2173</v>
      </c>
      <c r="AA639" s="110" t="s">
        <v>537</v>
      </c>
      <c r="AB639" s="110" t="s">
        <v>244</v>
      </c>
      <c r="AC639" s="110" t="s">
        <v>538</v>
      </c>
      <c r="AD639" s="110" t="n">
        <f aca="false">IF(OR(F639="",Q639="",R639=""),"",ROUND(IF(P639="incl.",F639/(1+Q639),F639)/IF(S639="per pack",R639,1),2))</f>
        <v>11.99</v>
      </c>
      <c r="AE639" s="110" t="str">
        <f aca="false">IF(AND(AC639="yes",ISNUMBER(F639),IF(Compare!$H$5="All mapped",TRUE(),IF(Compare!$H$5="EXACT only",J639="EXACT",OR(J639="EXACT",J639="CLOSE")))),"yes","no")</f>
        <v>yes</v>
      </c>
      <c r="AF639" s="110" t="n">
        <f aca="false">IF(ISNUMBER(H639),COUNTIFS($B$7:$B$3000,B639,$C$7:$C$3000,C639,$H$7:$H$3000,"&lt;"&amp;H639,$AH$7:$AH$3000,"yes")+COUNTIFS($B$7:B639,B639,$C$7:C639,C639,$H$7:H639,H639,$AH$7:AH639,"yes"),"")</f>
        <v>4</v>
      </c>
      <c r="AG639" s="110" t="n">
        <f aca="false">IF(ISNUMBER(I639),COUNTIFS($B$7:$B$3000,B639,$C$7:$C$3000,C639,$I$7:$I$3000,"&lt;"&amp;I639,$AI$7:$AI$3000,"yes")+COUNTIFS($B$7:B639,B639,$C$7:C639,C639,$I$7:I639,I639,$AI$7:AI639,"yes"),"")</f>
        <v>4</v>
      </c>
      <c r="AH639" s="110" t="str">
        <f aca="false">IF(ISNUMBER(H639),"yes","no")</f>
        <v>yes</v>
      </c>
      <c r="AI639" s="110" t="str">
        <f aca="false">IF(ISNUMBER(I639),"yes","no")</f>
        <v>yes</v>
      </c>
      <c r="AJ639" s="120" t="n">
        <v>46297</v>
      </c>
      <c r="AK639" s="110"/>
    </row>
    <row r="640" customFormat="false" ht="34.5" hidden="false" customHeight="true" outlineLevel="0" collapsed="false">
      <c r="B640" s="36" t="s">
        <v>37</v>
      </c>
      <c r="C640" s="98" t="s">
        <v>15</v>
      </c>
      <c r="D640" s="98" t="s">
        <v>288</v>
      </c>
      <c r="E640" s="110" t="s">
        <v>2174</v>
      </c>
      <c r="F640" s="99" t="n">
        <v>14.99</v>
      </c>
      <c r="G640" s="98" t="s">
        <v>244</v>
      </c>
      <c r="H640" s="112" t="n">
        <f aca="false">IF(AND(AE640="yes",ISNUMBER(AD640)),AD640,"")</f>
        <v>14.99</v>
      </c>
      <c r="I640" s="95" t="n">
        <f aca="false">IF(AND(AE640="yes",ISNUMBER(AD640),ISNUMBER(INDEX(Sources!$G$7:$G$10,MATCH(AB640,Sources!$B$7:$B$10,0)))),ROUND(AD640/INDEX(Sources!$G$7:$G$10,MATCH(AB640,Sources!$B$7:$B$10,0)),6),"")</f>
        <v>14.99</v>
      </c>
      <c r="J640" s="98" t="s">
        <v>702</v>
      </c>
      <c r="K640" s="98" t="s">
        <v>2059</v>
      </c>
      <c r="L640" s="96"/>
      <c r="M640" s="110" t="s">
        <v>2175</v>
      </c>
      <c r="N640" s="117" t="s">
        <v>2176</v>
      </c>
      <c r="O640" s="110" t="s">
        <v>2172</v>
      </c>
      <c r="P640" s="110" t="s">
        <v>590</v>
      </c>
      <c r="Q640" s="118" t="n">
        <v>0.2</v>
      </c>
      <c r="R640" s="110" t="n">
        <v>1</v>
      </c>
      <c r="S640" s="110" t="s">
        <v>632</v>
      </c>
      <c r="T640" s="110" t="s">
        <v>702</v>
      </c>
      <c r="U640" s="110" t="s">
        <v>2062</v>
      </c>
      <c r="V640" s="119" t="n">
        <v>14.99</v>
      </c>
      <c r="W640" s="119"/>
      <c r="X640" s="110" t="s">
        <v>2063</v>
      </c>
      <c r="Y640" s="110" t="s">
        <v>2064</v>
      </c>
      <c r="Z640" s="110" t="s">
        <v>2177</v>
      </c>
      <c r="AA640" s="110" t="s">
        <v>537</v>
      </c>
      <c r="AB640" s="110" t="s">
        <v>244</v>
      </c>
      <c r="AC640" s="110" t="s">
        <v>538</v>
      </c>
      <c r="AD640" s="110" t="n">
        <f aca="false">IF(OR(F640="",Q640="",R640=""),"",ROUND(IF(P640="incl.",F640/(1+Q640),F640)/IF(S640="per pack",R640,1),2))</f>
        <v>14.99</v>
      </c>
      <c r="AE640" s="110" t="str">
        <f aca="false">IF(AND(AC640="yes",ISNUMBER(F640),IF(Compare!$H$5="All mapped",TRUE(),IF(Compare!$H$5="EXACT only",J640="EXACT",OR(J640="EXACT",J640="CLOSE")))),"yes","no")</f>
        <v>yes</v>
      </c>
      <c r="AF640" s="110" t="n">
        <f aca="false">IF(ISNUMBER(H640),COUNTIFS($B$7:$B$3000,B640,$C$7:$C$3000,C640,$H$7:$H$3000,"&lt;"&amp;H640,$AH$7:$AH$3000,"yes")+COUNTIFS($B$7:B640,B640,$C$7:C640,C640,$H$7:H640,H640,$AH$7:AH640,"yes"),"")</f>
        <v>6</v>
      </c>
      <c r="AG640" s="110" t="n">
        <f aca="false">IF(ISNUMBER(I640),COUNTIFS($B$7:$B$3000,B640,$C$7:$C$3000,C640,$I$7:$I$3000,"&lt;"&amp;I640,$AI$7:$AI$3000,"yes")+COUNTIFS($B$7:B640,B640,$C$7:C640,C640,$I$7:I640,I640,$AI$7:AI640,"yes"),"")</f>
        <v>6</v>
      </c>
      <c r="AH640" s="110" t="str">
        <f aca="false">IF(ISNUMBER(H640),"yes","no")</f>
        <v>yes</v>
      </c>
      <c r="AI640" s="110" t="str">
        <f aca="false">IF(ISNUMBER(I640),"yes","no")</f>
        <v>yes</v>
      </c>
      <c r="AJ640" s="120" t="n">
        <v>46297</v>
      </c>
      <c r="AK640" s="110"/>
    </row>
    <row r="641" customFormat="false" ht="45.75" hidden="false" customHeight="true" outlineLevel="0" collapsed="false">
      <c r="B641" s="36" t="s">
        <v>64</v>
      </c>
      <c r="C641" s="98" t="s">
        <v>15</v>
      </c>
      <c r="D641" s="98" t="s">
        <v>288</v>
      </c>
      <c r="E641" s="110" t="s">
        <v>2178</v>
      </c>
      <c r="F641" s="99" t="n">
        <v>34.09</v>
      </c>
      <c r="G641" s="98" t="s">
        <v>244</v>
      </c>
      <c r="H641" s="112" t="str">
        <f aca="false">IF(AND(AE641="yes",ISNUMBER(AD641)),AD641,"")</f>
        <v/>
      </c>
      <c r="I641" s="95" t="str">
        <f aca="false">IF(AND(AE641="yes",ISNUMBER(AD641),ISNUMBER(INDEX(Sources!$G$7:$G$10,MATCH(AB641,Sources!$B$7:$B$10,0)))),ROUND(AD641/INDEX(Sources!$G$7:$G$10,MATCH(AB641,Sources!$B$7:$B$10,0)),6),"")</f>
        <v/>
      </c>
      <c r="J641" s="98" t="s">
        <v>629</v>
      </c>
      <c r="K641" s="98" t="s">
        <v>2059</v>
      </c>
      <c r="L641" s="96"/>
      <c r="M641" s="110" t="s">
        <v>2179</v>
      </c>
      <c r="N641" s="117" t="s">
        <v>2180</v>
      </c>
      <c r="O641" s="110" t="s">
        <v>589</v>
      </c>
      <c r="P641" s="110" t="s">
        <v>590</v>
      </c>
      <c r="Q641" s="118" t="n">
        <v>0.2</v>
      </c>
      <c r="R641" s="110" t="n">
        <v>1</v>
      </c>
      <c r="S641" s="110" t="s">
        <v>632</v>
      </c>
      <c r="T641" s="110" t="s">
        <v>629</v>
      </c>
      <c r="U641" s="110" t="s">
        <v>2062</v>
      </c>
      <c r="V641" s="119" t="n">
        <v>34.09</v>
      </c>
      <c r="W641" s="119"/>
      <c r="X641" s="110" t="s">
        <v>2063</v>
      </c>
      <c r="Y641" s="110" t="s">
        <v>2064</v>
      </c>
      <c r="Z641" s="110" t="s">
        <v>2181</v>
      </c>
      <c r="AA641" s="110" t="s">
        <v>537</v>
      </c>
      <c r="AB641" s="110" t="s">
        <v>244</v>
      </c>
      <c r="AC641" s="110" t="s">
        <v>538</v>
      </c>
      <c r="AD641" s="110" t="n">
        <f aca="false">IF(OR(F641="",Q641="",R641=""),"",ROUND(IF(P641="incl.",F641/(1+Q641),F641)/IF(S641="per pack",R641,1),2))</f>
        <v>34.09</v>
      </c>
      <c r="AE641" s="110" t="str">
        <f aca="false">IF(AND(AC641="yes",ISNUMBER(F641),IF(Compare!$H$5="All mapped",TRUE(),IF(Compare!$H$5="EXACT only",J641="EXACT",OR(J641="EXACT",J641="CLOSE")))),"yes","no")</f>
        <v>no</v>
      </c>
      <c r="AF641" s="110" t="str">
        <f aca="false">IF(ISNUMBER(H641),COUNTIFS($B$7:$B$3000,B641,$C$7:$C$3000,C641,$H$7:$H$3000,"&lt;"&amp;H641,$AH$7:$AH$3000,"yes")+COUNTIFS($B$7:B641,B641,$C$7:C641,C641,$H$7:H641,H641,$AH$7:AH641,"yes"),"")</f>
        <v/>
      </c>
      <c r="AG641" s="110" t="str">
        <f aca="false">IF(ISNUMBER(I641),COUNTIFS($B$7:$B$3000,B641,$C$7:$C$3000,C641,$I$7:$I$3000,"&lt;"&amp;I641,$AI$7:$AI$3000,"yes")+COUNTIFS($B$7:B641,B641,$C$7:C641,C641,$I$7:I641,I641,$AI$7:AI641,"yes"),"")</f>
        <v/>
      </c>
      <c r="AH641" s="110" t="str">
        <f aca="false">IF(ISNUMBER(H641),"yes","no")</f>
        <v>no</v>
      </c>
      <c r="AI641" s="110" t="str">
        <f aca="false">IF(ISNUMBER(I641),"yes","no")</f>
        <v>no</v>
      </c>
      <c r="AJ641" s="120" t="n">
        <v>46297</v>
      </c>
      <c r="AK641" s="110"/>
    </row>
    <row r="642" customFormat="false" ht="34.5" hidden="false" customHeight="true" outlineLevel="0" collapsed="false">
      <c r="B642" s="36" t="s">
        <v>57</v>
      </c>
      <c r="C642" s="98" t="s">
        <v>15</v>
      </c>
      <c r="D642" s="98" t="s">
        <v>288</v>
      </c>
      <c r="E642" s="110" t="s">
        <v>2174</v>
      </c>
      <c r="F642" s="99" t="n">
        <v>14.99</v>
      </c>
      <c r="G642" s="98" t="s">
        <v>244</v>
      </c>
      <c r="H642" s="112" t="str">
        <f aca="false">IF(AND(AE642="yes",ISNUMBER(AD642)),AD642,"")</f>
        <v/>
      </c>
      <c r="I642" s="95" t="str">
        <f aca="false">IF(AND(AE642="yes",ISNUMBER(AD642),ISNUMBER(INDEX(Sources!$G$7:$G$10,MATCH(AB642,Sources!$B$7:$B$10,0)))),ROUND(AD642/INDEX(Sources!$G$7:$G$10,MATCH(AB642,Sources!$B$7:$B$10,0)),6),"")</f>
        <v/>
      </c>
      <c r="J642" s="98" t="s">
        <v>629</v>
      </c>
      <c r="K642" s="98" t="s">
        <v>2059</v>
      </c>
      <c r="L642" s="96"/>
      <c r="M642" s="110" t="s">
        <v>2182</v>
      </c>
      <c r="N642" s="117" t="s">
        <v>2176</v>
      </c>
      <c r="O642" s="110" t="s">
        <v>2172</v>
      </c>
      <c r="P642" s="110" t="s">
        <v>590</v>
      </c>
      <c r="Q642" s="118" t="n">
        <v>0.2</v>
      </c>
      <c r="R642" s="110" t="n">
        <v>1</v>
      </c>
      <c r="S642" s="110" t="s">
        <v>632</v>
      </c>
      <c r="T642" s="110" t="s">
        <v>629</v>
      </c>
      <c r="U642" s="110" t="s">
        <v>2062</v>
      </c>
      <c r="V642" s="119" t="n">
        <v>14.99</v>
      </c>
      <c r="W642" s="119"/>
      <c r="X642" s="110" t="s">
        <v>2063</v>
      </c>
      <c r="Y642" s="110" t="s">
        <v>2064</v>
      </c>
      <c r="Z642" s="110" t="s">
        <v>2177</v>
      </c>
      <c r="AA642" s="110" t="s">
        <v>537</v>
      </c>
      <c r="AB642" s="110" t="s">
        <v>244</v>
      </c>
      <c r="AC642" s="110" t="s">
        <v>538</v>
      </c>
      <c r="AD642" s="110" t="n">
        <f aca="false">IF(OR(F642="",Q642="",R642=""),"",ROUND(IF(P642="incl.",F642/(1+Q642),F642)/IF(S642="per pack",R642,1),2))</f>
        <v>14.99</v>
      </c>
      <c r="AE642" s="110" t="str">
        <f aca="false">IF(AND(AC642="yes",ISNUMBER(F642),IF(Compare!$H$5="All mapped",TRUE(),IF(Compare!$H$5="EXACT only",J642="EXACT",OR(J642="EXACT",J642="CLOSE")))),"yes","no")</f>
        <v>no</v>
      </c>
      <c r="AF642" s="110" t="str">
        <f aca="false">IF(ISNUMBER(H642),COUNTIFS($B$7:$B$3000,B642,$C$7:$C$3000,C642,$H$7:$H$3000,"&lt;"&amp;H642,$AH$7:$AH$3000,"yes")+COUNTIFS($B$7:B642,B642,$C$7:C642,C642,$H$7:H642,H642,$AH$7:AH642,"yes"),"")</f>
        <v/>
      </c>
      <c r="AG642" s="110" t="str">
        <f aca="false">IF(ISNUMBER(I642),COUNTIFS($B$7:$B$3000,B642,$C$7:$C$3000,C642,$I$7:$I$3000,"&lt;"&amp;I642,$AI$7:$AI$3000,"yes")+COUNTIFS($B$7:B642,B642,$C$7:C642,C642,$I$7:I642,I642,$AI$7:AI642,"yes"),"")</f>
        <v/>
      </c>
      <c r="AH642" s="110" t="str">
        <f aca="false">IF(ISNUMBER(H642),"yes","no")</f>
        <v>no</v>
      </c>
      <c r="AI642" s="110" t="str">
        <f aca="false">IF(ISNUMBER(I642),"yes","no")</f>
        <v>no</v>
      </c>
      <c r="AJ642" s="120" t="n">
        <v>46297</v>
      </c>
      <c r="AK642" s="110"/>
    </row>
    <row r="643" customFormat="false" ht="23.25" hidden="false" customHeight="true" outlineLevel="0" collapsed="false">
      <c r="B643" s="36" t="s">
        <v>58</v>
      </c>
      <c r="C643" s="98" t="s">
        <v>15</v>
      </c>
      <c r="D643" s="98" t="s">
        <v>261</v>
      </c>
      <c r="E643" s="110" t="s">
        <v>2183</v>
      </c>
      <c r="F643" s="99" t="n">
        <v>15.4</v>
      </c>
      <c r="G643" s="98" t="s">
        <v>244</v>
      </c>
      <c r="H643" s="112" t="n">
        <f aca="false">IF(AND(AE643="yes",ISNUMBER(AD643)),AD643,"")</f>
        <v>15.4</v>
      </c>
      <c r="I643" s="95" t="n">
        <f aca="false">IF(AND(AE643="yes",ISNUMBER(AD643),ISNUMBER(INDEX(Sources!$G$7:$G$10,MATCH(AB643,Sources!$B$7:$B$10,0)))),ROUND(AD643/INDEX(Sources!$G$7:$G$10,MATCH(AB643,Sources!$B$7:$B$10,0)),6),"")</f>
        <v>15.4</v>
      </c>
      <c r="J643" s="98" t="s">
        <v>530</v>
      </c>
      <c r="K643" s="98" t="s">
        <v>2059</v>
      </c>
      <c r="L643" s="96"/>
      <c r="M643" s="110" t="s">
        <v>2184</v>
      </c>
      <c r="N643" s="117" t="s">
        <v>2185</v>
      </c>
      <c r="O643" s="110"/>
      <c r="P643" s="110" t="s">
        <v>590</v>
      </c>
      <c r="Q643" s="118" t="n">
        <v>0.2</v>
      </c>
      <c r="R643" s="110" t="n">
        <v>1</v>
      </c>
      <c r="S643" s="110" t="s">
        <v>632</v>
      </c>
      <c r="T643" s="110" t="s">
        <v>530</v>
      </c>
      <c r="U643" s="110" t="s">
        <v>2062</v>
      </c>
      <c r="V643" s="119" t="n">
        <v>15.4</v>
      </c>
      <c r="W643" s="119"/>
      <c r="X643" s="110" t="s">
        <v>2063</v>
      </c>
      <c r="Y643" s="110" t="s">
        <v>2064</v>
      </c>
      <c r="Z643" s="110" t="s">
        <v>2186</v>
      </c>
      <c r="AA643" s="110" t="s">
        <v>537</v>
      </c>
      <c r="AB643" s="110" t="s">
        <v>244</v>
      </c>
      <c r="AC643" s="110" t="s">
        <v>538</v>
      </c>
      <c r="AD643" s="110" t="n">
        <f aca="false">IF(OR(F643="",Q643="",R643=""),"",ROUND(IF(P643="incl.",F643/(1+Q643),F643)/IF(S643="per pack",R643,1),2))</f>
        <v>15.4</v>
      </c>
      <c r="AE643" s="110" t="str">
        <f aca="false">IF(AND(AC643="yes",ISNUMBER(F643),IF(Compare!$H$5="All mapped",TRUE(),IF(Compare!$H$5="EXACT only",J643="EXACT",OR(J643="EXACT",J643="CLOSE")))),"yes","no")</f>
        <v>yes</v>
      </c>
      <c r="AF643" s="110" t="n">
        <f aca="false">IF(ISNUMBER(H643),COUNTIFS($B$7:$B$3000,B643,$C$7:$C$3000,C643,$H$7:$H$3000,"&lt;"&amp;H643,$AH$7:$AH$3000,"yes")+COUNTIFS($B$7:B643,B643,$C$7:C643,C643,$H$7:H643,H643,$AH$7:AH643,"yes"),"")</f>
        <v>4</v>
      </c>
      <c r="AG643" s="110" t="n">
        <f aca="false">IF(ISNUMBER(I643),COUNTIFS($B$7:$B$3000,B643,$C$7:$C$3000,C643,$I$7:$I$3000,"&lt;"&amp;I643,$AI$7:$AI$3000,"yes")+COUNTIFS($B$7:B643,B643,$C$7:C643,C643,$I$7:I643,I643,$AI$7:AI643,"yes"),"")</f>
        <v>4</v>
      </c>
      <c r="AH643" s="110" t="str">
        <f aca="false">IF(ISNUMBER(H643),"yes","no")</f>
        <v>yes</v>
      </c>
      <c r="AI643" s="110" t="str">
        <f aca="false">IF(ISNUMBER(I643),"yes","no")</f>
        <v>yes</v>
      </c>
      <c r="AJ643" s="120" t="n">
        <v>46297</v>
      </c>
      <c r="AK643" s="110"/>
    </row>
    <row r="644" customFormat="false" ht="23.25" hidden="false" customHeight="true" outlineLevel="0" collapsed="false">
      <c r="B644" s="36" t="s">
        <v>9</v>
      </c>
      <c r="C644" s="98" t="s">
        <v>15</v>
      </c>
      <c r="D644" s="98" t="s">
        <v>261</v>
      </c>
      <c r="E644" s="110" t="s">
        <v>2187</v>
      </c>
      <c r="F644" s="99" t="n">
        <v>15.4</v>
      </c>
      <c r="G644" s="98" t="s">
        <v>244</v>
      </c>
      <c r="H644" s="112" t="n">
        <f aca="false">IF(AND(AE644="yes",ISNUMBER(AD644)),AD644,"")</f>
        <v>15.4</v>
      </c>
      <c r="I644" s="95" t="n">
        <f aca="false">IF(AND(AE644="yes",ISNUMBER(AD644),ISNUMBER(INDEX(Sources!$G$7:$G$10,MATCH(AB644,Sources!$B$7:$B$10,0)))),ROUND(AD644/INDEX(Sources!$G$7:$G$10,MATCH(AB644,Sources!$B$7:$B$10,0)),6),"")</f>
        <v>15.4</v>
      </c>
      <c r="J644" s="98" t="s">
        <v>530</v>
      </c>
      <c r="K644" s="98" t="s">
        <v>2059</v>
      </c>
      <c r="L644" s="96"/>
      <c r="M644" s="110" t="s">
        <v>2188</v>
      </c>
      <c r="N644" s="117" t="s">
        <v>2189</v>
      </c>
      <c r="O644" s="110"/>
      <c r="P644" s="110" t="s">
        <v>590</v>
      </c>
      <c r="Q644" s="118" t="n">
        <v>0.2</v>
      </c>
      <c r="R644" s="110" t="n">
        <v>1</v>
      </c>
      <c r="S644" s="110" t="s">
        <v>632</v>
      </c>
      <c r="T644" s="110" t="s">
        <v>530</v>
      </c>
      <c r="U644" s="110" t="s">
        <v>2062</v>
      </c>
      <c r="V644" s="119" t="n">
        <v>15.4</v>
      </c>
      <c r="W644" s="119"/>
      <c r="X644" s="110" t="s">
        <v>2063</v>
      </c>
      <c r="Y644" s="110" t="s">
        <v>2064</v>
      </c>
      <c r="Z644" s="110" t="s">
        <v>2186</v>
      </c>
      <c r="AA644" s="110" t="s">
        <v>537</v>
      </c>
      <c r="AB644" s="110" t="s">
        <v>244</v>
      </c>
      <c r="AC644" s="110" t="s">
        <v>538</v>
      </c>
      <c r="AD644" s="110" t="n">
        <f aca="false">IF(OR(F644="",Q644="",R644=""),"",ROUND(IF(P644="incl.",F644/(1+Q644),F644)/IF(S644="per pack",R644,1),2))</f>
        <v>15.4</v>
      </c>
      <c r="AE644" s="110" t="str">
        <f aca="false">IF(AND(AC644="yes",ISNUMBER(F644),IF(Compare!$H$5="All mapped",TRUE(),IF(Compare!$H$5="EXACT only",J644="EXACT",OR(J644="EXACT",J644="CLOSE")))),"yes","no")</f>
        <v>yes</v>
      </c>
      <c r="AF644" s="110" t="n">
        <f aca="false">IF(ISNUMBER(H644),COUNTIFS($B$7:$B$3000,B644,$C$7:$C$3000,C644,$H$7:$H$3000,"&lt;"&amp;H644,$AH$7:$AH$3000,"yes")+COUNTIFS($B$7:B644,B644,$C$7:C644,C644,$H$7:H644,H644,$AH$7:AH644,"yes"),"")</f>
        <v>6</v>
      </c>
      <c r="AG644" s="110" t="n">
        <f aca="false">IF(ISNUMBER(I644),COUNTIFS($B$7:$B$3000,B644,$C$7:$C$3000,C644,$I$7:$I$3000,"&lt;"&amp;I644,$AI$7:$AI$3000,"yes")+COUNTIFS($B$7:B644,B644,$C$7:C644,C644,$I$7:I644,I644,$AI$7:AI644,"yes"),"")</f>
        <v>6</v>
      </c>
      <c r="AH644" s="110" t="str">
        <f aca="false">IF(ISNUMBER(H644),"yes","no")</f>
        <v>yes</v>
      </c>
      <c r="AI644" s="110" t="str">
        <f aca="false">IF(ISNUMBER(I644),"yes","no")</f>
        <v>yes</v>
      </c>
      <c r="AJ644" s="120" t="n">
        <v>46297</v>
      </c>
      <c r="AK644" s="110"/>
    </row>
    <row r="645" customFormat="false" ht="23.25" hidden="false" customHeight="true" outlineLevel="0" collapsed="false">
      <c r="B645" s="36" t="s">
        <v>22</v>
      </c>
      <c r="C645" s="98" t="s">
        <v>15</v>
      </c>
      <c r="D645" s="98" t="s">
        <v>261</v>
      </c>
      <c r="E645" s="110" t="s">
        <v>2190</v>
      </c>
      <c r="F645" s="99" t="n">
        <v>13</v>
      </c>
      <c r="G645" s="98" t="s">
        <v>244</v>
      </c>
      <c r="H645" s="112" t="n">
        <f aca="false">IF(AND(AE645="yes",ISNUMBER(AD645)),AD645,"")</f>
        <v>13</v>
      </c>
      <c r="I645" s="95" t="n">
        <f aca="false">IF(AND(AE645="yes",ISNUMBER(AD645),ISNUMBER(INDEX(Sources!$G$7:$G$10,MATCH(AB645,Sources!$B$7:$B$10,0)))),ROUND(AD645/INDEX(Sources!$G$7:$G$10,MATCH(AB645,Sources!$B$7:$B$10,0)),6),"")</f>
        <v>13</v>
      </c>
      <c r="J645" s="98" t="s">
        <v>530</v>
      </c>
      <c r="K645" s="98" t="s">
        <v>2059</v>
      </c>
      <c r="L645" s="96"/>
      <c r="M645" s="110" t="s">
        <v>2191</v>
      </c>
      <c r="N645" s="117" t="s">
        <v>2192</v>
      </c>
      <c r="O645" s="110"/>
      <c r="P645" s="110" t="s">
        <v>590</v>
      </c>
      <c r="Q645" s="118" t="n">
        <v>0.2</v>
      </c>
      <c r="R645" s="110" t="n">
        <v>1</v>
      </c>
      <c r="S645" s="110" t="s">
        <v>632</v>
      </c>
      <c r="T645" s="110" t="s">
        <v>530</v>
      </c>
      <c r="U645" s="110" t="s">
        <v>2062</v>
      </c>
      <c r="V645" s="119" t="n">
        <v>13</v>
      </c>
      <c r="W645" s="119"/>
      <c r="X645" s="110" t="s">
        <v>2063</v>
      </c>
      <c r="Y645" s="110" t="s">
        <v>2064</v>
      </c>
      <c r="Z645" s="110" t="s">
        <v>2186</v>
      </c>
      <c r="AA645" s="110" t="s">
        <v>537</v>
      </c>
      <c r="AB645" s="110" t="s">
        <v>244</v>
      </c>
      <c r="AC645" s="110" t="s">
        <v>538</v>
      </c>
      <c r="AD645" s="110" t="n">
        <f aca="false">IF(OR(F645="",Q645="",R645=""),"",ROUND(IF(P645="incl.",F645/(1+Q645),F645)/IF(S645="per pack",R645,1),2))</f>
        <v>13</v>
      </c>
      <c r="AE645" s="110" t="str">
        <f aca="false">IF(AND(AC645="yes",ISNUMBER(F645),IF(Compare!$H$5="All mapped",TRUE(),IF(Compare!$H$5="EXACT only",J645="EXACT",OR(J645="EXACT",J645="CLOSE")))),"yes","no")</f>
        <v>yes</v>
      </c>
      <c r="AF645" s="110" t="n">
        <f aca="false">IF(ISNUMBER(H645),COUNTIFS($B$7:$B$3000,B645,$C$7:$C$3000,C645,$H$7:$H$3000,"&lt;"&amp;H645,$AH$7:$AH$3000,"yes")+COUNTIFS($B$7:B645,B645,$C$7:C645,C645,$H$7:H645,H645,$AH$7:AH645,"yes"),"")</f>
        <v>7</v>
      </c>
      <c r="AG645" s="110" t="n">
        <f aca="false">IF(ISNUMBER(I645),COUNTIFS($B$7:$B$3000,B645,$C$7:$C$3000,C645,$I$7:$I$3000,"&lt;"&amp;I645,$AI$7:$AI$3000,"yes")+COUNTIFS($B$7:B645,B645,$C$7:C645,C645,$I$7:I645,I645,$AI$7:AI645,"yes"),"")</f>
        <v>7</v>
      </c>
      <c r="AH645" s="110" t="str">
        <f aca="false">IF(ISNUMBER(H645),"yes","no")</f>
        <v>yes</v>
      </c>
      <c r="AI645" s="110" t="str">
        <f aca="false">IF(ISNUMBER(I645),"yes","no")</f>
        <v>yes</v>
      </c>
      <c r="AJ645" s="120" t="n">
        <v>46297</v>
      </c>
      <c r="AK645" s="110"/>
    </row>
    <row r="646" customFormat="false" ht="23.25" hidden="false" customHeight="true" outlineLevel="0" collapsed="false">
      <c r="B646" s="36" t="s">
        <v>46</v>
      </c>
      <c r="C646" s="98" t="s">
        <v>15</v>
      </c>
      <c r="D646" s="98" t="s">
        <v>261</v>
      </c>
      <c r="E646" s="110" t="s">
        <v>2193</v>
      </c>
      <c r="F646" s="99" t="n">
        <v>5.4</v>
      </c>
      <c r="G646" s="98" t="s">
        <v>244</v>
      </c>
      <c r="H646" s="112" t="n">
        <f aca="false">IF(AND(AE646="yes",ISNUMBER(AD646)),AD646,"")</f>
        <v>5.4</v>
      </c>
      <c r="I646" s="95" t="n">
        <f aca="false">IF(AND(AE646="yes",ISNUMBER(AD646),ISNUMBER(INDEX(Sources!$G$7:$G$10,MATCH(AB646,Sources!$B$7:$B$10,0)))),ROUND(AD646/INDEX(Sources!$G$7:$G$10,MATCH(AB646,Sources!$B$7:$B$10,0)),6),"")</f>
        <v>5.4</v>
      </c>
      <c r="J646" s="98" t="s">
        <v>530</v>
      </c>
      <c r="K646" s="98" t="s">
        <v>2059</v>
      </c>
      <c r="L646" s="96"/>
      <c r="M646" s="110" t="s">
        <v>2194</v>
      </c>
      <c r="N646" s="117" t="s">
        <v>2195</v>
      </c>
      <c r="O646" s="110"/>
      <c r="P646" s="110" t="s">
        <v>590</v>
      </c>
      <c r="Q646" s="118" t="n">
        <v>0.2</v>
      </c>
      <c r="R646" s="110" t="n">
        <v>1</v>
      </c>
      <c r="S646" s="110" t="s">
        <v>632</v>
      </c>
      <c r="T646" s="110" t="s">
        <v>530</v>
      </c>
      <c r="U646" s="110" t="s">
        <v>2062</v>
      </c>
      <c r="V646" s="119" t="n">
        <v>5.4</v>
      </c>
      <c r="W646" s="119"/>
      <c r="X646" s="110" t="s">
        <v>2063</v>
      </c>
      <c r="Y646" s="110" t="s">
        <v>2064</v>
      </c>
      <c r="Z646" s="110" t="s">
        <v>2186</v>
      </c>
      <c r="AA646" s="110" t="s">
        <v>537</v>
      </c>
      <c r="AB646" s="110" t="s">
        <v>244</v>
      </c>
      <c r="AC646" s="110" t="s">
        <v>538</v>
      </c>
      <c r="AD646" s="110" t="n">
        <f aca="false">IF(OR(F646="",Q646="",R646=""),"",ROUND(IF(P646="incl.",F646/(1+Q646),F646)/IF(S646="per pack",R646,1),2))</f>
        <v>5.4</v>
      </c>
      <c r="AE646" s="110" t="str">
        <f aca="false">IF(AND(AC646="yes",ISNUMBER(F646),IF(Compare!$H$5="All mapped",TRUE(),IF(Compare!$H$5="EXACT only",J646="EXACT",OR(J646="EXACT",J646="CLOSE")))),"yes","no")</f>
        <v>yes</v>
      </c>
      <c r="AF646" s="110" t="n">
        <f aca="false">IF(ISNUMBER(H646),COUNTIFS($B$7:$B$3000,B646,$C$7:$C$3000,C646,$H$7:$H$3000,"&lt;"&amp;H646,$AH$7:$AH$3000,"yes")+COUNTIFS($B$7:B646,B646,$C$7:C646,C646,$H$7:H646,H646,$AH$7:AH646,"yes"),"")</f>
        <v>4</v>
      </c>
      <c r="AG646" s="110" t="n">
        <f aca="false">IF(ISNUMBER(I646),COUNTIFS($B$7:$B$3000,B646,$C$7:$C$3000,C646,$I$7:$I$3000,"&lt;"&amp;I646,$AI$7:$AI$3000,"yes")+COUNTIFS($B$7:B646,B646,$C$7:C646,C646,$I$7:I646,I646,$AI$7:AI646,"yes"),"")</f>
        <v>4</v>
      </c>
      <c r="AH646" s="110" t="str">
        <f aca="false">IF(ISNUMBER(H646),"yes","no")</f>
        <v>yes</v>
      </c>
      <c r="AI646" s="110" t="str">
        <f aca="false">IF(ISNUMBER(I646),"yes","no")</f>
        <v>yes</v>
      </c>
      <c r="AJ646" s="120" t="n">
        <v>46297</v>
      </c>
      <c r="AK646" s="110"/>
    </row>
    <row r="647" customFormat="false" ht="23.25" hidden="false" customHeight="true" outlineLevel="0" collapsed="false">
      <c r="B647" s="36" t="s">
        <v>45</v>
      </c>
      <c r="C647" s="98" t="s">
        <v>15</v>
      </c>
      <c r="D647" s="98" t="s">
        <v>261</v>
      </c>
      <c r="E647" s="110" t="s">
        <v>2196</v>
      </c>
      <c r="F647" s="99" t="n">
        <v>8</v>
      </c>
      <c r="G647" s="98" t="s">
        <v>244</v>
      </c>
      <c r="H647" s="112" t="n">
        <f aca="false">IF(AND(AE647="yes",ISNUMBER(AD647)),AD647,"")</f>
        <v>8</v>
      </c>
      <c r="I647" s="95" t="n">
        <f aca="false">IF(AND(AE647="yes",ISNUMBER(AD647),ISNUMBER(INDEX(Sources!$G$7:$G$10,MATCH(AB647,Sources!$B$7:$B$10,0)))),ROUND(AD647/INDEX(Sources!$G$7:$G$10,MATCH(AB647,Sources!$B$7:$B$10,0)),6),"")</f>
        <v>8</v>
      </c>
      <c r="J647" s="98" t="s">
        <v>530</v>
      </c>
      <c r="K647" s="98" t="s">
        <v>2059</v>
      </c>
      <c r="L647" s="96"/>
      <c r="M647" s="110" t="s">
        <v>2197</v>
      </c>
      <c r="N647" s="117" t="s">
        <v>2198</v>
      </c>
      <c r="O647" s="110"/>
      <c r="P647" s="110" t="s">
        <v>590</v>
      </c>
      <c r="Q647" s="118" t="n">
        <v>0.2</v>
      </c>
      <c r="R647" s="110" t="n">
        <v>1</v>
      </c>
      <c r="S647" s="110" t="s">
        <v>632</v>
      </c>
      <c r="T647" s="110" t="s">
        <v>530</v>
      </c>
      <c r="U647" s="110" t="s">
        <v>2062</v>
      </c>
      <c r="V647" s="119" t="n">
        <v>8</v>
      </c>
      <c r="W647" s="119"/>
      <c r="X647" s="110" t="s">
        <v>2063</v>
      </c>
      <c r="Y647" s="110" t="s">
        <v>2064</v>
      </c>
      <c r="Z647" s="110" t="s">
        <v>2186</v>
      </c>
      <c r="AA647" s="110" t="s">
        <v>537</v>
      </c>
      <c r="AB647" s="110" t="s">
        <v>244</v>
      </c>
      <c r="AC647" s="110" t="s">
        <v>538</v>
      </c>
      <c r="AD647" s="110" t="n">
        <f aca="false">IF(OR(F647="",Q647="",R647=""),"",ROUND(IF(P647="incl.",F647/(1+Q647),F647)/IF(S647="per pack",R647,1),2))</f>
        <v>8</v>
      </c>
      <c r="AE647" s="110" t="str">
        <f aca="false">IF(AND(AC647="yes",ISNUMBER(F647),IF(Compare!$H$5="All mapped",TRUE(),IF(Compare!$H$5="EXACT only",J647="EXACT",OR(J647="EXACT",J647="CLOSE")))),"yes","no")</f>
        <v>yes</v>
      </c>
      <c r="AF647" s="110" t="n">
        <f aca="false">IF(ISNUMBER(H647),COUNTIFS($B$7:$B$3000,B647,$C$7:$C$3000,C647,$H$7:$H$3000,"&lt;"&amp;H647,$AH$7:$AH$3000,"yes")+COUNTIFS($B$7:B647,B647,$C$7:C647,C647,$H$7:H647,H647,$AH$7:AH647,"yes"),"")</f>
        <v>7</v>
      </c>
      <c r="AG647" s="110" t="n">
        <f aca="false">IF(ISNUMBER(I647),COUNTIFS($B$7:$B$3000,B647,$C$7:$C$3000,C647,$I$7:$I$3000,"&lt;"&amp;I647,$AI$7:$AI$3000,"yes")+COUNTIFS($B$7:B647,B647,$C$7:C647,C647,$I$7:I647,I647,$AI$7:AI647,"yes"),"")</f>
        <v>7</v>
      </c>
      <c r="AH647" s="110" t="str">
        <f aca="false">IF(ISNUMBER(H647),"yes","no")</f>
        <v>yes</v>
      </c>
      <c r="AI647" s="110" t="str">
        <f aca="false">IF(ISNUMBER(I647),"yes","no")</f>
        <v>yes</v>
      </c>
      <c r="AJ647" s="120" t="n">
        <v>46297</v>
      </c>
      <c r="AK647" s="110"/>
    </row>
    <row r="648" customFormat="false" ht="23.25" hidden="false" customHeight="true" outlineLevel="0" collapsed="false">
      <c r="B648" s="36" t="s">
        <v>23</v>
      </c>
      <c r="C648" s="98" t="s">
        <v>15</v>
      </c>
      <c r="D648" s="98" t="s">
        <v>261</v>
      </c>
      <c r="E648" s="110" t="s">
        <v>2199</v>
      </c>
      <c r="F648" s="99" t="n">
        <v>4.6</v>
      </c>
      <c r="G648" s="98" t="s">
        <v>244</v>
      </c>
      <c r="H648" s="112" t="n">
        <f aca="false">IF(AND(AE648="yes",ISNUMBER(AD648)),AD648,"")</f>
        <v>4.6</v>
      </c>
      <c r="I648" s="95" t="n">
        <f aca="false">IF(AND(AE648="yes",ISNUMBER(AD648),ISNUMBER(INDEX(Sources!$G$7:$G$10,MATCH(AB648,Sources!$B$7:$B$10,0)))),ROUND(AD648/INDEX(Sources!$G$7:$G$10,MATCH(AB648,Sources!$B$7:$B$10,0)),6),"")</f>
        <v>4.6</v>
      </c>
      <c r="J648" s="98" t="s">
        <v>530</v>
      </c>
      <c r="K648" s="98" t="s">
        <v>2059</v>
      </c>
      <c r="L648" s="96"/>
      <c r="M648" s="110" t="s">
        <v>2200</v>
      </c>
      <c r="N648" s="117" t="s">
        <v>2201</v>
      </c>
      <c r="O648" s="110"/>
      <c r="P648" s="110" t="s">
        <v>590</v>
      </c>
      <c r="Q648" s="118" t="n">
        <v>0.2</v>
      </c>
      <c r="R648" s="110" t="n">
        <v>1</v>
      </c>
      <c r="S648" s="110" t="s">
        <v>632</v>
      </c>
      <c r="T648" s="110" t="s">
        <v>530</v>
      </c>
      <c r="U648" s="110" t="s">
        <v>2062</v>
      </c>
      <c r="V648" s="119" t="n">
        <v>4.6</v>
      </c>
      <c r="W648" s="119"/>
      <c r="X648" s="110" t="s">
        <v>2063</v>
      </c>
      <c r="Y648" s="110" t="s">
        <v>2064</v>
      </c>
      <c r="Z648" s="110" t="s">
        <v>2186</v>
      </c>
      <c r="AA648" s="110" t="s">
        <v>537</v>
      </c>
      <c r="AB648" s="110" t="s">
        <v>244</v>
      </c>
      <c r="AC648" s="110" t="s">
        <v>538</v>
      </c>
      <c r="AD648" s="110" t="n">
        <f aca="false">IF(OR(F648="",Q648="",R648=""),"",ROUND(IF(P648="incl.",F648/(1+Q648),F648)/IF(S648="per pack",R648,1),2))</f>
        <v>4.6</v>
      </c>
      <c r="AE648" s="110" t="str">
        <f aca="false">IF(AND(AC648="yes",ISNUMBER(F648),IF(Compare!$H$5="All mapped",TRUE(),IF(Compare!$H$5="EXACT only",J648="EXACT",OR(J648="EXACT",J648="CLOSE")))),"yes","no")</f>
        <v>yes</v>
      </c>
      <c r="AF648" s="110" t="n">
        <f aca="false">IF(ISNUMBER(H648),COUNTIFS($B$7:$B$3000,B648,$C$7:$C$3000,C648,$H$7:$H$3000,"&lt;"&amp;H648,$AH$7:$AH$3000,"yes")+COUNTIFS($B$7:B648,B648,$C$7:C648,C648,$H$7:H648,H648,$AH$7:AH648,"yes"),"")</f>
        <v>3</v>
      </c>
      <c r="AG648" s="110" t="n">
        <f aca="false">IF(ISNUMBER(I648),COUNTIFS($B$7:$B$3000,B648,$C$7:$C$3000,C648,$I$7:$I$3000,"&lt;"&amp;I648,$AI$7:$AI$3000,"yes")+COUNTIFS($B$7:B648,B648,$C$7:C648,C648,$I$7:I648,I648,$AI$7:AI648,"yes"),"")</f>
        <v>3</v>
      </c>
      <c r="AH648" s="110" t="str">
        <f aca="false">IF(ISNUMBER(H648),"yes","no")</f>
        <v>yes</v>
      </c>
      <c r="AI648" s="110" t="str">
        <f aca="false">IF(ISNUMBER(I648),"yes","no")</f>
        <v>yes</v>
      </c>
      <c r="AJ648" s="120" t="n">
        <v>46297</v>
      </c>
      <c r="AK648" s="110"/>
    </row>
    <row r="649" customFormat="false" ht="23.25" hidden="false" customHeight="true" outlineLevel="0" collapsed="false">
      <c r="B649" s="36" t="s">
        <v>59</v>
      </c>
      <c r="C649" s="98" t="s">
        <v>15</v>
      </c>
      <c r="D649" s="98" t="s">
        <v>261</v>
      </c>
      <c r="E649" s="110" t="s">
        <v>2202</v>
      </c>
      <c r="F649" s="99" t="n">
        <v>5.5</v>
      </c>
      <c r="G649" s="98" t="s">
        <v>244</v>
      </c>
      <c r="H649" s="112" t="n">
        <f aca="false">IF(AND(AE649="yes",ISNUMBER(AD649)),AD649,"")</f>
        <v>5.5</v>
      </c>
      <c r="I649" s="95" t="n">
        <f aca="false">IF(AND(AE649="yes",ISNUMBER(AD649),ISNUMBER(INDEX(Sources!$G$7:$G$10,MATCH(AB649,Sources!$B$7:$B$10,0)))),ROUND(AD649/INDEX(Sources!$G$7:$G$10,MATCH(AB649,Sources!$B$7:$B$10,0)),6),"")</f>
        <v>5.5</v>
      </c>
      <c r="J649" s="98" t="s">
        <v>530</v>
      </c>
      <c r="K649" s="98" t="s">
        <v>2059</v>
      </c>
      <c r="L649" s="96"/>
      <c r="M649" s="110" t="s">
        <v>2203</v>
      </c>
      <c r="N649" s="117" t="s">
        <v>2204</v>
      </c>
      <c r="O649" s="110"/>
      <c r="P649" s="110" t="s">
        <v>590</v>
      </c>
      <c r="Q649" s="118" t="n">
        <v>0.2</v>
      </c>
      <c r="R649" s="110" t="n">
        <v>1</v>
      </c>
      <c r="S649" s="110" t="s">
        <v>632</v>
      </c>
      <c r="T649" s="110" t="s">
        <v>530</v>
      </c>
      <c r="U649" s="110" t="s">
        <v>2062</v>
      </c>
      <c r="V649" s="119" t="n">
        <v>5.5</v>
      </c>
      <c r="W649" s="119"/>
      <c r="X649" s="110" t="s">
        <v>2063</v>
      </c>
      <c r="Y649" s="110" t="s">
        <v>2064</v>
      </c>
      <c r="Z649" s="110" t="s">
        <v>2186</v>
      </c>
      <c r="AA649" s="110" t="s">
        <v>537</v>
      </c>
      <c r="AB649" s="110" t="s">
        <v>244</v>
      </c>
      <c r="AC649" s="110" t="s">
        <v>538</v>
      </c>
      <c r="AD649" s="110" t="n">
        <f aca="false">IF(OR(F649="",Q649="",R649=""),"",ROUND(IF(P649="incl.",F649/(1+Q649),F649)/IF(S649="per pack",R649,1),2))</f>
        <v>5.5</v>
      </c>
      <c r="AE649" s="110" t="str">
        <f aca="false">IF(AND(AC649="yes",ISNUMBER(F649),IF(Compare!$H$5="All mapped",TRUE(),IF(Compare!$H$5="EXACT only",J649="EXACT",OR(J649="EXACT",J649="CLOSE")))),"yes","no")</f>
        <v>yes</v>
      </c>
      <c r="AF649" s="110" t="n">
        <f aca="false">IF(ISNUMBER(H649),COUNTIFS($B$7:$B$3000,B649,$C$7:$C$3000,C649,$H$7:$H$3000,"&lt;"&amp;H649,$AH$7:$AH$3000,"yes")+COUNTIFS($B$7:B649,B649,$C$7:C649,C649,$H$7:H649,H649,$AH$7:AH649,"yes"),"")</f>
        <v>8</v>
      </c>
      <c r="AG649" s="110" t="n">
        <f aca="false">IF(ISNUMBER(I649),COUNTIFS($B$7:$B$3000,B649,$C$7:$C$3000,C649,$I$7:$I$3000,"&lt;"&amp;I649,$AI$7:$AI$3000,"yes")+COUNTIFS($B$7:B649,B649,$C$7:C649,C649,$I$7:I649,I649,$AI$7:AI649,"yes"),"")</f>
        <v>8</v>
      </c>
      <c r="AH649" s="110" t="str">
        <f aca="false">IF(ISNUMBER(H649),"yes","no")</f>
        <v>yes</v>
      </c>
      <c r="AI649" s="110" t="str">
        <f aca="false">IF(ISNUMBER(I649),"yes","no")</f>
        <v>yes</v>
      </c>
      <c r="AJ649" s="120" t="n">
        <v>46297</v>
      </c>
      <c r="AK649" s="110"/>
    </row>
    <row r="650" customFormat="false" ht="23.25" hidden="false" customHeight="true" outlineLevel="0" collapsed="false">
      <c r="B650" s="36" t="s">
        <v>49</v>
      </c>
      <c r="C650" s="98" t="s">
        <v>15</v>
      </c>
      <c r="D650" s="98" t="s">
        <v>261</v>
      </c>
      <c r="E650" s="110" t="s">
        <v>2205</v>
      </c>
      <c r="F650" s="99" t="n">
        <v>3</v>
      </c>
      <c r="G650" s="98" t="s">
        <v>244</v>
      </c>
      <c r="H650" s="112" t="n">
        <f aca="false">IF(AND(AE650="yes",ISNUMBER(AD650)),AD650,"")</f>
        <v>3</v>
      </c>
      <c r="I650" s="95" t="n">
        <f aca="false">IF(AND(AE650="yes",ISNUMBER(AD650),ISNUMBER(INDEX(Sources!$G$7:$G$10,MATCH(AB650,Sources!$B$7:$B$10,0)))),ROUND(AD650/INDEX(Sources!$G$7:$G$10,MATCH(AB650,Sources!$B$7:$B$10,0)),6),"")</f>
        <v>3</v>
      </c>
      <c r="J650" s="98" t="s">
        <v>530</v>
      </c>
      <c r="K650" s="98" t="s">
        <v>2059</v>
      </c>
      <c r="L650" s="96"/>
      <c r="M650" s="110" t="s">
        <v>2206</v>
      </c>
      <c r="N650" s="117" t="s">
        <v>2207</v>
      </c>
      <c r="O650" s="110"/>
      <c r="P650" s="110" t="s">
        <v>590</v>
      </c>
      <c r="Q650" s="118" t="n">
        <v>0.2</v>
      </c>
      <c r="R650" s="110" t="n">
        <v>1</v>
      </c>
      <c r="S650" s="110" t="s">
        <v>632</v>
      </c>
      <c r="T650" s="110" t="s">
        <v>530</v>
      </c>
      <c r="U650" s="110" t="s">
        <v>2062</v>
      </c>
      <c r="V650" s="119" t="n">
        <v>3</v>
      </c>
      <c r="W650" s="119"/>
      <c r="X650" s="110" t="s">
        <v>2063</v>
      </c>
      <c r="Y650" s="110" t="s">
        <v>2064</v>
      </c>
      <c r="Z650" s="110" t="s">
        <v>2186</v>
      </c>
      <c r="AA650" s="110" t="s">
        <v>537</v>
      </c>
      <c r="AB650" s="110" t="s">
        <v>244</v>
      </c>
      <c r="AC650" s="110" t="s">
        <v>538</v>
      </c>
      <c r="AD650" s="110" t="n">
        <f aca="false">IF(OR(F650="",Q650="",R650=""),"",ROUND(IF(P650="incl.",F650/(1+Q650),F650)/IF(S650="per pack",R650,1),2))</f>
        <v>3</v>
      </c>
      <c r="AE650" s="110" t="str">
        <f aca="false">IF(AND(AC650="yes",ISNUMBER(F650),IF(Compare!$H$5="All mapped",TRUE(),IF(Compare!$H$5="EXACT only",J650="EXACT",OR(J650="EXACT",J650="CLOSE")))),"yes","no")</f>
        <v>yes</v>
      </c>
      <c r="AF650" s="110" t="n">
        <f aca="false">IF(ISNUMBER(H650),COUNTIFS($B$7:$B$3000,B650,$C$7:$C$3000,C650,$H$7:$H$3000,"&lt;"&amp;H650,$AH$7:$AH$3000,"yes")+COUNTIFS($B$7:B650,B650,$C$7:C650,C650,$H$7:H650,H650,$AH$7:AH650,"yes"),"")</f>
        <v>3</v>
      </c>
      <c r="AG650" s="110" t="n">
        <f aca="false">IF(ISNUMBER(I650),COUNTIFS($B$7:$B$3000,B650,$C$7:$C$3000,C650,$I$7:$I$3000,"&lt;"&amp;I650,$AI$7:$AI$3000,"yes")+COUNTIFS($B$7:B650,B650,$C$7:C650,C650,$I$7:I650,I650,$AI$7:AI650,"yes"),"")</f>
        <v>3</v>
      </c>
      <c r="AH650" s="110" t="str">
        <f aca="false">IF(ISNUMBER(H650),"yes","no")</f>
        <v>yes</v>
      </c>
      <c r="AI650" s="110" t="str">
        <f aca="false">IF(ISNUMBER(I650),"yes","no")</f>
        <v>yes</v>
      </c>
      <c r="AJ650" s="120" t="n">
        <v>46297</v>
      </c>
      <c r="AK650" s="110"/>
    </row>
    <row r="651" customFormat="false" ht="23.25" hidden="false" customHeight="true" outlineLevel="0" collapsed="false">
      <c r="B651" s="36" t="s">
        <v>51</v>
      </c>
      <c r="C651" s="98" t="s">
        <v>15</v>
      </c>
      <c r="D651" s="98" t="s">
        <v>261</v>
      </c>
      <c r="E651" s="110" t="s">
        <v>2208</v>
      </c>
      <c r="F651" s="99" t="n">
        <v>2.35</v>
      </c>
      <c r="G651" s="98" t="s">
        <v>244</v>
      </c>
      <c r="H651" s="112" t="n">
        <f aca="false">IF(AND(AE651="yes",ISNUMBER(AD651)),AD651,"")</f>
        <v>2.35</v>
      </c>
      <c r="I651" s="95" t="n">
        <f aca="false">IF(AND(AE651="yes",ISNUMBER(AD651),ISNUMBER(INDEX(Sources!$G$7:$G$10,MATCH(AB651,Sources!$B$7:$B$10,0)))),ROUND(AD651/INDEX(Sources!$G$7:$G$10,MATCH(AB651,Sources!$B$7:$B$10,0)),6),"")</f>
        <v>2.35</v>
      </c>
      <c r="J651" s="98" t="s">
        <v>530</v>
      </c>
      <c r="K651" s="98" t="s">
        <v>2059</v>
      </c>
      <c r="L651" s="96"/>
      <c r="M651" s="110" t="s">
        <v>2209</v>
      </c>
      <c r="N651" s="117" t="s">
        <v>2210</v>
      </c>
      <c r="O651" s="110"/>
      <c r="P651" s="110" t="s">
        <v>590</v>
      </c>
      <c r="Q651" s="118" t="n">
        <v>0.2</v>
      </c>
      <c r="R651" s="110" t="n">
        <v>1</v>
      </c>
      <c r="S651" s="110" t="s">
        <v>632</v>
      </c>
      <c r="T651" s="110" t="s">
        <v>530</v>
      </c>
      <c r="U651" s="110" t="s">
        <v>2062</v>
      </c>
      <c r="V651" s="119" t="n">
        <v>2.35</v>
      </c>
      <c r="W651" s="119"/>
      <c r="X651" s="110" t="s">
        <v>2063</v>
      </c>
      <c r="Y651" s="110" t="s">
        <v>2064</v>
      </c>
      <c r="Z651" s="110" t="s">
        <v>2186</v>
      </c>
      <c r="AA651" s="110" t="s">
        <v>537</v>
      </c>
      <c r="AB651" s="110" t="s">
        <v>244</v>
      </c>
      <c r="AC651" s="110" t="s">
        <v>538</v>
      </c>
      <c r="AD651" s="110" t="n">
        <f aca="false">IF(OR(F651="",Q651="",R651=""),"",ROUND(IF(P651="incl.",F651/(1+Q651),F651)/IF(S651="per pack",R651,1),2))</f>
        <v>2.35</v>
      </c>
      <c r="AE651" s="110" t="str">
        <f aca="false">IF(AND(AC651="yes",ISNUMBER(F651),IF(Compare!$H$5="All mapped",TRUE(),IF(Compare!$H$5="EXACT only",J651="EXACT",OR(J651="EXACT",J651="CLOSE")))),"yes","no")</f>
        <v>yes</v>
      </c>
      <c r="AF651" s="110" t="n">
        <f aca="false">IF(ISNUMBER(H651),COUNTIFS($B$7:$B$3000,B651,$C$7:$C$3000,C651,$H$7:$H$3000,"&lt;"&amp;H651,$AH$7:$AH$3000,"yes")+COUNTIFS($B$7:B651,B651,$C$7:C651,C651,$H$7:H651,H651,$AH$7:AH651,"yes"),"")</f>
        <v>3</v>
      </c>
      <c r="AG651" s="110" t="n">
        <f aca="false">IF(ISNUMBER(I651),COUNTIFS($B$7:$B$3000,B651,$C$7:$C$3000,C651,$I$7:$I$3000,"&lt;"&amp;I651,$AI$7:$AI$3000,"yes")+COUNTIFS($B$7:B651,B651,$C$7:C651,C651,$I$7:I651,I651,$AI$7:AI651,"yes"),"")</f>
        <v>3</v>
      </c>
      <c r="AH651" s="110" t="str">
        <f aca="false">IF(ISNUMBER(H651),"yes","no")</f>
        <v>yes</v>
      </c>
      <c r="AI651" s="110" t="str">
        <f aca="false">IF(ISNUMBER(I651),"yes","no")</f>
        <v>yes</v>
      </c>
      <c r="AJ651" s="120" t="n">
        <v>46297</v>
      </c>
      <c r="AK651" s="110"/>
    </row>
    <row r="652" customFormat="false" ht="23.25" hidden="false" customHeight="true" outlineLevel="0" collapsed="false">
      <c r="B652" s="36" t="s">
        <v>58</v>
      </c>
      <c r="C652" s="98" t="s">
        <v>15</v>
      </c>
      <c r="D652" s="98" t="s">
        <v>288</v>
      </c>
      <c r="E652" s="110" t="s">
        <v>2211</v>
      </c>
      <c r="F652" s="99" t="n">
        <v>34.99</v>
      </c>
      <c r="G652" s="98" t="s">
        <v>244</v>
      </c>
      <c r="H652" s="112" t="n">
        <f aca="false">IF(AND(AE652="yes",ISNUMBER(AD652)),AD652,"")</f>
        <v>34.99</v>
      </c>
      <c r="I652" s="95" t="n">
        <f aca="false">IF(AND(AE652="yes",ISNUMBER(AD652),ISNUMBER(INDEX(Sources!$G$7:$G$10,MATCH(AB652,Sources!$B$7:$B$10,0)))),ROUND(AD652/INDEX(Sources!$G$7:$G$10,MATCH(AB652,Sources!$B$7:$B$10,0)),6),"")</f>
        <v>34.99</v>
      </c>
      <c r="J652" s="98" t="s">
        <v>530</v>
      </c>
      <c r="K652" s="98" t="s">
        <v>2059</v>
      </c>
      <c r="L652" s="96"/>
      <c r="M652" s="110" t="s">
        <v>2212</v>
      </c>
      <c r="N652" s="117" t="s">
        <v>2213</v>
      </c>
      <c r="O652" s="110" t="s">
        <v>589</v>
      </c>
      <c r="P652" s="110" t="s">
        <v>590</v>
      </c>
      <c r="Q652" s="118" t="n">
        <v>0.2</v>
      </c>
      <c r="R652" s="110" t="n">
        <v>1</v>
      </c>
      <c r="S652" s="110" t="s">
        <v>632</v>
      </c>
      <c r="T652" s="110" t="s">
        <v>530</v>
      </c>
      <c r="U652" s="110" t="s">
        <v>2062</v>
      </c>
      <c r="V652" s="119" t="n">
        <v>34.99</v>
      </c>
      <c r="W652" s="119"/>
      <c r="X652" s="110" t="s">
        <v>2063</v>
      </c>
      <c r="Y652" s="110" t="s">
        <v>2064</v>
      </c>
      <c r="Z652" s="110" t="s">
        <v>2214</v>
      </c>
      <c r="AA652" s="110" t="s">
        <v>537</v>
      </c>
      <c r="AB652" s="110" t="s">
        <v>244</v>
      </c>
      <c r="AC652" s="110" t="s">
        <v>538</v>
      </c>
      <c r="AD652" s="110" t="n">
        <f aca="false">IF(OR(F652="",Q652="",R652=""),"",ROUND(IF(P652="incl.",F652/(1+Q652),F652)/IF(S652="per pack",R652,1),2))</f>
        <v>34.99</v>
      </c>
      <c r="AE652" s="110" t="str">
        <f aca="false">IF(AND(AC652="yes",ISNUMBER(F652),IF(Compare!$H$5="All mapped",TRUE(),IF(Compare!$H$5="EXACT only",J652="EXACT",OR(J652="EXACT",J652="CLOSE")))),"yes","no")</f>
        <v>yes</v>
      </c>
      <c r="AF652" s="110" t="n">
        <f aca="false">IF(ISNUMBER(H652),COUNTIFS($B$7:$B$3000,B652,$C$7:$C$3000,C652,$H$7:$H$3000,"&lt;"&amp;H652,$AH$7:$AH$3000,"yes")+COUNTIFS($B$7:B652,B652,$C$7:C652,C652,$H$7:H652,H652,$AH$7:AH652,"yes"),"")</f>
        <v>10</v>
      </c>
      <c r="AG652" s="110" t="n">
        <f aca="false">IF(ISNUMBER(I652),COUNTIFS($B$7:$B$3000,B652,$C$7:$C$3000,C652,$I$7:$I$3000,"&lt;"&amp;I652,$AI$7:$AI$3000,"yes")+COUNTIFS($B$7:B652,B652,$C$7:C652,C652,$I$7:I652,I652,$AI$7:AI652,"yes"),"")</f>
        <v>10</v>
      </c>
      <c r="AH652" s="110" t="str">
        <f aca="false">IF(ISNUMBER(H652),"yes","no")</f>
        <v>yes</v>
      </c>
      <c r="AI652" s="110" t="str">
        <f aca="false">IF(ISNUMBER(I652),"yes","no")</f>
        <v>yes</v>
      </c>
      <c r="AJ652" s="120" t="n">
        <v>46297</v>
      </c>
      <c r="AK652" s="110"/>
    </row>
    <row r="653" customFormat="false" ht="34.5" hidden="false" customHeight="true" outlineLevel="0" collapsed="false">
      <c r="B653" s="36" t="s">
        <v>9</v>
      </c>
      <c r="C653" s="98" t="s">
        <v>15</v>
      </c>
      <c r="D653" s="98" t="s">
        <v>288</v>
      </c>
      <c r="E653" s="110" t="s">
        <v>2215</v>
      </c>
      <c r="F653" s="99" t="n">
        <v>10.19</v>
      </c>
      <c r="G653" s="98" t="s">
        <v>244</v>
      </c>
      <c r="H653" s="112" t="n">
        <f aca="false">IF(AND(AE653="yes",ISNUMBER(AD653)),AD653,"")</f>
        <v>10.19</v>
      </c>
      <c r="I653" s="95" t="n">
        <f aca="false">IF(AND(AE653="yes",ISNUMBER(AD653),ISNUMBER(INDEX(Sources!$G$7:$G$10,MATCH(AB653,Sources!$B$7:$B$10,0)))),ROUND(AD653/INDEX(Sources!$G$7:$G$10,MATCH(AB653,Sources!$B$7:$B$10,0)),6),"")</f>
        <v>10.19</v>
      </c>
      <c r="J653" s="98" t="s">
        <v>530</v>
      </c>
      <c r="K653" s="98" t="s">
        <v>2059</v>
      </c>
      <c r="L653" s="96"/>
      <c r="M653" s="110" t="s">
        <v>2216</v>
      </c>
      <c r="N653" s="117" t="s">
        <v>2217</v>
      </c>
      <c r="O653" s="110" t="s">
        <v>733</v>
      </c>
      <c r="P653" s="110" t="s">
        <v>590</v>
      </c>
      <c r="Q653" s="118" t="n">
        <v>0.2</v>
      </c>
      <c r="R653" s="110" t="n">
        <v>1</v>
      </c>
      <c r="S653" s="110" t="s">
        <v>632</v>
      </c>
      <c r="T653" s="110" t="s">
        <v>530</v>
      </c>
      <c r="U653" s="110" t="s">
        <v>2062</v>
      </c>
      <c r="V653" s="119" t="n">
        <v>10.19</v>
      </c>
      <c r="W653" s="119"/>
      <c r="X653" s="110" t="s">
        <v>2063</v>
      </c>
      <c r="Y653" s="110" t="s">
        <v>2064</v>
      </c>
      <c r="Z653" s="110" t="s">
        <v>2218</v>
      </c>
      <c r="AA653" s="110" t="s">
        <v>537</v>
      </c>
      <c r="AB653" s="110" t="s">
        <v>244</v>
      </c>
      <c r="AC653" s="110" t="s">
        <v>538</v>
      </c>
      <c r="AD653" s="110" t="n">
        <f aca="false">IF(OR(F653="",Q653="",R653=""),"",ROUND(IF(P653="incl.",F653/(1+Q653),F653)/IF(S653="per pack",R653,1),2))</f>
        <v>10.19</v>
      </c>
      <c r="AE653" s="110" t="str">
        <f aca="false">IF(AND(AC653="yes",ISNUMBER(F653),IF(Compare!$H$5="All mapped",TRUE(),IF(Compare!$H$5="EXACT only",J653="EXACT",OR(J653="EXACT",J653="CLOSE")))),"yes","no")</f>
        <v>yes</v>
      </c>
      <c r="AF653" s="110" t="n">
        <f aca="false">IF(ISNUMBER(H653),COUNTIFS($B$7:$B$3000,B653,$C$7:$C$3000,C653,$H$7:$H$3000,"&lt;"&amp;H653,$AH$7:$AH$3000,"yes")+COUNTIFS($B$7:B653,B653,$C$7:C653,C653,$H$7:H653,H653,$AH$7:AH653,"yes"),"")</f>
        <v>2</v>
      </c>
      <c r="AG653" s="110" t="n">
        <f aca="false">IF(ISNUMBER(I653),COUNTIFS($B$7:$B$3000,B653,$C$7:$C$3000,C653,$I$7:$I$3000,"&lt;"&amp;I653,$AI$7:$AI$3000,"yes")+COUNTIFS($B$7:B653,B653,$C$7:C653,C653,$I$7:I653,I653,$AI$7:AI653,"yes"),"")</f>
        <v>2</v>
      </c>
      <c r="AH653" s="110" t="str">
        <f aca="false">IF(ISNUMBER(H653),"yes","no")</f>
        <v>yes</v>
      </c>
      <c r="AI653" s="110" t="str">
        <f aca="false">IF(ISNUMBER(I653),"yes","no")</f>
        <v>yes</v>
      </c>
      <c r="AJ653" s="120" t="n">
        <v>46297</v>
      </c>
      <c r="AK653" s="110"/>
    </row>
    <row r="654" customFormat="false" ht="23.25" hidden="false" customHeight="true" outlineLevel="0" collapsed="false">
      <c r="B654" s="36" t="s">
        <v>47</v>
      </c>
      <c r="C654" s="98" t="s">
        <v>15</v>
      </c>
      <c r="D654" s="98" t="s">
        <v>288</v>
      </c>
      <c r="E654" s="110" t="s">
        <v>2219</v>
      </c>
      <c r="F654" s="99" t="n">
        <v>10.39</v>
      </c>
      <c r="G654" s="98" t="s">
        <v>244</v>
      </c>
      <c r="H654" s="112" t="n">
        <f aca="false">IF(AND(AE654="yes",ISNUMBER(AD654)),AD654,"")</f>
        <v>10.39</v>
      </c>
      <c r="I654" s="95" t="n">
        <f aca="false">IF(AND(AE654="yes",ISNUMBER(AD654),ISNUMBER(INDEX(Sources!$G$7:$G$10,MATCH(AB654,Sources!$B$7:$B$10,0)))),ROUND(AD654/INDEX(Sources!$G$7:$G$10,MATCH(AB654,Sources!$B$7:$B$10,0)),6),"")</f>
        <v>10.39</v>
      </c>
      <c r="J654" s="98" t="s">
        <v>530</v>
      </c>
      <c r="K654" s="98" t="s">
        <v>2059</v>
      </c>
      <c r="L654" s="96"/>
      <c r="M654" s="110" t="s">
        <v>2220</v>
      </c>
      <c r="N654" s="117" t="s">
        <v>2221</v>
      </c>
      <c r="O654" s="110" t="s">
        <v>662</v>
      </c>
      <c r="P654" s="110" t="s">
        <v>590</v>
      </c>
      <c r="Q654" s="118" t="n">
        <v>0.2</v>
      </c>
      <c r="R654" s="110" t="n">
        <v>1</v>
      </c>
      <c r="S654" s="110" t="s">
        <v>632</v>
      </c>
      <c r="T654" s="110" t="s">
        <v>530</v>
      </c>
      <c r="U654" s="110" t="s">
        <v>2062</v>
      </c>
      <c r="V654" s="119" t="n">
        <v>10.39</v>
      </c>
      <c r="W654" s="119"/>
      <c r="X654" s="110" t="s">
        <v>2063</v>
      </c>
      <c r="Y654" s="110" t="s">
        <v>2064</v>
      </c>
      <c r="Z654" s="110" t="s">
        <v>2214</v>
      </c>
      <c r="AA654" s="110" t="s">
        <v>537</v>
      </c>
      <c r="AB654" s="110" t="s">
        <v>244</v>
      </c>
      <c r="AC654" s="110" t="s">
        <v>538</v>
      </c>
      <c r="AD654" s="110" t="n">
        <f aca="false">IF(OR(F654="",Q654="",R654=""),"",ROUND(IF(P654="incl.",F654/(1+Q654),F654)/IF(S654="per pack",R654,1),2))</f>
        <v>10.39</v>
      </c>
      <c r="AE654" s="110" t="str">
        <f aca="false">IF(AND(AC654="yes",ISNUMBER(F654),IF(Compare!$H$5="All mapped",TRUE(),IF(Compare!$H$5="EXACT only",J654="EXACT",OR(J654="EXACT",J654="CLOSE")))),"yes","no")</f>
        <v>yes</v>
      </c>
      <c r="AF654" s="110" t="n">
        <f aca="false">IF(ISNUMBER(H654),COUNTIFS($B$7:$B$3000,B654,$C$7:$C$3000,C654,$H$7:$H$3000,"&lt;"&amp;H654,$AH$7:$AH$3000,"yes")+COUNTIFS($B$7:B654,B654,$C$7:C654,C654,$H$7:H654,H654,$AH$7:AH654,"yes"),"")</f>
        <v>5</v>
      </c>
      <c r="AG654" s="110" t="n">
        <f aca="false">IF(ISNUMBER(I654),COUNTIFS($B$7:$B$3000,B654,$C$7:$C$3000,C654,$I$7:$I$3000,"&lt;"&amp;I654,$AI$7:$AI$3000,"yes")+COUNTIFS($B$7:B654,B654,$C$7:C654,C654,$I$7:I654,I654,$AI$7:AI654,"yes"),"")</f>
        <v>5</v>
      </c>
      <c r="AH654" s="110" t="str">
        <f aca="false">IF(ISNUMBER(H654),"yes","no")</f>
        <v>yes</v>
      </c>
      <c r="AI654" s="110" t="str">
        <f aca="false">IF(ISNUMBER(I654),"yes","no")</f>
        <v>yes</v>
      </c>
      <c r="AJ654" s="120" t="n">
        <v>46297</v>
      </c>
      <c r="AK654" s="110"/>
    </row>
    <row r="655" customFormat="false" ht="23.25" hidden="false" customHeight="true" outlineLevel="0" collapsed="false">
      <c r="B655" s="36" t="s">
        <v>43</v>
      </c>
      <c r="C655" s="98" t="s">
        <v>15</v>
      </c>
      <c r="D655" s="98" t="s">
        <v>288</v>
      </c>
      <c r="E655" s="110" t="s">
        <v>2222</v>
      </c>
      <c r="F655" s="99" t="n">
        <v>17.09</v>
      </c>
      <c r="G655" s="98" t="s">
        <v>244</v>
      </c>
      <c r="H655" s="112" t="n">
        <f aca="false">IF(AND(AE655="yes",ISNUMBER(AD655)),AD655,"")</f>
        <v>17.09</v>
      </c>
      <c r="I655" s="95" t="n">
        <f aca="false">IF(AND(AE655="yes",ISNUMBER(AD655),ISNUMBER(INDEX(Sources!$G$7:$G$10,MATCH(AB655,Sources!$B$7:$B$10,0)))),ROUND(AD655/INDEX(Sources!$G$7:$G$10,MATCH(AB655,Sources!$B$7:$B$10,0)),6),"")</f>
        <v>17.09</v>
      </c>
      <c r="J655" s="98" t="s">
        <v>530</v>
      </c>
      <c r="K655" s="98" t="s">
        <v>2059</v>
      </c>
      <c r="L655" s="96"/>
      <c r="M655" s="110" t="s">
        <v>2223</v>
      </c>
      <c r="N655" s="117" t="s">
        <v>2224</v>
      </c>
      <c r="O655" s="110" t="s">
        <v>589</v>
      </c>
      <c r="P655" s="110" t="s">
        <v>590</v>
      </c>
      <c r="Q655" s="118" t="n">
        <v>0.2</v>
      </c>
      <c r="R655" s="110" t="n">
        <v>1</v>
      </c>
      <c r="S655" s="110" t="s">
        <v>632</v>
      </c>
      <c r="T655" s="110" t="s">
        <v>530</v>
      </c>
      <c r="U655" s="110" t="s">
        <v>2062</v>
      </c>
      <c r="V655" s="119" t="n">
        <v>17.09</v>
      </c>
      <c r="W655" s="119"/>
      <c r="X655" s="110" t="s">
        <v>2063</v>
      </c>
      <c r="Y655" s="110" t="s">
        <v>2064</v>
      </c>
      <c r="Z655" s="110" t="s">
        <v>2214</v>
      </c>
      <c r="AA655" s="110" t="s">
        <v>537</v>
      </c>
      <c r="AB655" s="110" t="s">
        <v>244</v>
      </c>
      <c r="AC655" s="110" t="s">
        <v>538</v>
      </c>
      <c r="AD655" s="110" t="n">
        <f aca="false">IF(OR(F655="",Q655="",R655=""),"",ROUND(IF(P655="incl.",F655/(1+Q655),F655)/IF(S655="per pack",R655,1),2))</f>
        <v>17.09</v>
      </c>
      <c r="AE655" s="110" t="str">
        <f aca="false">IF(AND(AC655="yes",ISNUMBER(F655),IF(Compare!$H$5="All mapped",TRUE(),IF(Compare!$H$5="EXACT only",J655="EXACT",OR(J655="EXACT",J655="CLOSE")))),"yes","no")</f>
        <v>yes</v>
      </c>
      <c r="AF655" s="110" t="n">
        <f aca="false">IF(ISNUMBER(H655),COUNTIFS($B$7:$B$3000,B655,$C$7:$C$3000,C655,$H$7:$H$3000,"&lt;"&amp;H655,$AH$7:$AH$3000,"yes")+COUNTIFS($B$7:B655,B655,$C$7:C655,C655,$H$7:H655,H655,$AH$7:AH655,"yes"),"")</f>
        <v>6</v>
      </c>
      <c r="AG655" s="110" t="n">
        <f aca="false">IF(ISNUMBER(I655),COUNTIFS($B$7:$B$3000,B655,$C$7:$C$3000,C655,$I$7:$I$3000,"&lt;"&amp;I655,$AI$7:$AI$3000,"yes")+COUNTIFS($B$7:B655,B655,$C$7:C655,C655,$I$7:I655,I655,$AI$7:AI655,"yes"),"")</f>
        <v>6</v>
      </c>
      <c r="AH655" s="110" t="str">
        <f aca="false">IF(ISNUMBER(H655),"yes","no")</f>
        <v>yes</v>
      </c>
      <c r="AI655" s="110" t="str">
        <f aca="false">IF(ISNUMBER(I655),"yes","no")</f>
        <v>yes</v>
      </c>
      <c r="AJ655" s="120" t="n">
        <v>46297</v>
      </c>
      <c r="AK655" s="110"/>
    </row>
    <row r="656" customFormat="false" ht="23.25" hidden="false" customHeight="true" outlineLevel="0" collapsed="false">
      <c r="B656" s="36" t="s">
        <v>24</v>
      </c>
      <c r="C656" s="98" t="s">
        <v>15</v>
      </c>
      <c r="D656" s="98" t="s">
        <v>288</v>
      </c>
      <c r="E656" s="110" t="s">
        <v>2225</v>
      </c>
      <c r="F656" s="99" t="n">
        <v>5.09</v>
      </c>
      <c r="G656" s="98" t="s">
        <v>244</v>
      </c>
      <c r="H656" s="112" t="n">
        <f aca="false">IF(AND(AE656="yes",ISNUMBER(AD656)),AD656,"")</f>
        <v>5.09</v>
      </c>
      <c r="I656" s="95" t="n">
        <f aca="false">IF(AND(AE656="yes",ISNUMBER(AD656),ISNUMBER(INDEX(Sources!$G$7:$G$10,MATCH(AB656,Sources!$B$7:$B$10,0)))),ROUND(AD656/INDEX(Sources!$G$7:$G$10,MATCH(AB656,Sources!$B$7:$B$10,0)),6),"")</f>
        <v>5.09</v>
      </c>
      <c r="J656" s="98" t="s">
        <v>530</v>
      </c>
      <c r="K656" s="98" t="s">
        <v>2059</v>
      </c>
      <c r="L656" s="96"/>
      <c r="M656" s="110" t="s">
        <v>2226</v>
      </c>
      <c r="N656" s="117" t="s">
        <v>2227</v>
      </c>
      <c r="O656" s="110" t="s">
        <v>662</v>
      </c>
      <c r="P656" s="110" t="s">
        <v>590</v>
      </c>
      <c r="Q656" s="118" t="n">
        <v>0.2</v>
      </c>
      <c r="R656" s="110" t="n">
        <v>1</v>
      </c>
      <c r="S656" s="110" t="s">
        <v>632</v>
      </c>
      <c r="T656" s="110" t="s">
        <v>530</v>
      </c>
      <c r="U656" s="110" t="s">
        <v>2062</v>
      </c>
      <c r="V656" s="119" t="n">
        <v>5.09</v>
      </c>
      <c r="W656" s="119"/>
      <c r="X656" s="110" t="s">
        <v>2063</v>
      </c>
      <c r="Y656" s="110" t="s">
        <v>2064</v>
      </c>
      <c r="Z656" s="110" t="s">
        <v>2214</v>
      </c>
      <c r="AA656" s="110" t="s">
        <v>537</v>
      </c>
      <c r="AB656" s="110" t="s">
        <v>244</v>
      </c>
      <c r="AC656" s="110" t="s">
        <v>538</v>
      </c>
      <c r="AD656" s="110" t="n">
        <f aca="false">IF(OR(F656="",Q656="",R656=""),"",ROUND(IF(P656="incl.",F656/(1+Q656),F656)/IF(S656="per pack",R656,1),2))</f>
        <v>5.09</v>
      </c>
      <c r="AE656" s="110" t="str">
        <f aca="false">IF(AND(AC656="yes",ISNUMBER(F656),IF(Compare!$H$5="All mapped",TRUE(),IF(Compare!$H$5="EXACT only",J656="EXACT",OR(J656="EXACT",J656="CLOSE")))),"yes","no")</f>
        <v>yes</v>
      </c>
      <c r="AF656" s="110" t="n">
        <f aca="false">IF(ISNUMBER(H656),COUNTIFS($B$7:$B$3000,B656,$C$7:$C$3000,C656,$H$7:$H$3000,"&lt;"&amp;H656,$AH$7:$AH$3000,"yes")+COUNTIFS($B$7:B656,B656,$C$7:C656,C656,$H$7:H656,H656,$AH$7:AH656,"yes"),"")</f>
        <v>3</v>
      </c>
      <c r="AG656" s="110" t="n">
        <f aca="false">IF(ISNUMBER(I656),COUNTIFS($B$7:$B$3000,B656,$C$7:$C$3000,C656,$I$7:$I$3000,"&lt;"&amp;I656,$AI$7:$AI$3000,"yes")+COUNTIFS($B$7:B656,B656,$C$7:C656,C656,$I$7:I656,I656,$AI$7:AI656,"yes"),"")</f>
        <v>3</v>
      </c>
      <c r="AH656" s="110" t="str">
        <f aca="false">IF(ISNUMBER(H656),"yes","no")</f>
        <v>yes</v>
      </c>
      <c r="AI656" s="110" t="str">
        <f aca="false">IF(ISNUMBER(I656),"yes","no")</f>
        <v>yes</v>
      </c>
      <c r="AJ656" s="120" t="n">
        <v>46297</v>
      </c>
      <c r="AK656" s="110"/>
    </row>
    <row r="657" customFormat="false" ht="23.25" hidden="false" customHeight="true" outlineLevel="0" collapsed="false">
      <c r="B657" s="36" t="s">
        <v>22</v>
      </c>
      <c r="C657" s="98" t="s">
        <v>15</v>
      </c>
      <c r="D657" s="98" t="s">
        <v>288</v>
      </c>
      <c r="E657" s="110" t="s">
        <v>2228</v>
      </c>
      <c r="F657" s="99" t="n">
        <v>11.4</v>
      </c>
      <c r="G657" s="98" t="s">
        <v>244</v>
      </c>
      <c r="H657" s="112" t="n">
        <f aca="false">IF(AND(AE657="yes",ISNUMBER(AD657)),AD657,"")</f>
        <v>11.4</v>
      </c>
      <c r="I657" s="95" t="n">
        <f aca="false">IF(AND(AE657="yes",ISNUMBER(AD657),ISNUMBER(INDEX(Sources!$G$7:$G$10,MATCH(AB657,Sources!$B$7:$B$10,0)))),ROUND(AD657/INDEX(Sources!$G$7:$G$10,MATCH(AB657,Sources!$B$7:$B$10,0)),6),"")</f>
        <v>11.4</v>
      </c>
      <c r="J657" s="98" t="s">
        <v>530</v>
      </c>
      <c r="K657" s="98" t="s">
        <v>2059</v>
      </c>
      <c r="L657" s="96"/>
      <c r="M657" s="110" t="s">
        <v>2229</v>
      </c>
      <c r="N657" s="117" t="s">
        <v>2230</v>
      </c>
      <c r="O657" s="110" t="s">
        <v>662</v>
      </c>
      <c r="P657" s="110" t="s">
        <v>590</v>
      </c>
      <c r="Q657" s="118" t="n">
        <v>0.2</v>
      </c>
      <c r="R657" s="110" t="n">
        <v>1</v>
      </c>
      <c r="S657" s="110" t="s">
        <v>632</v>
      </c>
      <c r="T657" s="110" t="s">
        <v>530</v>
      </c>
      <c r="U657" s="110" t="s">
        <v>2062</v>
      </c>
      <c r="V657" s="119" t="n">
        <v>11.4</v>
      </c>
      <c r="W657" s="119"/>
      <c r="X657" s="110" t="s">
        <v>2063</v>
      </c>
      <c r="Y657" s="110" t="s">
        <v>2064</v>
      </c>
      <c r="Z657" s="110" t="s">
        <v>2214</v>
      </c>
      <c r="AA657" s="110" t="s">
        <v>537</v>
      </c>
      <c r="AB657" s="110" t="s">
        <v>244</v>
      </c>
      <c r="AC657" s="110" t="s">
        <v>538</v>
      </c>
      <c r="AD657" s="110" t="n">
        <f aca="false">IF(OR(F657="",Q657="",R657=""),"",ROUND(IF(P657="incl.",F657/(1+Q657),F657)/IF(S657="per pack",R657,1),2))</f>
        <v>11.4</v>
      </c>
      <c r="AE657" s="110" t="str">
        <f aca="false">IF(AND(AC657="yes",ISNUMBER(F657),IF(Compare!$H$5="All mapped",TRUE(),IF(Compare!$H$5="EXACT only",J657="EXACT",OR(J657="EXACT",J657="CLOSE")))),"yes","no")</f>
        <v>yes</v>
      </c>
      <c r="AF657" s="110" t="n">
        <f aca="false">IF(ISNUMBER(H657),COUNTIFS($B$7:$B$3000,B657,$C$7:$C$3000,C657,$H$7:$H$3000,"&lt;"&amp;H657,$AH$7:$AH$3000,"yes")+COUNTIFS($B$7:B657,B657,$C$7:C657,C657,$H$7:H657,H657,$AH$7:AH657,"yes"),"")</f>
        <v>6</v>
      </c>
      <c r="AG657" s="110" t="n">
        <f aca="false">IF(ISNUMBER(I657),COUNTIFS($B$7:$B$3000,B657,$C$7:$C$3000,C657,$I$7:$I$3000,"&lt;"&amp;I657,$AI$7:$AI$3000,"yes")+COUNTIFS($B$7:B657,B657,$C$7:C657,C657,$I$7:I657,I657,$AI$7:AI657,"yes"),"")</f>
        <v>6</v>
      </c>
      <c r="AH657" s="110" t="str">
        <f aca="false">IF(ISNUMBER(H657),"yes","no")</f>
        <v>yes</v>
      </c>
      <c r="AI657" s="110" t="str">
        <f aca="false">IF(ISNUMBER(I657),"yes","no")</f>
        <v>yes</v>
      </c>
      <c r="AJ657" s="120" t="n">
        <v>46297</v>
      </c>
      <c r="AK657" s="110"/>
    </row>
    <row r="658" customFormat="false" ht="23.25" hidden="false" customHeight="true" outlineLevel="0" collapsed="false">
      <c r="B658" s="36" t="s">
        <v>46</v>
      </c>
      <c r="C658" s="98" t="s">
        <v>15</v>
      </c>
      <c r="D658" s="98" t="s">
        <v>288</v>
      </c>
      <c r="E658" s="110" t="s">
        <v>2231</v>
      </c>
      <c r="F658" s="99" t="n">
        <v>6.99</v>
      </c>
      <c r="G658" s="98" t="s">
        <v>244</v>
      </c>
      <c r="H658" s="112" t="n">
        <f aca="false">IF(AND(AE658="yes",ISNUMBER(AD658)),AD658,"")</f>
        <v>6.99</v>
      </c>
      <c r="I658" s="95" t="n">
        <f aca="false">IF(AND(AE658="yes",ISNUMBER(AD658),ISNUMBER(INDEX(Sources!$G$7:$G$10,MATCH(AB658,Sources!$B$7:$B$10,0)))),ROUND(AD658/INDEX(Sources!$G$7:$G$10,MATCH(AB658,Sources!$B$7:$B$10,0)),6),"")</f>
        <v>6.99</v>
      </c>
      <c r="J658" s="98" t="s">
        <v>530</v>
      </c>
      <c r="K658" s="98" t="s">
        <v>2059</v>
      </c>
      <c r="L658" s="96"/>
      <c r="M658" s="110" t="s">
        <v>2232</v>
      </c>
      <c r="N658" s="117" t="s">
        <v>2233</v>
      </c>
      <c r="O658" s="110" t="s">
        <v>662</v>
      </c>
      <c r="P658" s="110" t="s">
        <v>590</v>
      </c>
      <c r="Q658" s="118" t="n">
        <v>0.2</v>
      </c>
      <c r="R658" s="110" t="n">
        <v>1</v>
      </c>
      <c r="S658" s="110" t="s">
        <v>632</v>
      </c>
      <c r="T658" s="110" t="s">
        <v>530</v>
      </c>
      <c r="U658" s="110" t="s">
        <v>2062</v>
      </c>
      <c r="V658" s="119" t="n">
        <v>6.99</v>
      </c>
      <c r="W658" s="119"/>
      <c r="X658" s="110" t="s">
        <v>2063</v>
      </c>
      <c r="Y658" s="110" t="s">
        <v>2064</v>
      </c>
      <c r="Z658" s="110" t="s">
        <v>2214</v>
      </c>
      <c r="AA658" s="110" t="s">
        <v>537</v>
      </c>
      <c r="AB658" s="110" t="s">
        <v>244</v>
      </c>
      <c r="AC658" s="110" t="s">
        <v>538</v>
      </c>
      <c r="AD658" s="110" t="n">
        <f aca="false">IF(OR(F658="",Q658="",R658=""),"",ROUND(IF(P658="incl.",F658/(1+Q658),F658)/IF(S658="per pack",R658,1),2))</f>
        <v>6.99</v>
      </c>
      <c r="AE658" s="110" t="str">
        <f aca="false">IF(AND(AC658="yes",ISNUMBER(F658),IF(Compare!$H$5="All mapped",TRUE(),IF(Compare!$H$5="EXACT only",J658="EXACT",OR(J658="EXACT",J658="CLOSE")))),"yes","no")</f>
        <v>yes</v>
      </c>
      <c r="AF658" s="110" t="n">
        <f aca="false">IF(ISNUMBER(H658),COUNTIFS($B$7:$B$3000,B658,$C$7:$C$3000,C658,$H$7:$H$3000,"&lt;"&amp;H658,$AH$7:$AH$3000,"yes")+COUNTIFS($B$7:B658,B658,$C$7:C658,C658,$H$7:H658,H658,$AH$7:AH658,"yes"),"")</f>
        <v>6</v>
      </c>
      <c r="AG658" s="110" t="n">
        <f aca="false">IF(ISNUMBER(I658),COUNTIFS($B$7:$B$3000,B658,$C$7:$C$3000,C658,$I$7:$I$3000,"&lt;"&amp;I658,$AI$7:$AI$3000,"yes")+COUNTIFS($B$7:B658,B658,$C$7:C658,C658,$I$7:I658,I658,$AI$7:AI658,"yes"),"")</f>
        <v>6</v>
      </c>
      <c r="AH658" s="110" t="str">
        <f aca="false">IF(ISNUMBER(H658),"yes","no")</f>
        <v>yes</v>
      </c>
      <c r="AI658" s="110" t="str">
        <f aca="false">IF(ISNUMBER(I658),"yes","no")</f>
        <v>yes</v>
      </c>
      <c r="AJ658" s="120" t="n">
        <v>46297</v>
      </c>
      <c r="AK658" s="110"/>
    </row>
    <row r="659" customFormat="false" ht="23.25" hidden="false" customHeight="true" outlineLevel="0" collapsed="false">
      <c r="B659" s="36" t="s">
        <v>45</v>
      </c>
      <c r="C659" s="98" t="s">
        <v>15</v>
      </c>
      <c r="D659" s="98" t="s">
        <v>288</v>
      </c>
      <c r="E659" s="110" t="s">
        <v>2234</v>
      </c>
      <c r="F659" s="99" t="n">
        <v>7.69</v>
      </c>
      <c r="G659" s="98" t="s">
        <v>244</v>
      </c>
      <c r="H659" s="112" t="n">
        <f aca="false">IF(AND(AE659="yes",ISNUMBER(AD659)),AD659,"")</f>
        <v>7.69</v>
      </c>
      <c r="I659" s="95" t="n">
        <f aca="false">IF(AND(AE659="yes",ISNUMBER(AD659),ISNUMBER(INDEX(Sources!$G$7:$G$10,MATCH(AB659,Sources!$B$7:$B$10,0)))),ROUND(AD659/INDEX(Sources!$G$7:$G$10,MATCH(AB659,Sources!$B$7:$B$10,0)),6),"")</f>
        <v>7.69</v>
      </c>
      <c r="J659" s="98" t="s">
        <v>530</v>
      </c>
      <c r="K659" s="98" t="s">
        <v>2059</v>
      </c>
      <c r="L659" s="96"/>
      <c r="M659" s="110" t="s">
        <v>2235</v>
      </c>
      <c r="N659" s="117" t="s">
        <v>2236</v>
      </c>
      <c r="O659" s="110" t="s">
        <v>662</v>
      </c>
      <c r="P659" s="110" t="s">
        <v>590</v>
      </c>
      <c r="Q659" s="118" t="n">
        <v>0.2</v>
      </c>
      <c r="R659" s="110" t="n">
        <v>1</v>
      </c>
      <c r="S659" s="110" t="s">
        <v>632</v>
      </c>
      <c r="T659" s="110" t="s">
        <v>530</v>
      </c>
      <c r="U659" s="110" t="s">
        <v>2062</v>
      </c>
      <c r="V659" s="119" t="n">
        <v>7.69</v>
      </c>
      <c r="W659" s="119"/>
      <c r="X659" s="110" t="s">
        <v>2063</v>
      </c>
      <c r="Y659" s="110" t="s">
        <v>2064</v>
      </c>
      <c r="Z659" s="110" t="s">
        <v>2214</v>
      </c>
      <c r="AA659" s="110" t="s">
        <v>537</v>
      </c>
      <c r="AB659" s="110" t="s">
        <v>244</v>
      </c>
      <c r="AC659" s="110" t="s">
        <v>538</v>
      </c>
      <c r="AD659" s="110" t="n">
        <f aca="false">IF(OR(F659="",Q659="",R659=""),"",ROUND(IF(P659="incl.",F659/(1+Q659),F659)/IF(S659="per pack",R659,1),2))</f>
        <v>7.69</v>
      </c>
      <c r="AE659" s="110" t="str">
        <f aca="false">IF(AND(AC659="yes",ISNUMBER(F659),IF(Compare!$H$5="All mapped",TRUE(),IF(Compare!$H$5="EXACT only",J659="EXACT",OR(J659="EXACT",J659="CLOSE")))),"yes","no")</f>
        <v>yes</v>
      </c>
      <c r="AF659" s="110" t="n">
        <f aca="false">IF(ISNUMBER(H659),COUNTIFS($B$7:$B$3000,B659,$C$7:$C$3000,C659,$H$7:$H$3000,"&lt;"&amp;H659,$AH$7:$AH$3000,"yes")+COUNTIFS($B$7:B659,B659,$C$7:C659,C659,$H$7:H659,H659,$AH$7:AH659,"yes"),"")</f>
        <v>6</v>
      </c>
      <c r="AG659" s="110" t="n">
        <f aca="false">IF(ISNUMBER(I659),COUNTIFS($B$7:$B$3000,B659,$C$7:$C$3000,C659,$I$7:$I$3000,"&lt;"&amp;I659,$AI$7:$AI$3000,"yes")+COUNTIFS($B$7:B659,B659,$C$7:C659,C659,$I$7:I659,I659,$AI$7:AI659,"yes"),"")</f>
        <v>6</v>
      </c>
      <c r="AH659" s="110" t="str">
        <f aca="false">IF(ISNUMBER(H659),"yes","no")</f>
        <v>yes</v>
      </c>
      <c r="AI659" s="110" t="str">
        <f aca="false">IF(ISNUMBER(I659),"yes","no")</f>
        <v>yes</v>
      </c>
      <c r="AJ659" s="120" t="n">
        <v>46297</v>
      </c>
      <c r="AK659" s="110"/>
    </row>
    <row r="660" customFormat="false" ht="23.25" hidden="false" customHeight="true" outlineLevel="0" collapsed="false">
      <c r="B660" s="36" t="s">
        <v>23</v>
      </c>
      <c r="C660" s="98" t="s">
        <v>15</v>
      </c>
      <c r="D660" s="98" t="s">
        <v>288</v>
      </c>
      <c r="E660" s="110" t="s">
        <v>2237</v>
      </c>
      <c r="F660" s="99" t="n">
        <v>4.79</v>
      </c>
      <c r="G660" s="98" t="s">
        <v>244</v>
      </c>
      <c r="H660" s="112" t="n">
        <f aca="false">IF(AND(AE660="yes",ISNUMBER(AD660)),AD660,"")</f>
        <v>4.79</v>
      </c>
      <c r="I660" s="95" t="n">
        <f aca="false">IF(AND(AE660="yes",ISNUMBER(AD660),ISNUMBER(INDEX(Sources!$G$7:$G$10,MATCH(AB660,Sources!$B$7:$B$10,0)))),ROUND(AD660/INDEX(Sources!$G$7:$G$10,MATCH(AB660,Sources!$B$7:$B$10,0)),6),"")</f>
        <v>4.79</v>
      </c>
      <c r="J660" s="98" t="s">
        <v>530</v>
      </c>
      <c r="K660" s="98" t="s">
        <v>2059</v>
      </c>
      <c r="L660" s="96"/>
      <c r="M660" s="110" t="s">
        <v>2238</v>
      </c>
      <c r="N660" s="117" t="s">
        <v>2239</v>
      </c>
      <c r="O660" s="110" t="s">
        <v>662</v>
      </c>
      <c r="P660" s="110" t="s">
        <v>590</v>
      </c>
      <c r="Q660" s="118" t="n">
        <v>0.2</v>
      </c>
      <c r="R660" s="110" t="n">
        <v>1</v>
      </c>
      <c r="S660" s="110" t="s">
        <v>632</v>
      </c>
      <c r="T660" s="110" t="s">
        <v>530</v>
      </c>
      <c r="U660" s="110" t="s">
        <v>2062</v>
      </c>
      <c r="V660" s="119" t="n">
        <v>4.79</v>
      </c>
      <c r="W660" s="119"/>
      <c r="X660" s="110" t="s">
        <v>2063</v>
      </c>
      <c r="Y660" s="110" t="s">
        <v>2064</v>
      </c>
      <c r="Z660" s="110" t="s">
        <v>2214</v>
      </c>
      <c r="AA660" s="110" t="s">
        <v>537</v>
      </c>
      <c r="AB660" s="110" t="s">
        <v>244</v>
      </c>
      <c r="AC660" s="110" t="s">
        <v>538</v>
      </c>
      <c r="AD660" s="110" t="n">
        <f aca="false">IF(OR(F660="",Q660="",R660=""),"",ROUND(IF(P660="incl.",F660/(1+Q660),F660)/IF(S660="per pack",R660,1),2))</f>
        <v>4.79</v>
      </c>
      <c r="AE660" s="110" t="str">
        <f aca="false">IF(AND(AC660="yes",ISNUMBER(F660),IF(Compare!$H$5="All mapped",TRUE(),IF(Compare!$H$5="EXACT only",J660="EXACT",OR(J660="EXACT",J660="CLOSE")))),"yes","no")</f>
        <v>yes</v>
      </c>
      <c r="AF660" s="110" t="n">
        <f aca="false">IF(ISNUMBER(H660),COUNTIFS($B$7:$B$3000,B660,$C$7:$C$3000,C660,$H$7:$H$3000,"&lt;"&amp;H660,$AH$7:$AH$3000,"yes")+COUNTIFS($B$7:B660,B660,$C$7:C660,C660,$H$7:H660,H660,$AH$7:AH660,"yes"),"")</f>
        <v>5</v>
      </c>
      <c r="AG660" s="110" t="n">
        <f aca="false">IF(ISNUMBER(I660),COUNTIFS($B$7:$B$3000,B660,$C$7:$C$3000,C660,$I$7:$I$3000,"&lt;"&amp;I660,$AI$7:$AI$3000,"yes")+COUNTIFS($B$7:B660,B660,$C$7:C660,C660,$I$7:I660,I660,$AI$7:AI660,"yes"),"")</f>
        <v>5</v>
      </c>
      <c r="AH660" s="110" t="str">
        <f aca="false">IF(ISNUMBER(H660),"yes","no")</f>
        <v>yes</v>
      </c>
      <c r="AI660" s="110" t="str">
        <f aca="false">IF(ISNUMBER(I660),"yes","no")</f>
        <v>yes</v>
      </c>
      <c r="AJ660" s="120" t="n">
        <v>46297</v>
      </c>
      <c r="AK660" s="110"/>
    </row>
    <row r="661" customFormat="false" ht="23.25" hidden="false" customHeight="true" outlineLevel="0" collapsed="false">
      <c r="B661" s="36" t="s">
        <v>61</v>
      </c>
      <c r="C661" s="98" t="s">
        <v>15</v>
      </c>
      <c r="D661" s="98" t="s">
        <v>288</v>
      </c>
      <c r="E661" s="110" t="s">
        <v>2240</v>
      </c>
      <c r="F661" s="99" t="n">
        <v>2.59</v>
      </c>
      <c r="G661" s="98" t="s">
        <v>244</v>
      </c>
      <c r="H661" s="112" t="n">
        <f aca="false">IF(AND(AE661="yes",ISNUMBER(AD661)),AD661,"")</f>
        <v>2.59</v>
      </c>
      <c r="I661" s="95" t="n">
        <f aca="false">IF(AND(AE661="yes",ISNUMBER(AD661),ISNUMBER(INDEX(Sources!$G$7:$G$10,MATCH(AB661,Sources!$B$7:$B$10,0)))),ROUND(AD661/INDEX(Sources!$G$7:$G$10,MATCH(AB661,Sources!$B$7:$B$10,0)),6),"")</f>
        <v>2.59</v>
      </c>
      <c r="J661" s="98" t="s">
        <v>530</v>
      </c>
      <c r="K661" s="98" t="s">
        <v>2059</v>
      </c>
      <c r="L661" s="96"/>
      <c r="M661" s="110" t="s">
        <v>2241</v>
      </c>
      <c r="N661" s="117" t="s">
        <v>2242</v>
      </c>
      <c r="O661" s="110" t="s">
        <v>662</v>
      </c>
      <c r="P661" s="110" t="s">
        <v>590</v>
      </c>
      <c r="Q661" s="118" t="n">
        <v>0.2</v>
      </c>
      <c r="R661" s="110" t="n">
        <v>1</v>
      </c>
      <c r="S661" s="110" t="s">
        <v>632</v>
      </c>
      <c r="T661" s="110" t="s">
        <v>530</v>
      </c>
      <c r="U661" s="110" t="s">
        <v>2062</v>
      </c>
      <c r="V661" s="119" t="n">
        <v>2.59</v>
      </c>
      <c r="W661" s="119"/>
      <c r="X661" s="110" t="s">
        <v>2063</v>
      </c>
      <c r="Y661" s="110" t="s">
        <v>2064</v>
      </c>
      <c r="Z661" s="110" t="s">
        <v>2214</v>
      </c>
      <c r="AA661" s="110" t="s">
        <v>537</v>
      </c>
      <c r="AB661" s="110" t="s">
        <v>244</v>
      </c>
      <c r="AC661" s="110" t="s">
        <v>538</v>
      </c>
      <c r="AD661" s="110" t="n">
        <f aca="false">IF(OR(F661="",Q661="",R661=""),"",ROUND(IF(P661="incl.",F661/(1+Q661),F661)/IF(S661="per pack",R661,1),2))</f>
        <v>2.59</v>
      </c>
      <c r="AE661" s="110" t="str">
        <f aca="false">IF(AND(AC661="yes",ISNUMBER(F661),IF(Compare!$H$5="All mapped",TRUE(),IF(Compare!$H$5="EXACT only",J661="EXACT",OR(J661="EXACT",J661="CLOSE")))),"yes","no")</f>
        <v>yes</v>
      </c>
      <c r="AF661" s="110" t="n">
        <f aca="false">IF(ISNUMBER(H661),COUNTIFS($B$7:$B$3000,B661,$C$7:$C$3000,C661,$H$7:$H$3000,"&lt;"&amp;H661,$AH$7:$AH$3000,"yes")+COUNTIFS($B$7:B661,B661,$C$7:C661,C661,$H$7:H661,H661,$AH$7:AH661,"yes"),"")</f>
        <v>2</v>
      </c>
      <c r="AG661" s="110" t="n">
        <f aca="false">IF(ISNUMBER(I661),COUNTIFS($B$7:$B$3000,B661,$C$7:$C$3000,C661,$I$7:$I$3000,"&lt;"&amp;I661,$AI$7:$AI$3000,"yes")+COUNTIFS($B$7:B661,B661,$C$7:C661,C661,$I$7:I661,I661,$AI$7:AI661,"yes"),"")</f>
        <v>2</v>
      </c>
      <c r="AH661" s="110" t="str">
        <f aca="false">IF(ISNUMBER(H661),"yes","no")</f>
        <v>yes</v>
      </c>
      <c r="AI661" s="110" t="str">
        <f aca="false">IF(ISNUMBER(I661),"yes","no")</f>
        <v>yes</v>
      </c>
      <c r="AJ661" s="120" t="n">
        <v>46297</v>
      </c>
      <c r="AK661" s="110"/>
    </row>
    <row r="662" customFormat="false" ht="23.25" hidden="false" customHeight="true" outlineLevel="0" collapsed="false">
      <c r="B662" s="36" t="s">
        <v>59</v>
      </c>
      <c r="C662" s="98" t="s">
        <v>15</v>
      </c>
      <c r="D662" s="98" t="s">
        <v>288</v>
      </c>
      <c r="E662" s="110" t="s">
        <v>2243</v>
      </c>
      <c r="F662" s="99" t="n">
        <v>4.69</v>
      </c>
      <c r="G662" s="98" t="s">
        <v>244</v>
      </c>
      <c r="H662" s="112" t="n">
        <f aca="false">IF(AND(AE662="yes",ISNUMBER(AD662)),AD662,"")</f>
        <v>4.69</v>
      </c>
      <c r="I662" s="95" t="n">
        <f aca="false">IF(AND(AE662="yes",ISNUMBER(AD662),ISNUMBER(INDEX(Sources!$G$7:$G$10,MATCH(AB662,Sources!$B$7:$B$10,0)))),ROUND(AD662/INDEX(Sources!$G$7:$G$10,MATCH(AB662,Sources!$B$7:$B$10,0)),6),"")</f>
        <v>4.69</v>
      </c>
      <c r="J662" s="98" t="s">
        <v>530</v>
      </c>
      <c r="K662" s="98" t="s">
        <v>2059</v>
      </c>
      <c r="L662" s="96"/>
      <c r="M662" s="110" t="s">
        <v>2244</v>
      </c>
      <c r="N662" s="117" t="s">
        <v>2245</v>
      </c>
      <c r="O662" s="110" t="s">
        <v>662</v>
      </c>
      <c r="P662" s="110" t="s">
        <v>590</v>
      </c>
      <c r="Q662" s="118" t="n">
        <v>0.2</v>
      </c>
      <c r="R662" s="110" t="n">
        <v>1</v>
      </c>
      <c r="S662" s="110" t="s">
        <v>632</v>
      </c>
      <c r="T662" s="110" t="s">
        <v>530</v>
      </c>
      <c r="U662" s="110" t="s">
        <v>2062</v>
      </c>
      <c r="V662" s="119" t="n">
        <v>4.69</v>
      </c>
      <c r="W662" s="119"/>
      <c r="X662" s="110" t="s">
        <v>2063</v>
      </c>
      <c r="Y662" s="110" t="s">
        <v>2064</v>
      </c>
      <c r="Z662" s="110" t="s">
        <v>2214</v>
      </c>
      <c r="AA662" s="110" t="s">
        <v>537</v>
      </c>
      <c r="AB662" s="110" t="s">
        <v>244</v>
      </c>
      <c r="AC662" s="110" t="s">
        <v>538</v>
      </c>
      <c r="AD662" s="110" t="n">
        <f aca="false">IF(OR(F662="",Q662="",R662=""),"",ROUND(IF(P662="incl.",F662/(1+Q662),F662)/IF(S662="per pack",R662,1),2))</f>
        <v>4.69</v>
      </c>
      <c r="AE662" s="110" t="str">
        <f aca="false">IF(AND(AC662="yes",ISNUMBER(F662),IF(Compare!$H$5="All mapped",TRUE(),IF(Compare!$H$5="EXACT only",J662="EXACT",OR(J662="EXACT",J662="CLOSE")))),"yes","no")</f>
        <v>yes</v>
      </c>
      <c r="AF662" s="110" t="n">
        <f aca="false">IF(ISNUMBER(H662),COUNTIFS($B$7:$B$3000,B662,$C$7:$C$3000,C662,$H$7:$H$3000,"&lt;"&amp;H662,$AH$7:$AH$3000,"yes")+COUNTIFS($B$7:B662,B662,$C$7:C662,C662,$H$7:H662,H662,$AH$7:AH662,"yes"),"")</f>
        <v>7</v>
      </c>
      <c r="AG662" s="110" t="n">
        <f aca="false">IF(ISNUMBER(I662),COUNTIFS($B$7:$B$3000,B662,$C$7:$C$3000,C662,$I$7:$I$3000,"&lt;"&amp;I662,$AI$7:$AI$3000,"yes")+COUNTIFS($B$7:B662,B662,$C$7:C662,C662,$I$7:I662,I662,$AI$7:AI662,"yes"),"")</f>
        <v>7</v>
      </c>
      <c r="AH662" s="110" t="str">
        <f aca="false">IF(ISNUMBER(H662),"yes","no")</f>
        <v>yes</v>
      </c>
      <c r="AI662" s="110" t="str">
        <f aca="false">IF(ISNUMBER(I662),"yes","no")</f>
        <v>yes</v>
      </c>
      <c r="AJ662" s="120" t="n">
        <v>46297</v>
      </c>
      <c r="AK662" s="110"/>
    </row>
    <row r="663" customFormat="false" ht="23.25" hidden="false" customHeight="true" outlineLevel="0" collapsed="false">
      <c r="B663" s="36" t="s">
        <v>49</v>
      </c>
      <c r="C663" s="98" t="s">
        <v>15</v>
      </c>
      <c r="D663" s="98" t="s">
        <v>288</v>
      </c>
      <c r="E663" s="110" t="s">
        <v>2246</v>
      </c>
      <c r="F663" s="99" t="n">
        <v>3.3</v>
      </c>
      <c r="G663" s="98" t="s">
        <v>244</v>
      </c>
      <c r="H663" s="112" t="n">
        <f aca="false">IF(AND(AE663="yes",ISNUMBER(AD663)),AD663,"")</f>
        <v>3.3</v>
      </c>
      <c r="I663" s="95" t="n">
        <f aca="false">IF(AND(AE663="yes",ISNUMBER(AD663),ISNUMBER(INDEX(Sources!$G$7:$G$10,MATCH(AB663,Sources!$B$7:$B$10,0)))),ROUND(AD663/INDEX(Sources!$G$7:$G$10,MATCH(AB663,Sources!$B$7:$B$10,0)),6),"")</f>
        <v>3.3</v>
      </c>
      <c r="J663" s="98" t="s">
        <v>530</v>
      </c>
      <c r="K663" s="98" t="s">
        <v>2059</v>
      </c>
      <c r="L663" s="96"/>
      <c r="M663" s="110" t="s">
        <v>2247</v>
      </c>
      <c r="N663" s="117" t="s">
        <v>2248</v>
      </c>
      <c r="O663" s="110" t="s">
        <v>662</v>
      </c>
      <c r="P663" s="110" t="s">
        <v>590</v>
      </c>
      <c r="Q663" s="118" t="n">
        <v>0.2</v>
      </c>
      <c r="R663" s="110" t="n">
        <v>1</v>
      </c>
      <c r="S663" s="110" t="s">
        <v>632</v>
      </c>
      <c r="T663" s="110" t="s">
        <v>530</v>
      </c>
      <c r="U663" s="110" t="s">
        <v>2062</v>
      </c>
      <c r="V663" s="119" t="n">
        <v>3.3</v>
      </c>
      <c r="W663" s="119"/>
      <c r="X663" s="110" t="s">
        <v>2063</v>
      </c>
      <c r="Y663" s="110" t="s">
        <v>2064</v>
      </c>
      <c r="Z663" s="110" t="s">
        <v>2214</v>
      </c>
      <c r="AA663" s="110" t="s">
        <v>537</v>
      </c>
      <c r="AB663" s="110" t="s">
        <v>244</v>
      </c>
      <c r="AC663" s="110" t="s">
        <v>538</v>
      </c>
      <c r="AD663" s="110" t="n">
        <f aca="false">IF(OR(F663="",Q663="",R663=""),"",ROUND(IF(P663="incl.",F663/(1+Q663),F663)/IF(S663="per pack",R663,1),2))</f>
        <v>3.3</v>
      </c>
      <c r="AE663" s="110" t="str">
        <f aca="false">IF(AND(AC663="yes",ISNUMBER(F663),IF(Compare!$H$5="All mapped",TRUE(),IF(Compare!$H$5="EXACT only",J663="EXACT",OR(J663="EXACT",J663="CLOSE")))),"yes","no")</f>
        <v>yes</v>
      </c>
      <c r="AF663" s="110" t="n">
        <f aca="false">IF(ISNUMBER(H663),COUNTIFS($B$7:$B$3000,B663,$C$7:$C$3000,C663,$H$7:$H$3000,"&lt;"&amp;H663,$AH$7:$AH$3000,"yes")+COUNTIFS($B$7:B663,B663,$C$7:C663,C663,$H$7:H663,H663,$AH$7:AH663,"yes"),"")</f>
        <v>5</v>
      </c>
      <c r="AG663" s="110" t="n">
        <f aca="false">IF(ISNUMBER(I663),COUNTIFS($B$7:$B$3000,B663,$C$7:$C$3000,C663,$I$7:$I$3000,"&lt;"&amp;I663,$AI$7:$AI$3000,"yes")+COUNTIFS($B$7:B663,B663,$C$7:C663,C663,$I$7:I663,I663,$AI$7:AI663,"yes"),"")</f>
        <v>5</v>
      </c>
      <c r="AH663" s="110" t="str">
        <f aca="false">IF(ISNUMBER(H663),"yes","no")</f>
        <v>yes</v>
      </c>
      <c r="AI663" s="110" t="str">
        <f aca="false">IF(ISNUMBER(I663),"yes","no")</f>
        <v>yes</v>
      </c>
      <c r="AJ663" s="120" t="n">
        <v>46297</v>
      </c>
      <c r="AK663" s="110"/>
    </row>
    <row r="664" customFormat="false" ht="23.25" hidden="false" customHeight="true" outlineLevel="0" collapsed="false">
      <c r="B664" s="36" t="s">
        <v>51</v>
      </c>
      <c r="C664" s="98" t="s">
        <v>15</v>
      </c>
      <c r="D664" s="98" t="s">
        <v>288</v>
      </c>
      <c r="E664" s="110" t="s">
        <v>2249</v>
      </c>
      <c r="F664" s="99" t="n">
        <v>2.89</v>
      </c>
      <c r="G664" s="98" t="s">
        <v>244</v>
      </c>
      <c r="H664" s="112" t="n">
        <f aca="false">IF(AND(AE664="yes",ISNUMBER(AD664)),AD664,"")</f>
        <v>2.89</v>
      </c>
      <c r="I664" s="95" t="n">
        <f aca="false">IF(AND(AE664="yes",ISNUMBER(AD664),ISNUMBER(INDEX(Sources!$G$7:$G$10,MATCH(AB664,Sources!$B$7:$B$10,0)))),ROUND(AD664/INDEX(Sources!$G$7:$G$10,MATCH(AB664,Sources!$B$7:$B$10,0)),6),"")</f>
        <v>2.89</v>
      </c>
      <c r="J664" s="98" t="s">
        <v>530</v>
      </c>
      <c r="K664" s="98" t="s">
        <v>2059</v>
      </c>
      <c r="L664" s="96"/>
      <c r="M664" s="110" t="s">
        <v>2250</v>
      </c>
      <c r="N664" s="117" t="s">
        <v>2251</v>
      </c>
      <c r="O664" s="110" t="s">
        <v>662</v>
      </c>
      <c r="P664" s="110" t="s">
        <v>590</v>
      </c>
      <c r="Q664" s="118" t="n">
        <v>0.2</v>
      </c>
      <c r="R664" s="110" t="n">
        <v>1</v>
      </c>
      <c r="S664" s="110" t="s">
        <v>632</v>
      </c>
      <c r="T664" s="110" t="s">
        <v>530</v>
      </c>
      <c r="U664" s="110" t="s">
        <v>2062</v>
      </c>
      <c r="V664" s="119" t="n">
        <v>2.89</v>
      </c>
      <c r="W664" s="119"/>
      <c r="X664" s="110" t="s">
        <v>2063</v>
      </c>
      <c r="Y664" s="110" t="s">
        <v>2064</v>
      </c>
      <c r="Z664" s="110" t="s">
        <v>2214</v>
      </c>
      <c r="AA664" s="110" t="s">
        <v>537</v>
      </c>
      <c r="AB664" s="110" t="s">
        <v>244</v>
      </c>
      <c r="AC664" s="110" t="s">
        <v>538</v>
      </c>
      <c r="AD664" s="110" t="n">
        <f aca="false">IF(OR(F664="",Q664="",R664=""),"",ROUND(IF(P664="incl.",F664/(1+Q664),F664)/IF(S664="per pack",R664,1),2))</f>
        <v>2.89</v>
      </c>
      <c r="AE664" s="110" t="str">
        <f aca="false">IF(AND(AC664="yes",ISNUMBER(F664),IF(Compare!$H$5="All mapped",TRUE(),IF(Compare!$H$5="EXACT only",J664="EXACT",OR(J664="EXACT",J664="CLOSE")))),"yes","no")</f>
        <v>yes</v>
      </c>
      <c r="AF664" s="110" t="n">
        <f aca="false">IF(ISNUMBER(H664),COUNTIFS($B$7:$B$3000,B664,$C$7:$C$3000,C664,$H$7:$H$3000,"&lt;"&amp;H664,$AH$7:$AH$3000,"yes")+COUNTIFS($B$7:B664,B664,$C$7:C664,C664,$H$7:H664,H664,$AH$7:AH664,"yes"),"")</f>
        <v>4</v>
      </c>
      <c r="AG664" s="110" t="n">
        <f aca="false">IF(ISNUMBER(I664),COUNTIFS($B$7:$B$3000,B664,$C$7:$C$3000,C664,$I$7:$I$3000,"&lt;"&amp;I664,$AI$7:$AI$3000,"yes")+COUNTIFS($B$7:B664,B664,$C$7:C664,C664,$I$7:I664,I664,$AI$7:AI664,"yes"),"")</f>
        <v>4</v>
      </c>
      <c r="AH664" s="110" t="str">
        <f aca="false">IF(ISNUMBER(H664),"yes","no")</f>
        <v>yes</v>
      </c>
      <c r="AI664" s="110" t="str">
        <f aca="false">IF(ISNUMBER(I664),"yes","no")</f>
        <v>yes</v>
      </c>
      <c r="AJ664" s="120" t="n">
        <v>46297</v>
      </c>
      <c r="AK664" s="110"/>
    </row>
    <row r="665" customFormat="false" ht="34.5" hidden="false" customHeight="true" outlineLevel="0" collapsed="false">
      <c r="B665" s="36" t="s">
        <v>39</v>
      </c>
      <c r="C665" s="98" t="s">
        <v>15</v>
      </c>
      <c r="D665" s="98" t="s">
        <v>261</v>
      </c>
      <c r="E665" s="110" t="s">
        <v>2252</v>
      </c>
      <c r="F665" s="99" t="n">
        <v>299</v>
      </c>
      <c r="G665" s="98" t="s">
        <v>244</v>
      </c>
      <c r="H665" s="112" t="n">
        <f aca="false">IF(AND(AE665="yes",ISNUMBER(AD665)),AD665,"")</f>
        <v>299</v>
      </c>
      <c r="I665" s="95" t="n">
        <f aca="false">IF(AND(AE665="yes",ISNUMBER(AD665),ISNUMBER(INDEX(Sources!$G$7:$G$10,MATCH(AB665,Sources!$B$7:$B$10,0)))),ROUND(AD665/INDEX(Sources!$G$7:$G$10,MATCH(AB665,Sources!$B$7:$B$10,0)),6),"")</f>
        <v>299</v>
      </c>
      <c r="J665" s="98" t="s">
        <v>530</v>
      </c>
      <c r="K665" s="98" t="s">
        <v>2059</v>
      </c>
      <c r="L665" s="96"/>
      <c r="M665" s="110" t="s">
        <v>2253</v>
      </c>
      <c r="N665" s="117" t="s">
        <v>2254</v>
      </c>
      <c r="O665" s="110" t="s">
        <v>2255</v>
      </c>
      <c r="P665" s="110" t="s">
        <v>590</v>
      </c>
      <c r="Q665" s="118" t="n">
        <v>0.2</v>
      </c>
      <c r="R665" s="110" t="n">
        <v>1</v>
      </c>
      <c r="S665" s="110" t="s">
        <v>632</v>
      </c>
      <c r="T665" s="110" t="s">
        <v>530</v>
      </c>
      <c r="U665" s="110" t="s">
        <v>2062</v>
      </c>
      <c r="V665" s="119" t="n">
        <v>299</v>
      </c>
      <c r="W665" s="119"/>
      <c r="X665" s="110" t="s">
        <v>2063</v>
      </c>
      <c r="Y665" s="110" t="s">
        <v>2064</v>
      </c>
      <c r="Z665" s="110" t="s">
        <v>2256</v>
      </c>
      <c r="AA665" s="110" t="s">
        <v>537</v>
      </c>
      <c r="AB665" s="110" t="s">
        <v>244</v>
      </c>
      <c r="AC665" s="110" t="s">
        <v>538</v>
      </c>
      <c r="AD665" s="110" t="n">
        <f aca="false">IF(OR(F665="",Q665="",R665=""),"",ROUND(IF(P665="incl.",F665/(1+Q665),F665)/IF(S665="per pack",R665,1),2))</f>
        <v>299</v>
      </c>
      <c r="AE665" s="110" t="str">
        <f aca="false">IF(AND(AC665="yes",ISNUMBER(F665),IF(Compare!$H$5="All mapped",TRUE(),IF(Compare!$H$5="EXACT only",J665="EXACT",OR(J665="EXACT",J665="CLOSE")))),"yes","no")</f>
        <v>yes</v>
      </c>
      <c r="AF665" s="110" t="n">
        <f aca="false">IF(ISNUMBER(H665),COUNTIFS($B$7:$B$3000,B665,$C$7:$C$3000,C665,$H$7:$H$3000,"&lt;"&amp;H665,$AH$7:$AH$3000,"yes")+COUNTIFS($B$7:B665,B665,$C$7:C665,C665,$H$7:H665,H665,$AH$7:AH665,"yes"),"")</f>
        <v>10</v>
      </c>
      <c r="AG665" s="110" t="n">
        <f aca="false">IF(ISNUMBER(I665),COUNTIFS($B$7:$B$3000,B665,$C$7:$C$3000,C665,$I$7:$I$3000,"&lt;"&amp;I665,$AI$7:$AI$3000,"yes")+COUNTIFS($B$7:B665,B665,$C$7:C665,C665,$I$7:I665,I665,$AI$7:AI665,"yes"),"")</f>
        <v>10</v>
      </c>
      <c r="AH665" s="110" t="str">
        <f aca="false">IF(ISNUMBER(H665),"yes","no")</f>
        <v>yes</v>
      </c>
      <c r="AI665" s="110" t="str">
        <f aca="false">IF(ISNUMBER(I665),"yes","no")</f>
        <v>yes</v>
      </c>
      <c r="AJ665" s="120" t="n">
        <v>46297</v>
      </c>
      <c r="AK665" s="110"/>
    </row>
    <row r="666" customFormat="false" ht="34.5" hidden="false" customHeight="true" outlineLevel="0" collapsed="false">
      <c r="B666" s="36" t="s">
        <v>39</v>
      </c>
      <c r="C666" s="98" t="s">
        <v>15</v>
      </c>
      <c r="D666" s="98" t="s">
        <v>288</v>
      </c>
      <c r="E666" s="110" t="s">
        <v>2257</v>
      </c>
      <c r="F666" s="99" t="n">
        <v>269</v>
      </c>
      <c r="G666" s="98" t="s">
        <v>244</v>
      </c>
      <c r="H666" s="112" t="n">
        <f aca="false">IF(AND(AE666="yes",ISNUMBER(AD666)),AD666,"")</f>
        <v>269</v>
      </c>
      <c r="I666" s="95" t="n">
        <f aca="false">IF(AND(AE666="yes",ISNUMBER(AD666),ISNUMBER(INDEX(Sources!$G$7:$G$10,MATCH(AB666,Sources!$B$7:$B$10,0)))),ROUND(AD666/INDEX(Sources!$G$7:$G$10,MATCH(AB666,Sources!$B$7:$B$10,0)),6),"")</f>
        <v>269</v>
      </c>
      <c r="J666" s="98" t="s">
        <v>530</v>
      </c>
      <c r="K666" s="98" t="s">
        <v>2059</v>
      </c>
      <c r="L666" s="96"/>
      <c r="M666" s="110" t="s">
        <v>2258</v>
      </c>
      <c r="N666" s="117" t="s">
        <v>2259</v>
      </c>
      <c r="O666" s="110" t="s">
        <v>2260</v>
      </c>
      <c r="P666" s="110" t="s">
        <v>590</v>
      </c>
      <c r="Q666" s="118" t="n">
        <v>0.2</v>
      </c>
      <c r="R666" s="110" t="n">
        <v>1</v>
      </c>
      <c r="S666" s="110" t="s">
        <v>632</v>
      </c>
      <c r="T666" s="110" t="s">
        <v>530</v>
      </c>
      <c r="U666" s="110" t="s">
        <v>2062</v>
      </c>
      <c r="V666" s="119" t="n">
        <v>269</v>
      </c>
      <c r="W666" s="119"/>
      <c r="X666" s="110" t="s">
        <v>2063</v>
      </c>
      <c r="Y666" s="110" t="s">
        <v>2064</v>
      </c>
      <c r="Z666" s="110" t="s">
        <v>2261</v>
      </c>
      <c r="AA666" s="110" t="s">
        <v>537</v>
      </c>
      <c r="AB666" s="110" t="s">
        <v>244</v>
      </c>
      <c r="AC666" s="110" t="s">
        <v>538</v>
      </c>
      <c r="AD666" s="110" t="n">
        <f aca="false">IF(OR(F666="",Q666="",R666=""),"",ROUND(IF(P666="incl.",F666/(1+Q666),F666)/IF(S666="per pack",R666,1),2))</f>
        <v>269</v>
      </c>
      <c r="AE666" s="110" t="str">
        <f aca="false">IF(AND(AC666="yes",ISNUMBER(F666),IF(Compare!$H$5="All mapped",TRUE(),IF(Compare!$H$5="EXACT only",J666="EXACT",OR(J666="EXACT",J666="CLOSE")))),"yes","no")</f>
        <v>yes</v>
      </c>
      <c r="AF666" s="110" t="n">
        <f aca="false">IF(ISNUMBER(H666),COUNTIFS($B$7:$B$3000,B666,$C$7:$C$3000,C666,$H$7:$H$3000,"&lt;"&amp;H666,$AH$7:$AH$3000,"yes")+COUNTIFS($B$7:B666,B666,$C$7:C666,C666,$H$7:H666,H666,$AH$7:AH666,"yes"),"")</f>
        <v>7</v>
      </c>
      <c r="AG666" s="110" t="n">
        <f aca="false">IF(ISNUMBER(I666),COUNTIFS($B$7:$B$3000,B666,$C$7:$C$3000,C666,$I$7:$I$3000,"&lt;"&amp;I666,$AI$7:$AI$3000,"yes")+COUNTIFS($B$7:B666,B666,$C$7:C666,C666,$I$7:I666,I666,$AI$7:AI666,"yes"),"")</f>
        <v>7</v>
      </c>
      <c r="AH666" s="110" t="str">
        <f aca="false">IF(ISNUMBER(H666),"yes","no")</f>
        <v>yes</v>
      </c>
      <c r="AI666" s="110" t="str">
        <f aca="false">IF(ISNUMBER(I666),"yes","no")</f>
        <v>yes</v>
      </c>
      <c r="AJ666" s="120" t="n">
        <v>46297</v>
      </c>
      <c r="AK666" s="110"/>
    </row>
    <row r="667" customFormat="false" ht="23.25" hidden="false" customHeight="true" outlineLevel="0" collapsed="false">
      <c r="B667" s="36" t="s">
        <v>39</v>
      </c>
      <c r="C667" s="98" t="s">
        <v>15</v>
      </c>
      <c r="D667" s="98" t="s">
        <v>288</v>
      </c>
      <c r="E667" s="110" t="s">
        <v>2262</v>
      </c>
      <c r="F667" s="99" t="n">
        <v>233.79</v>
      </c>
      <c r="G667" s="98" t="s">
        <v>244</v>
      </c>
      <c r="H667" s="112" t="n">
        <f aca="false">IF(AND(AE667="yes",ISNUMBER(AD667)),AD667,"")</f>
        <v>233.79</v>
      </c>
      <c r="I667" s="95" t="n">
        <f aca="false">IF(AND(AE667="yes",ISNUMBER(AD667),ISNUMBER(INDEX(Sources!$G$7:$G$10,MATCH(AB667,Sources!$B$7:$B$10,0)))),ROUND(AD667/INDEX(Sources!$G$7:$G$10,MATCH(AB667,Sources!$B$7:$B$10,0)),6),"")</f>
        <v>233.79</v>
      </c>
      <c r="J667" s="98" t="s">
        <v>702</v>
      </c>
      <c r="K667" s="98" t="s">
        <v>2059</v>
      </c>
      <c r="L667" s="96"/>
      <c r="M667" s="110" t="s">
        <v>2263</v>
      </c>
      <c r="N667" s="117" t="s">
        <v>2264</v>
      </c>
      <c r="O667" s="110" t="s">
        <v>2265</v>
      </c>
      <c r="P667" s="110" t="s">
        <v>590</v>
      </c>
      <c r="Q667" s="118" t="n">
        <v>0.2</v>
      </c>
      <c r="R667" s="110" t="n">
        <v>1</v>
      </c>
      <c r="S667" s="110" t="s">
        <v>632</v>
      </c>
      <c r="T667" s="110" t="s">
        <v>702</v>
      </c>
      <c r="U667" s="110" t="s">
        <v>2062</v>
      </c>
      <c r="V667" s="119" t="n">
        <v>233.79</v>
      </c>
      <c r="W667" s="119"/>
      <c r="X667" s="110" t="s">
        <v>2063</v>
      </c>
      <c r="Y667" s="110" t="s">
        <v>2064</v>
      </c>
      <c r="Z667" s="110" t="s">
        <v>2266</v>
      </c>
      <c r="AA667" s="110" t="s">
        <v>537</v>
      </c>
      <c r="AB667" s="110" t="s">
        <v>244</v>
      </c>
      <c r="AC667" s="110" t="s">
        <v>538</v>
      </c>
      <c r="AD667" s="110" t="n">
        <f aca="false">IF(OR(F667="",Q667="",R667=""),"",ROUND(IF(P667="incl.",F667/(1+Q667),F667)/IF(S667="per pack",R667,1),2))</f>
        <v>233.79</v>
      </c>
      <c r="AE667" s="110" t="str">
        <f aca="false">IF(AND(AC667="yes",ISNUMBER(F667),IF(Compare!$H$5="All mapped",TRUE(),IF(Compare!$H$5="EXACT only",J667="EXACT",OR(J667="EXACT",J667="CLOSE")))),"yes","no")</f>
        <v>yes</v>
      </c>
      <c r="AF667" s="110" t="n">
        <f aca="false">IF(ISNUMBER(H667),COUNTIFS($B$7:$B$3000,B667,$C$7:$C$3000,C667,$H$7:$H$3000,"&lt;"&amp;H667,$AH$7:$AH$3000,"yes")+COUNTIFS($B$7:B667,B667,$C$7:C667,C667,$H$7:H667,H667,$AH$7:AH667,"yes"),"")</f>
        <v>4</v>
      </c>
      <c r="AG667" s="110" t="n">
        <f aca="false">IF(ISNUMBER(I667),COUNTIFS($B$7:$B$3000,B667,$C$7:$C$3000,C667,$I$7:$I$3000,"&lt;"&amp;I667,$AI$7:$AI$3000,"yes")+COUNTIFS($B$7:B667,B667,$C$7:C667,C667,$I$7:I667,I667,$AI$7:AI667,"yes"),"")</f>
        <v>4</v>
      </c>
      <c r="AH667" s="110" t="str">
        <f aca="false">IF(ISNUMBER(H667),"yes","no")</f>
        <v>yes</v>
      </c>
      <c r="AI667" s="110" t="str">
        <f aca="false">IF(ISNUMBER(I667),"yes","no")</f>
        <v>yes</v>
      </c>
      <c r="AJ667" s="120" t="n">
        <v>46297</v>
      </c>
      <c r="AK667" s="110"/>
    </row>
    <row r="668" customFormat="false" ht="34.5" hidden="false" customHeight="true" outlineLevel="0" collapsed="false">
      <c r="B668" s="36" t="s">
        <v>40</v>
      </c>
      <c r="C668" s="98" t="s">
        <v>15</v>
      </c>
      <c r="D668" s="98" t="s">
        <v>288</v>
      </c>
      <c r="E668" s="110" t="s">
        <v>2267</v>
      </c>
      <c r="F668" s="99" t="n">
        <v>6.99</v>
      </c>
      <c r="G668" s="98" t="s">
        <v>244</v>
      </c>
      <c r="H668" s="112" t="str">
        <f aca="false">IF(AND(AE668="yes",ISNUMBER(AD668)),AD668,"")</f>
        <v/>
      </c>
      <c r="I668" s="95" t="str">
        <f aca="false">IF(AND(AE668="yes",ISNUMBER(AD668),ISNUMBER(INDEX(Sources!$G$7:$G$10,MATCH(AB668,Sources!$B$7:$B$10,0)))),ROUND(AD668/INDEX(Sources!$G$7:$G$10,MATCH(AB668,Sources!$B$7:$B$10,0)),6),"")</f>
        <v/>
      </c>
      <c r="J668" s="98" t="s">
        <v>629</v>
      </c>
      <c r="K668" s="98" t="s">
        <v>2059</v>
      </c>
      <c r="L668" s="96"/>
      <c r="M668" s="110" t="s">
        <v>2268</v>
      </c>
      <c r="N668" s="117" t="s">
        <v>2269</v>
      </c>
      <c r="O668" s="110" t="s">
        <v>662</v>
      </c>
      <c r="P668" s="110" t="s">
        <v>590</v>
      </c>
      <c r="Q668" s="118" t="n">
        <v>0.2</v>
      </c>
      <c r="R668" s="110" t="n">
        <v>1</v>
      </c>
      <c r="S668" s="110" t="s">
        <v>632</v>
      </c>
      <c r="T668" s="110" t="s">
        <v>629</v>
      </c>
      <c r="U668" s="110" t="s">
        <v>2062</v>
      </c>
      <c r="V668" s="119" t="n">
        <v>6.99</v>
      </c>
      <c r="W668" s="119"/>
      <c r="X668" s="110" t="s">
        <v>2063</v>
      </c>
      <c r="Y668" s="110" t="s">
        <v>2064</v>
      </c>
      <c r="Z668" s="110" t="s">
        <v>2270</v>
      </c>
      <c r="AA668" s="110" t="s">
        <v>537</v>
      </c>
      <c r="AB668" s="110" t="s">
        <v>244</v>
      </c>
      <c r="AC668" s="110" t="s">
        <v>538</v>
      </c>
      <c r="AD668" s="110" t="n">
        <f aca="false">IF(OR(F668="",Q668="",R668=""),"",ROUND(IF(P668="incl.",F668/(1+Q668),F668)/IF(S668="per pack",R668,1),2))</f>
        <v>6.99</v>
      </c>
      <c r="AE668" s="110" t="str">
        <f aca="false">IF(AND(AC668="yes",ISNUMBER(F668),IF(Compare!$H$5="All mapped",TRUE(),IF(Compare!$H$5="EXACT only",J668="EXACT",OR(J668="EXACT",J668="CLOSE")))),"yes","no")</f>
        <v>no</v>
      </c>
      <c r="AF668" s="110" t="str">
        <f aca="false">IF(ISNUMBER(H668),COUNTIFS($B$7:$B$3000,B668,$C$7:$C$3000,C668,$H$7:$H$3000,"&lt;"&amp;H668,$AH$7:$AH$3000,"yes")+COUNTIFS($B$7:B668,B668,$C$7:C668,C668,$H$7:H668,H668,$AH$7:AH668,"yes"),"")</f>
        <v/>
      </c>
      <c r="AG668" s="110" t="str">
        <f aca="false">IF(ISNUMBER(I668),COUNTIFS($B$7:$B$3000,B668,$C$7:$C$3000,C668,$I$7:$I$3000,"&lt;"&amp;I668,$AI$7:$AI$3000,"yes")+COUNTIFS($B$7:B668,B668,$C$7:C668,C668,$I$7:I668,I668,$AI$7:AI668,"yes"),"")</f>
        <v/>
      </c>
      <c r="AH668" s="110" t="str">
        <f aca="false">IF(ISNUMBER(H668),"yes","no")</f>
        <v>no</v>
      </c>
      <c r="AI668" s="110" t="str">
        <f aca="false">IF(ISNUMBER(I668),"yes","no")</f>
        <v>no</v>
      </c>
      <c r="AJ668" s="120" t="n">
        <v>46297</v>
      </c>
      <c r="AK668" s="110"/>
    </row>
    <row r="669" customFormat="false" ht="45.75" hidden="false" customHeight="true" outlineLevel="0" collapsed="false">
      <c r="B669" s="36" t="s">
        <v>41</v>
      </c>
      <c r="C669" s="98" t="s">
        <v>15</v>
      </c>
      <c r="D669" s="98" t="s">
        <v>288</v>
      </c>
      <c r="E669" s="110" t="s">
        <v>2271</v>
      </c>
      <c r="F669" s="99" t="n">
        <v>24.99</v>
      </c>
      <c r="G669" s="98" t="s">
        <v>244</v>
      </c>
      <c r="H669" s="112" t="n">
        <f aca="false">IF(AND(AE669="yes",ISNUMBER(AD669)),AD669,"")</f>
        <v>24.99</v>
      </c>
      <c r="I669" s="95" t="n">
        <f aca="false">IF(AND(AE669="yes",ISNUMBER(AD669),ISNUMBER(INDEX(Sources!$G$7:$G$10,MATCH(AB669,Sources!$B$7:$B$10,0)))),ROUND(AD669/INDEX(Sources!$G$7:$G$10,MATCH(AB669,Sources!$B$7:$B$10,0)),6),"")</f>
        <v>24.99</v>
      </c>
      <c r="J669" s="98" t="s">
        <v>702</v>
      </c>
      <c r="K669" s="98" t="s">
        <v>2059</v>
      </c>
      <c r="L669" s="96"/>
      <c r="M669" s="110" t="s">
        <v>2272</v>
      </c>
      <c r="N669" s="117" t="s">
        <v>2273</v>
      </c>
      <c r="O669" s="110" t="s">
        <v>662</v>
      </c>
      <c r="P669" s="110" t="s">
        <v>590</v>
      </c>
      <c r="Q669" s="118" t="n">
        <v>0.2</v>
      </c>
      <c r="R669" s="110" t="n">
        <v>1</v>
      </c>
      <c r="S669" s="110" t="s">
        <v>632</v>
      </c>
      <c r="T669" s="110" t="s">
        <v>702</v>
      </c>
      <c r="U669" s="110" t="s">
        <v>2062</v>
      </c>
      <c r="V669" s="119" t="n">
        <v>24.99</v>
      </c>
      <c r="W669" s="119"/>
      <c r="X669" s="110" t="s">
        <v>2063</v>
      </c>
      <c r="Y669" s="110" t="s">
        <v>2064</v>
      </c>
      <c r="Z669" s="110" t="s">
        <v>2266</v>
      </c>
      <c r="AA669" s="110" t="s">
        <v>537</v>
      </c>
      <c r="AB669" s="110" t="s">
        <v>244</v>
      </c>
      <c r="AC669" s="110" t="s">
        <v>538</v>
      </c>
      <c r="AD669" s="110" t="n">
        <f aca="false">IF(OR(F669="",Q669="",R669=""),"",ROUND(IF(P669="incl.",F669/(1+Q669),F669)/IF(S669="per pack",R669,1),2))</f>
        <v>24.99</v>
      </c>
      <c r="AE669" s="110" t="str">
        <f aca="false">IF(AND(AC669="yes",ISNUMBER(F669),IF(Compare!$H$5="All mapped",TRUE(),IF(Compare!$H$5="EXACT only",J669="EXACT",OR(J669="EXACT",J669="CLOSE")))),"yes","no")</f>
        <v>yes</v>
      </c>
      <c r="AF669" s="110" t="n">
        <f aca="false">IF(ISNUMBER(H669),COUNTIFS($B$7:$B$3000,B669,$C$7:$C$3000,C669,$H$7:$H$3000,"&lt;"&amp;H669,$AH$7:$AH$3000,"yes")+COUNTIFS($B$7:B669,B669,$C$7:C669,C669,$H$7:H669,H669,$AH$7:AH669,"yes"),"")</f>
        <v>1</v>
      </c>
      <c r="AG669" s="110" t="n">
        <f aca="false">IF(ISNUMBER(I669),COUNTIFS($B$7:$B$3000,B669,$C$7:$C$3000,C669,$I$7:$I$3000,"&lt;"&amp;I669,$AI$7:$AI$3000,"yes")+COUNTIFS($B$7:B669,B669,$C$7:C669,C669,$I$7:I669,I669,$AI$7:AI669,"yes"),"")</f>
        <v>1</v>
      </c>
      <c r="AH669" s="110" t="str">
        <f aca="false">IF(ISNUMBER(H669),"yes","no")</f>
        <v>yes</v>
      </c>
      <c r="AI669" s="110" t="str">
        <f aca="false">IF(ISNUMBER(I669),"yes","no")</f>
        <v>yes</v>
      </c>
      <c r="AJ669" s="120" t="n">
        <v>46297</v>
      </c>
      <c r="AK669" s="110"/>
    </row>
    <row r="670" customFormat="false" ht="45.75" hidden="false" customHeight="true" outlineLevel="0" collapsed="false">
      <c r="B670" s="36" t="s">
        <v>39</v>
      </c>
      <c r="C670" s="98" t="s">
        <v>15</v>
      </c>
      <c r="D670" s="98" t="s">
        <v>252</v>
      </c>
      <c r="E670" s="110" t="s">
        <v>2274</v>
      </c>
      <c r="F670" s="99" t="n">
        <v>553</v>
      </c>
      <c r="G670" s="98" t="s">
        <v>244</v>
      </c>
      <c r="H670" s="112" t="str">
        <f aca="false">IF(AND(AE670="yes",ISNUMBER(AD670)),AD670,"")</f>
        <v/>
      </c>
      <c r="I670" s="95" t="str">
        <f aca="false">IF(AND(AE670="yes",ISNUMBER(AD670),ISNUMBER(INDEX(Sources!$G$7:$G$10,MATCH(AB670,Sources!$B$7:$B$10,0)))),ROUND(AD670/INDEX(Sources!$G$7:$G$10,MATCH(AB670,Sources!$B$7:$B$10,0)),6),"")</f>
        <v/>
      </c>
      <c r="J670" s="98" t="s">
        <v>629</v>
      </c>
      <c r="K670" s="98" t="s">
        <v>2059</v>
      </c>
      <c r="L670" s="96"/>
      <c r="M670" s="110" t="s">
        <v>2275</v>
      </c>
      <c r="N670" s="117" t="s">
        <v>2276</v>
      </c>
      <c r="O670" s="110" t="s">
        <v>2277</v>
      </c>
      <c r="P670" s="110" t="s">
        <v>265</v>
      </c>
      <c r="Q670" s="118" t="n">
        <v>0.2</v>
      </c>
      <c r="R670" s="110" t="n">
        <v>1</v>
      </c>
      <c r="S670" s="110" t="s">
        <v>632</v>
      </c>
      <c r="T670" s="110" t="s">
        <v>629</v>
      </c>
      <c r="U670" s="110" t="s">
        <v>2129</v>
      </c>
      <c r="V670" s="119" t="n">
        <v>460.83</v>
      </c>
      <c r="W670" s="119"/>
      <c r="X670" s="110" t="s">
        <v>2063</v>
      </c>
      <c r="Y670" s="110" t="s">
        <v>2064</v>
      </c>
      <c r="Z670" s="110" t="s">
        <v>2278</v>
      </c>
      <c r="AA670" s="110" t="s">
        <v>537</v>
      </c>
      <c r="AB670" s="110" t="s">
        <v>244</v>
      </c>
      <c r="AC670" s="110" t="s">
        <v>538</v>
      </c>
      <c r="AD670" s="110" t="n">
        <f aca="false">IF(OR(F670="",Q670="",R670=""),"",ROUND(IF(P670="incl.",F670/(1+Q670),F670)/IF(S670="per pack",R670,1),2))</f>
        <v>460.83</v>
      </c>
      <c r="AE670" s="110" t="str">
        <f aca="false">IF(AND(AC670="yes",ISNUMBER(F670),IF(Compare!$H$5="All mapped",TRUE(),IF(Compare!$H$5="EXACT only",J670="EXACT",OR(J670="EXACT",J670="CLOSE")))),"yes","no")</f>
        <v>no</v>
      </c>
      <c r="AF670" s="110" t="str">
        <f aca="false">IF(ISNUMBER(H670),COUNTIFS($B$7:$B$3000,B670,$C$7:$C$3000,C670,$H$7:$H$3000,"&lt;"&amp;H670,$AH$7:$AH$3000,"yes")+COUNTIFS($B$7:B670,B670,$C$7:C670,C670,$H$7:H670,H670,$AH$7:AH670,"yes"),"")</f>
        <v/>
      </c>
      <c r="AG670" s="110" t="str">
        <f aca="false">IF(ISNUMBER(I670),COUNTIFS($B$7:$B$3000,B670,$C$7:$C$3000,C670,$I$7:$I$3000,"&lt;"&amp;I670,$AI$7:$AI$3000,"yes")+COUNTIFS($B$7:B670,B670,$C$7:C670,C670,$I$7:I670,I670,$AI$7:AI670,"yes"),"")</f>
        <v/>
      </c>
      <c r="AH670" s="110" t="str">
        <f aca="false">IF(ISNUMBER(H670),"yes","no")</f>
        <v>no</v>
      </c>
      <c r="AI670" s="110" t="str">
        <f aca="false">IF(ISNUMBER(I670),"yes","no")</f>
        <v>no</v>
      </c>
      <c r="AJ670" s="120" t="n">
        <v>46297</v>
      </c>
      <c r="AK670" s="110"/>
    </row>
    <row r="671" customFormat="false" ht="34.5" hidden="false" customHeight="true" outlineLevel="0" collapsed="false">
      <c r="B671" s="36" t="s">
        <v>63</v>
      </c>
      <c r="C671" s="98" t="s">
        <v>17</v>
      </c>
      <c r="D671" s="98" t="s">
        <v>354</v>
      </c>
      <c r="E671" s="110" t="s">
        <v>1827</v>
      </c>
      <c r="F671" s="99" t="n">
        <v>413.52</v>
      </c>
      <c r="G671" s="98" t="s">
        <v>333</v>
      </c>
      <c r="H671" s="112" t="str">
        <f aca="false">IF(AND(AE671="yes",ISNUMBER(AD671)),AD671,"")</f>
        <v/>
      </c>
      <c r="I671" s="95" t="str">
        <f aca="false">IF(AND(AE671="yes",ISNUMBER(AD671),ISNUMBER(INDEX(Sources!$G$7:$G$10,MATCH(AB671,Sources!$B$7:$B$10,0)))),ROUND(AD671/INDEX(Sources!$G$7:$G$10,MATCH(AB671,Sources!$B$7:$B$10,0)),6),"")</f>
        <v/>
      </c>
      <c r="J671" s="98" t="s">
        <v>629</v>
      </c>
      <c r="K671" s="98" t="s">
        <v>2059</v>
      </c>
      <c r="L671" s="96"/>
      <c r="M671" s="110" t="s">
        <v>2279</v>
      </c>
      <c r="N671" s="117" t="s">
        <v>1828</v>
      </c>
      <c r="O671" s="110" t="s">
        <v>610</v>
      </c>
      <c r="P671" s="110" t="s">
        <v>590</v>
      </c>
      <c r="Q671" s="118" t="n">
        <v>0.19</v>
      </c>
      <c r="R671" s="110" t="n">
        <v>1</v>
      </c>
      <c r="S671" s="110" t="s">
        <v>632</v>
      </c>
      <c r="T671" s="110" t="s">
        <v>629</v>
      </c>
      <c r="U671" s="110" t="s">
        <v>2062</v>
      </c>
      <c r="V671" s="119" t="n">
        <v>413.52</v>
      </c>
      <c r="W671" s="119"/>
      <c r="X671" s="110" t="s">
        <v>2063</v>
      </c>
      <c r="Y671" s="110" t="s">
        <v>2064</v>
      </c>
      <c r="Z671" s="110" t="s">
        <v>2280</v>
      </c>
      <c r="AA671" s="110" t="s">
        <v>537</v>
      </c>
      <c r="AB671" s="110" t="s">
        <v>333</v>
      </c>
      <c r="AC671" s="110" t="s">
        <v>538</v>
      </c>
      <c r="AD671" s="110" t="n">
        <f aca="false">IF(OR(F671="",Q671="",R671=""),"",ROUND(IF(P671="incl.",F671/(1+Q671),F671)/IF(S671="per pack",R671,1),2))</f>
        <v>413.52</v>
      </c>
      <c r="AE671" s="110" t="str">
        <f aca="false">IF(AND(AC671="yes",ISNUMBER(F671),IF(Compare!$H$5="All mapped",TRUE(),IF(Compare!$H$5="EXACT only",J671="EXACT",OR(J671="EXACT",J671="CLOSE")))),"yes","no")</f>
        <v>no</v>
      </c>
      <c r="AF671" s="110" t="str">
        <f aca="false">IF(ISNUMBER(H671),COUNTIFS($B$7:$B$3000,B671,$C$7:$C$3000,C671,$H$7:$H$3000,"&lt;"&amp;H671,$AH$7:$AH$3000,"yes")+COUNTIFS($B$7:B671,B671,$C$7:C671,C671,$H$7:H671,H671,$AH$7:AH671,"yes"),"")</f>
        <v/>
      </c>
      <c r="AG671" s="110" t="str">
        <f aca="false">IF(ISNUMBER(I671),COUNTIFS($B$7:$B$3000,B671,$C$7:$C$3000,C671,$I$7:$I$3000,"&lt;"&amp;I671,$AI$7:$AI$3000,"yes")+COUNTIFS($B$7:B671,B671,$C$7:C671,C671,$I$7:I671,I671,$AI$7:AI671,"yes"),"")</f>
        <v/>
      </c>
      <c r="AH671" s="110" t="str">
        <f aca="false">IF(ISNUMBER(H671),"yes","no")</f>
        <v>no</v>
      </c>
      <c r="AI671" s="110" t="str">
        <f aca="false">IF(ISNUMBER(I671),"yes","no")</f>
        <v>no</v>
      </c>
      <c r="AJ671" s="120" t="n">
        <v>46297</v>
      </c>
      <c r="AK671" s="110"/>
    </row>
    <row r="672" customFormat="false" ht="23.25" hidden="false" customHeight="true" outlineLevel="0" collapsed="false">
      <c r="B672" s="36" t="s">
        <v>63</v>
      </c>
      <c r="C672" s="98" t="s">
        <v>17</v>
      </c>
      <c r="D672" s="98" t="s">
        <v>332</v>
      </c>
      <c r="E672" s="110" t="s">
        <v>1065</v>
      </c>
      <c r="F672" s="99" t="n">
        <v>1090</v>
      </c>
      <c r="G672" s="98" t="s">
        <v>333</v>
      </c>
      <c r="H672" s="112" t="str">
        <f aca="false">IF(AND(AE672="yes",ISNUMBER(AD672)),AD672,"")</f>
        <v/>
      </c>
      <c r="I672" s="95" t="str">
        <f aca="false">IF(AND(AE672="yes",ISNUMBER(AD672),ISNUMBER(INDEX(Sources!$G$7:$G$10,MATCH(AB672,Sources!$B$7:$B$10,0)))),ROUND(AD672/INDEX(Sources!$G$7:$G$10,MATCH(AB672,Sources!$B$7:$B$10,0)),6),"")</f>
        <v/>
      </c>
      <c r="J672" s="98" t="s">
        <v>629</v>
      </c>
      <c r="K672" s="98" t="s">
        <v>2059</v>
      </c>
      <c r="L672" s="96"/>
      <c r="M672" s="110" t="s">
        <v>2281</v>
      </c>
      <c r="N672" s="117" t="s">
        <v>1067</v>
      </c>
      <c r="O672" s="110"/>
      <c r="P672" s="110" t="s">
        <v>590</v>
      </c>
      <c r="Q672" s="118" t="n">
        <v>0.21</v>
      </c>
      <c r="R672" s="110" t="n">
        <v>1</v>
      </c>
      <c r="S672" s="110" t="s">
        <v>632</v>
      </c>
      <c r="T672" s="110" t="s">
        <v>629</v>
      </c>
      <c r="U672" s="110" t="s">
        <v>2062</v>
      </c>
      <c r="V672" s="119" t="n">
        <v>1090</v>
      </c>
      <c r="W672" s="119"/>
      <c r="X672" s="110" t="s">
        <v>2063</v>
      </c>
      <c r="Y672" s="110" t="s">
        <v>2064</v>
      </c>
      <c r="Z672" s="110" t="s">
        <v>2282</v>
      </c>
      <c r="AA672" s="110" t="s">
        <v>537</v>
      </c>
      <c r="AB672" s="110" t="s">
        <v>333</v>
      </c>
      <c r="AC672" s="110" t="s">
        <v>538</v>
      </c>
      <c r="AD672" s="110" t="n">
        <f aca="false">IF(OR(F672="",Q672="",R672=""),"",ROUND(IF(P672="incl.",F672/(1+Q672),F672)/IF(S672="per pack",R672,1),2))</f>
        <v>1090</v>
      </c>
      <c r="AE672" s="110" t="str">
        <f aca="false">IF(AND(AC672="yes",ISNUMBER(F672),IF(Compare!$H$5="All mapped",TRUE(),IF(Compare!$H$5="EXACT only",J672="EXACT",OR(J672="EXACT",J672="CLOSE")))),"yes","no")</f>
        <v>no</v>
      </c>
      <c r="AF672" s="110" t="str">
        <f aca="false">IF(ISNUMBER(H672),COUNTIFS($B$7:$B$3000,B672,$C$7:$C$3000,C672,$H$7:$H$3000,"&lt;"&amp;H672,$AH$7:$AH$3000,"yes")+COUNTIFS($B$7:B672,B672,$C$7:C672,C672,$H$7:H672,H672,$AH$7:AH672,"yes"),"")</f>
        <v/>
      </c>
      <c r="AG672" s="110" t="str">
        <f aca="false">IF(ISNUMBER(I672),COUNTIFS($B$7:$B$3000,B672,$C$7:$C$3000,C672,$I$7:$I$3000,"&lt;"&amp;I672,$AI$7:$AI$3000,"yes")+COUNTIFS($B$7:B672,B672,$C$7:C672,C672,$I$7:I672,I672,$AI$7:AI672,"yes"),"")</f>
        <v/>
      </c>
      <c r="AH672" s="110" t="str">
        <f aca="false">IF(ISNUMBER(H672),"yes","no")</f>
        <v>no</v>
      </c>
      <c r="AI672" s="110" t="str">
        <f aca="false">IF(ISNUMBER(I672),"yes","no")</f>
        <v>no</v>
      </c>
      <c r="AJ672" s="120" t="n">
        <v>46297</v>
      </c>
      <c r="AK672" s="110"/>
    </row>
    <row r="673" customFormat="false" ht="23.25" hidden="false" customHeight="true" outlineLevel="0" collapsed="false">
      <c r="B673" s="36" t="s">
        <v>55</v>
      </c>
      <c r="C673" s="98" t="s">
        <v>17</v>
      </c>
      <c r="D673" s="98" t="s">
        <v>332</v>
      </c>
      <c r="E673" s="110" t="s">
        <v>1065</v>
      </c>
      <c r="F673" s="99" t="n">
        <v>1090</v>
      </c>
      <c r="G673" s="98" t="s">
        <v>333</v>
      </c>
      <c r="H673" s="112" t="str">
        <f aca="false">IF(AND(AE673="yes",ISNUMBER(AD673)),AD673,"")</f>
        <v/>
      </c>
      <c r="I673" s="95" t="str">
        <f aca="false">IF(AND(AE673="yes",ISNUMBER(AD673),ISNUMBER(INDEX(Sources!$G$7:$G$10,MATCH(AB673,Sources!$B$7:$B$10,0)))),ROUND(AD673/INDEX(Sources!$G$7:$G$10,MATCH(AB673,Sources!$B$7:$B$10,0)),6),"")</f>
        <v/>
      </c>
      <c r="J673" s="98" t="s">
        <v>629</v>
      </c>
      <c r="K673" s="98" t="s">
        <v>2059</v>
      </c>
      <c r="L673" s="96"/>
      <c r="M673" s="110" t="s">
        <v>2283</v>
      </c>
      <c r="N673" s="117" t="s">
        <v>1067</v>
      </c>
      <c r="O673" s="110"/>
      <c r="P673" s="110" t="s">
        <v>590</v>
      </c>
      <c r="Q673" s="118" t="n">
        <v>0.21</v>
      </c>
      <c r="R673" s="110" t="n">
        <v>1</v>
      </c>
      <c r="S673" s="110" t="s">
        <v>632</v>
      </c>
      <c r="T673" s="110" t="s">
        <v>629</v>
      </c>
      <c r="U673" s="110" t="s">
        <v>2062</v>
      </c>
      <c r="V673" s="119" t="n">
        <v>1090</v>
      </c>
      <c r="W673" s="119"/>
      <c r="X673" s="110" t="s">
        <v>2063</v>
      </c>
      <c r="Y673" s="110" t="s">
        <v>2064</v>
      </c>
      <c r="Z673" s="110" t="s">
        <v>2282</v>
      </c>
      <c r="AA673" s="110" t="s">
        <v>537</v>
      </c>
      <c r="AB673" s="110" t="s">
        <v>333</v>
      </c>
      <c r="AC673" s="110" t="s">
        <v>538</v>
      </c>
      <c r="AD673" s="110" t="n">
        <f aca="false">IF(OR(F673="",Q673="",R673=""),"",ROUND(IF(P673="incl.",F673/(1+Q673),F673)/IF(S673="per pack",R673,1),2))</f>
        <v>1090</v>
      </c>
      <c r="AE673" s="110" t="str">
        <f aca="false">IF(AND(AC673="yes",ISNUMBER(F673),IF(Compare!$H$5="All mapped",TRUE(),IF(Compare!$H$5="EXACT only",J673="EXACT",OR(J673="EXACT",J673="CLOSE")))),"yes","no")</f>
        <v>no</v>
      </c>
      <c r="AF673" s="110" t="str">
        <f aca="false">IF(ISNUMBER(H673),COUNTIFS($B$7:$B$3000,B673,$C$7:$C$3000,C673,$H$7:$H$3000,"&lt;"&amp;H673,$AH$7:$AH$3000,"yes")+COUNTIFS($B$7:B673,B673,$C$7:C673,C673,$H$7:H673,H673,$AH$7:AH673,"yes"),"")</f>
        <v/>
      </c>
      <c r="AG673" s="110" t="str">
        <f aca="false">IF(ISNUMBER(I673),COUNTIFS($B$7:$B$3000,B673,$C$7:$C$3000,C673,$I$7:$I$3000,"&lt;"&amp;I673,$AI$7:$AI$3000,"yes")+COUNTIFS($B$7:B673,B673,$C$7:C673,C673,$I$7:I673,I673,$AI$7:AI673,"yes"),"")</f>
        <v/>
      </c>
      <c r="AH673" s="110" t="str">
        <f aca="false">IF(ISNUMBER(H673),"yes","no")</f>
        <v>no</v>
      </c>
      <c r="AI673" s="110" t="str">
        <f aca="false">IF(ISNUMBER(I673),"yes","no")</f>
        <v>no</v>
      </c>
      <c r="AJ673" s="120" t="n">
        <v>46297</v>
      </c>
      <c r="AK673" s="110"/>
    </row>
    <row r="674" customFormat="false" ht="23.25" hidden="false" customHeight="true" outlineLevel="0" collapsed="false">
      <c r="B674" s="36" t="s">
        <v>33</v>
      </c>
      <c r="C674" s="98" t="s">
        <v>17</v>
      </c>
      <c r="D674" s="98" t="s">
        <v>338</v>
      </c>
      <c r="E674" s="110" t="s">
        <v>2284</v>
      </c>
      <c r="F674" s="99" t="n">
        <v>205</v>
      </c>
      <c r="G674" s="98" t="s">
        <v>333</v>
      </c>
      <c r="H674" s="112" t="n">
        <f aca="false">IF(AND(AE674="yes",ISNUMBER(AD674)),AD674,"")</f>
        <v>205</v>
      </c>
      <c r="I674" s="95" t="n">
        <f aca="false">IF(AND(AE674="yes",ISNUMBER(AD674),ISNUMBER(INDEX(Sources!$G$7:$G$10,MATCH(AB674,Sources!$B$7:$B$10,0)))),ROUND(AD674/INDEX(Sources!$G$7:$G$10,MATCH(AB674,Sources!$B$7:$B$10,0)),6),"")</f>
        <v>8.393516</v>
      </c>
      <c r="J674" s="98" t="s">
        <v>702</v>
      </c>
      <c r="K674" s="98" t="s">
        <v>2059</v>
      </c>
      <c r="L674" s="96"/>
      <c r="M674" s="110" t="s">
        <v>2285</v>
      </c>
      <c r="N674" s="117" t="s">
        <v>2286</v>
      </c>
      <c r="O674" s="110" t="s">
        <v>388</v>
      </c>
      <c r="P674" s="110" t="s">
        <v>590</v>
      </c>
      <c r="Q674" s="118" t="n">
        <v>0.21</v>
      </c>
      <c r="R674" s="110" t="n">
        <v>1</v>
      </c>
      <c r="S674" s="110" t="s">
        <v>632</v>
      </c>
      <c r="T674" s="110" t="s">
        <v>702</v>
      </c>
      <c r="U674" s="110" t="s">
        <v>2062</v>
      </c>
      <c r="V674" s="119" t="n">
        <v>205</v>
      </c>
      <c r="W674" s="119"/>
      <c r="X674" s="110" t="s">
        <v>2063</v>
      </c>
      <c r="Y674" s="110" t="s">
        <v>2064</v>
      </c>
      <c r="Z674" s="110" t="s">
        <v>2287</v>
      </c>
      <c r="AA674" s="110" t="s">
        <v>537</v>
      </c>
      <c r="AB674" s="110" t="s">
        <v>333</v>
      </c>
      <c r="AC674" s="110" t="s">
        <v>538</v>
      </c>
      <c r="AD674" s="110" t="n">
        <f aca="false">IF(OR(F674="",Q674="",R674=""),"",ROUND(IF(P674="incl.",F674/(1+Q674),F674)/IF(S674="per pack",R674,1),2))</f>
        <v>205</v>
      </c>
      <c r="AE674" s="110" t="str">
        <f aca="false">IF(AND(AC674="yes",ISNUMBER(F674),IF(Compare!$H$5="All mapped",TRUE(),IF(Compare!$H$5="EXACT only",J674="EXACT",OR(J674="EXACT",J674="CLOSE")))),"yes","no")</f>
        <v>yes</v>
      </c>
      <c r="AF674" s="110" t="n">
        <f aca="false">IF(ISNUMBER(H674),COUNTIFS($B$7:$B$3000,B674,$C$7:$C$3000,C674,$H$7:$H$3000,"&lt;"&amp;H674,$AH$7:$AH$3000,"yes")+COUNTIFS($B$7:B674,B674,$C$7:C674,C674,$H$7:H674,H674,$AH$7:AH674,"yes"),"")</f>
        <v>4</v>
      </c>
      <c r="AG674" s="110" t="n">
        <f aca="false">IF(ISNUMBER(I674),COUNTIFS($B$7:$B$3000,B674,$C$7:$C$3000,C674,$I$7:$I$3000,"&lt;"&amp;I674,$AI$7:$AI$3000,"yes")+COUNTIFS($B$7:B674,B674,$C$7:C674,C674,$I$7:I674,I674,$AI$7:AI674,"yes"),"")</f>
        <v>4</v>
      </c>
      <c r="AH674" s="110" t="str">
        <f aca="false">IF(ISNUMBER(H674),"yes","no")</f>
        <v>yes</v>
      </c>
      <c r="AI674" s="110" t="str">
        <f aca="false">IF(ISNUMBER(I674),"yes","no")</f>
        <v>yes</v>
      </c>
      <c r="AJ674" s="120" t="n">
        <v>46297</v>
      </c>
      <c r="AK674" s="110"/>
    </row>
    <row r="675" customFormat="false" ht="45.75" hidden="false" customHeight="true" outlineLevel="0" collapsed="false">
      <c r="B675" s="36" t="s">
        <v>29</v>
      </c>
      <c r="C675" s="98" t="s">
        <v>17</v>
      </c>
      <c r="D675" s="98" t="s">
        <v>338</v>
      </c>
      <c r="E675" s="110" t="s">
        <v>2288</v>
      </c>
      <c r="F675" s="99" t="n">
        <v>921</v>
      </c>
      <c r="G675" s="98" t="s">
        <v>333</v>
      </c>
      <c r="H675" s="112" t="n">
        <f aca="false">IF(AND(AE675="yes",ISNUMBER(AD675)),AD675,"")</f>
        <v>921</v>
      </c>
      <c r="I675" s="95" t="n">
        <f aca="false">IF(AND(AE675="yes",ISNUMBER(AD675),ISNUMBER(INDEX(Sources!$G$7:$G$10,MATCH(AB675,Sources!$B$7:$B$10,0)))),ROUND(AD675/INDEX(Sources!$G$7:$G$10,MATCH(AB675,Sources!$B$7:$B$10,0)),6),"")</f>
        <v>37.709404</v>
      </c>
      <c r="J675" s="98" t="s">
        <v>702</v>
      </c>
      <c r="K675" s="98" t="s">
        <v>2059</v>
      </c>
      <c r="L675" s="96"/>
      <c r="M675" s="110" t="s">
        <v>2289</v>
      </c>
      <c r="N675" s="117" t="s">
        <v>2290</v>
      </c>
      <c r="O675" s="110" t="s">
        <v>1061</v>
      </c>
      <c r="P675" s="110" t="s">
        <v>590</v>
      </c>
      <c r="Q675" s="118" t="n">
        <v>0.21</v>
      </c>
      <c r="R675" s="110" t="n">
        <v>1</v>
      </c>
      <c r="S675" s="110" t="s">
        <v>632</v>
      </c>
      <c r="T675" s="110" t="s">
        <v>702</v>
      </c>
      <c r="U675" s="110" t="s">
        <v>2062</v>
      </c>
      <c r="V675" s="119" t="n">
        <v>921</v>
      </c>
      <c r="W675" s="119"/>
      <c r="X675" s="110" t="s">
        <v>2063</v>
      </c>
      <c r="Y675" s="110" t="s">
        <v>2064</v>
      </c>
      <c r="Z675" s="110" t="s">
        <v>2291</v>
      </c>
      <c r="AA675" s="110" t="s">
        <v>537</v>
      </c>
      <c r="AB675" s="110" t="s">
        <v>333</v>
      </c>
      <c r="AC675" s="110" t="s">
        <v>538</v>
      </c>
      <c r="AD675" s="110" t="n">
        <f aca="false">IF(OR(F675="",Q675="",R675=""),"",ROUND(IF(P675="incl.",F675/(1+Q675),F675)/IF(S675="per pack",R675,1),2))</f>
        <v>921</v>
      </c>
      <c r="AE675" s="110" t="str">
        <f aca="false">IF(AND(AC675="yes",ISNUMBER(F675),IF(Compare!$H$5="All mapped",TRUE(),IF(Compare!$H$5="EXACT only",J675="EXACT",OR(J675="EXACT",J675="CLOSE")))),"yes","no")</f>
        <v>yes</v>
      </c>
      <c r="AF675" s="110" t="n">
        <f aca="false">IF(ISNUMBER(H675),COUNTIFS($B$7:$B$3000,B675,$C$7:$C$3000,C675,$H$7:$H$3000,"&lt;"&amp;H675,$AH$7:$AH$3000,"yes")+COUNTIFS($B$7:B675,B675,$C$7:C675,C675,$H$7:H675,H675,$AH$7:AH675,"yes"),"")</f>
        <v>2</v>
      </c>
      <c r="AG675" s="110" t="n">
        <f aca="false">IF(ISNUMBER(I675),COUNTIFS($B$7:$B$3000,B675,$C$7:$C$3000,C675,$I$7:$I$3000,"&lt;"&amp;I675,$AI$7:$AI$3000,"yes")+COUNTIFS($B$7:B675,B675,$C$7:C675,C675,$I$7:I675,I675,$AI$7:AI675,"yes"),"")</f>
        <v>2</v>
      </c>
      <c r="AH675" s="110" t="str">
        <f aca="false">IF(ISNUMBER(H675),"yes","no")</f>
        <v>yes</v>
      </c>
      <c r="AI675" s="110" t="str">
        <f aca="false">IF(ISNUMBER(I675),"yes","no")</f>
        <v>yes</v>
      </c>
      <c r="AJ675" s="120" t="n">
        <v>46297</v>
      </c>
      <c r="AK675" s="110"/>
    </row>
    <row r="676" customFormat="false" ht="45.75" hidden="false" customHeight="true" outlineLevel="0" collapsed="false">
      <c r="B676" s="36" t="s">
        <v>31</v>
      </c>
      <c r="C676" s="98" t="s">
        <v>17</v>
      </c>
      <c r="D676" s="98" t="s">
        <v>338</v>
      </c>
      <c r="E676" s="110" t="s">
        <v>2292</v>
      </c>
      <c r="F676" s="99" t="n">
        <v>793</v>
      </c>
      <c r="G676" s="98" t="s">
        <v>333</v>
      </c>
      <c r="H676" s="112" t="n">
        <f aca="false">IF(AND(AE676="yes",ISNUMBER(AD676)),AD676,"")</f>
        <v>793</v>
      </c>
      <c r="I676" s="95" t="n">
        <f aca="false">IF(AND(AE676="yes",ISNUMBER(AD676),ISNUMBER(INDEX(Sources!$G$7:$G$10,MATCH(AB676,Sources!$B$7:$B$10,0)))),ROUND(AD676/INDEX(Sources!$G$7:$G$10,MATCH(AB676,Sources!$B$7:$B$10,0)),6),"")</f>
        <v>32.468575</v>
      </c>
      <c r="J676" s="98" t="s">
        <v>530</v>
      </c>
      <c r="K676" s="98" t="s">
        <v>2059</v>
      </c>
      <c r="L676" s="96"/>
      <c r="M676" s="110" t="s">
        <v>2293</v>
      </c>
      <c r="N676" s="117" t="s">
        <v>2294</v>
      </c>
      <c r="O676" s="110" t="s">
        <v>388</v>
      </c>
      <c r="P676" s="110" t="s">
        <v>590</v>
      </c>
      <c r="Q676" s="118" t="n">
        <v>0.21</v>
      </c>
      <c r="R676" s="110" t="n">
        <v>1</v>
      </c>
      <c r="S676" s="110" t="s">
        <v>632</v>
      </c>
      <c r="T676" s="110" t="s">
        <v>530</v>
      </c>
      <c r="U676" s="110" t="s">
        <v>2062</v>
      </c>
      <c r="V676" s="119" t="n">
        <v>793</v>
      </c>
      <c r="W676" s="119"/>
      <c r="X676" s="110" t="s">
        <v>2063</v>
      </c>
      <c r="Y676" s="110" t="s">
        <v>2064</v>
      </c>
      <c r="Z676" s="110" t="s">
        <v>2295</v>
      </c>
      <c r="AA676" s="110" t="s">
        <v>537</v>
      </c>
      <c r="AB676" s="110" t="s">
        <v>333</v>
      </c>
      <c r="AC676" s="110" t="s">
        <v>538</v>
      </c>
      <c r="AD676" s="110" t="n">
        <f aca="false">IF(OR(F676="",Q676="",R676=""),"",ROUND(IF(P676="incl.",F676/(1+Q676),F676)/IF(S676="per pack",R676,1),2))</f>
        <v>793</v>
      </c>
      <c r="AE676" s="110" t="str">
        <f aca="false">IF(AND(AC676="yes",ISNUMBER(F676),IF(Compare!$H$5="All mapped",TRUE(),IF(Compare!$H$5="EXACT only",J676="EXACT",OR(J676="EXACT",J676="CLOSE")))),"yes","no")</f>
        <v>yes</v>
      </c>
      <c r="AF676" s="110" t="n">
        <f aca="false">IF(ISNUMBER(H676),COUNTIFS($B$7:$B$3000,B676,$C$7:$C$3000,C676,$H$7:$H$3000,"&lt;"&amp;H676,$AH$7:$AH$3000,"yes")+COUNTIFS($B$7:B676,B676,$C$7:C676,C676,$H$7:H676,H676,$AH$7:AH676,"yes"),"")</f>
        <v>3</v>
      </c>
      <c r="AG676" s="110" t="n">
        <f aca="false">IF(ISNUMBER(I676),COUNTIFS($B$7:$B$3000,B676,$C$7:$C$3000,C676,$I$7:$I$3000,"&lt;"&amp;I676,$AI$7:$AI$3000,"yes")+COUNTIFS($B$7:B676,B676,$C$7:C676,C676,$I$7:I676,I676,$AI$7:AI676,"yes"),"")</f>
        <v>3</v>
      </c>
      <c r="AH676" s="110" t="str">
        <f aca="false">IF(ISNUMBER(H676),"yes","no")</f>
        <v>yes</v>
      </c>
      <c r="AI676" s="110" t="str">
        <f aca="false">IF(ISNUMBER(I676),"yes","no")</f>
        <v>yes</v>
      </c>
      <c r="AJ676" s="120" t="n">
        <v>46297</v>
      </c>
      <c r="AK676" s="110"/>
    </row>
    <row r="677" customFormat="false" ht="23.25" hidden="false" customHeight="true" outlineLevel="0" collapsed="false">
      <c r="B677" s="36" t="s">
        <v>63</v>
      </c>
      <c r="C677" s="98" t="s">
        <v>17</v>
      </c>
      <c r="D677" s="98" t="s">
        <v>338</v>
      </c>
      <c r="E677" s="110" t="s">
        <v>2296</v>
      </c>
      <c r="F677" s="99" t="n">
        <v>212</v>
      </c>
      <c r="G677" s="98" t="s">
        <v>333</v>
      </c>
      <c r="H677" s="112" t="str">
        <f aca="false">IF(AND(AE677="yes",ISNUMBER(AD677)),AD677,"")</f>
        <v/>
      </c>
      <c r="I677" s="95" t="str">
        <f aca="false">IF(AND(AE677="yes",ISNUMBER(AD677),ISNUMBER(INDEX(Sources!$G$7:$G$10,MATCH(AB677,Sources!$B$7:$B$10,0)))),ROUND(AD677/INDEX(Sources!$G$7:$G$10,MATCH(AB677,Sources!$B$7:$B$10,0)),6),"")</f>
        <v/>
      </c>
      <c r="J677" s="98" t="s">
        <v>629</v>
      </c>
      <c r="K677" s="98" t="s">
        <v>2059</v>
      </c>
      <c r="L677" s="96"/>
      <c r="M677" s="110" t="s">
        <v>2297</v>
      </c>
      <c r="N677" s="117" t="s">
        <v>2298</v>
      </c>
      <c r="O677" s="110" t="s">
        <v>1167</v>
      </c>
      <c r="P677" s="110" t="s">
        <v>590</v>
      </c>
      <c r="Q677" s="118" t="n">
        <v>0.21</v>
      </c>
      <c r="R677" s="110" t="n">
        <v>1</v>
      </c>
      <c r="S677" s="110" t="s">
        <v>632</v>
      </c>
      <c r="T677" s="110" t="s">
        <v>629</v>
      </c>
      <c r="U677" s="110" t="s">
        <v>2062</v>
      </c>
      <c r="V677" s="119" t="n">
        <v>212</v>
      </c>
      <c r="W677" s="119"/>
      <c r="X677" s="110" t="s">
        <v>2063</v>
      </c>
      <c r="Y677" s="110" t="s">
        <v>2064</v>
      </c>
      <c r="Z677" s="110" t="s">
        <v>2295</v>
      </c>
      <c r="AA677" s="110" t="s">
        <v>537</v>
      </c>
      <c r="AB677" s="110" t="s">
        <v>333</v>
      </c>
      <c r="AC677" s="110" t="s">
        <v>538</v>
      </c>
      <c r="AD677" s="110" t="n">
        <f aca="false">IF(OR(F677="",Q677="",R677=""),"",ROUND(IF(P677="incl.",F677/(1+Q677),F677)/IF(S677="per pack",R677,1),2))</f>
        <v>212</v>
      </c>
      <c r="AE677" s="110" t="str">
        <f aca="false">IF(AND(AC677="yes",ISNUMBER(F677),IF(Compare!$H$5="All mapped",TRUE(),IF(Compare!$H$5="EXACT only",J677="EXACT",OR(J677="EXACT",J677="CLOSE")))),"yes","no")</f>
        <v>no</v>
      </c>
      <c r="AF677" s="110" t="str">
        <f aca="false">IF(ISNUMBER(H677),COUNTIFS($B$7:$B$3000,B677,$C$7:$C$3000,C677,$H$7:$H$3000,"&lt;"&amp;H677,$AH$7:$AH$3000,"yes")+COUNTIFS($B$7:B677,B677,$C$7:C677,C677,$H$7:H677,H677,$AH$7:AH677,"yes"),"")</f>
        <v/>
      </c>
      <c r="AG677" s="110" t="str">
        <f aca="false">IF(ISNUMBER(I677),COUNTIFS($B$7:$B$3000,B677,$C$7:$C$3000,C677,$I$7:$I$3000,"&lt;"&amp;I677,$AI$7:$AI$3000,"yes")+COUNTIFS($B$7:B677,B677,$C$7:C677,C677,$I$7:I677,I677,$AI$7:AI677,"yes"),"")</f>
        <v/>
      </c>
      <c r="AH677" s="110" t="str">
        <f aca="false">IF(ISNUMBER(H677),"yes","no")</f>
        <v>no</v>
      </c>
      <c r="AI677" s="110" t="str">
        <f aca="false">IF(ISNUMBER(I677),"yes","no")</f>
        <v>no</v>
      </c>
      <c r="AJ677" s="120" t="n">
        <v>46297</v>
      </c>
      <c r="AK677" s="110"/>
    </row>
    <row r="678" customFormat="false" ht="34.5" hidden="false" customHeight="true" outlineLevel="0" collapsed="false">
      <c r="B678" s="36" t="s">
        <v>55</v>
      </c>
      <c r="C678" s="98" t="s">
        <v>17</v>
      </c>
      <c r="D678" s="98" t="s">
        <v>338</v>
      </c>
      <c r="E678" s="110" t="s">
        <v>2299</v>
      </c>
      <c r="F678" s="99" t="n">
        <v>465</v>
      </c>
      <c r="G678" s="98" t="s">
        <v>333</v>
      </c>
      <c r="H678" s="112" t="str">
        <f aca="false">IF(AND(AE678="yes",ISNUMBER(AD678)),AD678,"")</f>
        <v/>
      </c>
      <c r="I678" s="95" t="str">
        <f aca="false">IF(AND(AE678="yes",ISNUMBER(AD678),ISNUMBER(INDEX(Sources!$G$7:$G$10,MATCH(AB678,Sources!$B$7:$B$10,0)))),ROUND(AD678/INDEX(Sources!$G$7:$G$10,MATCH(AB678,Sources!$B$7:$B$10,0)),6),"")</f>
        <v/>
      </c>
      <c r="J678" s="98" t="s">
        <v>629</v>
      </c>
      <c r="K678" s="98" t="s">
        <v>2059</v>
      </c>
      <c r="L678" s="96"/>
      <c r="M678" s="110" t="s">
        <v>2300</v>
      </c>
      <c r="N678" s="117" t="s">
        <v>2301</v>
      </c>
      <c r="O678" s="110" t="s">
        <v>1167</v>
      </c>
      <c r="P678" s="110" t="s">
        <v>590</v>
      </c>
      <c r="Q678" s="118" t="n">
        <v>0.21</v>
      </c>
      <c r="R678" s="110" t="n">
        <v>1</v>
      </c>
      <c r="S678" s="110" t="s">
        <v>632</v>
      </c>
      <c r="T678" s="110" t="s">
        <v>629</v>
      </c>
      <c r="U678" s="110" t="s">
        <v>2062</v>
      </c>
      <c r="V678" s="119" t="n">
        <v>465</v>
      </c>
      <c r="W678" s="119"/>
      <c r="X678" s="110" t="s">
        <v>2063</v>
      </c>
      <c r="Y678" s="110" t="s">
        <v>2064</v>
      </c>
      <c r="Z678" s="110" t="s">
        <v>2295</v>
      </c>
      <c r="AA678" s="110" t="s">
        <v>537</v>
      </c>
      <c r="AB678" s="110" t="s">
        <v>333</v>
      </c>
      <c r="AC678" s="110" t="s">
        <v>538</v>
      </c>
      <c r="AD678" s="110" t="n">
        <f aca="false">IF(OR(F678="",Q678="",R678=""),"",ROUND(IF(P678="incl.",F678/(1+Q678),F678)/IF(S678="per pack",R678,1),2))</f>
        <v>465</v>
      </c>
      <c r="AE678" s="110" t="str">
        <f aca="false">IF(AND(AC678="yes",ISNUMBER(F678),IF(Compare!$H$5="All mapped",TRUE(),IF(Compare!$H$5="EXACT only",J678="EXACT",OR(J678="EXACT",J678="CLOSE")))),"yes","no")</f>
        <v>no</v>
      </c>
      <c r="AF678" s="110" t="str">
        <f aca="false">IF(ISNUMBER(H678),COUNTIFS($B$7:$B$3000,B678,$C$7:$C$3000,C678,$H$7:$H$3000,"&lt;"&amp;H678,$AH$7:$AH$3000,"yes")+COUNTIFS($B$7:B678,B678,$C$7:C678,C678,$H$7:H678,H678,$AH$7:AH678,"yes"),"")</f>
        <v/>
      </c>
      <c r="AG678" s="110" t="str">
        <f aca="false">IF(ISNUMBER(I678),COUNTIFS($B$7:$B$3000,B678,$C$7:$C$3000,C678,$I$7:$I$3000,"&lt;"&amp;I678,$AI$7:$AI$3000,"yes")+COUNTIFS($B$7:B678,B678,$C$7:C678,C678,$I$7:I678,I678,$AI$7:AI678,"yes"),"")</f>
        <v/>
      </c>
      <c r="AH678" s="110" t="str">
        <f aca="false">IF(ISNUMBER(H678),"yes","no")</f>
        <v>no</v>
      </c>
      <c r="AI678" s="110" t="str">
        <f aca="false">IF(ISNUMBER(I678),"yes","no")</f>
        <v>no</v>
      </c>
      <c r="AJ678" s="120" t="n">
        <v>46297</v>
      </c>
      <c r="AK678" s="110"/>
    </row>
    <row r="679" customFormat="false" ht="34.5" hidden="false" customHeight="true" outlineLevel="0" collapsed="false">
      <c r="B679" s="36" t="s">
        <v>60</v>
      </c>
      <c r="C679" s="98" t="s">
        <v>17</v>
      </c>
      <c r="D679" s="98" t="s">
        <v>338</v>
      </c>
      <c r="E679" s="110" t="s">
        <v>2288</v>
      </c>
      <c r="F679" s="99" t="n">
        <v>921</v>
      </c>
      <c r="G679" s="98" t="s">
        <v>333</v>
      </c>
      <c r="H679" s="112" t="n">
        <f aca="false">IF(AND(AE679="yes",ISNUMBER(AD679)),AD679,"")</f>
        <v>921</v>
      </c>
      <c r="I679" s="95" t="n">
        <f aca="false">IF(AND(AE679="yes",ISNUMBER(AD679),ISNUMBER(INDEX(Sources!$G$7:$G$10,MATCH(AB679,Sources!$B$7:$B$10,0)))),ROUND(AD679/INDEX(Sources!$G$7:$G$10,MATCH(AB679,Sources!$B$7:$B$10,0)),6),"")</f>
        <v>37.709404</v>
      </c>
      <c r="J679" s="98" t="s">
        <v>530</v>
      </c>
      <c r="K679" s="98" t="s">
        <v>2059</v>
      </c>
      <c r="L679" s="96"/>
      <c r="M679" s="110" t="s">
        <v>2302</v>
      </c>
      <c r="N679" s="117" t="s">
        <v>2290</v>
      </c>
      <c r="O679" s="110" t="s">
        <v>1061</v>
      </c>
      <c r="P679" s="110" t="s">
        <v>590</v>
      </c>
      <c r="Q679" s="118" t="n">
        <v>0.21</v>
      </c>
      <c r="R679" s="110" t="n">
        <v>1</v>
      </c>
      <c r="S679" s="110" t="s">
        <v>632</v>
      </c>
      <c r="T679" s="110" t="s">
        <v>530</v>
      </c>
      <c r="U679" s="110" t="s">
        <v>2062</v>
      </c>
      <c r="V679" s="119" t="n">
        <v>921</v>
      </c>
      <c r="W679" s="119"/>
      <c r="X679" s="110" t="s">
        <v>2063</v>
      </c>
      <c r="Y679" s="110" t="s">
        <v>2064</v>
      </c>
      <c r="Z679" s="110" t="s">
        <v>2291</v>
      </c>
      <c r="AA679" s="110" t="s">
        <v>537</v>
      </c>
      <c r="AB679" s="110" t="s">
        <v>333</v>
      </c>
      <c r="AC679" s="110" t="s">
        <v>538</v>
      </c>
      <c r="AD679" s="110" t="n">
        <f aca="false">IF(OR(F679="",Q679="",R679=""),"",ROUND(IF(P679="incl.",F679/(1+Q679),F679)/IF(S679="per pack",R679,1),2))</f>
        <v>921</v>
      </c>
      <c r="AE679" s="110" t="str">
        <f aca="false">IF(AND(AC679="yes",ISNUMBER(F679),IF(Compare!$H$5="All mapped",TRUE(),IF(Compare!$H$5="EXACT only",J679="EXACT",OR(J679="EXACT",J679="CLOSE")))),"yes","no")</f>
        <v>yes</v>
      </c>
      <c r="AF679" s="110" t="n">
        <f aca="false">IF(ISNUMBER(H679),COUNTIFS($B$7:$B$3000,B679,$C$7:$C$3000,C679,$H$7:$H$3000,"&lt;"&amp;H679,$AH$7:$AH$3000,"yes")+COUNTIFS($B$7:B679,B679,$C$7:C679,C679,$H$7:H679,H679,$AH$7:AH679,"yes"),"")</f>
        <v>3</v>
      </c>
      <c r="AG679" s="110" t="n">
        <f aca="false">IF(ISNUMBER(I679),COUNTIFS($B$7:$B$3000,B679,$C$7:$C$3000,C679,$I$7:$I$3000,"&lt;"&amp;I679,$AI$7:$AI$3000,"yes")+COUNTIFS($B$7:B679,B679,$C$7:C679,C679,$I$7:I679,I679,$AI$7:AI679,"yes"),"")</f>
        <v>3</v>
      </c>
      <c r="AH679" s="110" t="str">
        <f aca="false">IF(ISNUMBER(H679),"yes","no")</f>
        <v>yes</v>
      </c>
      <c r="AI679" s="110" t="str">
        <f aca="false">IF(ISNUMBER(I679),"yes","no")</f>
        <v>yes</v>
      </c>
      <c r="AJ679" s="120" t="n">
        <v>46297</v>
      </c>
      <c r="AK679" s="110"/>
    </row>
    <row r="680" customFormat="false" ht="34.5" hidden="false" customHeight="true" outlineLevel="0" collapsed="false">
      <c r="B680" s="36" t="s">
        <v>29</v>
      </c>
      <c r="C680" s="98" t="s">
        <v>17</v>
      </c>
      <c r="D680" s="98" t="s">
        <v>357</v>
      </c>
      <c r="E680" s="110" t="s">
        <v>2303</v>
      </c>
      <c r="F680" s="99" t="n">
        <v>394.96</v>
      </c>
      <c r="G680" s="98" t="s">
        <v>333</v>
      </c>
      <c r="H680" s="112" t="str">
        <f aca="false">IF(AND(AE680="yes",ISNUMBER(AD680)),AD680,"")</f>
        <v/>
      </c>
      <c r="I680" s="95" t="str">
        <f aca="false">IF(AND(AE680="yes",ISNUMBER(AD680),ISNUMBER(INDEX(Sources!$G$7:$G$10,MATCH(AB680,Sources!$B$7:$B$10,0)))),ROUND(AD680/INDEX(Sources!$G$7:$G$10,MATCH(AB680,Sources!$B$7:$B$10,0)),6),"")</f>
        <v/>
      </c>
      <c r="J680" s="98" t="s">
        <v>956</v>
      </c>
      <c r="K680" s="98" t="s">
        <v>2059</v>
      </c>
      <c r="L680" s="96"/>
      <c r="M680" s="110" t="s">
        <v>2304</v>
      </c>
      <c r="N680" s="117" t="s">
        <v>2305</v>
      </c>
      <c r="O680" s="110" t="s">
        <v>388</v>
      </c>
      <c r="P680" s="110" t="s">
        <v>590</v>
      </c>
      <c r="Q680" s="118" t="n">
        <v>0.21</v>
      </c>
      <c r="R680" s="110" t="n">
        <v>1</v>
      </c>
      <c r="S680" s="110" t="s">
        <v>632</v>
      </c>
      <c r="T680" s="110" t="s">
        <v>956</v>
      </c>
      <c r="U680" s="110" t="s">
        <v>2062</v>
      </c>
      <c r="V680" s="119" t="n">
        <v>394.96</v>
      </c>
      <c r="W680" s="119"/>
      <c r="X680" s="110" t="s">
        <v>2063</v>
      </c>
      <c r="Y680" s="110" t="s">
        <v>2064</v>
      </c>
      <c r="Z680" s="110" t="s">
        <v>2306</v>
      </c>
      <c r="AA680" s="110" t="s">
        <v>537</v>
      </c>
      <c r="AB680" s="110" t="s">
        <v>333</v>
      </c>
      <c r="AC680" s="110" t="s">
        <v>538</v>
      </c>
      <c r="AD680" s="110" t="n">
        <f aca="false">IF(OR(F680="",Q680="",R680=""),"",ROUND(IF(P680="incl.",F680/(1+Q680),F680)/IF(S680="per pack",R680,1),2))</f>
        <v>394.96</v>
      </c>
      <c r="AE680" s="110" t="str">
        <f aca="false">IF(AND(AC680="yes",ISNUMBER(F680),IF(Compare!$H$5="All mapped",TRUE(),IF(Compare!$H$5="EXACT only",J680="EXACT",OR(J680="EXACT",J680="CLOSE")))),"yes","no")</f>
        <v>no</v>
      </c>
      <c r="AF680" s="110" t="str">
        <f aca="false">IF(ISNUMBER(H680),COUNTIFS($B$7:$B$3000,B680,$C$7:$C$3000,C680,$H$7:$H$3000,"&lt;"&amp;H680,$AH$7:$AH$3000,"yes")+COUNTIFS($B$7:B680,B680,$C$7:C680,C680,$H$7:H680,H680,$AH$7:AH680,"yes"),"")</f>
        <v/>
      </c>
      <c r="AG680" s="110" t="str">
        <f aca="false">IF(ISNUMBER(I680),COUNTIFS($B$7:$B$3000,B680,$C$7:$C$3000,C680,$I$7:$I$3000,"&lt;"&amp;I680,$AI$7:$AI$3000,"yes")+COUNTIFS($B$7:B680,B680,$C$7:C680,C680,$I$7:I680,I680,$AI$7:AI680,"yes"),"")</f>
        <v/>
      </c>
      <c r="AH680" s="110" t="str">
        <f aca="false">IF(ISNUMBER(H680),"yes","no")</f>
        <v>no</v>
      </c>
      <c r="AI680" s="110" t="str">
        <f aca="false">IF(ISNUMBER(I680),"yes","no")</f>
        <v>no</v>
      </c>
      <c r="AJ680" s="120" t="n">
        <v>46297</v>
      </c>
      <c r="AK680" s="110"/>
    </row>
    <row r="681" customFormat="false" ht="34.5" hidden="false" customHeight="true" outlineLevel="0" collapsed="false">
      <c r="B681" s="36" t="s">
        <v>31</v>
      </c>
      <c r="C681" s="98" t="s">
        <v>17</v>
      </c>
      <c r="D681" s="98" t="s">
        <v>357</v>
      </c>
      <c r="E681" s="110" t="s">
        <v>2307</v>
      </c>
      <c r="F681" s="99" t="n">
        <v>465.76</v>
      </c>
      <c r="G681" s="98" t="s">
        <v>333</v>
      </c>
      <c r="H681" s="112" t="str">
        <f aca="false">IF(AND(AE681="yes",ISNUMBER(AD681)),AD681,"")</f>
        <v/>
      </c>
      <c r="I681" s="95" t="str">
        <f aca="false">IF(AND(AE681="yes",ISNUMBER(AD681),ISNUMBER(INDEX(Sources!$G$7:$G$10,MATCH(AB681,Sources!$B$7:$B$10,0)))),ROUND(AD681/INDEX(Sources!$G$7:$G$10,MATCH(AB681,Sources!$B$7:$B$10,0)),6),"")</f>
        <v/>
      </c>
      <c r="J681" s="98" t="s">
        <v>956</v>
      </c>
      <c r="K681" s="98" t="s">
        <v>2059</v>
      </c>
      <c r="L681" s="96"/>
      <c r="M681" s="110" t="s">
        <v>2308</v>
      </c>
      <c r="N681" s="117" t="s">
        <v>2309</v>
      </c>
      <c r="O681" s="110" t="s">
        <v>1138</v>
      </c>
      <c r="P681" s="110" t="s">
        <v>590</v>
      </c>
      <c r="Q681" s="118" t="n">
        <v>0.21</v>
      </c>
      <c r="R681" s="110" t="n">
        <v>1</v>
      </c>
      <c r="S681" s="110" t="s">
        <v>632</v>
      </c>
      <c r="T681" s="110" t="s">
        <v>956</v>
      </c>
      <c r="U681" s="110" t="s">
        <v>2062</v>
      </c>
      <c r="V681" s="119" t="n">
        <v>465.76</v>
      </c>
      <c r="W681" s="119"/>
      <c r="X681" s="110" t="s">
        <v>2063</v>
      </c>
      <c r="Y681" s="110" t="s">
        <v>2064</v>
      </c>
      <c r="Z681" s="110" t="s">
        <v>246</v>
      </c>
      <c r="AA681" s="110" t="s">
        <v>537</v>
      </c>
      <c r="AB681" s="110" t="s">
        <v>333</v>
      </c>
      <c r="AC681" s="110" t="s">
        <v>538</v>
      </c>
      <c r="AD681" s="110" t="n">
        <f aca="false">IF(OR(F681="",Q681="",R681=""),"",ROUND(IF(P681="incl.",F681/(1+Q681),F681)/IF(S681="per pack",R681,1),2))</f>
        <v>465.76</v>
      </c>
      <c r="AE681" s="110" t="str">
        <f aca="false">IF(AND(AC681="yes",ISNUMBER(F681),IF(Compare!$H$5="All mapped",TRUE(),IF(Compare!$H$5="EXACT only",J681="EXACT",OR(J681="EXACT",J681="CLOSE")))),"yes","no")</f>
        <v>no</v>
      </c>
      <c r="AF681" s="110" t="str">
        <f aca="false">IF(ISNUMBER(H681),COUNTIFS($B$7:$B$3000,B681,$C$7:$C$3000,C681,$H$7:$H$3000,"&lt;"&amp;H681,$AH$7:$AH$3000,"yes")+COUNTIFS($B$7:B681,B681,$C$7:C681,C681,$H$7:H681,H681,$AH$7:AH681,"yes"),"")</f>
        <v/>
      </c>
      <c r="AG681" s="110" t="str">
        <f aca="false">IF(ISNUMBER(I681),COUNTIFS($B$7:$B$3000,B681,$C$7:$C$3000,C681,$I$7:$I$3000,"&lt;"&amp;I681,$AI$7:$AI$3000,"yes")+COUNTIFS($B$7:B681,B681,$C$7:C681,C681,$I$7:I681,I681,$AI$7:AI681,"yes"),"")</f>
        <v/>
      </c>
      <c r="AH681" s="110" t="str">
        <f aca="false">IF(ISNUMBER(H681),"yes","no")</f>
        <v>no</v>
      </c>
      <c r="AI681" s="110" t="str">
        <f aca="false">IF(ISNUMBER(I681),"yes","no")</f>
        <v>no</v>
      </c>
      <c r="AJ681" s="120" t="n">
        <v>46297</v>
      </c>
      <c r="AK681" s="110"/>
    </row>
    <row r="682" customFormat="false" ht="34.5" hidden="false" customHeight="true" outlineLevel="0" collapsed="false">
      <c r="B682" s="36" t="s">
        <v>55</v>
      </c>
      <c r="C682" s="98" t="s">
        <v>17</v>
      </c>
      <c r="D682" s="98" t="s">
        <v>357</v>
      </c>
      <c r="E682" s="110" t="s">
        <v>2310</v>
      </c>
      <c r="F682" s="99" t="n">
        <v>207.58</v>
      </c>
      <c r="G682" s="98" t="s">
        <v>333</v>
      </c>
      <c r="H682" s="112" t="str">
        <f aca="false">IF(AND(AE682="yes",ISNUMBER(AD682)),AD682,"")</f>
        <v/>
      </c>
      <c r="I682" s="95" t="str">
        <f aca="false">IF(AND(AE682="yes",ISNUMBER(AD682),ISNUMBER(INDEX(Sources!$G$7:$G$10,MATCH(AB682,Sources!$B$7:$B$10,0)))),ROUND(AD682/INDEX(Sources!$G$7:$G$10,MATCH(AB682,Sources!$B$7:$B$10,0)),6),"")</f>
        <v/>
      </c>
      <c r="J682" s="98" t="s">
        <v>629</v>
      </c>
      <c r="K682" s="98" t="s">
        <v>2059</v>
      </c>
      <c r="L682" s="96"/>
      <c r="M682" s="110" t="s">
        <v>2311</v>
      </c>
      <c r="N682" s="117" t="s">
        <v>2312</v>
      </c>
      <c r="O682" s="110" t="s">
        <v>733</v>
      </c>
      <c r="P682" s="110" t="s">
        <v>590</v>
      </c>
      <c r="Q682" s="118" t="n">
        <v>0.21</v>
      </c>
      <c r="R682" s="110" t="n">
        <v>1</v>
      </c>
      <c r="S682" s="110" t="s">
        <v>632</v>
      </c>
      <c r="T682" s="110" t="s">
        <v>629</v>
      </c>
      <c r="U682" s="110" t="s">
        <v>2062</v>
      </c>
      <c r="V682" s="119" t="n">
        <v>207.58</v>
      </c>
      <c r="W682" s="119"/>
      <c r="X682" s="110" t="s">
        <v>2063</v>
      </c>
      <c r="Y682" s="110" t="s">
        <v>2064</v>
      </c>
      <c r="Z682" s="110" t="s">
        <v>246</v>
      </c>
      <c r="AA682" s="110" t="s">
        <v>537</v>
      </c>
      <c r="AB682" s="110" t="s">
        <v>333</v>
      </c>
      <c r="AC682" s="110" t="s">
        <v>538</v>
      </c>
      <c r="AD682" s="110" t="n">
        <f aca="false">IF(OR(F682="",Q682="",R682=""),"",ROUND(IF(P682="incl.",F682/(1+Q682),F682)/IF(S682="per pack",R682,1),2))</f>
        <v>207.58</v>
      </c>
      <c r="AE682" s="110" t="str">
        <f aca="false">IF(AND(AC682="yes",ISNUMBER(F682),IF(Compare!$H$5="All mapped",TRUE(),IF(Compare!$H$5="EXACT only",J682="EXACT",OR(J682="EXACT",J682="CLOSE")))),"yes","no")</f>
        <v>no</v>
      </c>
      <c r="AF682" s="110" t="str">
        <f aca="false">IF(ISNUMBER(H682),COUNTIFS($B$7:$B$3000,B682,$C$7:$C$3000,C682,$H$7:$H$3000,"&lt;"&amp;H682,$AH$7:$AH$3000,"yes")+COUNTIFS($B$7:B682,B682,$C$7:C682,C682,$H$7:H682,H682,$AH$7:AH682,"yes"),"")</f>
        <v/>
      </c>
      <c r="AG682" s="110" t="str">
        <f aca="false">IF(ISNUMBER(I682),COUNTIFS($B$7:$B$3000,B682,$C$7:$C$3000,C682,$I$7:$I$3000,"&lt;"&amp;I682,$AI$7:$AI$3000,"yes")+COUNTIFS($B$7:B682,B682,$C$7:C682,C682,$I$7:I682,I682,$AI$7:AI682,"yes"),"")</f>
        <v/>
      </c>
      <c r="AH682" s="110" t="str">
        <f aca="false">IF(ISNUMBER(H682),"yes","no")</f>
        <v>no</v>
      </c>
      <c r="AI682" s="110" t="str">
        <f aca="false">IF(ISNUMBER(I682),"yes","no")</f>
        <v>no</v>
      </c>
      <c r="AJ682" s="120" t="n">
        <v>46297</v>
      </c>
      <c r="AK682" s="110"/>
    </row>
    <row r="683" customFormat="false" ht="23.25" hidden="false" customHeight="true" outlineLevel="0" collapsed="false">
      <c r="B683" s="36" t="s">
        <v>60</v>
      </c>
      <c r="C683" s="98" t="s">
        <v>17</v>
      </c>
      <c r="D683" s="98" t="s">
        <v>357</v>
      </c>
      <c r="E683" s="110" t="s">
        <v>2313</v>
      </c>
      <c r="F683" s="99" t="n">
        <v>394.96</v>
      </c>
      <c r="G683" s="98" t="s">
        <v>333</v>
      </c>
      <c r="H683" s="112" t="str">
        <f aca="false">IF(AND(AE683="yes",ISNUMBER(AD683)),AD683,"")</f>
        <v/>
      </c>
      <c r="I683" s="95" t="str">
        <f aca="false">IF(AND(AE683="yes",ISNUMBER(AD683),ISNUMBER(INDEX(Sources!$G$7:$G$10,MATCH(AB683,Sources!$B$7:$B$10,0)))),ROUND(AD683/INDEX(Sources!$G$7:$G$10,MATCH(AB683,Sources!$B$7:$B$10,0)),6),"")</f>
        <v/>
      </c>
      <c r="J683" s="98" t="s">
        <v>956</v>
      </c>
      <c r="K683" s="98" t="s">
        <v>2059</v>
      </c>
      <c r="L683" s="96"/>
      <c r="M683" s="110" t="s">
        <v>2314</v>
      </c>
      <c r="N683" s="117" t="s">
        <v>2305</v>
      </c>
      <c r="O683" s="110" t="s">
        <v>388</v>
      </c>
      <c r="P683" s="110" t="s">
        <v>590</v>
      </c>
      <c r="Q683" s="118" t="n">
        <v>0.21</v>
      </c>
      <c r="R683" s="110" t="n">
        <v>1</v>
      </c>
      <c r="S683" s="110" t="s">
        <v>632</v>
      </c>
      <c r="T683" s="110" t="s">
        <v>956</v>
      </c>
      <c r="U683" s="110" t="s">
        <v>2062</v>
      </c>
      <c r="V683" s="119" t="n">
        <v>394.96</v>
      </c>
      <c r="W683" s="119"/>
      <c r="X683" s="110" t="s">
        <v>2063</v>
      </c>
      <c r="Y683" s="110" t="s">
        <v>2064</v>
      </c>
      <c r="Z683" s="110" t="s">
        <v>2306</v>
      </c>
      <c r="AA683" s="110" t="s">
        <v>537</v>
      </c>
      <c r="AB683" s="110" t="s">
        <v>333</v>
      </c>
      <c r="AC683" s="110" t="s">
        <v>538</v>
      </c>
      <c r="AD683" s="110" t="n">
        <f aca="false">IF(OR(F683="",Q683="",R683=""),"",ROUND(IF(P683="incl.",F683/(1+Q683),F683)/IF(S683="per pack",R683,1),2))</f>
        <v>394.96</v>
      </c>
      <c r="AE683" s="110" t="str">
        <f aca="false">IF(AND(AC683="yes",ISNUMBER(F683),IF(Compare!$H$5="All mapped",TRUE(),IF(Compare!$H$5="EXACT only",J683="EXACT",OR(J683="EXACT",J683="CLOSE")))),"yes","no")</f>
        <v>no</v>
      </c>
      <c r="AF683" s="110" t="str">
        <f aca="false">IF(ISNUMBER(H683),COUNTIFS($B$7:$B$3000,B683,$C$7:$C$3000,C683,$H$7:$H$3000,"&lt;"&amp;H683,$AH$7:$AH$3000,"yes")+COUNTIFS($B$7:B683,B683,$C$7:C683,C683,$H$7:H683,H683,$AH$7:AH683,"yes"),"")</f>
        <v/>
      </c>
      <c r="AG683" s="110" t="str">
        <f aca="false">IF(ISNUMBER(I683),COUNTIFS($B$7:$B$3000,B683,$C$7:$C$3000,C683,$I$7:$I$3000,"&lt;"&amp;I683,$AI$7:$AI$3000,"yes")+COUNTIFS($B$7:B683,B683,$C$7:C683,C683,$I$7:I683,I683,$AI$7:AI683,"yes"),"")</f>
        <v/>
      </c>
      <c r="AH683" s="110" t="str">
        <f aca="false">IF(ISNUMBER(H683),"yes","no")</f>
        <v>no</v>
      </c>
      <c r="AI683" s="110" t="str">
        <f aca="false">IF(ISNUMBER(I683),"yes","no")</f>
        <v>no</v>
      </c>
      <c r="AJ683" s="120" t="n">
        <v>46297</v>
      </c>
      <c r="AK683" s="110"/>
    </row>
    <row r="684" customFormat="false" ht="57" hidden="false" customHeight="true" outlineLevel="0" collapsed="false">
      <c r="B684" s="36" t="s">
        <v>65</v>
      </c>
      <c r="C684" s="98" t="s">
        <v>17</v>
      </c>
      <c r="D684" s="98" t="s">
        <v>354</v>
      </c>
      <c r="E684" s="110" t="s">
        <v>2315</v>
      </c>
      <c r="F684" s="99" t="n">
        <v>1241.05</v>
      </c>
      <c r="G684" s="98" t="s">
        <v>333</v>
      </c>
      <c r="H684" s="112" t="str">
        <f aca="false">IF(AND(AE684="yes",ISNUMBER(AD684)),AD684,"")</f>
        <v/>
      </c>
      <c r="I684" s="95" t="str">
        <f aca="false">IF(AND(AE684="yes",ISNUMBER(AD684),ISNUMBER(INDEX(Sources!$G$7:$G$10,MATCH(AB684,Sources!$B$7:$B$10,0)))),ROUND(AD684/INDEX(Sources!$G$7:$G$10,MATCH(AB684,Sources!$B$7:$B$10,0)),6),"")</f>
        <v/>
      </c>
      <c r="J684" s="98" t="s">
        <v>629</v>
      </c>
      <c r="K684" s="98" t="s">
        <v>2059</v>
      </c>
      <c r="L684" s="96"/>
      <c r="M684" s="110" t="s">
        <v>2316</v>
      </c>
      <c r="N684" s="117" t="s">
        <v>2317</v>
      </c>
      <c r="O684" s="110" t="s">
        <v>610</v>
      </c>
      <c r="P684" s="110" t="s">
        <v>590</v>
      </c>
      <c r="Q684" s="118" t="n">
        <v>0.19</v>
      </c>
      <c r="R684" s="110" t="n">
        <v>1</v>
      </c>
      <c r="S684" s="110" t="s">
        <v>632</v>
      </c>
      <c r="T684" s="110" t="s">
        <v>629</v>
      </c>
      <c r="U684" s="110" t="s">
        <v>2062</v>
      </c>
      <c r="V684" s="119" t="n">
        <v>1241.05</v>
      </c>
      <c r="W684" s="119"/>
      <c r="X684" s="110" t="s">
        <v>2063</v>
      </c>
      <c r="Y684" s="110" t="s">
        <v>2064</v>
      </c>
      <c r="Z684" s="110" t="s">
        <v>2318</v>
      </c>
      <c r="AA684" s="110" t="s">
        <v>537</v>
      </c>
      <c r="AB684" s="110" t="s">
        <v>333</v>
      </c>
      <c r="AC684" s="110" t="s">
        <v>538</v>
      </c>
      <c r="AD684" s="110" t="n">
        <f aca="false">IF(OR(F684="",Q684="",R684=""),"",ROUND(IF(P684="incl.",F684/(1+Q684),F684)/IF(S684="per pack",R684,1),2))</f>
        <v>1241.05</v>
      </c>
      <c r="AE684" s="110" t="str">
        <f aca="false">IF(AND(AC684="yes",ISNUMBER(F684),IF(Compare!$H$5="All mapped",TRUE(),IF(Compare!$H$5="EXACT only",J684="EXACT",OR(J684="EXACT",J684="CLOSE")))),"yes","no")</f>
        <v>no</v>
      </c>
      <c r="AF684" s="110" t="str">
        <f aca="false">IF(ISNUMBER(H684),COUNTIFS($B$7:$B$3000,B684,$C$7:$C$3000,C684,$H$7:$H$3000,"&lt;"&amp;H684,$AH$7:$AH$3000,"yes")+COUNTIFS($B$7:B684,B684,$C$7:C684,C684,$H$7:H684,H684,$AH$7:AH684,"yes"),"")</f>
        <v/>
      </c>
      <c r="AG684" s="110" t="str">
        <f aca="false">IF(ISNUMBER(I684),COUNTIFS($B$7:$B$3000,B684,$C$7:$C$3000,C684,$I$7:$I$3000,"&lt;"&amp;I684,$AI$7:$AI$3000,"yes")+COUNTIFS($B$7:B684,B684,$C$7:C684,C684,$I$7:I684,I684,$AI$7:AI684,"yes"),"")</f>
        <v/>
      </c>
      <c r="AH684" s="110" t="str">
        <f aca="false">IF(ISNUMBER(H684),"yes","no")</f>
        <v>no</v>
      </c>
      <c r="AI684" s="110" t="str">
        <f aca="false">IF(ISNUMBER(I684),"yes","no")</f>
        <v>no</v>
      </c>
      <c r="AJ684" s="120" t="n">
        <v>46297</v>
      </c>
      <c r="AK684" s="110"/>
    </row>
    <row r="685" customFormat="false" ht="45.75" hidden="false" customHeight="true" outlineLevel="0" collapsed="false">
      <c r="B685" s="36" t="s">
        <v>62</v>
      </c>
      <c r="C685" s="98" t="s">
        <v>17</v>
      </c>
      <c r="D685" s="98" t="s">
        <v>354</v>
      </c>
      <c r="E685" s="110" t="s">
        <v>2319</v>
      </c>
      <c r="F685" s="99" t="n">
        <v>827.28</v>
      </c>
      <c r="G685" s="98" t="s">
        <v>333</v>
      </c>
      <c r="H685" s="112" t="str">
        <f aca="false">IF(AND(AE685="yes",ISNUMBER(AD685)),AD685,"")</f>
        <v/>
      </c>
      <c r="I685" s="95" t="str">
        <f aca="false">IF(AND(AE685="yes",ISNUMBER(AD685),ISNUMBER(INDEX(Sources!$G$7:$G$10,MATCH(AB685,Sources!$B$7:$B$10,0)))),ROUND(AD685/INDEX(Sources!$G$7:$G$10,MATCH(AB685,Sources!$B$7:$B$10,0)),6),"")</f>
        <v/>
      </c>
      <c r="J685" s="98" t="s">
        <v>629</v>
      </c>
      <c r="K685" s="98" t="s">
        <v>2059</v>
      </c>
      <c r="L685" s="96"/>
      <c r="M685" s="110" t="s">
        <v>2320</v>
      </c>
      <c r="N685" s="117" t="s">
        <v>1792</v>
      </c>
      <c r="O685" s="110" t="s">
        <v>610</v>
      </c>
      <c r="P685" s="110" t="s">
        <v>590</v>
      </c>
      <c r="Q685" s="118" t="n">
        <v>0.19</v>
      </c>
      <c r="R685" s="110" t="n">
        <v>6</v>
      </c>
      <c r="S685" s="110" t="s">
        <v>625</v>
      </c>
      <c r="T685" s="110" t="s">
        <v>629</v>
      </c>
      <c r="U685" s="110" t="s">
        <v>2062</v>
      </c>
      <c r="V685" s="119" t="n">
        <v>137.88</v>
      </c>
      <c r="W685" s="119"/>
      <c r="X685" s="110" t="s">
        <v>2063</v>
      </c>
      <c r="Y685" s="110" t="s">
        <v>2064</v>
      </c>
      <c r="Z685" s="110" t="s">
        <v>2321</v>
      </c>
      <c r="AA685" s="110" t="s">
        <v>537</v>
      </c>
      <c r="AB685" s="110" t="s">
        <v>333</v>
      </c>
      <c r="AC685" s="110" t="s">
        <v>538</v>
      </c>
      <c r="AD685" s="110" t="n">
        <f aca="false">IF(OR(F685="",Q685="",R685=""),"",ROUND(IF(P685="incl.",F685/(1+Q685),F685)/IF(S685="per pack",R685,1),2))</f>
        <v>137.88</v>
      </c>
      <c r="AE685" s="110" t="str">
        <f aca="false">IF(AND(AC685="yes",ISNUMBER(F685),IF(Compare!$H$5="All mapped",TRUE(),IF(Compare!$H$5="EXACT only",J685="EXACT",OR(J685="EXACT",J685="CLOSE")))),"yes","no")</f>
        <v>no</v>
      </c>
      <c r="AF685" s="110" t="str">
        <f aca="false">IF(ISNUMBER(H685),COUNTIFS($B$7:$B$3000,B685,$C$7:$C$3000,C685,$H$7:$H$3000,"&lt;"&amp;H685,$AH$7:$AH$3000,"yes")+COUNTIFS($B$7:B685,B685,$C$7:C685,C685,$H$7:H685,H685,$AH$7:AH685,"yes"),"")</f>
        <v/>
      </c>
      <c r="AG685" s="110" t="str">
        <f aca="false">IF(ISNUMBER(I685),COUNTIFS($B$7:$B$3000,B685,$C$7:$C$3000,C685,$I$7:$I$3000,"&lt;"&amp;I685,$AI$7:$AI$3000,"yes")+COUNTIFS($B$7:B685,B685,$C$7:C685,C685,$I$7:I685,I685,$AI$7:AI685,"yes"),"")</f>
        <v/>
      </c>
      <c r="AH685" s="110" t="str">
        <f aca="false">IF(ISNUMBER(H685),"yes","no")</f>
        <v>no</v>
      </c>
      <c r="AI685" s="110" t="str">
        <f aca="false">IF(ISNUMBER(I685),"yes","no")</f>
        <v>no</v>
      </c>
      <c r="AJ685" s="120" t="n">
        <v>46297</v>
      </c>
      <c r="AK685" s="110"/>
    </row>
    <row r="686" customFormat="false" ht="45.75" hidden="false" customHeight="true" outlineLevel="0" collapsed="false">
      <c r="B686" s="36" t="s">
        <v>26</v>
      </c>
      <c r="C686" s="98" t="s">
        <v>17</v>
      </c>
      <c r="D686" s="98" t="s">
        <v>338</v>
      </c>
      <c r="E686" s="110" t="s">
        <v>2322</v>
      </c>
      <c r="F686" s="99" t="n">
        <v>93</v>
      </c>
      <c r="G686" s="98" t="s">
        <v>333</v>
      </c>
      <c r="H686" s="112" t="n">
        <f aca="false">IF(AND(AE686="yes",ISNUMBER(AD686)),AD686,"")</f>
        <v>93</v>
      </c>
      <c r="I686" s="95" t="n">
        <f aca="false">IF(AND(AE686="yes",ISNUMBER(AD686),ISNUMBER(INDEX(Sources!$G$7:$G$10,MATCH(AB686,Sources!$B$7:$B$10,0)))),ROUND(AD686/INDEX(Sources!$G$7:$G$10,MATCH(AB686,Sources!$B$7:$B$10,0)),6),"")</f>
        <v>3.80779</v>
      </c>
      <c r="J686" s="98" t="s">
        <v>702</v>
      </c>
      <c r="K686" s="98" t="s">
        <v>2059</v>
      </c>
      <c r="L686" s="96"/>
      <c r="M686" s="110" t="s">
        <v>2323</v>
      </c>
      <c r="N686" s="117" t="s">
        <v>2324</v>
      </c>
      <c r="O686" s="110" t="s">
        <v>598</v>
      </c>
      <c r="P686" s="110" t="s">
        <v>590</v>
      </c>
      <c r="Q686" s="118" t="n">
        <v>0.21</v>
      </c>
      <c r="R686" s="110" t="n">
        <v>1</v>
      </c>
      <c r="S686" s="110" t="s">
        <v>632</v>
      </c>
      <c r="T686" s="110" t="s">
        <v>702</v>
      </c>
      <c r="U686" s="110" t="s">
        <v>2062</v>
      </c>
      <c r="V686" s="119" t="n">
        <v>93</v>
      </c>
      <c r="W686" s="119"/>
      <c r="X686" s="110" t="s">
        <v>2063</v>
      </c>
      <c r="Y686" s="110" t="s">
        <v>2064</v>
      </c>
      <c r="Z686" s="110" t="s">
        <v>2325</v>
      </c>
      <c r="AA686" s="110" t="s">
        <v>537</v>
      </c>
      <c r="AB686" s="110" t="s">
        <v>333</v>
      </c>
      <c r="AC686" s="110" t="s">
        <v>538</v>
      </c>
      <c r="AD686" s="110" t="n">
        <f aca="false">IF(OR(F686="",Q686="",R686=""),"",ROUND(IF(P686="incl.",F686/(1+Q686),F686)/IF(S686="per pack",R686,1),2))</f>
        <v>93</v>
      </c>
      <c r="AE686" s="110" t="str">
        <f aca="false">IF(AND(AC686="yes",ISNUMBER(F686),IF(Compare!$H$5="All mapped",TRUE(),IF(Compare!$H$5="EXACT only",J686="EXACT",OR(J686="EXACT",J686="CLOSE")))),"yes","no")</f>
        <v>yes</v>
      </c>
      <c r="AF686" s="110" t="n">
        <f aca="false">IF(ISNUMBER(H686),COUNTIFS($B$7:$B$3000,B686,$C$7:$C$3000,C686,$H$7:$H$3000,"&lt;"&amp;H686,$AH$7:$AH$3000,"yes")+COUNTIFS($B$7:B686,B686,$C$7:C686,C686,$H$7:H686,H686,$AH$7:AH686,"yes"),"")</f>
        <v>3</v>
      </c>
      <c r="AG686" s="110" t="n">
        <f aca="false">IF(ISNUMBER(I686),COUNTIFS($B$7:$B$3000,B686,$C$7:$C$3000,C686,$I$7:$I$3000,"&lt;"&amp;I686,$AI$7:$AI$3000,"yes")+COUNTIFS($B$7:B686,B686,$C$7:C686,C686,$I$7:I686,I686,$AI$7:AI686,"yes"),"")</f>
        <v>3</v>
      </c>
      <c r="AH686" s="110" t="str">
        <f aca="false">IF(ISNUMBER(H686),"yes","no")</f>
        <v>yes</v>
      </c>
      <c r="AI686" s="110" t="str">
        <f aca="false">IF(ISNUMBER(I686),"yes","no")</f>
        <v>yes</v>
      </c>
      <c r="AJ686" s="120" t="n">
        <v>46297</v>
      </c>
      <c r="AK686" s="110"/>
    </row>
    <row r="687" customFormat="false" ht="34.5" hidden="false" customHeight="true" outlineLevel="0" collapsed="false">
      <c r="B687" s="36" t="s">
        <v>52</v>
      </c>
      <c r="C687" s="98" t="s">
        <v>17</v>
      </c>
      <c r="D687" s="98" t="s">
        <v>338</v>
      </c>
      <c r="E687" s="110" t="s">
        <v>2326</v>
      </c>
      <c r="F687" s="99" t="n">
        <v>42</v>
      </c>
      <c r="G687" s="98" t="s">
        <v>333</v>
      </c>
      <c r="H687" s="112" t="n">
        <f aca="false">IF(AND(AE687="yes",ISNUMBER(AD687)),AD687,"")</f>
        <v>42</v>
      </c>
      <c r="I687" s="95" t="n">
        <f aca="false">IF(AND(AE687="yes",ISNUMBER(AD687),ISNUMBER(INDEX(Sources!$G$7:$G$10,MATCH(AB687,Sources!$B$7:$B$10,0)))),ROUND(AD687/INDEX(Sources!$G$7:$G$10,MATCH(AB687,Sources!$B$7:$B$10,0)),6),"")</f>
        <v>1.719647</v>
      </c>
      <c r="J687" s="98" t="s">
        <v>702</v>
      </c>
      <c r="K687" s="98" t="s">
        <v>2059</v>
      </c>
      <c r="L687" s="96"/>
      <c r="M687" s="110" t="s">
        <v>2327</v>
      </c>
      <c r="N687" s="117" t="s">
        <v>2328</v>
      </c>
      <c r="O687" s="110" t="s">
        <v>598</v>
      </c>
      <c r="P687" s="110" t="s">
        <v>590</v>
      </c>
      <c r="Q687" s="118" t="n">
        <v>0.21</v>
      </c>
      <c r="R687" s="110" t="n">
        <v>1</v>
      </c>
      <c r="S687" s="110" t="s">
        <v>632</v>
      </c>
      <c r="T687" s="110" t="s">
        <v>702</v>
      </c>
      <c r="U687" s="110" t="s">
        <v>2062</v>
      </c>
      <c r="V687" s="119" t="n">
        <v>42</v>
      </c>
      <c r="W687" s="119"/>
      <c r="X687" s="110" t="s">
        <v>2063</v>
      </c>
      <c r="Y687" s="110" t="s">
        <v>2064</v>
      </c>
      <c r="Z687" s="110" t="s">
        <v>2325</v>
      </c>
      <c r="AA687" s="110" t="s">
        <v>537</v>
      </c>
      <c r="AB687" s="110" t="s">
        <v>333</v>
      </c>
      <c r="AC687" s="110" t="s">
        <v>538</v>
      </c>
      <c r="AD687" s="110" t="n">
        <f aca="false">IF(OR(F687="",Q687="",R687=""),"",ROUND(IF(P687="incl.",F687/(1+Q687),F687)/IF(S687="per pack",R687,1),2))</f>
        <v>42</v>
      </c>
      <c r="AE687" s="110" t="str">
        <f aca="false">IF(AND(AC687="yes",ISNUMBER(F687),IF(Compare!$H$5="All mapped",TRUE(),IF(Compare!$H$5="EXACT only",J687="EXACT",OR(J687="EXACT",J687="CLOSE")))),"yes","no")</f>
        <v>yes</v>
      </c>
      <c r="AF687" s="110" t="n">
        <f aca="false">IF(ISNUMBER(H687),COUNTIFS($B$7:$B$3000,B687,$C$7:$C$3000,C687,$H$7:$H$3000,"&lt;"&amp;H687,$AH$7:$AH$3000,"yes")+COUNTIFS($B$7:B687,B687,$C$7:C687,C687,$H$7:H687,H687,$AH$7:AH687,"yes"),"")</f>
        <v>2</v>
      </c>
      <c r="AG687" s="110" t="n">
        <f aca="false">IF(ISNUMBER(I687),COUNTIFS($B$7:$B$3000,B687,$C$7:$C$3000,C687,$I$7:$I$3000,"&lt;"&amp;I687,$AI$7:$AI$3000,"yes")+COUNTIFS($B$7:B687,B687,$C$7:C687,C687,$I$7:I687,I687,$AI$7:AI687,"yes"),"")</f>
        <v>2</v>
      </c>
      <c r="AH687" s="110" t="str">
        <f aca="false">IF(ISNUMBER(H687),"yes","no")</f>
        <v>yes</v>
      </c>
      <c r="AI687" s="110" t="str">
        <f aca="false">IF(ISNUMBER(I687),"yes","no")</f>
        <v>yes</v>
      </c>
      <c r="AJ687" s="120" t="n">
        <v>46297</v>
      </c>
      <c r="AK687" s="110"/>
    </row>
    <row r="688" customFormat="false" ht="45.75" hidden="false" customHeight="true" outlineLevel="0" collapsed="false">
      <c r="B688" s="36" t="s">
        <v>25</v>
      </c>
      <c r="C688" s="98" t="s">
        <v>17</v>
      </c>
      <c r="D688" s="98" t="s">
        <v>338</v>
      </c>
      <c r="E688" s="110" t="s">
        <v>2329</v>
      </c>
      <c r="F688" s="99" t="n">
        <v>115</v>
      </c>
      <c r="G688" s="98" t="s">
        <v>333</v>
      </c>
      <c r="H688" s="112" t="n">
        <f aca="false">IF(AND(AE688="yes",ISNUMBER(AD688)),AD688,"")</f>
        <v>115</v>
      </c>
      <c r="I688" s="95" t="n">
        <f aca="false">IF(AND(AE688="yes",ISNUMBER(AD688),ISNUMBER(INDEX(Sources!$G$7:$G$10,MATCH(AB688,Sources!$B$7:$B$10,0)))),ROUND(AD688/INDEX(Sources!$G$7:$G$10,MATCH(AB688,Sources!$B$7:$B$10,0)),6),"")</f>
        <v>4.708558</v>
      </c>
      <c r="J688" s="98" t="s">
        <v>702</v>
      </c>
      <c r="K688" s="98" t="s">
        <v>2059</v>
      </c>
      <c r="L688" s="96"/>
      <c r="M688" s="110" t="s">
        <v>2330</v>
      </c>
      <c r="N688" s="117" t="s">
        <v>2331</v>
      </c>
      <c r="O688" s="110" t="s">
        <v>565</v>
      </c>
      <c r="P688" s="110" t="s">
        <v>590</v>
      </c>
      <c r="Q688" s="118" t="n">
        <v>0.21</v>
      </c>
      <c r="R688" s="110" t="n">
        <v>1</v>
      </c>
      <c r="S688" s="110" t="s">
        <v>632</v>
      </c>
      <c r="T688" s="110" t="s">
        <v>702</v>
      </c>
      <c r="U688" s="110" t="s">
        <v>2062</v>
      </c>
      <c r="V688" s="119" t="n">
        <v>115</v>
      </c>
      <c r="W688" s="119"/>
      <c r="X688" s="110" t="s">
        <v>2063</v>
      </c>
      <c r="Y688" s="110" t="s">
        <v>2064</v>
      </c>
      <c r="Z688" s="110" t="s">
        <v>2332</v>
      </c>
      <c r="AA688" s="110" t="s">
        <v>537</v>
      </c>
      <c r="AB688" s="110" t="s">
        <v>333</v>
      </c>
      <c r="AC688" s="110" t="s">
        <v>538</v>
      </c>
      <c r="AD688" s="110" t="n">
        <f aca="false">IF(OR(F688="",Q688="",R688=""),"",ROUND(IF(P688="incl.",F688/(1+Q688),F688)/IF(S688="per pack",R688,1),2))</f>
        <v>115</v>
      </c>
      <c r="AE688" s="110" t="str">
        <f aca="false">IF(AND(AC688="yes",ISNUMBER(F688),IF(Compare!$H$5="All mapped",TRUE(),IF(Compare!$H$5="EXACT only",J688="EXACT",OR(J688="EXACT",J688="CLOSE")))),"yes","no")</f>
        <v>yes</v>
      </c>
      <c r="AF688" s="110" t="n">
        <f aca="false">IF(ISNUMBER(H688),COUNTIFS($B$7:$B$3000,B688,$C$7:$C$3000,C688,$H$7:$H$3000,"&lt;"&amp;H688,$AH$7:$AH$3000,"yes")+COUNTIFS($B$7:B688,B688,$C$7:C688,C688,$H$7:H688,H688,$AH$7:AH688,"yes"),"")</f>
        <v>3</v>
      </c>
      <c r="AG688" s="110" t="n">
        <f aca="false">IF(ISNUMBER(I688),COUNTIFS($B$7:$B$3000,B688,$C$7:$C$3000,C688,$I$7:$I$3000,"&lt;"&amp;I688,$AI$7:$AI$3000,"yes")+COUNTIFS($B$7:B688,B688,$C$7:C688,C688,$I$7:I688,I688,$AI$7:AI688,"yes"),"")</f>
        <v>3</v>
      </c>
      <c r="AH688" s="110" t="str">
        <f aca="false">IF(ISNUMBER(H688),"yes","no")</f>
        <v>yes</v>
      </c>
      <c r="AI688" s="110" t="str">
        <f aca="false">IF(ISNUMBER(I688),"yes","no")</f>
        <v>yes</v>
      </c>
      <c r="AJ688" s="120" t="n">
        <v>46297</v>
      </c>
      <c r="AK688" s="110"/>
    </row>
    <row r="689" customFormat="false" ht="34.5" hidden="false" customHeight="true" outlineLevel="0" collapsed="false">
      <c r="B689" s="36" t="s">
        <v>27</v>
      </c>
      <c r="C689" s="98" t="s">
        <v>17</v>
      </c>
      <c r="D689" s="98" t="s">
        <v>338</v>
      </c>
      <c r="E689" s="110" t="s">
        <v>2333</v>
      </c>
      <c r="F689" s="99" t="n">
        <v>113</v>
      </c>
      <c r="G689" s="98" t="s">
        <v>333</v>
      </c>
      <c r="H689" s="112" t="str">
        <f aca="false">IF(AND(AE689="yes",ISNUMBER(AD689)),AD689,"")</f>
        <v/>
      </c>
      <c r="I689" s="95" t="str">
        <f aca="false">IF(AND(AE689="yes",ISNUMBER(AD689),ISNUMBER(INDEX(Sources!$G$7:$G$10,MATCH(AB689,Sources!$B$7:$B$10,0)))),ROUND(AD689/INDEX(Sources!$G$7:$G$10,MATCH(AB689,Sources!$B$7:$B$10,0)),6),"")</f>
        <v/>
      </c>
      <c r="J689" s="98" t="s">
        <v>629</v>
      </c>
      <c r="K689" s="98" t="s">
        <v>2059</v>
      </c>
      <c r="L689" s="96"/>
      <c r="M689" s="110" t="s">
        <v>2334</v>
      </c>
      <c r="N689" s="117" t="s">
        <v>2335</v>
      </c>
      <c r="O689" s="110" t="s">
        <v>598</v>
      </c>
      <c r="P689" s="110" t="s">
        <v>590</v>
      </c>
      <c r="Q689" s="118" t="n">
        <v>0.21</v>
      </c>
      <c r="R689" s="110" t="n">
        <v>1</v>
      </c>
      <c r="S689" s="110" t="s">
        <v>632</v>
      </c>
      <c r="T689" s="110" t="s">
        <v>629</v>
      </c>
      <c r="U689" s="110" t="s">
        <v>2062</v>
      </c>
      <c r="V689" s="119" t="n">
        <v>113</v>
      </c>
      <c r="W689" s="119"/>
      <c r="X689" s="110" t="s">
        <v>2063</v>
      </c>
      <c r="Y689" s="110" t="s">
        <v>2064</v>
      </c>
      <c r="Z689" s="110" t="s">
        <v>2325</v>
      </c>
      <c r="AA689" s="110" t="s">
        <v>537</v>
      </c>
      <c r="AB689" s="110" t="s">
        <v>333</v>
      </c>
      <c r="AC689" s="110" t="s">
        <v>538</v>
      </c>
      <c r="AD689" s="110" t="n">
        <f aca="false">IF(OR(F689="",Q689="",R689=""),"",ROUND(IF(P689="incl.",F689/(1+Q689),F689)/IF(S689="per pack",R689,1),2))</f>
        <v>113</v>
      </c>
      <c r="AE689" s="110" t="str">
        <f aca="false">IF(AND(AC689="yes",ISNUMBER(F689),IF(Compare!$H$5="All mapped",TRUE(),IF(Compare!$H$5="EXACT only",J689="EXACT",OR(J689="EXACT",J689="CLOSE")))),"yes","no")</f>
        <v>no</v>
      </c>
      <c r="AF689" s="110" t="str">
        <f aca="false">IF(ISNUMBER(H689),COUNTIFS($B$7:$B$3000,B689,$C$7:$C$3000,C689,$H$7:$H$3000,"&lt;"&amp;H689,$AH$7:$AH$3000,"yes")+COUNTIFS($B$7:B689,B689,$C$7:C689,C689,$H$7:H689,H689,$AH$7:AH689,"yes"),"")</f>
        <v/>
      </c>
      <c r="AG689" s="110" t="str">
        <f aca="false">IF(ISNUMBER(I689),COUNTIFS($B$7:$B$3000,B689,$C$7:$C$3000,C689,$I$7:$I$3000,"&lt;"&amp;I689,$AI$7:$AI$3000,"yes")+COUNTIFS($B$7:B689,B689,$C$7:C689,C689,$I$7:I689,I689,$AI$7:AI689,"yes"),"")</f>
        <v/>
      </c>
      <c r="AH689" s="110" t="str">
        <f aca="false">IF(ISNUMBER(H689),"yes","no")</f>
        <v>no</v>
      </c>
      <c r="AI689" s="110" t="str">
        <f aca="false">IF(ISNUMBER(I689),"yes","no")</f>
        <v>no</v>
      </c>
      <c r="AJ689" s="120" t="n">
        <v>46297</v>
      </c>
      <c r="AK689" s="110"/>
    </row>
    <row r="690" customFormat="false" ht="45.75" hidden="false" customHeight="true" outlineLevel="0" collapsed="false">
      <c r="B690" s="36" t="s">
        <v>53</v>
      </c>
      <c r="C690" s="98" t="s">
        <v>17</v>
      </c>
      <c r="D690" s="98" t="s">
        <v>338</v>
      </c>
      <c r="E690" s="110" t="s">
        <v>2336</v>
      </c>
      <c r="F690" s="99" t="n">
        <v>38</v>
      </c>
      <c r="G690" s="98" t="s">
        <v>333</v>
      </c>
      <c r="H690" s="112" t="n">
        <f aca="false">IF(AND(AE690="yes",ISNUMBER(AD690)),AD690,"")</f>
        <v>38</v>
      </c>
      <c r="I690" s="95" t="n">
        <f aca="false">IF(AND(AE690="yes",ISNUMBER(AD690),ISNUMBER(INDEX(Sources!$G$7:$G$10,MATCH(AB690,Sources!$B$7:$B$10,0)))),ROUND(AD690/INDEX(Sources!$G$7:$G$10,MATCH(AB690,Sources!$B$7:$B$10,0)),6),"")</f>
        <v>1.555871</v>
      </c>
      <c r="J690" s="98" t="s">
        <v>702</v>
      </c>
      <c r="K690" s="98" t="s">
        <v>2059</v>
      </c>
      <c r="L690" s="96"/>
      <c r="M690" s="110" t="s">
        <v>2337</v>
      </c>
      <c r="N690" s="117" t="s">
        <v>2338</v>
      </c>
      <c r="O690" s="110" t="s">
        <v>388</v>
      </c>
      <c r="P690" s="110" t="s">
        <v>590</v>
      </c>
      <c r="Q690" s="118" t="n">
        <v>0.21</v>
      </c>
      <c r="R690" s="110" t="n">
        <v>1</v>
      </c>
      <c r="S690" s="110" t="s">
        <v>632</v>
      </c>
      <c r="T690" s="110" t="s">
        <v>702</v>
      </c>
      <c r="U690" s="110" t="s">
        <v>2062</v>
      </c>
      <c r="V690" s="119" t="n">
        <v>38</v>
      </c>
      <c r="W690" s="119"/>
      <c r="X690" s="110" t="s">
        <v>2063</v>
      </c>
      <c r="Y690" s="110" t="s">
        <v>2064</v>
      </c>
      <c r="Z690" s="110" t="s">
        <v>2325</v>
      </c>
      <c r="AA690" s="110" t="s">
        <v>537</v>
      </c>
      <c r="AB690" s="110" t="s">
        <v>333</v>
      </c>
      <c r="AC690" s="110" t="s">
        <v>538</v>
      </c>
      <c r="AD690" s="110" t="n">
        <f aca="false">IF(OR(F690="",Q690="",R690=""),"",ROUND(IF(P690="incl.",F690/(1+Q690),F690)/IF(S690="per pack",R690,1),2))</f>
        <v>38</v>
      </c>
      <c r="AE690" s="110" t="str">
        <f aca="false">IF(AND(AC690="yes",ISNUMBER(F690),IF(Compare!$H$5="All mapped",TRUE(),IF(Compare!$H$5="EXACT only",J690="EXACT",OR(J690="EXACT",J690="CLOSE")))),"yes","no")</f>
        <v>yes</v>
      </c>
      <c r="AF690" s="110" t="n">
        <f aca="false">IF(ISNUMBER(H690),COUNTIFS($B$7:$B$3000,B690,$C$7:$C$3000,C690,$H$7:$H$3000,"&lt;"&amp;H690,$AH$7:$AH$3000,"yes")+COUNTIFS($B$7:B690,B690,$C$7:C690,C690,$H$7:H690,H690,$AH$7:AH690,"yes"),"")</f>
        <v>4</v>
      </c>
      <c r="AG690" s="110" t="n">
        <f aca="false">IF(ISNUMBER(I690),COUNTIFS($B$7:$B$3000,B690,$C$7:$C$3000,C690,$I$7:$I$3000,"&lt;"&amp;I690,$AI$7:$AI$3000,"yes")+COUNTIFS($B$7:B690,B690,$C$7:C690,C690,$I$7:I690,I690,$AI$7:AI690,"yes"),"")</f>
        <v>4</v>
      </c>
      <c r="AH690" s="110" t="str">
        <f aca="false">IF(ISNUMBER(H690),"yes","no")</f>
        <v>yes</v>
      </c>
      <c r="AI690" s="110" t="str">
        <f aca="false">IF(ISNUMBER(I690),"yes","no")</f>
        <v>yes</v>
      </c>
      <c r="AJ690" s="120" t="n">
        <v>46297</v>
      </c>
      <c r="AK690" s="110"/>
    </row>
    <row r="691" customFormat="false" ht="34.5" hidden="false" customHeight="true" outlineLevel="0" collapsed="false">
      <c r="B691" s="36" t="s">
        <v>62</v>
      </c>
      <c r="C691" s="98" t="s">
        <v>17</v>
      </c>
      <c r="D691" s="98" t="s">
        <v>338</v>
      </c>
      <c r="E691" s="110" t="s">
        <v>2336</v>
      </c>
      <c r="F691" s="99" t="n">
        <v>38</v>
      </c>
      <c r="G691" s="98" t="s">
        <v>333</v>
      </c>
      <c r="H691" s="112" t="n">
        <f aca="false">IF(AND(AE691="yes",ISNUMBER(AD691)),AD691,"")</f>
        <v>38</v>
      </c>
      <c r="I691" s="95" t="n">
        <f aca="false">IF(AND(AE691="yes",ISNUMBER(AD691),ISNUMBER(INDEX(Sources!$G$7:$G$10,MATCH(AB691,Sources!$B$7:$B$10,0)))),ROUND(AD691/INDEX(Sources!$G$7:$G$10,MATCH(AB691,Sources!$B$7:$B$10,0)),6),"")</f>
        <v>1.555871</v>
      </c>
      <c r="J691" s="98" t="s">
        <v>702</v>
      </c>
      <c r="K691" s="98" t="s">
        <v>2059</v>
      </c>
      <c r="L691" s="96"/>
      <c r="M691" s="110" t="s">
        <v>2339</v>
      </c>
      <c r="N691" s="117" t="s">
        <v>2338</v>
      </c>
      <c r="O691" s="110" t="s">
        <v>388</v>
      </c>
      <c r="P691" s="110" t="s">
        <v>590</v>
      </c>
      <c r="Q691" s="118" t="n">
        <v>0.21</v>
      </c>
      <c r="R691" s="110" t="n">
        <v>1</v>
      </c>
      <c r="S691" s="110" t="s">
        <v>632</v>
      </c>
      <c r="T691" s="110" t="s">
        <v>702</v>
      </c>
      <c r="U691" s="110" t="s">
        <v>2062</v>
      </c>
      <c r="V691" s="119" t="n">
        <v>38</v>
      </c>
      <c r="W691" s="119"/>
      <c r="X691" s="110" t="s">
        <v>2063</v>
      </c>
      <c r="Y691" s="110" t="s">
        <v>2064</v>
      </c>
      <c r="Z691" s="110" t="s">
        <v>2325</v>
      </c>
      <c r="AA691" s="110" t="s">
        <v>537</v>
      </c>
      <c r="AB691" s="110" t="s">
        <v>333</v>
      </c>
      <c r="AC691" s="110" t="s">
        <v>538</v>
      </c>
      <c r="AD691" s="110" t="n">
        <f aca="false">IF(OR(F691="",Q691="",R691=""),"",ROUND(IF(P691="incl.",F691/(1+Q691),F691)/IF(S691="per pack",R691,1),2))</f>
        <v>38</v>
      </c>
      <c r="AE691" s="110" t="str">
        <f aca="false">IF(AND(AC691="yes",ISNUMBER(F691),IF(Compare!$H$5="All mapped",TRUE(),IF(Compare!$H$5="EXACT only",J691="EXACT",OR(J691="EXACT",J691="CLOSE")))),"yes","no")</f>
        <v>yes</v>
      </c>
      <c r="AF691" s="110" t="n">
        <f aca="false">IF(ISNUMBER(H691),COUNTIFS($B$7:$B$3000,B691,$C$7:$C$3000,C691,$H$7:$H$3000,"&lt;"&amp;H691,$AH$7:$AH$3000,"yes")+COUNTIFS($B$7:B691,B691,$C$7:C691,C691,$H$7:H691,H691,$AH$7:AH691,"yes"),"")</f>
        <v>1</v>
      </c>
      <c r="AG691" s="110" t="n">
        <f aca="false">IF(ISNUMBER(I691),COUNTIFS($B$7:$B$3000,B691,$C$7:$C$3000,C691,$I$7:$I$3000,"&lt;"&amp;I691,$AI$7:$AI$3000,"yes")+COUNTIFS($B$7:B691,B691,$C$7:C691,C691,$I$7:I691,I691,$AI$7:AI691,"yes"),"")</f>
        <v>1</v>
      </c>
      <c r="AH691" s="110" t="str">
        <f aca="false">IF(ISNUMBER(H691),"yes","no")</f>
        <v>yes</v>
      </c>
      <c r="AI691" s="110" t="str">
        <f aca="false">IF(ISNUMBER(I691),"yes","no")</f>
        <v>yes</v>
      </c>
      <c r="AJ691" s="120" t="n">
        <v>46297</v>
      </c>
      <c r="AK691" s="110"/>
    </row>
    <row r="692" customFormat="false" ht="68.25" hidden="false" customHeight="true" outlineLevel="0" collapsed="false">
      <c r="B692" s="36" t="s">
        <v>65</v>
      </c>
      <c r="C692" s="98" t="s">
        <v>17</v>
      </c>
      <c r="D692" s="98" t="s">
        <v>350</v>
      </c>
      <c r="E692" s="110" t="s">
        <v>2340</v>
      </c>
      <c r="F692" s="99" t="n">
        <v>541</v>
      </c>
      <c r="G692" s="98" t="s">
        <v>333</v>
      </c>
      <c r="H692" s="112" t="n">
        <f aca="false">IF(AND(AE692="yes",ISNUMBER(AD692)),AD692,"")</f>
        <v>541</v>
      </c>
      <c r="I692" s="95" t="n">
        <f aca="false">IF(AND(AE692="yes",ISNUMBER(AD692),ISNUMBER(INDEX(Sources!$G$7:$G$10,MATCH(AB692,Sources!$B$7:$B$10,0)))),ROUND(AD692/INDEX(Sources!$G$7:$G$10,MATCH(AB692,Sources!$B$7:$B$10,0)),6),"")</f>
        <v>22.150692</v>
      </c>
      <c r="J692" s="98" t="s">
        <v>702</v>
      </c>
      <c r="K692" s="98" t="s">
        <v>2059</v>
      </c>
      <c r="L692" s="96"/>
      <c r="M692" s="110" t="s">
        <v>2341</v>
      </c>
      <c r="N692" s="117" t="s">
        <v>2342</v>
      </c>
      <c r="O692" s="110" t="s">
        <v>2343</v>
      </c>
      <c r="P692" s="110" t="s">
        <v>590</v>
      </c>
      <c r="Q692" s="118" t="n">
        <v>0.21</v>
      </c>
      <c r="R692" s="110" t="n">
        <v>1</v>
      </c>
      <c r="S692" s="110" t="s">
        <v>632</v>
      </c>
      <c r="T692" s="110" t="s">
        <v>702</v>
      </c>
      <c r="U692" s="110" t="s">
        <v>2062</v>
      </c>
      <c r="V692" s="119" t="n">
        <v>541</v>
      </c>
      <c r="W692" s="119"/>
      <c r="X692" s="110" t="s">
        <v>2063</v>
      </c>
      <c r="Y692" s="110" t="s">
        <v>2064</v>
      </c>
      <c r="Z692" s="110" t="s">
        <v>2344</v>
      </c>
      <c r="AA692" s="110" t="s">
        <v>537</v>
      </c>
      <c r="AB692" s="110" t="s">
        <v>333</v>
      </c>
      <c r="AC692" s="110" t="s">
        <v>538</v>
      </c>
      <c r="AD692" s="110" t="n">
        <f aca="false">IF(OR(F692="",Q692="",R692=""),"",ROUND(IF(P692="incl.",F692/(1+Q692),F692)/IF(S692="per pack",R692,1),2))</f>
        <v>541</v>
      </c>
      <c r="AE692" s="110" t="str">
        <f aca="false">IF(AND(AC692="yes",ISNUMBER(F692),IF(Compare!$H$5="All mapped",TRUE(),IF(Compare!$H$5="EXACT only",J692="EXACT",OR(J692="EXACT",J692="CLOSE")))),"yes","no")</f>
        <v>yes</v>
      </c>
      <c r="AF692" s="110" t="n">
        <f aca="false">IF(ISNUMBER(H692),COUNTIFS($B$7:$B$3000,B692,$C$7:$C$3000,C692,$H$7:$H$3000,"&lt;"&amp;H692,$AH$7:$AH$3000,"yes")+COUNTIFS($B$7:B692,B692,$C$7:C692,C692,$H$7:H692,H692,$AH$7:AH692,"yes"),"")</f>
        <v>1</v>
      </c>
      <c r="AG692" s="110" t="n">
        <f aca="false">IF(ISNUMBER(I692),COUNTIFS($B$7:$B$3000,B692,$C$7:$C$3000,C692,$I$7:$I$3000,"&lt;"&amp;I692,$AI$7:$AI$3000,"yes")+COUNTIFS($B$7:B692,B692,$C$7:C692,C692,$I$7:I692,I692,$AI$7:AI692,"yes"),"")</f>
        <v>1</v>
      </c>
      <c r="AH692" s="110" t="str">
        <f aca="false">IF(ISNUMBER(H692),"yes","no")</f>
        <v>yes</v>
      </c>
      <c r="AI692" s="110" t="str">
        <f aca="false">IF(ISNUMBER(I692),"yes","no")</f>
        <v>yes</v>
      </c>
      <c r="AJ692" s="120" t="n">
        <v>46297</v>
      </c>
      <c r="AK692" s="110"/>
    </row>
    <row r="693" customFormat="false" ht="34.5" hidden="false" customHeight="true" outlineLevel="0" collapsed="false">
      <c r="B693" s="36" t="s">
        <v>52</v>
      </c>
      <c r="C693" s="98" t="s">
        <v>17</v>
      </c>
      <c r="D693" s="98" t="s">
        <v>350</v>
      </c>
      <c r="E693" s="110" t="s">
        <v>2345</v>
      </c>
      <c r="F693" s="99" t="n">
        <v>26</v>
      </c>
      <c r="G693" s="98" t="s">
        <v>333</v>
      </c>
      <c r="H693" s="112" t="str">
        <f aca="false">IF(AND(AE693="yes",ISNUMBER(AD693)),AD693,"")</f>
        <v/>
      </c>
      <c r="I693" s="95" t="str">
        <f aca="false">IF(AND(AE693="yes",ISNUMBER(AD693),ISNUMBER(INDEX(Sources!$G$7:$G$10,MATCH(AB693,Sources!$B$7:$B$10,0)))),ROUND(AD693/INDEX(Sources!$G$7:$G$10,MATCH(AB693,Sources!$B$7:$B$10,0)),6),"")</f>
        <v/>
      </c>
      <c r="J693" s="98" t="s">
        <v>629</v>
      </c>
      <c r="K693" s="98" t="s">
        <v>2059</v>
      </c>
      <c r="L693" s="96"/>
      <c r="M693" s="110" t="s">
        <v>2346</v>
      </c>
      <c r="N693" s="117" t="s">
        <v>2347</v>
      </c>
      <c r="O693" s="110" t="s">
        <v>2348</v>
      </c>
      <c r="P693" s="110" t="s">
        <v>590</v>
      </c>
      <c r="Q693" s="118" t="n">
        <v>0.21</v>
      </c>
      <c r="R693" s="110" t="n">
        <v>1</v>
      </c>
      <c r="S693" s="110" t="s">
        <v>632</v>
      </c>
      <c r="T693" s="110" t="s">
        <v>629</v>
      </c>
      <c r="U693" s="110" t="s">
        <v>2062</v>
      </c>
      <c r="V693" s="119" t="n">
        <v>26</v>
      </c>
      <c r="W693" s="119"/>
      <c r="X693" s="110" t="s">
        <v>2063</v>
      </c>
      <c r="Y693" s="110" t="s">
        <v>2064</v>
      </c>
      <c r="Z693" s="110" t="s">
        <v>2349</v>
      </c>
      <c r="AA693" s="110" t="s">
        <v>537</v>
      </c>
      <c r="AB693" s="110" t="s">
        <v>333</v>
      </c>
      <c r="AC693" s="110" t="s">
        <v>538</v>
      </c>
      <c r="AD693" s="110" t="n">
        <f aca="false">IF(OR(F693="",Q693="",R693=""),"",ROUND(IF(P693="incl.",F693/(1+Q693),F693)/IF(S693="per pack",R693,1),2))</f>
        <v>26</v>
      </c>
      <c r="AE693" s="110" t="str">
        <f aca="false">IF(AND(AC693="yes",ISNUMBER(F693),IF(Compare!$H$5="All mapped",TRUE(),IF(Compare!$H$5="EXACT only",J693="EXACT",OR(J693="EXACT",J693="CLOSE")))),"yes","no")</f>
        <v>no</v>
      </c>
      <c r="AF693" s="110" t="str">
        <f aca="false">IF(ISNUMBER(H693),COUNTIFS($B$7:$B$3000,B693,$C$7:$C$3000,C693,$H$7:$H$3000,"&lt;"&amp;H693,$AH$7:$AH$3000,"yes")+COUNTIFS($B$7:B693,B693,$C$7:C693,C693,$H$7:H693,H693,$AH$7:AH693,"yes"),"")</f>
        <v/>
      </c>
      <c r="AG693" s="110" t="str">
        <f aca="false">IF(ISNUMBER(I693),COUNTIFS($B$7:$B$3000,B693,$C$7:$C$3000,C693,$I$7:$I$3000,"&lt;"&amp;I693,$AI$7:$AI$3000,"yes")+COUNTIFS($B$7:B693,B693,$C$7:C693,C693,$I$7:I693,I693,$AI$7:AI693,"yes"),"")</f>
        <v/>
      </c>
      <c r="AH693" s="110" t="str">
        <f aca="false">IF(ISNUMBER(H693),"yes","no")</f>
        <v>no</v>
      </c>
      <c r="AI693" s="110" t="str">
        <f aca="false">IF(ISNUMBER(I693),"yes","no")</f>
        <v>no</v>
      </c>
      <c r="AJ693" s="120" t="n">
        <v>46297</v>
      </c>
      <c r="AK693" s="110"/>
    </row>
    <row r="694" customFormat="false" ht="34.5" hidden="false" customHeight="true" outlineLevel="0" collapsed="false">
      <c r="B694" s="36" t="s">
        <v>25</v>
      </c>
      <c r="C694" s="98" t="s">
        <v>17</v>
      </c>
      <c r="D694" s="98" t="s">
        <v>350</v>
      </c>
      <c r="E694" s="110" t="s">
        <v>2350</v>
      </c>
      <c r="F694" s="99" t="n">
        <v>34</v>
      </c>
      <c r="G694" s="98" t="s">
        <v>333</v>
      </c>
      <c r="H694" s="112" t="n">
        <f aca="false">IF(AND(AE694="yes",ISNUMBER(AD694)),AD694,"")</f>
        <v>34</v>
      </c>
      <c r="I694" s="95" t="n">
        <f aca="false">IF(AND(AE694="yes",ISNUMBER(AD694),ISNUMBER(INDEX(Sources!$G$7:$G$10,MATCH(AB694,Sources!$B$7:$B$10,0)))),ROUND(AD694/INDEX(Sources!$G$7:$G$10,MATCH(AB694,Sources!$B$7:$B$10,0)),6),"")</f>
        <v>1.392095</v>
      </c>
      <c r="J694" s="98" t="s">
        <v>702</v>
      </c>
      <c r="K694" s="98" t="s">
        <v>2059</v>
      </c>
      <c r="L694" s="96"/>
      <c r="M694" s="110" t="s">
        <v>2351</v>
      </c>
      <c r="N694" s="117" t="s">
        <v>2352</v>
      </c>
      <c r="O694" s="110" t="s">
        <v>2348</v>
      </c>
      <c r="P694" s="110" t="s">
        <v>590</v>
      </c>
      <c r="Q694" s="118" t="n">
        <v>0.21</v>
      </c>
      <c r="R694" s="110" t="n">
        <v>1</v>
      </c>
      <c r="S694" s="110" t="s">
        <v>632</v>
      </c>
      <c r="T694" s="110" t="s">
        <v>702</v>
      </c>
      <c r="U694" s="110" t="s">
        <v>2062</v>
      </c>
      <c r="V694" s="119" t="n">
        <v>34</v>
      </c>
      <c r="W694" s="119"/>
      <c r="X694" s="110" t="s">
        <v>2063</v>
      </c>
      <c r="Y694" s="110" t="s">
        <v>2064</v>
      </c>
      <c r="Z694" s="110" t="s">
        <v>2349</v>
      </c>
      <c r="AA694" s="110" t="s">
        <v>537</v>
      </c>
      <c r="AB694" s="110" t="s">
        <v>333</v>
      </c>
      <c r="AC694" s="110" t="s">
        <v>538</v>
      </c>
      <c r="AD694" s="110" t="n">
        <f aca="false">IF(OR(F694="",Q694="",R694=""),"",ROUND(IF(P694="incl.",F694/(1+Q694),F694)/IF(S694="per pack",R694,1),2))</f>
        <v>34</v>
      </c>
      <c r="AE694" s="110" t="str">
        <f aca="false">IF(AND(AC694="yes",ISNUMBER(F694),IF(Compare!$H$5="All mapped",TRUE(),IF(Compare!$H$5="EXACT only",J694="EXACT",OR(J694="EXACT",J694="CLOSE")))),"yes","no")</f>
        <v>yes</v>
      </c>
      <c r="AF694" s="110" t="n">
        <f aca="false">IF(ISNUMBER(H694),COUNTIFS($B$7:$B$3000,B694,$C$7:$C$3000,C694,$H$7:$H$3000,"&lt;"&amp;H694,$AH$7:$AH$3000,"yes")+COUNTIFS($B$7:B694,B694,$C$7:C694,C694,$H$7:H694,H694,$AH$7:AH694,"yes"),"")</f>
        <v>1</v>
      </c>
      <c r="AG694" s="110" t="n">
        <f aca="false">IF(ISNUMBER(I694),COUNTIFS($B$7:$B$3000,B694,$C$7:$C$3000,C694,$I$7:$I$3000,"&lt;"&amp;I694,$AI$7:$AI$3000,"yes")+COUNTIFS($B$7:B694,B694,$C$7:C694,C694,$I$7:I694,I694,$AI$7:AI694,"yes"),"")</f>
        <v>1</v>
      </c>
      <c r="AH694" s="110" t="str">
        <f aca="false">IF(ISNUMBER(H694),"yes","no")</f>
        <v>yes</v>
      </c>
      <c r="AI694" s="110" t="str">
        <f aca="false">IF(ISNUMBER(I694),"yes","no")</f>
        <v>yes</v>
      </c>
      <c r="AJ694" s="120" t="n">
        <v>46297</v>
      </c>
      <c r="AK694" s="110"/>
    </row>
    <row r="695" customFormat="false" ht="57" hidden="false" customHeight="true" outlineLevel="0" collapsed="false">
      <c r="B695" s="36" t="s">
        <v>53</v>
      </c>
      <c r="C695" s="98" t="s">
        <v>17</v>
      </c>
      <c r="D695" s="98" t="s">
        <v>350</v>
      </c>
      <c r="E695" s="110" t="s">
        <v>2353</v>
      </c>
      <c r="F695" s="99" t="n">
        <v>31</v>
      </c>
      <c r="G695" s="98" t="s">
        <v>333</v>
      </c>
      <c r="H695" s="112" t="n">
        <f aca="false">IF(AND(AE695="yes",ISNUMBER(AD695)),AD695,"")</f>
        <v>31</v>
      </c>
      <c r="I695" s="95" t="n">
        <f aca="false">IF(AND(AE695="yes",ISNUMBER(AD695),ISNUMBER(INDEX(Sources!$G$7:$G$10,MATCH(AB695,Sources!$B$7:$B$10,0)))),ROUND(AD695/INDEX(Sources!$G$7:$G$10,MATCH(AB695,Sources!$B$7:$B$10,0)),6),"")</f>
        <v>1.269263</v>
      </c>
      <c r="J695" s="98" t="s">
        <v>702</v>
      </c>
      <c r="K695" s="98" t="s">
        <v>2059</v>
      </c>
      <c r="L695" s="96"/>
      <c r="M695" s="110" t="s">
        <v>2354</v>
      </c>
      <c r="N695" s="117" t="s">
        <v>2355</v>
      </c>
      <c r="O695" s="110" t="s">
        <v>2348</v>
      </c>
      <c r="P695" s="110" t="s">
        <v>590</v>
      </c>
      <c r="Q695" s="118" t="n">
        <v>0.21</v>
      </c>
      <c r="R695" s="110" t="n">
        <v>1</v>
      </c>
      <c r="S695" s="110" t="s">
        <v>632</v>
      </c>
      <c r="T695" s="110" t="s">
        <v>702</v>
      </c>
      <c r="U695" s="110" t="s">
        <v>2062</v>
      </c>
      <c r="V695" s="119" t="n">
        <v>31</v>
      </c>
      <c r="W695" s="119"/>
      <c r="X695" s="110" t="s">
        <v>2063</v>
      </c>
      <c r="Y695" s="110" t="s">
        <v>2064</v>
      </c>
      <c r="Z695" s="110" t="s">
        <v>2356</v>
      </c>
      <c r="AA695" s="110" t="s">
        <v>537</v>
      </c>
      <c r="AB695" s="110" t="s">
        <v>333</v>
      </c>
      <c r="AC695" s="110" t="s">
        <v>538</v>
      </c>
      <c r="AD695" s="110" t="n">
        <f aca="false">IF(OR(F695="",Q695="",R695=""),"",ROUND(IF(P695="incl.",F695/(1+Q695),F695)/IF(S695="per pack",R695,1),2))</f>
        <v>31</v>
      </c>
      <c r="AE695" s="110" t="str">
        <f aca="false">IF(AND(AC695="yes",ISNUMBER(F695),IF(Compare!$H$5="All mapped",TRUE(),IF(Compare!$H$5="EXACT only",J695="EXACT",OR(J695="EXACT",J695="CLOSE")))),"yes","no")</f>
        <v>yes</v>
      </c>
      <c r="AF695" s="110" t="n">
        <f aca="false">IF(ISNUMBER(H695),COUNTIFS($B$7:$B$3000,B695,$C$7:$C$3000,C695,$H$7:$H$3000,"&lt;"&amp;H695,$AH$7:$AH$3000,"yes")+COUNTIFS($B$7:B695,B695,$C$7:C695,C695,$H$7:H695,H695,$AH$7:AH695,"yes"),"")</f>
        <v>3</v>
      </c>
      <c r="AG695" s="110" t="n">
        <f aca="false">IF(ISNUMBER(I695),COUNTIFS($B$7:$B$3000,B695,$C$7:$C$3000,C695,$I$7:$I$3000,"&lt;"&amp;I695,$AI$7:$AI$3000,"yes")+COUNTIFS($B$7:B695,B695,$C$7:C695,C695,$I$7:I695,I695,$AI$7:AI695,"yes"),"")</f>
        <v>3</v>
      </c>
      <c r="AH695" s="110" t="str">
        <f aca="false">IF(ISNUMBER(H695),"yes","no")</f>
        <v>yes</v>
      </c>
      <c r="AI695" s="110" t="str">
        <f aca="false">IF(ISNUMBER(I695),"yes","no")</f>
        <v>yes</v>
      </c>
      <c r="AJ695" s="120" t="n">
        <v>46297</v>
      </c>
      <c r="AK695" s="110"/>
    </row>
    <row r="696" customFormat="false" ht="45.75" hidden="false" customHeight="true" outlineLevel="0" collapsed="false">
      <c r="B696" s="36" t="s">
        <v>65</v>
      </c>
      <c r="C696" s="98" t="s">
        <v>17</v>
      </c>
      <c r="D696" s="98" t="s">
        <v>357</v>
      </c>
      <c r="E696" s="110" t="s">
        <v>2357</v>
      </c>
      <c r="F696" s="99" t="n">
        <v>3600</v>
      </c>
      <c r="G696" s="98" t="s">
        <v>333</v>
      </c>
      <c r="H696" s="112" t="str">
        <f aca="false">IF(AND(AE696="yes",ISNUMBER(AD696)),AD696,"")</f>
        <v/>
      </c>
      <c r="I696" s="95" t="str">
        <f aca="false">IF(AND(AE696="yes",ISNUMBER(AD696),ISNUMBER(INDEX(Sources!$G$7:$G$10,MATCH(AB696,Sources!$B$7:$B$10,0)))),ROUND(AD696/INDEX(Sources!$G$7:$G$10,MATCH(AB696,Sources!$B$7:$B$10,0)),6),"")</f>
        <v/>
      </c>
      <c r="J696" s="98" t="s">
        <v>629</v>
      </c>
      <c r="K696" s="98" t="s">
        <v>2059</v>
      </c>
      <c r="L696" s="96"/>
      <c r="M696" s="110" t="s">
        <v>2358</v>
      </c>
      <c r="N696" s="117" t="s">
        <v>2359</v>
      </c>
      <c r="O696" s="110" t="s">
        <v>2360</v>
      </c>
      <c r="P696" s="110" t="s">
        <v>590</v>
      </c>
      <c r="Q696" s="118" t="n">
        <v>0.21</v>
      </c>
      <c r="R696" s="110" t="n">
        <v>1</v>
      </c>
      <c r="S696" s="110" t="s">
        <v>632</v>
      </c>
      <c r="T696" s="110" t="s">
        <v>629</v>
      </c>
      <c r="U696" s="110" t="s">
        <v>2062</v>
      </c>
      <c r="V696" s="119" t="n">
        <v>3600</v>
      </c>
      <c r="W696" s="119"/>
      <c r="X696" s="110" t="s">
        <v>2063</v>
      </c>
      <c r="Y696" s="110" t="s">
        <v>2064</v>
      </c>
      <c r="Z696" s="110" t="s">
        <v>246</v>
      </c>
      <c r="AA696" s="110" t="s">
        <v>537</v>
      </c>
      <c r="AB696" s="110" t="s">
        <v>333</v>
      </c>
      <c r="AC696" s="110" t="s">
        <v>538</v>
      </c>
      <c r="AD696" s="110" t="n">
        <f aca="false">IF(OR(F696="",Q696="",R696=""),"",ROUND(IF(P696="incl.",F696/(1+Q696),F696)/IF(S696="per pack",R696,1),2))</f>
        <v>3600</v>
      </c>
      <c r="AE696" s="110" t="str">
        <f aca="false">IF(AND(AC696="yes",ISNUMBER(F696),IF(Compare!$H$5="All mapped",TRUE(),IF(Compare!$H$5="EXACT only",J696="EXACT",OR(J696="EXACT",J696="CLOSE")))),"yes","no")</f>
        <v>no</v>
      </c>
      <c r="AF696" s="110" t="str">
        <f aca="false">IF(ISNUMBER(H696),COUNTIFS($B$7:$B$3000,B696,$C$7:$C$3000,C696,$H$7:$H$3000,"&lt;"&amp;H696,$AH$7:$AH$3000,"yes")+COUNTIFS($B$7:B696,B696,$C$7:C696,C696,$H$7:H696,H696,$AH$7:AH696,"yes"),"")</f>
        <v/>
      </c>
      <c r="AG696" s="110" t="str">
        <f aca="false">IF(ISNUMBER(I696),COUNTIFS($B$7:$B$3000,B696,$C$7:$C$3000,C696,$I$7:$I$3000,"&lt;"&amp;I696,$AI$7:$AI$3000,"yes")+COUNTIFS($B$7:B696,B696,$C$7:C696,C696,$I$7:I696,I696,$AI$7:AI696,"yes"),"")</f>
        <v/>
      </c>
      <c r="AH696" s="110" t="str">
        <f aca="false">IF(ISNUMBER(H696),"yes","no")</f>
        <v>no</v>
      </c>
      <c r="AI696" s="110" t="str">
        <f aca="false">IF(ISNUMBER(I696),"yes","no")</f>
        <v>no</v>
      </c>
      <c r="AJ696" s="120" t="n">
        <v>46297</v>
      </c>
      <c r="AK696" s="110"/>
    </row>
    <row r="697" customFormat="false" ht="45.75" hidden="false" customHeight="true" outlineLevel="0" collapsed="false">
      <c r="B697" s="36" t="s">
        <v>65</v>
      </c>
      <c r="C697" s="98" t="s">
        <v>17</v>
      </c>
      <c r="D697" s="98" t="s">
        <v>361</v>
      </c>
      <c r="E697" s="110" t="s">
        <v>2361</v>
      </c>
      <c r="F697" s="99" t="n">
        <v>926</v>
      </c>
      <c r="G697" s="98" t="s">
        <v>333</v>
      </c>
      <c r="H697" s="112" t="n">
        <f aca="false">IF(AND(AE697="yes",ISNUMBER(AD697)),AD697,"")</f>
        <v>765.29</v>
      </c>
      <c r="I697" s="95" t="n">
        <f aca="false">IF(AND(AE697="yes",ISNUMBER(AD697),ISNUMBER(INDEX(Sources!$G$7:$G$10,MATCH(AB697,Sources!$B$7:$B$10,0)))),ROUND(AD697/INDEX(Sources!$G$7:$G$10,MATCH(AB697,Sources!$B$7:$B$10,0)),6),"")</f>
        <v>31.334017</v>
      </c>
      <c r="J697" s="98" t="s">
        <v>702</v>
      </c>
      <c r="K697" s="98" t="s">
        <v>2059</v>
      </c>
      <c r="L697" s="96"/>
      <c r="M697" s="110" t="s">
        <v>2362</v>
      </c>
      <c r="N697" s="117" t="s">
        <v>2363</v>
      </c>
      <c r="O697" s="110" t="s">
        <v>361</v>
      </c>
      <c r="P697" s="110" t="s">
        <v>265</v>
      </c>
      <c r="Q697" s="118" t="n">
        <v>0.21</v>
      </c>
      <c r="R697" s="110" t="n">
        <v>1</v>
      </c>
      <c r="S697" s="110" t="s">
        <v>632</v>
      </c>
      <c r="T697" s="110" t="s">
        <v>702</v>
      </c>
      <c r="U697" s="110" t="s">
        <v>2364</v>
      </c>
      <c r="V697" s="119" t="n">
        <v>765.29</v>
      </c>
      <c r="W697" s="119"/>
      <c r="X697" s="110" t="s">
        <v>2063</v>
      </c>
      <c r="Y697" s="110" t="s">
        <v>2064</v>
      </c>
      <c r="Z697" s="110" t="s">
        <v>2365</v>
      </c>
      <c r="AA697" s="110" t="s">
        <v>537</v>
      </c>
      <c r="AB697" s="110" t="s">
        <v>333</v>
      </c>
      <c r="AC697" s="110" t="s">
        <v>538</v>
      </c>
      <c r="AD697" s="110" t="n">
        <f aca="false">IF(OR(F697="",Q697="",R697=""),"",ROUND(IF(P697="incl.",F697/(1+Q697),F697)/IF(S697="per pack",R697,1),2))</f>
        <v>765.29</v>
      </c>
      <c r="AE697" s="110" t="str">
        <f aca="false">IF(AND(AC697="yes",ISNUMBER(F697),IF(Compare!$H$5="All mapped",TRUE(),IF(Compare!$H$5="EXACT only",J697="EXACT",OR(J697="EXACT",J697="CLOSE")))),"yes","no")</f>
        <v>yes</v>
      </c>
      <c r="AF697" s="110" t="n">
        <f aca="false">IF(ISNUMBER(H697),COUNTIFS($B$7:$B$3000,B697,$C$7:$C$3000,C697,$H$7:$H$3000,"&lt;"&amp;H697,$AH$7:$AH$3000,"yes")+COUNTIFS($B$7:B697,B697,$C$7:C697,C697,$H$7:H697,H697,$AH$7:AH697,"yes"),"")</f>
        <v>2</v>
      </c>
      <c r="AG697" s="110" t="n">
        <f aca="false">IF(ISNUMBER(I697),COUNTIFS($B$7:$B$3000,B697,$C$7:$C$3000,C697,$I$7:$I$3000,"&lt;"&amp;I697,$AI$7:$AI$3000,"yes")+COUNTIFS($B$7:B697,B697,$C$7:C697,C697,$I$7:I697,I697,$AI$7:AI697,"yes"),"")</f>
        <v>2</v>
      </c>
      <c r="AH697" s="110" t="str">
        <f aca="false">IF(ISNUMBER(H697),"yes","no")</f>
        <v>yes</v>
      </c>
      <c r="AI697" s="110" t="str">
        <f aca="false">IF(ISNUMBER(I697),"yes","no")</f>
        <v>yes</v>
      </c>
      <c r="AJ697" s="120" t="n">
        <v>46297</v>
      </c>
      <c r="AK697" s="110"/>
    </row>
    <row r="698" customFormat="false" ht="45.75" hidden="false" customHeight="true" outlineLevel="0" collapsed="false">
      <c r="B698" s="36" t="s">
        <v>35</v>
      </c>
      <c r="C698" s="98" t="s">
        <v>17</v>
      </c>
      <c r="D698" s="98" t="s">
        <v>338</v>
      </c>
      <c r="E698" s="110" t="s">
        <v>2366</v>
      </c>
      <c r="F698" s="99" t="n">
        <v>519</v>
      </c>
      <c r="G698" s="98" t="s">
        <v>333</v>
      </c>
      <c r="H698" s="112" t="n">
        <f aca="false">IF(AND(AE698="yes",ISNUMBER(AD698)),AD698,"")</f>
        <v>519</v>
      </c>
      <c r="I698" s="95" t="n">
        <f aca="false">IF(AND(AE698="yes",ISNUMBER(AD698),ISNUMBER(INDEX(Sources!$G$7:$G$10,MATCH(AB698,Sources!$B$7:$B$10,0)))),ROUND(AD698/INDEX(Sources!$G$7:$G$10,MATCH(AB698,Sources!$B$7:$B$10,0)),6),"")</f>
        <v>21.249925</v>
      </c>
      <c r="J698" s="98" t="s">
        <v>530</v>
      </c>
      <c r="K698" s="98" t="s">
        <v>2059</v>
      </c>
      <c r="L698" s="96"/>
      <c r="M698" s="110" t="s">
        <v>2367</v>
      </c>
      <c r="N698" s="117" t="s">
        <v>2368</v>
      </c>
      <c r="O698" s="110"/>
      <c r="P698" s="110" t="s">
        <v>590</v>
      </c>
      <c r="Q698" s="118" t="n">
        <v>0.21</v>
      </c>
      <c r="R698" s="110" t="n">
        <v>1</v>
      </c>
      <c r="S698" s="110" t="s">
        <v>632</v>
      </c>
      <c r="T698" s="110" t="s">
        <v>530</v>
      </c>
      <c r="U698" s="110" t="s">
        <v>2062</v>
      </c>
      <c r="V698" s="119" t="n">
        <v>519</v>
      </c>
      <c r="W698" s="119"/>
      <c r="X698" s="110" t="s">
        <v>2063</v>
      </c>
      <c r="Y698" s="110" t="s">
        <v>2064</v>
      </c>
      <c r="Z698" s="110" t="s">
        <v>2369</v>
      </c>
      <c r="AA698" s="110" t="s">
        <v>537</v>
      </c>
      <c r="AB698" s="110" t="s">
        <v>333</v>
      </c>
      <c r="AC698" s="110" t="s">
        <v>538</v>
      </c>
      <c r="AD698" s="110" t="n">
        <f aca="false">IF(OR(F698="",Q698="",R698=""),"",ROUND(IF(P698="incl.",F698/(1+Q698),F698)/IF(S698="per pack",R698,1),2))</f>
        <v>519</v>
      </c>
      <c r="AE698" s="110" t="str">
        <f aca="false">IF(AND(AC698="yes",ISNUMBER(F698),IF(Compare!$H$5="All mapped",TRUE(),IF(Compare!$H$5="EXACT only",J698="EXACT",OR(J698="EXACT",J698="CLOSE")))),"yes","no")</f>
        <v>yes</v>
      </c>
      <c r="AF698" s="110" t="n">
        <f aca="false">IF(ISNUMBER(H698),COUNTIFS($B$7:$B$3000,B698,$C$7:$C$3000,C698,$H$7:$H$3000,"&lt;"&amp;H698,$AH$7:$AH$3000,"yes")+COUNTIFS($B$7:B698,B698,$C$7:C698,C698,$H$7:H698,H698,$AH$7:AH698,"yes"),"")</f>
        <v>6</v>
      </c>
      <c r="AG698" s="110" t="n">
        <f aca="false">IF(ISNUMBER(I698),COUNTIFS($B$7:$B$3000,B698,$C$7:$C$3000,C698,$I$7:$I$3000,"&lt;"&amp;I698,$AI$7:$AI$3000,"yes")+COUNTIFS($B$7:B698,B698,$C$7:C698,C698,$I$7:I698,I698,$AI$7:AI698,"yes"),"")</f>
        <v>6</v>
      </c>
      <c r="AH698" s="110" t="str">
        <f aca="false">IF(ISNUMBER(H698),"yes","no")</f>
        <v>yes</v>
      </c>
      <c r="AI698" s="110" t="str">
        <f aca="false">IF(ISNUMBER(I698),"yes","no")</f>
        <v>yes</v>
      </c>
      <c r="AJ698" s="120" t="n">
        <v>46297</v>
      </c>
      <c r="AK698" s="110"/>
    </row>
    <row r="699" customFormat="false" ht="45.75" hidden="false" customHeight="true" outlineLevel="0" collapsed="false">
      <c r="B699" s="36" t="s">
        <v>37</v>
      </c>
      <c r="C699" s="98" t="s">
        <v>17</v>
      </c>
      <c r="D699" s="98" t="s">
        <v>338</v>
      </c>
      <c r="E699" s="110" t="s">
        <v>2370</v>
      </c>
      <c r="F699" s="99" t="n">
        <v>607</v>
      </c>
      <c r="G699" s="98" t="s">
        <v>333</v>
      </c>
      <c r="H699" s="112" t="str">
        <f aca="false">IF(AND(AE699="yes",ISNUMBER(AD699)),AD699,"")</f>
        <v/>
      </c>
      <c r="I699" s="95" t="str">
        <f aca="false">IF(AND(AE699="yes",ISNUMBER(AD699),ISNUMBER(INDEX(Sources!$G$7:$G$10,MATCH(AB699,Sources!$B$7:$B$10,0)))),ROUND(AD699/INDEX(Sources!$G$7:$G$10,MATCH(AB699,Sources!$B$7:$B$10,0)),6),"")</f>
        <v/>
      </c>
      <c r="J699" s="98" t="s">
        <v>956</v>
      </c>
      <c r="K699" s="98" t="s">
        <v>2059</v>
      </c>
      <c r="L699" s="96"/>
      <c r="M699" s="110" t="s">
        <v>2371</v>
      </c>
      <c r="N699" s="117" t="s">
        <v>2372</v>
      </c>
      <c r="O699" s="110"/>
      <c r="P699" s="110" t="s">
        <v>590</v>
      </c>
      <c r="Q699" s="118" t="n">
        <v>0.21</v>
      </c>
      <c r="R699" s="110" t="n">
        <v>1</v>
      </c>
      <c r="S699" s="110" t="s">
        <v>632</v>
      </c>
      <c r="T699" s="110" t="s">
        <v>956</v>
      </c>
      <c r="U699" s="110" t="s">
        <v>2062</v>
      </c>
      <c r="V699" s="119" t="n">
        <v>607</v>
      </c>
      <c r="W699" s="119"/>
      <c r="X699" s="110" t="s">
        <v>2063</v>
      </c>
      <c r="Y699" s="110" t="s">
        <v>2064</v>
      </c>
      <c r="Z699" s="110" t="s">
        <v>2369</v>
      </c>
      <c r="AA699" s="110" t="s">
        <v>537</v>
      </c>
      <c r="AB699" s="110" t="s">
        <v>333</v>
      </c>
      <c r="AC699" s="110" t="s">
        <v>538</v>
      </c>
      <c r="AD699" s="110" t="n">
        <f aca="false">IF(OR(F699="",Q699="",R699=""),"",ROUND(IF(P699="incl.",F699/(1+Q699),F699)/IF(S699="per pack",R699,1),2))</f>
        <v>607</v>
      </c>
      <c r="AE699" s="110" t="str">
        <f aca="false">IF(AND(AC699="yes",ISNUMBER(F699),IF(Compare!$H$5="All mapped",TRUE(),IF(Compare!$H$5="EXACT only",J699="EXACT",OR(J699="EXACT",J699="CLOSE")))),"yes","no")</f>
        <v>no</v>
      </c>
      <c r="AF699" s="110" t="str">
        <f aca="false">IF(ISNUMBER(H699),COUNTIFS($B$7:$B$3000,B699,$C$7:$C$3000,C699,$H$7:$H$3000,"&lt;"&amp;H699,$AH$7:$AH$3000,"yes")+COUNTIFS($B$7:B699,B699,$C$7:C699,C699,$H$7:H699,H699,$AH$7:AH699,"yes"),"")</f>
        <v/>
      </c>
      <c r="AG699" s="110" t="str">
        <f aca="false">IF(ISNUMBER(I699),COUNTIFS($B$7:$B$3000,B699,$C$7:$C$3000,C699,$I$7:$I$3000,"&lt;"&amp;I699,$AI$7:$AI$3000,"yes")+COUNTIFS($B$7:B699,B699,$C$7:C699,C699,$I$7:I699,I699,$AI$7:AI699,"yes"),"")</f>
        <v/>
      </c>
      <c r="AH699" s="110" t="str">
        <f aca="false">IF(ISNUMBER(H699),"yes","no")</f>
        <v>no</v>
      </c>
      <c r="AI699" s="110" t="str">
        <f aca="false">IF(ISNUMBER(I699),"yes","no")</f>
        <v>no</v>
      </c>
      <c r="AJ699" s="120" t="n">
        <v>46297</v>
      </c>
      <c r="AK699" s="110"/>
    </row>
    <row r="700" customFormat="false" ht="45.75" hidden="false" customHeight="true" outlineLevel="0" collapsed="false">
      <c r="B700" s="36" t="s">
        <v>34</v>
      </c>
      <c r="C700" s="98" t="s">
        <v>17</v>
      </c>
      <c r="D700" s="98" t="s">
        <v>338</v>
      </c>
      <c r="E700" s="110" t="s">
        <v>2373</v>
      </c>
      <c r="F700" s="99" t="n">
        <v>671</v>
      </c>
      <c r="G700" s="98" t="s">
        <v>333</v>
      </c>
      <c r="H700" s="112" t="str">
        <f aca="false">IF(AND(AE700="yes",ISNUMBER(AD700)),AD700,"")</f>
        <v/>
      </c>
      <c r="I700" s="95" t="str">
        <f aca="false">IF(AND(AE700="yes",ISNUMBER(AD700),ISNUMBER(INDEX(Sources!$G$7:$G$10,MATCH(AB700,Sources!$B$7:$B$10,0)))),ROUND(AD700/INDEX(Sources!$G$7:$G$10,MATCH(AB700,Sources!$B$7:$B$10,0)),6),"")</f>
        <v/>
      </c>
      <c r="J700" s="98" t="s">
        <v>956</v>
      </c>
      <c r="K700" s="98" t="s">
        <v>2059</v>
      </c>
      <c r="L700" s="96"/>
      <c r="M700" s="110" t="s">
        <v>2374</v>
      </c>
      <c r="N700" s="117" t="s">
        <v>2375</v>
      </c>
      <c r="O700" s="110"/>
      <c r="P700" s="110" t="s">
        <v>590</v>
      </c>
      <c r="Q700" s="118" t="n">
        <v>0.21</v>
      </c>
      <c r="R700" s="110" t="n">
        <v>1</v>
      </c>
      <c r="S700" s="110" t="s">
        <v>632</v>
      </c>
      <c r="T700" s="110" t="s">
        <v>956</v>
      </c>
      <c r="U700" s="110" t="s">
        <v>2062</v>
      </c>
      <c r="V700" s="119" t="n">
        <v>671</v>
      </c>
      <c r="W700" s="119"/>
      <c r="X700" s="110" t="s">
        <v>2063</v>
      </c>
      <c r="Y700" s="110" t="s">
        <v>2064</v>
      </c>
      <c r="Z700" s="110" t="s">
        <v>2369</v>
      </c>
      <c r="AA700" s="110" t="s">
        <v>537</v>
      </c>
      <c r="AB700" s="110" t="s">
        <v>333</v>
      </c>
      <c r="AC700" s="110" t="s">
        <v>538</v>
      </c>
      <c r="AD700" s="110" t="n">
        <f aca="false">IF(OR(F700="",Q700="",R700=""),"",ROUND(IF(P700="incl.",F700/(1+Q700),F700)/IF(S700="per pack",R700,1),2))</f>
        <v>671</v>
      </c>
      <c r="AE700" s="110" t="str">
        <f aca="false">IF(AND(AC700="yes",ISNUMBER(F700),IF(Compare!$H$5="All mapped",TRUE(),IF(Compare!$H$5="EXACT only",J700="EXACT",OR(J700="EXACT",J700="CLOSE")))),"yes","no")</f>
        <v>no</v>
      </c>
      <c r="AF700" s="110" t="str">
        <f aca="false">IF(ISNUMBER(H700),COUNTIFS($B$7:$B$3000,B700,$C$7:$C$3000,C700,$H$7:$H$3000,"&lt;"&amp;H700,$AH$7:$AH$3000,"yes")+COUNTIFS($B$7:B700,B700,$C$7:C700,C700,$H$7:H700,H700,$AH$7:AH700,"yes"),"")</f>
        <v/>
      </c>
      <c r="AG700" s="110" t="str">
        <f aca="false">IF(ISNUMBER(I700),COUNTIFS($B$7:$B$3000,B700,$C$7:$C$3000,C700,$I$7:$I$3000,"&lt;"&amp;I700,$AI$7:$AI$3000,"yes")+COUNTIFS($B$7:B700,B700,$C$7:C700,C700,$I$7:I700,I700,$AI$7:AI700,"yes"),"")</f>
        <v/>
      </c>
      <c r="AH700" s="110" t="str">
        <f aca="false">IF(ISNUMBER(H700),"yes","no")</f>
        <v>no</v>
      </c>
      <c r="AI700" s="110" t="str">
        <f aca="false">IF(ISNUMBER(I700),"yes","no")</f>
        <v>no</v>
      </c>
      <c r="AJ700" s="120" t="n">
        <v>46297</v>
      </c>
      <c r="AK700" s="110"/>
    </row>
    <row r="701" customFormat="false" ht="45.75" hidden="false" customHeight="true" outlineLevel="0" collapsed="false">
      <c r="B701" s="36" t="s">
        <v>57</v>
      </c>
      <c r="C701" s="98" t="s">
        <v>17</v>
      </c>
      <c r="D701" s="98" t="s">
        <v>338</v>
      </c>
      <c r="E701" s="110" t="s">
        <v>2370</v>
      </c>
      <c r="F701" s="99" t="n">
        <v>607</v>
      </c>
      <c r="G701" s="98" t="s">
        <v>333</v>
      </c>
      <c r="H701" s="112" t="str">
        <f aca="false">IF(AND(AE701="yes",ISNUMBER(AD701)),AD701,"")</f>
        <v/>
      </c>
      <c r="I701" s="95" t="str">
        <f aca="false">IF(AND(AE701="yes",ISNUMBER(AD701),ISNUMBER(INDEX(Sources!$G$7:$G$10,MATCH(AB701,Sources!$B$7:$B$10,0)))),ROUND(AD701/INDEX(Sources!$G$7:$G$10,MATCH(AB701,Sources!$B$7:$B$10,0)),6),"")</f>
        <v/>
      </c>
      <c r="J701" s="98" t="s">
        <v>956</v>
      </c>
      <c r="K701" s="98" t="s">
        <v>2059</v>
      </c>
      <c r="L701" s="96"/>
      <c r="M701" s="110" t="s">
        <v>2376</v>
      </c>
      <c r="N701" s="117" t="s">
        <v>2372</v>
      </c>
      <c r="O701" s="110"/>
      <c r="P701" s="110" t="s">
        <v>590</v>
      </c>
      <c r="Q701" s="118" t="n">
        <v>0.21</v>
      </c>
      <c r="R701" s="110" t="n">
        <v>1</v>
      </c>
      <c r="S701" s="110" t="s">
        <v>632</v>
      </c>
      <c r="T701" s="110" t="s">
        <v>956</v>
      </c>
      <c r="U701" s="110" t="s">
        <v>2062</v>
      </c>
      <c r="V701" s="119" t="n">
        <v>607</v>
      </c>
      <c r="W701" s="119"/>
      <c r="X701" s="110" t="s">
        <v>2063</v>
      </c>
      <c r="Y701" s="110" t="s">
        <v>2064</v>
      </c>
      <c r="Z701" s="110" t="s">
        <v>2369</v>
      </c>
      <c r="AA701" s="110" t="s">
        <v>537</v>
      </c>
      <c r="AB701" s="110" t="s">
        <v>333</v>
      </c>
      <c r="AC701" s="110" t="s">
        <v>538</v>
      </c>
      <c r="AD701" s="110" t="n">
        <f aca="false">IF(OR(F701="",Q701="",R701=""),"",ROUND(IF(P701="incl.",F701/(1+Q701),F701)/IF(S701="per pack",R701,1),2))</f>
        <v>607</v>
      </c>
      <c r="AE701" s="110" t="str">
        <f aca="false">IF(AND(AC701="yes",ISNUMBER(F701),IF(Compare!$H$5="All mapped",TRUE(),IF(Compare!$H$5="EXACT only",J701="EXACT",OR(J701="EXACT",J701="CLOSE")))),"yes","no")</f>
        <v>no</v>
      </c>
      <c r="AF701" s="110" t="str">
        <f aca="false">IF(ISNUMBER(H701),COUNTIFS($B$7:$B$3000,B701,$C$7:$C$3000,C701,$H$7:$H$3000,"&lt;"&amp;H701,$AH$7:$AH$3000,"yes")+COUNTIFS($B$7:B701,B701,$C$7:C701,C701,$H$7:H701,H701,$AH$7:AH701,"yes"),"")</f>
        <v/>
      </c>
      <c r="AG701" s="110" t="str">
        <f aca="false">IF(ISNUMBER(I701),COUNTIFS($B$7:$B$3000,B701,$C$7:$C$3000,C701,$I$7:$I$3000,"&lt;"&amp;I701,$AI$7:$AI$3000,"yes")+COUNTIFS($B$7:B701,B701,$C$7:C701,C701,$I$7:I701,I701,$AI$7:AI701,"yes"),"")</f>
        <v/>
      </c>
      <c r="AH701" s="110" t="str">
        <f aca="false">IF(ISNUMBER(H701),"yes","no")</f>
        <v>no</v>
      </c>
      <c r="AI701" s="110" t="str">
        <f aca="false">IF(ISNUMBER(I701),"yes","no")</f>
        <v>no</v>
      </c>
      <c r="AJ701" s="120" t="n">
        <v>46297</v>
      </c>
      <c r="AK701" s="110"/>
    </row>
    <row r="702" customFormat="false" ht="34.5" hidden="false" customHeight="true" outlineLevel="0" collapsed="false">
      <c r="B702" s="36" t="s">
        <v>35</v>
      </c>
      <c r="C702" s="98" t="s">
        <v>17</v>
      </c>
      <c r="D702" s="98" t="s">
        <v>350</v>
      </c>
      <c r="E702" s="110" t="s">
        <v>2377</v>
      </c>
      <c r="F702" s="99" t="n">
        <v>167</v>
      </c>
      <c r="G702" s="98" t="s">
        <v>333</v>
      </c>
      <c r="H702" s="112" t="n">
        <f aca="false">IF(AND(AE702="yes",ISNUMBER(AD702)),AD702,"")</f>
        <v>167</v>
      </c>
      <c r="I702" s="95" t="n">
        <f aca="false">IF(AND(AE702="yes",ISNUMBER(AD702),ISNUMBER(INDEX(Sources!$G$7:$G$10,MATCH(AB702,Sources!$B$7:$B$10,0)))),ROUND(AD702/INDEX(Sources!$G$7:$G$10,MATCH(AB702,Sources!$B$7:$B$10,0)),6),"")</f>
        <v>6.837644</v>
      </c>
      <c r="J702" s="98" t="s">
        <v>530</v>
      </c>
      <c r="K702" s="98" t="s">
        <v>2059</v>
      </c>
      <c r="L702" s="96"/>
      <c r="M702" s="110" t="s">
        <v>2378</v>
      </c>
      <c r="N702" s="117" t="s">
        <v>2379</v>
      </c>
      <c r="O702" s="110" t="s">
        <v>2380</v>
      </c>
      <c r="P702" s="110" t="s">
        <v>590</v>
      </c>
      <c r="Q702" s="118" t="n">
        <v>0.21</v>
      </c>
      <c r="R702" s="110" t="n">
        <v>1</v>
      </c>
      <c r="S702" s="110" t="s">
        <v>632</v>
      </c>
      <c r="T702" s="110" t="s">
        <v>530</v>
      </c>
      <c r="U702" s="110" t="s">
        <v>2062</v>
      </c>
      <c r="V702" s="119" t="n">
        <v>167</v>
      </c>
      <c r="W702" s="119"/>
      <c r="X702" s="110" t="s">
        <v>2063</v>
      </c>
      <c r="Y702" s="110" t="s">
        <v>2064</v>
      </c>
      <c r="Z702" s="110" t="s">
        <v>2349</v>
      </c>
      <c r="AA702" s="110" t="s">
        <v>537</v>
      </c>
      <c r="AB702" s="110" t="s">
        <v>333</v>
      </c>
      <c r="AC702" s="110" t="s">
        <v>538</v>
      </c>
      <c r="AD702" s="110" t="n">
        <f aca="false">IF(OR(F702="",Q702="",R702=""),"",ROUND(IF(P702="incl.",F702/(1+Q702),F702)/IF(S702="per pack",R702,1),2))</f>
        <v>167</v>
      </c>
      <c r="AE702" s="110" t="str">
        <f aca="false">IF(AND(AC702="yes",ISNUMBER(F702),IF(Compare!$H$5="All mapped",TRUE(),IF(Compare!$H$5="EXACT only",J702="EXACT",OR(J702="EXACT",J702="CLOSE")))),"yes","no")</f>
        <v>yes</v>
      </c>
      <c r="AF702" s="110" t="n">
        <f aca="false">IF(ISNUMBER(H702),COUNTIFS($B$7:$B$3000,B702,$C$7:$C$3000,C702,$H$7:$H$3000,"&lt;"&amp;H702,$AH$7:$AH$3000,"yes")+COUNTIFS($B$7:B702,B702,$C$7:C702,C702,$H$7:H702,H702,$AH$7:AH702,"yes"),"")</f>
        <v>2</v>
      </c>
      <c r="AG702" s="110" t="n">
        <f aca="false">IF(ISNUMBER(I702),COUNTIFS($B$7:$B$3000,B702,$C$7:$C$3000,C702,$I$7:$I$3000,"&lt;"&amp;I702,$AI$7:$AI$3000,"yes")+COUNTIFS($B$7:B702,B702,$C$7:C702,C702,$I$7:I702,I702,$AI$7:AI702,"yes"),"")</f>
        <v>2</v>
      </c>
      <c r="AH702" s="110" t="str">
        <f aca="false">IF(ISNUMBER(H702),"yes","no")</f>
        <v>yes</v>
      </c>
      <c r="AI702" s="110" t="str">
        <f aca="false">IF(ISNUMBER(I702),"yes","no")</f>
        <v>yes</v>
      </c>
      <c r="AJ702" s="120" t="n">
        <v>46297</v>
      </c>
      <c r="AK702" s="110"/>
    </row>
    <row r="703" customFormat="false" ht="34.5" hidden="false" customHeight="true" outlineLevel="0" collapsed="false">
      <c r="B703" s="36" t="s">
        <v>37</v>
      </c>
      <c r="C703" s="98" t="s">
        <v>17</v>
      </c>
      <c r="D703" s="98" t="s">
        <v>350</v>
      </c>
      <c r="E703" s="110" t="s">
        <v>2381</v>
      </c>
      <c r="F703" s="99" t="n">
        <v>238</v>
      </c>
      <c r="G703" s="98" t="s">
        <v>333</v>
      </c>
      <c r="H703" s="112" t="str">
        <f aca="false">IF(AND(AE703="yes",ISNUMBER(AD703)),AD703,"")</f>
        <v/>
      </c>
      <c r="I703" s="95" t="str">
        <f aca="false">IF(AND(AE703="yes",ISNUMBER(AD703),ISNUMBER(INDEX(Sources!$G$7:$G$10,MATCH(AB703,Sources!$B$7:$B$10,0)))),ROUND(AD703/INDEX(Sources!$G$7:$G$10,MATCH(AB703,Sources!$B$7:$B$10,0)),6),"")</f>
        <v/>
      </c>
      <c r="J703" s="98" t="s">
        <v>956</v>
      </c>
      <c r="K703" s="98" t="s">
        <v>2059</v>
      </c>
      <c r="L703" s="96"/>
      <c r="M703" s="110" t="s">
        <v>2382</v>
      </c>
      <c r="N703" s="117" t="s">
        <v>2383</v>
      </c>
      <c r="O703" s="110" t="s">
        <v>2380</v>
      </c>
      <c r="P703" s="110" t="s">
        <v>590</v>
      </c>
      <c r="Q703" s="118" t="n">
        <v>0.21</v>
      </c>
      <c r="R703" s="110" t="n">
        <v>1</v>
      </c>
      <c r="S703" s="110" t="s">
        <v>632</v>
      </c>
      <c r="T703" s="110" t="s">
        <v>956</v>
      </c>
      <c r="U703" s="110" t="s">
        <v>2062</v>
      </c>
      <c r="V703" s="119" t="n">
        <v>238</v>
      </c>
      <c r="W703" s="119"/>
      <c r="X703" s="110" t="s">
        <v>2063</v>
      </c>
      <c r="Y703" s="110" t="s">
        <v>2064</v>
      </c>
      <c r="Z703" s="110" t="s">
        <v>2349</v>
      </c>
      <c r="AA703" s="110" t="s">
        <v>537</v>
      </c>
      <c r="AB703" s="110" t="s">
        <v>333</v>
      </c>
      <c r="AC703" s="110" t="s">
        <v>538</v>
      </c>
      <c r="AD703" s="110" t="n">
        <f aca="false">IF(OR(F703="",Q703="",R703=""),"",ROUND(IF(P703="incl.",F703/(1+Q703),F703)/IF(S703="per pack",R703,1),2))</f>
        <v>238</v>
      </c>
      <c r="AE703" s="110" t="str">
        <f aca="false">IF(AND(AC703="yes",ISNUMBER(F703),IF(Compare!$H$5="All mapped",TRUE(),IF(Compare!$H$5="EXACT only",J703="EXACT",OR(J703="EXACT",J703="CLOSE")))),"yes","no")</f>
        <v>no</v>
      </c>
      <c r="AF703" s="110" t="str">
        <f aca="false">IF(ISNUMBER(H703),COUNTIFS($B$7:$B$3000,B703,$C$7:$C$3000,C703,$H$7:$H$3000,"&lt;"&amp;H703,$AH$7:$AH$3000,"yes")+COUNTIFS($B$7:B703,B703,$C$7:C703,C703,$H$7:H703,H703,$AH$7:AH703,"yes"),"")</f>
        <v/>
      </c>
      <c r="AG703" s="110" t="str">
        <f aca="false">IF(ISNUMBER(I703),COUNTIFS($B$7:$B$3000,B703,$C$7:$C$3000,C703,$I$7:$I$3000,"&lt;"&amp;I703,$AI$7:$AI$3000,"yes")+COUNTIFS($B$7:B703,B703,$C$7:C703,C703,$I$7:I703,I703,$AI$7:AI703,"yes"),"")</f>
        <v/>
      </c>
      <c r="AH703" s="110" t="str">
        <f aca="false">IF(ISNUMBER(H703),"yes","no")</f>
        <v>no</v>
      </c>
      <c r="AI703" s="110" t="str">
        <f aca="false">IF(ISNUMBER(I703),"yes","no")</f>
        <v>no</v>
      </c>
      <c r="AJ703" s="120" t="n">
        <v>46297</v>
      </c>
      <c r="AK703" s="110"/>
    </row>
    <row r="704" customFormat="false" ht="34.5" hidden="false" customHeight="true" outlineLevel="0" collapsed="false">
      <c r="B704" s="36" t="s">
        <v>64</v>
      </c>
      <c r="C704" s="98" t="s">
        <v>17</v>
      </c>
      <c r="D704" s="98" t="s">
        <v>350</v>
      </c>
      <c r="E704" s="110" t="s">
        <v>2384</v>
      </c>
      <c r="F704" s="99" t="n">
        <v>172</v>
      </c>
      <c r="G704" s="98" t="s">
        <v>333</v>
      </c>
      <c r="H704" s="112" t="str">
        <f aca="false">IF(AND(AE704="yes",ISNUMBER(AD704)),AD704,"")</f>
        <v/>
      </c>
      <c r="I704" s="95" t="str">
        <f aca="false">IF(AND(AE704="yes",ISNUMBER(AD704),ISNUMBER(INDEX(Sources!$G$7:$G$10,MATCH(AB704,Sources!$B$7:$B$10,0)))),ROUND(AD704/INDEX(Sources!$G$7:$G$10,MATCH(AB704,Sources!$B$7:$B$10,0)),6),"")</f>
        <v/>
      </c>
      <c r="J704" s="98" t="s">
        <v>956</v>
      </c>
      <c r="K704" s="98" t="s">
        <v>2059</v>
      </c>
      <c r="L704" s="96"/>
      <c r="M704" s="110" t="s">
        <v>2385</v>
      </c>
      <c r="N704" s="117" t="s">
        <v>2386</v>
      </c>
      <c r="O704" s="110" t="s">
        <v>2380</v>
      </c>
      <c r="P704" s="110" t="s">
        <v>590</v>
      </c>
      <c r="Q704" s="118" t="n">
        <v>0.21</v>
      </c>
      <c r="R704" s="110" t="n">
        <v>1</v>
      </c>
      <c r="S704" s="110" t="s">
        <v>632</v>
      </c>
      <c r="T704" s="110" t="s">
        <v>956</v>
      </c>
      <c r="U704" s="110" t="s">
        <v>2062</v>
      </c>
      <c r="V704" s="119" t="n">
        <v>172</v>
      </c>
      <c r="W704" s="119"/>
      <c r="X704" s="110" t="s">
        <v>2063</v>
      </c>
      <c r="Y704" s="110" t="s">
        <v>2064</v>
      </c>
      <c r="Z704" s="110" t="s">
        <v>2349</v>
      </c>
      <c r="AA704" s="110" t="s">
        <v>537</v>
      </c>
      <c r="AB704" s="110" t="s">
        <v>333</v>
      </c>
      <c r="AC704" s="110" t="s">
        <v>538</v>
      </c>
      <c r="AD704" s="110" t="n">
        <f aca="false">IF(OR(F704="",Q704="",R704=""),"",ROUND(IF(P704="incl.",F704/(1+Q704),F704)/IF(S704="per pack",R704,1),2))</f>
        <v>172</v>
      </c>
      <c r="AE704" s="110" t="str">
        <f aca="false">IF(AND(AC704="yes",ISNUMBER(F704),IF(Compare!$H$5="All mapped",TRUE(),IF(Compare!$H$5="EXACT only",J704="EXACT",OR(J704="EXACT",J704="CLOSE")))),"yes","no")</f>
        <v>no</v>
      </c>
      <c r="AF704" s="110" t="str">
        <f aca="false">IF(ISNUMBER(H704),COUNTIFS($B$7:$B$3000,B704,$C$7:$C$3000,C704,$H$7:$H$3000,"&lt;"&amp;H704,$AH$7:$AH$3000,"yes")+COUNTIFS($B$7:B704,B704,$C$7:C704,C704,$H$7:H704,H704,$AH$7:AH704,"yes"),"")</f>
        <v/>
      </c>
      <c r="AG704" s="110" t="str">
        <f aca="false">IF(ISNUMBER(I704),COUNTIFS($B$7:$B$3000,B704,$C$7:$C$3000,C704,$I$7:$I$3000,"&lt;"&amp;I704,$AI$7:$AI$3000,"yes")+COUNTIFS($B$7:B704,B704,$C$7:C704,C704,$I$7:I704,I704,$AI$7:AI704,"yes"),"")</f>
        <v/>
      </c>
      <c r="AH704" s="110" t="str">
        <f aca="false">IF(ISNUMBER(H704),"yes","no")</f>
        <v>no</v>
      </c>
      <c r="AI704" s="110" t="str">
        <f aca="false">IF(ISNUMBER(I704),"yes","no")</f>
        <v>no</v>
      </c>
      <c r="AJ704" s="120" t="n">
        <v>46297</v>
      </c>
      <c r="AK704" s="110"/>
    </row>
    <row r="705" customFormat="false" ht="34.5" hidden="false" customHeight="true" outlineLevel="0" collapsed="false">
      <c r="B705" s="36" t="s">
        <v>34</v>
      </c>
      <c r="C705" s="98" t="s">
        <v>17</v>
      </c>
      <c r="D705" s="98" t="s">
        <v>350</v>
      </c>
      <c r="E705" s="110" t="s">
        <v>2381</v>
      </c>
      <c r="F705" s="99" t="n">
        <v>238</v>
      </c>
      <c r="G705" s="98" t="s">
        <v>333</v>
      </c>
      <c r="H705" s="112" t="str">
        <f aca="false">IF(AND(AE705="yes",ISNUMBER(AD705)),AD705,"")</f>
        <v/>
      </c>
      <c r="I705" s="95" t="str">
        <f aca="false">IF(AND(AE705="yes",ISNUMBER(AD705),ISNUMBER(INDEX(Sources!$G$7:$G$10,MATCH(AB705,Sources!$B$7:$B$10,0)))),ROUND(AD705/INDEX(Sources!$G$7:$G$10,MATCH(AB705,Sources!$B$7:$B$10,0)),6),"")</f>
        <v/>
      </c>
      <c r="J705" s="98" t="s">
        <v>629</v>
      </c>
      <c r="K705" s="98" t="s">
        <v>2059</v>
      </c>
      <c r="L705" s="96"/>
      <c r="M705" s="110" t="s">
        <v>2387</v>
      </c>
      <c r="N705" s="117" t="s">
        <v>2383</v>
      </c>
      <c r="O705" s="110" t="s">
        <v>2380</v>
      </c>
      <c r="P705" s="110" t="s">
        <v>590</v>
      </c>
      <c r="Q705" s="118" t="n">
        <v>0.21</v>
      </c>
      <c r="R705" s="110" t="n">
        <v>1</v>
      </c>
      <c r="S705" s="110" t="s">
        <v>632</v>
      </c>
      <c r="T705" s="110" t="s">
        <v>629</v>
      </c>
      <c r="U705" s="110" t="s">
        <v>2062</v>
      </c>
      <c r="V705" s="119" t="n">
        <v>238</v>
      </c>
      <c r="W705" s="119"/>
      <c r="X705" s="110" t="s">
        <v>2063</v>
      </c>
      <c r="Y705" s="110" t="s">
        <v>2064</v>
      </c>
      <c r="Z705" s="110" t="s">
        <v>2349</v>
      </c>
      <c r="AA705" s="110" t="s">
        <v>537</v>
      </c>
      <c r="AB705" s="110" t="s">
        <v>333</v>
      </c>
      <c r="AC705" s="110" t="s">
        <v>538</v>
      </c>
      <c r="AD705" s="110" t="n">
        <f aca="false">IF(OR(F705="",Q705="",R705=""),"",ROUND(IF(P705="incl.",F705/(1+Q705),F705)/IF(S705="per pack",R705,1),2))</f>
        <v>238</v>
      </c>
      <c r="AE705" s="110" t="str">
        <f aca="false">IF(AND(AC705="yes",ISNUMBER(F705),IF(Compare!$H$5="All mapped",TRUE(),IF(Compare!$H$5="EXACT only",J705="EXACT",OR(J705="EXACT",J705="CLOSE")))),"yes","no")</f>
        <v>no</v>
      </c>
      <c r="AF705" s="110" t="str">
        <f aca="false">IF(ISNUMBER(H705),COUNTIFS($B$7:$B$3000,B705,$C$7:$C$3000,C705,$H$7:$H$3000,"&lt;"&amp;H705,$AH$7:$AH$3000,"yes")+COUNTIFS($B$7:B705,B705,$C$7:C705,C705,$H$7:H705,H705,$AH$7:AH705,"yes"),"")</f>
        <v/>
      </c>
      <c r="AG705" s="110" t="str">
        <f aca="false">IF(ISNUMBER(I705),COUNTIFS($B$7:$B$3000,B705,$C$7:$C$3000,C705,$I$7:$I$3000,"&lt;"&amp;I705,$AI$7:$AI$3000,"yes")+COUNTIFS($B$7:B705,B705,$C$7:C705,C705,$I$7:I705,I705,$AI$7:AI705,"yes"),"")</f>
        <v/>
      </c>
      <c r="AH705" s="110" t="str">
        <f aca="false">IF(ISNUMBER(H705),"yes","no")</f>
        <v>no</v>
      </c>
      <c r="AI705" s="110" t="str">
        <f aca="false">IF(ISNUMBER(I705),"yes","no")</f>
        <v>no</v>
      </c>
      <c r="AJ705" s="120" t="n">
        <v>46297</v>
      </c>
      <c r="AK705" s="110"/>
    </row>
    <row r="706" customFormat="false" ht="34.5" hidden="false" customHeight="true" outlineLevel="0" collapsed="false">
      <c r="B706" s="36" t="s">
        <v>57</v>
      </c>
      <c r="C706" s="98" t="s">
        <v>17</v>
      </c>
      <c r="D706" s="98" t="s">
        <v>350</v>
      </c>
      <c r="E706" s="110" t="s">
        <v>2381</v>
      </c>
      <c r="F706" s="99" t="n">
        <v>238</v>
      </c>
      <c r="G706" s="98" t="s">
        <v>333</v>
      </c>
      <c r="H706" s="112" t="str">
        <f aca="false">IF(AND(AE706="yes",ISNUMBER(AD706)),AD706,"")</f>
        <v/>
      </c>
      <c r="I706" s="95" t="str">
        <f aca="false">IF(AND(AE706="yes",ISNUMBER(AD706),ISNUMBER(INDEX(Sources!$G$7:$G$10,MATCH(AB706,Sources!$B$7:$B$10,0)))),ROUND(AD706/INDEX(Sources!$G$7:$G$10,MATCH(AB706,Sources!$B$7:$B$10,0)),6),"")</f>
        <v/>
      </c>
      <c r="J706" s="98" t="s">
        <v>956</v>
      </c>
      <c r="K706" s="98" t="s">
        <v>2059</v>
      </c>
      <c r="L706" s="96"/>
      <c r="M706" s="110" t="s">
        <v>2388</v>
      </c>
      <c r="N706" s="117" t="s">
        <v>2383</v>
      </c>
      <c r="O706" s="110" t="s">
        <v>2380</v>
      </c>
      <c r="P706" s="110" t="s">
        <v>590</v>
      </c>
      <c r="Q706" s="118" t="n">
        <v>0.21</v>
      </c>
      <c r="R706" s="110" t="n">
        <v>1</v>
      </c>
      <c r="S706" s="110" t="s">
        <v>632</v>
      </c>
      <c r="T706" s="110" t="s">
        <v>956</v>
      </c>
      <c r="U706" s="110" t="s">
        <v>2062</v>
      </c>
      <c r="V706" s="119" t="n">
        <v>238</v>
      </c>
      <c r="W706" s="119"/>
      <c r="X706" s="110" t="s">
        <v>2063</v>
      </c>
      <c r="Y706" s="110" t="s">
        <v>2064</v>
      </c>
      <c r="Z706" s="110" t="s">
        <v>2349</v>
      </c>
      <c r="AA706" s="110" t="s">
        <v>537</v>
      </c>
      <c r="AB706" s="110" t="s">
        <v>333</v>
      </c>
      <c r="AC706" s="110" t="s">
        <v>538</v>
      </c>
      <c r="AD706" s="110" t="n">
        <f aca="false">IF(OR(F706="",Q706="",R706=""),"",ROUND(IF(P706="incl.",F706/(1+Q706),F706)/IF(S706="per pack",R706,1),2))</f>
        <v>238</v>
      </c>
      <c r="AE706" s="110" t="str">
        <f aca="false">IF(AND(AC706="yes",ISNUMBER(F706),IF(Compare!$H$5="All mapped",TRUE(),IF(Compare!$H$5="EXACT only",J706="EXACT",OR(J706="EXACT",J706="CLOSE")))),"yes","no")</f>
        <v>no</v>
      </c>
      <c r="AF706" s="110" t="str">
        <f aca="false">IF(ISNUMBER(H706),COUNTIFS($B$7:$B$3000,B706,$C$7:$C$3000,C706,$H$7:$H$3000,"&lt;"&amp;H706,$AH$7:$AH$3000,"yes")+COUNTIFS($B$7:B706,B706,$C$7:C706,C706,$H$7:H706,H706,$AH$7:AH706,"yes"),"")</f>
        <v/>
      </c>
      <c r="AG706" s="110" t="str">
        <f aca="false">IF(ISNUMBER(I706),COUNTIFS($B$7:$B$3000,B706,$C$7:$C$3000,C706,$I$7:$I$3000,"&lt;"&amp;I706,$AI$7:$AI$3000,"yes")+COUNTIFS($B$7:B706,B706,$C$7:C706,C706,$I$7:I706,I706,$AI$7:AI706,"yes"),"")</f>
        <v/>
      </c>
      <c r="AH706" s="110" t="str">
        <f aca="false">IF(ISNUMBER(H706),"yes","no")</f>
        <v>no</v>
      </c>
      <c r="AI706" s="110" t="str">
        <f aca="false">IF(ISNUMBER(I706),"yes","no")</f>
        <v>no</v>
      </c>
      <c r="AJ706" s="120" t="n">
        <v>46297</v>
      </c>
      <c r="AK706" s="110"/>
    </row>
    <row r="707" customFormat="false" ht="34.5" hidden="false" customHeight="true" outlineLevel="0" collapsed="false">
      <c r="B707" s="36" t="s">
        <v>35</v>
      </c>
      <c r="C707" s="98" t="s">
        <v>17</v>
      </c>
      <c r="D707" s="98" t="s">
        <v>357</v>
      </c>
      <c r="E707" s="110" t="s">
        <v>1319</v>
      </c>
      <c r="F707" s="99" t="n">
        <v>153.92</v>
      </c>
      <c r="G707" s="98" t="s">
        <v>333</v>
      </c>
      <c r="H707" s="112" t="n">
        <f aca="false">IF(AND(AE707="yes",ISNUMBER(AD707)),AD707,"")</f>
        <v>153.92</v>
      </c>
      <c r="I707" s="95" t="n">
        <f aca="false">IF(AND(AE707="yes",ISNUMBER(AD707),ISNUMBER(INDEX(Sources!$G$7:$G$10,MATCH(AB707,Sources!$B$7:$B$10,0)))),ROUND(AD707/INDEX(Sources!$G$7:$G$10,MATCH(AB707,Sources!$B$7:$B$10,0)),6),"")</f>
        <v>6.302097</v>
      </c>
      <c r="J707" s="98" t="s">
        <v>530</v>
      </c>
      <c r="K707" s="98" t="s">
        <v>2059</v>
      </c>
      <c r="L707" s="96"/>
      <c r="M707" s="110" t="s">
        <v>2389</v>
      </c>
      <c r="N707" s="117" t="s">
        <v>2390</v>
      </c>
      <c r="O707" s="110" t="s">
        <v>2391</v>
      </c>
      <c r="P707" s="110" t="s">
        <v>590</v>
      </c>
      <c r="Q707" s="118" t="n">
        <v>0.21</v>
      </c>
      <c r="R707" s="110" t="n">
        <v>1</v>
      </c>
      <c r="S707" s="110" t="s">
        <v>632</v>
      </c>
      <c r="T707" s="110" t="s">
        <v>530</v>
      </c>
      <c r="U707" s="110" t="s">
        <v>2062</v>
      </c>
      <c r="V707" s="119" t="n">
        <v>153.92</v>
      </c>
      <c r="W707" s="119"/>
      <c r="X707" s="110" t="s">
        <v>2063</v>
      </c>
      <c r="Y707" s="110" t="s">
        <v>2064</v>
      </c>
      <c r="Z707" s="110" t="s">
        <v>2392</v>
      </c>
      <c r="AA707" s="110" t="s">
        <v>537</v>
      </c>
      <c r="AB707" s="110" t="s">
        <v>333</v>
      </c>
      <c r="AC707" s="110" t="s">
        <v>538</v>
      </c>
      <c r="AD707" s="110" t="n">
        <f aca="false">IF(OR(F707="",Q707="",R707=""),"",ROUND(IF(P707="incl.",F707/(1+Q707),F707)/IF(S707="per pack",R707,1),2))</f>
        <v>153.92</v>
      </c>
      <c r="AE707" s="110" t="str">
        <f aca="false">IF(AND(AC707="yes",ISNUMBER(F707),IF(Compare!$H$5="All mapped",TRUE(),IF(Compare!$H$5="EXACT only",J707="EXACT",OR(J707="EXACT",J707="CLOSE")))),"yes","no")</f>
        <v>yes</v>
      </c>
      <c r="AF707" s="110" t="n">
        <f aca="false">IF(ISNUMBER(H707),COUNTIFS($B$7:$B$3000,B707,$C$7:$C$3000,C707,$H$7:$H$3000,"&lt;"&amp;H707,$AH$7:$AH$3000,"yes")+COUNTIFS($B$7:B707,B707,$C$7:C707,C707,$H$7:H707,H707,$AH$7:AH707,"yes"),"")</f>
        <v>1</v>
      </c>
      <c r="AG707" s="110" t="n">
        <f aca="false">IF(ISNUMBER(I707),COUNTIFS($B$7:$B$3000,B707,$C$7:$C$3000,C707,$I$7:$I$3000,"&lt;"&amp;I707,$AI$7:$AI$3000,"yes")+COUNTIFS($B$7:B707,B707,$C$7:C707,C707,$I$7:I707,I707,$AI$7:AI707,"yes"),"")</f>
        <v>1</v>
      </c>
      <c r="AH707" s="110" t="str">
        <f aca="false">IF(ISNUMBER(H707),"yes","no")</f>
        <v>yes</v>
      </c>
      <c r="AI707" s="110" t="str">
        <f aca="false">IF(ISNUMBER(I707),"yes","no")</f>
        <v>yes</v>
      </c>
      <c r="AJ707" s="120" t="n">
        <v>46297</v>
      </c>
      <c r="AK707" s="110"/>
    </row>
    <row r="708" customFormat="false" ht="34.5" hidden="false" customHeight="true" outlineLevel="0" collapsed="false">
      <c r="B708" s="36" t="s">
        <v>37</v>
      </c>
      <c r="C708" s="98" t="s">
        <v>17</v>
      </c>
      <c r="D708" s="98" t="s">
        <v>357</v>
      </c>
      <c r="E708" s="110" t="s">
        <v>2393</v>
      </c>
      <c r="F708" s="99" t="n">
        <v>200.99</v>
      </c>
      <c r="G708" s="98" t="s">
        <v>333</v>
      </c>
      <c r="H708" s="112" t="str">
        <f aca="false">IF(AND(AE708="yes",ISNUMBER(AD708)),AD708,"")</f>
        <v/>
      </c>
      <c r="I708" s="95" t="str">
        <f aca="false">IF(AND(AE708="yes",ISNUMBER(AD708),ISNUMBER(INDEX(Sources!$G$7:$G$10,MATCH(AB708,Sources!$B$7:$B$10,0)))),ROUND(AD708/INDEX(Sources!$G$7:$G$10,MATCH(AB708,Sources!$B$7:$B$10,0)),6),"")</f>
        <v/>
      </c>
      <c r="J708" s="98" t="s">
        <v>956</v>
      </c>
      <c r="K708" s="98" t="s">
        <v>2059</v>
      </c>
      <c r="L708" s="96"/>
      <c r="M708" s="110" t="s">
        <v>2394</v>
      </c>
      <c r="N708" s="117" t="s">
        <v>2395</v>
      </c>
      <c r="O708" s="110" t="s">
        <v>2396</v>
      </c>
      <c r="P708" s="110" t="s">
        <v>590</v>
      </c>
      <c r="Q708" s="118" t="n">
        <v>0.21</v>
      </c>
      <c r="R708" s="110" t="n">
        <v>1</v>
      </c>
      <c r="S708" s="110" t="s">
        <v>632</v>
      </c>
      <c r="T708" s="110" t="s">
        <v>956</v>
      </c>
      <c r="U708" s="110" t="s">
        <v>2062</v>
      </c>
      <c r="V708" s="119" t="n">
        <v>200.99</v>
      </c>
      <c r="W708" s="119"/>
      <c r="X708" s="110" t="s">
        <v>2063</v>
      </c>
      <c r="Y708" s="110" t="s">
        <v>2064</v>
      </c>
      <c r="Z708" s="110" t="s">
        <v>2392</v>
      </c>
      <c r="AA708" s="110" t="s">
        <v>537</v>
      </c>
      <c r="AB708" s="110" t="s">
        <v>333</v>
      </c>
      <c r="AC708" s="110" t="s">
        <v>538</v>
      </c>
      <c r="AD708" s="110" t="n">
        <f aca="false">IF(OR(F708="",Q708="",R708=""),"",ROUND(IF(P708="incl.",F708/(1+Q708),F708)/IF(S708="per pack",R708,1),2))</f>
        <v>200.99</v>
      </c>
      <c r="AE708" s="110" t="str">
        <f aca="false">IF(AND(AC708="yes",ISNUMBER(F708),IF(Compare!$H$5="All mapped",TRUE(),IF(Compare!$H$5="EXACT only",J708="EXACT",OR(J708="EXACT",J708="CLOSE")))),"yes","no")</f>
        <v>no</v>
      </c>
      <c r="AF708" s="110" t="str">
        <f aca="false">IF(ISNUMBER(H708),COUNTIFS($B$7:$B$3000,B708,$C$7:$C$3000,C708,$H$7:$H$3000,"&lt;"&amp;H708,$AH$7:$AH$3000,"yes")+COUNTIFS($B$7:B708,B708,$C$7:C708,C708,$H$7:H708,H708,$AH$7:AH708,"yes"),"")</f>
        <v/>
      </c>
      <c r="AG708" s="110" t="str">
        <f aca="false">IF(ISNUMBER(I708),COUNTIFS($B$7:$B$3000,B708,$C$7:$C$3000,C708,$I$7:$I$3000,"&lt;"&amp;I708,$AI$7:$AI$3000,"yes")+COUNTIFS($B$7:B708,B708,$C$7:C708,C708,$I$7:I708,I708,$AI$7:AI708,"yes"),"")</f>
        <v/>
      </c>
      <c r="AH708" s="110" t="str">
        <f aca="false">IF(ISNUMBER(H708),"yes","no")</f>
        <v>no</v>
      </c>
      <c r="AI708" s="110" t="str">
        <f aca="false">IF(ISNUMBER(I708),"yes","no")</f>
        <v>no</v>
      </c>
      <c r="AJ708" s="120" t="n">
        <v>46297</v>
      </c>
      <c r="AK708" s="110"/>
    </row>
    <row r="709" customFormat="false" ht="34.5" hidden="false" customHeight="true" outlineLevel="0" collapsed="false">
      <c r="B709" s="36" t="s">
        <v>64</v>
      </c>
      <c r="C709" s="98" t="s">
        <v>17</v>
      </c>
      <c r="D709" s="98" t="s">
        <v>357</v>
      </c>
      <c r="E709" s="110" t="s">
        <v>2397</v>
      </c>
      <c r="F709" s="99" t="n">
        <v>175.54</v>
      </c>
      <c r="G709" s="98" t="s">
        <v>333</v>
      </c>
      <c r="H709" s="112" t="str">
        <f aca="false">IF(AND(AE709="yes",ISNUMBER(AD709)),AD709,"")</f>
        <v/>
      </c>
      <c r="I709" s="95" t="str">
        <f aca="false">IF(AND(AE709="yes",ISNUMBER(AD709),ISNUMBER(INDEX(Sources!$G$7:$G$10,MATCH(AB709,Sources!$B$7:$B$10,0)))),ROUND(AD709/INDEX(Sources!$G$7:$G$10,MATCH(AB709,Sources!$B$7:$B$10,0)),6),"")</f>
        <v/>
      </c>
      <c r="J709" s="98" t="s">
        <v>956</v>
      </c>
      <c r="K709" s="98" t="s">
        <v>2059</v>
      </c>
      <c r="L709" s="96"/>
      <c r="M709" s="110" t="s">
        <v>2398</v>
      </c>
      <c r="N709" s="117" t="s">
        <v>2399</v>
      </c>
      <c r="O709" s="110" t="s">
        <v>2360</v>
      </c>
      <c r="P709" s="110" t="s">
        <v>590</v>
      </c>
      <c r="Q709" s="118" t="n">
        <v>0.21</v>
      </c>
      <c r="R709" s="110" t="n">
        <v>1</v>
      </c>
      <c r="S709" s="110" t="s">
        <v>632</v>
      </c>
      <c r="T709" s="110" t="s">
        <v>956</v>
      </c>
      <c r="U709" s="110" t="s">
        <v>2062</v>
      </c>
      <c r="V709" s="119" t="n">
        <v>175.54</v>
      </c>
      <c r="W709" s="119"/>
      <c r="X709" s="110" t="s">
        <v>2063</v>
      </c>
      <c r="Y709" s="110" t="s">
        <v>2064</v>
      </c>
      <c r="Z709" s="110" t="s">
        <v>2400</v>
      </c>
      <c r="AA709" s="110" t="s">
        <v>537</v>
      </c>
      <c r="AB709" s="110" t="s">
        <v>333</v>
      </c>
      <c r="AC709" s="110" t="s">
        <v>538</v>
      </c>
      <c r="AD709" s="110" t="n">
        <f aca="false">IF(OR(F709="",Q709="",R709=""),"",ROUND(IF(P709="incl.",F709/(1+Q709),F709)/IF(S709="per pack",R709,1),2))</f>
        <v>175.54</v>
      </c>
      <c r="AE709" s="110" t="str">
        <f aca="false">IF(AND(AC709="yes",ISNUMBER(F709),IF(Compare!$H$5="All mapped",TRUE(),IF(Compare!$H$5="EXACT only",J709="EXACT",OR(J709="EXACT",J709="CLOSE")))),"yes","no")</f>
        <v>no</v>
      </c>
      <c r="AF709" s="110" t="str">
        <f aca="false">IF(ISNUMBER(H709),COUNTIFS($B$7:$B$3000,B709,$C$7:$C$3000,C709,$H$7:$H$3000,"&lt;"&amp;H709,$AH$7:$AH$3000,"yes")+COUNTIFS($B$7:B709,B709,$C$7:C709,C709,$H$7:H709,H709,$AH$7:AH709,"yes"),"")</f>
        <v/>
      </c>
      <c r="AG709" s="110" t="str">
        <f aca="false">IF(ISNUMBER(I709),COUNTIFS($B$7:$B$3000,B709,$C$7:$C$3000,C709,$I$7:$I$3000,"&lt;"&amp;I709,$AI$7:$AI$3000,"yes")+COUNTIFS($B$7:B709,B709,$C$7:C709,C709,$I$7:I709,I709,$AI$7:AI709,"yes"),"")</f>
        <v/>
      </c>
      <c r="AH709" s="110" t="str">
        <f aca="false">IF(ISNUMBER(H709),"yes","no")</f>
        <v>no</v>
      </c>
      <c r="AI709" s="110" t="str">
        <f aca="false">IF(ISNUMBER(I709),"yes","no")</f>
        <v>no</v>
      </c>
      <c r="AJ709" s="120" t="n">
        <v>46297</v>
      </c>
      <c r="AK709" s="110"/>
    </row>
    <row r="710" customFormat="false" ht="34.5" hidden="false" customHeight="true" outlineLevel="0" collapsed="false">
      <c r="B710" s="36" t="s">
        <v>34</v>
      </c>
      <c r="C710" s="98" t="s">
        <v>17</v>
      </c>
      <c r="D710" s="98" t="s">
        <v>357</v>
      </c>
      <c r="E710" s="110" t="s">
        <v>2401</v>
      </c>
      <c r="F710" s="99" t="n">
        <v>220.83</v>
      </c>
      <c r="G710" s="98" t="s">
        <v>333</v>
      </c>
      <c r="H710" s="112" t="str">
        <f aca="false">IF(AND(AE710="yes",ISNUMBER(AD710)),AD710,"")</f>
        <v/>
      </c>
      <c r="I710" s="95" t="str">
        <f aca="false">IF(AND(AE710="yes",ISNUMBER(AD710),ISNUMBER(INDEX(Sources!$G$7:$G$10,MATCH(AB710,Sources!$B$7:$B$10,0)))),ROUND(AD710/INDEX(Sources!$G$7:$G$10,MATCH(AB710,Sources!$B$7:$B$10,0)),6),"")</f>
        <v/>
      </c>
      <c r="J710" s="98" t="s">
        <v>956</v>
      </c>
      <c r="K710" s="98" t="s">
        <v>2059</v>
      </c>
      <c r="L710" s="96"/>
      <c r="M710" s="110" t="s">
        <v>2402</v>
      </c>
      <c r="N710" s="117" t="s">
        <v>2403</v>
      </c>
      <c r="O710" s="110" t="s">
        <v>2396</v>
      </c>
      <c r="P710" s="110" t="s">
        <v>590</v>
      </c>
      <c r="Q710" s="118" t="n">
        <v>0.21</v>
      </c>
      <c r="R710" s="110" t="n">
        <v>1</v>
      </c>
      <c r="S710" s="110" t="s">
        <v>632</v>
      </c>
      <c r="T710" s="110" t="s">
        <v>956</v>
      </c>
      <c r="U710" s="110" t="s">
        <v>2062</v>
      </c>
      <c r="V710" s="119" t="n">
        <v>220.83</v>
      </c>
      <c r="W710" s="119"/>
      <c r="X710" s="110" t="s">
        <v>2063</v>
      </c>
      <c r="Y710" s="110" t="s">
        <v>2064</v>
      </c>
      <c r="Z710" s="110" t="s">
        <v>2392</v>
      </c>
      <c r="AA710" s="110" t="s">
        <v>537</v>
      </c>
      <c r="AB710" s="110" t="s">
        <v>333</v>
      </c>
      <c r="AC710" s="110" t="s">
        <v>538</v>
      </c>
      <c r="AD710" s="110" t="n">
        <f aca="false">IF(OR(F710="",Q710="",R710=""),"",ROUND(IF(P710="incl.",F710/(1+Q710),F710)/IF(S710="per pack",R710,1),2))</f>
        <v>220.83</v>
      </c>
      <c r="AE710" s="110" t="str">
        <f aca="false">IF(AND(AC710="yes",ISNUMBER(F710),IF(Compare!$H$5="All mapped",TRUE(),IF(Compare!$H$5="EXACT only",J710="EXACT",OR(J710="EXACT",J710="CLOSE")))),"yes","no")</f>
        <v>no</v>
      </c>
      <c r="AF710" s="110" t="str">
        <f aca="false">IF(ISNUMBER(H710),COUNTIFS($B$7:$B$3000,B710,$C$7:$C$3000,C710,$H$7:$H$3000,"&lt;"&amp;H710,$AH$7:$AH$3000,"yes")+COUNTIFS($B$7:B710,B710,$C$7:C710,C710,$H$7:H710,H710,$AH$7:AH710,"yes"),"")</f>
        <v/>
      </c>
      <c r="AG710" s="110" t="str">
        <f aca="false">IF(ISNUMBER(I710),COUNTIFS($B$7:$B$3000,B710,$C$7:$C$3000,C710,$I$7:$I$3000,"&lt;"&amp;I710,$AI$7:$AI$3000,"yes")+COUNTIFS($B$7:B710,B710,$C$7:C710,C710,$I$7:I710,I710,$AI$7:AI710,"yes"),"")</f>
        <v/>
      </c>
      <c r="AH710" s="110" t="str">
        <f aca="false">IF(ISNUMBER(H710),"yes","no")</f>
        <v>no</v>
      </c>
      <c r="AI710" s="110" t="str">
        <f aca="false">IF(ISNUMBER(I710),"yes","no")</f>
        <v>no</v>
      </c>
      <c r="AJ710" s="120" t="n">
        <v>46297</v>
      </c>
      <c r="AK710" s="110"/>
    </row>
    <row r="711" customFormat="false" ht="34.5" hidden="false" customHeight="true" outlineLevel="0" collapsed="false">
      <c r="B711" s="36" t="s">
        <v>57</v>
      </c>
      <c r="C711" s="98" t="s">
        <v>17</v>
      </c>
      <c r="D711" s="98" t="s">
        <v>357</v>
      </c>
      <c r="E711" s="110" t="s">
        <v>2393</v>
      </c>
      <c r="F711" s="99" t="n">
        <v>200.99</v>
      </c>
      <c r="G711" s="98" t="s">
        <v>333</v>
      </c>
      <c r="H711" s="112" t="str">
        <f aca="false">IF(AND(AE711="yes",ISNUMBER(AD711)),AD711,"")</f>
        <v/>
      </c>
      <c r="I711" s="95" t="str">
        <f aca="false">IF(AND(AE711="yes",ISNUMBER(AD711),ISNUMBER(INDEX(Sources!$G$7:$G$10,MATCH(AB711,Sources!$B$7:$B$10,0)))),ROUND(AD711/INDEX(Sources!$G$7:$G$10,MATCH(AB711,Sources!$B$7:$B$10,0)),6),"")</f>
        <v/>
      </c>
      <c r="J711" s="98" t="s">
        <v>956</v>
      </c>
      <c r="K711" s="98" t="s">
        <v>2059</v>
      </c>
      <c r="L711" s="96"/>
      <c r="M711" s="110" t="s">
        <v>2404</v>
      </c>
      <c r="N711" s="117" t="s">
        <v>2395</v>
      </c>
      <c r="O711" s="110" t="s">
        <v>2396</v>
      </c>
      <c r="P711" s="110" t="s">
        <v>590</v>
      </c>
      <c r="Q711" s="118" t="n">
        <v>0.21</v>
      </c>
      <c r="R711" s="110" t="n">
        <v>1</v>
      </c>
      <c r="S711" s="110" t="s">
        <v>632</v>
      </c>
      <c r="T711" s="110" t="s">
        <v>956</v>
      </c>
      <c r="U711" s="110" t="s">
        <v>2062</v>
      </c>
      <c r="V711" s="119" t="n">
        <v>200.99</v>
      </c>
      <c r="W711" s="119"/>
      <c r="X711" s="110" t="s">
        <v>2063</v>
      </c>
      <c r="Y711" s="110" t="s">
        <v>2064</v>
      </c>
      <c r="Z711" s="110" t="s">
        <v>2392</v>
      </c>
      <c r="AA711" s="110" t="s">
        <v>537</v>
      </c>
      <c r="AB711" s="110" t="s">
        <v>333</v>
      </c>
      <c r="AC711" s="110" t="s">
        <v>538</v>
      </c>
      <c r="AD711" s="110" t="n">
        <f aca="false">IF(OR(F711="",Q711="",R711=""),"",ROUND(IF(P711="incl.",F711/(1+Q711),F711)/IF(S711="per pack",R711,1),2))</f>
        <v>200.99</v>
      </c>
      <c r="AE711" s="110" t="str">
        <f aca="false">IF(AND(AC711="yes",ISNUMBER(F711),IF(Compare!$H$5="All mapped",TRUE(),IF(Compare!$H$5="EXACT only",J711="EXACT",OR(J711="EXACT",J711="CLOSE")))),"yes","no")</f>
        <v>no</v>
      </c>
      <c r="AF711" s="110" t="str">
        <f aca="false">IF(ISNUMBER(H711),COUNTIFS($B$7:$B$3000,B711,$C$7:$C$3000,C711,$H$7:$H$3000,"&lt;"&amp;H711,$AH$7:$AH$3000,"yes")+COUNTIFS($B$7:B711,B711,$C$7:C711,C711,$H$7:H711,H711,$AH$7:AH711,"yes"),"")</f>
        <v/>
      </c>
      <c r="AG711" s="110" t="str">
        <f aca="false">IF(ISNUMBER(I711),COUNTIFS($B$7:$B$3000,B711,$C$7:$C$3000,C711,$I$7:$I$3000,"&lt;"&amp;I711,$AI$7:$AI$3000,"yes")+COUNTIFS($B$7:B711,B711,$C$7:C711,C711,$I$7:I711,I711,$AI$7:AI711,"yes"),"")</f>
        <v/>
      </c>
      <c r="AH711" s="110" t="str">
        <f aca="false">IF(ISNUMBER(H711),"yes","no")</f>
        <v>no</v>
      </c>
      <c r="AI711" s="110" t="str">
        <f aca="false">IF(ISNUMBER(I711),"yes","no")</f>
        <v>no</v>
      </c>
      <c r="AJ711" s="120" t="n">
        <v>46297</v>
      </c>
      <c r="AK711" s="110"/>
    </row>
    <row r="712" customFormat="false" ht="45.75" hidden="false" customHeight="true" outlineLevel="0" collapsed="false">
      <c r="B712" s="36" t="s">
        <v>58</v>
      </c>
      <c r="C712" s="98" t="s">
        <v>17</v>
      </c>
      <c r="D712" s="98" t="s">
        <v>338</v>
      </c>
      <c r="E712" s="110" t="s">
        <v>2405</v>
      </c>
      <c r="F712" s="99" t="n">
        <v>345</v>
      </c>
      <c r="G712" s="98" t="s">
        <v>333</v>
      </c>
      <c r="H712" s="112" t="n">
        <f aca="false">IF(AND(AE712="yes",ISNUMBER(AD712)),AD712,"")</f>
        <v>345</v>
      </c>
      <c r="I712" s="95" t="n">
        <f aca="false">IF(AND(AE712="yes",ISNUMBER(AD712),ISNUMBER(INDEX(Sources!$G$7:$G$10,MATCH(AB712,Sources!$B$7:$B$10,0)))),ROUND(AD712/INDEX(Sources!$G$7:$G$10,MATCH(AB712,Sources!$B$7:$B$10,0)),6),"")</f>
        <v>14.125673</v>
      </c>
      <c r="J712" s="98" t="s">
        <v>530</v>
      </c>
      <c r="K712" s="98" t="s">
        <v>2059</v>
      </c>
      <c r="L712" s="96"/>
      <c r="M712" s="110" t="s">
        <v>2406</v>
      </c>
      <c r="N712" s="117" t="s">
        <v>2407</v>
      </c>
      <c r="O712" s="110" t="s">
        <v>388</v>
      </c>
      <c r="P712" s="110" t="s">
        <v>590</v>
      </c>
      <c r="Q712" s="118" t="n">
        <v>0.21</v>
      </c>
      <c r="R712" s="110" t="n">
        <v>1</v>
      </c>
      <c r="S712" s="110" t="s">
        <v>632</v>
      </c>
      <c r="T712" s="110" t="s">
        <v>530</v>
      </c>
      <c r="U712" s="110" t="s">
        <v>2062</v>
      </c>
      <c r="V712" s="119" t="n">
        <v>345</v>
      </c>
      <c r="W712" s="119"/>
      <c r="X712" s="110" t="s">
        <v>2063</v>
      </c>
      <c r="Y712" s="110" t="s">
        <v>2064</v>
      </c>
      <c r="Z712" s="110" t="s">
        <v>2408</v>
      </c>
      <c r="AA712" s="110" t="s">
        <v>537</v>
      </c>
      <c r="AB712" s="110" t="s">
        <v>333</v>
      </c>
      <c r="AC712" s="110" t="s">
        <v>538</v>
      </c>
      <c r="AD712" s="110" t="n">
        <f aca="false">IF(OR(F712="",Q712="",R712=""),"",ROUND(IF(P712="incl.",F712/(1+Q712),F712)/IF(S712="per pack",R712,1),2))</f>
        <v>345</v>
      </c>
      <c r="AE712" s="110" t="str">
        <f aca="false">IF(AND(AC712="yes",ISNUMBER(F712),IF(Compare!$H$5="All mapped",TRUE(),IF(Compare!$H$5="EXACT only",J712="EXACT",OR(J712="EXACT",J712="CLOSE")))),"yes","no")</f>
        <v>yes</v>
      </c>
      <c r="AF712" s="110" t="n">
        <f aca="false">IF(ISNUMBER(H712),COUNTIFS($B$7:$B$3000,B712,$C$7:$C$3000,C712,$H$7:$H$3000,"&lt;"&amp;H712,$AH$7:$AH$3000,"yes")+COUNTIFS($B$7:B712,B712,$C$7:C712,C712,$H$7:H712,H712,$AH$7:AH712,"yes"),"")</f>
        <v>5</v>
      </c>
      <c r="AG712" s="110" t="n">
        <f aca="false">IF(ISNUMBER(I712),COUNTIFS($B$7:$B$3000,B712,$C$7:$C$3000,C712,$I$7:$I$3000,"&lt;"&amp;I712,$AI$7:$AI$3000,"yes")+COUNTIFS($B$7:B712,B712,$C$7:C712,C712,$I$7:I712,I712,$AI$7:AI712,"yes"),"")</f>
        <v>5</v>
      </c>
      <c r="AH712" s="110" t="str">
        <f aca="false">IF(ISNUMBER(H712),"yes","no")</f>
        <v>yes</v>
      </c>
      <c r="AI712" s="110" t="str">
        <f aca="false">IF(ISNUMBER(I712),"yes","no")</f>
        <v>yes</v>
      </c>
      <c r="AJ712" s="120" t="n">
        <v>46297</v>
      </c>
      <c r="AK712" s="110"/>
    </row>
    <row r="713" customFormat="false" ht="23.25" hidden="false" customHeight="true" outlineLevel="0" collapsed="false">
      <c r="B713" s="36" t="s">
        <v>9</v>
      </c>
      <c r="C713" s="98" t="s">
        <v>17</v>
      </c>
      <c r="D713" s="98" t="s">
        <v>338</v>
      </c>
      <c r="E713" s="110" t="s">
        <v>2409</v>
      </c>
      <c r="F713" s="99" t="n">
        <v>349</v>
      </c>
      <c r="G713" s="98" t="s">
        <v>333</v>
      </c>
      <c r="H713" s="112" t="n">
        <f aca="false">IF(AND(AE713="yes",ISNUMBER(AD713)),AD713,"")</f>
        <v>349</v>
      </c>
      <c r="I713" s="95" t="n">
        <f aca="false">IF(AND(AE713="yes",ISNUMBER(AD713),ISNUMBER(INDEX(Sources!$G$7:$G$10,MATCH(AB713,Sources!$B$7:$B$10,0)))),ROUND(AD713/INDEX(Sources!$G$7:$G$10,MATCH(AB713,Sources!$B$7:$B$10,0)),6),"")</f>
        <v>14.289449</v>
      </c>
      <c r="J713" s="98" t="s">
        <v>530</v>
      </c>
      <c r="K713" s="98" t="s">
        <v>2059</v>
      </c>
      <c r="L713" s="96"/>
      <c r="M713" s="110" t="s">
        <v>2410</v>
      </c>
      <c r="N713" s="117" t="s">
        <v>2411</v>
      </c>
      <c r="O713" s="110" t="s">
        <v>2412</v>
      </c>
      <c r="P713" s="110" t="s">
        <v>590</v>
      </c>
      <c r="Q713" s="118" t="n">
        <v>0.21</v>
      </c>
      <c r="R713" s="110" t="n">
        <v>1</v>
      </c>
      <c r="S713" s="110" t="s">
        <v>632</v>
      </c>
      <c r="T713" s="110" t="s">
        <v>530</v>
      </c>
      <c r="U713" s="110" t="s">
        <v>2062</v>
      </c>
      <c r="V713" s="119" t="n">
        <v>349</v>
      </c>
      <c r="W713" s="119"/>
      <c r="X713" s="110" t="s">
        <v>2063</v>
      </c>
      <c r="Y713" s="110" t="s">
        <v>2064</v>
      </c>
      <c r="Z713" s="110" t="s">
        <v>2413</v>
      </c>
      <c r="AA713" s="110" t="s">
        <v>537</v>
      </c>
      <c r="AB713" s="110" t="s">
        <v>333</v>
      </c>
      <c r="AC713" s="110" t="s">
        <v>538</v>
      </c>
      <c r="AD713" s="110" t="n">
        <f aca="false">IF(OR(F713="",Q713="",R713=""),"",ROUND(IF(P713="incl.",F713/(1+Q713),F713)/IF(S713="per pack",R713,1),2))</f>
        <v>349</v>
      </c>
      <c r="AE713" s="110" t="str">
        <f aca="false">IF(AND(AC713="yes",ISNUMBER(F713),IF(Compare!$H$5="All mapped",TRUE(),IF(Compare!$H$5="EXACT only",J713="EXACT",OR(J713="EXACT",J713="CLOSE")))),"yes","no")</f>
        <v>yes</v>
      </c>
      <c r="AF713" s="110" t="n">
        <f aca="false">IF(ISNUMBER(H713),COUNTIFS($B$7:$B$3000,B713,$C$7:$C$3000,C713,$H$7:$H$3000,"&lt;"&amp;H713,$AH$7:$AH$3000,"yes")+COUNTIFS($B$7:B713,B713,$C$7:C713,C713,$H$7:H713,H713,$AH$7:AH713,"yes"),"")</f>
        <v>5</v>
      </c>
      <c r="AG713" s="110" t="n">
        <f aca="false">IF(ISNUMBER(I713),COUNTIFS($B$7:$B$3000,B713,$C$7:$C$3000,C713,$I$7:$I$3000,"&lt;"&amp;I713,$AI$7:$AI$3000,"yes")+COUNTIFS($B$7:B713,B713,$C$7:C713,C713,$I$7:I713,I713,$AI$7:AI713,"yes"),"")</f>
        <v>5</v>
      </c>
      <c r="AH713" s="110" t="str">
        <f aca="false">IF(ISNUMBER(H713),"yes","no")</f>
        <v>yes</v>
      </c>
      <c r="AI713" s="110" t="str">
        <f aca="false">IF(ISNUMBER(I713),"yes","no")</f>
        <v>yes</v>
      </c>
      <c r="AJ713" s="120" t="n">
        <v>46297</v>
      </c>
      <c r="AK713" s="110"/>
    </row>
    <row r="714" customFormat="false" ht="23.25" hidden="false" customHeight="true" outlineLevel="0" collapsed="false">
      <c r="B714" s="36" t="s">
        <v>47</v>
      </c>
      <c r="C714" s="98" t="s">
        <v>17</v>
      </c>
      <c r="D714" s="98" t="s">
        <v>338</v>
      </c>
      <c r="E714" s="110" t="s">
        <v>2414</v>
      </c>
      <c r="F714" s="99" t="n">
        <v>248</v>
      </c>
      <c r="G714" s="98" t="s">
        <v>333</v>
      </c>
      <c r="H714" s="112" t="n">
        <f aca="false">IF(AND(AE714="yes",ISNUMBER(AD714)),AD714,"")</f>
        <v>248</v>
      </c>
      <c r="I714" s="95" t="n">
        <f aca="false">IF(AND(AE714="yes",ISNUMBER(AD714),ISNUMBER(INDEX(Sources!$G$7:$G$10,MATCH(AB714,Sources!$B$7:$B$10,0)))),ROUND(AD714/INDEX(Sources!$G$7:$G$10,MATCH(AB714,Sources!$B$7:$B$10,0)),6),"")</f>
        <v>10.154107</v>
      </c>
      <c r="J714" s="98" t="s">
        <v>530</v>
      </c>
      <c r="K714" s="98" t="s">
        <v>2059</v>
      </c>
      <c r="L714" s="96"/>
      <c r="M714" s="110" t="s">
        <v>2415</v>
      </c>
      <c r="N714" s="117" t="s">
        <v>2416</v>
      </c>
      <c r="O714" s="110" t="s">
        <v>2412</v>
      </c>
      <c r="P714" s="110" t="s">
        <v>590</v>
      </c>
      <c r="Q714" s="118" t="n">
        <v>0.21</v>
      </c>
      <c r="R714" s="110" t="n">
        <v>1</v>
      </c>
      <c r="S714" s="110" t="s">
        <v>632</v>
      </c>
      <c r="T714" s="110" t="s">
        <v>530</v>
      </c>
      <c r="U714" s="110" t="s">
        <v>2062</v>
      </c>
      <c r="V714" s="119" t="n">
        <v>248</v>
      </c>
      <c r="W714" s="119"/>
      <c r="X714" s="110" t="s">
        <v>2063</v>
      </c>
      <c r="Y714" s="110" t="s">
        <v>2064</v>
      </c>
      <c r="Z714" s="110" t="s">
        <v>2413</v>
      </c>
      <c r="AA714" s="110" t="s">
        <v>537</v>
      </c>
      <c r="AB714" s="110" t="s">
        <v>333</v>
      </c>
      <c r="AC714" s="110" t="s">
        <v>538</v>
      </c>
      <c r="AD714" s="110" t="n">
        <f aca="false">IF(OR(F714="",Q714="",R714=""),"",ROUND(IF(P714="incl.",F714/(1+Q714),F714)/IF(S714="per pack",R714,1),2))</f>
        <v>248</v>
      </c>
      <c r="AE714" s="110" t="str">
        <f aca="false">IF(AND(AC714="yes",ISNUMBER(F714),IF(Compare!$H$5="All mapped",TRUE(),IF(Compare!$H$5="EXACT only",J714="EXACT",OR(J714="EXACT",J714="CLOSE")))),"yes","no")</f>
        <v>yes</v>
      </c>
      <c r="AF714" s="110" t="n">
        <f aca="false">IF(ISNUMBER(H714),COUNTIFS($B$7:$B$3000,B714,$C$7:$C$3000,C714,$H$7:$H$3000,"&lt;"&amp;H714,$AH$7:$AH$3000,"yes")+COUNTIFS($B$7:B714,B714,$C$7:C714,C714,$H$7:H714,H714,$AH$7:AH714,"yes"),"")</f>
        <v>2</v>
      </c>
      <c r="AG714" s="110" t="n">
        <f aca="false">IF(ISNUMBER(I714),COUNTIFS($B$7:$B$3000,B714,$C$7:$C$3000,C714,$I$7:$I$3000,"&lt;"&amp;I714,$AI$7:$AI$3000,"yes")+COUNTIFS($B$7:B714,B714,$C$7:C714,C714,$I$7:I714,I714,$AI$7:AI714,"yes"),"")</f>
        <v>2</v>
      </c>
      <c r="AH714" s="110" t="str">
        <f aca="false">IF(ISNUMBER(H714),"yes","no")</f>
        <v>yes</v>
      </c>
      <c r="AI714" s="110" t="str">
        <f aca="false">IF(ISNUMBER(I714),"yes","no")</f>
        <v>yes</v>
      </c>
      <c r="AJ714" s="120" t="n">
        <v>46297</v>
      </c>
      <c r="AK714" s="110"/>
    </row>
    <row r="715" customFormat="false" ht="34.5" hidden="false" customHeight="true" outlineLevel="0" collapsed="false">
      <c r="B715" s="36" t="s">
        <v>43</v>
      </c>
      <c r="C715" s="98" t="s">
        <v>17</v>
      </c>
      <c r="D715" s="98" t="s">
        <v>338</v>
      </c>
      <c r="E715" s="110" t="s">
        <v>2417</v>
      </c>
      <c r="F715" s="99" t="n">
        <v>287</v>
      </c>
      <c r="G715" s="98" t="s">
        <v>333</v>
      </c>
      <c r="H715" s="112" t="n">
        <f aca="false">IF(AND(AE715="yes",ISNUMBER(AD715)),AD715,"")</f>
        <v>287</v>
      </c>
      <c r="I715" s="95" t="n">
        <f aca="false">IF(AND(AE715="yes",ISNUMBER(AD715),ISNUMBER(INDEX(Sources!$G$7:$G$10,MATCH(AB715,Sources!$B$7:$B$10,0)))),ROUND(AD715/INDEX(Sources!$G$7:$G$10,MATCH(AB715,Sources!$B$7:$B$10,0)),6),"")</f>
        <v>11.750922</v>
      </c>
      <c r="J715" s="98" t="s">
        <v>530</v>
      </c>
      <c r="K715" s="98" t="s">
        <v>2059</v>
      </c>
      <c r="L715" s="96"/>
      <c r="M715" s="110" t="s">
        <v>2418</v>
      </c>
      <c r="N715" s="117" t="s">
        <v>2419</v>
      </c>
      <c r="O715" s="110" t="s">
        <v>388</v>
      </c>
      <c r="P715" s="110" t="s">
        <v>590</v>
      </c>
      <c r="Q715" s="118" t="n">
        <v>0.21</v>
      </c>
      <c r="R715" s="110" t="n">
        <v>1</v>
      </c>
      <c r="S715" s="110" t="s">
        <v>632</v>
      </c>
      <c r="T715" s="110" t="s">
        <v>530</v>
      </c>
      <c r="U715" s="110" t="s">
        <v>2062</v>
      </c>
      <c r="V715" s="119" t="n">
        <v>287</v>
      </c>
      <c r="W715" s="119"/>
      <c r="X715" s="110" t="s">
        <v>2063</v>
      </c>
      <c r="Y715" s="110" t="s">
        <v>2064</v>
      </c>
      <c r="Z715" s="110" t="s">
        <v>2420</v>
      </c>
      <c r="AA715" s="110" t="s">
        <v>537</v>
      </c>
      <c r="AB715" s="110" t="s">
        <v>333</v>
      </c>
      <c r="AC715" s="110" t="s">
        <v>538</v>
      </c>
      <c r="AD715" s="110" t="n">
        <f aca="false">IF(OR(F715="",Q715="",R715=""),"",ROUND(IF(P715="incl.",F715/(1+Q715),F715)/IF(S715="per pack",R715,1),2))</f>
        <v>287</v>
      </c>
      <c r="AE715" s="110" t="str">
        <f aca="false">IF(AND(AC715="yes",ISNUMBER(F715),IF(Compare!$H$5="All mapped",TRUE(),IF(Compare!$H$5="EXACT only",J715="EXACT",OR(J715="EXACT",J715="CLOSE")))),"yes","no")</f>
        <v>yes</v>
      </c>
      <c r="AF715" s="110" t="n">
        <f aca="false">IF(ISNUMBER(H715),COUNTIFS($B$7:$B$3000,B715,$C$7:$C$3000,C715,$H$7:$H$3000,"&lt;"&amp;H715,$AH$7:$AH$3000,"yes")+COUNTIFS($B$7:B715,B715,$C$7:C715,C715,$H$7:H715,H715,$AH$7:AH715,"yes"),"")</f>
        <v>5</v>
      </c>
      <c r="AG715" s="110" t="n">
        <f aca="false">IF(ISNUMBER(I715),COUNTIFS($B$7:$B$3000,B715,$C$7:$C$3000,C715,$I$7:$I$3000,"&lt;"&amp;I715,$AI$7:$AI$3000,"yes")+COUNTIFS($B$7:B715,B715,$C$7:C715,C715,$I$7:I715,I715,$AI$7:AI715,"yes"),"")</f>
        <v>5</v>
      </c>
      <c r="AH715" s="110" t="str">
        <f aca="false">IF(ISNUMBER(H715),"yes","no")</f>
        <v>yes</v>
      </c>
      <c r="AI715" s="110" t="str">
        <f aca="false">IF(ISNUMBER(I715),"yes","no")</f>
        <v>yes</v>
      </c>
      <c r="AJ715" s="120" t="n">
        <v>46297</v>
      </c>
      <c r="AK715" s="110"/>
    </row>
    <row r="716" customFormat="false" ht="34.5" hidden="false" customHeight="true" outlineLevel="0" collapsed="false">
      <c r="B716" s="36" t="s">
        <v>24</v>
      </c>
      <c r="C716" s="98" t="s">
        <v>17</v>
      </c>
      <c r="D716" s="98" t="s">
        <v>338</v>
      </c>
      <c r="E716" s="110" t="s">
        <v>2421</v>
      </c>
      <c r="F716" s="99" t="n">
        <v>164</v>
      </c>
      <c r="G716" s="98" t="s">
        <v>333</v>
      </c>
      <c r="H716" s="112" t="n">
        <f aca="false">IF(AND(AE716="yes",ISNUMBER(AD716)),AD716,"")</f>
        <v>164</v>
      </c>
      <c r="I716" s="95" t="n">
        <f aca="false">IF(AND(AE716="yes",ISNUMBER(AD716),ISNUMBER(INDEX(Sources!$G$7:$G$10,MATCH(AB716,Sources!$B$7:$B$10,0)))),ROUND(AD716/INDEX(Sources!$G$7:$G$10,MATCH(AB716,Sources!$B$7:$B$10,0)),6),"")</f>
        <v>6.714812</v>
      </c>
      <c r="J716" s="98" t="s">
        <v>530</v>
      </c>
      <c r="K716" s="98" t="s">
        <v>2059</v>
      </c>
      <c r="L716" s="96"/>
      <c r="M716" s="110" t="s">
        <v>2422</v>
      </c>
      <c r="N716" s="117" t="s">
        <v>2423</v>
      </c>
      <c r="O716" s="110" t="s">
        <v>388</v>
      </c>
      <c r="P716" s="110" t="s">
        <v>590</v>
      </c>
      <c r="Q716" s="118" t="n">
        <v>0.21</v>
      </c>
      <c r="R716" s="110" t="n">
        <v>1</v>
      </c>
      <c r="S716" s="110" t="s">
        <v>632</v>
      </c>
      <c r="T716" s="110" t="s">
        <v>530</v>
      </c>
      <c r="U716" s="110" t="s">
        <v>2062</v>
      </c>
      <c r="V716" s="119" t="n">
        <v>164</v>
      </c>
      <c r="W716" s="119"/>
      <c r="X716" s="110" t="s">
        <v>2063</v>
      </c>
      <c r="Y716" s="110" t="s">
        <v>2064</v>
      </c>
      <c r="Z716" s="110" t="s">
        <v>2420</v>
      </c>
      <c r="AA716" s="110" t="s">
        <v>537</v>
      </c>
      <c r="AB716" s="110" t="s">
        <v>333</v>
      </c>
      <c r="AC716" s="110" t="s">
        <v>538</v>
      </c>
      <c r="AD716" s="110" t="n">
        <f aca="false">IF(OR(F716="",Q716="",R716=""),"",ROUND(IF(P716="incl.",F716/(1+Q716),F716)/IF(S716="per pack",R716,1),2))</f>
        <v>164</v>
      </c>
      <c r="AE716" s="110" t="str">
        <f aca="false">IF(AND(AC716="yes",ISNUMBER(F716),IF(Compare!$H$5="All mapped",TRUE(),IF(Compare!$H$5="EXACT only",J716="EXACT",OR(J716="EXACT",J716="CLOSE")))),"yes","no")</f>
        <v>yes</v>
      </c>
      <c r="AF716" s="110" t="n">
        <f aca="false">IF(ISNUMBER(H716),COUNTIFS($B$7:$B$3000,B716,$C$7:$C$3000,C716,$H$7:$H$3000,"&lt;"&amp;H716,$AH$7:$AH$3000,"yes")+COUNTIFS($B$7:B716,B716,$C$7:C716,C716,$H$7:H716,H716,$AH$7:AH716,"yes"),"")</f>
        <v>6</v>
      </c>
      <c r="AG716" s="110" t="n">
        <f aca="false">IF(ISNUMBER(I716),COUNTIFS($B$7:$B$3000,B716,$C$7:$C$3000,C716,$I$7:$I$3000,"&lt;"&amp;I716,$AI$7:$AI$3000,"yes")+COUNTIFS($B$7:B716,B716,$C$7:C716,C716,$I$7:I716,I716,$AI$7:AI716,"yes"),"")</f>
        <v>6</v>
      </c>
      <c r="AH716" s="110" t="str">
        <f aca="false">IF(ISNUMBER(H716),"yes","no")</f>
        <v>yes</v>
      </c>
      <c r="AI716" s="110" t="str">
        <f aca="false">IF(ISNUMBER(I716),"yes","no")</f>
        <v>yes</v>
      </c>
      <c r="AJ716" s="120" t="n">
        <v>46297</v>
      </c>
      <c r="AK716" s="110"/>
    </row>
    <row r="717" customFormat="false" ht="34.5" hidden="false" customHeight="true" outlineLevel="0" collapsed="false">
      <c r="B717" s="36" t="s">
        <v>22</v>
      </c>
      <c r="C717" s="98" t="s">
        <v>17</v>
      </c>
      <c r="D717" s="98" t="s">
        <v>338</v>
      </c>
      <c r="E717" s="110" t="s">
        <v>2424</v>
      </c>
      <c r="F717" s="99" t="n">
        <v>209</v>
      </c>
      <c r="G717" s="98" t="s">
        <v>333</v>
      </c>
      <c r="H717" s="112" t="n">
        <f aca="false">IF(AND(AE717="yes",ISNUMBER(AD717)),AD717,"")</f>
        <v>209</v>
      </c>
      <c r="I717" s="95" t="n">
        <f aca="false">IF(AND(AE717="yes",ISNUMBER(AD717),ISNUMBER(INDEX(Sources!$G$7:$G$10,MATCH(AB717,Sources!$B$7:$B$10,0)))),ROUND(AD717/INDEX(Sources!$G$7:$G$10,MATCH(AB717,Sources!$B$7:$B$10,0)),6),"")</f>
        <v>8.557292</v>
      </c>
      <c r="J717" s="98" t="s">
        <v>530</v>
      </c>
      <c r="K717" s="98" t="s">
        <v>2059</v>
      </c>
      <c r="L717" s="96"/>
      <c r="M717" s="110" t="s">
        <v>2425</v>
      </c>
      <c r="N717" s="117" t="s">
        <v>2426</v>
      </c>
      <c r="O717" s="110" t="s">
        <v>388</v>
      </c>
      <c r="P717" s="110" t="s">
        <v>590</v>
      </c>
      <c r="Q717" s="118" t="n">
        <v>0.21</v>
      </c>
      <c r="R717" s="110" t="n">
        <v>1</v>
      </c>
      <c r="S717" s="110" t="s">
        <v>632</v>
      </c>
      <c r="T717" s="110" t="s">
        <v>530</v>
      </c>
      <c r="U717" s="110" t="s">
        <v>2062</v>
      </c>
      <c r="V717" s="119" t="n">
        <v>209</v>
      </c>
      <c r="W717" s="119"/>
      <c r="X717" s="110" t="s">
        <v>2063</v>
      </c>
      <c r="Y717" s="110" t="s">
        <v>2064</v>
      </c>
      <c r="Z717" s="110" t="s">
        <v>2420</v>
      </c>
      <c r="AA717" s="110" t="s">
        <v>537</v>
      </c>
      <c r="AB717" s="110" t="s">
        <v>333</v>
      </c>
      <c r="AC717" s="110" t="s">
        <v>538</v>
      </c>
      <c r="AD717" s="110" t="n">
        <f aca="false">IF(OR(F717="",Q717="",R717=""),"",ROUND(IF(P717="incl.",F717/(1+Q717),F717)/IF(S717="per pack",R717,1),2))</f>
        <v>209</v>
      </c>
      <c r="AE717" s="110" t="str">
        <f aca="false">IF(AND(AC717="yes",ISNUMBER(F717),IF(Compare!$H$5="All mapped",TRUE(),IF(Compare!$H$5="EXACT only",J717="EXACT",OR(J717="EXACT",J717="CLOSE")))),"yes","no")</f>
        <v>yes</v>
      </c>
      <c r="AF717" s="110" t="n">
        <f aca="false">IF(ISNUMBER(H717),COUNTIFS($B$7:$B$3000,B717,$C$7:$C$3000,C717,$H$7:$H$3000,"&lt;"&amp;H717,$AH$7:$AH$3000,"yes")+COUNTIFS($B$7:B717,B717,$C$7:C717,C717,$H$7:H717,H717,$AH$7:AH717,"yes"),"")</f>
        <v>1</v>
      </c>
      <c r="AG717" s="110" t="n">
        <f aca="false">IF(ISNUMBER(I717),COUNTIFS($B$7:$B$3000,B717,$C$7:$C$3000,C717,$I$7:$I$3000,"&lt;"&amp;I717,$AI$7:$AI$3000,"yes")+COUNTIFS($B$7:B717,B717,$C$7:C717,C717,$I$7:I717,I717,$AI$7:AI717,"yes"),"")</f>
        <v>1</v>
      </c>
      <c r="AH717" s="110" t="str">
        <f aca="false">IF(ISNUMBER(H717),"yes","no")</f>
        <v>yes</v>
      </c>
      <c r="AI717" s="110" t="str">
        <f aca="false">IF(ISNUMBER(I717),"yes","no")</f>
        <v>yes</v>
      </c>
      <c r="AJ717" s="120" t="n">
        <v>46297</v>
      </c>
      <c r="AK717" s="110"/>
    </row>
    <row r="718" customFormat="false" ht="34.5" hidden="false" customHeight="true" outlineLevel="0" collapsed="false">
      <c r="B718" s="36" t="s">
        <v>46</v>
      </c>
      <c r="C718" s="98" t="s">
        <v>17</v>
      </c>
      <c r="D718" s="98" t="s">
        <v>338</v>
      </c>
      <c r="E718" s="110" t="s">
        <v>2427</v>
      </c>
      <c r="F718" s="99" t="n">
        <v>226</v>
      </c>
      <c r="G718" s="98" t="s">
        <v>333</v>
      </c>
      <c r="H718" s="112" t="n">
        <f aca="false">IF(AND(AE718="yes",ISNUMBER(AD718)),AD718,"")</f>
        <v>226</v>
      </c>
      <c r="I718" s="95" t="n">
        <f aca="false">IF(AND(AE718="yes",ISNUMBER(AD718),ISNUMBER(INDEX(Sources!$G$7:$G$10,MATCH(AB718,Sources!$B$7:$B$10,0)))),ROUND(AD718/INDEX(Sources!$G$7:$G$10,MATCH(AB718,Sources!$B$7:$B$10,0)),6),"")</f>
        <v>9.253339</v>
      </c>
      <c r="J718" s="98" t="s">
        <v>530</v>
      </c>
      <c r="K718" s="98" t="s">
        <v>2059</v>
      </c>
      <c r="L718" s="96"/>
      <c r="M718" s="110" t="s">
        <v>2428</v>
      </c>
      <c r="N718" s="117" t="s">
        <v>2429</v>
      </c>
      <c r="O718" s="110" t="s">
        <v>388</v>
      </c>
      <c r="P718" s="110" t="s">
        <v>590</v>
      </c>
      <c r="Q718" s="118" t="n">
        <v>0.21</v>
      </c>
      <c r="R718" s="110" t="n">
        <v>1</v>
      </c>
      <c r="S718" s="110" t="s">
        <v>632</v>
      </c>
      <c r="T718" s="110" t="s">
        <v>530</v>
      </c>
      <c r="U718" s="110" t="s">
        <v>2062</v>
      </c>
      <c r="V718" s="119" t="n">
        <v>226</v>
      </c>
      <c r="W718" s="119"/>
      <c r="X718" s="110" t="s">
        <v>2063</v>
      </c>
      <c r="Y718" s="110" t="s">
        <v>2064</v>
      </c>
      <c r="Z718" s="110" t="s">
        <v>2420</v>
      </c>
      <c r="AA718" s="110" t="s">
        <v>537</v>
      </c>
      <c r="AB718" s="110" t="s">
        <v>333</v>
      </c>
      <c r="AC718" s="110" t="s">
        <v>538</v>
      </c>
      <c r="AD718" s="110" t="n">
        <f aca="false">IF(OR(F718="",Q718="",R718=""),"",ROUND(IF(P718="incl.",F718/(1+Q718),F718)/IF(S718="per pack",R718,1),2))</f>
        <v>226</v>
      </c>
      <c r="AE718" s="110" t="str">
        <f aca="false">IF(AND(AC718="yes",ISNUMBER(F718),IF(Compare!$H$5="All mapped",TRUE(),IF(Compare!$H$5="EXACT only",J718="EXACT",OR(J718="EXACT",J718="CLOSE")))),"yes","no")</f>
        <v>yes</v>
      </c>
      <c r="AF718" s="110" t="n">
        <f aca="false">IF(ISNUMBER(H718),COUNTIFS($B$7:$B$3000,B718,$C$7:$C$3000,C718,$H$7:$H$3000,"&lt;"&amp;H718,$AH$7:$AH$3000,"yes")+COUNTIFS($B$7:B718,B718,$C$7:C718,C718,$H$7:H718,H718,$AH$7:AH718,"yes"),"")</f>
        <v>7</v>
      </c>
      <c r="AG718" s="110" t="n">
        <f aca="false">IF(ISNUMBER(I718),COUNTIFS($B$7:$B$3000,B718,$C$7:$C$3000,C718,$I$7:$I$3000,"&lt;"&amp;I718,$AI$7:$AI$3000,"yes")+COUNTIFS($B$7:B718,B718,$C$7:C718,C718,$I$7:I718,I718,$AI$7:AI718,"yes"),"")</f>
        <v>7</v>
      </c>
      <c r="AH718" s="110" t="str">
        <f aca="false">IF(ISNUMBER(H718),"yes","no")</f>
        <v>yes</v>
      </c>
      <c r="AI718" s="110" t="str">
        <f aca="false">IF(ISNUMBER(I718),"yes","no")</f>
        <v>yes</v>
      </c>
      <c r="AJ718" s="120" t="n">
        <v>46297</v>
      </c>
      <c r="AK718" s="110"/>
    </row>
    <row r="719" customFormat="false" ht="34.5" hidden="false" customHeight="true" outlineLevel="0" collapsed="false">
      <c r="B719" s="36" t="s">
        <v>45</v>
      </c>
      <c r="C719" s="98" t="s">
        <v>17</v>
      </c>
      <c r="D719" s="98" t="s">
        <v>338</v>
      </c>
      <c r="E719" s="110" t="s">
        <v>2430</v>
      </c>
      <c r="F719" s="99" t="n">
        <v>108</v>
      </c>
      <c r="G719" s="98" t="s">
        <v>333</v>
      </c>
      <c r="H719" s="112" t="n">
        <f aca="false">IF(AND(AE719="yes",ISNUMBER(AD719)),AD719,"")</f>
        <v>108</v>
      </c>
      <c r="I719" s="95" t="n">
        <f aca="false">IF(AND(AE719="yes",ISNUMBER(AD719),ISNUMBER(INDEX(Sources!$G$7:$G$10,MATCH(AB719,Sources!$B$7:$B$10,0)))),ROUND(AD719/INDEX(Sources!$G$7:$G$10,MATCH(AB719,Sources!$B$7:$B$10,0)),6),"")</f>
        <v>4.42195</v>
      </c>
      <c r="J719" s="98" t="s">
        <v>530</v>
      </c>
      <c r="K719" s="98" t="s">
        <v>2059</v>
      </c>
      <c r="L719" s="96"/>
      <c r="M719" s="110" t="s">
        <v>2431</v>
      </c>
      <c r="N719" s="117" t="s">
        <v>2432</v>
      </c>
      <c r="O719" s="110" t="s">
        <v>388</v>
      </c>
      <c r="P719" s="110" t="s">
        <v>590</v>
      </c>
      <c r="Q719" s="118" t="n">
        <v>0.21</v>
      </c>
      <c r="R719" s="110" t="n">
        <v>1</v>
      </c>
      <c r="S719" s="110" t="s">
        <v>632</v>
      </c>
      <c r="T719" s="110" t="s">
        <v>530</v>
      </c>
      <c r="U719" s="110" t="s">
        <v>2062</v>
      </c>
      <c r="V719" s="119" t="n">
        <v>108</v>
      </c>
      <c r="W719" s="119"/>
      <c r="X719" s="110" t="s">
        <v>2063</v>
      </c>
      <c r="Y719" s="110" t="s">
        <v>2064</v>
      </c>
      <c r="Z719" s="110" t="s">
        <v>2420</v>
      </c>
      <c r="AA719" s="110" t="s">
        <v>537</v>
      </c>
      <c r="AB719" s="110" t="s">
        <v>333</v>
      </c>
      <c r="AC719" s="110" t="s">
        <v>538</v>
      </c>
      <c r="AD719" s="110" t="n">
        <f aca="false">IF(OR(F719="",Q719="",R719=""),"",ROUND(IF(P719="incl.",F719/(1+Q719),F719)/IF(S719="per pack",R719,1),2))</f>
        <v>108</v>
      </c>
      <c r="AE719" s="110" t="str">
        <f aca="false">IF(AND(AC719="yes",ISNUMBER(F719),IF(Compare!$H$5="All mapped",TRUE(),IF(Compare!$H$5="EXACT only",J719="EXACT",OR(J719="EXACT",J719="CLOSE")))),"yes","no")</f>
        <v>yes</v>
      </c>
      <c r="AF719" s="110" t="n">
        <f aca="false">IF(ISNUMBER(H719),COUNTIFS($B$7:$B$3000,B719,$C$7:$C$3000,C719,$H$7:$H$3000,"&lt;"&amp;H719,$AH$7:$AH$3000,"yes")+COUNTIFS($B$7:B719,B719,$C$7:C719,C719,$H$7:H719,H719,$AH$7:AH719,"yes"),"")</f>
        <v>2</v>
      </c>
      <c r="AG719" s="110" t="n">
        <f aca="false">IF(ISNUMBER(I719),COUNTIFS($B$7:$B$3000,B719,$C$7:$C$3000,C719,$I$7:$I$3000,"&lt;"&amp;I719,$AI$7:$AI$3000,"yes")+COUNTIFS($B$7:B719,B719,$C$7:C719,C719,$I$7:I719,I719,$AI$7:AI719,"yes"),"")</f>
        <v>2</v>
      </c>
      <c r="AH719" s="110" t="str">
        <f aca="false">IF(ISNUMBER(H719),"yes","no")</f>
        <v>yes</v>
      </c>
      <c r="AI719" s="110" t="str">
        <f aca="false">IF(ISNUMBER(I719),"yes","no")</f>
        <v>yes</v>
      </c>
      <c r="AJ719" s="120" t="n">
        <v>46297</v>
      </c>
      <c r="AK719" s="110"/>
    </row>
    <row r="720" customFormat="false" ht="34.5" hidden="false" customHeight="true" outlineLevel="0" collapsed="false">
      <c r="B720" s="36" t="s">
        <v>23</v>
      </c>
      <c r="C720" s="98" t="s">
        <v>17</v>
      </c>
      <c r="D720" s="98" t="s">
        <v>338</v>
      </c>
      <c r="E720" s="110" t="s">
        <v>2433</v>
      </c>
      <c r="F720" s="99" t="n">
        <v>151</v>
      </c>
      <c r="G720" s="98" t="s">
        <v>333</v>
      </c>
      <c r="H720" s="112" t="n">
        <f aca="false">IF(AND(AE720="yes",ISNUMBER(AD720)),AD720,"")</f>
        <v>151</v>
      </c>
      <c r="I720" s="95" t="n">
        <f aca="false">IF(AND(AE720="yes",ISNUMBER(AD720),ISNUMBER(INDEX(Sources!$G$7:$G$10,MATCH(AB720,Sources!$B$7:$B$10,0)))),ROUND(AD720/INDEX(Sources!$G$7:$G$10,MATCH(AB720,Sources!$B$7:$B$10,0)),6),"")</f>
        <v>6.182541</v>
      </c>
      <c r="J720" s="98" t="s">
        <v>530</v>
      </c>
      <c r="K720" s="98" t="s">
        <v>2059</v>
      </c>
      <c r="L720" s="96"/>
      <c r="M720" s="110" t="s">
        <v>2434</v>
      </c>
      <c r="N720" s="117" t="s">
        <v>2435</v>
      </c>
      <c r="O720" s="110" t="s">
        <v>388</v>
      </c>
      <c r="P720" s="110" t="s">
        <v>590</v>
      </c>
      <c r="Q720" s="118" t="n">
        <v>0.21</v>
      </c>
      <c r="R720" s="110" t="n">
        <v>1</v>
      </c>
      <c r="S720" s="110" t="s">
        <v>632</v>
      </c>
      <c r="T720" s="110" t="s">
        <v>530</v>
      </c>
      <c r="U720" s="110" t="s">
        <v>2062</v>
      </c>
      <c r="V720" s="119" t="n">
        <v>151</v>
      </c>
      <c r="W720" s="119"/>
      <c r="X720" s="110" t="s">
        <v>2063</v>
      </c>
      <c r="Y720" s="110" t="s">
        <v>2064</v>
      </c>
      <c r="Z720" s="110" t="s">
        <v>2420</v>
      </c>
      <c r="AA720" s="110" t="s">
        <v>537</v>
      </c>
      <c r="AB720" s="110" t="s">
        <v>333</v>
      </c>
      <c r="AC720" s="110" t="s">
        <v>538</v>
      </c>
      <c r="AD720" s="110" t="n">
        <f aca="false">IF(OR(F720="",Q720="",R720=""),"",ROUND(IF(P720="incl.",F720/(1+Q720),F720)/IF(S720="per pack",R720,1),2))</f>
        <v>151</v>
      </c>
      <c r="AE720" s="110" t="str">
        <f aca="false">IF(AND(AC720="yes",ISNUMBER(F720),IF(Compare!$H$5="All mapped",TRUE(),IF(Compare!$H$5="EXACT only",J720="EXACT",OR(J720="EXACT",J720="CLOSE")))),"yes","no")</f>
        <v>yes</v>
      </c>
      <c r="AF720" s="110" t="n">
        <f aca="false">IF(ISNUMBER(H720),COUNTIFS($B$7:$B$3000,B720,$C$7:$C$3000,C720,$H$7:$H$3000,"&lt;"&amp;H720,$AH$7:$AH$3000,"yes")+COUNTIFS($B$7:B720,B720,$C$7:C720,C720,$H$7:H720,H720,$AH$7:AH720,"yes"),"")</f>
        <v>8</v>
      </c>
      <c r="AG720" s="110" t="n">
        <f aca="false">IF(ISNUMBER(I720),COUNTIFS($B$7:$B$3000,B720,$C$7:$C$3000,C720,$I$7:$I$3000,"&lt;"&amp;I720,$AI$7:$AI$3000,"yes")+COUNTIFS($B$7:B720,B720,$C$7:C720,C720,$I$7:I720,I720,$AI$7:AI720,"yes"),"")</f>
        <v>8</v>
      </c>
      <c r="AH720" s="110" t="str">
        <f aca="false">IF(ISNUMBER(H720),"yes","no")</f>
        <v>yes</v>
      </c>
      <c r="AI720" s="110" t="str">
        <f aca="false">IF(ISNUMBER(I720),"yes","no")</f>
        <v>yes</v>
      </c>
      <c r="AJ720" s="120" t="n">
        <v>46297</v>
      </c>
      <c r="AK720" s="110"/>
    </row>
    <row r="721" customFormat="false" ht="23.25" hidden="false" customHeight="true" outlineLevel="0" collapsed="false">
      <c r="B721" s="36" t="s">
        <v>61</v>
      </c>
      <c r="C721" s="98" t="s">
        <v>17</v>
      </c>
      <c r="D721" s="98" t="s">
        <v>338</v>
      </c>
      <c r="E721" s="110" t="s">
        <v>2436</v>
      </c>
      <c r="F721" s="99" t="n">
        <v>76</v>
      </c>
      <c r="G721" s="98" t="s">
        <v>333</v>
      </c>
      <c r="H721" s="112" t="n">
        <f aca="false">IF(AND(AE721="yes",ISNUMBER(AD721)),AD721,"")</f>
        <v>76</v>
      </c>
      <c r="I721" s="95" t="n">
        <f aca="false">IF(AND(AE721="yes",ISNUMBER(AD721),ISNUMBER(INDEX(Sources!$G$7:$G$10,MATCH(AB721,Sources!$B$7:$B$10,0)))),ROUND(AD721/INDEX(Sources!$G$7:$G$10,MATCH(AB721,Sources!$B$7:$B$10,0)),6),"")</f>
        <v>3.111742</v>
      </c>
      <c r="J721" s="98" t="s">
        <v>530</v>
      </c>
      <c r="K721" s="98" t="s">
        <v>2059</v>
      </c>
      <c r="L721" s="96"/>
      <c r="M721" s="110" t="s">
        <v>2437</v>
      </c>
      <c r="N721" s="117" t="s">
        <v>2438</v>
      </c>
      <c r="O721" s="110" t="s">
        <v>388</v>
      </c>
      <c r="P721" s="110" t="s">
        <v>590</v>
      </c>
      <c r="Q721" s="118" t="n">
        <v>0.21</v>
      </c>
      <c r="R721" s="110" t="n">
        <v>1</v>
      </c>
      <c r="S721" s="110" t="s">
        <v>632</v>
      </c>
      <c r="T721" s="110" t="s">
        <v>530</v>
      </c>
      <c r="U721" s="110" t="s">
        <v>2062</v>
      </c>
      <c r="V721" s="119" t="n">
        <v>76</v>
      </c>
      <c r="W721" s="119"/>
      <c r="X721" s="110" t="s">
        <v>2063</v>
      </c>
      <c r="Y721" s="110" t="s">
        <v>2064</v>
      </c>
      <c r="Z721" s="110" t="s">
        <v>2439</v>
      </c>
      <c r="AA721" s="110" t="s">
        <v>537</v>
      </c>
      <c r="AB721" s="110" t="s">
        <v>333</v>
      </c>
      <c r="AC721" s="110" t="s">
        <v>538</v>
      </c>
      <c r="AD721" s="110" t="n">
        <f aca="false">IF(OR(F721="",Q721="",R721=""),"",ROUND(IF(P721="incl.",F721/(1+Q721),F721)/IF(S721="per pack",R721,1),2))</f>
        <v>76</v>
      </c>
      <c r="AE721" s="110" t="str">
        <f aca="false">IF(AND(AC721="yes",ISNUMBER(F721),IF(Compare!$H$5="All mapped",TRUE(),IF(Compare!$H$5="EXACT only",J721="EXACT",OR(J721="EXACT",J721="CLOSE")))),"yes","no")</f>
        <v>yes</v>
      </c>
      <c r="AF721" s="110" t="n">
        <f aca="false">IF(ISNUMBER(H721),COUNTIFS($B$7:$B$3000,B721,$C$7:$C$3000,C721,$H$7:$H$3000,"&lt;"&amp;H721,$AH$7:$AH$3000,"yes")+COUNTIFS($B$7:B721,B721,$C$7:C721,C721,$H$7:H721,H721,$AH$7:AH721,"yes"),"")</f>
        <v>6</v>
      </c>
      <c r="AG721" s="110" t="n">
        <f aca="false">IF(ISNUMBER(I721),COUNTIFS($B$7:$B$3000,B721,$C$7:$C$3000,C721,$I$7:$I$3000,"&lt;"&amp;I721,$AI$7:$AI$3000,"yes")+COUNTIFS($B$7:B721,B721,$C$7:C721,C721,$I$7:I721,I721,$AI$7:AI721,"yes"),"")</f>
        <v>6</v>
      </c>
      <c r="AH721" s="110" t="str">
        <f aca="false">IF(ISNUMBER(H721),"yes","no")</f>
        <v>yes</v>
      </c>
      <c r="AI721" s="110" t="str">
        <f aca="false">IF(ISNUMBER(I721),"yes","no")</f>
        <v>yes</v>
      </c>
      <c r="AJ721" s="120" t="n">
        <v>46297</v>
      </c>
      <c r="AK721" s="110"/>
    </row>
    <row r="722" customFormat="false" ht="45.75" hidden="false" customHeight="true" outlineLevel="0" collapsed="false">
      <c r="B722" s="36" t="s">
        <v>59</v>
      </c>
      <c r="C722" s="98" t="s">
        <v>17</v>
      </c>
      <c r="D722" s="98" t="s">
        <v>338</v>
      </c>
      <c r="E722" s="110" t="s">
        <v>2440</v>
      </c>
      <c r="F722" s="99" t="n">
        <v>96</v>
      </c>
      <c r="G722" s="98" t="s">
        <v>333</v>
      </c>
      <c r="H722" s="112" t="n">
        <f aca="false">IF(AND(AE722="yes",ISNUMBER(AD722)),AD722,"")</f>
        <v>96</v>
      </c>
      <c r="I722" s="95" t="n">
        <f aca="false">IF(AND(AE722="yes",ISNUMBER(AD722),ISNUMBER(INDEX(Sources!$G$7:$G$10,MATCH(AB722,Sources!$B$7:$B$10,0)))),ROUND(AD722/INDEX(Sources!$G$7:$G$10,MATCH(AB722,Sources!$B$7:$B$10,0)),6),"")</f>
        <v>3.930622</v>
      </c>
      <c r="J722" s="98" t="s">
        <v>530</v>
      </c>
      <c r="K722" s="98" t="s">
        <v>2059</v>
      </c>
      <c r="L722" s="96"/>
      <c r="M722" s="110" t="s">
        <v>2441</v>
      </c>
      <c r="N722" s="117" t="s">
        <v>2442</v>
      </c>
      <c r="O722" s="110" t="s">
        <v>2412</v>
      </c>
      <c r="P722" s="110" t="s">
        <v>590</v>
      </c>
      <c r="Q722" s="118" t="n">
        <v>0.21</v>
      </c>
      <c r="R722" s="110" t="n">
        <v>1</v>
      </c>
      <c r="S722" s="110" t="s">
        <v>632</v>
      </c>
      <c r="T722" s="110" t="s">
        <v>530</v>
      </c>
      <c r="U722" s="110" t="s">
        <v>2062</v>
      </c>
      <c r="V722" s="119" t="n">
        <v>96</v>
      </c>
      <c r="W722" s="119"/>
      <c r="X722" s="110" t="s">
        <v>2063</v>
      </c>
      <c r="Y722" s="110" t="s">
        <v>2064</v>
      </c>
      <c r="Z722" s="110" t="s">
        <v>2408</v>
      </c>
      <c r="AA722" s="110" t="s">
        <v>537</v>
      </c>
      <c r="AB722" s="110" t="s">
        <v>333</v>
      </c>
      <c r="AC722" s="110" t="s">
        <v>538</v>
      </c>
      <c r="AD722" s="110" t="n">
        <f aca="false">IF(OR(F722="",Q722="",R722=""),"",ROUND(IF(P722="incl.",F722/(1+Q722),F722)/IF(S722="per pack",R722,1),2))</f>
        <v>96</v>
      </c>
      <c r="AE722" s="110" t="str">
        <f aca="false">IF(AND(AC722="yes",ISNUMBER(F722),IF(Compare!$H$5="All mapped",TRUE(),IF(Compare!$H$5="EXACT only",J722="EXACT",OR(J722="EXACT",J722="CLOSE")))),"yes","no")</f>
        <v>yes</v>
      </c>
      <c r="AF722" s="110" t="n">
        <f aca="false">IF(ISNUMBER(H722),COUNTIFS($B$7:$B$3000,B722,$C$7:$C$3000,C722,$H$7:$H$3000,"&lt;"&amp;H722,$AH$7:$AH$3000,"yes")+COUNTIFS($B$7:B722,B722,$C$7:C722,C722,$H$7:H722,H722,$AH$7:AH722,"yes"),"")</f>
        <v>4</v>
      </c>
      <c r="AG722" s="110" t="n">
        <f aca="false">IF(ISNUMBER(I722),COUNTIFS($B$7:$B$3000,B722,$C$7:$C$3000,C722,$I$7:$I$3000,"&lt;"&amp;I722,$AI$7:$AI$3000,"yes")+COUNTIFS($B$7:B722,B722,$C$7:C722,C722,$I$7:I722,I722,$AI$7:AI722,"yes"),"")</f>
        <v>4</v>
      </c>
      <c r="AH722" s="110" t="str">
        <f aca="false">IF(ISNUMBER(H722),"yes","no")</f>
        <v>yes</v>
      </c>
      <c r="AI722" s="110" t="str">
        <f aca="false">IF(ISNUMBER(I722),"yes","no")</f>
        <v>yes</v>
      </c>
      <c r="AJ722" s="120" t="n">
        <v>46297</v>
      </c>
      <c r="AK722" s="110"/>
    </row>
    <row r="723" customFormat="false" ht="34.5" hidden="false" customHeight="true" outlineLevel="0" collapsed="false">
      <c r="B723" s="36" t="s">
        <v>49</v>
      </c>
      <c r="C723" s="98" t="s">
        <v>17</v>
      </c>
      <c r="D723" s="98" t="s">
        <v>338</v>
      </c>
      <c r="E723" s="110" t="s">
        <v>2443</v>
      </c>
      <c r="F723" s="99" t="n">
        <v>102</v>
      </c>
      <c r="G723" s="98" t="s">
        <v>333</v>
      </c>
      <c r="H723" s="112" t="n">
        <f aca="false">IF(AND(AE723="yes",ISNUMBER(AD723)),AD723,"")</f>
        <v>102</v>
      </c>
      <c r="I723" s="95" t="n">
        <f aca="false">IF(AND(AE723="yes",ISNUMBER(AD723),ISNUMBER(INDEX(Sources!$G$7:$G$10,MATCH(AB723,Sources!$B$7:$B$10,0)))),ROUND(AD723/INDEX(Sources!$G$7:$G$10,MATCH(AB723,Sources!$B$7:$B$10,0)),6),"")</f>
        <v>4.176286</v>
      </c>
      <c r="J723" s="98" t="s">
        <v>530</v>
      </c>
      <c r="K723" s="98" t="s">
        <v>2059</v>
      </c>
      <c r="L723" s="96"/>
      <c r="M723" s="110" t="s">
        <v>2444</v>
      </c>
      <c r="N723" s="117" t="s">
        <v>2445</v>
      </c>
      <c r="O723" s="110" t="s">
        <v>388</v>
      </c>
      <c r="P723" s="110" t="s">
        <v>590</v>
      </c>
      <c r="Q723" s="118" t="n">
        <v>0.21</v>
      </c>
      <c r="R723" s="110" t="n">
        <v>1</v>
      </c>
      <c r="S723" s="110" t="s">
        <v>632</v>
      </c>
      <c r="T723" s="110" t="s">
        <v>530</v>
      </c>
      <c r="U723" s="110" t="s">
        <v>2062</v>
      </c>
      <c r="V723" s="119" t="n">
        <v>102</v>
      </c>
      <c r="W723" s="119"/>
      <c r="X723" s="110" t="s">
        <v>2063</v>
      </c>
      <c r="Y723" s="110" t="s">
        <v>2064</v>
      </c>
      <c r="Z723" s="110" t="s">
        <v>2420</v>
      </c>
      <c r="AA723" s="110" t="s">
        <v>537</v>
      </c>
      <c r="AB723" s="110" t="s">
        <v>333</v>
      </c>
      <c r="AC723" s="110" t="s">
        <v>538</v>
      </c>
      <c r="AD723" s="110" t="n">
        <f aca="false">IF(OR(F723="",Q723="",R723=""),"",ROUND(IF(P723="incl.",F723/(1+Q723),F723)/IF(S723="per pack",R723,1),2))</f>
        <v>102</v>
      </c>
      <c r="AE723" s="110" t="str">
        <f aca="false">IF(AND(AC723="yes",ISNUMBER(F723),IF(Compare!$H$5="All mapped",TRUE(),IF(Compare!$H$5="EXACT only",J723="EXACT",OR(J723="EXACT",J723="CLOSE")))),"yes","no")</f>
        <v>yes</v>
      </c>
      <c r="AF723" s="110" t="n">
        <f aca="false">IF(ISNUMBER(H723),COUNTIFS($B$7:$B$3000,B723,$C$7:$C$3000,C723,$H$7:$H$3000,"&lt;"&amp;H723,$AH$7:$AH$3000,"yes")+COUNTIFS($B$7:B723,B723,$C$7:C723,C723,$H$7:H723,H723,$AH$7:AH723,"yes"),"")</f>
        <v>7</v>
      </c>
      <c r="AG723" s="110" t="n">
        <f aca="false">IF(ISNUMBER(I723),COUNTIFS($B$7:$B$3000,B723,$C$7:$C$3000,C723,$I$7:$I$3000,"&lt;"&amp;I723,$AI$7:$AI$3000,"yes")+COUNTIFS($B$7:B723,B723,$C$7:C723,C723,$I$7:I723,I723,$AI$7:AI723,"yes"),"")</f>
        <v>7</v>
      </c>
      <c r="AH723" s="110" t="str">
        <f aca="false">IF(ISNUMBER(H723),"yes","no")</f>
        <v>yes</v>
      </c>
      <c r="AI723" s="110" t="str">
        <f aca="false">IF(ISNUMBER(I723),"yes","no")</f>
        <v>yes</v>
      </c>
      <c r="AJ723" s="120" t="n">
        <v>46297</v>
      </c>
      <c r="AK723" s="110"/>
    </row>
    <row r="724" customFormat="false" ht="34.5" hidden="false" customHeight="true" outlineLevel="0" collapsed="false">
      <c r="B724" s="36" t="s">
        <v>51</v>
      </c>
      <c r="C724" s="98" t="s">
        <v>17</v>
      </c>
      <c r="D724" s="98" t="s">
        <v>338</v>
      </c>
      <c r="E724" s="110" t="s">
        <v>2446</v>
      </c>
      <c r="F724" s="99" t="n">
        <v>69</v>
      </c>
      <c r="G724" s="98" t="s">
        <v>333</v>
      </c>
      <c r="H724" s="112" t="n">
        <f aca="false">IF(AND(AE724="yes",ISNUMBER(AD724)),AD724,"")</f>
        <v>69</v>
      </c>
      <c r="I724" s="95" t="n">
        <f aca="false">IF(AND(AE724="yes",ISNUMBER(AD724),ISNUMBER(INDEX(Sources!$G$7:$G$10,MATCH(AB724,Sources!$B$7:$B$10,0)))),ROUND(AD724/INDEX(Sources!$G$7:$G$10,MATCH(AB724,Sources!$B$7:$B$10,0)),6),"")</f>
        <v>2.825135</v>
      </c>
      <c r="J724" s="98" t="s">
        <v>530</v>
      </c>
      <c r="K724" s="98" t="s">
        <v>2059</v>
      </c>
      <c r="L724" s="96"/>
      <c r="M724" s="110" t="s">
        <v>2447</v>
      </c>
      <c r="N724" s="117" t="s">
        <v>2448</v>
      </c>
      <c r="O724" s="110" t="s">
        <v>388</v>
      </c>
      <c r="P724" s="110" t="s">
        <v>590</v>
      </c>
      <c r="Q724" s="118" t="n">
        <v>0.21</v>
      </c>
      <c r="R724" s="110" t="n">
        <v>1</v>
      </c>
      <c r="S724" s="110" t="s">
        <v>632</v>
      </c>
      <c r="T724" s="110" t="s">
        <v>530</v>
      </c>
      <c r="U724" s="110" t="s">
        <v>2062</v>
      </c>
      <c r="V724" s="119" t="n">
        <v>69</v>
      </c>
      <c r="W724" s="119"/>
      <c r="X724" s="110" t="s">
        <v>2063</v>
      </c>
      <c r="Y724" s="110" t="s">
        <v>2064</v>
      </c>
      <c r="Z724" s="110" t="s">
        <v>2420</v>
      </c>
      <c r="AA724" s="110" t="s">
        <v>537</v>
      </c>
      <c r="AB724" s="110" t="s">
        <v>333</v>
      </c>
      <c r="AC724" s="110" t="s">
        <v>538</v>
      </c>
      <c r="AD724" s="110" t="n">
        <f aca="false">IF(OR(F724="",Q724="",R724=""),"",ROUND(IF(P724="incl.",F724/(1+Q724),F724)/IF(S724="per pack",R724,1),2))</f>
        <v>69</v>
      </c>
      <c r="AE724" s="110" t="str">
        <f aca="false">IF(AND(AC724="yes",ISNUMBER(F724),IF(Compare!$H$5="All mapped",TRUE(),IF(Compare!$H$5="EXACT only",J724="EXACT",OR(J724="EXACT",J724="CLOSE")))),"yes","no")</f>
        <v>yes</v>
      </c>
      <c r="AF724" s="110" t="n">
        <f aca="false">IF(ISNUMBER(H724),COUNTIFS($B$7:$B$3000,B724,$C$7:$C$3000,C724,$H$7:$H$3000,"&lt;"&amp;H724,$AH$7:$AH$3000,"yes")+COUNTIFS($B$7:B724,B724,$C$7:C724,C724,$H$7:H724,H724,$AH$7:AH724,"yes"),"")</f>
        <v>4</v>
      </c>
      <c r="AG724" s="110" t="n">
        <f aca="false">IF(ISNUMBER(I724),COUNTIFS($B$7:$B$3000,B724,$C$7:$C$3000,C724,$I$7:$I$3000,"&lt;"&amp;I724,$AI$7:$AI$3000,"yes")+COUNTIFS($B$7:B724,B724,$C$7:C724,C724,$I$7:I724,I724,$AI$7:AI724,"yes"),"")</f>
        <v>4</v>
      </c>
      <c r="AH724" s="110" t="str">
        <f aca="false">IF(ISNUMBER(H724),"yes","no")</f>
        <v>yes</v>
      </c>
      <c r="AI724" s="110" t="str">
        <f aca="false">IF(ISNUMBER(I724),"yes","no")</f>
        <v>yes</v>
      </c>
      <c r="AJ724" s="120" t="n">
        <v>46297</v>
      </c>
      <c r="AK724" s="110"/>
    </row>
    <row r="725" customFormat="false" ht="34.5" hidden="false" customHeight="true" outlineLevel="0" collapsed="false">
      <c r="B725" s="36" t="s">
        <v>58</v>
      </c>
      <c r="C725" s="98" t="s">
        <v>17</v>
      </c>
      <c r="D725" s="98" t="s">
        <v>350</v>
      </c>
      <c r="E725" s="110" t="s">
        <v>2449</v>
      </c>
      <c r="F725" s="99" t="n">
        <v>236</v>
      </c>
      <c r="G725" s="98" t="s">
        <v>333</v>
      </c>
      <c r="H725" s="112" t="n">
        <f aca="false">IF(AND(AE725="yes",ISNUMBER(AD725)),AD725,"")</f>
        <v>236</v>
      </c>
      <c r="I725" s="95" t="n">
        <f aca="false">IF(AND(AE725="yes",ISNUMBER(AD725),ISNUMBER(INDEX(Sources!$G$7:$G$10,MATCH(AB725,Sources!$B$7:$B$10,0)))),ROUND(AD725/INDEX(Sources!$G$7:$G$10,MATCH(AB725,Sources!$B$7:$B$10,0)),6),"")</f>
        <v>9.662779</v>
      </c>
      <c r="J725" s="98" t="s">
        <v>530</v>
      </c>
      <c r="K725" s="98" t="s">
        <v>2059</v>
      </c>
      <c r="L725" s="96"/>
      <c r="M725" s="110" t="s">
        <v>2450</v>
      </c>
      <c r="N725" s="117" t="s">
        <v>2451</v>
      </c>
      <c r="O725" s="110" t="s">
        <v>2452</v>
      </c>
      <c r="P725" s="110" t="s">
        <v>590</v>
      </c>
      <c r="Q725" s="118" t="n">
        <v>0.21</v>
      </c>
      <c r="R725" s="110" t="n">
        <v>1</v>
      </c>
      <c r="S725" s="110" t="s">
        <v>632</v>
      </c>
      <c r="T725" s="110" t="s">
        <v>530</v>
      </c>
      <c r="U725" s="110" t="s">
        <v>2062</v>
      </c>
      <c r="V725" s="119" t="n">
        <v>236</v>
      </c>
      <c r="W725" s="119"/>
      <c r="X725" s="110" t="s">
        <v>2063</v>
      </c>
      <c r="Y725" s="110" t="s">
        <v>2064</v>
      </c>
      <c r="Z725" s="110" t="s">
        <v>2349</v>
      </c>
      <c r="AA725" s="110" t="s">
        <v>537</v>
      </c>
      <c r="AB725" s="110" t="s">
        <v>333</v>
      </c>
      <c r="AC725" s="110" t="s">
        <v>538</v>
      </c>
      <c r="AD725" s="110" t="n">
        <f aca="false">IF(OR(F725="",Q725="",R725=""),"",ROUND(IF(P725="incl.",F725/(1+Q725),F725)/IF(S725="per pack",R725,1),2))</f>
        <v>236</v>
      </c>
      <c r="AE725" s="110" t="str">
        <f aca="false">IF(AND(AC725="yes",ISNUMBER(F725),IF(Compare!$H$5="All mapped",TRUE(),IF(Compare!$H$5="EXACT only",J725="EXACT",OR(J725="EXACT",J725="CLOSE")))),"yes","no")</f>
        <v>yes</v>
      </c>
      <c r="AF725" s="110" t="n">
        <f aca="false">IF(ISNUMBER(H725),COUNTIFS($B$7:$B$3000,B725,$C$7:$C$3000,C725,$H$7:$H$3000,"&lt;"&amp;H725,$AH$7:$AH$3000,"yes")+COUNTIFS($B$7:B725,B725,$C$7:C725,C725,$H$7:H725,H725,$AH$7:AH725,"yes"),"")</f>
        <v>2</v>
      </c>
      <c r="AG725" s="110" t="n">
        <f aca="false">IF(ISNUMBER(I725),COUNTIFS($B$7:$B$3000,B725,$C$7:$C$3000,C725,$I$7:$I$3000,"&lt;"&amp;I725,$AI$7:$AI$3000,"yes")+COUNTIFS($B$7:B725,B725,$C$7:C725,C725,$I$7:I725,I725,$AI$7:AI725,"yes"),"")</f>
        <v>2</v>
      </c>
      <c r="AH725" s="110" t="str">
        <f aca="false">IF(ISNUMBER(H725),"yes","no")</f>
        <v>yes</v>
      </c>
      <c r="AI725" s="110" t="str">
        <f aca="false">IF(ISNUMBER(I725),"yes","no")</f>
        <v>yes</v>
      </c>
      <c r="AJ725" s="120" t="n">
        <v>46297</v>
      </c>
      <c r="AK725" s="110"/>
    </row>
    <row r="726" customFormat="false" ht="34.5" hidden="false" customHeight="true" outlineLevel="0" collapsed="false">
      <c r="B726" s="36" t="s">
        <v>9</v>
      </c>
      <c r="C726" s="98" t="s">
        <v>17</v>
      </c>
      <c r="D726" s="98" t="s">
        <v>350</v>
      </c>
      <c r="E726" s="110" t="s">
        <v>2453</v>
      </c>
      <c r="F726" s="99" t="n">
        <v>233</v>
      </c>
      <c r="G726" s="98" t="s">
        <v>333</v>
      </c>
      <c r="H726" s="112" t="n">
        <f aca="false">IF(AND(AE726="yes",ISNUMBER(AD726)),AD726,"")</f>
        <v>233</v>
      </c>
      <c r="I726" s="95" t="n">
        <f aca="false">IF(AND(AE726="yes",ISNUMBER(AD726),ISNUMBER(INDEX(Sources!$G$7:$G$10,MATCH(AB726,Sources!$B$7:$B$10,0)))),ROUND(AD726/INDEX(Sources!$G$7:$G$10,MATCH(AB726,Sources!$B$7:$B$10,0)),6),"")</f>
        <v>9.539947</v>
      </c>
      <c r="J726" s="98" t="s">
        <v>530</v>
      </c>
      <c r="K726" s="98" t="s">
        <v>2059</v>
      </c>
      <c r="L726" s="96"/>
      <c r="M726" s="110" t="s">
        <v>2454</v>
      </c>
      <c r="N726" s="117" t="s">
        <v>2455</v>
      </c>
      <c r="O726" s="110" t="s">
        <v>2452</v>
      </c>
      <c r="P726" s="110" t="s">
        <v>590</v>
      </c>
      <c r="Q726" s="118" t="n">
        <v>0.21</v>
      </c>
      <c r="R726" s="110" t="n">
        <v>1</v>
      </c>
      <c r="S726" s="110" t="s">
        <v>632</v>
      </c>
      <c r="T726" s="110" t="s">
        <v>530</v>
      </c>
      <c r="U726" s="110" t="s">
        <v>2062</v>
      </c>
      <c r="V726" s="119" t="n">
        <v>233</v>
      </c>
      <c r="W726" s="119"/>
      <c r="X726" s="110" t="s">
        <v>2063</v>
      </c>
      <c r="Y726" s="110" t="s">
        <v>2064</v>
      </c>
      <c r="Z726" s="110" t="s">
        <v>2349</v>
      </c>
      <c r="AA726" s="110" t="s">
        <v>537</v>
      </c>
      <c r="AB726" s="110" t="s">
        <v>333</v>
      </c>
      <c r="AC726" s="110" t="s">
        <v>538</v>
      </c>
      <c r="AD726" s="110" t="n">
        <f aca="false">IF(OR(F726="",Q726="",R726=""),"",ROUND(IF(P726="incl.",F726/(1+Q726),F726)/IF(S726="per pack",R726,1),2))</f>
        <v>233</v>
      </c>
      <c r="AE726" s="110" t="str">
        <f aca="false">IF(AND(AC726="yes",ISNUMBER(F726),IF(Compare!$H$5="All mapped",TRUE(),IF(Compare!$H$5="EXACT only",J726="EXACT",OR(J726="EXACT",J726="CLOSE")))),"yes","no")</f>
        <v>yes</v>
      </c>
      <c r="AF726" s="110" t="n">
        <f aca="false">IF(ISNUMBER(H726),COUNTIFS($B$7:$B$3000,B726,$C$7:$C$3000,C726,$H$7:$H$3000,"&lt;"&amp;H726,$AH$7:$AH$3000,"yes")+COUNTIFS($B$7:B726,B726,$C$7:C726,C726,$H$7:H726,H726,$AH$7:AH726,"yes"),"")</f>
        <v>2</v>
      </c>
      <c r="AG726" s="110" t="n">
        <f aca="false">IF(ISNUMBER(I726),COUNTIFS($B$7:$B$3000,B726,$C$7:$C$3000,C726,$I$7:$I$3000,"&lt;"&amp;I726,$AI$7:$AI$3000,"yes")+COUNTIFS($B$7:B726,B726,$C$7:C726,C726,$I$7:I726,I726,$AI$7:AI726,"yes"),"")</f>
        <v>2</v>
      </c>
      <c r="AH726" s="110" t="str">
        <f aca="false">IF(ISNUMBER(H726),"yes","no")</f>
        <v>yes</v>
      </c>
      <c r="AI726" s="110" t="str">
        <f aca="false">IF(ISNUMBER(I726),"yes","no")</f>
        <v>yes</v>
      </c>
      <c r="AJ726" s="120" t="n">
        <v>46297</v>
      </c>
      <c r="AK726" s="110"/>
    </row>
    <row r="727" customFormat="false" ht="34.5" hidden="false" customHeight="true" outlineLevel="0" collapsed="false">
      <c r="B727" s="36" t="s">
        <v>43</v>
      </c>
      <c r="C727" s="98" t="s">
        <v>17</v>
      </c>
      <c r="D727" s="98" t="s">
        <v>350</v>
      </c>
      <c r="E727" s="110" t="s">
        <v>2456</v>
      </c>
      <c r="F727" s="99" t="n">
        <v>141</v>
      </c>
      <c r="G727" s="98" t="s">
        <v>333</v>
      </c>
      <c r="H727" s="112" t="n">
        <f aca="false">IF(AND(AE727="yes",ISNUMBER(AD727)),AD727,"")</f>
        <v>141</v>
      </c>
      <c r="I727" s="95" t="n">
        <f aca="false">IF(AND(AE727="yes",ISNUMBER(AD727),ISNUMBER(INDEX(Sources!$G$7:$G$10,MATCH(AB727,Sources!$B$7:$B$10,0)))),ROUND(AD727/INDEX(Sources!$G$7:$G$10,MATCH(AB727,Sources!$B$7:$B$10,0)),6),"")</f>
        <v>5.773101</v>
      </c>
      <c r="J727" s="98" t="s">
        <v>530</v>
      </c>
      <c r="K727" s="98" t="s">
        <v>2059</v>
      </c>
      <c r="L727" s="96"/>
      <c r="M727" s="110" t="s">
        <v>2457</v>
      </c>
      <c r="N727" s="117" t="s">
        <v>2458</v>
      </c>
      <c r="O727" s="110" t="s">
        <v>2452</v>
      </c>
      <c r="P727" s="110" t="s">
        <v>590</v>
      </c>
      <c r="Q727" s="118" t="n">
        <v>0.21</v>
      </c>
      <c r="R727" s="110" t="n">
        <v>1</v>
      </c>
      <c r="S727" s="110" t="s">
        <v>632</v>
      </c>
      <c r="T727" s="110" t="s">
        <v>530</v>
      </c>
      <c r="U727" s="110" t="s">
        <v>2062</v>
      </c>
      <c r="V727" s="119" t="n">
        <v>141</v>
      </c>
      <c r="W727" s="119"/>
      <c r="X727" s="110" t="s">
        <v>2063</v>
      </c>
      <c r="Y727" s="110" t="s">
        <v>2064</v>
      </c>
      <c r="Z727" s="110" t="s">
        <v>2349</v>
      </c>
      <c r="AA727" s="110" t="s">
        <v>537</v>
      </c>
      <c r="AB727" s="110" t="s">
        <v>333</v>
      </c>
      <c r="AC727" s="110" t="s">
        <v>538</v>
      </c>
      <c r="AD727" s="110" t="n">
        <f aca="false">IF(OR(F727="",Q727="",R727=""),"",ROUND(IF(P727="incl.",F727/(1+Q727),F727)/IF(S727="per pack",R727,1),2))</f>
        <v>141</v>
      </c>
      <c r="AE727" s="110" t="str">
        <f aca="false">IF(AND(AC727="yes",ISNUMBER(F727),IF(Compare!$H$5="All mapped",TRUE(),IF(Compare!$H$5="EXACT only",J727="EXACT",OR(J727="EXACT",J727="CLOSE")))),"yes","no")</f>
        <v>yes</v>
      </c>
      <c r="AF727" s="110" t="n">
        <f aca="false">IF(ISNUMBER(H727),COUNTIFS($B$7:$B$3000,B727,$C$7:$C$3000,C727,$H$7:$H$3000,"&lt;"&amp;H727,$AH$7:$AH$3000,"yes")+COUNTIFS($B$7:B727,B727,$C$7:C727,C727,$H$7:H727,H727,$AH$7:AH727,"yes"),"")</f>
        <v>1</v>
      </c>
      <c r="AG727" s="110" t="n">
        <f aca="false">IF(ISNUMBER(I727),COUNTIFS($B$7:$B$3000,B727,$C$7:$C$3000,C727,$I$7:$I$3000,"&lt;"&amp;I727,$AI$7:$AI$3000,"yes")+COUNTIFS($B$7:B727,B727,$C$7:C727,C727,$I$7:I727,I727,$AI$7:AI727,"yes"),"")</f>
        <v>1</v>
      </c>
      <c r="AH727" s="110" t="str">
        <f aca="false">IF(ISNUMBER(H727),"yes","no")</f>
        <v>yes</v>
      </c>
      <c r="AI727" s="110" t="str">
        <f aca="false">IF(ISNUMBER(I727),"yes","no")</f>
        <v>yes</v>
      </c>
      <c r="AJ727" s="120" t="n">
        <v>46297</v>
      </c>
      <c r="AK727" s="110"/>
    </row>
    <row r="728" customFormat="false" ht="34.5" hidden="false" customHeight="true" outlineLevel="0" collapsed="false">
      <c r="B728" s="36" t="s">
        <v>24</v>
      </c>
      <c r="C728" s="98" t="s">
        <v>17</v>
      </c>
      <c r="D728" s="98" t="s">
        <v>350</v>
      </c>
      <c r="E728" s="110" t="s">
        <v>2459</v>
      </c>
      <c r="F728" s="99" t="n">
        <v>84</v>
      </c>
      <c r="G728" s="98" t="s">
        <v>333</v>
      </c>
      <c r="H728" s="112" t="n">
        <f aca="false">IF(AND(AE728="yes",ISNUMBER(AD728)),AD728,"")</f>
        <v>84</v>
      </c>
      <c r="I728" s="95" t="n">
        <f aca="false">IF(AND(AE728="yes",ISNUMBER(AD728),ISNUMBER(INDEX(Sources!$G$7:$G$10,MATCH(AB728,Sources!$B$7:$B$10,0)))),ROUND(AD728/INDEX(Sources!$G$7:$G$10,MATCH(AB728,Sources!$B$7:$B$10,0)),6),"")</f>
        <v>3.439294</v>
      </c>
      <c r="J728" s="98" t="s">
        <v>530</v>
      </c>
      <c r="K728" s="98" t="s">
        <v>2059</v>
      </c>
      <c r="L728" s="96"/>
      <c r="M728" s="110" t="s">
        <v>2460</v>
      </c>
      <c r="N728" s="117" t="s">
        <v>2461</v>
      </c>
      <c r="O728" s="110" t="s">
        <v>2452</v>
      </c>
      <c r="P728" s="110" t="s">
        <v>590</v>
      </c>
      <c r="Q728" s="118" t="n">
        <v>0.21</v>
      </c>
      <c r="R728" s="110" t="n">
        <v>1</v>
      </c>
      <c r="S728" s="110" t="s">
        <v>632</v>
      </c>
      <c r="T728" s="110" t="s">
        <v>530</v>
      </c>
      <c r="U728" s="110" t="s">
        <v>2062</v>
      </c>
      <c r="V728" s="119" t="n">
        <v>84</v>
      </c>
      <c r="W728" s="119"/>
      <c r="X728" s="110" t="s">
        <v>2063</v>
      </c>
      <c r="Y728" s="110" t="s">
        <v>2064</v>
      </c>
      <c r="Z728" s="110" t="s">
        <v>2349</v>
      </c>
      <c r="AA728" s="110" t="s">
        <v>537</v>
      </c>
      <c r="AB728" s="110" t="s">
        <v>333</v>
      </c>
      <c r="AC728" s="110" t="s">
        <v>538</v>
      </c>
      <c r="AD728" s="110" t="n">
        <f aca="false">IF(OR(F728="",Q728="",R728=""),"",ROUND(IF(P728="incl.",F728/(1+Q728),F728)/IF(S728="per pack",R728,1),2))</f>
        <v>84</v>
      </c>
      <c r="AE728" s="110" t="str">
        <f aca="false">IF(AND(AC728="yes",ISNUMBER(F728),IF(Compare!$H$5="All mapped",TRUE(),IF(Compare!$H$5="EXACT only",J728="EXACT",OR(J728="EXACT",J728="CLOSE")))),"yes","no")</f>
        <v>yes</v>
      </c>
      <c r="AF728" s="110" t="n">
        <f aca="false">IF(ISNUMBER(H728),COUNTIFS($B$7:$B$3000,B728,$C$7:$C$3000,C728,$H$7:$H$3000,"&lt;"&amp;H728,$AH$7:$AH$3000,"yes")+COUNTIFS($B$7:B728,B728,$C$7:C728,C728,$H$7:H728,H728,$AH$7:AH728,"yes"),"")</f>
        <v>1</v>
      </c>
      <c r="AG728" s="110" t="n">
        <f aca="false">IF(ISNUMBER(I728),COUNTIFS($B$7:$B$3000,B728,$C$7:$C$3000,C728,$I$7:$I$3000,"&lt;"&amp;I728,$AI$7:$AI$3000,"yes")+COUNTIFS($B$7:B728,B728,$C$7:C728,C728,$I$7:I728,I728,$AI$7:AI728,"yes"),"")</f>
        <v>1</v>
      </c>
      <c r="AH728" s="110" t="str">
        <f aca="false">IF(ISNUMBER(H728),"yes","no")</f>
        <v>yes</v>
      </c>
      <c r="AI728" s="110" t="str">
        <f aca="false">IF(ISNUMBER(I728),"yes","no")</f>
        <v>yes</v>
      </c>
      <c r="AJ728" s="120" t="n">
        <v>46297</v>
      </c>
      <c r="AK728" s="110"/>
    </row>
    <row r="729" customFormat="false" ht="34.5" hidden="false" customHeight="true" outlineLevel="0" collapsed="false">
      <c r="B729" s="36" t="s">
        <v>46</v>
      </c>
      <c r="C729" s="98" t="s">
        <v>17</v>
      </c>
      <c r="D729" s="98" t="s">
        <v>350</v>
      </c>
      <c r="E729" s="110" t="s">
        <v>2462</v>
      </c>
      <c r="F729" s="99" t="n">
        <v>110</v>
      </c>
      <c r="G729" s="98" t="s">
        <v>333</v>
      </c>
      <c r="H729" s="112" t="n">
        <f aca="false">IF(AND(AE729="yes",ISNUMBER(AD729)),AD729,"")</f>
        <v>110</v>
      </c>
      <c r="I729" s="95" t="n">
        <f aca="false">IF(AND(AE729="yes",ISNUMBER(AD729),ISNUMBER(INDEX(Sources!$G$7:$G$10,MATCH(AB729,Sources!$B$7:$B$10,0)))),ROUND(AD729/INDEX(Sources!$G$7:$G$10,MATCH(AB729,Sources!$B$7:$B$10,0)),6),"")</f>
        <v>4.503838</v>
      </c>
      <c r="J729" s="98" t="s">
        <v>530</v>
      </c>
      <c r="K729" s="98" t="s">
        <v>2059</v>
      </c>
      <c r="L729" s="96"/>
      <c r="M729" s="110" t="s">
        <v>2463</v>
      </c>
      <c r="N729" s="117" t="s">
        <v>2464</v>
      </c>
      <c r="O729" s="110" t="s">
        <v>2452</v>
      </c>
      <c r="P729" s="110" t="s">
        <v>590</v>
      </c>
      <c r="Q729" s="118" t="n">
        <v>0.21</v>
      </c>
      <c r="R729" s="110" t="n">
        <v>1</v>
      </c>
      <c r="S729" s="110" t="s">
        <v>632</v>
      </c>
      <c r="T729" s="110" t="s">
        <v>530</v>
      </c>
      <c r="U729" s="110" t="s">
        <v>2062</v>
      </c>
      <c r="V729" s="119" t="n">
        <v>110</v>
      </c>
      <c r="W729" s="119"/>
      <c r="X729" s="110" t="s">
        <v>2063</v>
      </c>
      <c r="Y729" s="110" t="s">
        <v>2064</v>
      </c>
      <c r="Z729" s="110" t="s">
        <v>2349</v>
      </c>
      <c r="AA729" s="110" t="s">
        <v>537</v>
      </c>
      <c r="AB729" s="110" t="s">
        <v>333</v>
      </c>
      <c r="AC729" s="110" t="s">
        <v>538</v>
      </c>
      <c r="AD729" s="110" t="n">
        <f aca="false">IF(OR(F729="",Q729="",R729=""),"",ROUND(IF(P729="incl.",F729/(1+Q729),F729)/IF(S729="per pack",R729,1),2))</f>
        <v>110</v>
      </c>
      <c r="AE729" s="110" t="str">
        <f aca="false">IF(AND(AC729="yes",ISNUMBER(F729),IF(Compare!$H$5="All mapped",TRUE(),IF(Compare!$H$5="EXACT only",J729="EXACT",OR(J729="EXACT",J729="CLOSE")))),"yes","no")</f>
        <v>yes</v>
      </c>
      <c r="AF729" s="110" t="n">
        <f aca="false">IF(ISNUMBER(H729),COUNTIFS($B$7:$B$3000,B729,$C$7:$C$3000,C729,$H$7:$H$3000,"&lt;"&amp;H729,$AH$7:$AH$3000,"yes")+COUNTIFS($B$7:B729,B729,$C$7:C729,C729,$H$7:H729,H729,$AH$7:AH729,"yes"),"")</f>
        <v>2</v>
      </c>
      <c r="AG729" s="110" t="n">
        <f aca="false">IF(ISNUMBER(I729),COUNTIFS($B$7:$B$3000,B729,$C$7:$C$3000,C729,$I$7:$I$3000,"&lt;"&amp;I729,$AI$7:$AI$3000,"yes")+COUNTIFS($B$7:B729,B729,$C$7:C729,C729,$I$7:I729,I729,$AI$7:AI729,"yes"),"")</f>
        <v>2</v>
      </c>
      <c r="AH729" s="110" t="str">
        <f aca="false">IF(ISNUMBER(H729),"yes","no")</f>
        <v>yes</v>
      </c>
      <c r="AI729" s="110" t="str">
        <f aca="false">IF(ISNUMBER(I729),"yes","no")</f>
        <v>yes</v>
      </c>
      <c r="AJ729" s="120" t="n">
        <v>46297</v>
      </c>
      <c r="AK729" s="110"/>
    </row>
    <row r="730" customFormat="false" ht="34.5" hidden="false" customHeight="true" outlineLevel="0" collapsed="false">
      <c r="B730" s="36" t="s">
        <v>45</v>
      </c>
      <c r="C730" s="98" t="s">
        <v>17</v>
      </c>
      <c r="D730" s="98" t="s">
        <v>350</v>
      </c>
      <c r="E730" s="110" t="s">
        <v>2465</v>
      </c>
      <c r="F730" s="99" t="n">
        <v>106</v>
      </c>
      <c r="G730" s="98" t="s">
        <v>333</v>
      </c>
      <c r="H730" s="112" t="n">
        <f aca="false">IF(AND(AE730="yes",ISNUMBER(AD730)),AD730,"")</f>
        <v>106</v>
      </c>
      <c r="I730" s="95" t="n">
        <f aca="false">IF(AND(AE730="yes",ISNUMBER(AD730),ISNUMBER(INDEX(Sources!$G$7:$G$10,MATCH(AB730,Sources!$B$7:$B$10,0)))),ROUND(AD730/INDEX(Sources!$G$7:$G$10,MATCH(AB730,Sources!$B$7:$B$10,0)),6),"")</f>
        <v>4.340062</v>
      </c>
      <c r="J730" s="98" t="s">
        <v>530</v>
      </c>
      <c r="K730" s="98" t="s">
        <v>2059</v>
      </c>
      <c r="L730" s="96"/>
      <c r="M730" s="110" t="s">
        <v>2466</v>
      </c>
      <c r="N730" s="117" t="s">
        <v>2467</v>
      </c>
      <c r="O730" s="110" t="s">
        <v>2452</v>
      </c>
      <c r="P730" s="110" t="s">
        <v>590</v>
      </c>
      <c r="Q730" s="118" t="n">
        <v>0.21</v>
      </c>
      <c r="R730" s="110" t="n">
        <v>1</v>
      </c>
      <c r="S730" s="110" t="s">
        <v>632</v>
      </c>
      <c r="T730" s="110" t="s">
        <v>530</v>
      </c>
      <c r="U730" s="110" t="s">
        <v>2062</v>
      </c>
      <c r="V730" s="119" t="n">
        <v>106</v>
      </c>
      <c r="W730" s="119"/>
      <c r="X730" s="110" t="s">
        <v>2063</v>
      </c>
      <c r="Y730" s="110" t="s">
        <v>2064</v>
      </c>
      <c r="Z730" s="110" t="s">
        <v>2344</v>
      </c>
      <c r="AA730" s="110" t="s">
        <v>537</v>
      </c>
      <c r="AB730" s="110" t="s">
        <v>333</v>
      </c>
      <c r="AC730" s="110" t="s">
        <v>538</v>
      </c>
      <c r="AD730" s="110" t="n">
        <f aca="false">IF(OR(F730="",Q730="",R730=""),"",ROUND(IF(P730="incl.",F730/(1+Q730),F730)/IF(S730="per pack",R730,1),2))</f>
        <v>106</v>
      </c>
      <c r="AE730" s="110" t="str">
        <f aca="false">IF(AND(AC730="yes",ISNUMBER(F730),IF(Compare!$H$5="All mapped",TRUE(),IF(Compare!$H$5="EXACT only",J730="EXACT",OR(J730="EXACT",J730="CLOSE")))),"yes","no")</f>
        <v>yes</v>
      </c>
      <c r="AF730" s="110" t="n">
        <f aca="false">IF(ISNUMBER(H730),COUNTIFS($B$7:$B$3000,B730,$C$7:$C$3000,C730,$H$7:$H$3000,"&lt;"&amp;H730,$AH$7:$AH$3000,"yes")+COUNTIFS($B$7:B730,B730,$C$7:C730,C730,$H$7:H730,H730,$AH$7:AH730,"yes"),"")</f>
        <v>1</v>
      </c>
      <c r="AG730" s="110" t="n">
        <f aca="false">IF(ISNUMBER(I730),COUNTIFS($B$7:$B$3000,B730,$C$7:$C$3000,C730,$I$7:$I$3000,"&lt;"&amp;I730,$AI$7:$AI$3000,"yes")+COUNTIFS($B$7:B730,B730,$C$7:C730,C730,$I$7:I730,I730,$AI$7:AI730,"yes"),"")</f>
        <v>1</v>
      </c>
      <c r="AH730" s="110" t="str">
        <f aca="false">IF(ISNUMBER(H730),"yes","no")</f>
        <v>yes</v>
      </c>
      <c r="AI730" s="110" t="str">
        <f aca="false">IF(ISNUMBER(I730),"yes","no")</f>
        <v>yes</v>
      </c>
      <c r="AJ730" s="120" t="n">
        <v>46297</v>
      </c>
      <c r="AK730" s="110"/>
    </row>
    <row r="731" customFormat="false" ht="34.5" hidden="false" customHeight="true" outlineLevel="0" collapsed="false">
      <c r="B731" s="36" t="s">
        <v>23</v>
      </c>
      <c r="C731" s="98" t="s">
        <v>17</v>
      </c>
      <c r="D731" s="98" t="s">
        <v>350</v>
      </c>
      <c r="E731" s="110" t="s">
        <v>2468</v>
      </c>
      <c r="F731" s="99" t="n">
        <v>79</v>
      </c>
      <c r="G731" s="98" t="s">
        <v>333</v>
      </c>
      <c r="H731" s="112" t="n">
        <f aca="false">IF(AND(AE731="yes",ISNUMBER(AD731)),AD731,"")</f>
        <v>79</v>
      </c>
      <c r="I731" s="95" t="n">
        <f aca="false">IF(AND(AE731="yes",ISNUMBER(AD731),ISNUMBER(INDEX(Sources!$G$7:$G$10,MATCH(AB731,Sources!$B$7:$B$10,0)))),ROUND(AD731/INDEX(Sources!$G$7:$G$10,MATCH(AB731,Sources!$B$7:$B$10,0)),6),"")</f>
        <v>3.234574</v>
      </c>
      <c r="J731" s="98" t="s">
        <v>530</v>
      </c>
      <c r="K731" s="98" t="s">
        <v>2059</v>
      </c>
      <c r="L731" s="96"/>
      <c r="M731" s="110" t="s">
        <v>2469</v>
      </c>
      <c r="N731" s="117" t="s">
        <v>2470</v>
      </c>
      <c r="O731" s="110" t="s">
        <v>2452</v>
      </c>
      <c r="P731" s="110" t="s">
        <v>590</v>
      </c>
      <c r="Q731" s="118" t="n">
        <v>0.21</v>
      </c>
      <c r="R731" s="110" t="n">
        <v>1</v>
      </c>
      <c r="S731" s="110" t="s">
        <v>632</v>
      </c>
      <c r="T731" s="110" t="s">
        <v>530</v>
      </c>
      <c r="U731" s="110" t="s">
        <v>2062</v>
      </c>
      <c r="V731" s="119" t="n">
        <v>79</v>
      </c>
      <c r="W731" s="119"/>
      <c r="X731" s="110" t="s">
        <v>2063</v>
      </c>
      <c r="Y731" s="110" t="s">
        <v>2064</v>
      </c>
      <c r="Z731" s="110" t="s">
        <v>2349</v>
      </c>
      <c r="AA731" s="110" t="s">
        <v>537</v>
      </c>
      <c r="AB731" s="110" t="s">
        <v>333</v>
      </c>
      <c r="AC731" s="110" t="s">
        <v>538</v>
      </c>
      <c r="AD731" s="110" t="n">
        <f aca="false">IF(OR(F731="",Q731="",R731=""),"",ROUND(IF(P731="incl.",F731/(1+Q731),F731)/IF(S731="per pack",R731,1),2))</f>
        <v>79</v>
      </c>
      <c r="AE731" s="110" t="str">
        <f aca="false">IF(AND(AC731="yes",ISNUMBER(F731),IF(Compare!$H$5="All mapped",TRUE(),IF(Compare!$H$5="EXACT only",J731="EXACT",OR(J731="EXACT",J731="CLOSE")))),"yes","no")</f>
        <v>yes</v>
      </c>
      <c r="AF731" s="110" t="n">
        <f aca="false">IF(ISNUMBER(H731),COUNTIFS($B$7:$B$3000,B731,$C$7:$C$3000,C731,$H$7:$H$3000,"&lt;"&amp;H731,$AH$7:$AH$3000,"yes")+COUNTIFS($B$7:B731,B731,$C$7:C731,C731,$H$7:H731,H731,$AH$7:AH731,"yes"),"")</f>
        <v>1</v>
      </c>
      <c r="AG731" s="110" t="n">
        <f aca="false">IF(ISNUMBER(I731),COUNTIFS($B$7:$B$3000,B731,$C$7:$C$3000,C731,$I$7:$I$3000,"&lt;"&amp;I731,$AI$7:$AI$3000,"yes")+COUNTIFS($B$7:B731,B731,$C$7:C731,C731,$I$7:I731,I731,$AI$7:AI731,"yes"),"")</f>
        <v>1</v>
      </c>
      <c r="AH731" s="110" t="str">
        <f aca="false">IF(ISNUMBER(H731),"yes","no")</f>
        <v>yes</v>
      </c>
      <c r="AI731" s="110" t="str">
        <f aca="false">IF(ISNUMBER(I731),"yes","no")</f>
        <v>yes</v>
      </c>
      <c r="AJ731" s="120" t="n">
        <v>46297</v>
      </c>
      <c r="AK731" s="110"/>
    </row>
    <row r="732" customFormat="false" ht="34.5" hidden="false" customHeight="true" outlineLevel="0" collapsed="false">
      <c r="B732" s="36" t="s">
        <v>61</v>
      </c>
      <c r="C732" s="98" t="s">
        <v>17</v>
      </c>
      <c r="D732" s="98" t="s">
        <v>350</v>
      </c>
      <c r="E732" s="110" t="s">
        <v>2471</v>
      </c>
      <c r="F732" s="99" t="n">
        <v>35</v>
      </c>
      <c r="G732" s="98" t="s">
        <v>333</v>
      </c>
      <c r="H732" s="112" t="n">
        <f aca="false">IF(AND(AE732="yes",ISNUMBER(AD732)),AD732,"")</f>
        <v>35</v>
      </c>
      <c r="I732" s="95" t="n">
        <f aca="false">IF(AND(AE732="yes",ISNUMBER(AD732),ISNUMBER(INDEX(Sources!$G$7:$G$10,MATCH(AB732,Sources!$B$7:$B$10,0)))),ROUND(AD732/INDEX(Sources!$G$7:$G$10,MATCH(AB732,Sources!$B$7:$B$10,0)),6),"")</f>
        <v>1.433039</v>
      </c>
      <c r="J732" s="98" t="s">
        <v>530</v>
      </c>
      <c r="K732" s="98" t="s">
        <v>2059</v>
      </c>
      <c r="L732" s="96"/>
      <c r="M732" s="110" t="s">
        <v>2472</v>
      </c>
      <c r="N732" s="117" t="s">
        <v>2473</v>
      </c>
      <c r="O732" s="110" t="s">
        <v>2452</v>
      </c>
      <c r="P732" s="110" t="s">
        <v>590</v>
      </c>
      <c r="Q732" s="118" t="n">
        <v>0.21</v>
      </c>
      <c r="R732" s="110" t="n">
        <v>1</v>
      </c>
      <c r="S732" s="110" t="s">
        <v>632</v>
      </c>
      <c r="T732" s="110" t="s">
        <v>530</v>
      </c>
      <c r="U732" s="110" t="s">
        <v>2062</v>
      </c>
      <c r="V732" s="119" t="n">
        <v>35</v>
      </c>
      <c r="W732" s="119"/>
      <c r="X732" s="110" t="s">
        <v>2063</v>
      </c>
      <c r="Y732" s="110" t="s">
        <v>2064</v>
      </c>
      <c r="Z732" s="110" t="s">
        <v>2349</v>
      </c>
      <c r="AA732" s="110" t="s">
        <v>537</v>
      </c>
      <c r="AB732" s="110" t="s">
        <v>333</v>
      </c>
      <c r="AC732" s="110" t="s">
        <v>538</v>
      </c>
      <c r="AD732" s="110" t="n">
        <f aca="false">IF(OR(F732="",Q732="",R732=""),"",ROUND(IF(P732="incl.",F732/(1+Q732),F732)/IF(S732="per pack",R732,1),2))</f>
        <v>35</v>
      </c>
      <c r="AE732" s="110" t="str">
        <f aca="false">IF(AND(AC732="yes",ISNUMBER(F732),IF(Compare!$H$5="All mapped",TRUE(),IF(Compare!$H$5="EXACT only",J732="EXACT",OR(J732="EXACT",J732="CLOSE")))),"yes","no")</f>
        <v>yes</v>
      </c>
      <c r="AF732" s="110" t="n">
        <f aca="false">IF(ISNUMBER(H732),COUNTIFS($B$7:$B$3000,B732,$C$7:$C$3000,C732,$H$7:$H$3000,"&lt;"&amp;H732,$AH$7:$AH$3000,"yes")+COUNTIFS($B$7:B732,B732,$C$7:C732,C732,$H$7:H732,H732,$AH$7:AH732,"yes"),"")</f>
        <v>1</v>
      </c>
      <c r="AG732" s="110" t="n">
        <f aca="false">IF(ISNUMBER(I732),COUNTIFS($B$7:$B$3000,B732,$C$7:$C$3000,C732,$I$7:$I$3000,"&lt;"&amp;I732,$AI$7:$AI$3000,"yes")+COUNTIFS($B$7:B732,B732,$C$7:C732,C732,$I$7:I732,I732,$AI$7:AI732,"yes"),"")</f>
        <v>1</v>
      </c>
      <c r="AH732" s="110" t="str">
        <f aca="false">IF(ISNUMBER(H732),"yes","no")</f>
        <v>yes</v>
      </c>
      <c r="AI732" s="110" t="str">
        <f aca="false">IF(ISNUMBER(I732),"yes","no")</f>
        <v>yes</v>
      </c>
      <c r="AJ732" s="120" t="n">
        <v>46297</v>
      </c>
      <c r="AK732" s="110"/>
    </row>
    <row r="733" customFormat="false" ht="34.5" hidden="false" customHeight="true" outlineLevel="0" collapsed="false">
      <c r="B733" s="36" t="s">
        <v>59</v>
      </c>
      <c r="C733" s="98" t="s">
        <v>17</v>
      </c>
      <c r="D733" s="98" t="s">
        <v>350</v>
      </c>
      <c r="E733" s="110" t="s">
        <v>2474</v>
      </c>
      <c r="F733" s="99" t="n">
        <v>57</v>
      </c>
      <c r="G733" s="98" t="s">
        <v>333</v>
      </c>
      <c r="H733" s="112" t="n">
        <f aca="false">IF(AND(AE733="yes",ISNUMBER(AD733)),AD733,"")</f>
        <v>57</v>
      </c>
      <c r="I733" s="95" t="n">
        <f aca="false">IF(AND(AE733="yes",ISNUMBER(AD733),ISNUMBER(INDEX(Sources!$G$7:$G$10,MATCH(AB733,Sources!$B$7:$B$10,0)))),ROUND(AD733/INDEX(Sources!$G$7:$G$10,MATCH(AB733,Sources!$B$7:$B$10,0)),6),"")</f>
        <v>2.333807</v>
      </c>
      <c r="J733" s="98" t="s">
        <v>530</v>
      </c>
      <c r="K733" s="98" t="s">
        <v>2059</v>
      </c>
      <c r="L733" s="96"/>
      <c r="M733" s="110" t="s">
        <v>2475</v>
      </c>
      <c r="N733" s="117" t="s">
        <v>2476</v>
      </c>
      <c r="O733" s="110" t="s">
        <v>2452</v>
      </c>
      <c r="P733" s="110" t="s">
        <v>590</v>
      </c>
      <c r="Q733" s="118" t="n">
        <v>0.21</v>
      </c>
      <c r="R733" s="110" t="n">
        <v>1</v>
      </c>
      <c r="S733" s="110" t="s">
        <v>632</v>
      </c>
      <c r="T733" s="110" t="s">
        <v>530</v>
      </c>
      <c r="U733" s="110" t="s">
        <v>2062</v>
      </c>
      <c r="V733" s="119" t="n">
        <v>57</v>
      </c>
      <c r="W733" s="119"/>
      <c r="X733" s="110" t="s">
        <v>2063</v>
      </c>
      <c r="Y733" s="110" t="s">
        <v>2064</v>
      </c>
      <c r="Z733" s="110" t="s">
        <v>2344</v>
      </c>
      <c r="AA733" s="110" t="s">
        <v>537</v>
      </c>
      <c r="AB733" s="110" t="s">
        <v>333</v>
      </c>
      <c r="AC733" s="110" t="s">
        <v>538</v>
      </c>
      <c r="AD733" s="110" t="n">
        <f aca="false">IF(OR(F733="",Q733="",R733=""),"",ROUND(IF(P733="incl.",F733/(1+Q733),F733)/IF(S733="per pack",R733,1),2))</f>
        <v>57</v>
      </c>
      <c r="AE733" s="110" t="str">
        <f aca="false">IF(AND(AC733="yes",ISNUMBER(F733),IF(Compare!$H$5="All mapped",TRUE(),IF(Compare!$H$5="EXACT only",J733="EXACT",OR(J733="EXACT",J733="CLOSE")))),"yes","no")</f>
        <v>yes</v>
      </c>
      <c r="AF733" s="110" t="n">
        <f aca="false">IF(ISNUMBER(H733),COUNTIFS($B$7:$B$3000,B733,$C$7:$C$3000,C733,$H$7:$H$3000,"&lt;"&amp;H733,$AH$7:$AH$3000,"yes")+COUNTIFS($B$7:B733,B733,$C$7:C733,C733,$H$7:H733,H733,$AH$7:AH733,"yes"),"")</f>
        <v>1</v>
      </c>
      <c r="AG733" s="110" t="n">
        <f aca="false">IF(ISNUMBER(I733),COUNTIFS($B$7:$B$3000,B733,$C$7:$C$3000,C733,$I$7:$I$3000,"&lt;"&amp;I733,$AI$7:$AI$3000,"yes")+COUNTIFS($B$7:B733,B733,$C$7:C733,C733,$I$7:I733,I733,$AI$7:AI733,"yes"),"")</f>
        <v>1</v>
      </c>
      <c r="AH733" s="110" t="str">
        <f aca="false">IF(ISNUMBER(H733),"yes","no")</f>
        <v>yes</v>
      </c>
      <c r="AI733" s="110" t="str">
        <f aca="false">IF(ISNUMBER(I733),"yes","no")</f>
        <v>yes</v>
      </c>
      <c r="AJ733" s="120" t="n">
        <v>46297</v>
      </c>
      <c r="AK733" s="110"/>
    </row>
    <row r="734" customFormat="false" ht="34.5" hidden="false" customHeight="true" outlineLevel="0" collapsed="false">
      <c r="B734" s="36" t="s">
        <v>49</v>
      </c>
      <c r="C734" s="98" t="s">
        <v>17</v>
      </c>
      <c r="D734" s="98" t="s">
        <v>350</v>
      </c>
      <c r="E734" s="110" t="s">
        <v>2477</v>
      </c>
      <c r="F734" s="99" t="n">
        <v>44</v>
      </c>
      <c r="G734" s="98" t="s">
        <v>333</v>
      </c>
      <c r="H734" s="112" t="n">
        <f aca="false">IF(AND(AE734="yes",ISNUMBER(AD734)),AD734,"")</f>
        <v>44</v>
      </c>
      <c r="I734" s="95" t="n">
        <f aca="false">IF(AND(AE734="yes",ISNUMBER(AD734),ISNUMBER(INDEX(Sources!$G$7:$G$10,MATCH(AB734,Sources!$B$7:$B$10,0)))),ROUND(AD734/INDEX(Sources!$G$7:$G$10,MATCH(AB734,Sources!$B$7:$B$10,0)),6),"")</f>
        <v>1.801535</v>
      </c>
      <c r="J734" s="98" t="s">
        <v>530</v>
      </c>
      <c r="K734" s="98" t="s">
        <v>2059</v>
      </c>
      <c r="L734" s="96"/>
      <c r="M734" s="110" t="s">
        <v>2478</v>
      </c>
      <c r="N734" s="117" t="s">
        <v>2479</v>
      </c>
      <c r="O734" s="110" t="s">
        <v>2452</v>
      </c>
      <c r="P734" s="110" t="s">
        <v>590</v>
      </c>
      <c r="Q734" s="118" t="n">
        <v>0.21</v>
      </c>
      <c r="R734" s="110" t="n">
        <v>1</v>
      </c>
      <c r="S734" s="110" t="s">
        <v>632</v>
      </c>
      <c r="T734" s="110" t="s">
        <v>530</v>
      </c>
      <c r="U734" s="110" t="s">
        <v>2062</v>
      </c>
      <c r="V734" s="119" t="n">
        <v>44</v>
      </c>
      <c r="W734" s="119"/>
      <c r="X734" s="110" t="s">
        <v>2063</v>
      </c>
      <c r="Y734" s="110" t="s">
        <v>2064</v>
      </c>
      <c r="Z734" s="110" t="s">
        <v>2349</v>
      </c>
      <c r="AA734" s="110" t="s">
        <v>537</v>
      </c>
      <c r="AB734" s="110" t="s">
        <v>333</v>
      </c>
      <c r="AC734" s="110" t="s">
        <v>538</v>
      </c>
      <c r="AD734" s="110" t="n">
        <f aca="false">IF(OR(F734="",Q734="",R734=""),"",ROUND(IF(P734="incl.",F734/(1+Q734),F734)/IF(S734="per pack",R734,1),2))</f>
        <v>44</v>
      </c>
      <c r="AE734" s="110" t="str">
        <f aca="false">IF(AND(AC734="yes",ISNUMBER(F734),IF(Compare!$H$5="All mapped",TRUE(),IF(Compare!$H$5="EXACT only",J734="EXACT",OR(J734="EXACT",J734="CLOSE")))),"yes","no")</f>
        <v>yes</v>
      </c>
      <c r="AF734" s="110" t="n">
        <f aca="false">IF(ISNUMBER(H734),COUNTIFS($B$7:$B$3000,B734,$C$7:$C$3000,C734,$H$7:$H$3000,"&lt;"&amp;H734,$AH$7:$AH$3000,"yes")+COUNTIFS($B$7:B734,B734,$C$7:C734,C734,$H$7:H734,H734,$AH$7:AH734,"yes"),"")</f>
        <v>1</v>
      </c>
      <c r="AG734" s="110" t="n">
        <f aca="false">IF(ISNUMBER(I734),COUNTIFS($B$7:$B$3000,B734,$C$7:$C$3000,C734,$I$7:$I$3000,"&lt;"&amp;I734,$AI$7:$AI$3000,"yes")+COUNTIFS($B$7:B734,B734,$C$7:C734,C734,$I$7:I734,I734,$AI$7:AI734,"yes"),"")</f>
        <v>1</v>
      </c>
      <c r="AH734" s="110" t="str">
        <f aca="false">IF(ISNUMBER(H734),"yes","no")</f>
        <v>yes</v>
      </c>
      <c r="AI734" s="110" t="str">
        <f aca="false">IF(ISNUMBER(I734),"yes","no")</f>
        <v>yes</v>
      </c>
      <c r="AJ734" s="120" t="n">
        <v>46297</v>
      </c>
      <c r="AK734" s="110"/>
    </row>
    <row r="735" customFormat="false" ht="34.5" hidden="false" customHeight="true" outlineLevel="0" collapsed="false">
      <c r="B735" s="36" t="s">
        <v>51</v>
      </c>
      <c r="C735" s="98" t="s">
        <v>17</v>
      </c>
      <c r="D735" s="98" t="s">
        <v>350</v>
      </c>
      <c r="E735" s="110" t="s">
        <v>2480</v>
      </c>
      <c r="F735" s="99" t="n">
        <v>43</v>
      </c>
      <c r="G735" s="98" t="s">
        <v>333</v>
      </c>
      <c r="H735" s="112" t="n">
        <f aca="false">IF(AND(AE735="yes",ISNUMBER(AD735)),AD735,"")</f>
        <v>43</v>
      </c>
      <c r="I735" s="95" t="n">
        <f aca="false">IF(AND(AE735="yes",ISNUMBER(AD735),ISNUMBER(INDEX(Sources!$G$7:$G$10,MATCH(AB735,Sources!$B$7:$B$10,0)))),ROUND(AD735/INDEX(Sources!$G$7:$G$10,MATCH(AB735,Sources!$B$7:$B$10,0)),6),"")</f>
        <v>1.760591</v>
      </c>
      <c r="J735" s="98" t="s">
        <v>530</v>
      </c>
      <c r="K735" s="98" t="s">
        <v>2059</v>
      </c>
      <c r="L735" s="96"/>
      <c r="M735" s="110" t="s">
        <v>2481</v>
      </c>
      <c r="N735" s="117" t="s">
        <v>2482</v>
      </c>
      <c r="O735" s="110" t="s">
        <v>2452</v>
      </c>
      <c r="P735" s="110" t="s">
        <v>590</v>
      </c>
      <c r="Q735" s="118" t="n">
        <v>0.21</v>
      </c>
      <c r="R735" s="110" t="n">
        <v>1</v>
      </c>
      <c r="S735" s="110" t="s">
        <v>632</v>
      </c>
      <c r="T735" s="110" t="s">
        <v>530</v>
      </c>
      <c r="U735" s="110" t="s">
        <v>2062</v>
      </c>
      <c r="V735" s="119" t="n">
        <v>43</v>
      </c>
      <c r="W735" s="119"/>
      <c r="X735" s="110" t="s">
        <v>2063</v>
      </c>
      <c r="Y735" s="110" t="s">
        <v>2064</v>
      </c>
      <c r="Z735" s="110" t="s">
        <v>2349</v>
      </c>
      <c r="AA735" s="110" t="s">
        <v>537</v>
      </c>
      <c r="AB735" s="110" t="s">
        <v>333</v>
      </c>
      <c r="AC735" s="110" t="s">
        <v>538</v>
      </c>
      <c r="AD735" s="110" t="n">
        <f aca="false">IF(OR(F735="",Q735="",R735=""),"",ROUND(IF(P735="incl.",F735/(1+Q735),F735)/IF(S735="per pack",R735,1),2))</f>
        <v>43</v>
      </c>
      <c r="AE735" s="110" t="str">
        <f aca="false">IF(AND(AC735="yes",ISNUMBER(F735),IF(Compare!$H$5="All mapped",TRUE(),IF(Compare!$H$5="EXACT only",J735="EXACT",OR(J735="EXACT",J735="CLOSE")))),"yes","no")</f>
        <v>yes</v>
      </c>
      <c r="AF735" s="110" t="n">
        <f aca="false">IF(ISNUMBER(H735),COUNTIFS($B$7:$B$3000,B735,$C$7:$C$3000,C735,$H$7:$H$3000,"&lt;"&amp;H735,$AH$7:$AH$3000,"yes")+COUNTIFS($B$7:B735,B735,$C$7:C735,C735,$H$7:H735,H735,$AH$7:AH735,"yes"),"")</f>
        <v>1</v>
      </c>
      <c r="AG735" s="110" t="n">
        <f aca="false">IF(ISNUMBER(I735),COUNTIFS($B$7:$B$3000,B735,$C$7:$C$3000,C735,$I$7:$I$3000,"&lt;"&amp;I735,$AI$7:$AI$3000,"yes")+COUNTIFS($B$7:B735,B735,$C$7:C735,C735,$I$7:I735,I735,$AI$7:AI735,"yes"),"")</f>
        <v>1</v>
      </c>
      <c r="AH735" s="110" t="str">
        <f aca="false">IF(ISNUMBER(H735),"yes","no")</f>
        <v>yes</v>
      </c>
      <c r="AI735" s="110" t="str">
        <f aca="false">IF(ISNUMBER(I735),"yes","no")</f>
        <v>yes</v>
      </c>
      <c r="AJ735" s="120" t="n">
        <v>46297</v>
      </c>
      <c r="AK735" s="110"/>
    </row>
    <row r="736" customFormat="false" ht="34.5" hidden="false" customHeight="true" outlineLevel="0" collapsed="false">
      <c r="B736" s="36" t="s">
        <v>24</v>
      </c>
      <c r="C736" s="98" t="s">
        <v>17</v>
      </c>
      <c r="D736" s="98" t="s">
        <v>357</v>
      </c>
      <c r="E736" s="110" t="s">
        <v>2483</v>
      </c>
      <c r="F736" s="99" t="n">
        <v>112.4</v>
      </c>
      <c r="G736" s="98" t="s">
        <v>333</v>
      </c>
      <c r="H736" s="112" t="n">
        <f aca="false">IF(AND(AE736="yes",ISNUMBER(AD736)),AD736,"")</f>
        <v>112.4</v>
      </c>
      <c r="I736" s="95" t="n">
        <f aca="false">IF(AND(AE736="yes",ISNUMBER(AD736),ISNUMBER(INDEX(Sources!$G$7:$G$10,MATCH(AB736,Sources!$B$7:$B$10,0)))),ROUND(AD736/INDEX(Sources!$G$7:$G$10,MATCH(AB736,Sources!$B$7:$B$10,0)),6),"")</f>
        <v>4.602103</v>
      </c>
      <c r="J736" s="98" t="s">
        <v>530</v>
      </c>
      <c r="K736" s="98" t="s">
        <v>2059</v>
      </c>
      <c r="L736" s="96"/>
      <c r="M736" s="110" t="s">
        <v>2484</v>
      </c>
      <c r="N736" s="117" t="s">
        <v>2485</v>
      </c>
      <c r="O736" s="110" t="s">
        <v>388</v>
      </c>
      <c r="P736" s="110" t="s">
        <v>590</v>
      </c>
      <c r="Q736" s="118" t="n">
        <v>0.21</v>
      </c>
      <c r="R736" s="110" t="n">
        <v>1</v>
      </c>
      <c r="S736" s="110" t="s">
        <v>632</v>
      </c>
      <c r="T736" s="110" t="s">
        <v>530</v>
      </c>
      <c r="U736" s="110" t="s">
        <v>2062</v>
      </c>
      <c r="V736" s="119" t="n">
        <v>112.4</v>
      </c>
      <c r="W736" s="119"/>
      <c r="X736" s="110" t="s">
        <v>2063</v>
      </c>
      <c r="Y736" s="110" t="s">
        <v>2064</v>
      </c>
      <c r="Z736" s="110" t="s">
        <v>2486</v>
      </c>
      <c r="AA736" s="110" t="s">
        <v>537</v>
      </c>
      <c r="AB736" s="110" t="s">
        <v>333</v>
      </c>
      <c r="AC736" s="110" t="s">
        <v>538</v>
      </c>
      <c r="AD736" s="110" t="n">
        <f aca="false">IF(OR(F736="",Q736="",R736=""),"",ROUND(IF(P736="incl.",F736/(1+Q736),F736)/IF(S736="per pack",R736,1),2))</f>
        <v>112.4</v>
      </c>
      <c r="AE736" s="110" t="str">
        <f aca="false">IF(AND(AC736="yes",ISNUMBER(F736),IF(Compare!$H$5="All mapped",TRUE(),IF(Compare!$H$5="EXACT only",J736="EXACT",OR(J736="EXACT",J736="CLOSE")))),"yes","no")</f>
        <v>yes</v>
      </c>
      <c r="AF736" s="110" t="n">
        <f aca="false">IF(ISNUMBER(H736),COUNTIFS($B$7:$B$3000,B736,$C$7:$C$3000,C736,$H$7:$H$3000,"&lt;"&amp;H736,$AH$7:$AH$3000,"yes")+COUNTIFS($B$7:B736,B736,$C$7:C736,C736,$H$7:H736,H736,$AH$7:AH736,"yes"),"")</f>
        <v>4</v>
      </c>
      <c r="AG736" s="110" t="n">
        <f aca="false">IF(ISNUMBER(I736),COUNTIFS($B$7:$B$3000,B736,$C$7:$C$3000,C736,$I$7:$I$3000,"&lt;"&amp;I736,$AI$7:$AI$3000,"yes")+COUNTIFS($B$7:B736,B736,$C$7:C736,C736,$I$7:I736,I736,$AI$7:AI736,"yes"),"")</f>
        <v>4</v>
      </c>
      <c r="AH736" s="110" t="str">
        <f aca="false">IF(ISNUMBER(H736),"yes","no")</f>
        <v>yes</v>
      </c>
      <c r="AI736" s="110" t="str">
        <f aca="false">IF(ISNUMBER(I736),"yes","no")</f>
        <v>yes</v>
      </c>
      <c r="AJ736" s="120" t="n">
        <v>46297</v>
      </c>
      <c r="AK736" s="110"/>
    </row>
    <row r="737" customFormat="false" ht="23.25" hidden="false" customHeight="true" outlineLevel="0" collapsed="false">
      <c r="B737" s="36" t="s">
        <v>46</v>
      </c>
      <c r="C737" s="98" t="s">
        <v>17</v>
      </c>
      <c r="D737" s="98" t="s">
        <v>357</v>
      </c>
      <c r="E737" s="110" t="s">
        <v>2487</v>
      </c>
      <c r="F737" s="99" t="n">
        <v>154.71</v>
      </c>
      <c r="G737" s="98" t="s">
        <v>333</v>
      </c>
      <c r="H737" s="112" t="n">
        <f aca="false">IF(AND(AE737="yes",ISNUMBER(AD737)),AD737,"")</f>
        <v>154.71</v>
      </c>
      <c r="I737" s="95" t="n">
        <f aca="false">IF(AND(AE737="yes",ISNUMBER(AD737),ISNUMBER(INDEX(Sources!$G$7:$G$10,MATCH(AB737,Sources!$B$7:$B$10,0)))),ROUND(AD737/INDEX(Sources!$G$7:$G$10,MATCH(AB737,Sources!$B$7:$B$10,0)),6),"")</f>
        <v>6.334443</v>
      </c>
      <c r="J737" s="98" t="s">
        <v>530</v>
      </c>
      <c r="K737" s="98" t="s">
        <v>2059</v>
      </c>
      <c r="L737" s="96"/>
      <c r="M737" s="110" t="s">
        <v>2488</v>
      </c>
      <c r="N737" s="117" t="s">
        <v>2489</v>
      </c>
      <c r="O737" s="110" t="s">
        <v>388</v>
      </c>
      <c r="P737" s="110" t="s">
        <v>590</v>
      </c>
      <c r="Q737" s="118" t="n">
        <v>0.21</v>
      </c>
      <c r="R737" s="110" t="n">
        <v>1</v>
      </c>
      <c r="S737" s="110" t="s">
        <v>632</v>
      </c>
      <c r="T737" s="110" t="s">
        <v>530</v>
      </c>
      <c r="U737" s="110" t="s">
        <v>2062</v>
      </c>
      <c r="V737" s="119" t="n">
        <v>154.71</v>
      </c>
      <c r="W737" s="119"/>
      <c r="X737" s="110" t="s">
        <v>2063</v>
      </c>
      <c r="Y737" s="110" t="s">
        <v>2064</v>
      </c>
      <c r="Z737" s="110" t="s">
        <v>2486</v>
      </c>
      <c r="AA737" s="110" t="s">
        <v>537</v>
      </c>
      <c r="AB737" s="110" t="s">
        <v>333</v>
      </c>
      <c r="AC737" s="110" t="s">
        <v>538</v>
      </c>
      <c r="AD737" s="110" t="n">
        <f aca="false">IF(OR(F737="",Q737="",R737=""),"",ROUND(IF(P737="incl.",F737/(1+Q737),F737)/IF(S737="per pack",R737,1),2))</f>
        <v>154.71</v>
      </c>
      <c r="AE737" s="110" t="str">
        <f aca="false">IF(AND(AC737="yes",ISNUMBER(F737),IF(Compare!$H$5="All mapped",TRUE(),IF(Compare!$H$5="EXACT only",J737="EXACT",OR(J737="EXACT",J737="CLOSE")))),"yes","no")</f>
        <v>yes</v>
      </c>
      <c r="AF737" s="110" t="n">
        <f aca="false">IF(ISNUMBER(H737),COUNTIFS($B$7:$B$3000,B737,$C$7:$C$3000,C737,$H$7:$H$3000,"&lt;"&amp;H737,$AH$7:$AH$3000,"yes")+COUNTIFS($B$7:B737,B737,$C$7:C737,C737,$H$7:H737,H737,$AH$7:AH737,"yes"),"")</f>
        <v>5</v>
      </c>
      <c r="AG737" s="110" t="n">
        <f aca="false">IF(ISNUMBER(I737),COUNTIFS($B$7:$B$3000,B737,$C$7:$C$3000,C737,$I$7:$I$3000,"&lt;"&amp;I737,$AI$7:$AI$3000,"yes")+COUNTIFS($B$7:B737,B737,$C$7:C737,C737,$I$7:I737,I737,$AI$7:AI737,"yes"),"")</f>
        <v>5</v>
      </c>
      <c r="AH737" s="110" t="str">
        <f aca="false">IF(ISNUMBER(H737),"yes","no")</f>
        <v>yes</v>
      </c>
      <c r="AI737" s="110" t="str">
        <f aca="false">IF(ISNUMBER(I737),"yes","no")</f>
        <v>yes</v>
      </c>
      <c r="AJ737" s="120" t="n">
        <v>46297</v>
      </c>
      <c r="AK737" s="110"/>
    </row>
    <row r="738" customFormat="false" ht="23.25" hidden="false" customHeight="true" outlineLevel="0" collapsed="false">
      <c r="B738" s="36" t="s">
        <v>23</v>
      </c>
      <c r="C738" s="98" t="s">
        <v>17</v>
      </c>
      <c r="D738" s="98" t="s">
        <v>357</v>
      </c>
      <c r="E738" s="110" t="s">
        <v>2490</v>
      </c>
      <c r="F738" s="99" t="n">
        <v>103.14</v>
      </c>
      <c r="G738" s="98" t="s">
        <v>333</v>
      </c>
      <c r="H738" s="112" t="n">
        <f aca="false">IF(AND(AE738="yes",ISNUMBER(AD738)),AD738,"")</f>
        <v>103.14</v>
      </c>
      <c r="I738" s="95" t="n">
        <f aca="false">IF(AND(AE738="yes",ISNUMBER(AD738),ISNUMBER(INDEX(Sources!$G$7:$G$10,MATCH(AB738,Sources!$B$7:$B$10,0)))),ROUND(AD738/INDEX(Sources!$G$7:$G$10,MATCH(AB738,Sources!$B$7:$B$10,0)),6),"")</f>
        <v>4.222962</v>
      </c>
      <c r="J738" s="98" t="s">
        <v>530</v>
      </c>
      <c r="K738" s="98" t="s">
        <v>2059</v>
      </c>
      <c r="L738" s="96"/>
      <c r="M738" s="110" t="s">
        <v>2491</v>
      </c>
      <c r="N738" s="117" t="s">
        <v>2492</v>
      </c>
      <c r="O738" s="110" t="s">
        <v>388</v>
      </c>
      <c r="P738" s="110" t="s">
        <v>590</v>
      </c>
      <c r="Q738" s="118" t="n">
        <v>0.21</v>
      </c>
      <c r="R738" s="110" t="n">
        <v>1</v>
      </c>
      <c r="S738" s="110" t="s">
        <v>632</v>
      </c>
      <c r="T738" s="110" t="s">
        <v>530</v>
      </c>
      <c r="U738" s="110" t="s">
        <v>2062</v>
      </c>
      <c r="V738" s="119" t="n">
        <v>103.14</v>
      </c>
      <c r="W738" s="119"/>
      <c r="X738" s="110" t="s">
        <v>2063</v>
      </c>
      <c r="Y738" s="110" t="s">
        <v>2064</v>
      </c>
      <c r="Z738" s="110" t="s">
        <v>2486</v>
      </c>
      <c r="AA738" s="110" t="s">
        <v>537</v>
      </c>
      <c r="AB738" s="110" t="s">
        <v>333</v>
      </c>
      <c r="AC738" s="110" t="s">
        <v>538</v>
      </c>
      <c r="AD738" s="110" t="n">
        <f aca="false">IF(OR(F738="",Q738="",R738=""),"",ROUND(IF(P738="incl.",F738/(1+Q738),F738)/IF(S738="per pack",R738,1),2))</f>
        <v>103.14</v>
      </c>
      <c r="AE738" s="110" t="str">
        <f aca="false">IF(AND(AC738="yes",ISNUMBER(F738),IF(Compare!$H$5="All mapped",TRUE(),IF(Compare!$H$5="EXACT only",J738="EXACT",OR(J738="EXACT",J738="CLOSE")))),"yes","no")</f>
        <v>yes</v>
      </c>
      <c r="AF738" s="110" t="n">
        <f aca="false">IF(ISNUMBER(H738),COUNTIFS($B$7:$B$3000,B738,$C$7:$C$3000,C738,$H$7:$H$3000,"&lt;"&amp;H738,$AH$7:$AH$3000,"yes")+COUNTIFS($B$7:B738,B738,$C$7:C738,C738,$H$7:H738,H738,$AH$7:AH738,"yes"),"")</f>
        <v>5</v>
      </c>
      <c r="AG738" s="110" t="n">
        <f aca="false">IF(ISNUMBER(I738),COUNTIFS($B$7:$B$3000,B738,$C$7:$C$3000,C738,$I$7:$I$3000,"&lt;"&amp;I738,$AI$7:$AI$3000,"yes")+COUNTIFS($B$7:B738,B738,$C$7:C738,C738,$I$7:I738,I738,$AI$7:AI738,"yes"),"")</f>
        <v>5</v>
      </c>
      <c r="AH738" s="110" t="str">
        <f aca="false">IF(ISNUMBER(H738),"yes","no")</f>
        <v>yes</v>
      </c>
      <c r="AI738" s="110" t="str">
        <f aca="false">IF(ISNUMBER(I738),"yes","no")</f>
        <v>yes</v>
      </c>
      <c r="AJ738" s="120" t="n">
        <v>46297</v>
      </c>
      <c r="AK738" s="110"/>
    </row>
    <row r="739" customFormat="false" ht="34.5" hidden="false" customHeight="true" outlineLevel="0" collapsed="false">
      <c r="B739" s="36" t="s">
        <v>61</v>
      </c>
      <c r="C739" s="98" t="s">
        <v>17</v>
      </c>
      <c r="D739" s="98" t="s">
        <v>357</v>
      </c>
      <c r="E739" s="110" t="s">
        <v>2493</v>
      </c>
      <c r="F739" s="99" t="n">
        <v>52.23</v>
      </c>
      <c r="G739" s="98" t="s">
        <v>333</v>
      </c>
      <c r="H739" s="112" t="n">
        <f aca="false">IF(AND(AE739="yes",ISNUMBER(AD739)),AD739,"")</f>
        <v>52.23</v>
      </c>
      <c r="I739" s="95" t="n">
        <f aca="false">IF(AND(AE739="yes",ISNUMBER(AD739),ISNUMBER(INDEX(Sources!$G$7:$G$10,MATCH(AB739,Sources!$B$7:$B$10,0)))),ROUND(AD739/INDEX(Sources!$G$7:$G$10,MATCH(AB739,Sources!$B$7:$B$10,0)),6),"")</f>
        <v>2.138504</v>
      </c>
      <c r="J739" s="98" t="s">
        <v>530</v>
      </c>
      <c r="K739" s="98" t="s">
        <v>2059</v>
      </c>
      <c r="L739" s="96"/>
      <c r="M739" s="110" t="s">
        <v>2494</v>
      </c>
      <c r="N739" s="117" t="s">
        <v>2495</v>
      </c>
      <c r="O739" s="110" t="s">
        <v>388</v>
      </c>
      <c r="P739" s="110" t="s">
        <v>590</v>
      </c>
      <c r="Q739" s="118" t="n">
        <v>0.21</v>
      </c>
      <c r="R739" s="110" t="n">
        <v>1</v>
      </c>
      <c r="S739" s="110" t="s">
        <v>632</v>
      </c>
      <c r="T739" s="110" t="s">
        <v>530</v>
      </c>
      <c r="U739" s="110" t="s">
        <v>2062</v>
      </c>
      <c r="V739" s="119" t="n">
        <v>52.23</v>
      </c>
      <c r="W739" s="119"/>
      <c r="X739" s="110" t="s">
        <v>2063</v>
      </c>
      <c r="Y739" s="110" t="s">
        <v>2064</v>
      </c>
      <c r="Z739" s="110" t="s">
        <v>2486</v>
      </c>
      <c r="AA739" s="110" t="s">
        <v>537</v>
      </c>
      <c r="AB739" s="110" t="s">
        <v>333</v>
      </c>
      <c r="AC739" s="110" t="s">
        <v>538</v>
      </c>
      <c r="AD739" s="110" t="n">
        <f aca="false">IF(OR(F739="",Q739="",R739=""),"",ROUND(IF(P739="incl.",F739/(1+Q739),F739)/IF(S739="per pack",R739,1),2))</f>
        <v>52.23</v>
      </c>
      <c r="AE739" s="110" t="str">
        <f aca="false">IF(AND(AC739="yes",ISNUMBER(F739),IF(Compare!$H$5="All mapped",TRUE(),IF(Compare!$H$5="EXACT only",J739="EXACT",OR(J739="EXACT",J739="CLOSE")))),"yes","no")</f>
        <v>yes</v>
      </c>
      <c r="AF739" s="110" t="n">
        <f aca="false">IF(ISNUMBER(H739),COUNTIFS($B$7:$B$3000,B739,$C$7:$C$3000,C739,$H$7:$H$3000,"&lt;"&amp;H739,$AH$7:$AH$3000,"yes")+COUNTIFS($B$7:B739,B739,$C$7:C739,C739,$H$7:H739,H739,$AH$7:AH739,"yes"),"")</f>
        <v>3</v>
      </c>
      <c r="AG739" s="110" t="n">
        <f aca="false">IF(ISNUMBER(I739),COUNTIFS($B$7:$B$3000,B739,$C$7:$C$3000,C739,$I$7:$I$3000,"&lt;"&amp;I739,$AI$7:$AI$3000,"yes")+COUNTIFS($B$7:B739,B739,$C$7:C739,C739,$I$7:I739,I739,$AI$7:AI739,"yes"),"")</f>
        <v>3</v>
      </c>
      <c r="AH739" s="110" t="str">
        <f aca="false">IF(ISNUMBER(H739),"yes","no")</f>
        <v>yes</v>
      </c>
      <c r="AI739" s="110" t="str">
        <f aca="false">IF(ISNUMBER(I739),"yes","no")</f>
        <v>yes</v>
      </c>
      <c r="AJ739" s="120" t="n">
        <v>46297</v>
      </c>
      <c r="AK739" s="110"/>
    </row>
    <row r="740" customFormat="false" ht="23.25" hidden="false" customHeight="true" outlineLevel="0" collapsed="false">
      <c r="B740" s="36" t="s">
        <v>49</v>
      </c>
      <c r="C740" s="98" t="s">
        <v>17</v>
      </c>
      <c r="D740" s="98" t="s">
        <v>357</v>
      </c>
      <c r="E740" s="110" t="s">
        <v>2496</v>
      </c>
      <c r="F740" s="99" t="n">
        <v>70.08</v>
      </c>
      <c r="G740" s="98" t="s">
        <v>333</v>
      </c>
      <c r="H740" s="112" t="n">
        <f aca="false">IF(AND(AE740="yes",ISNUMBER(AD740)),AD740,"")</f>
        <v>70.08</v>
      </c>
      <c r="I740" s="95" t="n">
        <f aca="false">IF(AND(AE740="yes",ISNUMBER(AD740),ISNUMBER(INDEX(Sources!$G$7:$G$10,MATCH(AB740,Sources!$B$7:$B$10,0)))),ROUND(AD740/INDEX(Sources!$G$7:$G$10,MATCH(AB740,Sources!$B$7:$B$10,0)),6),"")</f>
        <v>2.869354</v>
      </c>
      <c r="J740" s="98" t="s">
        <v>530</v>
      </c>
      <c r="K740" s="98" t="s">
        <v>2059</v>
      </c>
      <c r="L740" s="96"/>
      <c r="M740" s="110" t="s">
        <v>2497</v>
      </c>
      <c r="N740" s="117" t="s">
        <v>2498</v>
      </c>
      <c r="O740" s="110" t="s">
        <v>388</v>
      </c>
      <c r="P740" s="110" t="s">
        <v>590</v>
      </c>
      <c r="Q740" s="118" t="n">
        <v>0.21</v>
      </c>
      <c r="R740" s="110" t="n">
        <v>1</v>
      </c>
      <c r="S740" s="110" t="s">
        <v>632</v>
      </c>
      <c r="T740" s="110" t="s">
        <v>530</v>
      </c>
      <c r="U740" s="110" t="s">
        <v>2062</v>
      </c>
      <c r="V740" s="119" t="n">
        <v>70.08</v>
      </c>
      <c r="W740" s="119"/>
      <c r="X740" s="110" t="s">
        <v>2063</v>
      </c>
      <c r="Y740" s="110" t="s">
        <v>2064</v>
      </c>
      <c r="Z740" s="110" t="s">
        <v>2125</v>
      </c>
      <c r="AA740" s="110" t="s">
        <v>537</v>
      </c>
      <c r="AB740" s="110" t="s">
        <v>333</v>
      </c>
      <c r="AC740" s="110" t="s">
        <v>538</v>
      </c>
      <c r="AD740" s="110" t="n">
        <f aca="false">IF(OR(F740="",Q740="",R740=""),"",ROUND(IF(P740="incl.",F740/(1+Q740),F740)/IF(S740="per pack",R740,1),2))</f>
        <v>70.08</v>
      </c>
      <c r="AE740" s="110" t="str">
        <f aca="false">IF(AND(AC740="yes",ISNUMBER(F740),IF(Compare!$H$5="All mapped",TRUE(),IF(Compare!$H$5="EXACT only",J740="EXACT",OR(J740="EXACT",J740="CLOSE")))),"yes","no")</f>
        <v>yes</v>
      </c>
      <c r="AF740" s="110" t="n">
        <f aca="false">IF(ISNUMBER(H740),COUNTIFS($B$7:$B$3000,B740,$C$7:$C$3000,C740,$H$7:$H$3000,"&lt;"&amp;H740,$AH$7:$AH$3000,"yes")+COUNTIFS($B$7:B740,B740,$C$7:C740,C740,$H$7:H740,H740,$AH$7:AH740,"yes"),"")</f>
        <v>3</v>
      </c>
      <c r="AG740" s="110" t="n">
        <f aca="false">IF(ISNUMBER(I740),COUNTIFS($B$7:$B$3000,B740,$C$7:$C$3000,C740,$I$7:$I$3000,"&lt;"&amp;I740,$AI$7:$AI$3000,"yes")+COUNTIFS($B$7:B740,B740,$C$7:C740,C740,$I$7:I740,I740,$AI$7:AI740,"yes"),"")</f>
        <v>3</v>
      </c>
      <c r="AH740" s="110" t="str">
        <f aca="false">IF(ISNUMBER(H740),"yes","no")</f>
        <v>yes</v>
      </c>
      <c r="AI740" s="110" t="str">
        <f aca="false">IF(ISNUMBER(I740),"yes","no")</f>
        <v>yes</v>
      </c>
      <c r="AJ740" s="120" t="n">
        <v>46297</v>
      </c>
      <c r="AK740" s="110"/>
    </row>
    <row r="741" customFormat="false" ht="23.25" hidden="false" customHeight="true" outlineLevel="0" collapsed="false">
      <c r="B741" s="36" t="s">
        <v>51</v>
      </c>
      <c r="C741" s="98" t="s">
        <v>17</v>
      </c>
      <c r="D741" s="98" t="s">
        <v>357</v>
      </c>
      <c r="E741" s="110" t="s">
        <v>2499</v>
      </c>
      <c r="F741" s="99" t="n">
        <v>56.2</v>
      </c>
      <c r="G741" s="98" t="s">
        <v>333</v>
      </c>
      <c r="H741" s="112" t="n">
        <f aca="false">IF(AND(AE741="yes",ISNUMBER(AD741)),AD741,"")</f>
        <v>56.2</v>
      </c>
      <c r="I741" s="95" t="n">
        <f aca="false">IF(AND(AE741="yes",ISNUMBER(AD741),ISNUMBER(INDEX(Sources!$G$7:$G$10,MATCH(AB741,Sources!$B$7:$B$10,0)))),ROUND(AD741/INDEX(Sources!$G$7:$G$10,MATCH(AB741,Sources!$B$7:$B$10,0)),6),"")</f>
        <v>2.301052</v>
      </c>
      <c r="J741" s="98" t="s">
        <v>530</v>
      </c>
      <c r="K741" s="98" t="s">
        <v>2059</v>
      </c>
      <c r="L741" s="96"/>
      <c r="M741" s="110" t="s">
        <v>2500</v>
      </c>
      <c r="N741" s="117" t="s">
        <v>2501</v>
      </c>
      <c r="O741" s="110" t="s">
        <v>388</v>
      </c>
      <c r="P741" s="110" t="s">
        <v>590</v>
      </c>
      <c r="Q741" s="118" t="n">
        <v>0.21</v>
      </c>
      <c r="R741" s="110" t="n">
        <v>1</v>
      </c>
      <c r="S741" s="110" t="s">
        <v>632</v>
      </c>
      <c r="T741" s="110" t="s">
        <v>530</v>
      </c>
      <c r="U741" s="110" t="s">
        <v>2062</v>
      </c>
      <c r="V741" s="119" t="n">
        <v>56.2</v>
      </c>
      <c r="W741" s="119"/>
      <c r="X741" s="110" t="s">
        <v>2063</v>
      </c>
      <c r="Y741" s="110" t="s">
        <v>2064</v>
      </c>
      <c r="Z741" s="110" t="s">
        <v>2125</v>
      </c>
      <c r="AA741" s="110" t="s">
        <v>537</v>
      </c>
      <c r="AB741" s="110" t="s">
        <v>333</v>
      </c>
      <c r="AC741" s="110" t="s">
        <v>538</v>
      </c>
      <c r="AD741" s="110" t="n">
        <f aca="false">IF(OR(F741="",Q741="",R741=""),"",ROUND(IF(P741="incl.",F741/(1+Q741),F741)/IF(S741="per pack",R741,1),2))</f>
        <v>56.2</v>
      </c>
      <c r="AE741" s="110" t="str">
        <f aca="false">IF(AND(AC741="yes",ISNUMBER(F741),IF(Compare!$H$5="All mapped",TRUE(),IF(Compare!$H$5="EXACT only",J741="EXACT",OR(J741="EXACT",J741="CLOSE")))),"yes","no")</f>
        <v>yes</v>
      </c>
      <c r="AF741" s="110" t="n">
        <f aca="false">IF(ISNUMBER(H741),COUNTIFS($B$7:$B$3000,B741,$C$7:$C$3000,C741,$H$7:$H$3000,"&lt;"&amp;H741,$AH$7:$AH$3000,"yes")+COUNTIFS($B$7:B741,B741,$C$7:C741,C741,$H$7:H741,H741,$AH$7:AH741,"yes"),"")</f>
        <v>2</v>
      </c>
      <c r="AG741" s="110" t="n">
        <f aca="false">IF(ISNUMBER(I741),COUNTIFS($B$7:$B$3000,B741,$C$7:$C$3000,C741,$I$7:$I$3000,"&lt;"&amp;I741,$AI$7:$AI$3000,"yes")+COUNTIFS($B$7:B741,B741,$C$7:C741,C741,$I$7:I741,I741,$AI$7:AI741,"yes"),"")</f>
        <v>2</v>
      </c>
      <c r="AH741" s="110" t="str">
        <f aca="false">IF(ISNUMBER(H741),"yes","no")</f>
        <v>yes</v>
      </c>
      <c r="AI741" s="110" t="str">
        <f aca="false">IF(ISNUMBER(I741),"yes","no")</f>
        <v>yes</v>
      </c>
      <c r="AJ741" s="120" t="n">
        <v>46297</v>
      </c>
      <c r="AK741" s="110"/>
    </row>
    <row r="742" customFormat="false" ht="68.25" hidden="false" customHeight="true" outlineLevel="0" collapsed="false">
      <c r="B742" s="36" t="s">
        <v>41</v>
      </c>
      <c r="C742" s="98" t="s">
        <v>17</v>
      </c>
      <c r="D742" s="98" t="s">
        <v>354</v>
      </c>
      <c r="E742" s="110" t="s">
        <v>2502</v>
      </c>
      <c r="F742" s="99" t="n">
        <v>4332.1</v>
      </c>
      <c r="G742" s="98" t="s">
        <v>333</v>
      </c>
      <c r="H742" s="112" t="str">
        <f aca="false">IF(AND(AE742="yes",ISNUMBER(AD742)),AD742,"")</f>
        <v/>
      </c>
      <c r="I742" s="95" t="str">
        <f aca="false">IF(AND(AE742="yes",ISNUMBER(AD742),ISNUMBER(INDEX(Sources!$G$7:$G$10,MATCH(AB742,Sources!$B$7:$B$10,0)))),ROUND(AD742/INDEX(Sources!$G$7:$G$10,MATCH(AB742,Sources!$B$7:$B$10,0)),6),"")</f>
        <v/>
      </c>
      <c r="J742" s="98" t="s">
        <v>629</v>
      </c>
      <c r="K742" s="98" t="s">
        <v>2059</v>
      </c>
      <c r="L742" s="96"/>
      <c r="M742" s="110" t="s">
        <v>2503</v>
      </c>
      <c r="N742" s="117" t="s">
        <v>2504</v>
      </c>
      <c r="O742" s="110" t="s">
        <v>2265</v>
      </c>
      <c r="P742" s="110" t="s">
        <v>590</v>
      </c>
      <c r="Q742" s="118" t="n">
        <v>0.19</v>
      </c>
      <c r="R742" s="110" t="n">
        <v>6</v>
      </c>
      <c r="S742" s="110" t="s">
        <v>625</v>
      </c>
      <c r="T742" s="110" t="s">
        <v>629</v>
      </c>
      <c r="U742" s="110" t="s">
        <v>2062</v>
      </c>
      <c r="V742" s="119" t="n">
        <v>722.02</v>
      </c>
      <c r="W742" s="119"/>
      <c r="X742" s="110" t="s">
        <v>2063</v>
      </c>
      <c r="Y742" s="110" t="s">
        <v>2064</v>
      </c>
      <c r="Z742" s="110" t="s">
        <v>2505</v>
      </c>
      <c r="AA742" s="110" t="s">
        <v>537</v>
      </c>
      <c r="AB742" s="110" t="s">
        <v>333</v>
      </c>
      <c r="AC742" s="110" t="s">
        <v>538</v>
      </c>
      <c r="AD742" s="110" t="n">
        <f aca="false">IF(OR(F742="",Q742="",R742=""),"",ROUND(IF(P742="incl.",F742/(1+Q742),F742)/IF(S742="per pack",R742,1),2))</f>
        <v>722.02</v>
      </c>
      <c r="AE742" s="110" t="str">
        <f aca="false">IF(AND(AC742="yes",ISNUMBER(F742),IF(Compare!$H$5="All mapped",TRUE(),IF(Compare!$H$5="EXACT only",J742="EXACT",OR(J742="EXACT",J742="CLOSE")))),"yes","no")</f>
        <v>no</v>
      </c>
      <c r="AF742" s="110" t="str">
        <f aca="false">IF(ISNUMBER(H742),COUNTIFS($B$7:$B$3000,B742,$C$7:$C$3000,C742,$H$7:$H$3000,"&lt;"&amp;H742,$AH$7:$AH$3000,"yes")+COUNTIFS($B$7:B742,B742,$C$7:C742,C742,$H$7:H742,H742,$AH$7:AH742,"yes"),"")</f>
        <v/>
      </c>
      <c r="AG742" s="110" t="str">
        <f aca="false">IF(ISNUMBER(I742),COUNTIFS($B$7:$B$3000,B742,$C$7:$C$3000,C742,$I$7:$I$3000,"&lt;"&amp;I742,$AI$7:$AI$3000,"yes")+COUNTIFS($B$7:B742,B742,$C$7:C742,C742,$I$7:I742,I742,$AI$7:AI742,"yes"),"")</f>
        <v/>
      </c>
      <c r="AH742" s="110" t="str">
        <f aca="false">IF(ISNUMBER(H742),"yes","no")</f>
        <v>no</v>
      </c>
      <c r="AI742" s="110" t="str">
        <f aca="false">IF(ISNUMBER(I742),"yes","no")</f>
        <v>no</v>
      </c>
      <c r="AJ742" s="120" t="n">
        <v>46297</v>
      </c>
      <c r="AK742" s="110"/>
    </row>
    <row r="743" customFormat="false" ht="57" hidden="false" customHeight="true" outlineLevel="0" collapsed="false">
      <c r="B743" s="36" t="s">
        <v>39</v>
      </c>
      <c r="C743" s="98" t="s">
        <v>17</v>
      </c>
      <c r="D743" s="98" t="s">
        <v>338</v>
      </c>
      <c r="E743" s="110" t="s">
        <v>2506</v>
      </c>
      <c r="F743" s="99" t="n">
        <v>6447</v>
      </c>
      <c r="G743" s="98" t="s">
        <v>333</v>
      </c>
      <c r="H743" s="112" t="n">
        <f aca="false">IF(AND(AE743="yes",ISNUMBER(AD743)),AD743,"")</f>
        <v>6447</v>
      </c>
      <c r="I743" s="95" t="n">
        <f aca="false">IF(AND(AE743="yes",ISNUMBER(AD743),ISNUMBER(INDEX(Sources!$G$7:$G$10,MATCH(AB743,Sources!$B$7:$B$10,0)))),ROUND(AD743/INDEX(Sources!$G$7:$G$10,MATCH(AB743,Sources!$B$7:$B$10,0)),6),"")</f>
        <v>263.96583</v>
      </c>
      <c r="J743" s="98" t="s">
        <v>530</v>
      </c>
      <c r="K743" s="98" t="s">
        <v>2059</v>
      </c>
      <c r="L743" s="96"/>
      <c r="M743" s="110" t="s">
        <v>2507</v>
      </c>
      <c r="N743" s="117" t="s">
        <v>2508</v>
      </c>
      <c r="O743" s="110" t="s">
        <v>642</v>
      </c>
      <c r="P743" s="110" t="s">
        <v>590</v>
      </c>
      <c r="Q743" s="118" t="n">
        <v>0.21</v>
      </c>
      <c r="R743" s="110" t="n">
        <v>1</v>
      </c>
      <c r="S743" s="110" t="s">
        <v>632</v>
      </c>
      <c r="T743" s="110" t="s">
        <v>530</v>
      </c>
      <c r="U743" s="110" t="s">
        <v>2062</v>
      </c>
      <c r="V743" s="119" t="n">
        <v>6447</v>
      </c>
      <c r="W743" s="119"/>
      <c r="X743" s="110" t="s">
        <v>2063</v>
      </c>
      <c r="Y743" s="110" t="s">
        <v>2064</v>
      </c>
      <c r="Z743" s="110" t="s">
        <v>2509</v>
      </c>
      <c r="AA743" s="110" t="s">
        <v>537</v>
      </c>
      <c r="AB743" s="110" t="s">
        <v>333</v>
      </c>
      <c r="AC743" s="110" t="s">
        <v>538</v>
      </c>
      <c r="AD743" s="110" t="n">
        <f aca="false">IF(OR(F743="",Q743="",R743=""),"",ROUND(IF(P743="incl.",F743/(1+Q743),F743)/IF(S743="per pack",R743,1),2))</f>
        <v>6447</v>
      </c>
      <c r="AE743" s="110" t="str">
        <f aca="false">IF(AND(AC743="yes",ISNUMBER(F743),IF(Compare!$H$5="All mapped",TRUE(),IF(Compare!$H$5="EXACT only",J743="EXACT",OR(J743="EXACT",J743="CLOSE")))),"yes","no")</f>
        <v>yes</v>
      </c>
      <c r="AF743" s="110" t="n">
        <f aca="false">IF(ISNUMBER(H743),COUNTIFS($B$7:$B$3000,B743,$C$7:$C$3000,C743,$H$7:$H$3000,"&lt;"&amp;H743,$AH$7:$AH$3000,"yes")+COUNTIFS($B$7:B743,B743,$C$7:C743,C743,$H$7:H743,H743,$AH$7:AH743,"yes"),"")</f>
        <v>8</v>
      </c>
      <c r="AG743" s="110" t="n">
        <f aca="false">IF(ISNUMBER(I743),COUNTIFS($B$7:$B$3000,B743,$C$7:$C$3000,C743,$I$7:$I$3000,"&lt;"&amp;I743,$AI$7:$AI$3000,"yes")+COUNTIFS($B$7:B743,B743,$C$7:C743,C743,$I$7:I743,I743,$AI$7:AI743,"yes"),"")</f>
        <v>8</v>
      </c>
      <c r="AH743" s="110" t="str">
        <f aca="false">IF(ISNUMBER(H743),"yes","no")</f>
        <v>yes</v>
      </c>
      <c r="AI743" s="110" t="str">
        <f aca="false">IF(ISNUMBER(I743),"yes","no")</f>
        <v>yes</v>
      </c>
      <c r="AJ743" s="120" t="n">
        <v>46297</v>
      </c>
      <c r="AK743" s="110"/>
    </row>
    <row r="744" customFormat="false" ht="45.75" hidden="false" customHeight="true" outlineLevel="0" collapsed="false">
      <c r="B744" s="36" t="s">
        <v>40</v>
      </c>
      <c r="C744" s="98" t="s">
        <v>17</v>
      </c>
      <c r="D744" s="98" t="s">
        <v>338</v>
      </c>
      <c r="E744" s="110" t="s">
        <v>2510</v>
      </c>
      <c r="F744" s="99" t="n">
        <v>123</v>
      </c>
      <c r="G744" s="98" t="s">
        <v>333</v>
      </c>
      <c r="H744" s="112" t="str">
        <f aca="false">IF(AND(AE744="yes",ISNUMBER(AD744)),AD744,"")</f>
        <v/>
      </c>
      <c r="I744" s="95" t="str">
        <f aca="false">IF(AND(AE744="yes",ISNUMBER(AD744),ISNUMBER(INDEX(Sources!$G$7:$G$10,MATCH(AB744,Sources!$B$7:$B$10,0)))),ROUND(AD744/INDEX(Sources!$G$7:$G$10,MATCH(AB744,Sources!$B$7:$B$10,0)),6),"")</f>
        <v/>
      </c>
      <c r="J744" s="98" t="s">
        <v>629</v>
      </c>
      <c r="K744" s="98" t="s">
        <v>2059</v>
      </c>
      <c r="L744" s="96"/>
      <c r="M744" s="110" t="s">
        <v>2511</v>
      </c>
      <c r="N744" s="117" t="s">
        <v>2512</v>
      </c>
      <c r="O744" s="110" t="s">
        <v>1215</v>
      </c>
      <c r="P744" s="110" t="s">
        <v>590</v>
      </c>
      <c r="Q744" s="118" t="n">
        <v>0.21</v>
      </c>
      <c r="R744" s="110" t="n">
        <v>1</v>
      </c>
      <c r="S744" s="110" t="s">
        <v>632</v>
      </c>
      <c r="T744" s="110" t="s">
        <v>629</v>
      </c>
      <c r="U744" s="110" t="s">
        <v>2062</v>
      </c>
      <c r="V744" s="119" t="n">
        <v>123</v>
      </c>
      <c r="W744" s="119"/>
      <c r="X744" s="110" t="s">
        <v>2063</v>
      </c>
      <c r="Y744" s="110" t="s">
        <v>2064</v>
      </c>
      <c r="Z744" s="110" t="s">
        <v>2295</v>
      </c>
      <c r="AA744" s="110" t="s">
        <v>537</v>
      </c>
      <c r="AB744" s="110" t="s">
        <v>333</v>
      </c>
      <c r="AC744" s="110" t="s">
        <v>538</v>
      </c>
      <c r="AD744" s="110" t="n">
        <f aca="false">IF(OR(F744="",Q744="",R744=""),"",ROUND(IF(P744="incl.",F744/(1+Q744),F744)/IF(S744="per pack",R744,1),2))</f>
        <v>123</v>
      </c>
      <c r="AE744" s="110" t="str">
        <f aca="false">IF(AND(AC744="yes",ISNUMBER(F744),IF(Compare!$H$5="All mapped",TRUE(),IF(Compare!$H$5="EXACT only",J744="EXACT",OR(J744="EXACT",J744="CLOSE")))),"yes","no")</f>
        <v>no</v>
      </c>
      <c r="AF744" s="110" t="str">
        <f aca="false">IF(ISNUMBER(H744),COUNTIFS($B$7:$B$3000,B744,$C$7:$C$3000,C744,$H$7:$H$3000,"&lt;"&amp;H744,$AH$7:$AH$3000,"yes")+COUNTIFS($B$7:B744,B744,$C$7:C744,C744,$H$7:H744,H744,$AH$7:AH744,"yes"),"")</f>
        <v/>
      </c>
      <c r="AG744" s="110" t="str">
        <f aca="false">IF(ISNUMBER(I744),COUNTIFS($B$7:$B$3000,B744,$C$7:$C$3000,C744,$I$7:$I$3000,"&lt;"&amp;I744,$AI$7:$AI$3000,"yes")+COUNTIFS($B$7:B744,B744,$C$7:C744,C744,$I$7:I744,I744,$AI$7:AI744,"yes"),"")</f>
        <v/>
      </c>
      <c r="AH744" s="110" t="str">
        <f aca="false">IF(ISNUMBER(H744),"yes","no")</f>
        <v>no</v>
      </c>
      <c r="AI744" s="110" t="str">
        <f aca="false">IF(ISNUMBER(I744),"yes","no")</f>
        <v>no</v>
      </c>
      <c r="AJ744" s="120" t="n">
        <v>46297</v>
      </c>
      <c r="AK744" s="110"/>
    </row>
    <row r="745" customFormat="false" ht="57" hidden="false" customHeight="true" outlineLevel="0" collapsed="false">
      <c r="B745" s="36" t="s">
        <v>39</v>
      </c>
      <c r="C745" s="98" t="s">
        <v>17</v>
      </c>
      <c r="D745" s="98" t="s">
        <v>350</v>
      </c>
      <c r="E745" s="110" t="s">
        <v>2513</v>
      </c>
      <c r="F745" s="99" t="n">
        <v>5192</v>
      </c>
      <c r="G745" s="98" t="s">
        <v>333</v>
      </c>
      <c r="H745" s="112" t="n">
        <f aca="false">IF(AND(AE745="yes",ISNUMBER(AD745)),AD745,"")</f>
        <v>5192</v>
      </c>
      <c r="I745" s="95" t="n">
        <f aca="false">IF(AND(AE745="yes",ISNUMBER(AD745),ISNUMBER(INDEX(Sources!$G$7:$G$10,MATCH(AB745,Sources!$B$7:$B$10,0)))),ROUND(AD745/INDEX(Sources!$G$7:$G$10,MATCH(AB745,Sources!$B$7:$B$10,0)),6),"")</f>
        <v>212.581137</v>
      </c>
      <c r="J745" s="98" t="s">
        <v>702</v>
      </c>
      <c r="K745" s="98" t="s">
        <v>2059</v>
      </c>
      <c r="L745" s="96"/>
      <c r="M745" s="110" t="s">
        <v>2514</v>
      </c>
      <c r="N745" s="117" t="s">
        <v>2515</v>
      </c>
      <c r="O745" s="110" t="s">
        <v>2516</v>
      </c>
      <c r="P745" s="110" t="s">
        <v>590</v>
      </c>
      <c r="Q745" s="118" t="n">
        <v>0.21</v>
      </c>
      <c r="R745" s="110" t="n">
        <v>1</v>
      </c>
      <c r="S745" s="110" t="s">
        <v>632</v>
      </c>
      <c r="T745" s="110" t="s">
        <v>702</v>
      </c>
      <c r="U745" s="110" t="s">
        <v>2062</v>
      </c>
      <c r="V745" s="119" t="n">
        <v>5192</v>
      </c>
      <c r="W745" s="119"/>
      <c r="X745" s="110" t="s">
        <v>2063</v>
      </c>
      <c r="Y745" s="110" t="s">
        <v>2064</v>
      </c>
      <c r="Z745" s="110" t="s">
        <v>2349</v>
      </c>
      <c r="AA745" s="110" t="s">
        <v>537</v>
      </c>
      <c r="AB745" s="110" t="s">
        <v>333</v>
      </c>
      <c r="AC745" s="110" t="s">
        <v>538</v>
      </c>
      <c r="AD745" s="110" t="n">
        <f aca="false">IF(OR(F745="",Q745="",R745=""),"",ROUND(IF(P745="incl.",F745/(1+Q745),F745)/IF(S745="per pack",R745,1),2))</f>
        <v>5192</v>
      </c>
      <c r="AE745" s="110" t="str">
        <f aca="false">IF(AND(AC745="yes",ISNUMBER(F745),IF(Compare!$H$5="All mapped",TRUE(),IF(Compare!$H$5="EXACT only",J745="EXACT",OR(J745="EXACT",J745="CLOSE")))),"yes","no")</f>
        <v>yes</v>
      </c>
      <c r="AF745" s="110" t="n">
        <f aca="false">IF(ISNUMBER(H745),COUNTIFS($B$7:$B$3000,B745,$C$7:$C$3000,C745,$H$7:$H$3000,"&lt;"&amp;H745,$AH$7:$AH$3000,"yes")+COUNTIFS($B$7:B745,B745,$C$7:C745,C745,$H$7:H745,H745,$AH$7:AH745,"yes"),"")</f>
        <v>3</v>
      </c>
      <c r="AG745" s="110" t="n">
        <f aca="false">IF(ISNUMBER(I745),COUNTIFS($B$7:$B$3000,B745,$C$7:$C$3000,C745,$I$7:$I$3000,"&lt;"&amp;I745,$AI$7:$AI$3000,"yes")+COUNTIFS($B$7:B745,B745,$C$7:C745,C745,$I$7:I745,I745,$AI$7:AI745,"yes"),"")</f>
        <v>3</v>
      </c>
      <c r="AH745" s="110" t="str">
        <f aca="false">IF(ISNUMBER(H745),"yes","no")</f>
        <v>yes</v>
      </c>
      <c r="AI745" s="110" t="str">
        <f aca="false">IF(ISNUMBER(I745),"yes","no")</f>
        <v>yes</v>
      </c>
      <c r="AJ745" s="120" t="n">
        <v>46297</v>
      </c>
      <c r="AK745" s="110"/>
    </row>
    <row r="746" customFormat="false" ht="34.5" hidden="false" customHeight="true" outlineLevel="0" collapsed="false">
      <c r="B746" s="36" t="s">
        <v>40</v>
      </c>
      <c r="C746" s="98" t="s">
        <v>17</v>
      </c>
      <c r="D746" s="98" t="s">
        <v>350</v>
      </c>
      <c r="E746" s="110" t="s">
        <v>2517</v>
      </c>
      <c r="F746" s="99" t="n">
        <v>198</v>
      </c>
      <c r="G746" s="98" t="s">
        <v>333</v>
      </c>
      <c r="H746" s="112" t="n">
        <f aca="false">IF(AND(AE746="yes",ISNUMBER(AD746)),AD746,"")</f>
        <v>198</v>
      </c>
      <c r="I746" s="95" t="n">
        <f aca="false">IF(AND(AE746="yes",ISNUMBER(AD746),ISNUMBER(INDEX(Sources!$G$7:$G$10,MATCH(AB746,Sources!$B$7:$B$10,0)))),ROUND(AD746/INDEX(Sources!$G$7:$G$10,MATCH(AB746,Sources!$B$7:$B$10,0)),6),"")</f>
        <v>8.106908</v>
      </c>
      <c r="J746" s="98" t="s">
        <v>530</v>
      </c>
      <c r="K746" s="98" t="s">
        <v>2059</v>
      </c>
      <c r="L746" s="96"/>
      <c r="M746" s="110" t="s">
        <v>2518</v>
      </c>
      <c r="N746" s="117" t="s">
        <v>2519</v>
      </c>
      <c r="O746" s="110" t="s">
        <v>2516</v>
      </c>
      <c r="P746" s="110" t="s">
        <v>590</v>
      </c>
      <c r="Q746" s="118" t="n">
        <v>0.21</v>
      </c>
      <c r="R746" s="110" t="n">
        <v>1</v>
      </c>
      <c r="S746" s="110" t="s">
        <v>632</v>
      </c>
      <c r="T746" s="110" t="s">
        <v>530</v>
      </c>
      <c r="U746" s="110" t="s">
        <v>2062</v>
      </c>
      <c r="V746" s="119" t="n">
        <v>198</v>
      </c>
      <c r="W746" s="119"/>
      <c r="X746" s="110" t="s">
        <v>2063</v>
      </c>
      <c r="Y746" s="110" t="s">
        <v>2064</v>
      </c>
      <c r="Z746" s="110" t="s">
        <v>2344</v>
      </c>
      <c r="AA746" s="110" t="s">
        <v>537</v>
      </c>
      <c r="AB746" s="110" t="s">
        <v>333</v>
      </c>
      <c r="AC746" s="110" t="s">
        <v>538</v>
      </c>
      <c r="AD746" s="110" t="n">
        <f aca="false">IF(OR(F746="",Q746="",R746=""),"",ROUND(IF(P746="incl.",F746/(1+Q746),F746)/IF(S746="per pack",R746,1),2))</f>
        <v>198</v>
      </c>
      <c r="AE746" s="110" t="str">
        <f aca="false">IF(AND(AC746="yes",ISNUMBER(F746),IF(Compare!$H$5="All mapped",TRUE(),IF(Compare!$H$5="EXACT only",J746="EXACT",OR(J746="EXACT",J746="CLOSE")))),"yes","no")</f>
        <v>yes</v>
      </c>
      <c r="AF746" s="110" t="n">
        <f aca="false">IF(ISNUMBER(H746),COUNTIFS($B$7:$B$3000,B746,$C$7:$C$3000,C746,$H$7:$H$3000,"&lt;"&amp;H746,$AH$7:$AH$3000,"yes")+COUNTIFS($B$7:B746,B746,$C$7:C746,C746,$H$7:H746,H746,$AH$7:AH746,"yes"),"")</f>
        <v>2</v>
      </c>
      <c r="AG746" s="110" t="n">
        <f aca="false">IF(ISNUMBER(I746),COUNTIFS($B$7:$B$3000,B746,$C$7:$C$3000,C746,$I$7:$I$3000,"&lt;"&amp;I746,$AI$7:$AI$3000,"yes")+COUNTIFS($B$7:B746,B746,$C$7:C746,C746,$I$7:I746,I746,$AI$7:AI746,"yes"),"")</f>
        <v>2</v>
      </c>
      <c r="AH746" s="110" t="str">
        <f aca="false">IF(ISNUMBER(H746),"yes","no")</f>
        <v>yes</v>
      </c>
      <c r="AI746" s="110" t="str">
        <f aca="false">IF(ISNUMBER(I746),"yes","no")</f>
        <v>yes</v>
      </c>
      <c r="AJ746" s="120" t="n">
        <v>46297</v>
      </c>
      <c r="AK746" s="110"/>
    </row>
    <row r="747" customFormat="false" ht="79.5" hidden="false" customHeight="true" outlineLevel="0" collapsed="false">
      <c r="B747" s="36" t="s">
        <v>39</v>
      </c>
      <c r="C747" s="98" t="s">
        <v>17</v>
      </c>
      <c r="D747" s="98" t="s">
        <v>357</v>
      </c>
      <c r="E747" s="110" t="s">
        <v>2520</v>
      </c>
      <c r="F747" s="99" t="n">
        <v>5310</v>
      </c>
      <c r="G747" s="98" t="s">
        <v>333</v>
      </c>
      <c r="H747" s="112" t="n">
        <f aca="false">IF(AND(AE747="yes",ISNUMBER(AD747)),AD747,"")</f>
        <v>5310</v>
      </c>
      <c r="I747" s="95" t="n">
        <f aca="false">IF(AND(AE747="yes",ISNUMBER(AD747),ISNUMBER(INDEX(Sources!$G$7:$G$10,MATCH(AB747,Sources!$B$7:$B$10,0)))),ROUND(AD747/INDEX(Sources!$G$7:$G$10,MATCH(AB747,Sources!$B$7:$B$10,0)),6),"")</f>
        <v>217.412526</v>
      </c>
      <c r="J747" s="98" t="s">
        <v>702</v>
      </c>
      <c r="K747" s="98" t="s">
        <v>2059</v>
      </c>
      <c r="L747" s="96"/>
      <c r="M747" s="110" t="s">
        <v>2521</v>
      </c>
      <c r="N747" s="117" t="s">
        <v>2522</v>
      </c>
      <c r="O747" s="110" t="s">
        <v>2360</v>
      </c>
      <c r="P747" s="110" t="s">
        <v>590</v>
      </c>
      <c r="Q747" s="118" t="n">
        <v>0.21</v>
      </c>
      <c r="R747" s="110" t="n">
        <v>1</v>
      </c>
      <c r="S747" s="110" t="s">
        <v>632</v>
      </c>
      <c r="T747" s="110" t="s">
        <v>702</v>
      </c>
      <c r="U747" s="110" t="s">
        <v>2062</v>
      </c>
      <c r="V747" s="119" t="n">
        <v>5310</v>
      </c>
      <c r="W747" s="119"/>
      <c r="X747" s="110" t="s">
        <v>2063</v>
      </c>
      <c r="Y747" s="110" t="s">
        <v>2064</v>
      </c>
      <c r="Z747" s="110" t="s">
        <v>2486</v>
      </c>
      <c r="AA747" s="110" t="s">
        <v>537</v>
      </c>
      <c r="AB747" s="110" t="s">
        <v>333</v>
      </c>
      <c r="AC747" s="110" t="s">
        <v>538</v>
      </c>
      <c r="AD747" s="110" t="n">
        <f aca="false">IF(OR(F747="",Q747="",R747=""),"",ROUND(IF(P747="incl.",F747/(1+Q747),F747)/IF(S747="per pack",R747,1),2))</f>
        <v>5310</v>
      </c>
      <c r="AE747" s="110" t="str">
        <f aca="false">IF(AND(AC747="yes",ISNUMBER(F747),IF(Compare!$H$5="All mapped",TRUE(),IF(Compare!$H$5="EXACT only",J747="EXACT",OR(J747="EXACT",J747="CLOSE")))),"yes","no")</f>
        <v>yes</v>
      </c>
      <c r="AF747" s="110" t="n">
        <f aca="false">IF(ISNUMBER(H747),COUNTIFS($B$7:$B$3000,B747,$C$7:$C$3000,C747,$H$7:$H$3000,"&lt;"&amp;H747,$AH$7:$AH$3000,"yes")+COUNTIFS($B$7:B747,B747,$C$7:C747,C747,$H$7:H747,H747,$AH$7:AH747,"yes"),"")</f>
        <v>4</v>
      </c>
      <c r="AG747" s="110" t="n">
        <f aca="false">IF(ISNUMBER(I747),COUNTIFS($B$7:$B$3000,B747,$C$7:$C$3000,C747,$I$7:$I$3000,"&lt;"&amp;I747,$AI$7:$AI$3000,"yes")+COUNTIFS($B$7:B747,B747,$C$7:C747,C747,$I$7:I747,I747,$AI$7:AI747,"yes"),"")</f>
        <v>4</v>
      </c>
      <c r="AH747" s="110" t="str">
        <f aca="false">IF(ISNUMBER(H747),"yes","no")</f>
        <v>yes</v>
      </c>
      <c r="AI747" s="110" t="str">
        <f aca="false">IF(ISNUMBER(I747),"yes","no")</f>
        <v>yes</v>
      </c>
      <c r="AJ747" s="120" t="n">
        <v>46297</v>
      </c>
      <c r="AK747" s="110"/>
    </row>
    <row r="748" customFormat="false" ht="34.5" hidden="false" customHeight="true" outlineLevel="0" collapsed="false">
      <c r="B748" s="36" t="s">
        <v>40</v>
      </c>
      <c r="C748" s="98" t="s">
        <v>17</v>
      </c>
      <c r="D748" s="98" t="s">
        <v>357</v>
      </c>
      <c r="E748" s="110" t="s">
        <v>2523</v>
      </c>
      <c r="F748" s="99" t="n">
        <v>202.31</v>
      </c>
      <c r="G748" s="98" t="s">
        <v>333</v>
      </c>
      <c r="H748" s="112" t="n">
        <f aca="false">IF(AND(AE748="yes",ISNUMBER(AD748)),AD748,"")</f>
        <v>202.31</v>
      </c>
      <c r="I748" s="95" t="n">
        <f aca="false">IF(AND(AE748="yes",ISNUMBER(AD748),ISNUMBER(INDEX(Sources!$G$7:$G$10,MATCH(AB748,Sources!$B$7:$B$10,0)))),ROUND(AD748/INDEX(Sources!$G$7:$G$10,MATCH(AB748,Sources!$B$7:$B$10,0)),6),"")</f>
        <v>8.283376</v>
      </c>
      <c r="J748" s="98" t="s">
        <v>530</v>
      </c>
      <c r="K748" s="98" t="s">
        <v>2059</v>
      </c>
      <c r="L748" s="96"/>
      <c r="M748" s="110" t="s">
        <v>2524</v>
      </c>
      <c r="N748" s="117" t="s">
        <v>2525</v>
      </c>
      <c r="O748" s="110" t="s">
        <v>2360</v>
      </c>
      <c r="P748" s="110" t="s">
        <v>590</v>
      </c>
      <c r="Q748" s="118" t="n">
        <v>0.21</v>
      </c>
      <c r="R748" s="110" t="n">
        <v>1</v>
      </c>
      <c r="S748" s="110" t="s">
        <v>632</v>
      </c>
      <c r="T748" s="110" t="s">
        <v>530</v>
      </c>
      <c r="U748" s="110" t="s">
        <v>2062</v>
      </c>
      <c r="V748" s="119" t="n">
        <v>202.31</v>
      </c>
      <c r="W748" s="119"/>
      <c r="X748" s="110" t="s">
        <v>2063</v>
      </c>
      <c r="Y748" s="110" t="s">
        <v>2064</v>
      </c>
      <c r="Z748" s="110" t="s">
        <v>2125</v>
      </c>
      <c r="AA748" s="110" t="s">
        <v>537</v>
      </c>
      <c r="AB748" s="110" t="s">
        <v>333</v>
      </c>
      <c r="AC748" s="110" t="s">
        <v>538</v>
      </c>
      <c r="AD748" s="110" t="n">
        <f aca="false">IF(OR(F748="",Q748="",R748=""),"",ROUND(IF(P748="incl.",F748/(1+Q748),F748)/IF(S748="per pack",R748,1),2))</f>
        <v>202.31</v>
      </c>
      <c r="AE748" s="110" t="str">
        <f aca="false">IF(AND(AC748="yes",ISNUMBER(F748),IF(Compare!$H$5="All mapped",TRUE(),IF(Compare!$H$5="EXACT only",J748="EXACT",OR(J748="EXACT",J748="CLOSE")))),"yes","no")</f>
        <v>yes</v>
      </c>
      <c r="AF748" s="110" t="n">
        <f aca="false">IF(ISNUMBER(H748),COUNTIFS($B$7:$B$3000,B748,$C$7:$C$3000,C748,$H$7:$H$3000,"&lt;"&amp;H748,$AH$7:$AH$3000,"yes")+COUNTIFS($B$7:B748,B748,$C$7:C748,C748,$H$7:H748,H748,$AH$7:AH748,"yes"),"")</f>
        <v>3</v>
      </c>
      <c r="AG748" s="110" t="n">
        <f aca="false">IF(ISNUMBER(I748),COUNTIFS($B$7:$B$3000,B748,$C$7:$C$3000,C748,$I$7:$I$3000,"&lt;"&amp;I748,$AI$7:$AI$3000,"yes")+COUNTIFS($B$7:B748,B748,$C$7:C748,C748,$I$7:I748,I748,$AI$7:AI748,"yes"),"")</f>
        <v>3</v>
      </c>
      <c r="AH748" s="110" t="str">
        <f aca="false">IF(ISNUMBER(H748),"yes","no")</f>
        <v>yes</v>
      </c>
      <c r="AI748" s="110" t="str">
        <f aca="false">IF(ISNUMBER(I748),"yes","no")</f>
        <v>yes</v>
      </c>
      <c r="AJ748" s="120" t="n">
        <v>46297</v>
      </c>
      <c r="AK748" s="110"/>
    </row>
    <row r="749" customFormat="false" ht="57" hidden="false" customHeight="true" outlineLevel="0" collapsed="false">
      <c r="B749" s="36" t="s">
        <v>41</v>
      </c>
      <c r="C749" s="98" t="s">
        <v>17</v>
      </c>
      <c r="D749" s="98" t="s">
        <v>357</v>
      </c>
      <c r="E749" s="110" t="s">
        <v>2526</v>
      </c>
      <c r="F749" s="99" t="n">
        <v>5652.64</v>
      </c>
      <c r="G749" s="98" t="s">
        <v>333</v>
      </c>
      <c r="H749" s="112" t="str">
        <f aca="false">IF(AND(AE749="yes",ISNUMBER(AD749)),AD749,"")</f>
        <v/>
      </c>
      <c r="I749" s="95" t="str">
        <f aca="false">IF(AND(AE749="yes",ISNUMBER(AD749),ISNUMBER(INDEX(Sources!$G$7:$G$10,MATCH(AB749,Sources!$B$7:$B$10,0)))),ROUND(AD749/INDEX(Sources!$G$7:$G$10,MATCH(AB749,Sources!$B$7:$B$10,0)),6),"")</f>
        <v/>
      </c>
      <c r="J749" s="98" t="s">
        <v>629</v>
      </c>
      <c r="K749" s="98" t="s">
        <v>2059</v>
      </c>
      <c r="L749" s="96"/>
      <c r="M749" s="110" t="s">
        <v>2527</v>
      </c>
      <c r="N749" s="117" t="s">
        <v>2528</v>
      </c>
      <c r="O749" s="110" t="s">
        <v>2529</v>
      </c>
      <c r="P749" s="110" t="s">
        <v>590</v>
      </c>
      <c r="Q749" s="118" t="n">
        <v>0.21</v>
      </c>
      <c r="R749" s="110" t="n">
        <v>1</v>
      </c>
      <c r="S749" s="110" t="s">
        <v>632</v>
      </c>
      <c r="T749" s="110" t="s">
        <v>629</v>
      </c>
      <c r="U749" s="110" t="s">
        <v>2062</v>
      </c>
      <c r="V749" s="119" t="n">
        <v>5652.64</v>
      </c>
      <c r="W749" s="119"/>
      <c r="X749" s="110" t="s">
        <v>2063</v>
      </c>
      <c r="Y749" s="110" t="s">
        <v>2064</v>
      </c>
      <c r="Z749" s="110" t="s">
        <v>2530</v>
      </c>
      <c r="AA749" s="110" t="s">
        <v>537</v>
      </c>
      <c r="AB749" s="110" t="s">
        <v>333</v>
      </c>
      <c r="AC749" s="110" t="s">
        <v>538</v>
      </c>
      <c r="AD749" s="110" t="n">
        <f aca="false">IF(OR(F749="",Q749="",R749=""),"",ROUND(IF(P749="incl.",F749/(1+Q749),F749)/IF(S749="per pack",R749,1),2))</f>
        <v>5652.64</v>
      </c>
      <c r="AE749" s="110" t="str">
        <f aca="false">IF(AND(AC749="yes",ISNUMBER(F749),IF(Compare!$H$5="All mapped",TRUE(),IF(Compare!$H$5="EXACT only",J749="EXACT",OR(J749="EXACT",J749="CLOSE")))),"yes","no")</f>
        <v>no</v>
      </c>
      <c r="AF749" s="110" t="str">
        <f aca="false">IF(ISNUMBER(H749),COUNTIFS($B$7:$B$3000,B749,$C$7:$C$3000,C749,$H$7:$H$3000,"&lt;"&amp;H749,$AH$7:$AH$3000,"yes")+COUNTIFS($B$7:B749,B749,$C$7:C749,C749,$H$7:H749,H749,$AH$7:AH749,"yes"),"")</f>
        <v/>
      </c>
      <c r="AG749" s="110" t="str">
        <f aca="false">IF(ISNUMBER(I749),COUNTIFS($B$7:$B$3000,B749,$C$7:$C$3000,C749,$I$7:$I$3000,"&lt;"&amp;I749,$AI$7:$AI$3000,"yes")+COUNTIFS($B$7:B749,B749,$C$7:C749,C749,$I$7:I749,I749,$AI$7:AI749,"yes"),"")</f>
        <v/>
      </c>
      <c r="AH749" s="110" t="str">
        <f aca="false">IF(ISNUMBER(H749),"yes","no")</f>
        <v>no</v>
      </c>
      <c r="AI749" s="110" t="str">
        <f aca="false">IF(ISNUMBER(I749),"yes","no")</f>
        <v>no</v>
      </c>
      <c r="AJ749" s="120" t="n">
        <v>46297</v>
      </c>
      <c r="AK749" s="110"/>
    </row>
    <row r="750" customFormat="false" ht="79.5" hidden="false" customHeight="true" outlineLevel="0" collapsed="false">
      <c r="B750" s="36" t="s">
        <v>41</v>
      </c>
      <c r="C750" s="98" t="s">
        <v>17</v>
      </c>
      <c r="D750" s="98" t="s">
        <v>361</v>
      </c>
      <c r="E750" s="110" t="s">
        <v>2531</v>
      </c>
      <c r="F750" s="99" t="n">
        <v>2926</v>
      </c>
      <c r="G750" s="98" t="s">
        <v>333</v>
      </c>
      <c r="H750" s="112" t="n">
        <f aca="false">IF(AND(AE750="yes",ISNUMBER(AD750)),AD750,"")</f>
        <v>2418.18</v>
      </c>
      <c r="I750" s="95" t="n">
        <f aca="false">IF(AND(AE750="yes",ISNUMBER(AD750),ISNUMBER(INDEX(Sources!$G$7:$G$10,MATCH(AB750,Sources!$B$7:$B$10,0)))),ROUND(AD750/INDEX(Sources!$G$7:$G$10,MATCH(AB750,Sources!$B$7:$B$10,0)),6),"")</f>
        <v>99.00991</v>
      </c>
      <c r="J750" s="98" t="s">
        <v>702</v>
      </c>
      <c r="K750" s="98" t="s">
        <v>2059</v>
      </c>
      <c r="L750" s="96"/>
      <c r="M750" s="110" t="s">
        <v>2532</v>
      </c>
      <c r="N750" s="117" t="s">
        <v>2533</v>
      </c>
      <c r="O750" s="110" t="s">
        <v>642</v>
      </c>
      <c r="P750" s="110" t="s">
        <v>265</v>
      </c>
      <c r="Q750" s="118" t="n">
        <v>0.21</v>
      </c>
      <c r="R750" s="110" t="n">
        <v>1</v>
      </c>
      <c r="S750" s="110" t="s">
        <v>632</v>
      </c>
      <c r="T750" s="110" t="s">
        <v>702</v>
      </c>
      <c r="U750" s="110" t="s">
        <v>2364</v>
      </c>
      <c r="V750" s="119" t="n">
        <v>2418.18</v>
      </c>
      <c r="W750" s="119"/>
      <c r="X750" s="110" t="s">
        <v>2063</v>
      </c>
      <c r="Y750" s="110" t="s">
        <v>2064</v>
      </c>
      <c r="Z750" s="110" t="s">
        <v>2534</v>
      </c>
      <c r="AA750" s="110" t="s">
        <v>537</v>
      </c>
      <c r="AB750" s="110" t="s">
        <v>333</v>
      </c>
      <c r="AC750" s="110" t="s">
        <v>538</v>
      </c>
      <c r="AD750" s="110" t="n">
        <f aca="false">IF(OR(F750="",Q750="",R750=""),"",ROUND(IF(P750="incl.",F750/(1+Q750),F750)/IF(S750="per pack",R750,1),2))</f>
        <v>2418.18</v>
      </c>
      <c r="AE750" s="110" t="str">
        <f aca="false">IF(AND(AC750="yes",ISNUMBER(F750),IF(Compare!$H$5="All mapped",TRUE(),IF(Compare!$H$5="EXACT only",J750="EXACT",OR(J750="EXACT",J750="CLOSE")))),"yes","no")</f>
        <v>yes</v>
      </c>
      <c r="AF750" s="110" t="n">
        <f aca="false">IF(ISNUMBER(H750),COUNTIFS($B$7:$B$3000,B750,$C$7:$C$3000,C750,$H$7:$H$3000,"&lt;"&amp;H750,$AH$7:$AH$3000,"yes")+COUNTIFS($B$7:B750,B750,$C$7:C750,C750,$H$7:H750,H750,$AH$7:AH750,"yes"),"")</f>
        <v>1</v>
      </c>
      <c r="AG750" s="110" t="n">
        <f aca="false">IF(ISNUMBER(I750),COUNTIFS($B$7:$B$3000,B750,$C$7:$C$3000,C750,$I$7:$I$3000,"&lt;"&amp;I750,$AI$7:$AI$3000,"yes")+COUNTIFS($B$7:B750,B750,$C$7:C750,C750,$I$7:I750,I750,$AI$7:AI750,"yes"),"")</f>
        <v>1</v>
      </c>
      <c r="AH750" s="110" t="str">
        <f aca="false">IF(ISNUMBER(H750),"yes","no")</f>
        <v>yes</v>
      </c>
      <c r="AI750" s="110" t="str">
        <f aca="false">IF(ISNUMBER(I750),"yes","no")</f>
        <v>yes</v>
      </c>
      <c r="AJ750" s="120" t="n">
        <v>46297</v>
      </c>
      <c r="AK750" s="110"/>
    </row>
    <row r="751" customFormat="false" ht="34.5" hidden="false" customHeight="true" outlineLevel="0" collapsed="false">
      <c r="B751" s="36" t="s">
        <v>55</v>
      </c>
      <c r="C751" s="98" t="s">
        <v>16</v>
      </c>
      <c r="D751" s="98" t="s">
        <v>296</v>
      </c>
      <c r="E751" s="110" t="s">
        <v>2535</v>
      </c>
      <c r="F751" s="99" t="n">
        <v>24.75</v>
      </c>
      <c r="G751" s="98" t="s">
        <v>244</v>
      </c>
      <c r="H751" s="112" t="str">
        <f aca="false">IF(AND(AE751="yes",ISNUMBER(AD751)),AD751,"")</f>
        <v/>
      </c>
      <c r="I751" s="95" t="str">
        <f aca="false">IF(AND(AE751="yes",ISNUMBER(AD751),ISNUMBER(INDEX(Sources!$G$7:$G$10,MATCH(AB751,Sources!$B$7:$B$10,0)))),ROUND(AD751/INDEX(Sources!$G$7:$G$10,MATCH(AB751,Sources!$B$7:$B$10,0)),6),"")</f>
        <v/>
      </c>
      <c r="J751" s="98" t="s">
        <v>956</v>
      </c>
      <c r="K751" s="98" t="s">
        <v>2059</v>
      </c>
      <c r="L751" s="96"/>
      <c r="M751" s="110" t="s">
        <v>2536</v>
      </c>
      <c r="N751" s="117" t="s">
        <v>2537</v>
      </c>
      <c r="O751" s="110"/>
      <c r="P751" s="110" t="s">
        <v>590</v>
      </c>
      <c r="Q751" s="118" t="n">
        <v>0.19</v>
      </c>
      <c r="R751" s="110" t="n">
        <v>1</v>
      </c>
      <c r="S751" s="110" t="s">
        <v>632</v>
      </c>
      <c r="T751" s="110" t="s">
        <v>956</v>
      </c>
      <c r="U751" s="110" t="s">
        <v>2062</v>
      </c>
      <c r="V751" s="119" t="n">
        <v>24.75</v>
      </c>
      <c r="W751" s="119"/>
      <c r="X751" s="110" t="s">
        <v>2063</v>
      </c>
      <c r="Y751" s="110" t="s">
        <v>2064</v>
      </c>
      <c r="Z751" s="110" t="s">
        <v>2538</v>
      </c>
      <c r="AA751" s="110" t="s">
        <v>537</v>
      </c>
      <c r="AB751" s="110" t="s">
        <v>244</v>
      </c>
      <c r="AC751" s="110" t="s">
        <v>538</v>
      </c>
      <c r="AD751" s="110" t="n">
        <f aca="false">IF(OR(F751="",Q751="",R751=""),"",ROUND(IF(P751="incl.",F751/(1+Q751),F751)/IF(S751="per pack",R751,1),2))</f>
        <v>24.75</v>
      </c>
      <c r="AE751" s="110" t="str">
        <f aca="false">IF(AND(AC751="yes",ISNUMBER(F751),IF(Compare!$H$5="All mapped",TRUE(),IF(Compare!$H$5="EXACT only",J751="EXACT",OR(J751="EXACT",J751="CLOSE")))),"yes","no")</f>
        <v>no</v>
      </c>
      <c r="AF751" s="110" t="str">
        <f aca="false">IF(ISNUMBER(H751),COUNTIFS($B$7:$B$3000,B751,$C$7:$C$3000,C751,$H$7:$H$3000,"&lt;"&amp;H751,$AH$7:$AH$3000,"yes")+COUNTIFS($B$7:B751,B751,$C$7:C751,C751,$H$7:H751,H751,$AH$7:AH751,"yes"),"")</f>
        <v/>
      </c>
      <c r="AG751" s="110" t="str">
        <f aca="false">IF(ISNUMBER(I751),COUNTIFS($B$7:$B$3000,B751,$C$7:$C$3000,C751,$I$7:$I$3000,"&lt;"&amp;I751,$AI$7:$AI$3000,"yes")+COUNTIFS($B$7:B751,B751,$C$7:C751,C751,$I$7:I751,I751,$AI$7:AI751,"yes"),"")</f>
        <v/>
      </c>
      <c r="AH751" s="110" t="str">
        <f aca="false">IF(ISNUMBER(H751),"yes","no")</f>
        <v>no</v>
      </c>
      <c r="AI751" s="110" t="str">
        <f aca="false">IF(ISNUMBER(I751),"yes","no")</f>
        <v>no</v>
      </c>
      <c r="AJ751" s="120" t="n">
        <v>46297</v>
      </c>
      <c r="AK751" s="110"/>
    </row>
    <row r="752" customFormat="false" ht="34.5" hidden="false" customHeight="true" outlineLevel="0" collapsed="false">
      <c r="B752" s="36" t="s">
        <v>60</v>
      </c>
      <c r="C752" s="98" t="s">
        <v>16</v>
      </c>
      <c r="D752" s="98" t="s">
        <v>296</v>
      </c>
      <c r="E752" s="110" t="s">
        <v>2539</v>
      </c>
      <c r="F752" s="99" t="n">
        <v>26.95</v>
      </c>
      <c r="G752" s="98" t="s">
        <v>244</v>
      </c>
      <c r="H752" s="112" t="n">
        <f aca="false">IF(AND(AE752="yes",ISNUMBER(AD752)),AD752,"")</f>
        <v>26.95</v>
      </c>
      <c r="I752" s="95" t="n">
        <f aca="false">IF(AND(AE752="yes",ISNUMBER(AD752),ISNUMBER(INDEX(Sources!$G$7:$G$10,MATCH(AB752,Sources!$B$7:$B$10,0)))),ROUND(AD752/INDEX(Sources!$G$7:$G$10,MATCH(AB752,Sources!$B$7:$B$10,0)),6),"")</f>
        <v>26.95</v>
      </c>
      <c r="J752" s="98" t="s">
        <v>702</v>
      </c>
      <c r="K752" s="98" t="s">
        <v>2059</v>
      </c>
      <c r="L752" s="96"/>
      <c r="M752" s="110" t="s">
        <v>2540</v>
      </c>
      <c r="N752" s="117" t="s">
        <v>2541</v>
      </c>
      <c r="O752" s="110" t="s">
        <v>1030</v>
      </c>
      <c r="P752" s="110" t="s">
        <v>590</v>
      </c>
      <c r="Q752" s="118" t="n">
        <v>0.19</v>
      </c>
      <c r="R752" s="110" t="n">
        <v>1</v>
      </c>
      <c r="S752" s="110" t="s">
        <v>632</v>
      </c>
      <c r="T752" s="110" t="s">
        <v>702</v>
      </c>
      <c r="U752" s="110" t="s">
        <v>2062</v>
      </c>
      <c r="V752" s="119" t="n">
        <v>26.95</v>
      </c>
      <c r="W752" s="119"/>
      <c r="X752" s="110" t="s">
        <v>2063</v>
      </c>
      <c r="Y752" s="110" t="s">
        <v>2064</v>
      </c>
      <c r="Z752" s="110" t="s">
        <v>2065</v>
      </c>
      <c r="AA752" s="110" t="s">
        <v>537</v>
      </c>
      <c r="AB752" s="110" t="s">
        <v>244</v>
      </c>
      <c r="AC752" s="110" t="s">
        <v>538</v>
      </c>
      <c r="AD752" s="110" t="n">
        <f aca="false">IF(OR(F752="",Q752="",R752=""),"",ROUND(IF(P752="incl.",F752/(1+Q752),F752)/IF(S752="per pack",R752,1),2))</f>
        <v>26.95</v>
      </c>
      <c r="AE752" s="110" t="str">
        <f aca="false">IF(AND(AC752="yes",ISNUMBER(F752),IF(Compare!$H$5="All mapped",TRUE(),IF(Compare!$H$5="EXACT only",J752="EXACT",OR(J752="EXACT",J752="CLOSE")))),"yes","no")</f>
        <v>yes</v>
      </c>
      <c r="AF752" s="110" t="n">
        <f aca="false">IF(ISNUMBER(H752),COUNTIFS($B$7:$B$3000,B752,$C$7:$C$3000,C752,$H$7:$H$3000,"&lt;"&amp;H752,$AH$7:$AH$3000,"yes")+COUNTIFS($B$7:B752,B752,$C$7:C752,C752,$H$7:H752,H752,$AH$7:AH752,"yes"),"")</f>
        <v>5</v>
      </c>
      <c r="AG752" s="110" t="n">
        <f aca="false">IF(ISNUMBER(I752),COUNTIFS($B$7:$B$3000,B752,$C$7:$C$3000,C752,$I$7:$I$3000,"&lt;"&amp;I752,$AI$7:$AI$3000,"yes")+COUNTIFS($B$7:B752,B752,$C$7:C752,C752,$I$7:I752,I752,$AI$7:AI752,"yes"),"")</f>
        <v>5</v>
      </c>
      <c r="AH752" s="110" t="str">
        <f aca="false">IF(ISNUMBER(H752),"yes","no")</f>
        <v>yes</v>
      </c>
      <c r="AI752" s="110" t="str">
        <f aca="false">IF(ISNUMBER(I752),"yes","no")</f>
        <v>yes</v>
      </c>
      <c r="AJ752" s="120" t="n">
        <v>46297</v>
      </c>
      <c r="AK752" s="110"/>
    </row>
    <row r="753" customFormat="false" ht="34.5" hidden="false" customHeight="true" outlineLevel="0" collapsed="false">
      <c r="B753" s="36" t="s">
        <v>33</v>
      </c>
      <c r="C753" s="98" t="s">
        <v>16</v>
      </c>
      <c r="D753" s="98" t="s">
        <v>300</v>
      </c>
      <c r="E753" s="110" t="s">
        <v>2542</v>
      </c>
      <c r="F753" s="99" t="n">
        <v>9.8</v>
      </c>
      <c r="G753" s="98" t="s">
        <v>244</v>
      </c>
      <c r="H753" s="112" t="str">
        <f aca="false">IF(AND(AE753="yes",ISNUMBER(AD753)),AD753,"")</f>
        <v/>
      </c>
      <c r="I753" s="95" t="str">
        <f aca="false">IF(AND(AE753="yes",ISNUMBER(AD753),ISNUMBER(INDEX(Sources!$G$7:$G$10,MATCH(AB753,Sources!$B$7:$B$10,0)))),ROUND(AD753/INDEX(Sources!$G$7:$G$10,MATCH(AB753,Sources!$B$7:$B$10,0)),6),"")</f>
        <v/>
      </c>
      <c r="J753" s="98" t="s">
        <v>629</v>
      </c>
      <c r="K753" s="98" t="s">
        <v>2059</v>
      </c>
      <c r="L753" s="96"/>
      <c r="M753" s="110" t="s">
        <v>2543</v>
      </c>
      <c r="N753" s="117" t="s">
        <v>2544</v>
      </c>
      <c r="O753" s="110" t="s">
        <v>646</v>
      </c>
      <c r="P753" s="110" t="s">
        <v>590</v>
      </c>
      <c r="Q753" s="118" t="n">
        <v>0.19</v>
      </c>
      <c r="R753" s="110" t="n">
        <v>1</v>
      </c>
      <c r="S753" s="110" t="s">
        <v>632</v>
      </c>
      <c r="T753" s="110" t="s">
        <v>629</v>
      </c>
      <c r="U753" s="110" t="s">
        <v>2062</v>
      </c>
      <c r="V753" s="119" t="n">
        <v>9.8</v>
      </c>
      <c r="W753" s="119"/>
      <c r="X753" s="110" t="s">
        <v>2063</v>
      </c>
      <c r="Y753" s="110" t="s">
        <v>2064</v>
      </c>
      <c r="Z753" s="110" t="s">
        <v>2545</v>
      </c>
      <c r="AA753" s="110" t="s">
        <v>537</v>
      </c>
      <c r="AB753" s="110" t="s">
        <v>244</v>
      </c>
      <c r="AC753" s="110" t="s">
        <v>538</v>
      </c>
      <c r="AD753" s="110" t="n">
        <f aca="false">IF(OR(F753="",Q753="",R753=""),"",ROUND(IF(P753="incl.",F753/(1+Q753),F753)/IF(S753="per pack",R753,1),2))</f>
        <v>9.8</v>
      </c>
      <c r="AE753" s="110" t="str">
        <f aca="false">IF(AND(AC753="yes",ISNUMBER(F753),IF(Compare!$H$5="All mapped",TRUE(),IF(Compare!$H$5="EXACT only",J753="EXACT",OR(J753="EXACT",J753="CLOSE")))),"yes","no")</f>
        <v>no</v>
      </c>
      <c r="AF753" s="110" t="str">
        <f aca="false">IF(ISNUMBER(H753),COUNTIFS($B$7:$B$3000,B753,$C$7:$C$3000,C753,$H$7:$H$3000,"&lt;"&amp;H753,$AH$7:$AH$3000,"yes")+COUNTIFS($B$7:B753,B753,$C$7:C753,C753,$H$7:H753,H753,$AH$7:AH753,"yes"),"")</f>
        <v/>
      </c>
      <c r="AG753" s="110" t="str">
        <f aca="false">IF(ISNUMBER(I753),COUNTIFS($B$7:$B$3000,B753,$C$7:$C$3000,C753,$I$7:$I$3000,"&lt;"&amp;I753,$AI$7:$AI$3000,"yes")+COUNTIFS($B$7:B753,B753,$C$7:C753,C753,$I$7:I753,I753,$AI$7:AI753,"yes"),"")</f>
        <v/>
      </c>
      <c r="AH753" s="110" t="str">
        <f aca="false">IF(ISNUMBER(H753),"yes","no")</f>
        <v>no</v>
      </c>
      <c r="AI753" s="110" t="str">
        <f aca="false">IF(ISNUMBER(I753),"yes","no")</f>
        <v>no</v>
      </c>
      <c r="AJ753" s="120" t="n">
        <v>46297</v>
      </c>
      <c r="AK753" s="110"/>
    </row>
    <row r="754" customFormat="false" ht="34.5" hidden="false" customHeight="true" outlineLevel="0" collapsed="false">
      <c r="B754" s="36" t="s">
        <v>29</v>
      </c>
      <c r="C754" s="98" t="s">
        <v>16</v>
      </c>
      <c r="D754" s="98" t="s">
        <v>300</v>
      </c>
      <c r="E754" s="110" t="s">
        <v>2546</v>
      </c>
      <c r="F754" s="99" t="n">
        <v>20.25</v>
      </c>
      <c r="G754" s="98" t="s">
        <v>244</v>
      </c>
      <c r="H754" s="112" t="n">
        <f aca="false">IF(AND(AE754="yes",ISNUMBER(AD754)),AD754,"")</f>
        <v>20.25</v>
      </c>
      <c r="I754" s="95" t="n">
        <f aca="false">IF(AND(AE754="yes",ISNUMBER(AD754),ISNUMBER(INDEX(Sources!$G$7:$G$10,MATCH(AB754,Sources!$B$7:$B$10,0)))),ROUND(AD754/INDEX(Sources!$G$7:$G$10,MATCH(AB754,Sources!$B$7:$B$10,0)),6),"")</f>
        <v>20.25</v>
      </c>
      <c r="J754" s="98" t="s">
        <v>530</v>
      </c>
      <c r="K754" s="98" t="s">
        <v>2059</v>
      </c>
      <c r="L754" s="96"/>
      <c r="M754" s="110" t="s">
        <v>2547</v>
      </c>
      <c r="N754" s="117" t="s">
        <v>2548</v>
      </c>
      <c r="O754" s="110" t="s">
        <v>603</v>
      </c>
      <c r="P754" s="110" t="s">
        <v>590</v>
      </c>
      <c r="Q754" s="118" t="n">
        <v>0.19</v>
      </c>
      <c r="R754" s="110" t="n">
        <v>1</v>
      </c>
      <c r="S754" s="110" t="s">
        <v>632</v>
      </c>
      <c r="T754" s="110" t="s">
        <v>530</v>
      </c>
      <c r="U754" s="110" t="s">
        <v>2062</v>
      </c>
      <c r="V754" s="119" t="n">
        <v>20.25</v>
      </c>
      <c r="W754" s="119"/>
      <c r="X754" s="110" t="s">
        <v>2063</v>
      </c>
      <c r="Y754" s="110" t="s">
        <v>2064</v>
      </c>
      <c r="Z754" s="110" t="s">
        <v>2549</v>
      </c>
      <c r="AA754" s="110" t="s">
        <v>537</v>
      </c>
      <c r="AB754" s="110" t="s">
        <v>244</v>
      </c>
      <c r="AC754" s="110" t="s">
        <v>538</v>
      </c>
      <c r="AD754" s="110" t="n">
        <f aca="false">IF(OR(F754="",Q754="",R754=""),"",ROUND(IF(P754="incl.",F754/(1+Q754),F754)/IF(S754="per pack",R754,1),2))</f>
        <v>20.25</v>
      </c>
      <c r="AE754" s="110" t="str">
        <f aca="false">IF(AND(AC754="yes",ISNUMBER(F754),IF(Compare!$H$5="All mapped",TRUE(),IF(Compare!$H$5="EXACT only",J754="EXACT",OR(J754="EXACT",J754="CLOSE")))),"yes","no")</f>
        <v>yes</v>
      </c>
      <c r="AF754" s="110" t="n">
        <f aca="false">IF(ISNUMBER(H754),COUNTIFS($B$7:$B$3000,B754,$C$7:$C$3000,C754,$H$7:$H$3000,"&lt;"&amp;H754,$AH$7:$AH$3000,"yes")+COUNTIFS($B$7:B754,B754,$C$7:C754,C754,$H$7:H754,H754,$AH$7:AH754,"yes"),"")</f>
        <v>3</v>
      </c>
      <c r="AG754" s="110" t="n">
        <f aca="false">IF(ISNUMBER(I754),COUNTIFS($B$7:$B$3000,B754,$C$7:$C$3000,C754,$I$7:$I$3000,"&lt;"&amp;I754,$AI$7:$AI$3000,"yes")+COUNTIFS($B$7:B754,B754,$C$7:C754,C754,$I$7:I754,I754,$AI$7:AI754,"yes"),"")</f>
        <v>3</v>
      </c>
      <c r="AH754" s="110" t="str">
        <f aca="false">IF(ISNUMBER(H754),"yes","no")</f>
        <v>yes</v>
      </c>
      <c r="AI754" s="110" t="str">
        <f aca="false">IF(ISNUMBER(I754),"yes","no")</f>
        <v>yes</v>
      </c>
      <c r="AJ754" s="120" t="n">
        <v>46297</v>
      </c>
      <c r="AK754" s="110"/>
    </row>
    <row r="755" customFormat="false" ht="34.5" hidden="false" customHeight="true" outlineLevel="0" collapsed="false">
      <c r="B755" s="36" t="s">
        <v>31</v>
      </c>
      <c r="C755" s="98" t="s">
        <v>16</v>
      </c>
      <c r="D755" s="98" t="s">
        <v>300</v>
      </c>
      <c r="E755" s="110" t="s">
        <v>2550</v>
      </c>
      <c r="F755" s="99" t="n">
        <v>31.7</v>
      </c>
      <c r="G755" s="98" t="s">
        <v>244</v>
      </c>
      <c r="H755" s="112" t="n">
        <f aca="false">IF(AND(AE755="yes",ISNUMBER(AD755)),AD755,"")</f>
        <v>31.7</v>
      </c>
      <c r="I755" s="95" t="n">
        <f aca="false">IF(AND(AE755="yes",ISNUMBER(AD755),ISNUMBER(INDEX(Sources!$G$7:$G$10,MATCH(AB755,Sources!$B$7:$B$10,0)))),ROUND(AD755/INDEX(Sources!$G$7:$G$10,MATCH(AB755,Sources!$B$7:$B$10,0)),6),"")</f>
        <v>31.7</v>
      </c>
      <c r="J755" s="98" t="s">
        <v>530</v>
      </c>
      <c r="K755" s="98" t="s">
        <v>2059</v>
      </c>
      <c r="L755" s="96"/>
      <c r="M755" s="110" t="s">
        <v>2551</v>
      </c>
      <c r="N755" s="117" t="s">
        <v>2552</v>
      </c>
      <c r="O755" s="110" t="s">
        <v>2553</v>
      </c>
      <c r="P755" s="110" t="s">
        <v>590</v>
      </c>
      <c r="Q755" s="118" t="n">
        <v>0.19</v>
      </c>
      <c r="R755" s="110" t="n">
        <v>1</v>
      </c>
      <c r="S755" s="110" t="s">
        <v>632</v>
      </c>
      <c r="T755" s="110" t="s">
        <v>530</v>
      </c>
      <c r="U755" s="110" t="s">
        <v>2062</v>
      </c>
      <c r="V755" s="119" t="n">
        <v>31.7</v>
      </c>
      <c r="W755" s="119"/>
      <c r="X755" s="110" t="s">
        <v>2063</v>
      </c>
      <c r="Y755" s="110" t="s">
        <v>2064</v>
      </c>
      <c r="Z755" s="110" t="s">
        <v>2549</v>
      </c>
      <c r="AA755" s="110" t="s">
        <v>537</v>
      </c>
      <c r="AB755" s="110" t="s">
        <v>244</v>
      </c>
      <c r="AC755" s="110" t="s">
        <v>538</v>
      </c>
      <c r="AD755" s="110" t="n">
        <f aca="false">IF(OR(F755="",Q755="",R755=""),"",ROUND(IF(P755="incl.",F755/(1+Q755),F755)/IF(S755="per pack",R755,1),2))</f>
        <v>31.7</v>
      </c>
      <c r="AE755" s="110" t="str">
        <f aca="false">IF(AND(AC755="yes",ISNUMBER(F755),IF(Compare!$H$5="All mapped",TRUE(),IF(Compare!$H$5="EXACT only",J755="EXACT",OR(J755="EXACT",J755="CLOSE")))),"yes","no")</f>
        <v>yes</v>
      </c>
      <c r="AF755" s="110" t="n">
        <f aca="false">IF(ISNUMBER(H755),COUNTIFS($B$7:$B$3000,B755,$C$7:$C$3000,C755,$H$7:$H$3000,"&lt;"&amp;H755,$AH$7:$AH$3000,"yes")+COUNTIFS($B$7:B755,B755,$C$7:C755,C755,$H$7:H755,H755,$AH$7:AH755,"yes"),"")</f>
        <v>4</v>
      </c>
      <c r="AG755" s="110" t="n">
        <f aca="false">IF(ISNUMBER(I755),COUNTIFS($B$7:$B$3000,B755,$C$7:$C$3000,C755,$I$7:$I$3000,"&lt;"&amp;I755,$AI$7:$AI$3000,"yes")+COUNTIFS($B$7:B755,B755,$C$7:C755,C755,$I$7:I755,I755,$AI$7:AI755,"yes"),"")</f>
        <v>4</v>
      </c>
      <c r="AH755" s="110" t="str">
        <f aca="false">IF(ISNUMBER(H755),"yes","no")</f>
        <v>yes</v>
      </c>
      <c r="AI755" s="110" t="str">
        <f aca="false">IF(ISNUMBER(I755),"yes","no")</f>
        <v>yes</v>
      </c>
      <c r="AJ755" s="120" t="n">
        <v>46297</v>
      </c>
      <c r="AK755" s="110"/>
    </row>
    <row r="756" customFormat="false" ht="34.5" hidden="false" customHeight="true" outlineLevel="0" collapsed="false">
      <c r="B756" s="36" t="s">
        <v>63</v>
      </c>
      <c r="C756" s="98" t="s">
        <v>16</v>
      </c>
      <c r="D756" s="98" t="s">
        <v>300</v>
      </c>
      <c r="E756" s="110" t="s">
        <v>2542</v>
      </c>
      <c r="F756" s="99" t="n">
        <v>9.8</v>
      </c>
      <c r="G756" s="98" t="s">
        <v>244</v>
      </c>
      <c r="H756" s="112" t="str">
        <f aca="false">IF(AND(AE756="yes",ISNUMBER(AD756)),AD756,"")</f>
        <v/>
      </c>
      <c r="I756" s="95" t="str">
        <f aca="false">IF(AND(AE756="yes",ISNUMBER(AD756),ISNUMBER(INDEX(Sources!$G$7:$G$10,MATCH(AB756,Sources!$B$7:$B$10,0)))),ROUND(AD756/INDEX(Sources!$G$7:$G$10,MATCH(AB756,Sources!$B$7:$B$10,0)),6),"")</f>
        <v/>
      </c>
      <c r="J756" s="98" t="s">
        <v>629</v>
      </c>
      <c r="K756" s="98" t="s">
        <v>2059</v>
      </c>
      <c r="L756" s="96"/>
      <c r="M756" s="110" t="s">
        <v>2554</v>
      </c>
      <c r="N756" s="117" t="s">
        <v>2544</v>
      </c>
      <c r="O756" s="110" t="s">
        <v>646</v>
      </c>
      <c r="P756" s="110" t="s">
        <v>590</v>
      </c>
      <c r="Q756" s="118" t="n">
        <v>0.19</v>
      </c>
      <c r="R756" s="110" t="n">
        <v>1</v>
      </c>
      <c r="S756" s="110" t="s">
        <v>632</v>
      </c>
      <c r="T756" s="110" t="s">
        <v>629</v>
      </c>
      <c r="U756" s="110" t="s">
        <v>2062</v>
      </c>
      <c r="V756" s="119" t="n">
        <v>9.8</v>
      </c>
      <c r="W756" s="119"/>
      <c r="X756" s="110" t="s">
        <v>2063</v>
      </c>
      <c r="Y756" s="110" t="s">
        <v>2064</v>
      </c>
      <c r="Z756" s="110" t="s">
        <v>2545</v>
      </c>
      <c r="AA756" s="110" t="s">
        <v>537</v>
      </c>
      <c r="AB756" s="110" t="s">
        <v>244</v>
      </c>
      <c r="AC756" s="110" t="s">
        <v>538</v>
      </c>
      <c r="AD756" s="110" t="n">
        <f aca="false">IF(OR(F756="",Q756="",R756=""),"",ROUND(IF(P756="incl.",F756/(1+Q756),F756)/IF(S756="per pack",R756,1),2))</f>
        <v>9.8</v>
      </c>
      <c r="AE756" s="110" t="str">
        <f aca="false">IF(AND(AC756="yes",ISNUMBER(F756),IF(Compare!$H$5="All mapped",TRUE(),IF(Compare!$H$5="EXACT only",J756="EXACT",OR(J756="EXACT",J756="CLOSE")))),"yes","no")</f>
        <v>no</v>
      </c>
      <c r="AF756" s="110" t="str">
        <f aca="false">IF(ISNUMBER(H756),COUNTIFS($B$7:$B$3000,B756,$C$7:$C$3000,C756,$H$7:$H$3000,"&lt;"&amp;H756,$AH$7:$AH$3000,"yes")+COUNTIFS($B$7:B756,B756,$C$7:C756,C756,$H$7:H756,H756,$AH$7:AH756,"yes"),"")</f>
        <v/>
      </c>
      <c r="AG756" s="110" t="str">
        <f aca="false">IF(ISNUMBER(I756),COUNTIFS($B$7:$B$3000,B756,$C$7:$C$3000,C756,$I$7:$I$3000,"&lt;"&amp;I756,$AI$7:$AI$3000,"yes")+COUNTIFS($B$7:B756,B756,$C$7:C756,C756,$I$7:I756,I756,$AI$7:AI756,"yes"),"")</f>
        <v/>
      </c>
      <c r="AH756" s="110" t="str">
        <f aca="false">IF(ISNUMBER(H756),"yes","no")</f>
        <v>no</v>
      </c>
      <c r="AI756" s="110" t="str">
        <f aca="false">IF(ISNUMBER(I756),"yes","no")</f>
        <v>no</v>
      </c>
      <c r="AJ756" s="120" t="n">
        <v>46297</v>
      </c>
      <c r="AK756" s="110"/>
    </row>
    <row r="757" customFormat="false" ht="45.75" hidden="false" customHeight="true" outlineLevel="0" collapsed="false">
      <c r="B757" s="36" t="s">
        <v>55</v>
      </c>
      <c r="C757" s="98" t="s">
        <v>16</v>
      </c>
      <c r="D757" s="98" t="s">
        <v>300</v>
      </c>
      <c r="E757" s="110" t="s">
        <v>2555</v>
      </c>
      <c r="F757" s="99" t="n">
        <v>13.35</v>
      </c>
      <c r="G757" s="98" t="s">
        <v>244</v>
      </c>
      <c r="H757" s="112" t="str">
        <f aca="false">IF(AND(AE757="yes",ISNUMBER(AD757)),AD757,"")</f>
        <v/>
      </c>
      <c r="I757" s="95" t="str">
        <f aca="false">IF(AND(AE757="yes",ISNUMBER(AD757),ISNUMBER(INDEX(Sources!$G$7:$G$10,MATCH(AB757,Sources!$B$7:$B$10,0)))),ROUND(AD757/INDEX(Sources!$G$7:$G$10,MATCH(AB757,Sources!$B$7:$B$10,0)),6),"")</f>
        <v/>
      </c>
      <c r="J757" s="98" t="s">
        <v>629</v>
      </c>
      <c r="K757" s="98" t="s">
        <v>2059</v>
      </c>
      <c r="L757" s="96"/>
      <c r="M757" s="110" t="s">
        <v>2556</v>
      </c>
      <c r="N757" s="117" t="s">
        <v>2557</v>
      </c>
      <c r="O757" s="110" t="s">
        <v>2396</v>
      </c>
      <c r="P757" s="110" t="s">
        <v>590</v>
      </c>
      <c r="Q757" s="118" t="n">
        <v>0.19</v>
      </c>
      <c r="R757" s="110" t="n">
        <v>1</v>
      </c>
      <c r="S757" s="110" t="s">
        <v>632</v>
      </c>
      <c r="T757" s="110" t="s">
        <v>629</v>
      </c>
      <c r="U757" s="110" t="s">
        <v>2062</v>
      </c>
      <c r="V757" s="119" t="n">
        <v>13.35</v>
      </c>
      <c r="W757" s="119"/>
      <c r="X757" s="110" t="s">
        <v>2063</v>
      </c>
      <c r="Y757" s="110" t="s">
        <v>2064</v>
      </c>
      <c r="Z757" s="110" t="s">
        <v>2545</v>
      </c>
      <c r="AA757" s="110" t="s">
        <v>537</v>
      </c>
      <c r="AB757" s="110" t="s">
        <v>244</v>
      </c>
      <c r="AC757" s="110" t="s">
        <v>538</v>
      </c>
      <c r="AD757" s="110" t="n">
        <f aca="false">IF(OR(F757="",Q757="",R757=""),"",ROUND(IF(P757="incl.",F757/(1+Q757),F757)/IF(S757="per pack",R757,1),2))</f>
        <v>13.35</v>
      </c>
      <c r="AE757" s="110" t="str">
        <f aca="false">IF(AND(AC757="yes",ISNUMBER(F757),IF(Compare!$H$5="All mapped",TRUE(),IF(Compare!$H$5="EXACT only",J757="EXACT",OR(J757="EXACT",J757="CLOSE")))),"yes","no")</f>
        <v>no</v>
      </c>
      <c r="AF757" s="110" t="str">
        <f aca="false">IF(ISNUMBER(H757),COUNTIFS($B$7:$B$3000,B757,$C$7:$C$3000,C757,$H$7:$H$3000,"&lt;"&amp;H757,$AH$7:$AH$3000,"yes")+COUNTIFS($B$7:B757,B757,$C$7:C757,C757,$H$7:H757,H757,$AH$7:AH757,"yes"),"")</f>
        <v/>
      </c>
      <c r="AG757" s="110" t="str">
        <f aca="false">IF(ISNUMBER(I757),COUNTIFS($B$7:$B$3000,B757,$C$7:$C$3000,C757,$I$7:$I$3000,"&lt;"&amp;I757,$AI$7:$AI$3000,"yes")+COUNTIFS($B$7:B757,B757,$C$7:C757,C757,$I$7:I757,I757,$AI$7:AI757,"yes"),"")</f>
        <v/>
      </c>
      <c r="AH757" s="110" t="str">
        <f aca="false">IF(ISNUMBER(H757),"yes","no")</f>
        <v>no</v>
      </c>
      <c r="AI757" s="110" t="str">
        <f aca="false">IF(ISNUMBER(I757),"yes","no")</f>
        <v>no</v>
      </c>
      <c r="AJ757" s="120" t="n">
        <v>46297</v>
      </c>
      <c r="AK757" s="110"/>
    </row>
    <row r="758" customFormat="false" ht="34.5" hidden="false" customHeight="true" outlineLevel="0" collapsed="false">
      <c r="B758" s="36" t="s">
        <v>60</v>
      </c>
      <c r="C758" s="98" t="s">
        <v>16</v>
      </c>
      <c r="D758" s="98" t="s">
        <v>300</v>
      </c>
      <c r="E758" s="110" t="s">
        <v>2558</v>
      </c>
      <c r="F758" s="99" t="n">
        <v>22.45</v>
      </c>
      <c r="G758" s="98" t="s">
        <v>244</v>
      </c>
      <c r="H758" s="112" t="n">
        <f aca="false">IF(AND(AE758="yes",ISNUMBER(AD758)),AD758,"")</f>
        <v>22.45</v>
      </c>
      <c r="I758" s="95" t="n">
        <f aca="false">IF(AND(AE758="yes",ISNUMBER(AD758),ISNUMBER(INDEX(Sources!$G$7:$G$10,MATCH(AB758,Sources!$B$7:$B$10,0)))),ROUND(AD758/INDEX(Sources!$G$7:$G$10,MATCH(AB758,Sources!$B$7:$B$10,0)),6),"")</f>
        <v>22.45</v>
      </c>
      <c r="J758" s="98" t="s">
        <v>530</v>
      </c>
      <c r="K758" s="98" t="s">
        <v>2059</v>
      </c>
      <c r="L758" s="96"/>
      <c r="M758" s="110" t="s">
        <v>2559</v>
      </c>
      <c r="N758" s="117" t="s">
        <v>2560</v>
      </c>
      <c r="O758" s="110" t="s">
        <v>2396</v>
      </c>
      <c r="P758" s="110" t="s">
        <v>590</v>
      </c>
      <c r="Q758" s="118" t="n">
        <v>0.19</v>
      </c>
      <c r="R758" s="110" t="n">
        <v>1</v>
      </c>
      <c r="S758" s="110" t="s">
        <v>632</v>
      </c>
      <c r="T758" s="110" t="s">
        <v>530</v>
      </c>
      <c r="U758" s="110" t="s">
        <v>2062</v>
      </c>
      <c r="V758" s="119" t="n">
        <v>22.45</v>
      </c>
      <c r="W758" s="119"/>
      <c r="X758" s="110" t="s">
        <v>2063</v>
      </c>
      <c r="Y758" s="110" t="s">
        <v>2064</v>
      </c>
      <c r="Z758" s="110" t="s">
        <v>2561</v>
      </c>
      <c r="AA758" s="110" t="s">
        <v>537</v>
      </c>
      <c r="AB758" s="110" t="s">
        <v>244</v>
      </c>
      <c r="AC758" s="110" t="s">
        <v>538</v>
      </c>
      <c r="AD758" s="110" t="n">
        <f aca="false">IF(OR(F758="",Q758="",R758=""),"",ROUND(IF(P758="incl.",F758/(1+Q758),F758)/IF(S758="per pack",R758,1),2))</f>
        <v>22.45</v>
      </c>
      <c r="AE758" s="110" t="str">
        <f aca="false">IF(AND(AC758="yes",ISNUMBER(F758),IF(Compare!$H$5="All mapped",TRUE(),IF(Compare!$H$5="EXACT only",J758="EXACT",OR(J758="EXACT",J758="CLOSE")))),"yes","no")</f>
        <v>yes</v>
      </c>
      <c r="AF758" s="110" t="n">
        <f aca="false">IF(ISNUMBER(H758),COUNTIFS($B$7:$B$3000,B758,$C$7:$C$3000,C758,$H$7:$H$3000,"&lt;"&amp;H758,$AH$7:$AH$3000,"yes")+COUNTIFS($B$7:B758,B758,$C$7:C758,C758,$H$7:H758,H758,$AH$7:AH758,"yes"),"")</f>
        <v>2</v>
      </c>
      <c r="AG758" s="110" t="n">
        <f aca="false">IF(ISNUMBER(I758),COUNTIFS($B$7:$B$3000,B758,$C$7:$C$3000,C758,$I$7:$I$3000,"&lt;"&amp;I758,$AI$7:$AI$3000,"yes")+COUNTIFS($B$7:B758,B758,$C$7:C758,C758,$I$7:I758,I758,$AI$7:AI758,"yes"),"")</f>
        <v>2</v>
      </c>
      <c r="AH758" s="110" t="str">
        <f aca="false">IF(ISNUMBER(H758),"yes","no")</f>
        <v>yes</v>
      </c>
      <c r="AI758" s="110" t="str">
        <f aca="false">IF(ISNUMBER(I758),"yes","no")</f>
        <v>yes</v>
      </c>
      <c r="AJ758" s="120" t="n">
        <v>46297</v>
      </c>
      <c r="AK758" s="110"/>
    </row>
    <row r="759" customFormat="false" ht="23.25" hidden="false" customHeight="true" outlineLevel="0" collapsed="false">
      <c r="B759" s="36" t="s">
        <v>63</v>
      </c>
      <c r="C759" s="98" t="s">
        <v>16</v>
      </c>
      <c r="D759" s="98" t="s">
        <v>317</v>
      </c>
      <c r="E759" s="110" t="s">
        <v>2562</v>
      </c>
      <c r="F759" s="99" t="n">
        <v>15.99</v>
      </c>
      <c r="G759" s="98" t="s">
        <v>244</v>
      </c>
      <c r="H759" s="112" t="str">
        <f aca="false">IF(AND(AE759="yes",ISNUMBER(AD759)),AD759,"")</f>
        <v/>
      </c>
      <c r="I759" s="95" t="str">
        <f aca="false">IF(AND(AE759="yes",ISNUMBER(AD759),ISNUMBER(INDEX(Sources!$G$7:$G$10,MATCH(AB759,Sources!$B$7:$B$10,0)))),ROUND(AD759/INDEX(Sources!$G$7:$G$10,MATCH(AB759,Sources!$B$7:$B$10,0)),6),"")</f>
        <v/>
      </c>
      <c r="J759" s="98" t="s">
        <v>629</v>
      </c>
      <c r="K759" s="98" t="s">
        <v>2059</v>
      </c>
      <c r="L759" s="96"/>
      <c r="M759" s="110" t="s">
        <v>2563</v>
      </c>
      <c r="N759" s="117" t="s">
        <v>2564</v>
      </c>
      <c r="O759" s="110" t="s">
        <v>610</v>
      </c>
      <c r="P759" s="110" t="s">
        <v>590</v>
      </c>
      <c r="Q759" s="118" t="n">
        <v>0.19</v>
      </c>
      <c r="R759" s="110" t="n">
        <v>1</v>
      </c>
      <c r="S759" s="110" t="s">
        <v>632</v>
      </c>
      <c r="T759" s="110" t="s">
        <v>629</v>
      </c>
      <c r="U759" s="110" t="s">
        <v>2062</v>
      </c>
      <c r="V759" s="119" t="n">
        <v>15.99</v>
      </c>
      <c r="W759" s="119"/>
      <c r="X759" s="110" t="s">
        <v>2063</v>
      </c>
      <c r="Y759" s="110" t="s">
        <v>2064</v>
      </c>
      <c r="Z759" s="110" t="s">
        <v>2565</v>
      </c>
      <c r="AA759" s="110" t="s">
        <v>537</v>
      </c>
      <c r="AB759" s="110" t="s">
        <v>244</v>
      </c>
      <c r="AC759" s="110" t="s">
        <v>538</v>
      </c>
      <c r="AD759" s="110" t="n">
        <f aca="false">IF(OR(F759="",Q759="",R759=""),"",ROUND(IF(P759="incl.",F759/(1+Q759),F759)/IF(S759="per pack",R759,1),2))</f>
        <v>15.99</v>
      </c>
      <c r="AE759" s="110" t="str">
        <f aca="false">IF(AND(AC759="yes",ISNUMBER(F759),IF(Compare!$H$5="All mapped",TRUE(),IF(Compare!$H$5="EXACT only",J759="EXACT",OR(J759="EXACT",J759="CLOSE")))),"yes","no")</f>
        <v>no</v>
      </c>
      <c r="AF759" s="110" t="str">
        <f aca="false">IF(ISNUMBER(H759),COUNTIFS($B$7:$B$3000,B759,$C$7:$C$3000,C759,$H$7:$H$3000,"&lt;"&amp;H759,$AH$7:$AH$3000,"yes")+COUNTIFS($B$7:B759,B759,$C$7:C759,C759,$H$7:H759,H759,$AH$7:AH759,"yes"),"")</f>
        <v/>
      </c>
      <c r="AG759" s="110" t="str">
        <f aca="false">IF(ISNUMBER(I759),COUNTIFS($B$7:$B$3000,B759,$C$7:$C$3000,C759,$I$7:$I$3000,"&lt;"&amp;I759,$AI$7:$AI$3000,"yes")+COUNTIFS($B$7:B759,B759,$C$7:C759,C759,$I$7:I759,I759,$AI$7:AI759,"yes"),"")</f>
        <v/>
      </c>
      <c r="AH759" s="110" t="str">
        <f aca="false">IF(ISNUMBER(H759),"yes","no")</f>
        <v>no</v>
      </c>
      <c r="AI759" s="110" t="str">
        <f aca="false">IF(ISNUMBER(I759),"yes","no")</f>
        <v>no</v>
      </c>
      <c r="AJ759" s="120" t="n">
        <v>46297</v>
      </c>
      <c r="AK759" s="110"/>
    </row>
    <row r="760" customFormat="false" ht="34.5" hidden="false" customHeight="true" outlineLevel="0" collapsed="false">
      <c r="B760" s="36" t="s">
        <v>55</v>
      </c>
      <c r="C760" s="98" t="s">
        <v>16</v>
      </c>
      <c r="D760" s="98" t="s">
        <v>317</v>
      </c>
      <c r="E760" s="110" t="s">
        <v>2566</v>
      </c>
      <c r="F760" s="99" t="n">
        <v>20.99</v>
      </c>
      <c r="G760" s="98" t="s">
        <v>244</v>
      </c>
      <c r="H760" s="112" t="str">
        <f aca="false">IF(AND(AE760="yes",ISNUMBER(AD760)),AD760,"")</f>
        <v/>
      </c>
      <c r="I760" s="95" t="str">
        <f aca="false">IF(AND(AE760="yes",ISNUMBER(AD760),ISNUMBER(INDEX(Sources!$G$7:$G$10,MATCH(AB760,Sources!$B$7:$B$10,0)))),ROUND(AD760/INDEX(Sources!$G$7:$G$10,MATCH(AB760,Sources!$B$7:$B$10,0)),6),"")</f>
        <v/>
      </c>
      <c r="J760" s="98" t="s">
        <v>629</v>
      </c>
      <c r="K760" s="98" t="s">
        <v>2059</v>
      </c>
      <c r="L760" s="96"/>
      <c r="M760" s="110" t="s">
        <v>2567</v>
      </c>
      <c r="N760" s="117" t="s">
        <v>2568</v>
      </c>
      <c r="O760" s="110" t="s">
        <v>610</v>
      </c>
      <c r="P760" s="110" t="s">
        <v>590</v>
      </c>
      <c r="Q760" s="118" t="n">
        <v>0.19</v>
      </c>
      <c r="R760" s="110" t="n">
        <v>1</v>
      </c>
      <c r="S760" s="110" t="s">
        <v>632</v>
      </c>
      <c r="T760" s="110" t="s">
        <v>629</v>
      </c>
      <c r="U760" s="110" t="s">
        <v>2062</v>
      </c>
      <c r="V760" s="119" t="n">
        <v>20.99</v>
      </c>
      <c r="W760" s="119"/>
      <c r="X760" s="110" t="s">
        <v>2063</v>
      </c>
      <c r="Y760" s="110" t="s">
        <v>2064</v>
      </c>
      <c r="Z760" s="110" t="s">
        <v>2569</v>
      </c>
      <c r="AA760" s="110" t="s">
        <v>537</v>
      </c>
      <c r="AB760" s="110" t="s">
        <v>244</v>
      </c>
      <c r="AC760" s="110" t="s">
        <v>538</v>
      </c>
      <c r="AD760" s="110" t="n">
        <f aca="false">IF(OR(F760="",Q760="",R760=""),"",ROUND(IF(P760="incl.",F760/(1+Q760),F760)/IF(S760="per pack",R760,1),2))</f>
        <v>20.99</v>
      </c>
      <c r="AE760" s="110" t="str">
        <f aca="false">IF(AND(AC760="yes",ISNUMBER(F760),IF(Compare!$H$5="All mapped",TRUE(),IF(Compare!$H$5="EXACT only",J760="EXACT",OR(J760="EXACT",J760="CLOSE")))),"yes","no")</f>
        <v>no</v>
      </c>
      <c r="AF760" s="110" t="str">
        <f aca="false">IF(ISNUMBER(H760),COUNTIFS($B$7:$B$3000,B760,$C$7:$C$3000,C760,$H$7:$H$3000,"&lt;"&amp;H760,$AH$7:$AH$3000,"yes")+COUNTIFS($B$7:B760,B760,$C$7:C760,C760,$H$7:H760,H760,$AH$7:AH760,"yes"),"")</f>
        <v/>
      </c>
      <c r="AG760" s="110" t="str">
        <f aca="false">IF(ISNUMBER(I760),COUNTIFS($B$7:$B$3000,B760,$C$7:$C$3000,C760,$I$7:$I$3000,"&lt;"&amp;I760,$AI$7:$AI$3000,"yes")+COUNTIFS($B$7:B760,B760,$C$7:C760,C760,$I$7:I760,I760,$AI$7:AI760,"yes"),"")</f>
        <v/>
      </c>
      <c r="AH760" s="110" t="str">
        <f aca="false">IF(ISNUMBER(H760),"yes","no")</f>
        <v>no</v>
      </c>
      <c r="AI760" s="110" t="str">
        <f aca="false">IF(ISNUMBER(I760),"yes","no")</f>
        <v>no</v>
      </c>
      <c r="AJ760" s="120" t="n">
        <v>46297</v>
      </c>
      <c r="AK760" s="110"/>
    </row>
    <row r="761" customFormat="false" ht="23.25" hidden="false" customHeight="true" outlineLevel="0" collapsed="false">
      <c r="B761" s="36" t="s">
        <v>60</v>
      </c>
      <c r="C761" s="98" t="s">
        <v>16</v>
      </c>
      <c r="D761" s="98" t="s">
        <v>317</v>
      </c>
      <c r="E761" s="110" t="s">
        <v>2570</v>
      </c>
      <c r="F761" s="99" t="n">
        <v>23.49</v>
      </c>
      <c r="G761" s="98" t="s">
        <v>244</v>
      </c>
      <c r="H761" s="112" t="n">
        <f aca="false">IF(AND(AE761="yes",ISNUMBER(AD761)),AD761,"")</f>
        <v>23.49</v>
      </c>
      <c r="I761" s="95" t="n">
        <f aca="false">IF(AND(AE761="yes",ISNUMBER(AD761),ISNUMBER(INDEX(Sources!$G$7:$G$10,MATCH(AB761,Sources!$B$7:$B$10,0)))),ROUND(AD761/INDEX(Sources!$G$7:$G$10,MATCH(AB761,Sources!$B$7:$B$10,0)),6),"")</f>
        <v>23.49</v>
      </c>
      <c r="J761" s="98" t="s">
        <v>702</v>
      </c>
      <c r="K761" s="98" t="s">
        <v>2059</v>
      </c>
      <c r="L761" s="96"/>
      <c r="M761" s="110" t="s">
        <v>2571</v>
      </c>
      <c r="N761" s="117" t="s">
        <v>2572</v>
      </c>
      <c r="O761" s="110" t="s">
        <v>610</v>
      </c>
      <c r="P761" s="110" t="s">
        <v>590</v>
      </c>
      <c r="Q761" s="118" t="n">
        <v>0.19</v>
      </c>
      <c r="R761" s="110" t="n">
        <v>1</v>
      </c>
      <c r="S761" s="110" t="s">
        <v>632</v>
      </c>
      <c r="T761" s="110" t="s">
        <v>702</v>
      </c>
      <c r="U761" s="110" t="s">
        <v>2062</v>
      </c>
      <c r="V761" s="119" t="n">
        <v>23.49</v>
      </c>
      <c r="W761" s="119"/>
      <c r="X761" s="110" t="s">
        <v>2063</v>
      </c>
      <c r="Y761" s="110" t="s">
        <v>2064</v>
      </c>
      <c r="Z761" s="110" t="s">
        <v>2565</v>
      </c>
      <c r="AA761" s="110" t="s">
        <v>537</v>
      </c>
      <c r="AB761" s="110" t="s">
        <v>244</v>
      </c>
      <c r="AC761" s="110" t="s">
        <v>538</v>
      </c>
      <c r="AD761" s="110" t="n">
        <f aca="false">IF(OR(F761="",Q761="",R761=""),"",ROUND(IF(P761="incl.",F761/(1+Q761),F761)/IF(S761="per pack",R761,1),2))</f>
        <v>23.49</v>
      </c>
      <c r="AE761" s="110" t="str">
        <f aca="false">IF(AND(AC761="yes",ISNUMBER(F761),IF(Compare!$H$5="All mapped",TRUE(),IF(Compare!$H$5="EXACT only",J761="EXACT",OR(J761="EXACT",J761="CLOSE")))),"yes","no")</f>
        <v>yes</v>
      </c>
      <c r="AF761" s="110" t="n">
        <f aca="false">IF(ISNUMBER(H761),COUNTIFS($B$7:$B$3000,B761,$C$7:$C$3000,C761,$H$7:$H$3000,"&lt;"&amp;H761,$AH$7:$AH$3000,"yes")+COUNTIFS($B$7:B761,B761,$C$7:C761,C761,$H$7:H761,H761,$AH$7:AH761,"yes"),"")</f>
        <v>3</v>
      </c>
      <c r="AG761" s="110" t="n">
        <f aca="false">IF(ISNUMBER(I761),COUNTIFS($B$7:$B$3000,B761,$C$7:$C$3000,C761,$I$7:$I$3000,"&lt;"&amp;I761,$AI$7:$AI$3000,"yes")+COUNTIFS($B$7:B761,B761,$C$7:C761,C761,$I$7:I761,I761,$AI$7:AI761,"yes"),"")</f>
        <v>3</v>
      </c>
      <c r="AH761" s="110" t="str">
        <f aca="false">IF(ISNUMBER(H761),"yes","no")</f>
        <v>yes</v>
      </c>
      <c r="AI761" s="110" t="str">
        <f aca="false">IF(ISNUMBER(I761),"yes","no")</f>
        <v>yes</v>
      </c>
      <c r="AJ761" s="120" t="n">
        <v>46297</v>
      </c>
      <c r="AK761" s="110"/>
    </row>
    <row r="762" customFormat="false" ht="34.5" hidden="false" customHeight="true" outlineLevel="0" collapsed="false">
      <c r="B762" s="36" t="s">
        <v>33</v>
      </c>
      <c r="C762" s="98" t="s">
        <v>16</v>
      </c>
      <c r="D762" s="98" t="s">
        <v>305</v>
      </c>
      <c r="E762" s="110" t="s">
        <v>2573</v>
      </c>
      <c r="F762" s="99" t="n">
        <v>7.96</v>
      </c>
      <c r="G762" s="98" t="s">
        <v>244</v>
      </c>
      <c r="H762" s="112" t="n">
        <f aca="false">IF(AND(AE762="yes",ISNUMBER(AD762)),AD762,"")</f>
        <v>7.96</v>
      </c>
      <c r="I762" s="95" t="n">
        <f aca="false">IF(AND(AE762="yes",ISNUMBER(AD762),ISNUMBER(INDEX(Sources!$G$7:$G$10,MATCH(AB762,Sources!$B$7:$B$10,0)))),ROUND(AD762/INDEX(Sources!$G$7:$G$10,MATCH(AB762,Sources!$B$7:$B$10,0)),6),"")</f>
        <v>7.96</v>
      </c>
      <c r="J762" s="98" t="s">
        <v>702</v>
      </c>
      <c r="K762" s="98" t="s">
        <v>2059</v>
      </c>
      <c r="L762" s="96"/>
      <c r="M762" s="110" t="s">
        <v>2574</v>
      </c>
      <c r="N762" s="117" t="s">
        <v>2575</v>
      </c>
      <c r="O762" s="110" t="s">
        <v>2576</v>
      </c>
      <c r="P762" s="110" t="s">
        <v>590</v>
      </c>
      <c r="Q762" s="118" t="n">
        <v>0.19</v>
      </c>
      <c r="R762" s="110" t="n">
        <v>1</v>
      </c>
      <c r="S762" s="110" t="s">
        <v>632</v>
      </c>
      <c r="T762" s="110" t="s">
        <v>702</v>
      </c>
      <c r="U762" s="110" t="s">
        <v>2062</v>
      </c>
      <c r="V762" s="119" t="n">
        <v>7.96</v>
      </c>
      <c r="W762" s="119"/>
      <c r="X762" s="110" t="s">
        <v>2063</v>
      </c>
      <c r="Y762" s="110" t="s">
        <v>2064</v>
      </c>
      <c r="Z762" s="110" t="s">
        <v>2156</v>
      </c>
      <c r="AA762" s="110" t="s">
        <v>537</v>
      </c>
      <c r="AB762" s="110" t="s">
        <v>244</v>
      </c>
      <c r="AC762" s="110" t="s">
        <v>538</v>
      </c>
      <c r="AD762" s="110" t="n">
        <f aca="false">IF(OR(F762="",Q762="",R762=""),"",ROUND(IF(P762="incl.",F762/(1+Q762),F762)/IF(S762="per pack",R762,1),2))</f>
        <v>7.96</v>
      </c>
      <c r="AE762" s="110" t="str">
        <f aca="false">IF(AND(AC762="yes",ISNUMBER(F762),IF(Compare!$H$5="All mapped",TRUE(),IF(Compare!$H$5="EXACT only",J762="EXACT",OR(J762="EXACT",J762="CLOSE")))),"yes","no")</f>
        <v>yes</v>
      </c>
      <c r="AF762" s="110" t="n">
        <f aca="false">IF(ISNUMBER(H762),COUNTIFS($B$7:$B$3000,B762,$C$7:$C$3000,C762,$H$7:$H$3000,"&lt;"&amp;H762,$AH$7:$AH$3000,"yes")+COUNTIFS($B$7:B762,B762,$C$7:C762,C762,$H$7:H762,H762,$AH$7:AH762,"yes"),"")</f>
        <v>3</v>
      </c>
      <c r="AG762" s="110" t="n">
        <f aca="false">IF(ISNUMBER(I762),COUNTIFS($B$7:$B$3000,B762,$C$7:$C$3000,C762,$I$7:$I$3000,"&lt;"&amp;I762,$AI$7:$AI$3000,"yes")+COUNTIFS($B$7:B762,B762,$C$7:C762,C762,$I$7:I762,I762,$AI$7:AI762,"yes"),"")</f>
        <v>3</v>
      </c>
      <c r="AH762" s="110" t="str">
        <f aca="false">IF(ISNUMBER(H762),"yes","no")</f>
        <v>yes</v>
      </c>
      <c r="AI762" s="110" t="str">
        <f aca="false">IF(ISNUMBER(I762),"yes","no")</f>
        <v>yes</v>
      </c>
      <c r="AJ762" s="120" t="n">
        <v>46297</v>
      </c>
      <c r="AK762" s="110"/>
    </row>
    <row r="763" customFormat="false" ht="34.5" hidden="false" customHeight="true" outlineLevel="0" collapsed="false">
      <c r="B763" s="36" t="s">
        <v>29</v>
      </c>
      <c r="C763" s="98" t="s">
        <v>16</v>
      </c>
      <c r="D763" s="98" t="s">
        <v>305</v>
      </c>
      <c r="E763" s="110" t="s">
        <v>2577</v>
      </c>
      <c r="F763" s="99" t="n">
        <v>19.53</v>
      </c>
      <c r="G763" s="98" t="s">
        <v>244</v>
      </c>
      <c r="H763" s="112" t="n">
        <f aca="false">IF(AND(AE763="yes",ISNUMBER(AD763)),AD763,"")</f>
        <v>19.53</v>
      </c>
      <c r="I763" s="95" t="n">
        <f aca="false">IF(AND(AE763="yes",ISNUMBER(AD763),ISNUMBER(INDEX(Sources!$G$7:$G$10,MATCH(AB763,Sources!$B$7:$B$10,0)))),ROUND(AD763/INDEX(Sources!$G$7:$G$10,MATCH(AB763,Sources!$B$7:$B$10,0)),6),"")</f>
        <v>19.53</v>
      </c>
      <c r="J763" s="98" t="s">
        <v>530</v>
      </c>
      <c r="K763" s="98" t="s">
        <v>2059</v>
      </c>
      <c r="L763" s="96"/>
      <c r="M763" s="110" t="s">
        <v>2578</v>
      </c>
      <c r="N763" s="117" t="s">
        <v>2579</v>
      </c>
      <c r="O763" s="110" t="s">
        <v>2580</v>
      </c>
      <c r="P763" s="110" t="s">
        <v>590</v>
      </c>
      <c r="Q763" s="118" t="n">
        <v>0.19</v>
      </c>
      <c r="R763" s="110" t="n">
        <v>1</v>
      </c>
      <c r="S763" s="110" t="s">
        <v>632</v>
      </c>
      <c r="T763" s="110" t="s">
        <v>530</v>
      </c>
      <c r="U763" s="110" t="s">
        <v>2062</v>
      </c>
      <c r="V763" s="119" t="n">
        <v>19.53</v>
      </c>
      <c r="W763" s="119"/>
      <c r="X763" s="110" t="s">
        <v>2063</v>
      </c>
      <c r="Y763" s="110" t="s">
        <v>2064</v>
      </c>
      <c r="Z763" s="110" t="s">
        <v>2156</v>
      </c>
      <c r="AA763" s="110" t="s">
        <v>537</v>
      </c>
      <c r="AB763" s="110" t="s">
        <v>244</v>
      </c>
      <c r="AC763" s="110" t="s">
        <v>538</v>
      </c>
      <c r="AD763" s="110" t="n">
        <f aca="false">IF(OR(F763="",Q763="",R763=""),"",ROUND(IF(P763="incl.",F763/(1+Q763),F763)/IF(S763="per pack",R763,1),2))</f>
        <v>19.53</v>
      </c>
      <c r="AE763" s="110" t="str">
        <f aca="false">IF(AND(AC763="yes",ISNUMBER(F763),IF(Compare!$H$5="All mapped",TRUE(),IF(Compare!$H$5="EXACT only",J763="EXACT",OR(J763="EXACT",J763="CLOSE")))),"yes","no")</f>
        <v>yes</v>
      </c>
      <c r="AF763" s="110" t="n">
        <f aca="false">IF(ISNUMBER(H763),COUNTIFS($B$7:$B$3000,B763,$C$7:$C$3000,C763,$H$7:$H$3000,"&lt;"&amp;H763,$AH$7:$AH$3000,"yes")+COUNTIFS($B$7:B763,B763,$C$7:C763,C763,$H$7:H763,H763,$AH$7:AH763,"yes"),"")</f>
        <v>2</v>
      </c>
      <c r="AG763" s="110" t="n">
        <f aca="false">IF(ISNUMBER(I763),COUNTIFS($B$7:$B$3000,B763,$C$7:$C$3000,C763,$I$7:$I$3000,"&lt;"&amp;I763,$AI$7:$AI$3000,"yes")+COUNTIFS($B$7:B763,B763,$C$7:C763,C763,$I$7:I763,I763,$AI$7:AI763,"yes"),"")</f>
        <v>2</v>
      </c>
      <c r="AH763" s="110" t="str">
        <f aca="false">IF(ISNUMBER(H763),"yes","no")</f>
        <v>yes</v>
      </c>
      <c r="AI763" s="110" t="str">
        <f aca="false">IF(ISNUMBER(I763),"yes","no")</f>
        <v>yes</v>
      </c>
      <c r="AJ763" s="120" t="n">
        <v>46297</v>
      </c>
      <c r="AK763" s="110"/>
    </row>
    <row r="764" customFormat="false" ht="34.5" hidden="false" customHeight="true" outlineLevel="0" collapsed="false">
      <c r="B764" s="36" t="s">
        <v>31</v>
      </c>
      <c r="C764" s="98" t="s">
        <v>16</v>
      </c>
      <c r="D764" s="98" t="s">
        <v>305</v>
      </c>
      <c r="E764" s="110" t="s">
        <v>2581</v>
      </c>
      <c r="F764" s="99" t="n">
        <v>30.39</v>
      </c>
      <c r="G764" s="98" t="s">
        <v>244</v>
      </c>
      <c r="H764" s="112" t="n">
        <f aca="false">IF(AND(AE764="yes",ISNUMBER(AD764)),AD764,"")</f>
        <v>30.39</v>
      </c>
      <c r="I764" s="95" t="n">
        <f aca="false">IF(AND(AE764="yes",ISNUMBER(AD764),ISNUMBER(INDEX(Sources!$G$7:$G$10,MATCH(AB764,Sources!$B$7:$B$10,0)))),ROUND(AD764/INDEX(Sources!$G$7:$G$10,MATCH(AB764,Sources!$B$7:$B$10,0)),6),"")</f>
        <v>30.39</v>
      </c>
      <c r="J764" s="98" t="s">
        <v>530</v>
      </c>
      <c r="K764" s="98" t="s">
        <v>2059</v>
      </c>
      <c r="L764" s="96"/>
      <c r="M764" s="110" t="s">
        <v>2582</v>
      </c>
      <c r="N764" s="117" t="s">
        <v>2583</v>
      </c>
      <c r="O764" s="110" t="s">
        <v>2580</v>
      </c>
      <c r="P764" s="110" t="s">
        <v>590</v>
      </c>
      <c r="Q764" s="118" t="n">
        <v>0.19</v>
      </c>
      <c r="R764" s="110" t="n">
        <v>1</v>
      </c>
      <c r="S764" s="110" t="s">
        <v>632</v>
      </c>
      <c r="T764" s="110" t="s">
        <v>530</v>
      </c>
      <c r="U764" s="110" t="s">
        <v>2062</v>
      </c>
      <c r="V764" s="119" t="n">
        <v>30.39</v>
      </c>
      <c r="W764" s="119"/>
      <c r="X764" s="110" t="s">
        <v>2063</v>
      </c>
      <c r="Y764" s="110" t="s">
        <v>2064</v>
      </c>
      <c r="Z764" s="110" t="s">
        <v>2584</v>
      </c>
      <c r="AA764" s="110" t="s">
        <v>537</v>
      </c>
      <c r="AB764" s="110" t="s">
        <v>244</v>
      </c>
      <c r="AC764" s="110" t="s">
        <v>538</v>
      </c>
      <c r="AD764" s="110" t="n">
        <f aca="false">IF(OR(F764="",Q764="",R764=""),"",ROUND(IF(P764="incl.",F764/(1+Q764),F764)/IF(S764="per pack",R764,1),2))</f>
        <v>30.39</v>
      </c>
      <c r="AE764" s="110" t="str">
        <f aca="false">IF(AND(AC764="yes",ISNUMBER(F764),IF(Compare!$H$5="All mapped",TRUE(),IF(Compare!$H$5="EXACT only",J764="EXACT",OR(J764="EXACT",J764="CLOSE")))),"yes","no")</f>
        <v>yes</v>
      </c>
      <c r="AF764" s="110" t="n">
        <f aca="false">IF(ISNUMBER(H764),COUNTIFS($B$7:$B$3000,B764,$C$7:$C$3000,C764,$H$7:$H$3000,"&lt;"&amp;H764,$AH$7:$AH$3000,"yes")+COUNTIFS($B$7:B764,B764,$C$7:C764,C764,$H$7:H764,H764,$AH$7:AH764,"yes"),"")</f>
        <v>3</v>
      </c>
      <c r="AG764" s="110" t="n">
        <f aca="false">IF(ISNUMBER(I764),COUNTIFS($B$7:$B$3000,B764,$C$7:$C$3000,C764,$I$7:$I$3000,"&lt;"&amp;I764,$AI$7:$AI$3000,"yes")+COUNTIFS($B$7:B764,B764,$C$7:C764,C764,$I$7:I764,I764,$AI$7:AI764,"yes"),"")</f>
        <v>3</v>
      </c>
      <c r="AH764" s="110" t="str">
        <f aca="false">IF(ISNUMBER(H764),"yes","no")</f>
        <v>yes</v>
      </c>
      <c r="AI764" s="110" t="str">
        <f aca="false">IF(ISNUMBER(I764),"yes","no")</f>
        <v>yes</v>
      </c>
      <c r="AJ764" s="120" t="n">
        <v>46297</v>
      </c>
      <c r="AK764" s="110"/>
    </row>
    <row r="765" customFormat="false" ht="34.5" hidden="false" customHeight="true" outlineLevel="0" collapsed="false">
      <c r="B765" s="36" t="s">
        <v>63</v>
      </c>
      <c r="C765" s="98" t="s">
        <v>16</v>
      </c>
      <c r="D765" s="98" t="s">
        <v>305</v>
      </c>
      <c r="E765" s="110" t="s">
        <v>2573</v>
      </c>
      <c r="F765" s="99" t="n">
        <v>7.96</v>
      </c>
      <c r="G765" s="98" t="s">
        <v>244</v>
      </c>
      <c r="H765" s="112" t="str">
        <f aca="false">IF(AND(AE765="yes",ISNUMBER(AD765)),AD765,"")</f>
        <v/>
      </c>
      <c r="I765" s="95" t="str">
        <f aca="false">IF(AND(AE765="yes",ISNUMBER(AD765),ISNUMBER(INDEX(Sources!$G$7:$G$10,MATCH(AB765,Sources!$B$7:$B$10,0)))),ROUND(AD765/INDEX(Sources!$G$7:$G$10,MATCH(AB765,Sources!$B$7:$B$10,0)),6),"")</f>
        <v/>
      </c>
      <c r="J765" s="98" t="s">
        <v>629</v>
      </c>
      <c r="K765" s="98" t="s">
        <v>2059</v>
      </c>
      <c r="L765" s="96"/>
      <c r="M765" s="110" t="s">
        <v>2585</v>
      </c>
      <c r="N765" s="117" t="s">
        <v>2575</v>
      </c>
      <c r="O765" s="110" t="s">
        <v>2576</v>
      </c>
      <c r="P765" s="110" t="s">
        <v>590</v>
      </c>
      <c r="Q765" s="118" t="n">
        <v>0.19</v>
      </c>
      <c r="R765" s="110" t="n">
        <v>1</v>
      </c>
      <c r="S765" s="110" t="s">
        <v>632</v>
      </c>
      <c r="T765" s="110" t="s">
        <v>629</v>
      </c>
      <c r="U765" s="110" t="s">
        <v>2062</v>
      </c>
      <c r="V765" s="119" t="n">
        <v>7.96</v>
      </c>
      <c r="W765" s="119"/>
      <c r="X765" s="110" t="s">
        <v>2063</v>
      </c>
      <c r="Y765" s="110" t="s">
        <v>2064</v>
      </c>
      <c r="Z765" s="110" t="s">
        <v>2156</v>
      </c>
      <c r="AA765" s="110" t="s">
        <v>537</v>
      </c>
      <c r="AB765" s="110" t="s">
        <v>244</v>
      </c>
      <c r="AC765" s="110" t="s">
        <v>538</v>
      </c>
      <c r="AD765" s="110" t="n">
        <f aca="false">IF(OR(F765="",Q765="",R765=""),"",ROUND(IF(P765="incl.",F765/(1+Q765),F765)/IF(S765="per pack",R765,1),2))</f>
        <v>7.96</v>
      </c>
      <c r="AE765" s="110" t="str">
        <f aca="false">IF(AND(AC765="yes",ISNUMBER(F765),IF(Compare!$H$5="All mapped",TRUE(),IF(Compare!$H$5="EXACT only",J765="EXACT",OR(J765="EXACT",J765="CLOSE")))),"yes","no")</f>
        <v>no</v>
      </c>
      <c r="AF765" s="110" t="str">
        <f aca="false">IF(ISNUMBER(H765),COUNTIFS($B$7:$B$3000,B765,$C$7:$C$3000,C765,$H$7:$H$3000,"&lt;"&amp;H765,$AH$7:$AH$3000,"yes")+COUNTIFS($B$7:B765,B765,$C$7:C765,C765,$H$7:H765,H765,$AH$7:AH765,"yes"),"")</f>
        <v/>
      </c>
      <c r="AG765" s="110" t="str">
        <f aca="false">IF(ISNUMBER(I765),COUNTIFS($B$7:$B$3000,B765,$C$7:$C$3000,C765,$I$7:$I$3000,"&lt;"&amp;I765,$AI$7:$AI$3000,"yes")+COUNTIFS($B$7:B765,B765,$C$7:C765,C765,$I$7:I765,I765,$AI$7:AI765,"yes"),"")</f>
        <v/>
      </c>
      <c r="AH765" s="110" t="str">
        <f aca="false">IF(ISNUMBER(H765),"yes","no")</f>
        <v>no</v>
      </c>
      <c r="AI765" s="110" t="str">
        <f aca="false">IF(ISNUMBER(I765),"yes","no")</f>
        <v>no</v>
      </c>
      <c r="AJ765" s="120" t="n">
        <v>46297</v>
      </c>
      <c r="AK765" s="110"/>
    </row>
    <row r="766" customFormat="false" ht="34.5" hidden="false" customHeight="true" outlineLevel="0" collapsed="false">
      <c r="B766" s="36" t="s">
        <v>55</v>
      </c>
      <c r="C766" s="98" t="s">
        <v>16</v>
      </c>
      <c r="D766" s="98" t="s">
        <v>305</v>
      </c>
      <c r="E766" s="110" t="s">
        <v>2586</v>
      </c>
      <c r="F766" s="99" t="n">
        <v>14.48</v>
      </c>
      <c r="G766" s="98" t="s">
        <v>244</v>
      </c>
      <c r="H766" s="112" t="str">
        <f aca="false">IF(AND(AE766="yes",ISNUMBER(AD766)),AD766,"")</f>
        <v/>
      </c>
      <c r="I766" s="95" t="str">
        <f aca="false">IF(AND(AE766="yes",ISNUMBER(AD766),ISNUMBER(INDEX(Sources!$G$7:$G$10,MATCH(AB766,Sources!$B$7:$B$10,0)))),ROUND(AD766/INDEX(Sources!$G$7:$G$10,MATCH(AB766,Sources!$B$7:$B$10,0)),6),"")</f>
        <v/>
      </c>
      <c r="J766" s="98" t="s">
        <v>629</v>
      </c>
      <c r="K766" s="98" t="s">
        <v>2059</v>
      </c>
      <c r="L766" s="96"/>
      <c r="M766" s="110" t="s">
        <v>2587</v>
      </c>
      <c r="N766" s="117" t="s">
        <v>2588</v>
      </c>
      <c r="O766" s="110" t="s">
        <v>2580</v>
      </c>
      <c r="P766" s="110" t="s">
        <v>590</v>
      </c>
      <c r="Q766" s="118" t="n">
        <v>0.19</v>
      </c>
      <c r="R766" s="110" t="n">
        <v>1</v>
      </c>
      <c r="S766" s="110" t="s">
        <v>632</v>
      </c>
      <c r="T766" s="110" t="s">
        <v>629</v>
      </c>
      <c r="U766" s="110" t="s">
        <v>2062</v>
      </c>
      <c r="V766" s="119" t="n">
        <v>14.48</v>
      </c>
      <c r="W766" s="119"/>
      <c r="X766" s="110" t="s">
        <v>2063</v>
      </c>
      <c r="Y766" s="110" t="s">
        <v>2064</v>
      </c>
      <c r="Z766" s="110" t="s">
        <v>2156</v>
      </c>
      <c r="AA766" s="110" t="s">
        <v>537</v>
      </c>
      <c r="AB766" s="110" t="s">
        <v>244</v>
      </c>
      <c r="AC766" s="110" t="s">
        <v>538</v>
      </c>
      <c r="AD766" s="110" t="n">
        <f aca="false">IF(OR(F766="",Q766="",R766=""),"",ROUND(IF(P766="incl.",F766/(1+Q766),F766)/IF(S766="per pack",R766,1),2))</f>
        <v>14.48</v>
      </c>
      <c r="AE766" s="110" t="str">
        <f aca="false">IF(AND(AC766="yes",ISNUMBER(F766),IF(Compare!$H$5="All mapped",TRUE(),IF(Compare!$H$5="EXACT only",J766="EXACT",OR(J766="EXACT",J766="CLOSE")))),"yes","no")</f>
        <v>no</v>
      </c>
      <c r="AF766" s="110" t="str">
        <f aca="false">IF(ISNUMBER(H766),COUNTIFS($B$7:$B$3000,B766,$C$7:$C$3000,C766,$H$7:$H$3000,"&lt;"&amp;H766,$AH$7:$AH$3000,"yes")+COUNTIFS($B$7:B766,B766,$C$7:C766,C766,$H$7:H766,H766,$AH$7:AH766,"yes"),"")</f>
        <v/>
      </c>
      <c r="AG766" s="110" t="str">
        <f aca="false">IF(ISNUMBER(I766),COUNTIFS($B$7:$B$3000,B766,$C$7:$C$3000,C766,$I$7:$I$3000,"&lt;"&amp;I766,$AI$7:$AI$3000,"yes")+COUNTIFS($B$7:B766,B766,$C$7:C766,C766,$I$7:I766,I766,$AI$7:AI766,"yes"),"")</f>
        <v/>
      </c>
      <c r="AH766" s="110" t="str">
        <f aca="false">IF(ISNUMBER(H766),"yes","no")</f>
        <v>no</v>
      </c>
      <c r="AI766" s="110" t="str">
        <f aca="false">IF(ISNUMBER(I766),"yes","no")</f>
        <v>no</v>
      </c>
      <c r="AJ766" s="120" t="n">
        <v>46297</v>
      </c>
      <c r="AK766" s="110"/>
    </row>
    <row r="767" customFormat="false" ht="23.25" hidden="false" customHeight="true" outlineLevel="0" collapsed="false">
      <c r="B767" s="36" t="s">
        <v>60</v>
      </c>
      <c r="C767" s="98" t="s">
        <v>16</v>
      </c>
      <c r="D767" s="98" t="s">
        <v>305</v>
      </c>
      <c r="E767" s="110" t="s">
        <v>2589</v>
      </c>
      <c r="F767" s="99" t="n">
        <v>19.53</v>
      </c>
      <c r="G767" s="98" t="s">
        <v>244</v>
      </c>
      <c r="H767" s="112" t="n">
        <f aca="false">IF(AND(AE767="yes",ISNUMBER(AD767)),AD767,"")</f>
        <v>19.53</v>
      </c>
      <c r="I767" s="95" t="n">
        <f aca="false">IF(AND(AE767="yes",ISNUMBER(AD767),ISNUMBER(INDEX(Sources!$G$7:$G$10,MATCH(AB767,Sources!$B$7:$B$10,0)))),ROUND(AD767/INDEX(Sources!$G$7:$G$10,MATCH(AB767,Sources!$B$7:$B$10,0)),6),"")</f>
        <v>19.53</v>
      </c>
      <c r="J767" s="98" t="s">
        <v>702</v>
      </c>
      <c r="K767" s="98" t="s">
        <v>2059</v>
      </c>
      <c r="L767" s="96"/>
      <c r="M767" s="110" t="s">
        <v>2590</v>
      </c>
      <c r="N767" s="117" t="s">
        <v>2591</v>
      </c>
      <c r="O767" s="110" t="s">
        <v>2580</v>
      </c>
      <c r="P767" s="110" t="s">
        <v>590</v>
      </c>
      <c r="Q767" s="118" t="n">
        <v>0.19</v>
      </c>
      <c r="R767" s="110" t="n">
        <v>1</v>
      </c>
      <c r="S767" s="110" t="s">
        <v>632</v>
      </c>
      <c r="T767" s="110" t="s">
        <v>702</v>
      </c>
      <c r="U767" s="110" t="s">
        <v>2062</v>
      </c>
      <c r="V767" s="119" t="n">
        <v>19.53</v>
      </c>
      <c r="W767" s="119"/>
      <c r="X767" s="110" t="s">
        <v>2063</v>
      </c>
      <c r="Y767" s="110" t="s">
        <v>2064</v>
      </c>
      <c r="Z767" s="110" t="s">
        <v>2156</v>
      </c>
      <c r="AA767" s="110" t="s">
        <v>537</v>
      </c>
      <c r="AB767" s="110" t="s">
        <v>244</v>
      </c>
      <c r="AC767" s="110" t="s">
        <v>538</v>
      </c>
      <c r="AD767" s="110" t="n">
        <f aca="false">IF(OR(F767="",Q767="",R767=""),"",ROUND(IF(P767="incl.",F767/(1+Q767),F767)/IF(S767="per pack",R767,1),2))</f>
        <v>19.53</v>
      </c>
      <c r="AE767" s="110" t="str">
        <f aca="false">IF(AND(AC767="yes",ISNUMBER(F767),IF(Compare!$H$5="All mapped",TRUE(),IF(Compare!$H$5="EXACT only",J767="EXACT",OR(J767="EXACT",J767="CLOSE")))),"yes","no")</f>
        <v>yes</v>
      </c>
      <c r="AF767" s="110" t="n">
        <f aca="false">IF(ISNUMBER(H767),COUNTIFS($B$7:$B$3000,B767,$C$7:$C$3000,C767,$H$7:$H$3000,"&lt;"&amp;H767,$AH$7:$AH$3000,"yes")+COUNTIFS($B$7:B767,B767,$C$7:C767,C767,$H$7:H767,H767,$AH$7:AH767,"yes"),"")</f>
        <v>1</v>
      </c>
      <c r="AG767" s="110" t="n">
        <f aca="false">IF(ISNUMBER(I767),COUNTIFS($B$7:$B$3000,B767,$C$7:$C$3000,C767,$I$7:$I$3000,"&lt;"&amp;I767,$AI$7:$AI$3000,"yes")+COUNTIFS($B$7:B767,B767,$C$7:C767,C767,$I$7:I767,I767,$AI$7:AI767,"yes"),"")</f>
        <v>1</v>
      </c>
      <c r="AH767" s="110" t="str">
        <f aca="false">IF(ISNUMBER(H767),"yes","no")</f>
        <v>yes</v>
      </c>
      <c r="AI767" s="110" t="str">
        <f aca="false">IF(ISNUMBER(I767),"yes","no")</f>
        <v>yes</v>
      </c>
      <c r="AJ767" s="120" t="n">
        <v>46297</v>
      </c>
      <c r="AK767" s="110"/>
    </row>
    <row r="768" customFormat="false" ht="34.5" hidden="false" customHeight="true" outlineLevel="0" collapsed="false">
      <c r="B768" s="36" t="s">
        <v>55</v>
      </c>
      <c r="C768" s="98" t="s">
        <v>16</v>
      </c>
      <c r="D768" s="98" t="s">
        <v>311</v>
      </c>
      <c r="E768" s="110" t="s">
        <v>2592</v>
      </c>
      <c r="F768" s="99" t="n">
        <v>6.79</v>
      </c>
      <c r="G768" s="98" t="s">
        <v>244</v>
      </c>
      <c r="H768" s="112" t="str">
        <f aca="false">IF(AND(AE768="yes",ISNUMBER(AD768)),AD768,"")</f>
        <v/>
      </c>
      <c r="I768" s="95" t="str">
        <f aca="false">IF(AND(AE768="yes",ISNUMBER(AD768),ISNUMBER(INDEX(Sources!$G$7:$G$10,MATCH(AB768,Sources!$B$7:$B$10,0)))),ROUND(AD768/INDEX(Sources!$G$7:$G$10,MATCH(AB768,Sources!$B$7:$B$10,0)),6),"")</f>
        <v/>
      </c>
      <c r="J768" s="98" t="s">
        <v>629</v>
      </c>
      <c r="K768" s="98" t="s">
        <v>2059</v>
      </c>
      <c r="L768" s="96"/>
      <c r="M768" s="110" t="s">
        <v>2593</v>
      </c>
      <c r="N768" s="117" t="s">
        <v>2594</v>
      </c>
      <c r="O768" s="110" t="s">
        <v>1167</v>
      </c>
      <c r="P768" s="110" t="s">
        <v>590</v>
      </c>
      <c r="Q768" s="118" t="n">
        <v>0.19</v>
      </c>
      <c r="R768" s="110" t="n">
        <v>1</v>
      </c>
      <c r="S768" s="110" t="s">
        <v>632</v>
      </c>
      <c r="T768" s="110" t="s">
        <v>629</v>
      </c>
      <c r="U768" s="110" t="s">
        <v>2062</v>
      </c>
      <c r="V768" s="119" t="n">
        <v>6.79</v>
      </c>
      <c r="W768" s="119"/>
      <c r="X768" s="110" t="s">
        <v>2063</v>
      </c>
      <c r="Y768" s="110" t="s">
        <v>2064</v>
      </c>
      <c r="Z768" s="110" t="s">
        <v>2595</v>
      </c>
      <c r="AA768" s="110" t="s">
        <v>537</v>
      </c>
      <c r="AB768" s="110" t="s">
        <v>244</v>
      </c>
      <c r="AC768" s="110" t="s">
        <v>538</v>
      </c>
      <c r="AD768" s="110" t="n">
        <f aca="false">IF(OR(F768="",Q768="",R768=""),"",ROUND(IF(P768="incl.",F768/(1+Q768),F768)/IF(S768="per pack",R768,1),2))</f>
        <v>6.79</v>
      </c>
      <c r="AE768" s="110" t="str">
        <f aca="false">IF(AND(AC768="yes",ISNUMBER(F768),IF(Compare!$H$5="All mapped",TRUE(),IF(Compare!$H$5="EXACT only",J768="EXACT",OR(J768="EXACT",J768="CLOSE")))),"yes","no")</f>
        <v>no</v>
      </c>
      <c r="AF768" s="110" t="str">
        <f aca="false">IF(ISNUMBER(H768),COUNTIFS($B$7:$B$3000,B768,$C$7:$C$3000,C768,$H$7:$H$3000,"&lt;"&amp;H768,$AH$7:$AH$3000,"yes")+COUNTIFS($B$7:B768,B768,$C$7:C768,C768,$H$7:H768,H768,$AH$7:AH768,"yes"),"")</f>
        <v/>
      </c>
      <c r="AG768" s="110" t="str">
        <f aca="false">IF(ISNUMBER(I768),COUNTIFS($B$7:$B$3000,B768,$C$7:$C$3000,C768,$I$7:$I$3000,"&lt;"&amp;I768,$AI$7:$AI$3000,"yes")+COUNTIFS($B$7:B768,B768,$C$7:C768,C768,$I$7:I768,I768,$AI$7:AI768,"yes"),"")</f>
        <v/>
      </c>
      <c r="AH768" s="110" t="str">
        <f aca="false">IF(ISNUMBER(H768),"yes","no")</f>
        <v>no</v>
      </c>
      <c r="AI768" s="110" t="str">
        <f aca="false">IF(ISNUMBER(I768),"yes","no")</f>
        <v>no</v>
      </c>
      <c r="AJ768" s="120" t="n">
        <v>46297</v>
      </c>
      <c r="AK768" s="110"/>
    </row>
    <row r="769" customFormat="false" ht="34.5" hidden="false" customHeight="true" outlineLevel="0" collapsed="false">
      <c r="B769" s="36" t="s">
        <v>60</v>
      </c>
      <c r="C769" s="98" t="s">
        <v>16</v>
      </c>
      <c r="D769" s="98" t="s">
        <v>309</v>
      </c>
      <c r="E769" s="110" t="s">
        <v>2596</v>
      </c>
      <c r="F769" s="99" t="n">
        <v>24.93</v>
      </c>
      <c r="G769" s="98" t="s">
        <v>244</v>
      </c>
      <c r="H769" s="112" t="str">
        <f aca="false">IF(AND(AE769="yes",ISNUMBER(AD769)),AD769,"")</f>
        <v/>
      </c>
      <c r="I769" s="95" t="str">
        <f aca="false">IF(AND(AE769="yes",ISNUMBER(AD769),ISNUMBER(INDEX(Sources!$G$7:$G$10,MATCH(AB769,Sources!$B$7:$B$10,0)))),ROUND(AD769/INDEX(Sources!$G$7:$G$10,MATCH(AB769,Sources!$B$7:$B$10,0)),6),"")</f>
        <v/>
      </c>
      <c r="J769" s="98" t="s">
        <v>956</v>
      </c>
      <c r="K769" s="98" t="s">
        <v>2059</v>
      </c>
      <c r="L769" s="96"/>
      <c r="M769" s="110" t="s">
        <v>2597</v>
      </c>
      <c r="N769" s="117" t="s">
        <v>1935</v>
      </c>
      <c r="O769" s="110" t="s">
        <v>388</v>
      </c>
      <c r="P769" s="110" t="s">
        <v>265</v>
      </c>
      <c r="Q769" s="118" t="n">
        <v>0.19</v>
      </c>
      <c r="R769" s="110" t="n">
        <v>1</v>
      </c>
      <c r="S769" s="110" t="s">
        <v>632</v>
      </c>
      <c r="T769" s="110" t="s">
        <v>956</v>
      </c>
      <c r="U769" s="110" t="s">
        <v>2124</v>
      </c>
      <c r="V769" s="119" t="n">
        <v>20.95</v>
      </c>
      <c r="W769" s="119"/>
      <c r="X769" s="110" t="s">
        <v>2063</v>
      </c>
      <c r="Y769" s="110" t="s">
        <v>2064</v>
      </c>
      <c r="Z769" s="110" t="s">
        <v>2598</v>
      </c>
      <c r="AA769" s="110" t="s">
        <v>537</v>
      </c>
      <c r="AB769" s="110" t="s">
        <v>244</v>
      </c>
      <c r="AC769" s="110" t="s">
        <v>538</v>
      </c>
      <c r="AD769" s="110" t="n">
        <f aca="false">IF(OR(F769="",Q769="",R769=""),"",ROUND(IF(P769="incl.",F769/(1+Q769),F769)/IF(S769="per pack",R769,1),2))</f>
        <v>20.95</v>
      </c>
      <c r="AE769" s="110" t="str">
        <f aca="false">IF(AND(AC769="yes",ISNUMBER(F769),IF(Compare!$H$5="All mapped",TRUE(),IF(Compare!$H$5="EXACT only",J769="EXACT",OR(J769="EXACT",J769="CLOSE")))),"yes","no")</f>
        <v>no</v>
      </c>
      <c r="AF769" s="110" t="str">
        <f aca="false">IF(ISNUMBER(H769),COUNTIFS($B$7:$B$3000,B769,$C$7:$C$3000,C769,$H$7:$H$3000,"&lt;"&amp;H769,$AH$7:$AH$3000,"yes")+COUNTIFS($B$7:B769,B769,$C$7:C769,C769,$H$7:H769,H769,$AH$7:AH769,"yes"),"")</f>
        <v/>
      </c>
      <c r="AG769" s="110" t="str">
        <f aca="false">IF(ISNUMBER(I769),COUNTIFS($B$7:$B$3000,B769,$C$7:$C$3000,C769,$I$7:$I$3000,"&lt;"&amp;I769,$AI$7:$AI$3000,"yes")+COUNTIFS($B$7:B769,B769,$C$7:C769,C769,$I$7:I769,I769,$AI$7:AI769,"yes"),"")</f>
        <v/>
      </c>
      <c r="AH769" s="110" t="str">
        <f aca="false">IF(ISNUMBER(H769),"yes","no")</f>
        <v>no</v>
      </c>
      <c r="AI769" s="110" t="str">
        <f aca="false">IF(ISNUMBER(I769),"yes","no")</f>
        <v>no</v>
      </c>
      <c r="AJ769" s="120" t="n">
        <v>46297</v>
      </c>
      <c r="AK769" s="110"/>
    </row>
    <row r="770" customFormat="false" ht="23.25" hidden="false" customHeight="true" outlineLevel="0" collapsed="false">
      <c r="B770" s="36" t="s">
        <v>60</v>
      </c>
      <c r="C770" s="98" t="s">
        <v>16</v>
      </c>
      <c r="D770" s="98" t="s">
        <v>313</v>
      </c>
      <c r="E770" s="110" t="s">
        <v>2599</v>
      </c>
      <c r="F770" s="99" t="n">
        <v>29.29</v>
      </c>
      <c r="G770" s="98" t="s">
        <v>244</v>
      </c>
      <c r="H770" s="112" t="n">
        <f aca="false">IF(AND(AE770="yes",ISNUMBER(AD770)),AD770,"")</f>
        <v>24.61</v>
      </c>
      <c r="I770" s="95" t="n">
        <f aca="false">IF(AND(AE770="yes",ISNUMBER(AD770),ISNUMBER(INDEX(Sources!$G$7:$G$10,MATCH(AB770,Sources!$B$7:$B$10,0)))),ROUND(AD770/INDEX(Sources!$G$7:$G$10,MATCH(AB770,Sources!$B$7:$B$10,0)),6),"")</f>
        <v>24.61</v>
      </c>
      <c r="J770" s="98" t="s">
        <v>702</v>
      </c>
      <c r="K770" s="98" t="s">
        <v>2059</v>
      </c>
      <c r="L770" s="96"/>
      <c r="M770" s="110" t="s">
        <v>2600</v>
      </c>
      <c r="N770" s="117" t="s">
        <v>2601</v>
      </c>
      <c r="O770" s="110" t="s">
        <v>1030</v>
      </c>
      <c r="P770" s="110" t="s">
        <v>265</v>
      </c>
      <c r="Q770" s="118" t="n">
        <v>0.19</v>
      </c>
      <c r="R770" s="110" t="n">
        <v>1</v>
      </c>
      <c r="S770" s="110" t="s">
        <v>632</v>
      </c>
      <c r="T770" s="110" t="s">
        <v>702</v>
      </c>
      <c r="U770" s="110" t="s">
        <v>2124</v>
      </c>
      <c r="V770" s="119" t="n">
        <v>24.61</v>
      </c>
      <c r="W770" s="119"/>
      <c r="X770" s="110" t="s">
        <v>2063</v>
      </c>
      <c r="Y770" s="110" t="s">
        <v>2064</v>
      </c>
      <c r="Z770" s="110" t="s">
        <v>2602</v>
      </c>
      <c r="AA770" s="110" t="s">
        <v>537</v>
      </c>
      <c r="AB770" s="110" t="s">
        <v>244</v>
      </c>
      <c r="AC770" s="110" t="s">
        <v>538</v>
      </c>
      <c r="AD770" s="110" t="n">
        <f aca="false">IF(OR(F770="",Q770="",R770=""),"",ROUND(IF(P770="incl.",F770/(1+Q770),F770)/IF(S770="per pack",R770,1),2))</f>
        <v>24.61</v>
      </c>
      <c r="AE770" s="110" t="str">
        <f aca="false">IF(AND(AC770="yes",ISNUMBER(F770),IF(Compare!$H$5="All mapped",TRUE(),IF(Compare!$H$5="EXACT only",J770="EXACT",OR(J770="EXACT",J770="CLOSE")))),"yes","no")</f>
        <v>yes</v>
      </c>
      <c r="AF770" s="110" t="n">
        <f aca="false">IF(ISNUMBER(H770),COUNTIFS($B$7:$B$3000,B770,$C$7:$C$3000,C770,$H$7:$H$3000,"&lt;"&amp;H770,$AH$7:$AH$3000,"yes")+COUNTIFS($B$7:B770,B770,$C$7:C770,C770,$H$7:H770,H770,$AH$7:AH770,"yes"),"")</f>
        <v>4</v>
      </c>
      <c r="AG770" s="110" t="n">
        <f aca="false">IF(ISNUMBER(I770),COUNTIFS($B$7:$B$3000,B770,$C$7:$C$3000,C770,$I$7:$I$3000,"&lt;"&amp;I770,$AI$7:$AI$3000,"yes")+COUNTIFS($B$7:B770,B770,$C$7:C770,C770,$I$7:I770,I770,$AI$7:AI770,"yes"),"")</f>
        <v>4</v>
      </c>
      <c r="AH770" s="110" t="str">
        <f aca="false">IF(ISNUMBER(H770),"yes","no")</f>
        <v>yes</v>
      </c>
      <c r="AI770" s="110" t="str">
        <f aca="false">IF(ISNUMBER(I770),"yes","no")</f>
        <v>yes</v>
      </c>
      <c r="AJ770" s="120" t="n">
        <v>46297</v>
      </c>
      <c r="AK770" s="110"/>
    </row>
    <row r="771" customFormat="false" ht="34.5" hidden="false" customHeight="true" outlineLevel="0" collapsed="false">
      <c r="B771" s="36" t="s">
        <v>33</v>
      </c>
      <c r="C771" s="98" t="s">
        <v>16</v>
      </c>
      <c r="D771" s="98" t="s">
        <v>325</v>
      </c>
      <c r="E771" s="110" t="s">
        <v>2603</v>
      </c>
      <c r="F771" s="99" t="n">
        <v>23.99</v>
      </c>
      <c r="G771" s="98" t="s">
        <v>244</v>
      </c>
      <c r="H771" s="112" t="str">
        <f aca="false">IF(AND(AE771="yes",ISNUMBER(AD771)),AD771,"")</f>
        <v/>
      </c>
      <c r="I771" s="95" t="str">
        <f aca="false">IF(AND(AE771="yes",ISNUMBER(AD771),ISNUMBER(INDEX(Sources!$G$7:$G$10,MATCH(AB771,Sources!$B$7:$B$10,0)))),ROUND(AD771/INDEX(Sources!$G$7:$G$10,MATCH(AB771,Sources!$B$7:$B$10,0)),6),"")</f>
        <v/>
      </c>
      <c r="J771" s="98" t="s">
        <v>629</v>
      </c>
      <c r="K771" s="98" t="s">
        <v>2059</v>
      </c>
      <c r="L771" s="96"/>
      <c r="M771" s="110" t="s">
        <v>2604</v>
      </c>
      <c r="N771" s="117" t="s">
        <v>2605</v>
      </c>
      <c r="O771" s="110" t="s">
        <v>2606</v>
      </c>
      <c r="P771" s="110" t="s">
        <v>590</v>
      </c>
      <c r="Q771" s="118" t="n">
        <v>0.19</v>
      </c>
      <c r="R771" s="110" t="n">
        <v>1</v>
      </c>
      <c r="S771" s="110" t="s">
        <v>632</v>
      </c>
      <c r="T771" s="110" t="s">
        <v>629</v>
      </c>
      <c r="U771" s="110" t="s">
        <v>2062</v>
      </c>
      <c r="V771" s="119" t="n">
        <v>23.99</v>
      </c>
      <c r="W771" s="119"/>
      <c r="X771" s="110" t="s">
        <v>2063</v>
      </c>
      <c r="Y771" s="110" t="s">
        <v>2064</v>
      </c>
      <c r="Z771" s="110" t="s">
        <v>2607</v>
      </c>
      <c r="AA771" s="110" t="s">
        <v>537</v>
      </c>
      <c r="AB771" s="110" t="s">
        <v>244</v>
      </c>
      <c r="AC771" s="110" t="s">
        <v>538</v>
      </c>
      <c r="AD771" s="110" t="n">
        <f aca="false">IF(OR(F771="",Q771="",R771=""),"",ROUND(IF(P771="incl.",F771/(1+Q771),F771)/IF(S771="per pack",R771,1),2))</f>
        <v>23.99</v>
      </c>
      <c r="AE771" s="110" t="str">
        <f aca="false">IF(AND(AC771="yes",ISNUMBER(F771),IF(Compare!$H$5="All mapped",TRUE(),IF(Compare!$H$5="EXACT only",J771="EXACT",OR(J771="EXACT",J771="CLOSE")))),"yes","no")</f>
        <v>no</v>
      </c>
      <c r="AF771" s="110" t="str">
        <f aca="false">IF(ISNUMBER(H771),COUNTIFS($B$7:$B$3000,B771,$C$7:$C$3000,C771,$H$7:$H$3000,"&lt;"&amp;H771,$AH$7:$AH$3000,"yes")+COUNTIFS($B$7:B771,B771,$C$7:C771,C771,$H$7:H771,H771,$AH$7:AH771,"yes"),"")</f>
        <v/>
      </c>
      <c r="AG771" s="110" t="str">
        <f aca="false">IF(ISNUMBER(I771),COUNTIFS($B$7:$B$3000,B771,$C$7:$C$3000,C771,$I$7:$I$3000,"&lt;"&amp;I771,$AI$7:$AI$3000,"yes")+COUNTIFS($B$7:B771,B771,$C$7:C771,C771,$I$7:I771,I771,$AI$7:AI771,"yes"),"")</f>
        <v/>
      </c>
      <c r="AH771" s="110" t="str">
        <f aca="false">IF(ISNUMBER(H771),"yes","no")</f>
        <v>no</v>
      </c>
      <c r="AI771" s="110" t="str">
        <f aca="false">IF(ISNUMBER(I771),"yes","no")</f>
        <v>no</v>
      </c>
      <c r="AJ771" s="120" t="n">
        <v>46297</v>
      </c>
      <c r="AK771" s="110"/>
    </row>
    <row r="772" customFormat="false" ht="45.75" hidden="false" customHeight="true" outlineLevel="0" collapsed="false">
      <c r="B772" s="36" t="s">
        <v>29</v>
      </c>
      <c r="C772" s="98" t="s">
        <v>16</v>
      </c>
      <c r="D772" s="98" t="s">
        <v>325</v>
      </c>
      <c r="E772" s="110" t="s">
        <v>2608</v>
      </c>
      <c r="F772" s="99" t="n">
        <v>34.99</v>
      </c>
      <c r="G772" s="98" t="s">
        <v>244</v>
      </c>
      <c r="H772" s="112" t="n">
        <f aca="false">IF(AND(AE772="yes",ISNUMBER(AD772)),AD772,"")</f>
        <v>34.99</v>
      </c>
      <c r="I772" s="95" t="n">
        <f aca="false">IF(AND(AE772="yes",ISNUMBER(AD772),ISNUMBER(INDEX(Sources!$G$7:$G$10,MATCH(AB772,Sources!$B$7:$B$10,0)))),ROUND(AD772/INDEX(Sources!$G$7:$G$10,MATCH(AB772,Sources!$B$7:$B$10,0)),6),"")</f>
        <v>34.99</v>
      </c>
      <c r="J772" s="98" t="s">
        <v>702</v>
      </c>
      <c r="K772" s="98" t="s">
        <v>2059</v>
      </c>
      <c r="L772" s="96"/>
      <c r="M772" s="110" t="s">
        <v>2609</v>
      </c>
      <c r="N772" s="117" t="s">
        <v>2610</v>
      </c>
      <c r="O772" s="110" t="s">
        <v>1030</v>
      </c>
      <c r="P772" s="110" t="s">
        <v>590</v>
      </c>
      <c r="Q772" s="118" t="n">
        <v>0.19</v>
      </c>
      <c r="R772" s="110" t="n">
        <v>1</v>
      </c>
      <c r="S772" s="110" t="s">
        <v>632</v>
      </c>
      <c r="T772" s="110" t="s">
        <v>702</v>
      </c>
      <c r="U772" s="110" t="s">
        <v>2062</v>
      </c>
      <c r="V772" s="119" t="n">
        <v>34.99</v>
      </c>
      <c r="W772" s="119"/>
      <c r="X772" s="110" t="s">
        <v>2063</v>
      </c>
      <c r="Y772" s="110" t="s">
        <v>2064</v>
      </c>
      <c r="Z772" s="110" t="s">
        <v>2607</v>
      </c>
      <c r="AA772" s="110" t="s">
        <v>537</v>
      </c>
      <c r="AB772" s="110" t="s">
        <v>244</v>
      </c>
      <c r="AC772" s="110" t="s">
        <v>538</v>
      </c>
      <c r="AD772" s="110" t="n">
        <f aca="false">IF(OR(F772="",Q772="",R772=""),"",ROUND(IF(P772="incl.",F772/(1+Q772),F772)/IF(S772="per pack",R772,1),2))</f>
        <v>34.99</v>
      </c>
      <c r="AE772" s="110" t="str">
        <f aca="false">IF(AND(AC772="yes",ISNUMBER(F772),IF(Compare!$H$5="All mapped",TRUE(),IF(Compare!$H$5="EXACT only",J772="EXACT",OR(J772="EXACT",J772="CLOSE")))),"yes","no")</f>
        <v>yes</v>
      </c>
      <c r="AF772" s="110" t="n">
        <f aca="false">IF(ISNUMBER(H772),COUNTIFS($B$7:$B$3000,B772,$C$7:$C$3000,C772,$H$7:$H$3000,"&lt;"&amp;H772,$AH$7:$AH$3000,"yes")+COUNTIFS($B$7:B772,B772,$C$7:C772,C772,$H$7:H772,H772,$AH$7:AH772,"yes"),"")</f>
        <v>10</v>
      </c>
      <c r="AG772" s="110" t="n">
        <f aca="false">IF(ISNUMBER(I772),COUNTIFS($B$7:$B$3000,B772,$C$7:$C$3000,C772,$I$7:$I$3000,"&lt;"&amp;I772,$AI$7:$AI$3000,"yes")+COUNTIFS($B$7:B772,B772,$C$7:C772,C772,$I$7:I772,I772,$AI$7:AI772,"yes"),"")</f>
        <v>10</v>
      </c>
      <c r="AH772" s="110" t="str">
        <f aca="false">IF(ISNUMBER(H772),"yes","no")</f>
        <v>yes</v>
      </c>
      <c r="AI772" s="110" t="str">
        <f aca="false">IF(ISNUMBER(I772),"yes","no")</f>
        <v>yes</v>
      </c>
      <c r="AJ772" s="120" t="n">
        <v>46297</v>
      </c>
      <c r="AK772" s="110"/>
    </row>
    <row r="773" customFormat="false" ht="34.5" hidden="false" customHeight="true" outlineLevel="0" collapsed="false">
      <c r="B773" s="36" t="s">
        <v>31</v>
      </c>
      <c r="C773" s="98" t="s">
        <v>16</v>
      </c>
      <c r="D773" s="98" t="s">
        <v>325</v>
      </c>
      <c r="E773" s="110" t="s">
        <v>2611</v>
      </c>
      <c r="F773" s="99" t="n">
        <v>51.99</v>
      </c>
      <c r="G773" s="98" t="s">
        <v>244</v>
      </c>
      <c r="H773" s="112" t="n">
        <f aca="false">IF(AND(AE773="yes",ISNUMBER(AD773)),AD773,"")</f>
        <v>51.99</v>
      </c>
      <c r="I773" s="95" t="n">
        <f aca="false">IF(AND(AE773="yes",ISNUMBER(AD773),ISNUMBER(INDEX(Sources!$G$7:$G$10,MATCH(AB773,Sources!$B$7:$B$10,0)))),ROUND(AD773/INDEX(Sources!$G$7:$G$10,MATCH(AB773,Sources!$B$7:$B$10,0)),6),"")</f>
        <v>51.99</v>
      </c>
      <c r="J773" s="98" t="s">
        <v>530</v>
      </c>
      <c r="K773" s="98" t="s">
        <v>2059</v>
      </c>
      <c r="L773" s="96"/>
      <c r="M773" s="110" t="s">
        <v>2612</v>
      </c>
      <c r="N773" s="117" t="s">
        <v>2613</v>
      </c>
      <c r="O773" s="110" t="s">
        <v>2606</v>
      </c>
      <c r="P773" s="110" t="s">
        <v>590</v>
      </c>
      <c r="Q773" s="118" t="n">
        <v>0.19</v>
      </c>
      <c r="R773" s="110" t="n">
        <v>1</v>
      </c>
      <c r="S773" s="110" t="s">
        <v>632</v>
      </c>
      <c r="T773" s="110" t="s">
        <v>530</v>
      </c>
      <c r="U773" s="110" t="s">
        <v>2062</v>
      </c>
      <c r="V773" s="119" t="n">
        <v>51.99</v>
      </c>
      <c r="W773" s="119"/>
      <c r="X773" s="110" t="s">
        <v>2063</v>
      </c>
      <c r="Y773" s="110" t="s">
        <v>2064</v>
      </c>
      <c r="Z773" s="110" t="s">
        <v>2607</v>
      </c>
      <c r="AA773" s="110" t="s">
        <v>537</v>
      </c>
      <c r="AB773" s="110" t="s">
        <v>244</v>
      </c>
      <c r="AC773" s="110" t="s">
        <v>538</v>
      </c>
      <c r="AD773" s="110" t="n">
        <f aca="false">IF(OR(F773="",Q773="",R773=""),"",ROUND(IF(P773="incl.",F773/(1+Q773),F773)/IF(S773="per pack",R773,1),2))</f>
        <v>51.99</v>
      </c>
      <c r="AE773" s="110" t="str">
        <f aca="false">IF(AND(AC773="yes",ISNUMBER(F773),IF(Compare!$H$5="All mapped",TRUE(),IF(Compare!$H$5="EXACT only",J773="EXACT",OR(J773="EXACT",J773="CLOSE")))),"yes","no")</f>
        <v>yes</v>
      </c>
      <c r="AF773" s="110" t="n">
        <f aca="false">IF(ISNUMBER(H773),COUNTIFS($B$7:$B$3000,B773,$C$7:$C$3000,C773,$H$7:$H$3000,"&lt;"&amp;H773,$AH$7:$AH$3000,"yes")+COUNTIFS($B$7:B773,B773,$C$7:C773,C773,$H$7:H773,H773,$AH$7:AH773,"yes"),"")</f>
        <v>9</v>
      </c>
      <c r="AG773" s="110" t="n">
        <f aca="false">IF(ISNUMBER(I773),COUNTIFS($B$7:$B$3000,B773,$C$7:$C$3000,C773,$I$7:$I$3000,"&lt;"&amp;I773,$AI$7:$AI$3000,"yes")+COUNTIFS($B$7:B773,B773,$C$7:C773,C773,$I$7:I773,I773,$AI$7:AI773,"yes"),"")</f>
        <v>9</v>
      </c>
      <c r="AH773" s="110" t="str">
        <f aca="false">IF(ISNUMBER(H773),"yes","no")</f>
        <v>yes</v>
      </c>
      <c r="AI773" s="110" t="str">
        <f aca="false">IF(ISNUMBER(I773),"yes","no")</f>
        <v>yes</v>
      </c>
      <c r="AJ773" s="120" t="n">
        <v>46297</v>
      </c>
      <c r="AK773" s="110"/>
    </row>
    <row r="774" customFormat="false" ht="34.5" hidden="false" customHeight="true" outlineLevel="0" collapsed="false">
      <c r="B774" s="36" t="s">
        <v>63</v>
      </c>
      <c r="C774" s="98" t="s">
        <v>16</v>
      </c>
      <c r="D774" s="98" t="s">
        <v>325</v>
      </c>
      <c r="E774" s="110" t="s">
        <v>2603</v>
      </c>
      <c r="F774" s="99" t="n">
        <v>23.99</v>
      </c>
      <c r="G774" s="98" t="s">
        <v>244</v>
      </c>
      <c r="H774" s="112" t="str">
        <f aca="false">IF(AND(AE774="yes",ISNUMBER(AD774)),AD774,"")</f>
        <v/>
      </c>
      <c r="I774" s="95" t="str">
        <f aca="false">IF(AND(AE774="yes",ISNUMBER(AD774),ISNUMBER(INDEX(Sources!$G$7:$G$10,MATCH(AB774,Sources!$B$7:$B$10,0)))),ROUND(AD774/INDEX(Sources!$G$7:$G$10,MATCH(AB774,Sources!$B$7:$B$10,0)),6),"")</f>
        <v/>
      </c>
      <c r="J774" s="98" t="s">
        <v>629</v>
      </c>
      <c r="K774" s="98" t="s">
        <v>2059</v>
      </c>
      <c r="L774" s="96"/>
      <c r="M774" s="110" t="s">
        <v>2614</v>
      </c>
      <c r="N774" s="117" t="s">
        <v>2605</v>
      </c>
      <c r="O774" s="110" t="s">
        <v>2606</v>
      </c>
      <c r="P774" s="110" t="s">
        <v>590</v>
      </c>
      <c r="Q774" s="118" t="n">
        <v>0.19</v>
      </c>
      <c r="R774" s="110" t="n">
        <v>1</v>
      </c>
      <c r="S774" s="110" t="s">
        <v>632</v>
      </c>
      <c r="T774" s="110" t="s">
        <v>629</v>
      </c>
      <c r="U774" s="110" t="s">
        <v>2062</v>
      </c>
      <c r="V774" s="119" t="n">
        <v>23.99</v>
      </c>
      <c r="W774" s="119"/>
      <c r="X774" s="110" t="s">
        <v>2063</v>
      </c>
      <c r="Y774" s="110" t="s">
        <v>2064</v>
      </c>
      <c r="Z774" s="110" t="s">
        <v>2607</v>
      </c>
      <c r="AA774" s="110" t="s">
        <v>537</v>
      </c>
      <c r="AB774" s="110" t="s">
        <v>244</v>
      </c>
      <c r="AC774" s="110" t="s">
        <v>538</v>
      </c>
      <c r="AD774" s="110" t="n">
        <f aca="false">IF(OR(F774="",Q774="",R774=""),"",ROUND(IF(P774="incl.",F774/(1+Q774),F774)/IF(S774="per pack",R774,1),2))</f>
        <v>23.99</v>
      </c>
      <c r="AE774" s="110" t="str">
        <f aca="false">IF(AND(AC774="yes",ISNUMBER(F774),IF(Compare!$H$5="All mapped",TRUE(),IF(Compare!$H$5="EXACT only",J774="EXACT",OR(J774="EXACT",J774="CLOSE")))),"yes","no")</f>
        <v>no</v>
      </c>
      <c r="AF774" s="110" t="str">
        <f aca="false">IF(ISNUMBER(H774),COUNTIFS($B$7:$B$3000,B774,$C$7:$C$3000,C774,$H$7:$H$3000,"&lt;"&amp;H774,$AH$7:$AH$3000,"yes")+COUNTIFS($B$7:B774,B774,$C$7:C774,C774,$H$7:H774,H774,$AH$7:AH774,"yes"),"")</f>
        <v/>
      </c>
      <c r="AG774" s="110" t="str">
        <f aca="false">IF(ISNUMBER(I774),COUNTIFS($B$7:$B$3000,B774,$C$7:$C$3000,C774,$I$7:$I$3000,"&lt;"&amp;I774,$AI$7:$AI$3000,"yes")+COUNTIFS($B$7:B774,B774,$C$7:C774,C774,$I$7:I774,I774,$AI$7:AI774,"yes"),"")</f>
        <v/>
      </c>
      <c r="AH774" s="110" t="str">
        <f aca="false">IF(ISNUMBER(H774),"yes","no")</f>
        <v>no</v>
      </c>
      <c r="AI774" s="110" t="str">
        <f aca="false">IF(ISNUMBER(I774),"yes","no")</f>
        <v>no</v>
      </c>
      <c r="AJ774" s="120" t="n">
        <v>46297</v>
      </c>
      <c r="AK774" s="110"/>
    </row>
    <row r="775" customFormat="false" ht="45.75" hidden="false" customHeight="true" outlineLevel="0" collapsed="false">
      <c r="B775" s="36" t="s">
        <v>55</v>
      </c>
      <c r="C775" s="98" t="s">
        <v>16</v>
      </c>
      <c r="D775" s="98" t="s">
        <v>325</v>
      </c>
      <c r="E775" s="110" t="s">
        <v>2615</v>
      </c>
      <c r="F775" s="99" t="n">
        <v>39.48</v>
      </c>
      <c r="G775" s="98" t="s">
        <v>244</v>
      </c>
      <c r="H775" s="112" t="n">
        <f aca="false">IF(AND(AE775="yes",ISNUMBER(AD775)),AD775,"")</f>
        <v>6.58</v>
      </c>
      <c r="I775" s="95" t="n">
        <f aca="false">IF(AND(AE775="yes",ISNUMBER(AD775),ISNUMBER(INDEX(Sources!$G$7:$G$10,MATCH(AB775,Sources!$B$7:$B$10,0)))),ROUND(AD775/INDEX(Sources!$G$7:$G$10,MATCH(AB775,Sources!$B$7:$B$10,0)),6),"")</f>
        <v>6.58</v>
      </c>
      <c r="J775" s="98" t="s">
        <v>702</v>
      </c>
      <c r="K775" s="98" t="s">
        <v>2059</v>
      </c>
      <c r="L775" s="96"/>
      <c r="M775" s="110" t="s">
        <v>2616</v>
      </c>
      <c r="N775" s="117" t="s">
        <v>2617</v>
      </c>
      <c r="O775" s="110" t="s">
        <v>589</v>
      </c>
      <c r="P775" s="110" t="s">
        <v>590</v>
      </c>
      <c r="Q775" s="118" t="n">
        <v>0.19</v>
      </c>
      <c r="R775" s="110" t="n">
        <v>6</v>
      </c>
      <c r="S775" s="110" t="s">
        <v>625</v>
      </c>
      <c r="T775" s="110" t="s">
        <v>702</v>
      </c>
      <c r="U775" s="110" t="s">
        <v>2062</v>
      </c>
      <c r="V775" s="119" t="n">
        <v>6.58</v>
      </c>
      <c r="W775" s="119"/>
      <c r="X775" s="110" t="s">
        <v>2063</v>
      </c>
      <c r="Y775" s="110" t="s">
        <v>2064</v>
      </c>
      <c r="Z775" s="110" t="s">
        <v>2607</v>
      </c>
      <c r="AA775" s="110" t="s">
        <v>537</v>
      </c>
      <c r="AB775" s="110" t="s">
        <v>244</v>
      </c>
      <c r="AC775" s="110" t="s">
        <v>538</v>
      </c>
      <c r="AD775" s="110" t="n">
        <f aca="false">IF(OR(F775="",Q775="",R775=""),"",ROUND(IF(P775="incl.",F775/(1+Q775),F775)/IF(S775="per pack",R775,1),2))</f>
        <v>6.58</v>
      </c>
      <c r="AE775" s="110" t="str">
        <f aca="false">IF(AND(AC775="yes",ISNUMBER(F775),IF(Compare!$H$5="All mapped",TRUE(),IF(Compare!$H$5="EXACT only",J775="EXACT",OR(J775="EXACT",J775="CLOSE")))),"yes","no")</f>
        <v>yes</v>
      </c>
      <c r="AF775" s="110" t="n">
        <f aca="false">IF(ISNUMBER(H775),COUNTIFS($B$7:$B$3000,B775,$C$7:$C$3000,C775,$H$7:$H$3000,"&lt;"&amp;H775,$AH$7:$AH$3000,"yes")+COUNTIFS($B$7:B775,B775,$C$7:C775,C775,$H$7:H775,H775,$AH$7:AH775,"yes"),"")</f>
        <v>1</v>
      </c>
      <c r="AG775" s="110" t="n">
        <f aca="false">IF(ISNUMBER(I775),COUNTIFS($B$7:$B$3000,B775,$C$7:$C$3000,C775,$I$7:$I$3000,"&lt;"&amp;I775,$AI$7:$AI$3000,"yes")+COUNTIFS($B$7:B775,B775,$C$7:C775,C775,$I$7:I775,I775,$AI$7:AI775,"yes"),"")</f>
        <v>1</v>
      </c>
      <c r="AH775" s="110" t="str">
        <f aca="false">IF(ISNUMBER(H775),"yes","no")</f>
        <v>yes</v>
      </c>
      <c r="AI775" s="110" t="str">
        <f aca="false">IF(ISNUMBER(I775),"yes","no")</f>
        <v>yes</v>
      </c>
      <c r="AJ775" s="120" t="n">
        <v>46297</v>
      </c>
      <c r="AK775" s="110"/>
    </row>
    <row r="776" customFormat="false" ht="34.5" hidden="false" customHeight="true" outlineLevel="0" collapsed="false">
      <c r="B776" s="36" t="s">
        <v>60</v>
      </c>
      <c r="C776" s="98" t="s">
        <v>16</v>
      </c>
      <c r="D776" s="98" t="s">
        <v>325</v>
      </c>
      <c r="E776" s="110" t="s">
        <v>2618</v>
      </c>
      <c r="F776" s="99" t="n">
        <v>31.99</v>
      </c>
      <c r="G776" s="98" t="s">
        <v>244</v>
      </c>
      <c r="H776" s="112" t="n">
        <f aca="false">IF(AND(AE776="yes",ISNUMBER(AD776)),AD776,"")</f>
        <v>31.99</v>
      </c>
      <c r="I776" s="95" t="n">
        <f aca="false">IF(AND(AE776="yes",ISNUMBER(AD776),ISNUMBER(INDEX(Sources!$G$7:$G$10,MATCH(AB776,Sources!$B$7:$B$10,0)))),ROUND(AD776/INDEX(Sources!$G$7:$G$10,MATCH(AB776,Sources!$B$7:$B$10,0)),6),"")</f>
        <v>31.99</v>
      </c>
      <c r="J776" s="98" t="s">
        <v>530</v>
      </c>
      <c r="K776" s="98" t="s">
        <v>2059</v>
      </c>
      <c r="L776" s="96"/>
      <c r="M776" s="110" t="s">
        <v>2619</v>
      </c>
      <c r="N776" s="117" t="s">
        <v>2620</v>
      </c>
      <c r="O776" s="110" t="s">
        <v>2096</v>
      </c>
      <c r="P776" s="110" t="s">
        <v>590</v>
      </c>
      <c r="Q776" s="118" t="n">
        <v>0.19</v>
      </c>
      <c r="R776" s="110" t="n">
        <v>1</v>
      </c>
      <c r="S776" s="110" t="s">
        <v>632</v>
      </c>
      <c r="T776" s="110" t="s">
        <v>530</v>
      </c>
      <c r="U776" s="110" t="s">
        <v>2062</v>
      </c>
      <c r="V776" s="119" t="n">
        <v>31.99</v>
      </c>
      <c r="W776" s="119"/>
      <c r="X776" s="110" t="s">
        <v>2063</v>
      </c>
      <c r="Y776" s="110" t="s">
        <v>2064</v>
      </c>
      <c r="Z776" s="110" t="s">
        <v>2607</v>
      </c>
      <c r="AA776" s="110" t="s">
        <v>537</v>
      </c>
      <c r="AB776" s="110" t="s">
        <v>244</v>
      </c>
      <c r="AC776" s="110" t="s">
        <v>538</v>
      </c>
      <c r="AD776" s="110" t="n">
        <f aca="false">IF(OR(F776="",Q776="",R776=""),"",ROUND(IF(P776="incl.",F776/(1+Q776),F776)/IF(S776="per pack",R776,1),2))</f>
        <v>31.99</v>
      </c>
      <c r="AE776" s="110" t="str">
        <f aca="false">IF(AND(AC776="yes",ISNUMBER(F776),IF(Compare!$H$5="All mapped",TRUE(),IF(Compare!$H$5="EXACT only",J776="EXACT",OR(J776="EXACT",J776="CLOSE")))),"yes","no")</f>
        <v>yes</v>
      </c>
      <c r="AF776" s="110" t="n">
        <f aca="false">IF(ISNUMBER(H776),COUNTIFS($B$7:$B$3000,B776,$C$7:$C$3000,C776,$H$7:$H$3000,"&lt;"&amp;H776,$AH$7:$AH$3000,"yes")+COUNTIFS($B$7:B776,B776,$C$7:C776,C776,$H$7:H776,H776,$AH$7:AH776,"yes"),"")</f>
        <v>6</v>
      </c>
      <c r="AG776" s="110" t="n">
        <f aca="false">IF(ISNUMBER(I776),COUNTIFS($B$7:$B$3000,B776,$C$7:$C$3000,C776,$I$7:$I$3000,"&lt;"&amp;I776,$AI$7:$AI$3000,"yes")+COUNTIFS($B$7:B776,B776,$C$7:C776,C776,$I$7:I776,I776,$AI$7:AI776,"yes"),"")</f>
        <v>6</v>
      </c>
      <c r="AH776" s="110" t="str">
        <f aca="false">IF(ISNUMBER(H776),"yes","no")</f>
        <v>yes</v>
      </c>
      <c r="AI776" s="110" t="str">
        <f aca="false">IF(ISNUMBER(I776),"yes","no")</f>
        <v>yes</v>
      </c>
      <c r="AJ776" s="120" t="n">
        <v>46297</v>
      </c>
      <c r="AK776" s="110"/>
    </row>
    <row r="777" customFormat="false" ht="23.25" hidden="false" customHeight="true" outlineLevel="0" collapsed="false">
      <c r="B777" s="36" t="s">
        <v>63</v>
      </c>
      <c r="C777" s="98" t="s">
        <v>16</v>
      </c>
      <c r="D777" s="98" t="s">
        <v>329</v>
      </c>
      <c r="E777" s="110" t="s">
        <v>2621</v>
      </c>
      <c r="F777" s="99" t="n">
        <v>5.19</v>
      </c>
      <c r="G777" s="98" t="s">
        <v>244</v>
      </c>
      <c r="H777" s="112" t="str">
        <f aca="false">IF(AND(AE777="yes",ISNUMBER(AD777)),AD777,"")</f>
        <v/>
      </c>
      <c r="I777" s="95" t="str">
        <f aca="false">IF(AND(AE777="yes",ISNUMBER(AD777),ISNUMBER(INDEX(Sources!$G$7:$G$10,MATCH(AB777,Sources!$B$7:$B$10,0)))),ROUND(AD777/INDEX(Sources!$G$7:$G$10,MATCH(AB777,Sources!$B$7:$B$10,0)),6),"")</f>
        <v/>
      </c>
      <c r="J777" s="98" t="s">
        <v>629</v>
      </c>
      <c r="K777" s="98" t="s">
        <v>2059</v>
      </c>
      <c r="L777" s="96"/>
      <c r="M777" s="110" t="s">
        <v>2622</v>
      </c>
      <c r="N777" s="117" t="s">
        <v>2623</v>
      </c>
      <c r="O777" s="110" t="s">
        <v>1167</v>
      </c>
      <c r="P777" s="110" t="s">
        <v>590</v>
      </c>
      <c r="Q777" s="118" t="n">
        <v>0.19</v>
      </c>
      <c r="R777" s="110" t="n">
        <v>1</v>
      </c>
      <c r="S777" s="110" t="s">
        <v>632</v>
      </c>
      <c r="T777" s="110" t="s">
        <v>629</v>
      </c>
      <c r="U777" s="110" t="s">
        <v>2062</v>
      </c>
      <c r="V777" s="119" t="n">
        <v>5.19</v>
      </c>
      <c r="W777" s="119"/>
      <c r="X777" s="110" t="s">
        <v>2063</v>
      </c>
      <c r="Y777" s="110" t="s">
        <v>2064</v>
      </c>
      <c r="Z777" s="110" t="s">
        <v>2624</v>
      </c>
      <c r="AA777" s="110" t="s">
        <v>537</v>
      </c>
      <c r="AB777" s="110" t="s">
        <v>244</v>
      </c>
      <c r="AC777" s="110" t="s">
        <v>538</v>
      </c>
      <c r="AD777" s="110" t="n">
        <f aca="false">IF(OR(F777="",Q777="",R777=""),"",ROUND(IF(P777="incl.",F777/(1+Q777),F777)/IF(S777="per pack",R777,1),2))</f>
        <v>5.19</v>
      </c>
      <c r="AE777" s="110" t="str">
        <f aca="false">IF(AND(AC777="yes",ISNUMBER(F777),IF(Compare!$H$5="All mapped",TRUE(),IF(Compare!$H$5="EXACT only",J777="EXACT",OR(J777="EXACT",J777="CLOSE")))),"yes","no")</f>
        <v>no</v>
      </c>
      <c r="AF777" s="110" t="str">
        <f aca="false">IF(ISNUMBER(H777),COUNTIFS($B$7:$B$3000,B777,$C$7:$C$3000,C777,$H$7:$H$3000,"&lt;"&amp;H777,$AH$7:$AH$3000,"yes")+COUNTIFS($B$7:B777,B777,$C$7:C777,C777,$H$7:H777,H777,$AH$7:AH777,"yes"),"")</f>
        <v/>
      </c>
      <c r="AG777" s="110" t="str">
        <f aca="false">IF(ISNUMBER(I777),COUNTIFS($B$7:$B$3000,B777,$C$7:$C$3000,C777,$I$7:$I$3000,"&lt;"&amp;I777,$AI$7:$AI$3000,"yes")+COUNTIFS($B$7:B777,B777,$C$7:C777,C777,$I$7:I777,I777,$AI$7:AI777,"yes"),"")</f>
        <v/>
      </c>
      <c r="AH777" s="110" t="str">
        <f aca="false">IF(ISNUMBER(H777),"yes","no")</f>
        <v>no</v>
      </c>
      <c r="AI777" s="110" t="str">
        <f aca="false">IF(ISNUMBER(I777),"yes","no")</f>
        <v>no</v>
      </c>
      <c r="AJ777" s="120" t="n">
        <v>46297</v>
      </c>
      <c r="AK777" s="110"/>
    </row>
    <row r="778" customFormat="false" ht="34.5" hidden="false" customHeight="true" outlineLevel="0" collapsed="false">
      <c r="B778" s="36" t="s">
        <v>55</v>
      </c>
      <c r="C778" s="98" t="s">
        <v>16</v>
      </c>
      <c r="D778" s="98" t="s">
        <v>329</v>
      </c>
      <c r="E778" s="110" t="s">
        <v>2625</v>
      </c>
      <c r="F778" s="99" t="n">
        <v>7.29</v>
      </c>
      <c r="G778" s="98" t="s">
        <v>244</v>
      </c>
      <c r="H778" s="112" t="str">
        <f aca="false">IF(AND(AE778="yes",ISNUMBER(AD778)),AD778,"")</f>
        <v/>
      </c>
      <c r="I778" s="95" t="str">
        <f aca="false">IF(AND(AE778="yes",ISNUMBER(AD778),ISNUMBER(INDEX(Sources!$G$7:$G$10,MATCH(AB778,Sources!$B$7:$B$10,0)))),ROUND(AD778/INDEX(Sources!$G$7:$G$10,MATCH(AB778,Sources!$B$7:$B$10,0)),6),"")</f>
        <v/>
      </c>
      <c r="J778" s="98" t="s">
        <v>629</v>
      </c>
      <c r="K778" s="98" t="s">
        <v>2059</v>
      </c>
      <c r="L778" s="96"/>
      <c r="M778" s="110" t="s">
        <v>2626</v>
      </c>
      <c r="N778" s="117" t="s">
        <v>2627</v>
      </c>
      <c r="O778" s="110" t="s">
        <v>1167</v>
      </c>
      <c r="P778" s="110" t="s">
        <v>590</v>
      </c>
      <c r="Q778" s="118" t="n">
        <v>0.19</v>
      </c>
      <c r="R778" s="110" t="n">
        <v>1</v>
      </c>
      <c r="S778" s="110" t="s">
        <v>632</v>
      </c>
      <c r="T778" s="110" t="s">
        <v>629</v>
      </c>
      <c r="U778" s="110" t="s">
        <v>2062</v>
      </c>
      <c r="V778" s="119" t="n">
        <v>7.29</v>
      </c>
      <c r="W778" s="119"/>
      <c r="X778" s="110" t="s">
        <v>2063</v>
      </c>
      <c r="Y778" s="110" t="s">
        <v>2064</v>
      </c>
      <c r="Z778" s="110" t="s">
        <v>2624</v>
      </c>
      <c r="AA778" s="110" t="s">
        <v>537</v>
      </c>
      <c r="AB778" s="110" t="s">
        <v>244</v>
      </c>
      <c r="AC778" s="110" t="s">
        <v>538</v>
      </c>
      <c r="AD778" s="110" t="n">
        <f aca="false">IF(OR(F778="",Q778="",R778=""),"",ROUND(IF(P778="incl.",F778/(1+Q778),F778)/IF(S778="per pack",R778,1),2))</f>
        <v>7.29</v>
      </c>
      <c r="AE778" s="110" t="str">
        <f aca="false">IF(AND(AC778="yes",ISNUMBER(F778),IF(Compare!$H$5="All mapped",TRUE(),IF(Compare!$H$5="EXACT only",J778="EXACT",OR(J778="EXACT",J778="CLOSE")))),"yes","no")</f>
        <v>no</v>
      </c>
      <c r="AF778" s="110" t="str">
        <f aca="false">IF(ISNUMBER(H778),COUNTIFS($B$7:$B$3000,B778,$C$7:$C$3000,C778,$H$7:$H$3000,"&lt;"&amp;H778,$AH$7:$AH$3000,"yes")+COUNTIFS($B$7:B778,B778,$C$7:C778,C778,$H$7:H778,H778,$AH$7:AH778,"yes"),"")</f>
        <v/>
      </c>
      <c r="AG778" s="110" t="str">
        <f aca="false">IF(ISNUMBER(I778),COUNTIFS($B$7:$B$3000,B778,$C$7:$C$3000,C778,$I$7:$I$3000,"&lt;"&amp;I778,$AI$7:$AI$3000,"yes")+COUNTIFS($B$7:B778,B778,$C$7:C778,C778,$I$7:I778,I778,$AI$7:AI778,"yes"),"")</f>
        <v/>
      </c>
      <c r="AH778" s="110" t="str">
        <f aca="false">IF(ISNUMBER(H778),"yes","no")</f>
        <v>no</v>
      </c>
      <c r="AI778" s="110" t="str">
        <f aca="false">IF(ISNUMBER(I778),"yes","no")</f>
        <v>no</v>
      </c>
      <c r="AJ778" s="120" t="n">
        <v>46297</v>
      </c>
      <c r="AK778" s="110"/>
    </row>
    <row r="779" customFormat="false" ht="34.5" hidden="false" customHeight="true" outlineLevel="0" collapsed="false">
      <c r="B779" s="36" t="s">
        <v>65</v>
      </c>
      <c r="C779" s="98" t="s">
        <v>16</v>
      </c>
      <c r="D779" s="98" t="s">
        <v>296</v>
      </c>
      <c r="E779" s="110" t="s">
        <v>965</v>
      </c>
      <c r="F779" s="99" t="n">
        <v>36.1</v>
      </c>
      <c r="G779" s="98" t="s">
        <v>244</v>
      </c>
      <c r="H779" s="112" t="str">
        <f aca="false">IF(AND(AE779="yes",ISNUMBER(AD779)),AD779,"")</f>
        <v/>
      </c>
      <c r="I779" s="95" t="str">
        <f aca="false">IF(AND(AE779="yes",ISNUMBER(AD779),ISNUMBER(INDEX(Sources!$G$7:$G$10,MATCH(AB779,Sources!$B$7:$B$10,0)))),ROUND(AD779/INDEX(Sources!$G$7:$G$10,MATCH(AB779,Sources!$B$7:$B$10,0)),6),"")</f>
        <v/>
      </c>
      <c r="J779" s="98" t="s">
        <v>956</v>
      </c>
      <c r="K779" s="98" t="s">
        <v>2059</v>
      </c>
      <c r="L779" s="96"/>
      <c r="M779" s="110" t="s">
        <v>2628</v>
      </c>
      <c r="N779" s="117" t="s">
        <v>983</v>
      </c>
      <c r="O779" s="110"/>
      <c r="P779" s="110" t="s">
        <v>590</v>
      </c>
      <c r="Q779" s="118" t="n">
        <v>0.19</v>
      </c>
      <c r="R779" s="110" t="n">
        <v>1</v>
      </c>
      <c r="S779" s="110" t="s">
        <v>632</v>
      </c>
      <c r="T779" s="110" t="s">
        <v>956</v>
      </c>
      <c r="U779" s="110" t="s">
        <v>2062</v>
      </c>
      <c r="V779" s="119" t="n">
        <v>36.1</v>
      </c>
      <c r="W779" s="119"/>
      <c r="X779" s="110" t="s">
        <v>2063</v>
      </c>
      <c r="Y779" s="110" t="s">
        <v>2064</v>
      </c>
      <c r="Z779" s="110" t="s">
        <v>2629</v>
      </c>
      <c r="AA779" s="110" t="s">
        <v>537</v>
      </c>
      <c r="AB779" s="110" t="s">
        <v>244</v>
      </c>
      <c r="AC779" s="110" t="s">
        <v>538</v>
      </c>
      <c r="AD779" s="110" t="n">
        <f aca="false">IF(OR(F779="",Q779="",R779=""),"",ROUND(IF(P779="incl.",F779/(1+Q779),F779)/IF(S779="per pack",R779,1),2))</f>
        <v>36.1</v>
      </c>
      <c r="AE779" s="110" t="str">
        <f aca="false">IF(AND(AC779="yes",ISNUMBER(F779),IF(Compare!$H$5="All mapped",TRUE(),IF(Compare!$H$5="EXACT only",J779="EXACT",OR(J779="EXACT",J779="CLOSE")))),"yes","no")</f>
        <v>no</v>
      </c>
      <c r="AF779" s="110" t="str">
        <f aca="false">IF(ISNUMBER(H779),COUNTIFS($B$7:$B$3000,B779,$C$7:$C$3000,C779,$H$7:$H$3000,"&lt;"&amp;H779,$AH$7:$AH$3000,"yes")+COUNTIFS($B$7:B779,B779,$C$7:C779,C779,$H$7:H779,H779,$AH$7:AH779,"yes"),"")</f>
        <v/>
      </c>
      <c r="AG779" s="110" t="str">
        <f aca="false">IF(ISNUMBER(I779),COUNTIFS($B$7:$B$3000,B779,$C$7:$C$3000,C779,$I$7:$I$3000,"&lt;"&amp;I779,$AI$7:$AI$3000,"yes")+COUNTIFS($B$7:B779,B779,$C$7:C779,C779,$I$7:I779,I779,$AI$7:AI779,"yes"),"")</f>
        <v/>
      </c>
      <c r="AH779" s="110" t="str">
        <f aca="false">IF(ISNUMBER(H779),"yes","no")</f>
        <v>no</v>
      </c>
      <c r="AI779" s="110" t="str">
        <f aca="false">IF(ISNUMBER(I779),"yes","no")</f>
        <v>no</v>
      </c>
      <c r="AJ779" s="120" t="n">
        <v>46297</v>
      </c>
      <c r="AK779" s="110"/>
    </row>
    <row r="780" customFormat="false" ht="23.25" hidden="false" customHeight="true" outlineLevel="0" collapsed="false">
      <c r="B780" s="36" t="s">
        <v>52</v>
      </c>
      <c r="C780" s="98" t="s">
        <v>16</v>
      </c>
      <c r="D780" s="98" t="s">
        <v>296</v>
      </c>
      <c r="E780" s="110" t="s">
        <v>2630</v>
      </c>
      <c r="F780" s="99" t="n">
        <v>1.45</v>
      </c>
      <c r="G780" s="98" t="s">
        <v>244</v>
      </c>
      <c r="H780" s="112" t="str">
        <f aca="false">IF(AND(AE780="yes",ISNUMBER(AD780)),AD780,"")</f>
        <v/>
      </c>
      <c r="I780" s="95" t="str">
        <f aca="false">IF(AND(AE780="yes",ISNUMBER(AD780),ISNUMBER(INDEX(Sources!$G$7:$G$10,MATCH(AB780,Sources!$B$7:$B$10,0)))),ROUND(AD780/INDEX(Sources!$G$7:$G$10,MATCH(AB780,Sources!$B$7:$B$10,0)),6),"")</f>
        <v/>
      </c>
      <c r="J780" s="98" t="s">
        <v>629</v>
      </c>
      <c r="K780" s="98" t="s">
        <v>2059</v>
      </c>
      <c r="L780" s="96"/>
      <c r="M780" s="110" t="s">
        <v>2631</v>
      </c>
      <c r="N780" s="117" t="s">
        <v>2632</v>
      </c>
      <c r="O780" s="110"/>
      <c r="P780" s="110" t="s">
        <v>590</v>
      </c>
      <c r="Q780" s="118" t="n">
        <v>0.19</v>
      </c>
      <c r="R780" s="110" t="n">
        <v>1</v>
      </c>
      <c r="S780" s="110" t="s">
        <v>632</v>
      </c>
      <c r="T780" s="110" t="s">
        <v>629</v>
      </c>
      <c r="U780" s="110" t="s">
        <v>2062</v>
      </c>
      <c r="V780" s="119" t="n">
        <v>1.45</v>
      </c>
      <c r="W780" s="119"/>
      <c r="X780" s="110" t="s">
        <v>2063</v>
      </c>
      <c r="Y780" s="110" t="s">
        <v>2064</v>
      </c>
      <c r="Z780" s="110" t="s">
        <v>2629</v>
      </c>
      <c r="AA780" s="110" t="s">
        <v>537</v>
      </c>
      <c r="AB780" s="110" t="s">
        <v>244</v>
      </c>
      <c r="AC780" s="110" t="s">
        <v>538</v>
      </c>
      <c r="AD780" s="110" t="n">
        <f aca="false">IF(OR(F780="",Q780="",R780=""),"",ROUND(IF(P780="incl.",F780/(1+Q780),F780)/IF(S780="per pack",R780,1),2))</f>
        <v>1.45</v>
      </c>
      <c r="AE780" s="110" t="str">
        <f aca="false">IF(AND(AC780="yes",ISNUMBER(F780),IF(Compare!$H$5="All mapped",TRUE(),IF(Compare!$H$5="EXACT only",J780="EXACT",OR(J780="EXACT",J780="CLOSE")))),"yes","no")</f>
        <v>no</v>
      </c>
      <c r="AF780" s="110" t="str">
        <f aca="false">IF(ISNUMBER(H780),COUNTIFS($B$7:$B$3000,B780,$C$7:$C$3000,C780,$H$7:$H$3000,"&lt;"&amp;H780,$AH$7:$AH$3000,"yes")+COUNTIFS($B$7:B780,B780,$C$7:C780,C780,$H$7:H780,H780,$AH$7:AH780,"yes"),"")</f>
        <v/>
      </c>
      <c r="AG780" s="110" t="str">
        <f aca="false">IF(ISNUMBER(I780),COUNTIFS($B$7:$B$3000,B780,$C$7:$C$3000,C780,$I$7:$I$3000,"&lt;"&amp;I780,$AI$7:$AI$3000,"yes")+COUNTIFS($B$7:B780,B780,$C$7:C780,C780,$I$7:I780,I780,$AI$7:AI780,"yes"),"")</f>
        <v/>
      </c>
      <c r="AH780" s="110" t="str">
        <f aca="false">IF(ISNUMBER(H780),"yes","no")</f>
        <v>no</v>
      </c>
      <c r="AI780" s="110" t="str">
        <f aca="false">IF(ISNUMBER(I780),"yes","no")</f>
        <v>no</v>
      </c>
      <c r="AJ780" s="120" t="n">
        <v>46297</v>
      </c>
      <c r="AK780" s="110"/>
    </row>
    <row r="781" customFormat="false" ht="23.25" hidden="false" customHeight="true" outlineLevel="0" collapsed="false">
      <c r="B781" s="36" t="s">
        <v>53</v>
      </c>
      <c r="C781" s="98" t="s">
        <v>16</v>
      </c>
      <c r="D781" s="98" t="s">
        <v>296</v>
      </c>
      <c r="E781" s="110" t="s">
        <v>2633</v>
      </c>
      <c r="F781" s="99" t="n">
        <v>1.7</v>
      </c>
      <c r="G781" s="98" t="s">
        <v>244</v>
      </c>
      <c r="H781" s="112" t="str">
        <f aca="false">IF(AND(AE781="yes",ISNUMBER(AD781)),AD781,"")</f>
        <v/>
      </c>
      <c r="I781" s="95" t="str">
        <f aca="false">IF(AND(AE781="yes",ISNUMBER(AD781),ISNUMBER(INDEX(Sources!$G$7:$G$10,MATCH(AB781,Sources!$B$7:$B$10,0)))),ROUND(AD781/INDEX(Sources!$G$7:$G$10,MATCH(AB781,Sources!$B$7:$B$10,0)),6),"")</f>
        <v/>
      </c>
      <c r="J781" s="98" t="s">
        <v>956</v>
      </c>
      <c r="K781" s="98" t="s">
        <v>2059</v>
      </c>
      <c r="L781" s="96"/>
      <c r="M781" s="110" t="s">
        <v>2634</v>
      </c>
      <c r="N781" s="117" t="s">
        <v>2635</v>
      </c>
      <c r="O781" s="110"/>
      <c r="P781" s="110" t="s">
        <v>590</v>
      </c>
      <c r="Q781" s="118" t="n">
        <v>0.19</v>
      </c>
      <c r="R781" s="110" t="n">
        <v>1</v>
      </c>
      <c r="S781" s="110" t="s">
        <v>632</v>
      </c>
      <c r="T781" s="110" t="s">
        <v>956</v>
      </c>
      <c r="U781" s="110" t="s">
        <v>2062</v>
      </c>
      <c r="V781" s="119" t="n">
        <v>1.7</v>
      </c>
      <c r="W781" s="119"/>
      <c r="X781" s="110" t="s">
        <v>2063</v>
      </c>
      <c r="Y781" s="110" t="s">
        <v>2064</v>
      </c>
      <c r="Z781" s="110" t="s">
        <v>2629</v>
      </c>
      <c r="AA781" s="110" t="s">
        <v>537</v>
      </c>
      <c r="AB781" s="110" t="s">
        <v>244</v>
      </c>
      <c r="AC781" s="110" t="s">
        <v>538</v>
      </c>
      <c r="AD781" s="110" t="n">
        <f aca="false">IF(OR(F781="",Q781="",R781=""),"",ROUND(IF(P781="incl.",F781/(1+Q781),F781)/IF(S781="per pack",R781,1),2))</f>
        <v>1.7</v>
      </c>
      <c r="AE781" s="110" t="str">
        <f aca="false">IF(AND(AC781="yes",ISNUMBER(F781),IF(Compare!$H$5="All mapped",TRUE(),IF(Compare!$H$5="EXACT only",J781="EXACT",OR(J781="EXACT",J781="CLOSE")))),"yes","no")</f>
        <v>no</v>
      </c>
      <c r="AF781" s="110" t="str">
        <f aca="false">IF(ISNUMBER(H781),COUNTIFS($B$7:$B$3000,B781,$C$7:$C$3000,C781,$H$7:$H$3000,"&lt;"&amp;H781,$AH$7:$AH$3000,"yes")+COUNTIFS($B$7:B781,B781,$C$7:C781,C781,$H$7:H781,H781,$AH$7:AH781,"yes"),"")</f>
        <v/>
      </c>
      <c r="AG781" s="110" t="str">
        <f aca="false">IF(ISNUMBER(I781),COUNTIFS($B$7:$B$3000,B781,$C$7:$C$3000,C781,$I$7:$I$3000,"&lt;"&amp;I781,$AI$7:$AI$3000,"yes")+COUNTIFS($B$7:B781,B781,$C$7:C781,C781,$I$7:I781,I781,$AI$7:AI781,"yes"),"")</f>
        <v/>
      </c>
      <c r="AH781" s="110" t="str">
        <f aca="false">IF(ISNUMBER(H781),"yes","no")</f>
        <v>no</v>
      </c>
      <c r="AI781" s="110" t="str">
        <f aca="false">IF(ISNUMBER(I781),"yes","no")</f>
        <v>no</v>
      </c>
      <c r="AJ781" s="120" t="n">
        <v>46297</v>
      </c>
      <c r="AK781" s="110"/>
    </row>
    <row r="782" customFormat="false" ht="34.5" hidden="false" customHeight="true" outlineLevel="0" collapsed="false">
      <c r="B782" s="36" t="s">
        <v>65</v>
      </c>
      <c r="C782" s="98" t="s">
        <v>16</v>
      </c>
      <c r="D782" s="98" t="s">
        <v>317</v>
      </c>
      <c r="E782" s="110" t="s">
        <v>2636</v>
      </c>
      <c r="F782" s="99" t="n">
        <v>24.99</v>
      </c>
      <c r="G782" s="98" t="s">
        <v>244</v>
      </c>
      <c r="H782" s="112" t="n">
        <f aca="false">IF(AND(AE782="yes",ISNUMBER(AD782)),AD782,"")</f>
        <v>24.99</v>
      </c>
      <c r="I782" s="95" t="n">
        <f aca="false">IF(AND(AE782="yes",ISNUMBER(AD782),ISNUMBER(INDEX(Sources!$G$7:$G$10,MATCH(AB782,Sources!$B$7:$B$10,0)))),ROUND(AD782/INDEX(Sources!$G$7:$G$10,MATCH(AB782,Sources!$B$7:$B$10,0)),6),"")</f>
        <v>24.99</v>
      </c>
      <c r="J782" s="98" t="s">
        <v>530</v>
      </c>
      <c r="K782" s="98" t="s">
        <v>2059</v>
      </c>
      <c r="L782" s="96"/>
      <c r="M782" s="110" t="s">
        <v>2637</v>
      </c>
      <c r="N782" s="117" t="s">
        <v>986</v>
      </c>
      <c r="O782" s="110" t="s">
        <v>610</v>
      </c>
      <c r="P782" s="110" t="s">
        <v>590</v>
      </c>
      <c r="Q782" s="118" t="n">
        <v>0.19</v>
      </c>
      <c r="R782" s="110" t="n">
        <v>1</v>
      </c>
      <c r="S782" s="110" t="s">
        <v>632</v>
      </c>
      <c r="T782" s="110" t="s">
        <v>530</v>
      </c>
      <c r="U782" s="110" t="s">
        <v>2062</v>
      </c>
      <c r="V782" s="119" t="n">
        <v>24.99</v>
      </c>
      <c r="W782" s="119"/>
      <c r="X782" s="110" t="s">
        <v>2063</v>
      </c>
      <c r="Y782" s="110" t="s">
        <v>2064</v>
      </c>
      <c r="Z782" s="110" t="s">
        <v>2638</v>
      </c>
      <c r="AA782" s="110" t="s">
        <v>537</v>
      </c>
      <c r="AB782" s="110" t="s">
        <v>244</v>
      </c>
      <c r="AC782" s="110" t="s">
        <v>538</v>
      </c>
      <c r="AD782" s="110" t="n">
        <f aca="false">IF(OR(F782="",Q782="",R782=""),"",ROUND(IF(P782="incl.",F782/(1+Q782),F782)/IF(S782="per pack",R782,1),2))</f>
        <v>24.99</v>
      </c>
      <c r="AE782" s="110" t="str">
        <f aca="false">IF(AND(AC782="yes",ISNUMBER(F782),IF(Compare!$H$5="All mapped",TRUE(),IF(Compare!$H$5="EXACT only",J782="EXACT",OR(J782="EXACT",J782="CLOSE")))),"yes","no")</f>
        <v>yes</v>
      </c>
      <c r="AF782" s="110" t="n">
        <f aca="false">IF(ISNUMBER(H782),COUNTIFS($B$7:$B$3000,B782,$C$7:$C$3000,C782,$H$7:$H$3000,"&lt;"&amp;H782,$AH$7:$AH$3000,"yes")+COUNTIFS($B$7:B782,B782,$C$7:C782,C782,$H$7:H782,H782,$AH$7:AH782,"yes"),"")</f>
        <v>1</v>
      </c>
      <c r="AG782" s="110" t="n">
        <f aca="false">IF(ISNUMBER(I782),COUNTIFS($B$7:$B$3000,B782,$C$7:$C$3000,C782,$I$7:$I$3000,"&lt;"&amp;I782,$AI$7:$AI$3000,"yes")+COUNTIFS($B$7:B782,B782,$C$7:C782,C782,$I$7:I782,I782,$AI$7:AI782,"yes"),"")</f>
        <v>1</v>
      </c>
      <c r="AH782" s="110" t="str">
        <f aca="false">IF(ISNUMBER(H782),"yes","no")</f>
        <v>yes</v>
      </c>
      <c r="AI782" s="110" t="str">
        <f aca="false">IF(ISNUMBER(I782),"yes","no")</f>
        <v>yes</v>
      </c>
      <c r="AJ782" s="120" t="n">
        <v>46297</v>
      </c>
      <c r="AK782" s="110"/>
    </row>
    <row r="783" customFormat="false" ht="34.5" hidden="false" customHeight="true" outlineLevel="0" collapsed="false">
      <c r="B783" s="36" t="s">
        <v>65</v>
      </c>
      <c r="C783" s="98" t="s">
        <v>16</v>
      </c>
      <c r="D783" s="98" t="s">
        <v>305</v>
      </c>
      <c r="E783" s="110" t="s">
        <v>2639</v>
      </c>
      <c r="F783" s="99" t="n">
        <v>18.09</v>
      </c>
      <c r="G783" s="98" t="s">
        <v>244</v>
      </c>
      <c r="H783" s="112" t="str">
        <f aca="false">IF(AND(AE783="yes",ISNUMBER(AD783)),AD783,"")</f>
        <v/>
      </c>
      <c r="I783" s="95" t="str">
        <f aca="false">IF(AND(AE783="yes",ISNUMBER(AD783),ISNUMBER(INDEX(Sources!$G$7:$G$10,MATCH(AB783,Sources!$B$7:$B$10,0)))),ROUND(AD783/INDEX(Sources!$G$7:$G$10,MATCH(AB783,Sources!$B$7:$B$10,0)),6),"")</f>
        <v/>
      </c>
      <c r="J783" s="98" t="s">
        <v>629</v>
      </c>
      <c r="K783" s="98" t="s">
        <v>2059</v>
      </c>
      <c r="L783" s="96"/>
      <c r="M783" s="110" t="s">
        <v>2640</v>
      </c>
      <c r="N783" s="117" t="s">
        <v>2641</v>
      </c>
      <c r="O783" s="110" t="s">
        <v>2576</v>
      </c>
      <c r="P783" s="110" t="s">
        <v>590</v>
      </c>
      <c r="Q783" s="118" t="n">
        <v>0.19</v>
      </c>
      <c r="R783" s="110" t="n">
        <v>1</v>
      </c>
      <c r="S783" s="110" t="s">
        <v>632</v>
      </c>
      <c r="T783" s="110" t="s">
        <v>629</v>
      </c>
      <c r="U783" s="110" t="s">
        <v>2062</v>
      </c>
      <c r="V783" s="119" t="n">
        <v>18.09</v>
      </c>
      <c r="W783" s="119"/>
      <c r="X783" s="110" t="s">
        <v>2063</v>
      </c>
      <c r="Y783" s="110" t="s">
        <v>2064</v>
      </c>
      <c r="Z783" s="110" t="s">
        <v>2142</v>
      </c>
      <c r="AA783" s="110" t="s">
        <v>537</v>
      </c>
      <c r="AB783" s="110" t="s">
        <v>244</v>
      </c>
      <c r="AC783" s="110" t="s">
        <v>538</v>
      </c>
      <c r="AD783" s="110" t="n">
        <f aca="false">IF(OR(F783="",Q783="",R783=""),"",ROUND(IF(P783="incl.",F783/(1+Q783),F783)/IF(S783="per pack",R783,1),2))</f>
        <v>18.09</v>
      </c>
      <c r="AE783" s="110" t="str">
        <f aca="false">IF(AND(AC783="yes",ISNUMBER(F783),IF(Compare!$H$5="All mapped",TRUE(),IF(Compare!$H$5="EXACT only",J783="EXACT",OR(J783="EXACT",J783="CLOSE")))),"yes","no")</f>
        <v>no</v>
      </c>
      <c r="AF783" s="110" t="str">
        <f aca="false">IF(ISNUMBER(H783),COUNTIFS($B$7:$B$3000,B783,$C$7:$C$3000,C783,$H$7:$H$3000,"&lt;"&amp;H783,$AH$7:$AH$3000,"yes")+COUNTIFS($B$7:B783,B783,$C$7:C783,C783,$H$7:H783,H783,$AH$7:AH783,"yes"),"")</f>
        <v/>
      </c>
      <c r="AG783" s="110" t="str">
        <f aca="false">IF(ISNUMBER(I783),COUNTIFS($B$7:$B$3000,B783,$C$7:$C$3000,C783,$I$7:$I$3000,"&lt;"&amp;I783,$AI$7:$AI$3000,"yes")+COUNTIFS($B$7:B783,B783,$C$7:C783,C783,$I$7:I783,I783,$AI$7:AI783,"yes"),"")</f>
        <v/>
      </c>
      <c r="AH783" s="110" t="str">
        <f aca="false">IF(ISNUMBER(H783),"yes","no")</f>
        <v>no</v>
      </c>
      <c r="AI783" s="110" t="str">
        <f aca="false">IF(ISNUMBER(I783),"yes","no")</f>
        <v>no</v>
      </c>
      <c r="AJ783" s="120" t="n">
        <v>46297</v>
      </c>
      <c r="AK783" s="110"/>
    </row>
    <row r="784" customFormat="false" ht="23.25" hidden="false" customHeight="true" outlineLevel="0" collapsed="false">
      <c r="B784" s="36" t="s">
        <v>26</v>
      </c>
      <c r="C784" s="98" t="s">
        <v>16</v>
      </c>
      <c r="D784" s="98" t="s">
        <v>305</v>
      </c>
      <c r="E784" s="110" t="s">
        <v>2642</v>
      </c>
      <c r="F784" s="99" t="n">
        <v>9.11</v>
      </c>
      <c r="G784" s="98" t="s">
        <v>244</v>
      </c>
      <c r="H784" s="112" t="n">
        <f aca="false">IF(AND(AE784="yes",ISNUMBER(AD784)),AD784,"")</f>
        <v>1.52</v>
      </c>
      <c r="I784" s="95" t="n">
        <f aca="false">IF(AND(AE784="yes",ISNUMBER(AD784),ISNUMBER(INDEX(Sources!$G$7:$G$10,MATCH(AB784,Sources!$B$7:$B$10,0)))),ROUND(AD784/INDEX(Sources!$G$7:$G$10,MATCH(AB784,Sources!$B$7:$B$10,0)),6),"")</f>
        <v>1.52</v>
      </c>
      <c r="J784" s="98" t="s">
        <v>702</v>
      </c>
      <c r="K784" s="98" t="s">
        <v>2059</v>
      </c>
      <c r="L784" s="96"/>
      <c r="M784" s="110" t="s">
        <v>2643</v>
      </c>
      <c r="N784" s="117" t="s">
        <v>2644</v>
      </c>
      <c r="O784" s="110" t="s">
        <v>2576</v>
      </c>
      <c r="P784" s="110" t="s">
        <v>590</v>
      </c>
      <c r="Q784" s="118" t="n">
        <v>0.19</v>
      </c>
      <c r="R784" s="110" t="n">
        <v>6</v>
      </c>
      <c r="S784" s="110" t="s">
        <v>625</v>
      </c>
      <c r="T784" s="110" t="s">
        <v>702</v>
      </c>
      <c r="U784" s="110" t="s">
        <v>2062</v>
      </c>
      <c r="V784" s="119" t="n">
        <v>1.52</v>
      </c>
      <c r="W784" s="119"/>
      <c r="X784" s="110" t="s">
        <v>2063</v>
      </c>
      <c r="Y784" s="110" t="s">
        <v>2064</v>
      </c>
      <c r="Z784" s="110" t="s">
        <v>2645</v>
      </c>
      <c r="AA784" s="110" t="s">
        <v>537</v>
      </c>
      <c r="AB784" s="110" t="s">
        <v>244</v>
      </c>
      <c r="AC784" s="110" t="s">
        <v>538</v>
      </c>
      <c r="AD784" s="110" t="n">
        <f aca="false">IF(OR(F784="",Q784="",R784=""),"",ROUND(IF(P784="incl.",F784/(1+Q784),F784)/IF(S784="per pack",R784,1),2))</f>
        <v>1.52</v>
      </c>
      <c r="AE784" s="110" t="str">
        <f aca="false">IF(AND(AC784="yes",ISNUMBER(F784),IF(Compare!$H$5="All mapped",TRUE(),IF(Compare!$H$5="EXACT only",J784="EXACT",OR(J784="EXACT",J784="CLOSE")))),"yes","no")</f>
        <v>yes</v>
      </c>
      <c r="AF784" s="110" t="n">
        <f aca="false">IF(ISNUMBER(H784),COUNTIFS($B$7:$B$3000,B784,$C$7:$C$3000,C784,$H$7:$H$3000,"&lt;"&amp;H784,$AH$7:$AH$3000,"yes")+COUNTIFS($B$7:B784,B784,$C$7:C784,C784,$H$7:H784,H784,$AH$7:AH784,"yes"),"")</f>
        <v>1</v>
      </c>
      <c r="AG784" s="110" t="n">
        <f aca="false">IF(ISNUMBER(I784),COUNTIFS($B$7:$B$3000,B784,$C$7:$C$3000,C784,$I$7:$I$3000,"&lt;"&amp;I784,$AI$7:$AI$3000,"yes")+COUNTIFS($B$7:B784,B784,$C$7:C784,C784,$I$7:I784,I784,$AI$7:AI784,"yes"),"")</f>
        <v>1</v>
      </c>
      <c r="AH784" s="110" t="str">
        <f aca="false">IF(ISNUMBER(H784),"yes","no")</f>
        <v>yes</v>
      </c>
      <c r="AI784" s="110" t="str">
        <f aca="false">IF(ISNUMBER(I784),"yes","no")</f>
        <v>yes</v>
      </c>
      <c r="AJ784" s="120" t="n">
        <v>46297</v>
      </c>
      <c r="AK784" s="110"/>
    </row>
    <row r="785" customFormat="false" ht="23.25" hidden="false" customHeight="true" outlineLevel="0" collapsed="false">
      <c r="B785" s="36" t="s">
        <v>25</v>
      </c>
      <c r="C785" s="98" t="s">
        <v>16</v>
      </c>
      <c r="D785" s="98" t="s">
        <v>305</v>
      </c>
      <c r="E785" s="110" t="s">
        <v>2646</v>
      </c>
      <c r="F785" s="99" t="n">
        <v>5.65</v>
      </c>
      <c r="G785" s="98" t="s">
        <v>244</v>
      </c>
      <c r="H785" s="112" t="n">
        <f aca="false">IF(AND(AE785="yes",ISNUMBER(AD785)),AD785,"")</f>
        <v>0.94</v>
      </c>
      <c r="I785" s="95" t="n">
        <f aca="false">IF(AND(AE785="yes",ISNUMBER(AD785),ISNUMBER(INDEX(Sources!$G$7:$G$10,MATCH(AB785,Sources!$B$7:$B$10,0)))),ROUND(AD785/INDEX(Sources!$G$7:$G$10,MATCH(AB785,Sources!$B$7:$B$10,0)),6),"")</f>
        <v>0.94</v>
      </c>
      <c r="J785" s="98" t="s">
        <v>702</v>
      </c>
      <c r="K785" s="98" t="s">
        <v>2059</v>
      </c>
      <c r="L785" s="96"/>
      <c r="M785" s="110" t="s">
        <v>2647</v>
      </c>
      <c r="N785" s="117" t="s">
        <v>2648</v>
      </c>
      <c r="O785" s="110" t="s">
        <v>2576</v>
      </c>
      <c r="P785" s="110" t="s">
        <v>590</v>
      </c>
      <c r="Q785" s="118" t="n">
        <v>0.19</v>
      </c>
      <c r="R785" s="110" t="n">
        <v>6</v>
      </c>
      <c r="S785" s="110" t="s">
        <v>625</v>
      </c>
      <c r="T785" s="110" t="s">
        <v>702</v>
      </c>
      <c r="U785" s="110" t="s">
        <v>2062</v>
      </c>
      <c r="V785" s="119" t="n">
        <v>0.94</v>
      </c>
      <c r="W785" s="119"/>
      <c r="X785" s="110" t="s">
        <v>2063</v>
      </c>
      <c r="Y785" s="110" t="s">
        <v>2064</v>
      </c>
      <c r="Z785" s="110" t="s">
        <v>2649</v>
      </c>
      <c r="AA785" s="110" t="s">
        <v>537</v>
      </c>
      <c r="AB785" s="110" t="s">
        <v>244</v>
      </c>
      <c r="AC785" s="110" t="s">
        <v>538</v>
      </c>
      <c r="AD785" s="110" t="n">
        <f aca="false">IF(OR(F785="",Q785="",R785=""),"",ROUND(IF(P785="incl.",F785/(1+Q785),F785)/IF(S785="per pack",R785,1),2))</f>
        <v>0.94</v>
      </c>
      <c r="AE785" s="110" t="str">
        <f aca="false">IF(AND(AC785="yes",ISNUMBER(F785),IF(Compare!$H$5="All mapped",TRUE(),IF(Compare!$H$5="EXACT only",J785="EXACT",OR(J785="EXACT",J785="CLOSE")))),"yes","no")</f>
        <v>yes</v>
      </c>
      <c r="AF785" s="110" t="n">
        <f aca="false">IF(ISNUMBER(H785),COUNTIFS($B$7:$B$3000,B785,$C$7:$C$3000,C785,$H$7:$H$3000,"&lt;"&amp;H785,$AH$7:$AH$3000,"yes")+COUNTIFS($B$7:B785,B785,$C$7:C785,C785,$H$7:H785,H785,$AH$7:AH785,"yes"),"")</f>
        <v>1</v>
      </c>
      <c r="AG785" s="110" t="n">
        <f aca="false">IF(ISNUMBER(I785),COUNTIFS($B$7:$B$3000,B785,$C$7:$C$3000,C785,$I$7:$I$3000,"&lt;"&amp;I785,$AI$7:$AI$3000,"yes")+COUNTIFS($B$7:B785,B785,$C$7:C785,C785,$I$7:I785,I785,$AI$7:AI785,"yes"),"")</f>
        <v>1</v>
      </c>
      <c r="AH785" s="110" t="str">
        <f aca="false">IF(ISNUMBER(H785),"yes","no")</f>
        <v>yes</v>
      </c>
      <c r="AI785" s="110" t="str">
        <f aca="false">IF(ISNUMBER(I785),"yes","no")</f>
        <v>yes</v>
      </c>
      <c r="AJ785" s="120" t="n">
        <v>46297</v>
      </c>
      <c r="AK785" s="110"/>
    </row>
    <row r="786" customFormat="false" ht="23.25" hidden="false" customHeight="true" outlineLevel="0" collapsed="false">
      <c r="B786" s="36" t="s">
        <v>53</v>
      </c>
      <c r="C786" s="98" t="s">
        <v>16</v>
      </c>
      <c r="D786" s="98" t="s">
        <v>305</v>
      </c>
      <c r="E786" s="110" t="s">
        <v>2650</v>
      </c>
      <c r="F786" s="99" t="n">
        <v>6.5</v>
      </c>
      <c r="G786" s="98" t="s">
        <v>244</v>
      </c>
      <c r="H786" s="112" t="n">
        <f aca="false">IF(AND(AE786="yes",ISNUMBER(AD786)),AD786,"")</f>
        <v>1.08</v>
      </c>
      <c r="I786" s="95" t="n">
        <f aca="false">IF(AND(AE786="yes",ISNUMBER(AD786),ISNUMBER(INDEX(Sources!$G$7:$G$10,MATCH(AB786,Sources!$B$7:$B$10,0)))),ROUND(AD786/INDEX(Sources!$G$7:$G$10,MATCH(AB786,Sources!$B$7:$B$10,0)),6),"")</f>
        <v>1.08</v>
      </c>
      <c r="J786" s="98" t="s">
        <v>702</v>
      </c>
      <c r="K786" s="98" t="s">
        <v>2059</v>
      </c>
      <c r="L786" s="96"/>
      <c r="M786" s="110" t="s">
        <v>2651</v>
      </c>
      <c r="N786" s="117" t="s">
        <v>2652</v>
      </c>
      <c r="O786" s="110" t="s">
        <v>2576</v>
      </c>
      <c r="P786" s="110" t="s">
        <v>590</v>
      </c>
      <c r="Q786" s="118" t="n">
        <v>0.19</v>
      </c>
      <c r="R786" s="110" t="n">
        <v>6</v>
      </c>
      <c r="S786" s="110" t="s">
        <v>625</v>
      </c>
      <c r="T786" s="110" t="s">
        <v>702</v>
      </c>
      <c r="U786" s="110" t="s">
        <v>2062</v>
      </c>
      <c r="V786" s="119" t="n">
        <v>1.08</v>
      </c>
      <c r="W786" s="119"/>
      <c r="X786" s="110" t="s">
        <v>2063</v>
      </c>
      <c r="Y786" s="110" t="s">
        <v>2064</v>
      </c>
      <c r="Z786" s="110" t="s">
        <v>2645</v>
      </c>
      <c r="AA786" s="110" t="s">
        <v>537</v>
      </c>
      <c r="AB786" s="110" t="s">
        <v>244</v>
      </c>
      <c r="AC786" s="110" t="s">
        <v>538</v>
      </c>
      <c r="AD786" s="110" t="n">
        <f aca="false">IF(OR(F786="",Q786="",R786=""),"",ROUND(IF(P786="incl.",F786/(1+Q786),F786)/IF(S786="per pack",R786,1),2))</f>
        <v>1.08</v>
      </c>
      <c r="AE786" s="110" t="str">
        <f aca="false">IF(AND(AC786="yes",ISNUMBER(F786),IF(Compare!$H$5="All mapped",TRUE(),IF(Compare!$H$5="EXACT only",J786="EXACT",OR(J786="EXACT",J786="CLOSE")))),"yes","no")</f>
        <v>yes</v>
      </c>
      <c r="AF786" s="110" t="n">
        <f aca="false">IF(ISNUMBER(H786),COUNTIFS($B$7:$B$3000,B786,$C$7:$C$3000,C786,$H$7:$H$3000,"&lt;"&amp;H786,$AH$7:$AH$3000,"yes")+COUNTIFS($B$7:B786,B786,$C$7:C786,C786,$H$7:H786,H786,$AH$7:AH786,"yes"),"")</f>
        <v>1</v>
      </c>
      <c r="AG786" s="110" t="n">
        <f aca="false">IF(ISNUMBER(I786),COUNTIFS($B$7:$B$3000,B786,$C$7:$C$3000,C786,$I$7:$I$3000,"&lt;"&amp;I786,$AI$7:$AI$3000,"yes")+COUNTIFS($B$7:B786,B786,$C$7:C786,C786,$I$7:I786,I786,$AI$7:AI786,"yes"),"")</f>
        <v>1</v>
      </c>
      <c r="AH786" s="110" t="str">
        <f aca="false">IF(ISNUMBER(H786),"yes","no")</f>
        <v>yes</v>
      </c>
      <c r="AI786" s="110" t="str">
        <f aca="false">IF(ISNUMBER(I786),"yes","no")</f>
        <v>yes</v>
      </c>
      <c r="AJ786" s="120" t="n">
        <v>46297</v>
      </c>
      <c r="AK786" s="110"/>
    </row>
    <row r="787" customFormat="false" ht="34.5" hidden="false" customHeight="true" outlineLevel="0" collapsed="false">
      <c r="B787" s="36" t="s">
        <v>52</v>
      </c>
      <c r="C787" s="98" t="s">
        <v>16</v>
      </c>
      <c r="D787" s="98" t="s">
        <v>313</v>
      </c>
      <c r="E787" s="110" t="s">
        <v>2653</v>
      </c>
      <c r="F787" s="99" t="n">
        <v>1.29</v>
      </c>
      <c r="G787" s="98" t="s">
        <v>244</v>
      </c>
      <c r="H787" s="112" t="n">
        <f aca="false">IF(AND(AE787="yes",ISNUMBER(AD787)),AD787,"")</f>
        <v>1.08</v>
      </c>
      <c r="I787" s="95" t="n">
        <f aca="false">IF(AND(AE787="yes",ISNUMBER(AD787),ISNUMBER(INDEX(Sources!$G$7:$G$10,MATCH(AB787,Sources!$B$7:$B$10,0)))),ROUND(AD787/INDEX(Sources!$G$7:$G$10,MATCH(AB787,Sources!$B$7:$B$10,0)),6),"")</f>
        <v>1.08</v>
      </c>
      <c r="J787" s="98" t="s">
        <v>702</v>
      </c>
      <c r="K787" s="98" t="s">
        <v>2059</v>
      </c>
      <c r="L787" s="96"/>
      <c r="M787" s="110" t="s">
        <v>2654</v>
      </c>
      <c r="N787" s="117" t="s">
        <v>2655</v>
      </c>
      <c r="O787" s="110" t="s">
        <v>598</v>
      </c>
      <c r="P787" s="110" t="s">
        <v>265</v>
      </c>
      <c r="Q787" s="118" t="n">
        <v>0.19</v>
      </c>
      <c r="R787" s="110" t="n">
        <v>1</v>
      </c>
      <c r="S787" s="110" t="s">
        <v>632</v>
      </c>
      <c r="T787" s="110" t="s">
        <v>702</v>
      </c>
      <c r="U787" s="110" t="s">
        <v>2124</v>
      </c>
      <c r="V787" s="119" t="n">
        <v>1.08</v>
      </c>
      <c r="W787" s="119"/>
      <c r="X787" s="110" t="s">
        <v>2063</v>
      </c>
      <c r="Y787" s="110" t="s">
        <v>2064</v>
      </c>
      <c r="Z787" s="110" t="s">
        <v>2656</v>
      </c>
      <c r="AA787" s="110" t="s">
        <v>537</v>
      </c>
      <c r="AB787" s="110" t="s">
        <v>244</v>
      </c>
      <c r="AC787" s="110" t="s">
        <v>538</v>
      </c>
      <c r="AD787" s="110" t="n">
        <f aca="false">IF(OR(F787="",Q787="",R787=""),"",ROUND(IF(P787="incl.",F787/(1+Q787),F787)/IF(S787="per pack",R787,1),2))</f>
        <v>1.08</v>
      </c>
      <c r="AE787" s="110" t="str">
        <f aca="false">IF(AND(AC787="yes",ISNUMBER(F787),IF(Compare!$H$5="All mapped",TRUE(),IF(Compare!$H$5="EXACT only",J787="EXACT",OR(J787="EXACT",J787="CLOSE")))),"yes","no")</f>
        <v>yes</v>
      </c>
      <c r="AF787" s="110" t="n">
        <f aca="false">IF(ISNUMBER(H787),COUNTIFS($B$7:$B$3000,B787,$C$7:$C$3000,C787,$H$7:$H$3000,"&lt;"&amp;H787,$AH$7:$AH$3000,"yes")+COUNTIFS($B$7:B787,B787,$C$7:C787,C787,$H$7:H787,H787,$AH$7:AH787,"yes"),"")</f>
        <v>2</v>
      </c>
      <c r="AG787" s="110" t="n">
        <f aca="false">IF(ISNUMBER(I787),COUNTIFS($B$7:$B$3000,B787,$C$7:$C$3000,C787,$I$7:$I$3000,"&lt;"&amp;I787,$AI$7:$AI$3000,"yes")+COUNTIFS($B$7:B787,B787,$C$7:C787,C787,$I$7:I787,I787,$AI$7:AI787,"yes"),"")</f>
        <v>2</v>
      </c>
      <c r="AH787" s="110" t="str">
        <f aca="false">IF(ISNUMBER(H787),"yes","no")</f>
        <v>yes</v>
      </c>
      <c r="AI787" s="110" t="str">
        <f aca="false">IF(ISNUMBER(I787),"yes","no")</f>
        <v>yes</v>
      </c>
      <c r="AJ787" s="120" t="n">
        <v>46297</v>
      </c>
      <c r="AK787" s="110"/>
    </row>
    <row r="788" customFormat="false" ht="34.5" hidden="false" customHeight="true" outlineLevel="0" collapsed="false">
      <c r="B788" s="36" t="s">
        <v>62</v>
      </c>
      <c r="C788" s="98" t="s">
        <v>16</v>
      </c>
      <c r="D788" s="98" t="s">
        <v>313</v>
      </c>
      <c r="E788" s="110" t="s">
        <v>2657</v>
      </c>
      <c r="F788" s="99" t="n">
        <v>4.59</v>
      </c>
      <c r="G788" s="98" t="s">
        <v>244</v>
      </c>
      <c r="H788" s="112" t="str">
        <f aca="false">IF(AND(AE788="yes",ISNUMBER(AD788)),AD788,"")</f>
        <v/>
      </c>
      <c r="I788" s="95" t="str">
        <f aca="false">IF(AND(AE788="yes",ISNUMBER(AD788),ISNUMBER(INDEX(Sources!$G$7:$G$10,MATCH(AB788,Sources!$B$7:$B$10,0)))),ROUND(AD788/INDEX(Sources!$G$7:$G$10,MATCH(AB788,Sources!$B$7:$B$10,0)),6),"")</f>
        <v/>
      </c>
      <c r="J788" s="98" t="s">
        <v>629</v>
      </c>
      <c r="K788" s="98" t="s">
        <v>2059</v>
      </c>
      <c r="L788" s="96"/>
      <c r="M788" s="110" t="s">
        <v>2658</v>
      </c>
      <c r="N788" s="117" t="s">
        <v>860</v>
      </c>
      <c r="O788" s="110" t="s">
        <v>598</v>
      </c>
      <c r="P788" s="110" t="s">
        <v>265</v>
      </c>
      <c r="Q788" s="118" t="n">
        <v>0.19</v>
      </c>
      <c r="R788" s="110" t="n">
        <v>1</v>
      </c>
      <c r="S788" s="110" t="s">
        <v>632</v>
      </c>
      <c r="T788" s="110" t="s">
        <v>629</v>
      </c>
      <c r="U788" s="110" t="s">
        <v>2124</v>
      </c>
      <c r="V788" s="119" t="n">
        <v>3.86</v>
      </c>
      <c r="W788" s="119"/>
      <c r="X788" s="110" t="s">
        <v>2063</v>
      </c>
      <c r="Y788" s="110" t="s">
        <v>2064</v>
      </c>
      <c r="Z788" s="110" t="s">
        <v>2130</v>
      </c>
      <c r="AA788" s="110" t="s">
        <v>537</v>
      </c>
      <c r="AB788" s="110" t="s">
        <v>244</v>
      </c>
      <c r="AC788" s="110" t="s">
        <v>538</v>
      </c>
      <c r="AD788" s="110" t="n">
        <f aca="false">IF(OR(F788="",Q788="",R788=""),"",ROUND(IF(P788="incl.",F788/(1+Q788),F788)/IF(S788="per pack",R788,1),2))</f>
        <v>3.86</v>
      </c>
      <c r="AE788" s="110" t="str">
        <f aca="false">IF(AND(AC788="yes",ISNUMBER(F788),IF(Compare!$H$5="All mapped",TRUE(),IF(Compare!$H$5="EXACT only",J788="EXACT",OR(J788="EXACT",J788="CLOSE")))),"yes","no")</f>
        <v>no</v>
      </c>
      <c r="AF788" s="110" t="str">
        <f aca="false">IF(ISNUMBER(H788),COUNTIFS($B$7:$B$3000,B788,$C$7:$C$3000,C788,$H$7:$H$3000,"&lt;"&amp;H788,$AH$7:$AH$3000,"yes")+COUNTIFS($B$7:B788,B788,$C$7:C788,C788,$H$7:H788,H788,$AH$7:AH788,"yes"),"")</f>
        <v/>
      </c>
      <c r="AG788" s="110" t="str">
        <f aca="false">IF(ISNUMBER(I788),COUNTIFS($B$7:$B$3000,B788,$C$7:$C$3000,C788,$I$7:$I$3000,"&lt;"&amp;I788,$AI$7:$AI$3000,"yes")+COUNTIFS($B$7:B788,B788,$C$7:C788,C788,$I$7:I788,I788,$AI$7:AI788,"yes"),"")</f>
        <v/>
      </c>
      <c r="AH788" s="110" t="str">
        <f aca="false">IF(ISNUMBER(H788),"yes","no")</f>
        <v>no</v>
      </c>
      <c r="AI788" s="110" t="str">
        <f aca="false">IF(ISNUMBER(I788),"yes","no")</f>
        <v>no</v>
      </c>
      <c r="AJ788" s="120" t="n">
        <v>46297</v>
      </c>
      <c r="AK788" s="110"/>
    </row>
    <row r="789" customFormat="false" ht="34.5" hidden="false" customHeight="true" outlineLevel="0" collapsed="false">
      <c r="B789" s="36" t="s">
        <v>26</v>
      </c>
      <c r="C789" s="98" t="s">
        <v>16</v>
      </c>
      <c r="D789" s="98" t="s">
        <v>325</v>
      </c>
      <c r="E789" s="110" t="s">
        <v>2659</v>
      </c>
      <c r="F789" s="99" t="n">
        <v>1.99</v>
      </c>
      <c r="G789" s="98" t="s">
        <v>244</v>
      </c>
      <c r="H789" s="112" t="n">
        <f aca="false">IF(AND(AE789="yes",ISNUMBER(AD789)),AD789,"")</f>
        <v>1.99</v>
      </c>
      <c r="I789" s="95" t="n">
        <f aca="false">IF(AND(AE789="yes",ISNUMBER(AD789),ISNUMBER(INDEX(Sources!$G$7:$G$10,MATCH(AB789,Sources!$B$7:$B$10,0)))),ROUND(AD789/INDEX(Sources!$G$7:$G$10,MATCH(AB789,Sources!$B$7:$B$10,0)),6),"")</f>
        <v>1.99</v>
      </c>
      <c r="J789" s="98" t="s">
        <v>702</v>
      </c>
      <c r="K789" s="98" t="s">
        <v>2059</v>
      </c>
      <c r="L789" s="96"/>
      <c r="M789" s="110" t="s">
        <v>2660</v>
      </c>
      <c r="N789" s="117" t="s">
        <v>2661</v>
      </c>
      <c r="O789" s="110" t="s">
        <v>662</v>
      </c>
      <c r="P789" s="110" t="s">
        <v>590</v>
      </c>
      <c r="Q789" s="118" t="n">
        <v>0.19</v>
      </c>
      <c r="R789" s="110" t="n">
        <v>1</v>
      </c>
      <c r="S789" s="110" t="s">
        <v>632</v>
      </c>
      <c r="T789" s="110" t="s">
        <v>702</v>
      </c>
      <c r="U789" s="110" t="s">
        <v>2062</v>
      </c>
      <c r="V789" s="119" t="n">
        <v>1.99</v>
      </c>
      <c r="W789" s="119"/>
      <c r="X789" s="110" t="s">
        <v>2063</v>
      </c>
      <c r="Y789" s="110" t="s">
        <v>2064</v>
      </c>
      <c r="Z789" s="110" t="s">
        <v>2662</v>
      </c>
      <c r="AA789" s="110" t="s">
        <v>537</v>
      </c>
      <c r="AB789" s="110" t="s">
        <v>244</v>
      </c>
      <c r="AC789" s="110" t="s">
        <v>538</v>
      </c>
      <c r="AD789" s="110" t="n">
        <f aca="false">IF(OR(F789="",Q789="",R789=""),"",ROUND(IF(P789="incl.",F789/(1+Q789),F789)/IF(S789="per pack",R789,1),2))</f>
        <v>1.99</v>
      </c>
      <c r="AE789" s="110" t="str">
        <f aca="false">IF(AND(AC789="yes",ISNUMBER(F789),IF(Compare!$H$5="All mapped",TRUE(),IF(Compare!$H$5="EXACT only",J789="EXACT",OR(J789="EXACT",J789="CLOSE")))),"yes","no")</f>
        <v>yes</v>
      </c>
      <c r="AF789" s="110" t="n">
        <f aca="false">IF(ISNUMBER(H789),COUNTIFS($B$7:$B$3000,B789,$C$7:$C$3000,C789,$H$7:$H$3000,"&lt;"&amp;H789,$AH$7:$AH$3000,"yes")+COUNTIFS($B$7:B789,B789,$C$7:C789,C789,$H$7:H789,H789,$AH$7:AH789,"yes"),"")</f>
        <v>5</v>
      </c>
      <c r="AG789" s="110" t="n">
        <f aca="false">IF(ISNUMBER(I789),COUNTIFS($B$7:$B$3000,B789,$C$7:$C$3000,C789,$I$7:$I$3000,"&lt;"&amp;I789,$AI$7:$AI$3000,"yes")+COUNTIFS($B$7:B789,B789,$C$7:C789,C789,$I$7:I789,I789,$AI$7:AI789,"yes"),"")</f>
        <v>5</v>
      </c>
      <c r="AH789" s="110" t="str">
        <f aca="false">IF(ISNUMBER(H789),"yes","no")</f>
        <v>yes</v>
      </c>
      <c r="AI789" s="110" t="str">
        <f aca="false">IF(ISNUMBER(I789),"yes","no")</f>
        <v>yes</v>
      </c>
      <c r="AJ789" s="120" t="n">
        <v>46297</v>
      </c>
      <c r="AK789" s="110"/>
    </row>
    <row r="790" customFormat="false" ht="23.25" hidden="false" customHeight="true" outlineLevel="0" collapsed="false">
      <c r="B790" s="36" t="s">
        <v>52</v>
      </c>
      <c r="C790" s="98" t="s">
        <v>16</v>
      </c>
      <c r="D790" s="98" t="s">
        <v>325</v>
      </c>
      <c r="E790" s="110" t="s">
        <v>2663</v>
      </c>
      <c r="F790" s="99" t="n">
        <v>2.79</v>
      </c>
      <c r="G790" s="98" t="s">
        <v>244</v>
      </c>
      <c r="H790" s="112" t="n">
        <f aca="false">IF(AND(AE790="yes",ISNUMBER(AD790)),AD790,"")</f>
        <v>2.79</v>
      </c>
      <c r="I790" s="95" t="n">
        <f aca="false">IF(AND(AE790="yes",ISNUMBER(AD790),ISNUMBER(INDEX(Sources!$G$7:$G$10,MATCH(AB790,Sources!$B$7:$B$10,0)))),ROUND(AD790/INDEX(Sources!$G$7:$G$10,MATCH(AB790,Sources!$B$7:$B$10,0)),6),"")</f>
        <v>2.79</v>
      </c>
      <c r="J790" s="98" t="s">
        <v>702</v>
      </c>
      <c r="K790" s="98" t="s">
        <v>2059</v>
      </c>
      <c r="L790" s="96"/>
      <c r="M790" s="110" t="s">
        <v>2664</v>
      </c>
      <c r="N790" s="117" t="s">
        <v>2665</v>
      </c>
      <c r="O790" s="110" t="s">
        <v>589</v>
      </c>
      <c r="P790" s="110" t="s">
        <v>590</v>
      </c>
      <c r="Q790" s="118" t="n">
        <v>0.19</v>
      </c>
      <c r="R790" s="110" t="n">
        <v>1</v>
      </c>
      <c r="S790" s="110" t="s">
        <v>632</v>
      </c>
      <c r="T790" s="110" t="s">
        <v>702</v>
      </c>
      <c r="U790" s="110" t="s">
        <v>2062</v>
      </c>
      <c r="V790" s="119" t="n">
        <v>2.79</v>
      </c>
      <c r="W790" s="119"/>
      <c r="X790" s="110" t="s">
        <v>2063</v>
      </c>
      <c r="Y790" s="110" t="s">
        <v>2064</v>
      </c>
      <c r="Z790" s="110" t="s">
        <v>2666</v>
      </c>
      <c r="AA790" s="110" t="s">
        <v>537</v>
      </c>
      <c r="AB790" s="110" t="s">
        <v>244</v>
      </c>
      <c r="AC790" s="110" t="s">
        <v>538</v>
      </c>
      <c r="AD790" s="110" t="n">
        <f aca="false">IF(OR(F790="",Q790="",R790=""),"",ROUND(IF(P790="incl.",F790/(1+Q790),F790)/IF(S790="per pack",R790,1),2))</f>
        <v>2.79</v>
      </c>
      <c r="AE790" s="110" t="str">
        <f aca="false">IF(AND(AC790="yes",ISNUMBER(F790),IF(Compare!$H$5="All mapped",TRUE(),IF(Compare!$H$5="EXACT only",J790="EXACT",OR(J790="EXACT",J790="CLOSE")))),"yes","no")</f>
        <v>yes</v>
      </c>
      <c r="AF790" s="110" t="n">
        <f aca="false">IF(ISNUMBER(H790),COUNTIFS($B$7:$B$3000,B790,$C$7:$C$3000,C790,$H$7:$H$3000,"&lt;"&amp;H790,$AH$7:$AH$3000,"yes")+COUNTIFS($B$7:B790,B790,$C$7:C790,C790,$H$7:H790,H790,$AH$7:AH790,"yes"),"")</f>
        <v>3</v>
      </c>
      <c r="AG790" s="110" t="n">
        <f aca="false">IF(ISNUMBER(I790),COUNTIFS($B$7:$B$3000,B790,$C$7:$C$3000,C790,$I$7:$I$3000,"&lt;"&amp;I790,$AI$7:$AI$3000,"yes")+COUNTIFS($B$7:B790,B790,$C$7:C790,C790,$I$7:I790,I790,$AI$7:AI790,"yes"),"")</f>
        <v>3</v>
      </c>
      <c r="AH790" s="110" t="str">
        <f aca="false">IF(ISNUMBER(H790),"yes","no")</f>
        <v>yes</v>
      </c>
      <c r="AI790" s="110" t="str">
        <f aca="false">IF(ISNUMBER(I790),"yes","no")</f>
        <v>yes</v>
      </c>
      <c r="AJ790" s="120" t="n">
        <v>46297</v>
      </c>
      <c r="AK790" s="110"/>
    </row>
    <row r="791" customFormat="false" ht="23.25" hidden="false" customHeight="true" outlineLevel="0" collapsed="false">
      <c r="B791" s="36" t="s">
        <v>25</v>
      </c>
      <c r="C791" s="98" t="s">
        <v>16</v>
      </c>
      <c r="D791" s="98" t="s">
        <v>325</v>
      </c>
      <c r="E791" s="110" t="s">
        <v>2667</v>
      </c>
      <c r="F791" s="99" t="n">
        <v>1.69</v>
      </c>
      <c r="G791" s="98" t="s">
        <v>244</v>
      </c>
      <c r="H791" s="112" t="str">
        <f aca="false">IF(AND(AE791="yes",ISNUMBER(AD791)),AD791,"")</f>
        <v/>
      </c>
      <c r="I791" s="95" t="str">
        <f aca="false">IF(AND(AE791="yes",ISNUMBER(AD791),ISNUMBER(INDEX(Sources!$G$7:$G$10,MATCH(AB791,Sources!$B$7:$B$10,0)))),ROUND(AD791/INDEX(Sources!$G$7:$G$10,MATCH(AB791,Sources!$B$7:$B$10,0)),6),"")</f>
        <v/>
      </c>
      <c r="J791" s="98" t="s">
        <v>629</v>
      </c>
      <c r="K791" s="98" t="s">
        <v>2059</v>
      </c>
      <c r="L791" s="96"/>
      <c r="M791" s="110" t="s">
        <v>2668</v>
      </c>
      <c r="N791" s="117" t="s">
        <v>2669</v>
      </c>
      <c r="O791" s="110" t="s">
        <v>662</v>
      </c>
      <c r="P791" s="110" t="s">
        <v>590</v>
      </c>
      <c r="Q791" s="118" t="n">
        <v>0.19</v>
      </c>
      <c r="R791" s="110" t="n">
        <v>1</v>
      </c>
      <c r="S791" s="110" t="s">
        <v>632</v>
      </c>
      <c r="T791" s="110" t="s">
        <v>629</v>
      </c>
      <c r="U791" s="110" t="s">
        <v>2062</v>
      </c>
      <c r="V791" s="119" t="n">
        <v>1.69</v>
      </c>
      <c r="W791" s="119"/>
      <c r="X791" s="110" t="s">
        <v>2063</v>
      </c>
      <c r="Y791" s="110" t="s">
        <v>2064</v>
      </c>
      <c r="Z791" s="110" t="s">
        <v>2670</v>
      </c>
      <c r="AA791" s="110" t="s">
        <v>537</v>
      </c>
      <c r="AB791" s="110" t="s">
        <v>244</v>
      </c>
      <c r="AC791" s="110" t="s">
        <v>538</v>
      </c>
      <c r="AD791" s="110" t="n">
        <f aca="false">IF(OR(F791="",Q791="",R791=""),"",ROUND(IF(P791="incl.",F791/(1+Q791),F791)/IF(S791="per pack",R791,1),2))</f>
        <v>1.69</v>
      </c>
      <c r="AE791" s="110" t="str">
        <f aca="false">IF(AND(AC791="yes",ISNUMBER(F791),IF(Compare!$H$5="All mapped",TRUE(),IF(Compare!$H$5="EXACT only",J791="EXACT",OR(J791="EXACT",J791="CLOSE")))),"yes","no")</f>
        <v>no</v>
      </c>
      <c r="AF791" s="110" t="str">
        <f aca="false">IF(ISNUMBER(H791),COUNTIFS($B$7:$B$3000,B791,$C$7:$C$3000,C791,$H$7:$H$3000,"&lt;"&amp;H791,$AH$7:$AH$3000,"yes")+COUNTIFS($B$7:B791,B791,$C$7:C791,C791,$H$7:H791,H791,$AH$7:AH791,"yes"),"")</f>
        <v/>
      </c>
      <c r="AG791" s="110" t="str">
        <f aca="false">IF(ISNUMBER(I791),COUNTIFS($B$7:$B$3000,B791,$C$7:$C$3000,C791,$I$7:$I$3000,"&lt;"&amp;I791,$AI$7:$AI$3000,"yes")+COUNTIFS($B$7:B791,B791,$C$7:C791,C791,$I$7:I791,I791,$AI$7:AI791,"yes"),"")</f>
        <v/>
      </c>
      <c r="AH791" s="110" t="str">
        <f aca="false">IF(ISNUMBER(H791),"yes","no")</f>
        <v>no</v>
      </c>
      <c r="AI791" s="110" t="str">
        <f aca="false">IF(ISNUMBER(I791),"yes","no")</f>
        <v>no</v>
      </c>
      <c r="AJ791" s="120" t="n">
        <v>46297</v>
      </c>
      <c r="AK791" s="110"/>
    </row>
    <row r="792" customFormat="false" ht="23.25" hidden="false" customHeight="true" outlineLevel="0" collapsed="false">
      <c r="B792" s="36" t="s">
        <v>53</v>
      </c>
      <c r="C792" s="98" t="s">
        <v>16</v>
      </c>
      <c r="D792" s="98" t="s">
        <v>325</v>
      </c>
      <c r="E792" s="110" t="s">
        <v>2671</v>
      </c>
      <c r="F792" s="99" t="n">
        <v>1.49</v>
      </c>
      <c r="G792" s="98" t="s">
        <v>244</v>
      </c>
      <c r="H792" s="112" t="str">
        <f aca="false">IF(AND(AE792="yes",ISNUMBER(AD792)),AD792,"")</f>
        <v/>
      </c>
      <c r="I792" s="95" t="str">
        <f aca="false">IF(AND(AE792="yes",ISNUMBER(AD792),ISNUMBER(INDEX(Sources!$G$7:$G$10,MATCH(AB792,Sources!$B$7:$B$10,0)))),ROUND(AD792/INDEX(Sources!$G$7:$G$10,MATCH(AB792,Sources!$B$7:$B$10,0)),6),"")</f>
        <v/>
      </c>
      <c r="J792" s="98" t="s">
        <v>629</v>
      </c>
      <c r="K792" s="98" t="s">
        <v>2059</v>
      </c>
      <c r="L792" s="96"/>
      <c r="M792" s="110" t="s">
        <v>2672</v>
      </c>
      <c r="N792" s="117" t="s">
        <v>2673</v>
      </c>
      <c r="O792" s="110" t="s">
        <v>733</v>
      </c>
      <c r="P792" s="110" t="s">
        <v>590</v>
      </c>
      <c r="Q792" s="118" t="n">
        <v>0.19</v>
      </c>
      <c r="R792" s="110" t="n">
        <v>1</v>
      </c>
      <c r="S792" s="110" t="s">
        <v>632</v>
      </c>
      <c r="T792" s="110" t="s">
        <v>629</v>
      </c>
      <c r="U792" s="110" t="s">
        <v>2062</v>
      </c>
      <c r="V792" s="119" t="n">
        <v>1.49</v>
      </c>
      <c r="W792" s="119"/>
      <c r="X792" s="110" t="s">
        <v>2063</v>
      </c>
      <c r="Y792" s="110" t="s">
        <v>2064</v>
      </c>
      <c r="Z792" s="110" t="s">
        <v>2266</v>
      </c>
      <c r="AA792" s="110" t="s">
        <v>537</v>
      </c>
      <c r="AB792" s="110" t="s">
        <v>244</v>
      </c>
      <c r="AC792" s="110" t="s">
        <v>538</v>
      </c>
      <c r="AD792" s="110" t="n">
        <f aca="false">IF(OR(F792="",Q792="",R792=""),"",ROUND(IF(P792="incl.",F792/(1+Q792),F792)/IF(S792="per pack",R792,1),2))</f>
        <v>1.49</v>
      </c>
      <c r="AE792" s="110" t="str">
        <f aca="false">IF(AND(AC792="yes",ISNUMBER(F792),IF(Compare!$H$5="All mapped",TRUE(),IF(Compare!$H$5="EXACT only",J792="EXACT",OR(J792="EXACT",J792="CLOSE")))),"yes","no")</f>
        <v>no</v>
      </c>
      <c r="AF792" s="110" t="str">
        <f aca="false">IF(ISNUMBER(H792),COUNTIFS($B$7:$B$3000,B792,$C$7:$C$3000,C792,$H$7:$H$3000,"&lt;"&amp;H792,$AH$7:$AH$3000,"yes")+COUNTIFS($B$7:B792,B792,$C$7:C792,C792,$H$7:H792,H792,$AH$7:AH792,"yes"),"")</f>
        <v/>
      </c>
      <c r="AG792" s="110" t="str">
        <f aca="false">IF(ISNUMBER(I792),COUNTIFS($B$7:$B$3000,B792,$C$7:$C$3000,C792,$I$7:$I$3000,"&lt;"&amp;I792,$AI$7:$AI$3000,"yes")+COUNTIFS($B$7:B792,B792,$C$7:C792,C792,$I$7:I792,I792,$AI$7:AI792,"yes"),"")</f>
        <v/>
      </c>
      <c r="AH792" s="110" t="str">
        <f aca="false">IF(ISNUMBER(H792),"yes","no")</f>
        <v>no</v>
      </c>
      <c r="AI792" s="110" t="str">
        <f aca="false">IF(ISNUMBER(I792),"yes","no")</f>
        <v>no</v>
      </c>
      <c r="AJ792" s="120" t="n">
        <v>46297</v>
      </c>
      <c r="AK792" s="110"/>
    </row>
    <row r="793" customFormat="false" ht="23.25" hidden="false" customHeight="true" outlineLevel="0" collapsed="false">
      <c r="B793" s="36" t="s">
        <v>65</v>
      </c>
      <c r="C793" s="98" t="s">
        <v>16</v>
      </c>
      <c r="D793" s="98" t="s">
        <v>329</v>
      </c>
      <c r="E793" s="110" t="s">
        <v>2674</v>
      </c>
      <c r="F793" s="99" t="n">
        <v>28.49</v>
      </c>
      <c r="G793" s="98" t="s">
        <v>244</v>
      </c>
      <c r="H793" s="112" t="str">
        <f aca="false">IF(AND(AE793="yes",ISNUMBER(AD793)),AD793,"")</f>
        <v/>
      </c>
      <c r="I793" s="95" t="str">
        <f aca="false">IF(AND(AE793="yes",ISNUMBER(AD793),ISNUMBER(INDEX(Sources!$G$7:$G$10,MATCH(AB793,Sources!$B$7:$B$10,0)))),ROUND(AD793/INDEX(Sources!$G$7:$G$10,MATCH(AB793,Sources!$B$7:$B$10,0)),6),"")</f>
        <v/>
      </c>
      <c r="J793" s="98" t="s">
        <v>629</v>
      </c>
      <c r="K793" s="98" t="s">
        <v>2059</v>
      </c>
      <c r="L793" s="96"/>
      <c r="M793" s="110" t="s">
        <v>2675</v>
      </c>
      <c r="N793" s="117" t="s">
        <v>2676</v>
      </c>
      <c r="O793" s="110" t="s">
        <v>565</v>
      </c>
      <c r="P793" s="110" t="s">
        <v>590</v>
      </c>
      <c r="Q793" s="118" t="n">
        <v>0.19</v>
      </c>
      <c r="R793" s="110" t="n">
        <v>1</v>
      </c>
      <c r="S793" s="110" t="s">
        <v>632</v>
      </c>
      <c r="T793" s="110" t="s">
        <v>629</v>
      </c>
      <c r="U793" s="110" t="s">
        <v>2062</v>
      </c>
      <c r="V793" s="119" t="n">
        <v>28.49</v>
      </c>
      <c r="W793" s="119"/>
      <c r="X793" s="110" t="s">
        <v>2063</v>
      </c>
      <c r="Y793" s="110" t="s">
        <v>2064</v>
      </c>
      <c r="Z793" s="110" t="s">
        <v>2624</v>
      </c>
      <c r="AA793" s="110" t="s">
        <v>537</v>
      </c>
      <c r="AB793" s="110" t="s">
        <v>244</v>
      </c>
      <c r="AC793" s="110" t="s">
        <v>538</v>
      </c>
      <c r="AD793" s="110" t="n">
        <f aca="false">IF(OR(F793="",Q793="",R793=""),"",ROUND(IF(P793="incl.",F793/(1+Q793),F793)/IF(S793="per pack",R793,1),2))</f>
        <v>28.49</v>
      </c>
      <c r="AE793" s="110" t="str">
        <f aca="false">IF(AND(AC793="yes",ISNUMBER(F793),IF(Compare!$H$5="All mapped",TRUE(),IF(Compare!$H$5="EXACT only",J793="EXACT",OR(J793="EXACT",J793="CLOSE")))),"yes","no")</f>
        <v>no</v>
      </c>
      <c r="AF793" s="110" t="str">
        <f aca="false">IF(ISNUMBER(H793),COUNTIFS($B$7:$B$3000,B793,$C$7:$C$3000,C793,$H$7:$H$3000,"&lt;"&amp;H793,$AH$7:$AH$3000,"yes")+COUNTIFS($B$7:B793,B793,$C$7:C793,C793,$H$7:H793,H793,$AH$7:AH793,"yes"),"")</f>
        <v/>
      </c>
      <c r="AG793" s="110" t="str">
        <f aca="false">IF(ISNUMBER(I793),COUNTIFS($B$7:$B$3000,B793,$C$7:$C$3000,C793,$I$7:$I$3000,"&lt;"&amp;I793,$AI$7:$AI$3000,"yes")+COUNTIFS($B$7:B793,B793,$C$7:C793,C793,$I$7:I793,I793,$AI$7:AI793,"yes"),"")</f>
        <v/>
      </c>
      <c r="AH793" s="110" t="str">
        <f aca="false">IF(ISNUMBER(H793),"yes","no")</f>
        <v>no</v>
      </c>
      <c r="AI793" s="110" t="str">
        <f aca="false">IF(ISNUMBER(I793),"yes","no")</f>
        <v>no</v>
      </c>
      <c r="AJ793" s="120" t="n">
        <v>46297</v>
      </c>
      <c r="AK793" s="110"/>
    </row>
    <row r="794" customFormat="false" ht="34.5" hidden="false" customHeight="true" outlineLevel="0" collapsed="false">
      <c r="B794" s="36" t="s">
        <v>52</v>
      </c>
      <c r="C794" s="98" t="s">
        <v>16</v>
      </c>
      <c r="D794" s="98" t="s">
        <v>329</v>
      </c>
      <c r="E794" s="110" t="s">
        <v>2677</v>
      </c>
      <c r="F794" s="99" t="n">
        <v>0.69</v>
      </c>
      <c r="G794" s="98" t="s">
        <v>244</v>
      </c>
      <c r="H794" s="112" t="n">
        <f aca="false">IF(AND(AE794="yes",ISNUMBER(AD794)),AD794,"")</f>
        <v>0.69</v>
      </c>
      <c r="I794" s="95" t="n">
        <f aca="false">IF(AND(AE794="yes",ISNUMBER(AD794),ISNUMBER(INDEX(Sources!$G$7:$G$10,MATCH(AB794,Sources!$B$7:$B$10,0)))),ROUND(AD794/INDEX(Sources!$G$7:$G$10,MATCH(AB794,Sources!$B$7:$B$10,0)),6),"")</f>
        <v>0.69</v>
      </c>
      <c r="J794" s="98" t="s">
        <v>702</v>
      </c>
      <c r="K794" s="98" t="s">
        <v>2059</v>
      </c>
      <c r="L794" s="96"/>
      <c r="M794" s="110" t="s">
        <v>2678</v>
      </c>
      <c r="N794" s="117" t="s">
        <v>2679</v>
      </c>
      <c r="O794" s="110" t="s">
        <v>598</v>
      </c>
      <c r="P794" s="110" t="s">
        <v>590</v>
      </c>
      <c r="Q794" s="118" t="n">
        <v>0.19</v>
      </c>
      <c r="R794" s="110" t="n">
        <v>1</v>
      </c>
      <c r="S794" s="110" t="s">
        <v>632</v>
      </c>
      <c r="T794" s="110" t="s">
        <v>702</v>
      </c>
      <c r="U794" s="110" t="s">
        <v>2062</v>
      </c>
      <c r="V794" s="119" t="n">
        <v>0.69</v>
      </c>
      <c r="W794" s="119"/>
      <c r="X794" s="110" t="s">
        <v>2063</v>
      </c>
      <c r="Y794" s="110" t="s">
        <v>2064</v>
      </c>
      <c r="Z794" s="110" t="s">
        <v>2680</v>
      </c>
      <c r="AA794" s="110" t="s">
        <v>537</v>
      </c>
      <c r="AB794" s="110" t="s">
        <v>244</v>
      </c>
      <c r="AC794" s="110" t="s">
        <v>538</v>
      </c>
      <c r="AD794" s="110" t="n">
        <f aca="false">IF(OR(F794="",Q794="",R794=""),"",ROUND(IF(P794="incl.",F794/(1+Q794),F794)/IF(S794="per pack",R794,1),2))</f>
        <v>0.69</v>
      </c>
      <c r="AE794" s="110" t="str">
        <f aca="false">IF(AND(AC794="yes",ISNUMBER(F794),IF(Compare!$H$5="All mapped",TRUE(),IF(Compare!$H$5="EXACT only",J794="EXACT",OR(J794="EXACT",J794="CLOSE")))),"yes","no")</f>
        <v>yes</v>
      </c>
      <c r="AF794" s="110" t="n">
        <f aca="false">IF(ISNUMBER(H794),COUNTIFS($B$7:$B$3000,B794,$C$7:$C$3000,C794,$H$7:$H$3000,"&lt;"&amp;H794,$AH$7:$AH$3000,"yes")+COUNTIFS($B$7:B794,B794,$C$7:C794,C794,$H$7:H794,H794,$AH$7:AH794,"yes"),"")</f>
        <v>1</v>
      </c>
      <c r="AG794" s="110" t="n">
        <f aca="false">IF(ISNUMBER(I794),COUNTIFS($B$7:$B$3000,B794,$C$7:$C$3000,C794,$I$7:$I$3000,"&lt;"&amp;I794,$AI$7:$AI$3000,"yes")+COUNTIFS($B$7:B794,B794,$C$7:C794,C794,$I$7:I794,I794,$AI$7:AI794,"yes"),"")</f>
        <v>1</v>
      </c>
      <c r="AH794" s="110" t="str">
        <f aca="false">IF(ISNUMBER(H794),"yes","no")</f>
        <v>yes</v>
      </c>
      <c r="AI794" s="110" t="str">
        <f aca="false">IF(ISNUMBER(I794),"yes","no")</f>
        <v>yes</v>
      </c>
      <c r="AJ794" s="120" t="n">
        <v>46297</v>
      </c>
      <c r="AK794" s="110"/>
    </row>
    <row r="795" customFormat="false" ht="23.25" hidden="false" customHeight="true" outlineLevel="0" collapsed="false">
      <c r="B795" s="36" t="s">
        <v>62</v>
      </c>
      <c r="C795" s="98" t="s">
        <v>16</v>
      </c>
      <c r="D795" s="98" t="s">
        <v>329</v>
      </c>
      <c r="E795" s="110" t="s">
        <v>2681</v>
      </c>
      <c r="F795" s="99" t="n">
        <v>2.89</v>
      </c>
      <c r="G795" s="98" t="s">
        <v>244</v>
      </c>
      <c r="H795" s="112" t="str">
        <f aca="false">IF(AND(AE795="yes",ISNUMBER(AD795)),AD795,"")</f>
        <v/>
      </c>
      <c r="I795" s="95" t="str">
        <f aca="false">IF(AND(AE795="yes",ISNUMBER(AD795),ISNUMBER(INDEX(Sources!$G$7:$G$10,MATCH(AB795,Sources!$B$7:$B$10,0)))),ROUND(AD795/INDEX(Sources!$G$7:$G$10,MATCH(AB795,Sources!$B$7:$B$10,0)),6),"")</f>
        <v/>
      </c>
      <c r="J795" s="98" t="s">
        <v>629</v>
      </c>
      <c r="K795" s="98" t="s">
        <v>2059</v>
      </c>
      <c r="L795" s="96"/>
      <c r="M795" s="110" t="s">
        <v>2682</v>
      </c>
      <c r="N795" s="117" t="s">
        <v>2683</v>
      </c>
      <c r="O795" s="110" t="s">
        <v>598</v>
      </c>
      <c r="P795" s="110" t="s">
        <v>590</v>
      </c>
      <c r="Q795" s="118" t="n">
        <v>0.19</v>
      </c>
      <c r="R795" s="110" t="n">
        <v>1</v>
      </c>
      <c r="S795" s="110" t="s">
        <v>632</v>
      </c>
      <c r="T795" s="110" t="s">
        <v>629</v>
      </c>
      <c r="U795" s="110" t="s">
        <v>2062</v>
      </c>
      <c r="V795" s="119" t="n">
        <v>2.89</v>
      </c>
      <c r="W795" s="119"/>
      <c r="X795" s="110" t="s">
        <v>2063</v>
      </c>
      <c r="Y795" s="110" t="s">
        <v>2064</v>
      </c>
      <c r="Z795" s="110" t="s">
        <v>2624</v>
      </c>
      <c r="AA795" s="110" t="s">
        <v>537</v>
      </c>
      <c r="AB795" s="110" t="s">
        <v>244</v>
      </c>
      <c r="AC795" s="110" t="s">
        <v>538</v>
      </c>
      <c r="AD795" s="110" t="n">
        <f aca="false">IF(OR(F795="",Q795="",R795=""),"",ROUND(IF(P795="incl.",F795/(1+Q795),F795)/IF(S795="per pack",R795,1),2))</f>
        <v>2.89</v>
      </c>
      <c r="AE795" s="110" t="str">
        <f aca="false">IF(AND(AC795="yes",ISNUMBER(F795),IF(Compare!$H$5="All mapped",TRUE(),IF(Compare!$H$5="EXACT only",J795="EXACT",OR(J795="EXACT",J795="CLOSE")))),"yes","no")</f>
        <v>no</v>
      </c>
      <c r="AF795" s="110" t="str">
        <f aca="false">IF(ISNUMBER(H795),COUNTIFS($B$7:$B$3000,B795,$C$7:$C$3000,C795,$H$7:$H$3000,"&lt;"&amp;H795,$AH$7:$AH$3000,"yes")+COUNTIFS($B$7:B795,B795,$C$7:C795,C795,$H$7:H795,H795,$AH$7:AH795,"yes"),"")</f>
        <v/>
      </c>
      <c r="AG795" s="110" t="str">
        <f aca="false">IF(ISNUMBER(I795),COUNTIFS($B$7:$B$3000,B795,$C$7:$C$3000,C795,$I$7:$I$3000,"&lt;"&amp;I795,$AI$7:$AI$3000,"yes")+COUNTIFS($B$7:B795,B795,$C$7:C795,C795,$I$7:I795,I795,$AI$7:AI795,"yes"),"")</f>
        <v/>
      </c>
      <c r="AH795" s="110" t="str">
        <f aca="false">IF(ISNUMBER(H795),"yes","no")</f>
        <v>no</v>
      </c>
      <c r="AI795" s="110" t="str">
        <f aca="false">IF(ISNUMBER(I795),"yes","no")</f>
        <v>no</v>
      </c>
      <c r="AJ795" s="120" t="n">
        <v>46297</v>
      </c>
      <c r="AK795" s="110"/>
    </row>
    <row r="796" customFormat="false" ht="23.25" hidden="false" customHeight="true" outlineLevel="0" collapsed="false">
      <c r="B796" s="36" t="s">
        <v>57</v>
      </c>
      <c r="C796" s="98" t="s">
        <v>16</v>
      </c>
      <c r="D796" s="98" t="s">
        <v>317</v>
      </c>
      <c r="E796" s="110" t="s">
        <v>2684</v>
      </c>
      <c r="F796" s="99" t="n">
        <v>74.99</v>
      </c>
      <c r="G796" s="98" t="s">
        <v>244</v>
      </c>
      <c r="H796" s="112" t="n">
        <f aca="false">IF(AND(AE796="yes",ISNUMBER(AD796)),AD796,"")</f>
        <v>9.37</v>
      </c>
      <c r="I796" s="95" t="n">
        <f aca="false">IF(AND(AE796="yes",ISNUMBER(AD796),ISNUMBER(INDEX(Sources!$G$7:$G$10,MATCH(AB796,Sources!$B$7:$B$10,0)))),ROUND(AD796/INDEX(Sources!$G$7:$G$10,MATCH(AB796,Sources!$B$7:$B$10,0)),6),"")</f>
        <v>9.37</v>
      </c>
      <c r="J796" s="98" t="s">
        <v>702</v>
      </c>
      <c r="K796" s="98" t="s">
        <v>2059</v>
      </c>
      <c r="L796" s="96"/>
      <c r="M796" s="110" t="s">
        <v>2685</v>
      </c>
      <c r="N796" s="117" t="s">
        <v>1354</v>
      </c>
      <c r="O796" s="110" t="s">
        <v>610</v>
      </c>
      <c r="P796" s="110" t="s">
        <v>590</v>
      </c>
      <c r="Q796" s="118" t="n">
        <v>0.19</v>
      </c>
      <c r="R796" s="110" t="n">
        <v>8</v>
      </c>
      <c r="S796" s="110" t="s">
        <v>625</v>
      </c>
      <c r="T796" s="110" t="s">
        <v>702</v>
      </c>
      <c r="U796" s="110" t="s">
        <v>2062</v>
      </c>
      <c r="V796" s="119" t="n">
        <v>9.37</v>
      </c>
      <c r="W796" s="119"/>
      <c r="X796" s="110" t="s">
        <v>2063</v>
      </c>
      <c r="Y796" s="110" t="s">
        <v>2064</v>
      </c>
      <c r="Z796" s="110" t="s">
        <v>2565</v>
      </c>
      <c r="AA796" s="110" t="s">
        <v>537</v>
      </c>
      <c r="AB796" s="110" t="s">
        <v>244</v>
      </c>
      <c r="AC796" s="110" t="s">
        <v>538</v>
      </c>
      <c r="AD796" s="110" t="n">
        <f aca="false">IF(OR(F796="",Q796="",R796=""),"",ROUND(IF(P796="incl.",F796/(1+Q796),F796)/IF(S796="per pack",R796,1),2))</f>
        <v>9.37</v>
      </c>
      <c r="AE796" s="110" t="str">
        <f aca="false">IF(AND(AC796="yes",ISNUMBER(F796),IF(Compare!$H$5="All mapped",TRUE(),IF(Compare!$H$5="EXACT only",J796="EXACT",OR(J796="EXACT",J796="CLOSE")))),"yes","no")</f>
        <v>yes</v>
      </c>
      <c r="AF796" s="110" t="n">
        <f aca="false">IF(ISNUMBER(H796),COUNTIFS($B$7:$B$3000,B796,$C$7:$C$3000,C796,$H$7:$H$3000,"&lt;"&amp;H796,$AH$7:$AH$3000,"yes")+COUNTIFS($B$7:B796,B796,$C$7:C796,C796,$H$7:H796,H796,$AH$7:AH796,"yes"),"")</f>
        <v>1</v>
      </c>
      <c r="AG796" s="110" t="n">
        <f aca="false">IF(ISNUMBER(I796),COUNTIFS($B$7:$B$3000,B796,$C$7:$C$3000,C796,$I$7:$I$3000,"&lt;"&amp;I796,$AI$7:$AI$3000,"yes")+COUNTIFS($B$7:B796,B796,$C$7:C796,C796,$I$7:I796,I796,$AI$7:AI796,"yes"),"")</f>
        <v>1</v>
      </c>
      <c r="AH796" s="110" t="str">
        <f aca="false">IF(ISNUMBER(H796),"yes","no")</f>
        <v>yes</v>
      </c>
      <c r="AI796" s="110" t="str">
        <f aca="false">IF(ISNUMBER(I796),"yes","no")</f>
        <v>yes</v>
      </c>
      <c r="AJ796" s="120" t="n">
        <v>46297</v>
      </c>
      <c r="AK796" s="110"/>
    </row>
    <row r="797" customFormat="false" ht="34.5" hidden="false" customHeight="true" outlineLevel="0" collapsed="false">
      <c r="B797" s="36" t="s">
        <v>57</v>
      </c>
      <c r="C797" s="98" t="s">
        <v>16</v>
      </c>
      <c r="D797" s="98" t="s">
        <v>317</v>
      </c>
      <c r="E797" s="110" t="s">
        <v>2686</v>
      </c>
      <c r="F797" s="99" t="n">
        <v>54.54</v>
      </c>
      <c r="G797" s="98" t="s">
        <v>244</v>
      </c>
      <c r="H797" s="112" t="str">
        <f aca="false">IF(AND(AE797="yes",ISNUMBER(AD797)),AD797,"")</f>
        <v/>
      </c>
      <c r="I797" s="95" t="str">
        <f aca="false">IF(AND(AE797="yes",ISNUMBER(AD797),ISNUMBER(INDEX(Sources!$G$7:$G$10,MATCH(AB797,Sources!$B$7:$B$10,0)))),ROUND(AD797/INDEX(Sources!$G$7:$G$10,MATCH(AB797,Sources!$B$7:$B$10,0)),6),"")</f>
        <v/>
      </c>
      <c r="J797" s="98" t="s">
        <v>629</v>
      </c>
      <c r="K797" s="98" t="s">
        <v>2059</v>
      </c>
      <c r="L797" s="96"/>
      <c r="M797" s="110" t="s">
        <v>2687</v>
      </c>
      <c r="N797" s="117" t="s">
        <v>2688</v>
      </c>
      <c r="O797" s="110" t="s">
        <v>610</v>
      </c>
      <c r="P797" s="110" t="s">
        <v>590</v>
      </c>
      <c r="Q797" s="118" t="n">
        <v>0.19</v>
      </c>
      <c r="R797" s="110" t="n">
        <v>8</v>
      </c>
      <c r="S797" s="110" t="s">
        <v>625</v>
      </c>
      <c r="T797" s="110" t="s">
        <v>629</v>
      </c>
      <c r="U797" s="110" t="s">
        <v>2062</v>
      </c>
      <c r="V797" s="119" t="n">
        <v>6.82</v>
      </c>
      <c r="W797" s="119"/>
      <c r="X797" s="110" t="s">
        <v>2063</v>
      </c>
      <c r="Y797" s="110" t="s">
        <v>2064</v>
      </c>
      <c r="Z797" s="110" t="s">
        <v>2689</v>
      </c>
      <c r="AA797" s="110" t="s">
        <v>537</v>
      </c>
      <c r="AB797" s="110" t="s">
        <v>244</v>
      </c>
      <c r="AC797" s="110" t="s">
        <v>538</v>
      </c>
      <c r="AD797" s="110" t="n">
        <f aca="false">IF(OR(F797="",Q797="",R797=""),"",ROUND(IF(P797="incl.",F797/(1+Q797),F797)/IF(S797="per pack",R797,1),2))</f>
        <v>6.82</v>
      </c>
      <c r="AE797" s="110" t="str">
        <f aca="false">IF(AND(AC797="yes",ISNUMBER(F797),IF(Compare!$H$5="All mapped",TRUE(),IF(Compare!$H$5="EXACT only",J797="EXACT",OR(J797="EXACT",J797="CLOSE")))),"yes","no")</f>
        <v>no</v>
      </c>
      <c r="AF797" s="110" t="str">
        <f aca="false">IF(ISNUMBER(H797),COUNTIFS($B$7:$B$3000,B797,$C$7:$C$3000,C797,$H$7:$H$3000,"&lt;"&amp;H797,$AH$7:$AH$3000,"yes")+COUNTIFS($B$7:B797,B797,$C$7:C797,C797,$H$7:H797,H797,$AH$7:AH797,"yes"),"")</f>
        <v/>
      </c>
      <c r="AG797" s="110" t="str">
        <f aca="false">IF(ISNUMBER(I797),COUNTIFS($B$7:$B$3000,B797,$C$7:$C$3000,C797,$I$7:$I$3000,"&lt;"&amp;I797,$AI$7:$AI$3000,"yes")+COUNTIFS($B$7:B797,B797,$C$7:C797,C797,$I$7:I797,I797,$AI$7:AI797,"yes"),"")</f>
        <v/>
      </c>
      <c r="AH797" s="110" t="str">
        <f aca="false">IF(ISNUMBER(H797),"yes","no")</f>
        <v>no</v>
      </c>
      <c r="AI797" s="110" t="str">
        <f aca="false">IF(ISNUMBER(I797),"yes","no")</f>
        <v>no</v>
      </c>
      <c r="AJ797" s="120" t="n">
        <v>46297</v>
      </c>
      <c r="AK797" s="110"/>
    </row>
    <row r="798" customFormat="false" ht="23.25" hidden="false" customHeight="true" outlineLevel="0" collapsed="false">
      <c r="B798" s="36" t="s">
        <v>35</v>
      </c>
      <c r="C798" s="98" t="s">
        <v>16</v>
      </c>
      <c r="D798" s="98" t="s">
        <v>305</v>
      </c>
      <c r="E798" s="110" t="s">
        <v>2690</v>
      </c>
      <c r="F798" s="99" t="n">
        <v>7.24</v>
      </c>
      <c r="G798" s="98" t="s">
        <v>244</v>
      </c>
      <c r="H798" s="112" t="n">
        <f aca="false">IF(AND(AE798="yes",ISNUMBER(AD798)),AD798,"")</f>
        <v>7.24</v>
      </c>
      <c r="I798" s="95" t="n">
        <f aca="false">IF(AND(AE798="yes",ISNUMBER(AD798),ISNUMBER(INDEX(Sources!$G$7:$G$10,MATCH(AB798,Sources!$B$7:$B$10,0)))),ROUND(AD798/INDEX(Sources!$G$7:$G$10,MATCH(AB798,Sources!$B$7:$B$10,0)),6),"")</f>
        <v>7.24</v>
      </c>
      <c r="J798" s="98" t="s">
        <v>530</v>
      </c>
      <c r="K798" s="98" t="s">
        <v>2059</v>
      </c>
      <c r="L798" s="96"/>
      <c r="M798" s="110" t="s">
        <v>2691</v>
      </c>
      <c r="N798" s="117" t="s">
        <v>2692</v>
      </c>
      <c r="O798" s="110" t="s">
        <v>2576</v>
      </c>
      <c r="P798" s="110" t="s">
        <v>590</v>
      </c>
      <c r="Q798" s="118" t="n">
        <v>0.19</v>
      </c>
      <c r="R798" s="110" t="n">
        <v>1</v>
      </c>
      <c r="S798" s="110" t="s">
        <v>632</v>
      </c>
      <c r="T798" s="110" t="s">
        <v>530</v>
      </c>
      <c r="U798" s="110" t="s">
        <v>2062</v>
      </c>
      <c r="V798" s="119" t="n">
        <v>7.24</v>
      </c>
      <c r="W798" s="119"/>
      <c r="X798" s="110" t="s">
        <v>2063</v>
      </c>
      <c r="Y798" s="110" t="s">
        <v>2064</v>
      </c>
      <c r="Z798" s="110" t="s">
        <v>2584</v>
      </c>
      <c r="AA798" s="110" t="s">
        <v>537</v>
      </c>
      <c r="AB798" s="110" t="s">
        <v>244</v>
      </c>
      <c r="AC798" s="110" t="s">
        <v>538</v>
      </c>
      <c r="AD798" s="110" t="n">
        <f aca="false">IF(OR(F798="",Q798="",R798=""),"",ROUND(IF(P798="incl.",F798/(1+Q798),F798)/IF(S798="per pack",R798,1),2))</f>
        <v>7.24</v>
      </c>
      <c r="AE798" s="110" t="str">
        <f aca="false">IF(AND(AC798="yes",ISNUMBER(F798),IF(Compare!$H$5="All mapped",TRUE(),IF(Compare!$H$5="EXACT only",J798="EXACT",OR(J798="EXACT",J798="CLOSE")))),"yes","no")</f>
        <v>yes</v>
      </c>
      <c r="AF798" s="110" t="n">
        <f aca="false">IF(ISNUMBER(H798),COUNTIFS($B$7:$B$3000,B798,$C$7:$C$3000,C798,$H$7:$H$3000,"&lt;"&amp;H798,$AH$7:$AH$3000,"yes")+COUNTIFS($B$7:B798,B798,$C$7:C798,C798,$H$7:H798,H798,$AH$7:AH798,"yes"),"")</f>
        <v>1</v>
      </c>
      <c r="AG798" s="110" t="n">
        <f aca="false">IF(ISNUMBER(I798),COUNTIFS($B$7:$B$3000,B798,$C$7:$C$3000,C798,$I$7:$I$3000,"&lt;"&amp;I798,$AI$7:$AI$3000,"yes")+COUNTIFS($B$7:B798,B798,$C$7:C798,C798,$I$7:I798,I798,$AI$7:AI798,"yes"),"")</f>
        <v>1</v>
      </c>
      <c r="AH798" s="110" t="str">
        <f aca="false">IF(ISNUMBER(H798),"yes","no")</f>
        <v>yes</v>
      </c>
      <c r="AI798" s="110" t="str">
        <f aca="false">IF(ISNUMBER(I798),"yes","no")</f>
        <v>yes</v>
      </c>
      <c r="AJ798" s="120" t="n">
        <v>46297</v>
      </c>
      <c r="AK798" s="110"/>
    </row>
    <row r="799" customFormat="false" ht="23.25" hidden="false" customHeight="true" outlineLevel="0" collapsed="false">
      <c r="B799" s="36" t="s">
        <v>37</v>
      </c>
      <c r="C799" s="98" t="s">
        <v>16</v>
      </c>
      <c r="D799" s="98" t="s">
        <v>305</v>
      </c>
      <c r="E799" s="110" t="s">
        <v>2693</v>
      </c>
      <c r="F799" s="99" t="n">
        <v>9.4</v>
      </c>
      <c r="G799" s="98" t="s">
        <v>244</v>
      </c>
      <c r="H799" s="112" t="str">
        <f aca="false">IF(AND(AE799="yes",ISNUMBER(AD799)),AD799,"")</f>
        <v/>
      </c>
      <c r="I799" s="95" t="str">
        <f aca="false">IF(AND(AE799="yes",ISNUMBER(AD799),ISNUMBER(INDEX(Sources!$G$7:$G$10,MATCH(AB799,Sources!$B$7:$B$10,0)))),ROUND(AD799/INDEX(Sources!$G$7:$G$10,MATCH(AB799,Sources!$B$7:$B$10,0)),6),"")</f>
        <v/>
      </c>
      <c r="J799" s="98" t="s">
        <v>629</v>
      </c>
      <c r="K799" s="98" t="s">
        <v>2059</v>
      </c>
      <c r="L799" s="96"/>
      <c r="M799" s="110" t="s">
        <v>2694</v>
      </c>
      <c r="N799" s="117" t="s">
        <v>2695</v>
      </c>
      <c r="O799" s="110" t="s">
        <v>2576</v>
      </c>
      <c r="P799" s="110" t="s">
        <v>590</v>
      </c>
      <c r="Q799" s="118" t="n">
        <v>0.19</v>
      </c>
      <c r="R799" s="110" t="n">
        <v>1</v>
      </c>
      <c r="S799" s="110" t="s">
        <v>632</v>
      </c>
      <c r="T799" s="110" t="s">
        <v>629</v>
      </c>
      <c r="U799" s="110" t="s">
        <v>2062</v>
      </c>
      <c r="V799" s="119" t="n">
        <v>9.4</v>
      </c>
      <c r="W799" s="119"/>
      <c r="X799" s="110" t="s">
        <v>2063</v>
      </c>
      <c r="Y799" s="110" t="s">
        <v>2064</v>
      </c>
      <c r="Z799" s="110" t="s">
        <v>2156</v>
      </c>
      <c r="AA799" s="110" t="s">
        <v>537</v>
      </c>
      <c r="AB799" s="110" t="s">
        <v>244</v>
      </c>
      <c r="AC799" s="110" t="s">
        <v>538</v>
      </c>
      <c r="AD799" s="110" t="n">
        <f aca="false">IF(OR(F799="",Q799="",R799=""),"",ROUND(IF(P799="incl.",F799/(1+Q799),F799)/IF(S799="per pack",R799,1),2))</f>
        <v>9.4</v>
      </c>
      <c r="AE799" s="110" t="str">
        <f aca="false">IF(AND(AC799="yes",ISNUMBER(F799),IF(Compare!$H$5="All mapped",TRUE(),IF(Compare!$H$5="EXACT only",J799="EXACT",OR(J799="EXACT",J799="CLOSE")))),"yes","no")</f>
        <v>no</v>
      </c>
      <c r="AF799" s="110" t="str">
        <f aca="false">IF(ISNUMBER(H799),COUNTIFS($B$7:$B$3000,B799,$C$7:$C$3000,C799,$H$7:$H$3000,"&lt;"&amp;H799,$AH$7:$AH$3000,"yes")+COUNTIFS($B$7:B799,B799,$C$7:C799,C799,$H$7:H799,H799,$AH$7:AH799,"yes"),"")</f>
        <v/>
      </c>
      <c r="AG799" s="110" t="str">
        <f aca="false">IF(ISNUMBER(I799),COUNTIFS($B$7:$B$3000,B799,$C$7:$C$3000,C799,$I$7:$I$3000,"&lt;"&amp;I799,$AI$7:$AI$3000,"yes")+COUNTIFS($B$7:B799,B799,$C$7:C799,C799,$I$7:I799,I799,$AI$7:AI799,"yes"),"")</f>
        <v/>
      </c>
      <c r="AH799" s="110" t="str">
        <f aca="false">IF(ISNUMBER(H799),"yes","no")</f>
        <v>no</v>
      </c>
      <c r="AI799" s="110" t="str">
        <f aca="false">IF(ISNUMBER(I799),"yes","no")</f>
        <v>no</v>
      </c>
      <c r="AJ799" s="120" t="n">
        <v>46297</v>
      </c>
      <c r="AK799" s="110"/>
    </row>
    <row r="800" customFormat="false" ht="23.25" hidden="false" customHeight="true" outlineLevel="0" collapsed="false">
      <c r="B800" s="36" t="s">
        <v>34</v>
      </c>
      <c r="C800" s="98" t="s">
        <v>16</v>
      </c>
      <c r="D800" s="98" t="s">
        <v>305</v>
      </c>
      <c r="E800" s="110" t="s">
        <v>2693</v>
      </c>
      <c r="F800" s="99" t="n">
        <v>9.4</v>
      </c>
      <c r="G800" s="98" t="s">
        <v>244</v>
      </c>
      <c r="H800" s="112" t="str">
        <f aca="false">IF(AND(AE800="yes",ISNUMBER(AD800)),AD800,"")</f>
        <v/>
      </c>
      <c r="I800" s="95" t="str">
        <f aca="false">IF(AND(AE800="yes",ISNUMBER(AD800),ISNUMBER(INDEX(Sources!$G$7:$G$10,MATCH(AB800,Sources!$B$7:$B$10,0)))),ROUND(AD800/INDEX(Sources!$G$7:$G$10,MATCH(AB800,Sources!$B$7:$B$10,0)),6),"")</f>
        <v/>
      </c>
      <c r="J800" s="98" t="s">
        <v>629</v>
      </c>
      <c r="K800" s="98" t="s">
        <v>2059</v>
      </c>
      <c r="L800" s="96"/>
      <c r="M800" s="110" t="s">
        <v>2696</v>
      </c>
      <c r="N800" s="117" t="s">
        <v>2695</v>
      </c>
      <c r="O800" s="110" t="s">
        <v>2576</v>
      </c>
      <c r="P800" s="110" t="s">
        <v>590</v>
      </c>
      <c r="Q800" s="118" t="n">
        <v>0.19</v>
      </c>
      <c r="R800" s="110" t="n">
        <v>1</v>
      </c>
      <c r="S800" s="110" t="s">
        <v>632</v>
      </c>
      <c r="T800" s="110" t="s">
        <v>629</v>
      </c>
      <c r="U800" s="110" t="s">
        <v>2062</v>
      </c>
      <c r="V800" s="119" t="n">
        <v>9.4</v>
      </c>
      <c r="W800" s="119"/>
      <c r="X800" s="110" t="s">
        <v>2063</v>
      </c>
      <c r="Y800" s="110" t="s">
        <v>2064</v>
      </c>
      <c r="Z800" s="110" t="s">
        <v>2156</v>
      </c>
      <c r="AA800" s="110" t="s">
        <v>537</v>
      </c>
      <c r="AB800" s="110" t="s">
        <v>244</v>
      </c>
      <c r="AC800" s="110" t="s">
        <v>538</v>
      </c>
      <c r="AD800" s="110" t="n">
        <f aca="false">IF(OR(F800="",Q800="",R800=""),"",ROUND(IF(P800="incl.",F800/(1+Q800),F800)/IF(S800="per pack",R800,1),2))</f>
        <v>9.4</v>
      </c>
      <c r="AE800" s="110" t="str">
        <f aca="false">IF(AND(AC800="yes",ISNUMBER(F800),IF(Compare!$H$5="All mapped",TRUE(),IF(Compare!$H$5="EXACT only",J800="EXACT",OR(J800="EXACT",J800="CLOSE")))),"yes","no")</f>
        <v>no</v>
      </c>
      <c r="AF800" s="110" t="str">
        <f aca="false">IF(ISNUMBER(H800),COUNTIFS($B$7:$B$3000,B800,$C$7:$C$3000,C800,$H$7:$H$3000,"&lt;"&amp;H800,$AH$7:$AH$3000,"yes")+COUNTIFS($B$7:B800,B800,$C$7:C800,C800,$H$7:H800,H800,$AH$7:AH800,"yes"),"")</f>
        <v/>
      </c>
      <c r="AG800" s="110" t="str">
        <f aca="false">IF(ISNUMBER(I800),COUNTIFS($B$7:$B$3000,B800,$C$7:$C$3000,C800,$I$7:$I$3000,"&lt;"&amp;I800,$AI$7:$AI$3000,"yes")+COUNTIFS($B$7:B800,B800,$C$7:C800,C800,$I$7:I800,I800,$AI$7:AI800,"yes"),"")</f>
        <v/>
      </c>
      <c r="AH800" s="110" t="str">
        <f aca="false">IF(ISNUMBER(H800),"yes","no")</f>
        <v>no</v>
      </c>
      <c r="AI800" s="110" t="str">
        <f aca="false">IF(ISNUMBER(I800),"yes","no")</f>
        <v>no</v>
      </c>
      <c r="AJ800" s="120" t="n">
        <v>46297</v>
      </c>
      <c r="AK800" s="110"/>
    </row>
    <row r="801" customFormat="false" ht="34.5" hidden="false" customHeight="true" outlineLevel="0" collapsed="false">
      <c r="B801" s="36" t="s">
        <v>57</v>
      </c>
      <c r="C801" s="98" t="s">
        <v>16</v>
      </c>
      <c r="D801" s="98" t="s">
        <v>305</v>
      </c>
      <c r="E801" s="110" t="s">
        <v>2693</v>
      </c>
      <c r="F801" s="99" t="n">
        <v>9.4</v>
      </c>
      <c r="G801" s="98" t="s">
        <v>244</v>
      </c>
      <c r="H801" s="112" t="n">
        <f aca="false">IF(AND(AE801="yes",ISNUMBER(AD801)),AD801,"")</f>
        <v>9.4</v>
      </c>
      <c r="I801" s="95" t="n">
        <f aca="false">IF(AND(AE801="yes",ISNUMBER(AD801),ISNUMBER(INDEX(Sources!$G$7:$G$10,MATCH(AB801,Sources!$B$7:$B$10,0)))),ROUND(AD801/INDEX(Sources!$G$7:$G$10,MATCH(AB801,Sources!$B$7:$B$10,0)),6),"")</f>
        <v>9.4</v>
      </c>
      <c r="J801" s="98" t="s">
        <v>702</v>
      </c>
      <c r="K801" s="98" t="s">
        <v>2059</v>
      </c>
      <c r="L801" s="96"/>
      <c r="M801" s="110" t="s">
        <v>2697</v>
      </c>
      <c r="N801" s="117" t="s">
        <v>2695</v>
      </c>
      <c r="O801" s="110" t="s">
        <v>2576</v>
      </c>
      <c r="P801" s="110" t="s">
        <v>590</v>
      </c>
      <c r="Q801" s="118" t="n">
        <v>0.19</v>
      </c>
      <c r="R801" s="110" t="n">
        <v>1</v>
      </c>
      <c r="S801" s="110" t="s">
        <v>632</v>
      </c>
      <c r="T801" s="110" t="s">
        <v>702</v>
      </c>
      <c r="U801" s="110" t="s">
        <v>2062</v>
      </c>
      <c r="V801" s="119" t="n">
        <v>9.4</v>
      </c>
      <c r="W801" s="119"/>
      <c r="X801" s="110" t="s">
        <v>2063</v>
      </c>
      <c r="Y801" s="110" t="s">
        <v>2064</v>
      </c>
      <c r="Z801" s="110" t="s">
        <v>2156</v>
      </c>
      <c r="AA801" s="110" t="s">
        <v>537</v>
      </c>
      <c r="AB801" s="110" t="s">
        <v>244</v>
      </c>
      <c r="AC801" s="110" t="s">
        <v>538</v>
      </c>
      <c r="AD801" s="110" t="n">
        <f aca="false">IF(OR(F801="",Q801="",R801=""),"",ROUND(IF(P801="incl.",F801/(1+Q801),F801)/IF(S801="per pack",R801,1),2))</f>
        <v>9.4</v>
      </c>
      <c r="AE801" s="110" t="str">
        <f aca="false">IF(AND(AC801="yes",ISNUMBER(F801),IF(Compare!$H$5="All mapped",TRUE(),IF(Compare!$H$5="EXACT only",J801="EXACT",OR(J801="EXACT",J801="CLOSE")))),"yes","no")</f>
        <v>yes</v>
      </c>
      <c r="AF801" s="110" t="n">
        <f aca="false">IF(ISNUMBER(H801),COUNTIFS($B$7:$B$3000,B801,$C$7:$C$3000,C801,$H$7:$H$3000,"&lt;"&amp;H801,$AH$7:$AH$3000,"yes")+COUNTIFS($B$7:B801,B801,$C$7:C801,C801,$H$7:H801,H801,$AH$7:AH801,"yes"),"")</f>
        <v>2</v>
      </c>
      <c r="AG801" s="110" t="n">
        <f aca="false">IF(ISNUMBER(I801),COUNTIFS($B$7:$B$3000,B801,$C$7:$C$3000,C801,$I$7:$I$3000,"&lt;"&amp;I801,$AI$7:$AI$3000,"yes")+COUNTIFS($B$7:B801,B801,$C$7:C801,C801,$I$7:I801,I801,$AI$7:AI801,"yes"),"")</f>
        <v>2</v>
      </c>
      <c r="AH801" s="110" t="str">
        <f aca="false">IF(ISNUMBER(H801),"yes","no")</f>
        <v>yes</v>
      </c>
      <c r="AI801" s="110" t="str">
        <f aca="false">IF(ISNUMBER(I801),"yes","no")</f>
        <v>yes</v>
      </c>
      <c r="AJ801" s="120" t="n">
        <v>46297</v>
      </c>
      <c r="AK801" s="110"/>
    </row>
    <row r="802" customFormat="false" ht="34.5" hidden="false" customHeight="true" outlineLevel="0" collapsed="false">
      <c r="B802" s="36" t="s">
        <v>57</v>
      </c>
      <c r="C802" s="98" t="s">
        <v>16</v>
      </c>
      <c r="D802" s="98" t="s">
        <v>309</v>
      </c>
      <c r="E802" s="110" t="s">
        <v>2698</v>
      </c>
      <c r="F802" s="99" t="n">
        <v>9.88</v>
      </c>
      <c r="G802" s="98" t="s">
        <v>244</v>
      </c>
      <c r="H802" s="112" t="n">
        <f aca="false">IF(AND(AE802="yes",ISNUMBER(AD802)),AD802,"")</f>
        <v>9.88</v>
      </c>
      <c r="I802" s="95" t="n">
        <f aca="false">IF(AND(AE802="yes",ISNUMBER(AD802),ISNUMBER(INDEX(Sources!$G$7:$G$10,MATCH(AB802,Sources!$B$7:$B$10,0)))),ROUND(AD802/INDEX(Sources!$G$7:$G$10,MATCH(AB802,Sources!$B$7:$B$10,0)),6),"")</f>
        <v>9.88</v>
      </c>
      <c r="J802" s="98" t="s">
        <v>530</v>
      </c>
      <c r="K802" s="98" t="s">
        <v>2059</v>
      </c>
      <c r="L802" s="96"/>
      <c r="M802" s="110" t="s">
        <v>2699</v>
      </c>
      <c r="N802" s="117" t="s">
        <v>1339</v>
      </c>
      <c r="O802" s="110" t="s">
        <v>646</v>
      </c>
      <c r="P802" s="110" t="s">
        <v>590</v>
      </c>
      <c r="Q802" s="118" t="n">
        <v>0.19</v>
      </c>
      <c r="R802" s="110" t="n">
        <v>1</v>
      </c>
      <c r="S802" s="110" t="s">
        <v>632</v>
      </c>
      <c r="T802" s="110" t="s">
        <v>530</v>
      </c>
      <c r="U802" s="110" t="s">
        <v>2062</v>
      </c>
      <c r="V802" s="119" t="n">
        <v>9.88</v>
      </c>
      <c r="W802" s="119"/>
      <c r="X802" s="110" t="s">
        <v>2063</v>
      </c>
      <c r="Y802" s="110" t="s">
        <v>2064</v>
      </c>
      <c r="Z802" s="110" t="s">
        <v>2700</v>
      </c>
      <c r="AA802" s="110" t="s">
        <v>537</v>
      </c>
      <c r="AB802" s="110" t="s">
        <v>244</v>
      </c>
      <c r="AC802" s="110" t="s">
        <v>538</v>
      </c>
      <c r="AD802" s="110" t="n">
        <f aca="false">IF(OR(F802="",Q802="",R802=""),"",ROUND(IF(P802="incl.",F802/(1+Q802),F802)/IF(S802="per pack",R802,1),2))</f>
        <v>9.88</v>
      </c>
      <c r="AE802" s="110" t="str">
        <f aca="false">IF(AND(AC802="yes",ISNUMBER(F802),IF(Compare!$H$5="All mapped",TRUE(),IF(Compare!$H$5="EXACT only",J802="EXACT",OR(J802="EXACT",J802="CLOSE")))),"yes","no")</f>
        <v>yes</v>
      </c>
      <c r="AF802" s="110" t="n">
        <f aca="false">IF(ISNUMBER(H802),COUNTIFS($B$7:$B$3000,B802,$C$7:$C$3000,C802,$H$7:$H$3000,"&lt;"&amp;H802,$AH$7:$AH$3000,"yes")+COUNTIFS($B$7:B802,B802,$C$7:C802,C802,$H$7:H802,H802,$AH$7:AH802,"yes"),"")</f>
        <v>3</v>
      </c>
      <c r="AG802" s="110" t="n">
        <f aca="false">IF(ISNUMBER(I802),COUNTIFS($B$7:$B$3000,B802,$C$7:$C$3000,C802,$I$7:$I$3000,"&lt;"&amp;I802,$AI$7:$AI$3000,"yes")+COUNTIFS($B$7:B802,B802,$C$7:C802,C802,$I$7:I802,I802,$AI$7:AI802,"yes"),"")</f>
        <v>3</v>
      </c>
      <c r="AH802" s="110" t="str">
        <f aca="false">IF(ISNUMBER(H802),"yes","no")</f>
        <v>yes</v>
      </c>
      <c r="AI802" s="110" t="str">
        <f aca="false">IF(ISNUMBER(I802),"yes","no")</f>
        <v>yes</v>
      </c>
      <c r="AJ802" s="120" t="n">
        <v>46297</v>
      </c>
      <c r="AK802" s="110"/>
    </row>
    <row r="803" customFormat="false" ht="23.25" hidden="false" customHeight="true" outlineLevel="0" collapsed="false">
      <c r="B803" s="36" t="s">
        <v>35</v>
      </c>
      <c r="C803" s="98" t="s">
        <v>16</v>
      </c>
      <c r="D803" s="98" t="s">
        <v>325</v>
      </c>
      <c r="E803" s="110" t="s">
        <v>2701</v>
      </c>
      <c r="F803" s="99" t="n">
        <v>11.99</v>
      </c>
      <c r="G803" s="98" t="s">
        <v>244</v>
      </c>
      <c r="H803" s="112" t="n">
        <f aca="false">IF(AND(AE803="yes",ISNUMBER(AD803)),AD803,"")</f>
        <v>11.99</v>
      </c>
      <c r="I803" s="95" t="n">
        <f aca="false">IF(AND(AE803="yes",ISNUMBER(AD803),ISNUMBER(INDEX(Sources!$G$7:$G$10,MATCH(AB803,Sources!$B$7:$B$10,0)))),ROUND(AD803/INDEX(Sources!$G$7:$G$10,MATCH(AB803,Sources!$B$7:$B$10,0)),6),"")</f>
        <v>11.99</v>
      </c>
      <c r="J803" s="98" t="s">
        <v>530</v>
      </c>
      <c r="K803" s="98" t="s">
        <v>2059</v>
      </c>
      <c r="L803" s="96"/>
      <c r="M803" s="110" t="s">
        <v>2702</v>
      </c>
      <c r="N803" s="117" t="s">
        <v>2703</v>
      </c>
      <c r="O803" s="110" t="s">
        <v>2172</v>
      </c>
      <c r="P803" s="110" t="s">
        <v>590</v>
      </c>
      <c r="Q803" s="118" t="n">
        <v>0.19</v>
      </c>
      <c r="R803" s="110" t="n">
        <v>1</v>
      </c>
      <c r="S803" s="110" t="s">
        <v>632</v>
      </c>
      <c r="T803" s="110" t="s">
        <v>530</v>
      </c>
      <c r="U803" s="110" t="s">
        <v>2062</v>
      </c>
      <c r="V803" s="119" t="n">
        <v>11.99</v>
      </c>
      <c r="W803" s="119"/>
      <c r="X803" s="110" t="s">
        <v>2063</v>
      </c>
      <c r="Y803" s="110" t="s">
        <v>2064</v>
      </c>
      <c r="Z803" s="110" t="s">
        <v>2704</v>
      </c>
      <c r="AA803" s="110" t="s">
        <v>537</v>
      </c>
      <c r="AB803" s="110" t="s">
        <v>244</v>
      </c>
      <c r="AC803" s="110" t="s">
        <v>538</v>
      </c>
      <c r="AD803" s="110" t="n">
        <f aca="false">IF(OR(F803="",Q803="",R803=""),"",ROUND(IF(P803="incl.",F803/(1+Q803),F803)/IF(S803="per pack",R803,1),2))</f>
        <v>11.99</v>
      </c>
      <c r="AE803" s="110" t="str">
        <f aca="false">IF(AND(AC803="yes",ISNUMBER(F803),IF(Compare!$H$5="All mapped",TRUE(),IF(Compare!$H$5="EXACT only",J803="EXACT",OR(J803="EXACT",J803="CLOSE")))),"yes","no")</f>
        <v>yes</v>
      </c>
      <c r="AF803" s="110" t="n">
        <f aca="false">IF(ISNUMBER(H803),COUNTIFS($B$7:$B$3000,B803,$C$7:$C$3000,C803,$H$7:$H$3000,"&lt;"&amp;H803,$AH$7:$AH$3000,"yes")+COUNTIFS($B$7:B803,B803,$C$7:C803,C803,$H$7:H803,H803,$AH$7:AH803,"yes"),"")</f>
        <v>5</v>
      </c>
      <c r="AG803" s="110" t="n">
        <f aca="false">IF(ISNUMBER(I803),COUNTIFS($B$7:$B$3000,B803,$C$7:$C$3000,C803,$I$7:$I$3000,"&lt;"&amp;I803,$AI$7:$AI$3000,"yes")+COUNTIFS($B$7:B803,B803,$C$7:C803,C803,$I$7:I803,I803,$AI$7:AI803,"yes"),"")</f>
        <v>5</v>
      </c>
      <c r="AH803" s="110" t="str">
        <f aca="false">IF(ISNUMBER(H803),"yes","no")</f>
        <v>yes</v>
      </c>
      <c r="AI803" s="110" t="str">
        <f aca="false">IF(ISNUMBER(I803),"yes","no")</f>
        <v>yes</v>
      </c>
      <c r="AJ803" s="120" t="n">
        <v>46297</v>
      </c>
      <c r="AK803" s="110"/>
    </row>
    <row r="804" customFormat="false" ht="34.5" hidden="false" customHeight="true" outlineLevel="0" collapsed="false">
      <c r="B804" s="36" t="s">
        <v>37</v>
      </c>
      <c r="C804" s="98" t="s">
        <v>16</v>
      </c>
      <c r="D804" s="98" t="s">
        <v>325</v>
      </c>
      <c r="E804" s="110" t="s">
        <v>2705</v>
      </c>
      <c r="F804" s="99" t="n">
        <v>14.99</v>
      </c>
      <c r="G804" s="98" t="s">
        <v>244</v>
      </c>
      <c r="H804" s="112" t="n">
        <f aca="false">IF(AND(AE804="yes",ISNUMBER(AD804)),AD804,"")</f>
        <v>14.99</v>
      </c>
      <c r="I804" s="95" t="n">
        <f aca="false">IF(AND(AE804="yes",ISNUMBER(AD804),ISNUMBER(INDEX(Sources!$G$7:$G$10,MATCH(AB804,Sources!$B$7:$B$10,0)))),ROUND(AD804/INDEX(Sources!$G$7:$G$10,MATCH(AB804,Sources!$B$7:$B$10,0)),6),"")</f>
        <v>14.99</v>
      </c>
      <c r="J804" s="98" t="s">
        <v>702</v>
      </c>
      <c r="K804" s="98" t="s">
        <v>2059</v>
      </c>
      <c r="L804" s="96"/>
      <c r="M804" s="110" t="s">
        <v>2706</v>
      </c>
      <c r="N804" s="117" t="s">
        <v>2707</v>
      </c>
      <c r="O804" s="110" t="s">
        <v>2172</v>
      </c>
      <c r="P804" s="110" t="s">
        <v>590</v>
      </c>
      <c r="Q804" s="118" t="n">
        <v>0.19</v>
      </c>
      <c r="R804" s="110" t="n">
        <v>1</v>
      </c>
      <c r="S804" s="110" t="s">
        <v>632</v>
      </c>
      <c r="T804" s="110" t="s">
        <v>702</v>
      </c>
      <c r="U804" s="110" t="s">
        <v>2062</v>
      </c>
      <c r="V804" s="119" t="n">
        <v>14.99</v>
      </c>
      <c r="W804" s="119"/>
      <c r="X804" s="110" t="s">
        <v>2063</v>
      </c>
      <c r="Y804" s="110" t="s">
        <v>2064</v>
      </c>
      <c r="Z804" s="110" t="s">
        <v>2704</v>
      </c>
      <c r="AA804" s="110" t="s">
        <v>537</v>
      </c>
      <c r="AB804" s="110" t="s">
        <v>244</v>
      </c>
      <c r="AC804" s="110" t="s">
        <v>538</v>
      </c>
      <c r="AD804" s="110" t="n">
        <f aca="false">IF(OR(F804="",Q804="",R804=""),"",ROUND(IF(P804="incl.",F804/(1+Q804),F804)/IF(S804="per pack",R804,1),2))</f>
        <v>14.99</v>
      </c>
      <c r="AE804" s="110" t="str">
        <f aca="false">IF(AND(AC804="yes",ISNUMBER(F804),IF(Compare!$H$5="All mapped",TRUE(),IF(Compare!$H$5="EXACT only",J804="EXACT",OR(J804="EXACT",J804="CLOSE")))),"yes","no")</f>
        <v>yes</v>
      </c>
      <c r="AF804" s="110" t="n">
        <f aca="false">IF(ISNUMBER(H804),COUNTIFS($B$7:$B$3000,B804,$C$7:$C$3000,C804,$H$7:$H$3000,"&lt;"&amp;H804,$AH$7:$AH$3000,"yes")+COUNTIFS($B$7:B804,B804,$C$7:C804,C804,$H$7:H804,H804,$AH$7:AH804,"yes"),"")</f>
        <v>6</v>
      </c>
      <c r="AG804" s="110" t="n">
        <f aca="false">IF(ISNUMBER(I804),COUNTIFS($B$7:$B$3000,B804,$C$7:$C$3000,C804,$I$7:$I$3000,"&lt;"&amp;I804,$AI$7:$AI$3000,"yes")+COUNTIFS($B$7:B804,B804,$C$7:C804,C804,$I$7:I804,I804,$AI$7:AI804,"yes"),"")</f>
        <v>6</v>
      </c>
      <c r="AH804" s="110" t="str">
        <f aca="false">IF(ISNUMBER(H804),"yes","no")</f>
        <v>yes</v>
      </c>
      <c r="AI804" s="110" t="str">
        <f aca="false">IF(ISNUMBER(I804),"yes","no")</f>
        <v>yes</v>
      </c>
      <c r="AJ804" s="120" t="n">
        <v>46297</v>
      </c>
      <c r="AK804" s="110"/>
    </row>
    <row r="805" customFormat="false" ht="23.25" hidden="false" customHeight="true" outlineLevel="0" collapsed="false">
      <c r="B805" s="36" t="s">
        <v>64</v>
      </c>
      <c r="C805" s="98" t="s">
        <v>16</v>
      </c>
      <c r="D805" s="98" t="s">
        <v>325</v>
      </c>
      <c r="E805" s="110" t="s">
        <v>2708</v>
      </c>
      <c r="F805" s="99" t="n">
        <v>11.09</v>
      </c>
      <c r="G805" s="98" t="s">
        <v>244</v>
      </c>
      <c r="H805" s="112" t="n">
        <f aca="false">IF(AND(AE805="yes",ISNUMBER(AD805)),AD805,"")</f>
        <v>11.09</v>
      </c>
      <c r="I805" s="95" t="n">
        <f aca="false">IF(AND(AE805="yes",ISNUMBER(AD805),ISNUMBER(INDEX(Sources!$G$7:$G$10,MATCH(AB805,Sources!$B$7:$B$10,0)))),ROUND(AD805/INDEX(Sources!$G$7:$G$10,MATCH(AB805,Sources!$B$7:$B$10,0)),6),"")</f>
        <v>11.09</v>
      </c>
      <c r="J805" s="98" t="s">
        <v>530</v>
      </c>
      <c r="K805" s="98" t="s">
        <v>2059</v>
      </c>
      <c r="L805" s="96"/>
      <c r="M805" s="110" t="s">
        <v>2709</v>
      </c>
      <c r="N805" s="117" t="s">
        <v>2710</v>
      </c>
      <c r="O805" s="110" t="s">
        <v>733</v>
      </c>
      <c r="P805" s="110" t="s">
        <v>590</v>
      </c>
      <c r="Q805" s="118" t="n">
        <v>0.19</v>
      </c>
      <c r="R805" s="110" t="n">
        <v>1</v>
      </c>
      <c r="S805" s="110" t="s">
        <v>632</v>
      </c>
      <c r="T805" s="110" t="s">
        <v>530</v>
      </c>
      <c r="U805" s="110" t="s">
        <v>2062</v>
      </c>
      <c r="V805" s="119" t="n">
        <v>11.09</v>
      </c>
      <c r="W805" s="119"/>
      <c r="X805" s="110" t="s">
        <v>2063</v>
      </c>
      <c r="Y805" s="110" t="s">
        <v>2064</v>
      </c>
      <c r="Z805" s="110" t="s">
        <v>2704</v>
      </c>
      <c r="AA805" s="110" t="s">
        <v>537</v>
      </c>
      <c r="AB805" s="110" t="s">
        <v>244</v>
      </c>
      <c r="AC805" s="110" t="s">
        <v>538</v>
      </c>
      <c r="AD805" s="110" t="n">
        <f aca="false">IF(OR(F805="",Q805="",R805=""),"",ROUND(IF(P805="incl.",F805/(1+Q805),F805)/IF(S805="per pack",R805,1),2))</f>
        <v>11.09</v>
      </c>
      <c r="AE805" s="110" t="str">
        <f aca="false">IF(AND(AC805="yes",ISNUMBER(F805),IF(Compare!$H$5="All mapped",TRUE(),IF(Compare!$H$5="EXACT only",J805="EXACT",OR(J805="EXACT",J805="CLOSE")))),"yes","no")</f>
        <v>yes</v>
      </c>
      <c r="AF805" s="110" t="n">
        <f aca="false">IF(ISNUMBER(H805),COUNTIFS($B$7:$B$3000,B805,$C$7:$C$3000,C805,$H$7:$H$3000,"&lt;"&amp;H805,$AH$7:$AH$3000,"yes")+COUNTIFS($B$7:B805,B805,$C$7:C805,C805,$H$7:H805,H805,$AH$7:AH805,"yes"),"")</f>
        <v>1</v>
      </c>
      <c r="AG805" s="110" t="n">
        <f aca="false">IF(ISNUMBER(I805),COUNTIFS($B$7:$B$3000,B805,$C$7:$C$3000,C805,$I$7:$I$3000,"&lt;"&amp;I805,$AI$7:$AI$3000,"yes")+COUNTIFS($B$7:B805,B805,$C$7:C805,C805,$I$7:I805,I805,$AI$7:AI805,"yes"),"")</f>
        <v>1</v>
      </c>
      <c r="AH805" s="110" t="str">
        <f aca="false">IF(ISNUMBER(H805),"yes","no")</f>
        <v>yes</v>
      </c>
      <c r="AI805" s="110" t="str">
        <f aca="false">IF(ISNUMBER(I805),"yes","no")</f>
        <v>yes</v>
      </c>
      <c r="AJ805" s="120" t="n">
        <v>46297</v>
      </c>
      <c r="AK805" s="110"/>
    </row>
    <row r="806" customFormat="false" ht="23.25" hidden="false" customHeight="true" outlineLevel="0" collapsed="false">
      <c r="B806" s="36" t="s">
        <v>34</v>
      </c>
      <c r="C806" s="98" t="s">
        <v>16</v>
      </c>
      <c r="D806" s="98" t="s">
        <v>325</v>
      </c>
      <c r="E806" s="110" t="s">
        <v>2705</v>
      </c>
      <c r="F806" s="99" t="n">
        <v>14.99</v>
      </c>
      <c r="G806" s="98" t="s">
        <v>244</v>
      </c>
      <c r="H806" s="112" t="str">
        <f aca="false">IF(AND(AE806="yes",ISNUMBER(AD806)),AD806,"")</f>
        <v/>
      </c>
      <c r="I806" s="95" t="str">
        <f aca="false">IF(AND(AE806="yes",ISNUMBER(AD806),ISNUMBER(INDEX(Sources!$G$7:$G$10,MATCH(AB806,Sources!$B$7:$B$10,0)))),ROUND(AD806/INDEX(Sources!$G$7:$G$10,MATCH(AB806,Sources!$B$7:$B$10,0)),6),"")</f>
        <v/>
      </c>
      <c r="J806" s="98" t="s">
        <v>629</v>
      </c>
      <c r="K806" s="98" t="s">
        <v>2059</v>
      </c>
      <c r="L806" s="96"/>
      <c r="M806" s="110" t="s">
        <v>2711</v>
      </c>
      <c r="N806" s="117" t="s">
        <v>2707</v>
      </c>
      <c r="O806" s="110" t="s">
        <v>2172</v>
      </c>
      <c r="P806" s="110" t="s">
        <v>590</v>
      </c>
      <c r="Q806" s="118" t="n">
        <v>0.19</v>
      </c>
      <c r="R806" s="110" t="n">
        <v>1</v>
      </c>
      <c r="S806" s="110" t="s">
        <v>632</v>
      </c>
      <c r="T806" s="110" t="s">
        <v>629</v>
      </c>
      <c r="U806" s="110" t="s">
        <v>2062</v>
      </c>
      <c r="V806" s="119" t="n">
        <v>14.99</v>
      </c>
      <c r="W806" s="119"/>
      <c r="X806" s="110" t="s">
        <v>2063</v>
      </c>
      <c r="Y806" s="110" t="s">
        <v>2064</v>
      </c>
      <c r="Z806" s="110" t="s">
        <v>2704</v>
      </c>
      <c r="AA806" s="110" t="s">
        <v>537</v>
      </c>
      <c r="AB806" s="110" t="s">
        <v>244</v>
      </c>
      <c r="AC806" s="110" t="s">
        <v>538</v>
      </c>
      <c r="AD806" s="110" t="n">
        <f aca="false">IF(OR(F806="",Q806="",R806=""),"",ROUND(IF(P806="incl.",F806/(1+Q806),F806)/IF(S806="per pack",R806,1),2))</f>
        <v>14.99</v>
      </c>
      <c r="AE806" s="110" t="str">
        <f aca="false">IF(AND(AC806="yes",ISNUMBER(F806),IF(Compare!$H$5="All mapped",TRUE(),IF(Compare!$H$5="EXACT only",J806="EXACT",OR(J806="EXACT",J806="CLOSE")))),"yes","no")</f>
        <v>no</v>
      </c>
      <c r="AF806" s="110" t="str">
        <f aca="false">IF(ISNUMBER(H806),COUNTIFS($B$7:$B$3000,B806,$C$7:$C$3000,C806,$H$7:$H$3000,"&lt;"&amp;H806,$AH$7:$AH$3000,"yes")+COUNTIFS($B$7:B806,B806,$C$7:C806,C806,$H$7:H806,H806,$AH$7:AH806,"yes"),"")</f>
        <v/>
      </c>
      <c r="AG806" s="110" t="str">
        <f aca="false">IF(ISNUMBER(I806),COUNTIFS($B$7:$B$3000,B806,$C$7:$C$3000,C806,$I$7:$I$3000,"&lt;"&amp;I806,$AI$7:$AI$3000,"yes")+COUNTIFS($B$7:B806,B806,$C$7:C806,C806,$I$7:I806,I806,$AI$7:AI806,"yes"),"")</f>
        <v/>
      </c>
      <c r="AH806" s="110" t="str">
        <f aca="false">IF(ISNUMBER(H806),"yes","no")</f>
        <v>no</v>
      </c>
      <c r="AI806" s="110" t="str">
        <f aca="false">IF(ISNUMBER(I806),"yes","no")</f>
        <v>no</v>
      </c>
      <c r="AJ806" s="120" t="n">
        <v>46297</v>
      </c>
      <c r="AK806" s="110"/>
    </row>
    <row r="807" customFormat="false" ht="23.25" hidden="false" customHeight="true" outlineLevel="0" collapsed="false">
      <c r="B807" s="36" t="s">
        <v>57</v>
      </c>
      <c r="C807" s="98" t="s">
        <v>16</v>
      </c>
      <c r="D807" s="98" t="s">
        <v>325</v>
      </c>
      <c r="E807" s="110" t="s">
        <v>2705</v>
      </c>
      <c r="F807" s="99" t="n">
        <v>14.99</v>
      </c>
      <c r="G807" s="98" t="s">
        <v>244</v>
      </c>
      <c r="H807" s="112" t="str">
        <f aca="false">IF(AND(AE807="yes",ISNUMBER(AD807)),AD807,"")</f>
        <v/>
      </c>
      <c r="I807" s="95" t="str">
        <f aca="false">IF(AND(AE807="yes",ISNUMBER(AD807),ISNUMBER(INDEX(Sources!$G$7:$G$10,MATCH(AB807,Sources!$B$7:$B$10,0)))),ROUND(AD807/INDEX(Sources!$G$7:$G$10,MATCH(AB807,Sources!$B$7:$B$10,0)),6),"")</f>
        <v/>
      </c>
      <c r="J807" s="98" t="s">
        <v>629</v>
      </c>
      <c r="K807" s="98" t="s">
        <v>2059</v>
      </c>
      <c r="L807" s="96"/>
      <c r="M807" s="110" t="s">
        <v>2712</v>
      </c>
      <c r="N807" s="117" t="s">
        <v>2707</v>
      </c>
      <c r="O807" s="110" t="s">
        <v>2172</v>
      </c>
      <c r="P807" s="110" t="s">
        <v>590</v>
      </c>
      <c r="Q807" s="118" t="n">
        <v>0.19</v>
      </c>
      <c r="R807" s="110" t="n">
        <v>1</v>
      </c>
      <c r="S807" s="110" t="s">
        <v>632</v>
      </c>
      <c r="T807" s="110" t="s">
        <v>629</v>
      </c>
      <c r="U807" s="110" t="s">
        <v>2062</v>
      </c>
      <c r="V807" s="119" t="n">
        <v>14.99</v>
      </c>
      <c r="W807" s="119"/>
      <c r="X807" s="110" t="s">
        <v>2063</v>
      </c>
      <c r="Y807" s="110" t="s">
        <v>2064</v>
      </c>
      <c r="Z807" s="110" t="s">
        <v>2704</v>
      </c>
      <c r="AA807" s="110" t="s">
        <v>537</v>
      </c>
      <c r="AB807" s="110" t="s">
        <v>244</v>
      </c>
      <c r="AC807" s="110" t="s">
        <v>538</v>
      </c>
      <c r="AD807" s="110" t="n">
        <f aca="false">IF(OR(F807="",Q807="",R807=""),"",ROUND(IF(P807="incl.",F807/(1+Q807),F807)/IF(S807="per pack",R807,1),2))</f>
        <v>14.99</v>
      </c>
      <c r="AE807" s="110" t="str">
        <f aca="false">IF(AND(AC807="yes",ISNUMBER(F807),IF(Compare!$H$5="All mapped",TRUE(),IF(Compare!$H$5="EXACT only",J807="EXACT",OR(J807="EXACT",J807="CLOSE")))),"yes","no")</f>
        <v>no</v>
      </c>
      <c r="AF807" s="110" t="str">
        <f aca="false">IF(ISNUMBER(H807),COUNTIFS($B$7:$B$3000,B807,$C$7:$C$3000,C807,$H$7:$H$3000,"&lt;"&amp;H807,$AH$7:$AH$3000,"yes")+COUNTIFS($B$7:B807,B807,$C$7:C807,C807,$H$7:H807,H807,$AH$7:AH807,"yes"),"")</f>
        <v/>
      </c>
      <c r="AG807" s="110" t="str">
        <f aca="false">IF(ISNUMBER(I807),COUNTIFS($B$7:$B$3000,B807,$C$7:$C$3000,C807,$I$7:$I$3000,"&lt;"&amp;I807,$AI$7:$AI$3000,"yes")+COUNTIFS($B$7:B807,B807,$C$7:C807,C807,$I$7:I807,I807,$AI$7:AI807,"yes"),"")</f>
        <v/>
      </c>
      <c r="AH807" s="110" t="str">
        <f aca="false">IF(ISNUMBER(H807),"yes","no")</f>
        <v>no</v>
      </c>
      <c r="AI807" s="110" t="str">
        <f aca="false">IF(ISNUMBER(I807),"yes","no")</f>
        <v>no</v>
      </c>
      <c r="AJ807" s="120" t="n">
        <v>46297</v>
      </c>
      <c r="AK807" s="110"/>
    </row>
    <row r="808" customFormat="false" ht="23.25" hidden="false" customHeight="true" outlineLevel="0" collapsed="false">
      <c r="B808" s="36" t="s">
        <v>9</v>
      </c>
      <c r="C808" s="98" t="s">
        <v>16</v>
      </c>
      <c r="D808" s="98" t="s">
        <v>300</v>
      </c>
      <c r="E808" s="110" t="s">
        <v>2713</v>
      </c>
      <c r="F808" s="99" t="n">
        <v>17.15</v>
      </c>
      <c r="G808" s="98" t="s">
        <v>244</v>
      </c>
      <c r="H808" s="112" t="n">
        <f aca="false">IF(AND(AE808="yes",ISNUMBER(AD808)),AD808,"")</f>
        <v>17.15</v>
      </c>
      <c r="I808" s="95" t="n">
        <f aca="false">IF(AND(AE808="yes",ISNUMBER(AD808),ISNUMBER(INDEX(Sources!$G$7:$G$10,MATCH(AB808,Sources!$B$7:$B$10,0)))),ROUND(AD808/INDEX(Sources!$G$7:$G$10,MATCH(AB808,Sources!$B$7:$B$10,0)),6),"")</f>
        <v>17.15</v>
      </c>
      <c r="J808" s="98" t="s">
        <v>530</v>
      </c>
      <c r="K808" s="98" t="s">
        <v>2059</v>
      </c>
      <c r="L808" s="96"/>
      <c r="M808" s="110" t="s">
        <v>2714</v>
      </c>
      <c r="N808" s="117" t="s">
        <v>2715</v>
      </c>
      <c r="O808" s="110" t="s">
        <v>598</v>
      </c>
      <c r="P808" s="110" t="s">
        <v>590</v>
      </c>
      <c r="Q808" s="118" t="n">
        <v>0.19</v>
      </c>
      <c r="R808" s="110" t="n">
        <v>1</v>
      </c>
      <c r="S808" s="110" t="s">
        <v>632</v>
      </c>
      <c r="T808" s="110" t="s">
        <v>530</v>
      </c>
      <c r="U808" s="110" t="s">
        <v>2062</v>
      </c>
      <c r="V808" s="119" t="n">
        <v>17.15</v>
      </c>
      <c r="W808" s="119"/>
      <c r="X808" s="110" t="s">
        <v>2063</v>
      </c>
      <c r="Y808" s="110" t="s">
        <v>2064</v>
      </c>
      <c r="Z808" s="110" t="s">
        <v>2716</v>
      </c>
      <c r="AA808" s="110" t="s">
        <v>537</v>
      </c>
      <c r="AB808" s="110" t="s">
        <v>244</v>
      </c>
      <c r="AC808" s="110" t="s">
        <v>538</v>
      </c>
      <c r="AD808" s="110" t="n">
        <f aca="false">IF(OR(F808="",Q808="",R808=""),"",ROUND(IF(P808="incl.",F808/(1+Q808),F808)/IF(S808="per pack",R808,1),2))</f>
        <v>17.15</v>
      </c>
      <c r="AE808" s="110" t="str">
        <f aca="false">IF(AND(AC808="yes",ISNUMBER(F808),IF(Compare!$H$5="All mapped",TRUE(),IF(Compare!$H$5="EXACT only",J808="EXACT",OR(J808="EXACT",J808="CLOSE")))),"yes","no")</f>
        <v>yes</v>
      </c>
      <c r="AF808" s="110" t="n">
        <f aca="false">IF(ISNUMBER(H808),COUNTIFS($B$7:$B$3000,B808,$C$7:$C$3000,C808,$H$7:$H$3000,"&lt;"&amp;H808,$AH$7:$AH$3000,"yes")+COUNTIFS($B$7:B808,B808,$C$7:C808,C808,$H$7:H808,H808,$AH$7:AH808,"yes"),"")</f>
        <v>7</v>
      </c>
      <c r="AG808" s="110" t="n">
        <f aca="false">IF(ISNUMBER(I808),COUNTIFS($B$7:$B$3000,B808,$C$7:$C$3000,C808,$I$7:$I$3000,"&lt;"&amp;I808,$AI$7:$AI$3000,"yes")+COUNTIFS($B$7:B808,B808,$C$7:C808,C808,$I$7:I808,I808,$AI$7:AI808,"yes"),"")</f>
        <v>7</v>
      </c>
      <c r="AH808" s="110" t="str">
        <f aca="false">IF(ISNUMBER(H808),"yes","no")</f>
        <v>yes</v>
      </c>
      <c r="AI808" s="110" t="str">
        <f aca="false">IF(ISNUMBER(I808),"yes","no")</f>
        <v>yes</v>
      </c>
      <c r="AJ808" s="120" t="n">
        <v>46297</v>
      </c>
      <c r="AK808" s="110"/>
    </row>
    <row r="809" customFormat="false" ht="23.25" hidden="false" customHeight="true" outlineLevel="0" collapsed="false">
      <c r="B809" s="36" t="s">
        <v>43</v>
      </c>
      <c r="C809" s="98" t="s">
        <v>16</v>
      </c>
      <c r="D809" s="98" t="s">
        <v>317</v>
      </c>
      <c r="E809" s="110" t="s">
        <v>2717</v>
      </c>
      <c r="F809" s="99" t="n">
        <v>27.99</v>
      </c>
      <c r="G809" s="98" t="s">
        <v>244</v>
      </c>
      <c r="H809" s="112" t="n">
        <f aca="false">IF(AND(AE809="yes",ISNUMBER(AD809)),AD809,"")</f>
        <v>4.67</v>
      </c>
      <c r="I809" s="95" t="n">
        <f aca="false">IF(AND(AE809="yes",ISNUMBER(AD809),ISNUMBER(INDEX(Sources!$G$7:$G$10,MATCH(AB809,Sources!$B$7:$B$10,0)))),ROUND(AD809/INDEX(Sources!$G$7:$G$10,MATCH(AB809,Sources!$B$7:$B$10,0)),6),"")</f>
        <v>4.67</v>
      </c>
      <c r="J809" s="98" t="s">
        <v>530</v>
      </c>
      <c r="K809" s="98" t="s">
        <v>2059</v>
      </c>
      <c r="L809" s="96"/>
      <c r="M809" s="110" t="s">
        <v>2718</v>
      </c>
      <c r="N809" s="117" t="s">
        <v>2719</v>
      </c>
      <c r="O809" s="110" t="s">
        <v>610</v>
      </c>
      <c r="P809" s="110" t="s">
        <v>590</v>
      </c>
      <c r="Q809" s="118" t="n">
        <v>0.19</v>
      </c>
      <c r="R809" s="110" t="n">
        <v>6</v>
      </c>
      <c r="S809" s="110" t="s">
        <v>625</v>
      </c>
      <c r="T809" s="110" t="s">
        <v>530</v>
      </c>
      <c r="U809" s="110" t="s">
        <v>2062</v>
      </c>
      <c r="V809" s="119" t="n">
        <v>4.67</v>
      </c>
      <c r="W809" s="119"/>
      <c r="X809" s="110" t="s">
        <v>2063</v>
      </c>
      <c r="Y809" s="110" t="s">
        <v>2064</v>
      </c>
      <c r="Z809" s="110" t="s">
        <v>2689</v>
      </c>
      <c r="AA809" s="110" t="s">
        <v>537</v>
      </c>
      <c r="AB809" s="110" t="s">
        <v>244</v>
      </c>
      <c r="AC809" s="110" t="s">
        <v>538</v>
      </c>
      <c r="AD809" s="110" t="n">
        <f aca="false">IF(OR(F809="",Q809="",R809=""),"",ROUND(IF(P809="incl.",F809/(1+Q809),F809)/IF(S809="per pack",R809,1),2))</f>
        <v>4.67</v>
      </c>
      <c r="AE809" s="110" t="str">
        <f aca="false">IF(AND(AC809="yes",ISNUMBER(F809),IF(Compare!$H$5="All mapped",TRUE(),IF(Compare!$H$5="EXACT only",J809="EXACT",OR(J809="EXACT",J809="CLOSE")))),"yes","no")</f>
        <v>yes</v>
      </c>
      <c r="AF809" s="110" t="n">
        <f aca="false">IF(ISNUMBER(H809),COUNTIFS($B$7:$B$3000,B809,$C$7:$C$3000,C809,$H$7:$H$3000,"&lt;"&amp;H809,$AH$7:$AH$3000,"yes")+COUNTIFS($B$7:B809,B809,$C$7:C809,C809,$H$7:H809,H809,$AH$7:AH809,"yes"),"")</f>
        <v>1</v>
      </c>
      <c r="AG809" s="110" t="n">
        <f aca="false">IF(ISNUMBER(I809),COUNTIFS($B$7:$B$3000,B809,$C$7:$C$3000,C809,$I$7:$I$3000,"&lt;"&amp;I809,$AI$7:$AI$3000,"yes")+COUNTIFS($B$7:B809,B809,$C$7:C809,C809,$I$7:I809,I809,$AI$7:AI809,"yes"),"")</f>
        <v>1</v>
      </c>
      <c r="AH809" s="110" t="str">
        <f aca="false">IF(ISNUMBER(H809),"yes","no")</f>
        <v>yes</v>
      </c>
      <c r="AI809" s="110" t="str">
        <f aca="false">IF(ISNUMBER(I809),"yes","no")</f>
        <v>yes</v>
      </c>
      <c r="AJ809" s="120" t="n">
        <v>46297</v>
      </c>
      <c r="AK809" s="110"/>
    </row>
    <row r="810" customFormat="false" ht="23.25" hidden="false" customHeight="true" outlineLevel="0" collapsed="false">
      <c r="B810" s="36" t="s">
        <v>45</v>
      </c>
      <c r="C810" s="98" t="s">
        <v>16</v>
      </c>
      <c r="D810" s="98" t="s">
        <v>317</v>
      </c>
      <c r="E810" s="110" t="s">
        <v>2720</v>
      </c>
      <c r="F810" s="99" t="n">
        <v>63.99</v>
      </c>
      <c r="G810" s="98" t="s">
        <v>244</v>
      </c>
      <c r="H810" s="112" t="n">
        <f aca="false">IF(AND(AE810="yes",ISNUMBER(AD810)),AD810,"")</f>
        <v>5.33</v>
      </c>
      <c r="I810" s="95" t="n">
        <f aca="false">IF(AND(AE810="yes",ISNUMBER(AD810),ISNUMBER(INDEX(Sources!$G$7:$G$10,MATCH(AB810,Sources!$B$7:$B$10,0)))),ROUND(AD810/INDEX(Sources!$G$7:$G$10,MATCH(AB810,Sources!$B$7:$B$10,0)),6),"")</f>
        <v>5.33</v>
      </c>
      <c r="J810" s="98" t="s">
        <v>530</v>
      </c>
      <c r="K810" s="98" t="s">
        <v>2059</v>
      </c>
      <c r="L810" s="96"/>
      <c r="M810" s="110" t="s">
        <v>2721</v>
      </c>
      <c r="N810" s="117" t="s">
        <v>2722</v>
      </c>
      <c r="O810" s="110" t="s">
        <v>610</v>
      </c>
      <c r="P810" s="110" t="s">
        <v>590</v>
      </c>
      <c r="Q810" s="118" t="n">
        <v>0.19</v>
      </c>
      <c r="R810" s="110" t="n">
        <v>12</v>
      </c>
      <c r="S810" s="110" t="s">
        <v>625</v>
      </c>
      <c r="T810" s="110" t="s">
        <v>530</v>
      </c>
      <c r="U810" s="110" t="s">
        <v>2062</v>
      </c>
      <c r="V810" s="119" t="n">
        <v>5.33</v>
      </c>
      <c r="W810" s="119"/>
      <c r="X810" s="110" t="s">
        <v>2063</v>
      </c>
      <c r="Y810" s="110" t="s">
        <v>2064</v>
      </c>
      <c r="Z810" s="110" t="s">
        <v>2689</v>
      </c>
      <c r="AA810" s="110" t="s">
        <v>537</v>
      </c>
      <c r="AB810" s="110" t="s">
        <v>244</v>
      </c>
      <c r="AC810" s="110" t="s">
        <v>538</v>
      </c>
      <c r="AD810" s="110" t="n">
        <f aca="false">IF(OR(F810="",Q810="",R810=""),"",ROUND(IF(P810="incl.",F810/(1+Q810),F810)/IF(S810="per pack",R810,1),2))</f>
        <v>5.33</v>
      </c>
      <c r="AE810" s="110" t="str">
        <f aca="false">IF(AND(AC810="yes",ISNUMBER(F810),IF(Compare!$H$5="All mapped",TRUE(),IF(Compare!$H$5="EXACT only",J810="EXACT",OR(J810="EXACT",J810="CLOSE")))),"yes","no")</f>
        <v>yes</v>
      </c>
      <c r="AF810" s="110" t="n">
        <f aca="false">IF(ISNUMBER(H810),COUNTIFS($B$7:$B$3000,B810,$C$7:$C$3000,C810,$H$7:$H$3000,"&lt;"&amp;H810,$AH$7:$AH$3000,"yes")+COUNTIFS($B$7:B810,B810,$C$7:C810,C810,$H$7:H810,H810,$AH$7:AH810,"yes"),"")</f>
        <v>1</v>
      </c>
      <c r="AG810" s="110" t="n">
        <f aca="false">IF(ISNUMBER(I810),COUNTIFS($B$7:$B$3000,B810,$C$7:$C$3000,C810,$I$7:$I$3000,"&lt;"&amp;I810,$AI$7:$AI$3000,"yes")+COUNTIFS($B$7:B810,B810,$C$7:C810,C810,$I$7:I810,I810,$AI$7:AI810,"yes"),"")</f>
        <v>1</v>
      </c>
      <c r="AH810" s="110" t="str">
        <f aca="false">IF(ISNUMBER(H810),"yes","no")</f>
        <v>yes</v>
      </c>
      <c r="AI810" s="110" t="str">
        <f aca="false">IF(ISNUMBER(I810),"yes","no")</f>
        <v>yes</v>
      </c>
      <c r="AJ810" s="120" t="n">
        <v>46297</v>
      </c>
      <c r="AK810" s="110"/>
    </row>
    <row r="811" customFormat="false" ht="23.25" hidden="false" customHeight="true" outlineLevel="0" collapsed="false">
      <c r="B811" s="36" t="s">
        <v>9</v>
      </c>
      <c r="C811" s="98" t="s">
        <v>16</v>
      </c>
      <c r="D811" s="98" t="s">
        <v>305</v>
      </c>
      <c r="E811" s="110" t="s">
        <v>2723</v>
      </c>
      <c r="F811" s="99" t="n">
        <v>12.15</v>
      </c>
      <c r="G811" s="98" t="s">
        <v>244</v>
      </c>
      <c r="H811" s="112" t="n">
        <f aca="false">IF(AND(AE811="yes",ISNUMBER(AD811)),AD811,"")</f>
        <v>12.15</v>
      </c>
      <c r="I811" s="95" t="n">
        <f aca="false">IF(AND(AE811="yes",ISNUMBER(AD811),ISNUMBER(INDEX(Sources!$G$7:$G$10,MATCH(AB811,Sources!$B$7:$B$10,0)))),ROUND(AD811/INDEX(Sources!$G$7:$G$10,MATCH(AB811,Sources!$B$7:$B$10,0)),6),"")</f>
        <v>12.15</v>
      </c>
      <c r="J811" s="98" t="s">
        <v>530</v>
      </c>
      <c r="K811" s="98" t="s">
        <v>2059</v>
      </c>
      <c r="L811" s="96"/>
      <c r="M811" s="110" t="s">
        <v>2724</v>
      </c>
      <c r="N811" s="117" t="s">
        <v>2725</v>
      </c>
      <c r="O811" s="110" t="s">
        <v>2576</v>
      </c>
      <c r="P811" s="110" t="s">
        <v>590</v>
      </c>
      <c r="Q811" s="118" t="n">
        <v>0.19</v>
      </c>
      <c r="R811" s="110" t="n">
        <v>1</v>
      </c>
      <c r="S811" s="110" t="s">
        <v>632</v>
      </c>
      <c r="T811" s="110" t="s">
        <v>530</v>
      </c>
      <c r="U811" s="110" t="s">
        <v>2062</v>
      </c>
      <c r="V811" s="119" t="n">
        <v>12.15</v>
      </c>
      <c r="W811" s="119"/>
      <c r="X811" s="110" t="s">
        <v>2063</v>
      </c>
      <c r="Y811" s="110" t="s">
        <v>2064</v>
      </c>
      <c r="Z811" s="110" t="s">
        <v>2142</v>
      </c>
      <c r="AA811" s="110" t="s">
        <v>537</v>
      </c>
      <c r="AB811" s="110" t="s">
        <v>244</v>
      </c>
      <c r="AC811" s="110" t="s">
        <v>538</v>
      </c>
      <c r="AD811" s="110" t="n">
        <f aca="false">IF(OR(F811="",Q811="",R811=""),"",ROUND(IF(P811="incl.",F811/(1+Q811),F811)/IF(S811="per pack",R811,1),2))</f>
        <v>12.15</v>
      </c>
      <c r="AE811" s="110" t="str">
        <f aca="false">IF(AND(AC811="yes",ISNUMBER(F811),IF(Compare!$H$5="All mapped",TRUE(),IF(Compare!$H$5="EXACT only",J811="EXACT",OR(J811="EXACT",J811="CLOSE")))),"yes","no")</f>
        <v>yes</v>
      </c>
      <c r="AF811" s="110" t="n">
        <f aca="false">IF(ISNUMBER(H811),COUNTIFS($B$7:$B$3000,B811,$C$7:$C$3000,C811,$H$7:$H$3000,"&lt;"&amp;H811,$AH$7:$AH$3000,"yes")+COUNTIFS($B$7:B811,B811,$C$7:C811,C811,$H$7:H811,H811,$AH$7:AH811,"yes"),"")</f>
        <v>4</v>
      </c>
      <c r="AG811" s="110" t="n">
        <f aca="false">IF(ISNUMBER(I811),COUNTIFS($B$7:$B$3000,B811,$C$7:$C$3000,C811,$I$7:$I$3000,"&lt;"&amp;I811,$AI$7:$AI$3000,"yes")+COUNTIFS($B$7:B811,B811,$C$7:C811,C811,$I$7:I811,I811,$AI$7:AI811,"yes"),"")</f>
        <v>4</v>
      </c>
      <c r="AH811" s="110" t="str">
        <f aca="false">IF(ISNUMBER(H811),"yes","no")</f>
        <v>yes</v>
      </c>
      <c r="AI811" s="110" t="str">
        <f aca="false">IF(ISNUMBER(I811),"yes","no")</f>
        <v>yes</v>
      </c>
      <c r="AJ811" s="120" t="n">
        <v>46297</v>
      </c>
      <c r="AK811" s="110"/>
    </row>
    <row r="812" customFormat="false" ht="23.25" hidden="false" customHeight="true" outlineLevel="0" collapsed="false">
      <c r="B812" s="36" t="s">
        <v>43</v>
      </c>
      <c r="C812" s="98" t="s">
        <v>16</v>
      </c>
      <c r="D812" s="98" t="s">
        <v>305</v>
      </c>
      <c r="E812" s="110" t="s">
        <v>2726</v>
      </c>
      <c r="F812" s="99" t="n">
        <v>7.02</v>
      </c>
      <c r="G812" s="98" t="s">
        <v>244</v>
      </c>
      <c r="H812" s="112" t="n">
        <f aca="false">IF(AND(AE812="yes",ISNUMBER(AD812)),AD812,"")</f>
        <v>7.02</v>
      </c>
      <c r="I812" s="95" t="n">
        <f aca="false">IF(AND(AE812="yes",ISNUMBER(AD812),ISNUMBER(INDEX(Sources!$G$7:$G$10,MATCH(AB812,Sources!$B$7:$B$10,0)))),ROUND(AD812/INDEX(Sources!$G$7:$G$10,MATCH(AB812,Sources!$B$7:$B$10,0)),6),"")</f>
        <v>7.02</v>
      </c>
      <c r="J812" s="98" t="s">
        <v>530</v>
      </c>
      <c r="K812" s="98" t="s">
        <v>2059</v>
      </c>
      <c r="L812" s="96"/>
      <c r="M812" s="110" t="s">
        <v>2727</v>
      </c>
      <c r="N812" s="117" t="s">
        <v>2728</v>
      </c>
      <c r="O812" s="110" t="s">
        <v>2576</v>
      </c>
      <c r="P812" s="110" t="s">
        <v>590</v>
      </c>
      <c r="Q812" s="118" t="n">
        <v>0.19</v>
      </c>
      <c r="R812" s="110" t="n">
        <v>1</v>
      </c>
      <c r="S812" s="110" t="s">
        <v>632</v>
      </c>
      <c r="T812" s="110" t="s">
        <v>530</v>
      </c>
      <c r="U812" s="110" t="s">
        <v>2062</v>
      </c>
      <c r="V812" s="119" t="n">
        <v>7.02</v>
      </c>
      <c r="W812" s="119"/>
      <c r="X812" s="110" t="s">
        <v>2063</v>
      </c>
      <c r="Y812" s="110" t="s">
        <v>2064</v>
      </c>
      <c r="Z812" s="110" t="s">
        <v>2729</v>
      </c>
      <c r="AA812" s="110" t="s">
        <v>537</v>
      </c>
      <c r="AB812" s="110" t="s">
        <v>244</v>
      </c>
      <c r="AC812" s="110" t="s">
        <v>538</v>
      </c>
      <c r="AD812" s="110" t="n">
        <f aca="false">IF(OR(F812="",Q812="",R812=""),"",ROUND(IF(P812="incl.",F812/(1+Q812),F812)/IF(S812="per pack",R812,1),2))</f>
        <v>7.02</v>
      </c>
      <c r="AE812" s="110" t="str">
        <f aca="false">IF(AND(AC812="yes",ISNUMBER(F812),IF(Compare!$H$5="All mapped",TRUE(),IF(Compare!$H$5="EXACT only",J812="EXACT",OR(J812="EXACT",J812="CLOSE")))),"yes","no")</f>
        <v>yes</v>
      </c>
      <c r="AF812" s="110" t="n">
        <f aca="false">IF(ISNUMBER(H812),COUNTIFS($B$7:$B$3000,B812,$C$7:$C$3000,C812,$H$7:$H$3000,"&lt;"&amp;H812,$AH$7:$AH$3000,"yes")+COUNTIFS($B$7:B812,B812,$C$7:C812,C812,$H$7:H812,H812,$AH$7:AH812,"yes"),"")</f>
        <v>2</v>
      </c>
      <c r="AG812" s="110" t="n">
        <f aca="false">IF(ISNUMBER(I812),COUNTIFS($B$7:$B$3000,B812,$C$7:$C$3000,C812,$I$7:$I$3000,"&lt;"&amp;I812,$AI$7:$AI$3000,"yes")+COUNTIFS($B$7:B812,B812,$C$7:C812,C812,$I$7:I812,I812,$AI$7:AI812,"yes"),"")</f>
        <v>2</v>
      </c>
      <c r="AH812" s="110" t="str">
        <f aca="false">IF(ISNUMBER(H812),"yes","no")</f>
        <v>yes</v>
      </c>
      <c r="AI812" s="110" t="str">
        <f aca="false">IF(ISNUMBER(I812),"yes","no")</f>
        <v>yes</v>
      </c>
      <c r="AJ812" s="120" t="n">
        <v>46297</v>
      </c>
      <c r="AK812" s="110"/>
    </row>
    <row r="813" customFormat="false" ht="34.5" hidden="false" customHeight="true" outlineLevel="0" collapsed="false">
      <c r="B813" s="36" t="s">
        <v>46</v>
      </c>
      <c r="C813" s="98" t="s">
        <v>16</v>
      </c>
      <c r="D813" s="98" t="s">
        <v>305</v>
      </c>
      <c r="E813" s="110" t="s">
        <v>2730</v>
      </c>
      <c r="F813" s="99" t="n">
        <v>5.36</v>
      </c>
      <c r="G813" s="98" t="s">
        <v>244</v>
      </c>
      <c r="H813" s="112" t="n">
        <f aca="false">IF(AND(AE813="yes",ISNUMBER(AD813)),AD813,"")</f>
        <v>5.36</v>
      </c>
      <c r="I813" s="95" t="n">
        <f aca="false">IF(AND(AE813="yes",ISNUMBER(AD813),ISNUMBER(INDEX(Sources!$G$7:$G$10,MATCH(AB813,Sources!$B$7:$B$10,0)))),ROUND(AD813/INDEX(Sources!$G$7:$G$10,MATCH(AB813,Sources!$B$7:$B$10,0)),6),"")</f>
        <v>5.36</v>
      </c>
      <c r="J813" s="98" t="s">
        <v>530</v>
      </c>
      <c r="K813" s="98" t="s">
        <v>2059</v>
      </c>
      <c r="L813" s="96"/>
      <c r="M813" s="110" t="s">
        <v>2731</v>
      </c>
      <c r="N813" s="117" t="s">
        <v>2732</v>
      </c>
      <c r="O813" s="110" t="s">
        <v>2576</v>
      </c>
      <c r="P813" s="110" t="s">
        <v>590</v>
      </c>
      <c r="Q813" s="118" t="n">
        <v>0.19</v>
      </c>
      <c r="R813" s="110" t="n">
        <v>1</v>
      </c>
      <c r="S813" s="110" t="s">
        <v>632</v>
      </c>
      <c r="T813" s="110" t="s">
        <v>530</v>
      </c>
      <c r="U813" s="110" t="s">
        <v>2062</v>
      </c>
      <c r="V813" s="119" t="n">
        <v>5.36</v>
      </c>
      <c r="W813" s="119"/>
      <c r="X813" s="110" t="s">
        <v>2063</v>
      </c>
      <c r="Y813" s="110" t="s">
        <v>2064</v>
      </c>
      <c r="Z813" s="110" t="s">
        <v>2142</v>
      </c>
      <c r="AA813" s="110" t="s">
        <v>537</v>
      </c>
      <c r="AB813" s="110" t="s">
        <v>244</v>
      </c>
      <c r="AC813" s="110" t="s">
        <v>538</v>
      </c>
      <c r="AD813" s="110" t="n">
        <f aca="false">IF(OR(F813="",Q813="",R813=""),"",ROUND(IF(P813="incl.",F813/(1+Q813),F813)/IF(S813="per pack",R813,1),2))</f>
        <v>5.36</v>
      </c>
      <c r="AE813" s="110" t="str">
        <f aca="false">IF(AND(AC813="yes",ISNUMBER(F813),IF(Compare!$H$5="All mapped",TRUE(),IF(Compare!$H$5="EXACT only",J813="EXACT",OR(J813="EXACT",J813="CLOSE")))),"yes","no")</f>
        <v>yes</v>
      </c>
      <c r="AF813" s="110" t="n">
        <f aca="false">IF(ISNUMBER(H813),COUNTIFS($B$7:$B$3000,B813,$C$7:$C$3000,C813,$H$7:$H$3000,"&lt;"&amp;H813,$AH$7:$AH$3000,"yes")+COUNTIFS($B$7:B813,B813,$C$7:C813,C813,$H$7:H813,H813,$AH$7:AH813,"yes"),"")</f>
        <v>1</v>
      </c>
      <c r="AG813" s="110" t="n">
        <f aca="false">IF(ISNUMBER(I813),COUNTIFS($B$7:$B$3000,B813,$C$7:$C$3000,C813,$I$7:$I$3000,"&lt;"&amp;I813,$AI$7:$AI$3000,"yes")+COUNTIFS($B$7:B813,B813,$C$7:C813,C813,$I$7:I813,I813,$AI$7:AI813,"yes"),"")</f>
        <v>1</v>
      </c>
      <c r="AH813" s="110" t="str">
        <f aca="false">IF(ISNUMBER(H813),"yes","no")</f>
        <v>yes</v>
      </c>
      <c r="AI813" s="110" t="str">
        <f aca="false">IF(ISNUMBER(I813),"yes","no")</f>
        <v>yes</v>
      </c>
      <c r="AJ813" s="120" t="n">
        <v>46297</v>
      </c>
      <c r="AK813" s="110"/>
    </row>
    <row r="814" customFormat="false" ht="23.25" hidden="false" customHeight="true" outlineLevel="0" collapsed="false">
      <c r="B814" s="36" t="s">
        <v>45</v>
      </c>
      <c r="C814" s="98" t="s">
        <v>16</v>
      </c>
      <c r="D814" s="98" t="s">
        <v>305</v>
      </c>
      <c r="E814" s="110" t="s">
        <v>2733</v>
      </c>
      <c r="F814" s="99" t="n">
        <v>5.65</v>
      </c>
      <c r="G814" s="98" t="s">
        <v>244</v>
      </c>
      <c r="H814" s="112" t="n">
        <f aca="false">IF(AND(AE814="yes",ISNUMBER(AD814)),AD814,"")</f>
        <v>5.65</v>
      </c>
      <c r="I814" s="95" t="n">
        <f aca="false">IF(AND(AE814="yes",ISNUMBER(AD814),ISNUMBER(INDEX(Sources!$G$7:$G$10,MATCH(AB814,Sources!$B$7:$B$10,0)))),ROUND(AD814/INDEX(Sources!$G$7:$G$10,MATCH(AB814,Sources!$B$7:$B$10,0)),6),"")</f>
        <v>5.65</v>
      </c>
      <c r="J814" s="98" t="s">
        <v>530</v>
      </c>
      <c r="K814" s="98" t="s">
        <v>2059</v>
      </c>
      <c r="L814" s="96"/>
      <c r="M814" s="110" t="s">
        <v>2734</v>
      </c>
      <c r="N814" s="117" t="s">
        <v>2735</v>
      </c>
      <c r="O814" s="110" t="s">
        <v>2576</v>
      </c>
      <c r="P814" s="110" t="s">
        <v>590</v>
      </c>
      <c r="Q814" s="118" t="n">
        <v>0.19</v>
      </c>
      <c r="R814" s="110" t="n">
        <v>1</v>
      </c>
      <c r="S814" s="110" t="s">
        <v>632</v>
      </c>
      <c r="T814" s="110" t="s">
        <v>530</v>
      </c>
      <c r="U814" s="110" t="s">
        <v>2062</v>
      </c>
      <c r="V814" s="119" t="n">
        <v>5.65</v>
      </c>
      <c r="W814" s="119"/>
      <c r="X814" s="110" t="s">
        <v>2063</v>
      </c>
      <c r="Y814" s="110" t="s">
        <v>2064</v>
      </c>
      <c r="Z814" s="110" t="s">
        <v>2142</v>
      </c>
      <c r="AA814" s="110" t="s">
        <v>537</v>
      </c>
      <c r="AB814" s="110" t="s">
        <v>244</v>
      </c>
      <c r="AC814" s="110" t="s">
        <v>538</v>
      </c>
      <c r="AD814" s="110" t="n">
        <f aca="false">IF(OR(F814="",Q814="",R814=""),"",ROUND(IF(P814="incl.",F814/(1+Q814),F814)/IF(S814="per pack",R814,1),2))</f>
        <v>5.65</v>
      </c>
      <c r="AE814" s="110" t="str">
        <f aca="false">IF(AND(AC814="yes",ISNUMBER(F814),IF(Compare!$H$5="All mapped",TRUE(),IF(Compare!$H$5="EXACT only",J814="EXACT",OR(J814="EXACT",J814="CLOSE")))),"yes","no")</f>
        <v>yes</v>
      </c>
      <c r="AF814" s="110" t="n">
        <f aca="false">IF(ISNUMBER(H814),COUNTIFS($B$7:$B$3000,B814,$C$7:$C$3000,C814,$H$7:$H$3000,"&lt;"&amp;H814,$AH$7:$AH$3000,"yes")+COUNTIFS($B$7:B814,B814,$C$7:C814,C814,$H$7:H814,H814,$AH$7:AH814,"yes"),"")</f>
        <v>3</v>
      </c>
      <c r="AG814" s="110" t="n">
        <f aca="false">IF(ISNUMBER(I814),COUNTIFS($B$7:$B$3000,B814,$C$7:$C$3000,C814,$I$7:$I$3000,"&lt;"&amp;I814,$AI$7:$AI$3000,"yes")+COUNTIFS($B$7:B814,B814,$C$7:C814,C814,$I$7:I814,I814,$AI$7:AI814,"yes"),"")</f>
        <v>3</v>
      </c>
      <c r="AH814" s="110" t="str">
        <f aca="false">IF(ISNUMBER(H814),"yes","no")</f>
        <v>yes</v>
      </c>
      <c r="AI814" s="110" t="str">
        <f aca="false">IF(ISNUMBER(I814),"yes","no")</f>
        <v>yes</v>
      </c>
      <c r="AJ814" s="120" t="n">
        <v>46297</v>
      </c>
      <c r="AK814" s="110"/>
    </row>
    <row r="815" customFormat="false" ht="23.25" hidden="false" customHeight="true" outlineLevel="0" collapsed="false">
      <c r="B815" s="36" t="s">
        <v>23</v>
      </c>
      <c r="C815" s="98" t="s">
        <v>16</v>
      </c>
      <c r="D815" s="98" t="s">
        <v>305</v>
      </c>
      <c r="E815" s="110" t="s">
        <v>2736</v>
      </c>
      <c r="F815" s="99" t="n">
        <v>3.62</v>
      </c>
      <c r="G815" s="98" t="s">
        <v>244</v>
      </c>
      <c r="H815" s="112" t="n">
        <f aca="false">IF(AND(AE815="yes",ISNUMBER(AD815)),AD815,"")</f>
        <v>3.62</v>
      </c>
      <c r="I815" s="95" t="n">
        <f aca="false">IF(AND(AE815="yes",ISNUMBER(AD815),ISNUMBER(INDEX(Sources!$G$7:$G$10,MATCH(AB815,Sources!$B$7:$B$10,0)))),ROUND(AD815/INDEX(Sources!$G$7:$G$10,MATCH(AB815,Sources!$B$7:$B$10,0)),6),"")</f>
        <v>3.62</v>
      </c>
      <c r="J815" s="98" t="s">
        <v>530</v>
      </c>
      <c r="K815" s="98" t="s">
        <v>2059</v>
      </c>
      <c r="L815" s="96"/>
      <c r="M815" s="110" t="s">
        <v>2737</v>
      </c>
      <c r="N815" s="117" t="s">
        <v>2738</v>
      </c>
      <c r="O815" s="110" t="s">
        <v>2576</v>
      </c>
      <c r="P815" s="110" t="s">
        <v>590</v>
      </c>
      <c r="Q815" s="118" t="n">
        <v>0.19</v>
      </c>
      <c r="R815" s="110" t="n">
        <v>1</v>
      </c>
      <c r="S815" s="110" t="s">
        <v>632</v>
      </c>
      <c r="T815" s="110" t="s">
        <v>530</v>
      </c>
      <c r="U815" s="110" t="s">
        <v>2062</v>
      </c>
      <c r="V815" s="119" t="n">
        <v>3.62</v>
      </c>
      <c r="W815" s="119"/>
      <c r="X815" s="110" t="s">
        <v>2063</v>
      </c>
      <c r="Y815" s="110" t="s">
        <v>2064</v>
      </c>
      <c r="Z815" s="110" t="s">
        <v>2729</v>
      </c>
      <c r="AA815" s="110" t="s">
        <v>537</v>
      </c>
      <c r="AB815" s="110" t="s">
        <v>244</v>
      </c>
      <c r="AC815" s="110" t="s">
        <v>538</v>
      </c>
      <c r="AD815" s="110" t="n">
        <f aca="false">IF(OR(F815="",Q815="",R815=""),"",ROUND(IF(P815="incl.",F815/(1+Q815),F815)/IF(S815="per pack",R815,1),2))</f>
        <v>3.62</v>
      </c>
      <c r="AE815" s="110" t="str">
        <f aca="false">IF(AND(AC815="yes",ISNUMBER(F815),IF(Compare!$H$5="All mapped",TRUE(),IF(Compare!$H$5="EXACT only",J815="EXACT",OR(J815="EXACT",J815="CLOSE")))),"yes","no")</f>
        <v>yes</v>
      </c>
      <c r="AF815" s="110" t="n">
        <f aca="false">IF(ISNUMBER(H815),COUNTIFS($B$7:$B$3000,B815,$C$7:$C$3000,C815,$H$7:$H$3000,"&lt;"&amp;H815,$AH$7:$AH$3000,"yes")+COUNTIFS($B$7:B815,B815,$C$7:C815,C815,$H$7:H815,H815,$AH$7:AH815,"yes"),"")</f>
        <v>3</v>
      </c>
      <c r="AG815" s="110" t="n">
        <f aca="false">IF(ISNUMBER(I815),COUNTIFS($B$7:$B$3000,B815,$C$7:$C$3000,C815,$I$7:$I$3000,"&lt;"&amp;I815,$AI$7:$AI$3000,"yes")+COUNTIFS($B$7:B815,B815,$C$7:C815,C815,$I$7:I815,I815,$AI$7:AI815,"yes"),"")</f>
        <v>3</v>
      </c>
      <c r="AH815" s="110" t="str">
        <f aca="false">IF(ISNUMBER(H815),"yes","no")</f>
        <v>yes</v>
      </c>
      <c r="AI815" s="110" t="str">
        <f aca="false">IF(ISNUMBER(I815),"yes","no")</f>
        <v>yes</v>
      </c>
      <c r="AJ815" s="120" t="n">
        <v>46297</v>
      </c>
      <c r="AK815" s="110"/>
    </row>
    <row r="816" customFormat="false" ht="23.25" hidden="false" customHeight="true" outlineLevel="0" collapsed="false">
      <c r="B816" s="36" t="s">
        <v>49</v>
      </c>
      <c r="C816" s="98" t="s">
        <v>16</v>
      </c>
      <c r="D816" s="98" t="s">
        <v>305</v>
      </c>
      <c r="E816" s="110" t="s">
        <v>2739</v>
      </c>
      <c r="F816" s="99" t="n">
        <v>2.54</v>
      </c>
      <c r="G816" s="98" t="s">
        <v>244</v>
      </c>
      <c r="H816" s="112" t="n">
        <f aca="false">IF(AND(AE816="yes",ISNUMBER(AD816)),AD816,"")</f>
        <v>2.54</v>
      </c>
      <c r="I816" s="95" t="n">
        <f aca="false">IF(AND(AE816="yes",ISNUMBER(AD816),ISNUMBER(INDEX(Sources!$G$7:$G$10,MATCH(AB816,Sources!$B$7:$B$10,0)))),ROUND(AD816/INDEX(Sources!$G$7:$G$10,MATCH(AB816,Sources!$B$7:$B$10,0)),6),"")</f>
        <v>2.54</v>
      </c>
      <c r="J816" s="98" t="s">
        <v>530</v>
      </c>
      <c r="K816" s="98" t="s">
        <v>2059</v>
      </c>
      <c r="L816" s="96"/>
      <c r="M816" s="110" t="s">
        <v>2740</v>
      </c>
      <c r="N816" s="117" t="s">
        <v>2741</v>
      </c>
      <c r="O816" s="110" t="s">
        <v>2576</v>
      </c>
      <c r="P816" s="110" t="s">
        <v>590</v>
      </c>
      <c r="Q816" s="118" t="n">
        <v>0.19</v>
      </c>
      <c r="R816" s="110" t="n">
        <v>1</v>
      </c>
      <c r="S816" s="110" t="s">
        <v>632</v>
      </c>
      <c r="T816" s="110" t="s">
        <v>530</v>
      </c>
      <c r="U816" s="110" t="s">
        <v>2062</v>
      </c>
      <c r="V816" s="119" t="n">
        <v>2.54</v>
      </c>
      <c r="W816" s="119"/>
      <c r="X816" s="110" t="s">
        <v>2063</v>
      </c>
      <c r="Y816" s="110" t="s">
        <v>2064</v>
      </c>
      <c r="Z816" s="110" t="s">
        <v>2729</v>
      </c>
      <c r="AA816" s="110" t="s">
        <v>537</v>
      </c>
      <c r="AB816" s="110" t="s">
        <v>244</v>
      </c>
      <c r="AC816" s="110" t="s">
        <v>538</v>
      </c>
      <c r="AD816" s="110" t="n">
        <f aca="false">IF(OR(F816="",Q816="",R816=""),"",ROUND(IF(P816="incl.",F816/(1+Q816),F816)/IF(S816="per pack",R816,1),2))</f>
        <v>2.54</v>
      </c>
      <c r="AE816" s="110" t="str">
        <f aca="false">IF(AND(AC816="yes",ISNUMBER(F816),IF(Compare!$H$5="All mapped",TRUE(),IF(Compare!$H$5="EXACT only",J816="EXACT",OR(J816="EXACT",J816="CLOSE")))),"yes","no")</f>
        <v>yes</v>
      </c>
      <c r="AF816" s="110" t="n">
        <f aca="false">IF(ISNUMBER(H816),COUNTIFS($B$7:$B$3000,B816,$C$7:$C$3000,C816,$H$7:$H$3000,"&lt;"&amp;H816,$AH$7:$AH$3000,"yes")+COUNTIFS($B$7:B816,B816,$C$7:C816,C816,$H$7:H816,H816,$AH$7:AH816,"yes"),"")</f>
        <v>2</v>
      </c>
      <c r="AG816" s="110" t="n">
        <f aca="false">IF(ISNUMBER(I816),COUNTIFS($B$7:$B$3000,B816,$C$7:$C$3000,C816,$I$7:$I$3000,"&lt;"&amp;I816,$AI$7:$AI$3000,"yes")+COUNTIFS($B$7:B816,B816,$C$7:C816,C816,$I$7:I816,I816,$AI$7:AI816,"yes"),"")</f>
        <v>2</v>
      </c>
      <c r="AH816" s="110" t="str">
        <f aca="false">IF(ISNUMBER(H816),"yes","no")</f>
        <v>yes</v>
      </c>
      <c r="AI816" s="110" t="str">
        <f aca="false">IF(ISNUMBER(I816),"yes","no")</f>
        <v>yes</v>
      </c>
      <c r="AJ816" s="120" t="n">
        <v>46297</v>
      </c>
      <c r="AK816" s="110"/>
    </row>
    <row r="817" customFormat="false" ht="34.5" hidden="false" customHeight="true" outlineLevel="0" collapsed="false">
      <c r="B817" s="36" t="s">
        <v>51</v>
      </c>
      <c r="C817" s="98" t="s">
        <v>16</v>
      </c>
      <c r="D817" s="98" t="s">
        <v>305</v>
      </c>
      <c r="E817" s="110" t="s">
        <v>2742</v>
      </c>
      <c r="F817" s="99" t="n">
        <v>24.76</v>
      </c>
      <c r="G817" s="98" t="s">
        <v>244</v>
      </c>
      <c r="H817" s="112" t="n">
        <f aca="false">IF(AND(AE817="yes",ISNUMBER(AD817)),AD817,"")</f>
        <v>4.13</v>
      </c>
      <c r="I817" s="95" t="n">
        <f aca="false">IF(AND(AE817="yes",ISNUMBER(AD817),ISNUMBER(INDEX(Sources!$G$7:$G$10,MATCH(AB817,Sources!$B$7:$B$10,0)))),ROUND(AD817/INDEX(Sources!$G$7:$G$10,MATCH(AB817,Sources!$B$7:$B$10,0)),6),"")</f>
        <v>4.13</v>
      </c>
      <c r="J817" s="98" t="s">
        <v>530</v>
      </c>
      <c r="K817" s="98" t="s">
        <v>2059</v>
      </c>
      <c r="L817" s="96"/>
      <c r="M817" s="110" t="s">
        <v>2743</v>
      </c>
      <c r="N817" s="117" t="s">
        <v>2744</v>
      </c>
      <c r="O817" s="110" t="s">
        <v>2576</v>
      </c>
      <c r="P817" s="110" t="s">
        <v>590</v>
      </c>
      <c r="Q817" s="118" t="n">
        <v>0.19</v>
      </c>
      <c r="R817" s="110" t="n">
        <v>6</v>
      </c>
      <c r="S817" s="110" t="s">
        <v>625</v>
      </c>
      <c r="T817" s="110" t="s">
        <v>530</v>
      </c>
      <c r="U817" s="110" t="s">
        <v>2062</v>
      </c>
      <c r="V817" s="119" t="n">
        <v>4.13</v>
      </c>
      <c r="W817" s="119"/>
      <c r="X817" s="110" t="s">
        <v>2063</v>
      </c>
      <c r="Y817" s="110" t="s">
        <v>2064</v>
      </c>
      <c r="Z817" s="110" t="s">
        <v>2142</v>
      </c>
      <c r="AA817" s="110" t="s">
        <v>537</v>
      </c>
      <c r="AB817" s="110" t="s">
        <v>244</v>
      </c>
      <c r="AC817" s="110" t="s">
        <v>538</v>
      </c>
      <c r="AD817" s="110" t="n">
        <f aca="false">IF(OR(F817="",Q817="",R817=""),"",ROUND(IF(P817="incl.",F817/(1+Q817),F817)/IF(S817="per pack",R817,1),2))</f>
        <v>4.13</v>
      </c>
      <c r="AE817" s="110" t="str">
        <f aca="false">IF(AND(AC817="yes",ISNUMBER(F817),IF(Compare!$H$5="All mapped",TRUE(),IF(Compare!$H$5="EXACT only",J817="EXACT",OR(J817="EXACT",J817="CLOSE")))),"yes","no")</f>
        <v>yes</v>
      </c>
      <c r="AF817" s="110" t="n">
        <f aca="false">IF(ISNUMBER(H817),COUNTIFS($B$7:$B$3000,B817,$C$7:$C$3000,C817,$H$7:$H$3000,"&lt;"&amp;H817,$AH$7:$AH$3000,"yes")+COUNTIFS($B$7:B817,B817,$C$7:C817,C817,$H$7:H817,H817,$AH$7:AH817,"yes"),"")</f>
        <v>3</v>
      </c>
      <c r="AG817" s="110" t="n">
        <f aca="false">IF(ISNUMBER(I817),COUNTIFS($B$7:$B$3000,B817,$C$7:$C$3000,C817,$I$7:$I$3000,"&lt;"&amp;I817,$AI$7:$AI$3000,"yes")+COUNTIFS($B$7:B817,B817,$C$7:C817,C817,$I$7:I817,I817,$AI$7:AI817,"yes"),"")</f>
        <v>3</v>
      </c>
      <c r="AH817" s="110" t="str">
        <f aca="false">IF(ISNUMBER(H817),"yes","no")</f>
        <v>yes</v>
      </c>
      <c r="AI817" s="110" t="str">
        <f aca="false">IF(ISNUMBER(I817),"yes","no")</f>
        <v>yes</v>
      </c>
      <c r="AJ817" s="120" t="n">
        <v>46297</v>
      </c>
      <c r="AK817" s="110"/>
    </row>
    <row r="818" customFormat="false" ht="34.5" hidden="false" customHeight="true" outlineLevel="0" collapsed="false">
      <c r="B818" s="36" t="s">
        <v>43</v>
      </c>
      <c r="C818" s="98" t="s">
        <v>16</v>
      </c>
      <c r="D818" s="98" t="s">
        <v>311</v>
      </c>
      <c r="E818" s="110" t="s">
        <v>1541</v>
      </c>
      <c r="F818" s="99" t="n">
        <v>18.99</v>
      </c>
      <c r="G818" s="98" t="s">
        <v>244</v>
      </c>
      <c r="H818" s="112" t="str">
        <f aca="false">IF(AND(AE818="yes",ISNUMBER(AD818)),AD818,"")</f>
        <v/>
      </c>
      <c r="I818" s="95" t="str">
        <f aca="false">IF(AND(AE818="yes",ISNUMBER(AD818),ISNUMBER(INDEX(Sources!$G$7:$G$10,MATCH(AB818,Sources!$B$7:$B$10,0)))),ROUND(AD818/INDEX(Sources!$G$7:$G$10,MATCH(AB818,Sources!$B$7:$B$10,0)),6),"")</f>
        <v/>
      </c>
      <c r="J818" s="98" t="s">
        <v>629</v>
      </c>
      <c r="K818" s="98" t="s">
        <v>2059</v>
      </c>
      <c r="L818" s="96"/>
      <c r="M818" s="110" t="s">
        <v>2745</v>
      </c>
      <c r="N818" s="117" t="s">
        <v>2746</v>
      </c>
      <c r="O818" s="110" t="s">
        <v>388</v>
      </c>
      <c r="P818" s="110" t="s">
        <v>590</v>
      </c>
      <c r="Q818" s="118" t="n">
        <v>0.19</v>
      </c>
      <c r="R818" s="110" t="n">
        <v>1</v>
      </c>
      <c r="S818" s="110" t="s">
        <v>632</v>
      </c>
      <c r="T818" s="110" t="s">
        <v>629</v>
      </c>
      <c r="U818" s="110" t="s">
        <v>2062</v>
      </c>
      <c r="V818" s="119" t="n">
        <v>18.99</v>
      </c>
      <c r="W818" s="119"/>
      <c r="X818" s="110" t="s">
        <v>2063</v>
      </c>
      <c r="Y818" s="110" t="s">
        <v>2064</v>
      </c>
      <c r="Z818" s="110" t="s">
        <v>2747</v>
      </c>
      <c r="AA818" s="110" t="s">
        <v>537</v>
      </c>
      <c r="AB818" s="110" t="s">
        <v>244</v>
      </c>
      <c r="AC818" s="110" t="s">
        <v>538</v>
      </c>
      <c r="AD818" s="110" t="n">
        <f aca="false">IF(OR(F818="",Q818="",R818=""),"",ROUND(IF(P818="incl.",F818/(1+Q818),F818)/IF(S818="per pack",R818,1),2))</f>
        <v>18.99</v>
      </c>
      <c r="AE818" s="110" t="str">
        <f aca="false">IF(AND(AC818="yes",ISNUMBER(F818),IF(Compare!$H$5="All mapped",TRUE(),IF(Compare!$H$5="EXACT only",J818="EXACT",OR(J818="EXACT",J818="CLOSE")))),"yes","no")</f>
        <v>no</v>
      </c>
      <c r="AF818" s="110" t="str">
        <f aca="false">IF(ISNUMBER(H818),COUNTIFS($B$7:$B$3000,B818,$C$7:$C$3000,C818,$H$7:$H$3000,"&lt;"&amp;H818,$AH$7:$AH$3000,"yes")+COUNTIFS($B$7:B818,B818,$C$7:C818,C818,$H$7:H818,H818,$AH$7:AH818,"yes"),"")</f>
        <v/>
      </c>
      <c r="AG818" s="110" t="str">
        <f aca="false">IF(ISNUMBER(I818),COUNTIFS($B$7:$B$3000,B818,$C$7:$C$3000,C818,$I$7:$I$3000,"&lt;"&amp;I818,$AI$7:$AI$3000,"yes")+COUNTIFS($B$7:B818,B818,$C$7:C818,C818,$I$7:I818,I818,$AI$7:AI818,"yes"),"")</f>
        <v/>
      </c>
      <c r="AH818" s="110" t="str">
        <f aca="false">IF(ISNUMBER(H818),"yes","no")</f>
        <v>no</v>
      </c>
      <c r="AI818" s="110" t="str">
        <f aca="false">IF(ISNUMBER(I818),"yes","no")</f>
        <v>no</v>
      </c>
      <c r="AJ818" s="120" t="n">
        <v>46297</v>
      </c>
      <c r="AK818" s="110"/>
    </row>
    <row r="819" customFormat="false" ht="23.25" hidden="false" customHeight="true" outlineLevel="0" collapsed="false">
      <c r="B819" s="36" t="s">
        <v>46</v>
      </c>
      <c r="C819" s="98" t="s">
        <v>16</v>
      </c>
      <c r="D819" s="98" t="s">
        <v>311</v>
      </c>
      <c r="E819" s="110" t="s">
        <v>1617</v>
      </c>
      <c r="F819" s="99" t="n">
        <v>7.49</v>
      </c>
      <c r="G819" s="98" t="s">
        <v>244</v>
      </c>
      <c r="H819" s="112" t="n">
        <f aca="false">IF(AND(AE819="yes",ISNUMBER(AD819)),AD819,"")</f>
        <v>7.49</v>
      </c>
      <c r="I819" s="95" t="n">
        <f aca="false">IF(AND(AE819="yes",ISNUMBER(AD819),ISNUMBER(INDEX(Sources!$G$7:$G$10,MATCH(AB819,Sources!$B$7:$B$10,0)))),ROUND(AD819/INDEX(Sources!$G$7:$G$10,MATCH(AB819,Sources!$B$7:$B$10,0)),6),"")</f>
        <v>7.49</v>
      </c>
      <c r="J819" s="98" t="s">
        <v>530</v>
      </c>
      <c r="K819" s="98" t="s">
        <v>2059</v>
      </c>
      <c r="L819" s="96"/>
      <c r="M819" s="110" t="s">
        <v>2748</v>
      </c>
      <c r="N819" s="117" t="s">
        <v>2749</v>
      </c>
      <c r="O819" s="110" t="s">
        <v>589</v>
      </c>
      <c r="P819" s="110" t="s">
        <v>590</v>
      </c>
      <c r="Q819" s="118" t="n">
        <v>0.19</v>
      </c>
      <c r="R819" s="110" t="n">
        <v>1</v>
      </c>
      <c r="S819" s="110" t="s">
        <v>632</v>
      </c>
      <c r="T819" s="110" t="s">
        <v>530</v>
      </c>
      <c r="U819" s="110" t="s">
        <v>2062</v>
      </c>
      <c r="V819" s="119" t="n">
        <v>7.49</v>
      </c>
      <c r="W819" s="119"/>
      <c r="X819" s="110" t="s">
        <v>2063</v>
      </c>
      <c r="Y819" s="110" t="s">
        <v>2064</v>
      </c>
      <c r="Z819" s="110" t="s">
        <v>2595</v>
      </c>
      <c r="AA819" s="110" t="s">
        <v>537</v>
      </c>
      <c r="AB819" s="110" t="s">
        <v>244</v>
      </c>
      <c r="AC819" s="110" t="s">
        <v>538</v>
      </c>
      <c r="AD819" s="110" t="n">
        <f aca="false">IF(OR(F819="",Q819="",R819=""),"",ROUND(IF(P819="incl.",F819/(1+Q819),F819)/IF(S819="per pack",R819,1),2))</f>
        <v>7.49</v>
      </c>
      <c r="AE819" s="110" t="str">
        <f aca="false">IF(AND(AC819="yes",ISNUMBER(F819),IF(Compare!$H$5="All mapped",TRUE(),IF(Compare!$H$5="EXACT only",J819="EXACT",OR(J819="EXACT",J819="CLOSE")))),"yes","no")</f>
        <v>yes</v>
      </c>
      <c r="AF819" s="110" t="n">
        <f aca="false">IF(ISNUMBER(H819),COUNTIFS($B$7:$B$3000,B819,$C$7:$C$3000,C819,$H$7:$H$3000,"&lt;"&amp;H819,$AH$7:$AH$3000,"yes")+COUNTIFS($B$7:B819,B819,$C$7:C819,C819,$H$7:H819,H819,$AH$7:AH819,"yes"),"")</f>
        <v>2</v>
      </c>
      <c r="AG819" s="110" t="n">
        <f aca="false">IF(ISNUMBER(I819),COUNTIFS($B$7:$B$3000,B819,$C$7:$C$3000,C819,$I$7:$I$3000,"&lt;"&amp;I819,$AI$7:$AI$3000,"yes")+COUNTIFS($B$7:B819,B819,$C$7:C819,C819,$I$7:I819,I819,$AI$7:AI819,"yes"),"")</f>
        <v>2</v>
      </c>
      <c r="AH819" s="110" t="str">
        <f aca="false">IF(ISNUMBER(H819),"yes","no")</f>
        <v>yes</v>
      </c>
      <c r="AI819" s="110" t="str">
        <f aca="false">IF(ISNUMBER(I819),"yes","no")</f>
        <v>yes</v>
      </c>
      <c r="AJ819" s="120" t="n">
        <v>46297</v>
      </c>
      <c r="AK819" s="110"/>
    </row>
    <row r="820" customFormat="false" ht="23.25" hidden="false" customHeight="true" outlineLevel="0" collapsed="false">
      <c r="B820" s="36" t="s">
        <v>45</v>
      </c>
      <c r="C820" s="98" t="s">
        <v>16</v>
      </c>
      <c r="D820" s="98" t="s">
        <v>311</v>
      </c>
      <c r="E820" s="110" t="s">
        <v>2750</v>
      </c>
      <c r="F820" s="99" t="n">
        <v>6.99</v>
      </c>
      <c r="G820" s="98" t="s">
        <v>244</v>
      </c>
      <c r="H820" s="112" t="n">
        <f aca="false">IF(AND(AE820="yes",ISNUMBER(AD820)),AD820,"")</f>
        <v>6.99</v>
      </c>
      <c r="I820" s="95" t="n">
        <f aca="false">IF(AND(AE820="yes",ISNUMBER(AD820),ISNUMBER(INDEX(Sources!$G$7:$G$10,MATCH(AB820,Sources!$B$7:$B$10,0)))),ROUND(AD820/INDEX(Sources!$G$7:$G$10,MATCH(AB820,Sources!$B$7:$B$10,0)),6),"")</f>
        <v>6.99</v>
      </c>
      <c r="J820" s="98" t="s">
        <v>530</v>
      </c>
      <c r="K820" s="98" t="s">
        <v>2059</v>
      </c>
      <c r="L820" s="96"/>
      <c r="M820" s="110" t="s">
        <v>2751</v>
      </c>
      <c r="N820" s="117" t="s">
        <v>2752</v>
      </c>
      <c r="O820" s="110" t="s">
        <v>589</v>
      </c>
      <c r="P820" s="110" t="s">
        <v>590</v>
      </c>
      <c r="Q820" s="118" t="n">
        <v>0.19</v>
      </c>
      <c r="R820" s="110" t="n">
        <v>1</v>
      </c>
      <c r="S820" s="110" t="s">
        <v>632</v>
      </c>
      <c r="T820" s="110" t="s">
        <v>530</v>
      </c>
      <c r="U820" s="110" t="s">
        <v>2062</v>
      </c>
      <c r="V820" s="119" t="n">
        <v>6.99</v>
      </c>
      <c r="W820" s="119"/>
      <c r="X820" s="110" t="s">
        <v>2063</v>
      </c>
      <c r="Y820" s="110" t="s">
        <v>2064</v>
      </c>
      <c r="Z820" s="110" t="s">
        <v>2595</v>
      </c>
      <c r="AA820" s="110" t="s">
        <v>537</v>
      </c>
      <c r="AB820" s="110" t="s">
        <v>244</v>
      </c>
      <c r="AC820" s="110" t="s">
        <v>538</v>
      </c>
      <c r="AD820" s="110" t="n">
        <f aca="false">IF(OR(F820="",Q820="",R820=""),"",ROUND(IF(P820="incl.",F820/(1+Q820),F820)/IF(S820="per pack",R820,1),2))</f>
        <v>6.99</v>
      </c>
      <c r="AE820" s="110" t="str">
        <f aca="false">IF(AND(AC820="yes",ISNUMBER(F820),IF(Compare!$H$5="All mapped",TRUE(),IF(Compare!$H$5="EXACT only",J820="EXACT",OR(J820="EXACT",J820="CLOSE")))),"yes","no")</f>
        <v>yes</v>
      </c>
      <c r="AF820" s="110" t="n">
        <f aca="false">IF(ISNUMBER(H820),COUNTIFS($B$7:$B$3000,B820,$C$7:$C$3000,C820,$H$7:$H$3000,"&lt;"&amp;H820,$AH$7:$AH$3000,"yes")+COUNTIFS($B$7:B820,B820,$C$7:C820,C820,$H$7:H820,H820,$AH$7:AH820,"yes"),"")</f>
        <v>4</v>
      </c>
      <c r="AG820" s="110" t="n">
        <f aca="false">IF(ISNUMBER(I820),COUNTIFS($B$7:$B$3000,B820,$C$7:$C$3000,C820,$I$7:$I$3000,"&lt;"&amp;I820,$AI$7:$AI$3000,"yes")+COUNTIFS($B$7:B820,B820,$C$7:C820,C820,$I$7:I820,I820,$AI$7:AI820,"yes"),"")</f>
        <v>4</v>
      </c>
      <c r="AH820" s="110" t="str">
        <f aca="false">IF(ISNUMBER(H820),"yes","no")</f>
        <v>yes</v>
      </c>
      <c r="AI820" s="110" t="str">
        <f aca="false">IF(ISNUMBER(I820),"yes","no")</f>
        <v>yes</v>
      </c>
      <c r="AJ820" s="120" t="n">
        <v>46297</v>
      </c>
      <c r="AK820" s="110"/>
    </row>
    <row r="821" customFormat="false" ht="34.5" hidden="false" customHeight="true" outlineLevel="0" collapsed="false">
      <c r="B821" s="36" t="s">
        <v>49</v>
      </c>
      <c r="C821" s="98" t="s">
        <v>16</v>
      </c>
      <c r="D821" s="98" t="s">
        <v>311</v>
      </c>
      <c r="E821" s="110" t="s">
        <v>2753</v>
      </c>
      <c r="F821" s="99" t="n">
        <v>6.19</v>
      </c>
      <c r="G821" s="98" t="s">
        <v>244</v>
      </c>
      <c r="H821" s="112" t="str">
        <f aca="false">IF(AND(AE821="yes",ISNUMBER(AD821)),AD821,"")</f>
        <v/>
      </c>
      <c r="I821" s="95" t="str">
        <f aca="false">IF(AND(AE821="yes",ISNUMBER(AD821),ISNUMBER(INDEX(Sources!$G$7:$G$10,MATCH(AB821,Sources!$B$7:$B$10,0)))),ROUND(AD821/INDEX(Sources!$G$7:$G$10,MATCH(AB821,Sources!$B$7:$B$10,0)),6),"")</f>
        <v/>
      </c>
      <c r="J821" s="98" t="s">
        <v>629</v>
      </c>
      <c r="K821" s="98" t="s">
        <v>2059</v>
      </c>
      <c r="L821" s="96"/>
      <c r="M821" s="110" t="s">
        <v>2754</v>
      </c>
      <c r="N821" s="117" t="s">
        <v>2755</v>
      </c>
      <c r="O821" s="110" t="s">
        <v>388</v>
      </c>
      <c r="P821" s="110" t="s">
        <v>590</v>
      </c>
      <c r="Q821" s="118" t="n">
        <v>0.19</v>
      </c>
      <c r="R821" s="110" t="n">
        <v>1</v>
      </c>
      <c r="S821" s="110" t="s">
        <v>632</v>
      </c>
      <c r="T821" s="110" t="s">
        <v>629</v>
      </c>
      <c r="U821" s="110" t="s">
        <v>2062</v>
      </c>
      <c r="V821" s="119" t="n">
        <v>6.19</v>
      </c>
      <c r="W821" s="119"/>
      <c r="X821" s="110" t="s">
        <v>2063</v>
      </c>
      <c r="Y821" s="110" t="s">
        <v>2064</v>
      </c>
      <c r="Z821" s="110" t="s">
        <v>2756</v>
      </c>
      <c r="AA821" s="110" t="s">
        <v>537</v>
      </c>
      <c r="AB821" s="110" t="s">
        <v>244</v>
      </c>
      <c r="AC821" s="110" t="s">
        <v>538</v>
      </c>
      <c r="AD821" s="110" t="n">
        <f aca="false">IF(OR(F821="",Q821="",R821=""),"",ROUND(IF(P821="incl.",F821/(1+Q821),F821)/IF(S821="per pack",R821,1),2))</f>
        <v>6.19</v>
      </c>
      <c r="AE821" s="110" t="str">
        <f aca="false">IF(AND(AC821="yes",ISNUMBER(F821),IF(Compare!$H$5="All mapped",TRUE(),IF(Compare!$H$5="EXACT only",J821="EXACT",OR(J821="EXACT",J821="CLOSE")))),"yes","no")</f>
        <v>no</v>
      </c>
      <c r="AF821" s="110" t="str">
        <f aca="false">IF(ISNUMBER(H821),COUNTIFS($B$7:$B$3000,B821,$C$7:$C$3000,C821,$H$7:$H$3000,"&lt;"&amp;H821,$AH$7:$AH$3000,"yes")+COUNTIFS($B$7:B821,B821,$C$7:C821,C821,$H$7:H821,H821,$AH$7:AH821,"yes"),"")</f>
        <v/>
      </c>
      <c r="AG821" s="110" t="str">
        <f aca="false">IF(ISNUMBER(I821),COUNTIFS($B$7:$B$3000,B821,$C$7:$C$3000,C821,$I$7:$I$3000,"&lt;"&amp;I821,$AI$7:$AI$3000,"yes")+COUNTIFS($B$7:B821,B821,$C$7:C821,C821,$I$7:I821,I821,$AI$7:AI821,"yes"),"")</f>
        <v/>
      </c>
      <c r="AH821" s="110" t="str">
        <f aca="false">IF(ISNUMBER(H821),"yes","no")</f>
        <v>no</v>
      </c>
      <c r="AI821" s="110" t="str">
        <f aca="false">IF(ISNUMBER(I821),"yes","no")</f>
        <v>no</v>
      </c>
      <c r="AJ821" s="120" t="n">
        <v>46297</v>
      </c>
      <c r="AK821" s="110"/>
    </row>
    <row r="822" customFormat="false" ht="23.25" hidden="false" customHeight="true" outlineLevel="0" collapsed="false">
      <c r="B822" s="36" t="s">
        <v>51</v>
      </c>
      <c r="C822" s="98" t="s">
        <v>16</v>
      </c>
      <c r="D822" s="98" t="s">
        <v>311</v>
      </c>
      <c r="E822" s="110" t="s">
        <v>1722</v>
      </c>
      <c r="F822" s="99" t="n">
        <v>5.29</v>
      </c>
      <c r="G822" s="98" t="s">
        <v>244</v>
      </c>
      <c r="H822" s="112" t="str">
        <f aca="false">IF(AND(AE822="yes",ISNUMBER(AD822)),AD822,"")</f>
        <v/>
      </c>
      <c r="I822" s="95" t="str">
        <f aca="false">IF(AND(AE822="yes",ISNUMBER(AD822),ISNUMBER(INDEX(Sources!$G$7:$G$10,MATCH(AB822,Sources!$B$7:$B$10,0)))),ROUND(AD822/INDEX(Sources!$G$7:$G$10,MATCH(AB822,Sources!$B$7:$B$10,0)),6),"")</f>
        <v/>
      </c>
      <c r="J822" s="98" t="s">
        <v>629</v>
      </c>
      <c r="K822" s="98" t="s">
        <v>2059</v>
      </c>
      <c r="L822" s="96"/>
      <c r="M822" s="110" t="s">
        <v>2757</v>
      </c>
      <c r="N822" s="117" t="s">
        <v>2758</v>
      </c>
      <c r="O822" s="110" t="s">
        <v>388</v>
      </c>
      <c r="P822" s="110" t="s">
        <v>590</v>
      </c>
      <c r="Q822" s="118" t="n">
        <v>0.19</v>
      </c>
      <c r="R822" s="110" t="n">
        <v>1</v>
      </c>
      <c r="S822" s="110" t="s">
        <v>632</v>
      </c>
      <c r="T822" s="110" t="s">
        <v>629</v>
      </c>
      <c r="U822" s="110" t="s">
        <v>2062</v>
      </c>
      <c r="V822" s="119" t="n">
        <v>5.29</v>
      </c>
      <c r="W822" s="119"/>
      <c r="X822" s="110" t="s">
        <v>2063</v>
      </c>
      <c r="Y822" s="110" t="s">
        <v>2064</v>
      </c>
      <c r="Z822" s="110" t="s">
        <v>2747</v>
      </c>
      <c r="AA822" s="110" t="s">
        <v>537</v>
      </c>
      <c r="AB822" s="110" t="s">
        <v>244</v>
      </c>
      <c r="AC822" s="110" t="s">
        <v>538</v>
      </c>
      <c r="AD822" s="110" t="n">
        <f aca="false">IF(OR(F822="",Q822="",R822=""),"",ROUND(IF(P822="incl.",F822/(1+Q822),F822)/IF(S822="per pack",R822,1),2))</f>
        <v>5.29</v>
      </c>
      <c r="AE822" s="110" t="str">
        <f aca="false">IF(AND(AC822="yes",ISNUMBER(F822),IF(Compare!$H$5="All mapped",TRUE(),IF(Compare!$H$5="EXACT only",J822="EXACT",OR(J822="EXACT",J822="CLOSE")))),"yes","no")</f>
        <v>no</v>
      </c>
      <c r="AF822" s="110" t="str">
        <f aca="false">IF(ISNUMBER(H822),COUNTIFS($B$7:$B$3000,B822,$C$7:$C$3000,C822,$H$7:$H$3000,"&lt;"&amp;H822,$AH$7:$AH$3000,"yes")+COUNTIFS($B$7:B822,B822,$C$7:C822,C822,$H$7:H822,H822,$AH$7:AH822,"yes"),"")</f>
        <v/>
      </c>
      <c r="AG822" s="110" t="str">
        <f aca="false">IF(ISNUMBER(I822),COUNTIFS($B$7:$B$3000,B822,$C$7:$C$3000,C822,$I$7:$I$3000,"&lt;"&amp;I822,$AI$7:$AI$3000,"yes")+COUNTIFS($B$7:B822,B822,$C$7:C822,C822,$I$7:I822,I822,$AI$7:AI822,"yes"),"")</f>
        <v/>
      </c>
      <c r="AH822" s="110" t="str">
        <f aca="false">IF(ISNUMBER(H822),"yes","no")</f>
        <v>no</v>
      </c>
      <c r="AI822" s="110" t="str">
        <f aca="false">IF(ISNUMBER(I822),"yes","no")</f>
        <v>no</v>
      </c>
      <c r="AJ822" s="120" t="n">
        <v>46297</v>
      </c>
      <c r="AK822" s="110"/>
    </row>
    <row r="823" customFormat="false" ht="23.25" hidden="false" customHeight="true" outlineLevel="0" collapsed="false">
      <c r="B823" s="36" t="s">
        <v>43</v>
      </c>
      <c r="C823" s="98" t="s">
        <v>16</v>
      </c>
      <c r="D823" s="98" t="s">
        <v>325</v>
      </c>
      <c r="E823" s="110" t="s">
        <v>2759</v>
      </c>
      <c r="F823" s="99" t="n">
        <v>15.69</v>
      </c>
      <c r="G823" s="98" t="s">
        <v>244</v>
      </c>
      <c r="H823" s="112" t="n">
        <f aca="false">IF(AND(AE823="yes",ISNUMBER(AD823)),AD823,"")</f>
        <v>15.69</v>
      </c>
      <c r="I823" s="95" t="n">
        <f aca="false">IF(AND(AE823="yes",ISNUMBER(AD823),ISNUMBER(INDEX(Sources!$G$7:$G$10,MATCH(AB823,Sources!$B$7:$B$10,0)))),ROUND(AD823/INDEX(Sources!$G$7:$G$10,MATCH(AB823,Sources!$B$7:$B$10,0)),6),"")</f>
        <v>15.69</v>
      </c>
      <c r="J823" s="98" t="s">
        <v>530</v>
      </c>
      <c r="K823" s="98" t="s">
        <v>2059</v>
      </c>
      <c r="L823" s="96"/>
      <c r="M823" s="110" t="s">
        <v>2760</v>
      </c>
      <c r="N823" s="117" t="s">
        <v>2761</v>
      </c>
      <c r="O823" s="110" t="s">
        <v>589</v>
      </c>
      <c r="P823" s="110" t="s">
        <v>590</v>
      </c>
      <c r="Q823" s="118" t="n">
        <v>0.19</v>
      </c>
      <c r="R823" s="110" t="n">
        <v>1</v>
      </c>
      <c r="S823" s="110" t="s">
        <v>632</v>
      </c>
      <c r="T823" s="110" t="s">
        <v>530</v>
      </c>
      <c r="U823" s="110" t="s">
        <v>2062</v>
      </c>
      <c r="V823" s="119" t="n">
        <v>15.69</v>
      </c>
      <c r="W823" s="119"/>
      <c r="X823" s="110" t="s">
        <v>2063</v>
      </c>
      <c r="Y823" s="110" t="s">
        <v>2064</v>
      </c>
      <c r="Z823" s="110" t="s">
        <v>2142</v>
      </c>
      <c r="AA823" s="110" t="s">
        <v>537</v>
      </c>
      <c r="AB823" s="110" t="s">
        <v>244</v>
      </c>
      <c r="AC823" s="110" t="s">
        <v>538</v>
      </c>
      <c r="AD823" s="110" t="n">
        <f aca="false">IF(OR(F823="",Q823="",R823=""),"",ROUND(IF(P823="incl.",F823/(1+Q823),F823)/IF(S823="per pack",R823,1),2))</f>
        <v>15.69</v>
      </c>
      <c r="AE823" s="110" t="str">
        <f aca="false">IF(AND(AC823="yes",ISNUMBER(F823),IF(Compare!$H$5="All mapped",TRUE(),IF(Compare!$H$5="EXACT only",J823="EXACT",OR(J823="EXACT",J823="CLOSE")))),"yes","no")</f>
        <v>yes</v>
      </c>
      <c r="AF823" s="110" t="n">
        <f aca="false">IF(ISNUMBER(H823),COUNTIFS($B$7:$B$3000,B823,$C$7:$C$3000,C823,$H$7:$H$3000,"&lt;"&amp;H823,$AH$7:$AH$3000,"yes")+COUNTIFS($B$7:B823,B823,$C$7:C823,C823,$H$7:H823,H823,$AH$7:AH823,"yes"),"")</f>
        <v>4</v>
      </c>
      <c r="AG823" s="110" t="n">
        <f aca="false">IF(ISNUMBER(I823),COUNTIFS($B$7:$B$3000,B823,$C$7:$C$3000,C823,$I$7:$I$3000,"&lt;"&amp;I823,$AI$7:$AI$3000,"yes")+COUNTIFS($B$7:B823,B823,$C$7:C823,C823,$I$7:I823,I823,$AI$7:AI823,"yes"),"")</f>
        <v>4</v>
      </c>
      <c r="AH823" s="110" t="str">
        <f aca="false">IF(ISNUMBER(H823),"yes","no")</f>
        <v>yes</v>
      </c>
      <c r="AI823" s="110" t="str">
        <f aca="false">IF(ISNUMBER(I823),"yes","no")</f>
        <v>yes</v>
      </c>
      <c r="AJ823" s="120" t="n">
        <v>46297</v>
      </c>
      <c r="AK823" s="110"/>
    </row>
    <row r="824" customFormat="false" ht="23.25" hidden="false" customHeight="true" outlineLevel="0" collapsed="false">
      <c r="B824" s="36" t="s">
        <v>46</v>
      </c>
      <c r="C824" s="98" t="s">
        <v>16</v>
      </c>
      <c r="D824" s="98" t="s">
        <v>325</v>
      </c>
      <c r="E824" s="110" t="s">
        <v>2762</v>
      </c>
      <c r="F824" s="99" t="n">
        <v>12.39</v>
      </c>
      <c r="G824" s="98" t="s">
        <v>244</v>
      </c>
      <c r="H824" s="112" t="n">
        <f aca="false">IF(AND(AE824="yes",ISNUMBER(AD824)),AD824,"")</f>
        <v>12.39</v>
      </c>
      <c r="I824" s="95" t="n">
        <f aca="false">IF(AND(AE824="yes",ISNUMBER(AD824),ISNUMBER(INDEX(Sources!$G$7:$G$10,MATCH(AB824,Sources!$B$7:$B$10,0)))),ROUND(AD824/INDEX(Sources!$G$7:$G$10,MATCH(AB824,Sources!$B$7:$B$10,0)),6),"")</f>
        <v>12.39</v>
      </c>
      <c r="J824" s="98" t="s">
        <v>530</v>
      </c>
      <c r="K824" s="98" t="s">
        <v>2059</v>
      </c>
      <c r="L824" s="96"/>
      <c r="M824" s="110" t="s">
        <v>2763</v>
      </c>
      <c r="N824" s="117" t="s">
        <v>2764</v>
      </c>
      <c r="O824" s="110" t="s">
        <v>589</v>
      </c>
      <c r="P824" s="110" t="s">
        <v>590</v>
      </c>
      <c r="Q824" s="118" t="n">
        <v>0.19</v>
      </c>
      <c r="R824" s="110" t="n">
        <v>1</v>
      </c>
      <c r="S824" s="110" t="s">
        <v>632</v>
      </c>
      <c r="T824" s="110" t="s">
        <v>530</v>
      </c>
      <c r="U824" s="110" t="s">
        <v>2062</v>
      </c>
      <c r="V824" s="119" t="n">
        <v>12.39</v>
      </c>
      <c r="W824" s="119"/>
      <c r="X824" s="110" t="s">
        <v>2063</v>
      </c>
      <c r="Y824" s="110" t="s">
        <v>2064</v>
      </c>
      <c r="Z824" s="110" t="s">
        <v>2142</v>
      </c>
      <c r="AA824" s="110" t="s">
        <v>537</v>
      </c>
      <c r="AB824" s="110" t="s">
        <v>244</v>
      </c>
      <c r="AC824" s="110" t="s">
        <v>538</v>
      </c>
      <c r="AD824" s="110" t="n">
        <f aca="false">IF(OR(F824="",Q824="",R824=""),"",ROUND(IF(P824="incl.",F824/(1+Q824),F824)/IF(S824="per pack",R824,1),2))</f>
        <v>12.39</v>
      </c>
      <c r="AE824" s="110" t="str">
        <f aca="false">IF(AND(AC824="yes",ISNUMBER(F824),IF(Compare!$H$5="All mapped",TRUE(),IF(Compare!$H$5="EXACT only",J824="EXACT",OR(J824="EXACT",J824="CLOSE")))),"yes","no")</f>
        <v>yes</v>
      </c>
      <c r="AF824" s="110" t="n">
        <f aca="false">IF(ISNUMBER(H824),COUNTIFS($B$7:$B$3000,B824,$C$7:$C$3000,C824,$H$7:$H$3000,"&lt;"&amp;H824,$AH$7:$AH$3000,"yes")+COUNTIFS($B$7:B824,B824,$C$7:C824,C824,$H$7:H824,H824,$AH$7:AH824,"yes"),"")</f>
        <v>3</v>
      </c>
      <c r="AG824" s="110" t="n">
        <f aca="false">IF(ISNUMBER(I824),COUNTIFS($B$7:$B$3000,B824,$C$7:$C$3000,C824,$I$7:$I$3000,"&lt;"&amp;I824,$AI$7:$AI$3000,"yes")+COUNTIFS($B$7:B824,B824,$C$7:C824,C824,$I$7:I824,I824,$AI$7:AI824,"yes"),"")</f>
        <v>3</v>
      </c>
      <c r="AH824" s="110" t="str">
        <f aca="false">IF(ISNUMBER(H824),"yes","no")</f>
        <v>yes</v>
      </c>
      <c r="AI824" s="110" t="str">
        <f aca="false">IF(ISNUMBER(I824),"yes","no")</f>
        <v>yes</v>
      </c>
      <c r="AJ824" s="120" t="n">
        <v>46297</v>
      </c>
      <c r="AK824" s="110"/>
    </row>
    <row r="825" customFormat="false" ht="23.25" hidden="false" customHeight="true" outlineLevel="0" collapsed="false">
      <c r="B825" s="36" t="s">
        <v>45</v>
      </c>
      <c r="C825" s="98" t="s">
        <v>16</v>
      </c>
      <c r="D825" s="98" t="s">
        <v>325</v>
      </c>
      <c r="E825" s="110" t="s">
        <v>2765</v>
      </c>
      <c r="F825" s="99" t="n">
        <v>5.39</v>
      </c>
      <c r="G825" s="98" t="s">
        <v>244</v>
      </c>
      <c r="H825" s="112" t="n">
        <f aca="false">IF(AND(AE825="yes",ISNUMBER(AD825)),AD825,"")</f>
        <v>5.39</v>
      </c>
      <c r="I825" s="95" t="n">
        <f aca="false">IF(AND(AE825="yes",ISNUMBER(AD825),ISNUMBER(INDEX(Sources!$G$7:$G$10,MATCH(AB825,Sources!$B$7:$B$10,0)))),ROUND(AD825/INDEX(Sources!$G$7:$G$10,MATCH(AB825,Sources!$B$7:$B$10,0)),6),"")</f>
        <v>5.39</v>
      </c>
      <c r="J825" s="98" t="s">
        <v>530</v>
      </c>
      <c r="K825" s="98" t="s">
        <v>2059</v>
      </c>
      <c r="L825" s="96"/>
      <c r="M825" s="110" t="s">
        <v>2766</v>
      </c>
      <c r="N825" s="117" t="s">
        <v>2767</v>
      </c>
      <c r="O825" s="110" t="s">
        <v>733</v>
      </c>
      <c r="P825" s="110" t="s">
        <v>590</v>
      </c>
      <c r="Q825" s="118" t="n">
        <v>0.19</v>
      </c>
      <c r="R825" s="110" t="n">
        <v>1</v>
      </c>
      <c r="S825" s="110" t="s">
        <v>632</v>
      </c>
      <c r="T825" s="110" t="s">
        <v>530</v>
      </c>
      <c r="U825" s="110" t="s">
        <v>2062</v>
      </c>
      <c r="V825" s="119" t="n">
        <v>5.39</v>
      </c>
      <c r="W825" s="119"/>
      <c r="X825" s="110" t="s">
        <v>2063</v>
      </c>
      <c r="Y825" s="110" t="s">
        <v>2064</v>
      </c>
      <c r="Z825" s="110" t="s">
        <v>2142</v>
      </c>
      <c r="AA825" s="110" t="s">
        <v>537</v>
      </c>
      <c r="AB825" s="110" t="s">
        <v>244</v>
      </c>
      <c r="AC825" s="110" t="s">
        <v>538</v>
      </c>
      <c r="AD825" s="110" t="n">
        <f aca="false">IF(OR(F825="",Q825="",R825=""),"",ROUND(IF(P825="incl.",F825/(1+Q825),F825)/IF(S825="per pack",R825,1),2))</f>
        <v>5.39</v>
      </c>
      <c r="AE825" s="110" t="str">
        <f aca="false">IF(AND(AC825="yes",ISNUMBER(F825),IF(Compare!$H$5="All mapped",TRUE(),IF(Compare!$H$5="EXACT only",J825="EXACT",OR(J825="EXACT",J825="CLOSE")))),"yes","no")</f>
        <v>yes</v>
      </c>
      <c r="AF825" s="110" t="n">
        <f aca="false">IF(ISNUMBER(H825),COUNTIFS($B$7:$B$3000,B825,$C$7:$C$3000,C825,$H$7:$H$3000,"&lt;"&amp;H825,$AH$7:$AH$3000,"yes")+COUNTIFS($B$7:B825,B825,$C$7:C825,C825,$H$7:H825,H825,$AH$7:AH825,"yes"),"")</f>
        <v>2</v>
      </c>
      <c r="AG825" s="110" t="n">
        <f aca="false">IF(ISNUMBER(I825),COUNTIFS($B$7:$B$3000,B825,$C$7:$C$3000,C825,$I$7:$I$3000,"&lt;"&amp;I825,$AI$7:$AI$3000,"yes")+COUNTIFS($B$7:B825,B825,$C$7:C825,C825,$I$7:I825,I825,$AI$7:AI825,"yes"),"")</f>
        <v>2</v>
      </c>
      <c r="AH825" s="110" t="str">
        <f aca="false">IF(ISNUMBER(H825),"yes","no")</f>
        <v>yes</v>
      </c>
      <c r="AI825" s="110" t="str">
        <f aca="false">IF(ISNUMBER(I825),"yes","no")</f>
        <v>yes</v>
      </c>
      <c r="AJ825" s="120" t="n">
        <v>46297</v>
      </c>
      <c r="AK825" s="110"/>
    </row>
    <row r="826" customFormat="false" ht="23.25" hidden="false" customHeight="true" outlineLevel="0" collapsed="false">
      <c r="B826" s="36" t="s">
        <v>23</v>
      </c>
      <c r="C826" s="98" t="s">
        <v>16</v>
      </c>
      <c r="D826" s="98" t="s">
        <v>325</v>
      </c>
      <c r="E826" s="110" t="s">
        <v>2768</v>
      </c>
      <c r="F826" s="99" t="n">
        <v>7.99</v>
      </c>
      <c r="G826" s="98" t="s">
        <v>244</v>
      </c>
      <c r="H826" s="112" t="n">
        <f aca="false">IF(AND(AE826="yes",ISNUMBER(AD826)),AD826,"")</f>
        <v>7.99</v>
      </c>
      <c r="I826" s="95" t="n">
        <f aca="false">IF(AND(AE826="yes",ISNUMBER(AD826),ISNUMBER(INDEX(Sources!$G$7:$G$10,MATCH(AB826,Sources!$B$7:$B$10,0)))),ROUND(AD826/INDEX(Sources!$G$7:$G$10,MATCH(AB826,Sources!$B$7:$B$10,0)),6),"")</f>
        <v>7.99</v>
      </c>
      <c r="J826" s="98" t="s">
        <v>530</v>
      </c>
      <c r="K826" s="98" t="s">
        <v>2059</v>
      </c>
      <c r="L826" s="96"/>
      <c r="M826" s="110" t="s">
        <v>2769</v>
      </c>
      <c r="N826" s="117" t="s">
        <v>2770</v>
      </c>
      <c r="O826" s="110" t="s">
        <v>589</v>
      </c>
      <c r="P826" s="110" t="s">
        <v>590</v>
      </c>
      <c r="Q826" s="118" t="n">
        <v>0.19</v>
      </c>
      <c r="R826" s="110" t="n">
        <v>1</v>
      </c>
      <c r="S826" s="110" t="s">
        <v>632</v>
      </c>
      <c r="T826" s="110" t="s">
        <v>530</v>
      </c>
      <c r="U826" s="110" t="s">
        <v>2062</v>
      </c>
      <c r="V826" s="119" t="n">
        <v>7.99</v>
      </c>
      <c r="W826" s="119"/>
      <c r="X826" s="110" t="s">
        <v>2063</v>
      </c>
      <c r="Y826" s="110" t="s">
        <v>2064</v>
      </c>
      <c r="Z826" s="110" t="s">
        <v>2142</v>
      </c>
      <c r="AA826" s="110" t="s">
        <v>537</v>
      </c>
      <c r="AB826" s="110" t="s">
        <v>244</v>
      </c>
      <c r="AC826" s="110" t="s">
        <v>538</v>
      </c>
      <c r="AD826" s="110" t="n">
        <f aca="false">IF(OR(F826="",Q826="",R826=""),"",ROUND(IF(P826="incl.",F826/(1+Q826),F826)/IF(S826="per pack",R826,1),2))</f>
        <v>7.99</v>
      </c>
      <c r="AE826" s="110" t="str">
        <f aca="false">IF(AND(AC826="yes",ISNUMBER(F826),IF(Compare!$H$5="All mapped",TRUE(),IF(Compare!$H$5="EXACT only",J826="EXACT",OR(J826="EXACT",J826="CLOSE")))),"yes","no")</f>
        <v>yes</v>
      </c>
      <c r="AF826" s="110" t="n">
        <f aca="false">IF(ISNUMBER(H826),COUNTIFS($B$7:$B$3000,B826,$C$7:$C$3000,C826,$H$7:$H$3000,"&lt;"&amp;H826,$AH$7:$AH$3000,"yes")+COUNTIFS($B$7:B826,B826,$C$7:C826,C826,$H$7:H826,H826,$AH$7:AH826,"yes"),"")</f>
        <v>5</v>
      </c>
      <c r="AG826" s="110" t="n">
        <f aca="false">IF(ISNUMBER(I826),COUNTIFS($B$7:$B$3000,B826,$C$7:$C$3000,C826,$I$7:$I$3000,"&lt;"&amp;I826,$AI$7:$AI$3000,"yes")+COUNTIFS($B$7:B826,B826,$C$7:C826,C826,$I$7:I826,I826,$AI$7:AI826,"yes"),"")</f>
        <v>5</v>
      </c>
      <c r="AH826" s="110" t="str">
        <f aca="false">IF(ISNUMBER(H826),"yes","no")</f>
        <v>yes</v>
      </c>
      <c r="AI826" s="110" t="str">
        <f aca="false">IF(ISNUMBER(I826),"yes","no")</f>
        <v>yes</v>
      </c>
      <c r="AJ826" s="120" t="n">
        <v>46297</v>
      </c>
      <c r="AK826" s="110"/>
    </row>
    <row r="827" customFormat="false" ht="23.25" hidden="false" customHeight="true" outlineLevel="0" collapsed="false">
      <c r="B827" s="36" t="s">
        <v>51</v>
      </c>
      <c r="C827" s="98" t="s">
        <v>16</v>
      </c>
      <c r="D827" s="98" t="s">
        <v>325</v>
      </c>
      <c r="E827" s="110" t="s">
        <v>2771</v>
      </c>
      <c r="F827" s="99" t="n">
        <v>2.79</v>
      </c>
      <c r="G827" s="98" t="s">
        <v>244</v>
      </c>
      <c r="H827" s="112" t="n">
        <f aca="false">IF(AND(AE827="yes",ISNUMBER(AD827)),AD827,"")</f>
        <v>2.79</v>
      </c>
      <c r="I827" s="95" t="n">
        <f aca="false">IF(AND(AE827="yes",ISNUMBER(AD827),ISNUMBER(INDEX(Sources!$G$7:$G$10,MATCH(AB827,Sources!$B$7:$B$10,0)))),ROUND(AD827/INDEX(Sources!$G$7:$G$10,MATCH(AB827,Sources!$B$7:$B$10,0)),6),"")</f>
        <v>2.79</v>
      </c>
      <c r="J827" s="98" t="s">
        <v>530</v>
      </c>
      <c r="K827" s="98" t="s">
        <v>2059</v>
      </c>
      <c r="L827" s="96"/>
      <c r="M827" s="110" t="s">
        <v>2772</v>
      </c>
      <c r="N827" s="117" t="s">
        <v>2773</v>
      </c>
      <c r="O827" s="110" t="s">
        <v>662</v>
      </c>
      <c r="P827" s="110" t="s">
        <v>590</v>
      </c>
      <c r="Q827" s="118" t="n">
        <v>0.19</v>
      </c>
      <c r="R827" s="110" t="n">
        <v>1</v>
      </c>
      <c r="S827" s="110" t="s">
        <v>632</v>
      </c>
      <c r="T827" s="110" t="s">
        <v>530</v>
      </c>
      <c r="U827" s="110" t="s">
        <v>2062</v>
      </c>
      <c r="V827" s="119" t="n">
        <v>2.79</v>
      </c>
      <c r="W827" s="119"/>
      <c r="X827" s="110" t="s">
        <v>2063</v>
      </c>
      <c r="Y827" s="110" t="s">
        <v>2064</v>
      </c>
      <c r="Z827" s="110" t="s">
        <v>2142</v>
      </c>
      <c r="AA827" s="110" t="s">
        <v>537</v>
      </c>
      <c r="AB827" s="110" t="s">
        <v>244</v>
      </c>
      <c r="AC827" s="110" t="s">
        <v>538</v>
      </c>
      <c r="AD827" s="110" t="n">
        <f aca="false">IF(OR(F827="",Q827="",R827=""),"",ROUND(IF(P827="incl.",F827/(1+Q827),F827)/IF(S827="per pack",R827,1),2))</f>
        <v>2.79</v>
      </c>
      <c r="AE827" s="110" t="str">
        <f aca="false">IF(AND(AC827="yes",ISNUMBER(F827),IF(Compare!$H$5="All mapped",TRUE(),IF(Compare!$H$5="EXACT only",J827="EXACT",OR(J827="EXACT",J827="CLOSE")))),"yes","no")</f>
        <v>yes</v>
      </c>
      <c r="AF827" s="110" t="n">
        <f aca="false">IF(ISNUMBER(H827),COUNTIFS($B$7:$B$3000,B827,$C$7:$C$3000,C827,$H$7:$H$3000,"&lt;"&amp;H827,$AH$7:$AH$3000,"yes")+COUNTIFS($B$7:B827,B827,$C$7:C827,C827,$H$7:H827,H827,$AH$7:AH827,"yes"),"")</f>
        <v>2</v>
      </c>
      <c r="AG827" s="110" t="n">
        <f aca="false">IF(ISNUMBER(I827),COUNTIFS($B$7:$B$3000,B827,$C$7:$C$3000,C827,$I$7:$I$3000,"&lt;"&amp;I827,$AI$7:$AI$3000,"yes")+COUNTIFS($B$7:B827,B827,$C$7:C827,C827,$I$7:I827,I827,$AI$7:AI827,"yes"),"")</f>
        <v>2</v>
      </c>
      <c r="AH827" s="110" t="str">
        <f aca="false">IF(ISNUMBER(H827),"yes","no")</f>
        <v>yes</v>
      </c>
      <c r="AI827" s="110" t="str">
        <f aca="false">IF(ISNUMBER(I827),"yes","no")</f>
        <v>yes</v>
      </c>
      <c r="AJ827" s="120" t="n">
        <v>46297</v>
      </c>
      <c r="AK827" s="110"/>
    </row>
    <row r="828" customFormat="false" ht="34.5" hidden="false" customHeight="true" outlineLevel="0" collapsed="false">
      <c r="B828" s="36" t="s">
        <v>43</v>
      </c>
      <c r="C828" s="98" t="s">
        <v>16</v>
      </c>
      <c r="D828" s="98" t="s">
        <v>329</v>
      </c>
      <c r="E828" s="110" t="s">
        <v>2774</v>
      </c>
      <c r="F828" s="99" t="n">
        <v>9.99</v>
      </c>
      <c r="G828" s="98" t="s">
        <v>244</v>
      </c>
      <c r="H828" s="112" t="n">
        <f aca="false">IF(AND(AE828="yes",ISNUMBER(AD828)),AD828,"")</f>
        <v>9.99</v>
      </c>
      <c r="I828" s="95" t="n">
        <f aca="false">IF(AND(AE828="yes",ISNUMBER(AD828),ISNUMBER(INDEX(Sources!$G$7:$G$10,MATCH(AB828,Sources!$B$7:$B$10,0)))),ROUND(AD828/INDEX(Sources!$G$7:$G$10,MATCH(AB828,Sources!$B$7:$B$10,0)),6),"")</f>
        <v>9.99</v>
      </c>
      <c r="J828" s="98" t="s">
        <v>702</v>
      </c>
      <c r="K828" s="98" t="s">
        <v>2059</v>
      </c>
      <c r="L828" s="96"/>
      <c r="M828" s="110" t="s">
        <v>2775</v>
      </c>
      <c r="N828" s="117" t="s">
        <v>2776</v>
      </c>
      <c r="O828" s="110" t="s">
        <v>642</v>
      </c>
      <c r="P828" s="110" t="s">
        <v>590</v>
      </c>
      <c r="Q828" s="118" t="n">
        <v>0.19</v>
      </c>
      <c r="R828" s="110" t="n">
        <v>1</v>
      </c>
      <c r="S828" s="110" t="s">
        <v>632</v>
      </c>
      <c r="T828" s="110" t="s">
        <v>702</v>
      </c>
      <c r="U828" s="110" t="s">
        <v>2062</v>
      </c>
      <c r="V828" s="119" t="n">
        <v>9.99</v>
      </c>
      <c r="W828" s="119"/>
      <c r="X828" s="110" t="s">
        <v>2063</v>
      </c>
      <c r="Y828" s="110" t="s">
        <v>2064</v>
      </c>
      <c r="Z828" s="110" t="s">
        <v>2777</v>
      </c>
      <c r="AA828" s="110" t="s">
        <v>537</v>
      </c>
      <c r="AB828" s="110" t="s">
        <v>244</v>
      </c>
      <c r="AC828" s="110" t="s">
        <v>538</v>
      </c>
      <c r="AD828" s="110" t="n">
        <f aca="false">IF(OR(F828="",Q828="",R828=""),"",ROUND(IF(P828="incl.",F828/(1+Q828),F828)/IF(S828="per pack",R828,1),2))</f>
        <v>9.99</v>
      </c>
      <c r="AE828" s="110" t="str">
        <f aca="false">IF(AND(AC828="yes",ISNUMBER(F828),IF(Compare!$H$5="All mapped",TRUE(),IF(Compare!$H$5="EXACT only",J828="EXACT",OR(J828="EXACT",J828="CLOSE")))),"yes","no")</f>
        <v>yes</v>
      </c>
      <c r="AF828" s="110" t="n">
        <f aca="false">IF(ISNUMBER(H828),COUNTIFS($B$7:$B$3000,B828,$C$7:$C$3000,C828,$H$7:$H$3000,"&lt;"&amp;H828,$AH$7:$AH$3000,"yes")+COUNTIFS($B$7:B828,B828,$C$7:C828,C828,$H$7:H828,H828,$AH$7:AH828,"yes"),"")</f>
        <v>3</v>
      </c>
      <c r="AG828" s="110" t="n">
        <f aca="false">IF(ISNUMBER(I828),COUNTIFS($B$7:$B$3000,B828,$C$7:$C$3000,C828,$I$7:$I$3000,"&lt;"&amp;I828,$AI$7:$AI$3000,"yes")+COUNTIFS($B$7:B828,B828,$C$7:C828,C828,$I$7:I828,I828,$AI$7:AI828,"yes"),"")</f>
        <v>3</v>
      </c>
      <c r="AH828" s="110" t="str">
        <f aca="false">IF(ISNUMBER(H828),"yes","no")</f>
        <v>yes</v>
      </c>
      <c r="AI828" s="110" t="str">
        <f aca="false">IF(ISNUMBER(I828),"yes","no")</f>
        <v>yes</v>
      </c>
      <c r="AJ828" s="120" t="n">
        <v>46297</v>
      </c>
      <c r="AK828" s="110"/>
    </row>
    <row r="829" customFormat="false" ht="23.25" hidden="false" customHeight="true" outlineLevel="0" collapsed="false">
      <c r="B829" s="36" t="s">
        <v>46</v>
      </c>
      <c r="C829" s="98" t="s">
        <v>16</v>
      </c>
      <c r="D829" s="98" t="s">
        <v>329</v>
      </c>
      <c r="E829" s="110" t="s">
        <v>1622</v>
      </c>
      <c r="F829" s="99" t="n">
        <v>13.19</v>
      </c>
      <c r="G829" s="98" t="s">
        <v>244</v>
      </c>
      <c r="H829" s="112" t="n">
        <f aca="false">IF(AND(AE829="yes",ISNUMBER(AD829)),AD829,"")</f>
        <v>13.19</v>
      </c>
      <c r="I829" s="95" t="n">
        <f aca="false">IF(AND(AE829="yes",ISNUMBER(AD829),ISNUMBER(INDEX(Sources!$G$7:$G$10,MATCH(AB829,Sources!$B$7:$B$10,0)))),ROUND(AD829/INDEX(Sources!$G$7:$G$10,MATCH(AB829,Sources!$B$7:$B$10,0)),6),"")</f>
        <v>13.19</v>
      </c>
      <c r="J829" s="98" t="s">
        <v>530</v>
      </c>
      <c r="K829" s="98" t="s">
        <v>2059</v>
      </c>
      <c r="L829" s="96"/>
      <c r="M829" s="110" t="s">
        <v>2778</v>
      </c>
      <c r="N829" s="117" t="s">
        <v>2779</v>
      </c>
      <c r="O829" s="110" t="s">
        <v>642</v>
      </c>
      <c r="P829" s="110" t="s">
        <v>590</v>
      </c>
      <c r="Q829" s="118" t="n">
        <v>0.19</v>
      </c>
      <c r="R829" s="110" t="n">
        <v>1</v>
      </c>
      <c r="S829" s="110" t="s">
        <v>632</v>
      </c>
      <c r="T829" s="110" t="s">
        <v>530</v>
      </c>
      <c r="U829" s="110" t="s">
        <v>2062</v>
      </c>
      <c r="V829" s="119" t="n">
        <v>13.19</v>
      </c>
      <c r="W829" s="119"/>
      <c r="X829" s="110" t="s">
        <v>2063</v>
      </c>
      <c r="Y829" s="110" t="s">
        <v>2064</v>
      </c>
      <c r="Z829" s="110" t="s">
        <v>2624</v>
      </c>
      <c r="AA829" s="110" t="s">
        <v>537</v>
      </c>
      <c r="AB829" s="110" t="s">
        <v>244</v>
      </c>
      <c r="AC829" s="110" t="s">
        <v>538</v>
      </c>
      <c r="AD829" s="110" t="n">
        <f aca="false">IF(OR(F829="",Q829="",R829=""),"",ROUND(IF(P829="incl.",F829/(1+Q829),F829)/IF(S829="per pack",R829,1),2))</f>
        <v>13.19</v>
      </c>
      <c r="AE829" s="110" t="str">
        <f aca="false">IF(AND(AC829="yes",ISNUMBER(F829),IF(Compare!$H$5="All mapped",TRUE(),IF(Compare!$H$5="EXACT only",J829="EXACT",OR(J829="EXACT",J829="CLOSE")))),"yes","no")</f>
        <v>yes</v>
      </c>
      <c r="AF829" s="110" t="n">
        <f aca="false">IF(ISNUMBER(H829),COUNTIFS($B$7:$B$3000,B829,$C$7:$C$3000,C829,$H$7:$H$3000,"&lt;"&amp;H829,$AH$7:$AH$3000,"yes")+COUNTIFS($B$7:B829,B829,$C$7:C829,C829,$H$7:H829,H829,$AH$7:AH829,"yes"),"")</f>
        <v>4</v>
      </c>
      <c r="AG829" s="110" t="n">
        <f aca="false">IF(ISNUMBER(I829),COUNTIFS($B$7:$B$3000,B829,$C$7:$C$3000,C829,$I$7:$I$3000,"&lt;"&amp;I829,$AI$7:$AI$3000,"yes")+COUNTIFS($B$7:B829,B829,$C$7:C829,C829,$I$7:I829,I829,$AI$7:AI829,"yes"),"")</f>
        <v>4</v>
      </c>
      <c r="AH829" s="110" t="str">
        <f aca="false">IF(ISNUMBER(H829),"yes","no")</f>
        <v>yes</v>
      </c>
      <c r="AI829" s="110" t="str">
        <f aca="false">IF(ISNUMBER(I829),"yes","no")</f>
        <v>yes</v>
      </c>
      <c r="AJ829" s="120" t="n">
        <v>46297</v>
      </c>
      <c r="AK829" s="110"/>
    </row>
    <row r="830" customFormat="false" ht="23.25" hidden="false" customHeight="true" outlineLevel="0" collapsed="false">
      <c r="B830" s="36" t="s">
        <v>49</v>
      </c>
      <c r="C830" s="98" t="s">
        <v>16</v>
      </c>
      <c r="D830" s="98" t="s">
        <v>329</v>
      </c>
      <c r="E830" s="110" t="s">
        <v>2780</v>
      </c>
      <c r="F830" s="99" t="n">
        <v>2.09</v>
      </c>
      <c r="G830" s="98" t="s">
        <v>244</v>
      </c>
      <c r="H830" s="112" t="n">
        <f aca="false">IF(AND(AE830="yes",ISNUMBER(AD830)),AD830,"")</f>
        <v>2.09</v>
      </c>
      <c r="I830" s="95" t="n">
        <f aca="false">IF(AND(AE830="yes",ISNUMBER(AD830),ISNUMBER(INDEX(Sources!$G$7:$G$10,MATCH(AB830,Sources!$B$7:$B$10,0)))),ROUND(AD830/INDEX(Sources!$G$7:$G$10,MATCH(AB830,Sources!$B$7:$B$10,0)),6),"")</f>
        <v>2.09</v>
      </c>
      <c r="J830" s="98" t="s">
        <v>530</v>
      </c>
      <c r="K830" s="98" t="s">
        <v>2059</v>
      </c>
      <c r="L830" s="96"/>
      <c r="M830" s="110" t="s">
        <v>2781</v>
      </c>
      <c r="N830" s="117" t="s">
        <v>2782</v>
      </c>
      <c r="O830" s="110" t="s">
        <v>817</v>
      </c>
      <c r="P830" s="110" t="s">
        <v>590</v>
      </c>
      <c r="Q830" s="118" t="n">
        <v>0.19</v>
      </c>
      <c r="R830" s="110" t="n">
        <v>1</v>
      </c>
      <c r="S830" s="110" t="s">
        <v>632</v>
      </c>
      <c r="T830" s="110" t="s">
        <v>530</v>
      </c>
      <c r="U830" s="110" t="s">
        <v>2062</v>
      </c>
      <c r="V830" s="119" t="n">
        <v>2.09</v>
      </c>
      <c r="W830" s="119"/>
      <c r="X830" s="110" t="s">
        <v>2063</v>
      </c>
      <c r="Y830" s="110" t="s">
        <v>2064</v>
      </c>
      <c r="Z830" s="110" t="s">
        <v>2783</v>
      </c>
      <c r="AA830" s="110" t="s">
        <v>537</v>
      </c>
      <c r="AB830" s="110" t="s">
        <v>244</v>
      </c>
      <c r="AC830" s="110" t="s">
        <v>538</v>
      </c>
      <c r="AD830" s="110" t="n">
        <f aca="false">IF(OR(F830="",Q830="",R830=""),"",ROUND(IF(P830="incl.",F830/(1+Q830),F830)/IF(S830="per pack",R830,1),2))</f>
        <v>2.09</v>
      </c>
      <c r="AE830" s="110" t="str">
        <f aca="false">IF(AND(AC830="yes",ISNUMBER(F830),IF(Compare!$H$5="All mapped",TRUE(),IF(Compare!$H$5="EXACT only",J830="EXACT",OR(J830="EXACT",J830="CLOSE")))),"yes","no")</f>
        <v>yes</v>
      </c>
      <c r="AF830" s="110" t="n">
        <f aca="false">IF(ISNUMBER(H830),COUNTIFS($B$7:$B$3000,B830,$C$7:$C$3000,C830,$H$7:$H$3000,"&lt;"&amp;H830,$AH$7:$AH$3000,"yes")+COUNTIFS($B$7:B830,B830,$C$7:C830,C830,$H$7:H830,H830,$AH$7:AH830,"yes"),"")</f>
        <v>1</v>
      </c>
      <c r="AG830" s="110" t="n">
        <f aca="false">IF(ISNUMBER(I830),COUNTIFS($B$7:$B$3000,B830,$C$7:$C$3000,C830,$I$7:$I$3000,"&lt;"&amp;I830,$AI$7:$AI$3000,"yes")+COUNTIFS($B$7:B830,B830,$C$7:C830,C830,$I$7:I830,I830,$AI$7:AI830,"yes"),"")</f>
        <v>1</v>
      </c>
      <c r="AH830" s="110" t="str">
        <f aca="false">IF(ISNUMBER(H830),"yes","no")</f>
        <v>yes</v>
      </c>
      <c r="AI830" s="110" t="str">
        <f aca="false">IF(ISNUMBER(I830),"yes","no")</f>
        <v>yes</v>
      </c>
      <c r="AJ830" s="120" t="n">
        <v>46297</v>
      </c>
      <c r="AK830" s="110"/>
    </row>
    <row r="831" customFormat="false" ht="23.25" hidden="false" customHeight="true" outlineLevel="0" collapsed="false">
      <c r="B831" s="36" t="s">
        <v>51</v>
      </c>
      <c r="C831" s="98" t="s">
        <v>16</v>
      </c>
      <c r="D831" s="98" t="s">
        <v>329</v>
      </c>
      <c r="E831" s="110" t="s">
        <v>2784</v>
      </c>
      <c r="F831" s="99" t="n">
        <v>1.79</v>
      </c>
      <c r="G831" s="98" t="s">
        <v>244</v>
      </c>
      <c r="H831" s="112" t="n">
        <f aca="false">IF(AND(AE831="yes",ISNUMBER(AD831)),AD831,"")</f>
        <v>1.79</v>
      </c>
      <c r="I831" s="95" t="n">
        <f aca="false">IF(AND(AE831="yes",ISNUMBER(AD831),ISNUMBER(INDEX(Sources!$G$7:$G$10,MATCH(AB831,Sources!$B$7:$B$10,0)))),ROUND(AD831/INDEX(Sources!$G$7:$G$10,MATCH(AB831,Sources!$B$7:$B$10,0)),6),"")</f>
        <v>1.79</v>
      </c>
      <c r="J831" s="98" t="s">
        <v>530</v>
      </c>
      <c r="K831" s="98" t="s">
        <v>2059</v>
      </c>
      <c r="L831" s="96"/>
      <c r="M831" s="110" t="s">
        <v>2785</v>
      </c>
      <c r="N831" s="117" t="s">
        <v>2786</v>
      </c>
      <c r="O831" s="110" t="s">
        <v>817</v>
      </c>
      <c r="P831" s="110" t="s">
        <v>590</v>
      </c>
      <c r="Q831" s="118" t="n">
        <v>0.19</v>
      </c>
      <c r="R831" s="110" t="n">
        <v>1</v>
      </c>
      <c r="S831" s="110" t="s">
        <v>632</v>
      </c>
      <c r="T831" s="110" t="s">
        <v>530</v>
      </c>
      <c r="U831" s="110" t="s">
        <v>2062</v>
      </c>
      <c r="V831" s="119" t="n">
        <v>1.79</v>
      </c>
      <c r="W831" s="119"/>
      <c r="X831" s="110" t="s">
        <v>2063</v>
      </c>
      <c r="Y831" s="110" t="s">
        <v>2064</v>
      </c>
      <c r="Z831" s="110" t="s">
        <v>2624</v>
      </c>
      <c r="AA831" s="110" t="s">
        <v>537</v>
      </c>
      <c r="AB831" s="110" t="s">
        <v>244</v>
      </c>
      <c r="AC831" s="110" t="s">
        <v>538</v>
      </c>
      <c r="AD831" s="110" t="n">
        <f aca="false">IF(OR(F831="",Q831="",R831=""),"",ROUND(IF(P831="incl.",F831/(1+Q831),F831)/IF(S831="per pack",R831,1),2))</f>
        <v>1.79</v>
      </c>
      <c r="AE831" s="110" t="str">
        <f aca="false">IF(AND(AC831="yes",ISNUMBER(F831),IF(Compare!$H$5="All mapped",TRUE(),IF(Compare!$H$5="EXACT only",J831="EXACT",OR(J831="EXACT",J831="CLOSE")))),"yes","no")</f>
        <v>yes</v>
      </c>
      <c r="AF831" s="110" t="n">
        <f aca="false">IF(ISNUMBER(H831),COUNTIFS($B$7:$B$3000,B831,$C$7:$C$3000,C831,$H$7:$H$3000,"&lt;"&amp;H831,$AH$7:$AH$3000,"yes")+COUNTIFS($B$7:B831,B831,$C$7:C831,C831,$H$7:H831,H831,$AH$7:AH831,"yes"),"")</f>
        <v>1</v>
      </c>
      <c r="AG831" s="110" t="n">
        <f aca="false">IF(ISNUMBER(I831),COUNTIFS($B$7:$B$3000,B831,$C$7:$C$3000,C831,$I$7:$I$3000,"&lt;"&amp;I831,$AI$7:$AI$3000,"yes")+COUNTIFS($B$7:B831,B831,$C$7:C831,C831,$I$7:I831,I831,$AI$7:AI831,"yes"),"")</f>
        <v>1</v>
      </c>
      <c r="AH831" s="110" t="str">
        <f aca="false">IF(ISNUMBER(H831),"yes","no")</f>
        <v>yes</v>
      </c>
      <c r="AI831" s="110" t="str">
        <f aca="false">IF(ISNUMBER(I831),"yes","no")</f>
        <v>yes</v>
      </c>
      <c r="AJ831" s="120" t="n">
        <v>46297</v>
      </c>
      <c r="AK831" s="110"/>
    </row>
    <row r="832" customFormat="false" ht="23.25" hidden="false" customHeight="true" outlineLevel="0" collapsed="false">
      <c r="B832" s="36" t="s">
        <v>58</v>
      </c>
      <c r="C832" s="98" t="s">
        <v>16</v>
      </c>
      <c r="D832" s="98" t="s">
        <v>296</v>
      </c>
      <c r="E832" s="110" t="s">
        <v>1862</v>
      </c>
      <c r="F832" s="99" t="n">
        <v>6.4</v>
      </c>
      <c r="G832" s="98" t="s">
        <v>244</v>
      </c>
      <c r="H832" s="112" t="n">
        <f aca="false">IF(AND(AE832="yes",ISNUMBER(AD832)),AD832,"")</f>
        <v>6.4</v>
      </c>
      <c r="I832" s="95" t="n">
        <f aca="false">IF(AND(AE832="yes",ISNUMBER(AD832),ISNUMBER(INDEX(Sources!$G$7:$G$10,MATCH(AB832,Sources!$B$7:$B$10,0)))),ROUND(AD832/INDEX(Sources!$G$7:$G$10,MATCH(AB832,Sources!$B$7:$B$10,0)),6),"")</f>
        <v>6.4</v>
      </c>
      <c r="J832" s="98" t="s">
        <v>530</v>
      </c>
      <c r="K832" s="98" t="s">
        <v>2059</v>
      </c>
      <c r="L832" s="96"/>
      <c r="M832" s="110" t="s">
        <v>2787</v>
      </c>
      <c r="N832" s="117" t="s">
        <v>2788</v>
      </c>
      <c r="O832" s="110" t="s">
        <v>296</v>
      </c>
      <c r="P832" s="110" t="s">
        <v>590</v>
      </c>
      <c r="Q832" s="118" t="n">
        <v>0.19</v>
      </c>
      <c r="R832" s="110" t="n">
        <v>1</v>
      </c>
      <c r="S832" s="110" t="s">
        <v>632</v>
      </c>
      <c r="T832" s="110" t="s">
        <v>530</v>
      </c>
      <c r="U832" s="110" t="s">
        <v>2062</v>
      </c>
      <c r="V832" s="119" t="n">
        <v>6.4</v>
      </c>
      <c r="W832" s="119"/>
      <c r="X832" s="110" t="s">
        <v>2063</v>
      </c>
      <c r="Y832" s="110" t="s">
        <v>2064</v>
      </c>
      <c r="Z832" s="110" t="s">
        <v>2789</v>
      </c>
      <c r="AA832" s="110" t="s">
        <v>537</v>
      </c>
      <c r="AB832" s="110" t="s">
        <v>244</v>
      </c>
      <c r="AC832" s="110" t="s">
        <v>538</v>
      </c>
      <c r="AD832" s="110" t="n">
        <f aca="false">IF(OR(F832="",Q832="",R832=""),"",ROUND(IF(P832="incl.",F832/(1+Q832),F832)/IF(S832="per pack",R832,1),2))</f>
        <v>6.4</v>
      </c>
      <c r="AE832" s="110" t="str">
        <f aca="false">IF(AND(AC832="yes",ISNUMBER(F832),IF(Compare!$H$5="All mapped",TRUE(),IF(Compare!$H$5="EXACT only",J832="EXACT",OR(J832="EXACT",J832="CLOSE")))),"yes","no")</f>
        <v>yes</v>
      </c>
      <c r="AF832" s="110" t="n">
        <f aca="false">IF(ISNUMBER(H832),COUNTIFS($B$7:$B$3000,B832,$C$7:$C$3000,C832,$H$7:$H$3000,"&lt;"&amp;H832,$AH$7:$AH$3000,"yes")+COUNTIFS($B$7:B832,B832,$C$7:C832,C832,$H$7:H832,H832,$AH$7:AH832,"yes"),"")</f>
        <v>1</v>
      </c>
      <c r="AG832" s="110" t="n">
        <f aca="false">IF(ISNUMBER(I832),COUNTIFS($B$7:$B$3000,B832,$C$7:$C$3000,C832,$I$7:$I$3000,"&lt;"&amp;I832,$AI$7:$AI$3000,"yes")+COUNTIFS($B$7:B832,B832,$C$7:C832,C832,$I$7:I832,I832,$AI$7:AI832,"yes"),"")</f>
        <v>1</v>
      </c>
      <c r="AH832" s="110" t="str">
        <f aca="false">IF(ISNUMBER(H832),"yes","no")</f>
        <v>yes</v>
      </c>
      <c r="AI832" s="110" t="str">
        <f aca="false">IF(ISNUMBER(I832),"yes","no")</f>
        <v>yes</v>
      </c>
      <c r="AJ832" s="120" t="n">
        <v>46297</v>
      </c>
      <c r="AK832" s="110"/>
    </row>
    <row r="833" customFormat="false" ht="23.25" hidden="false" customHeight="true" outlineLevel="0" collapsed="false">
      <c r="B833" s="36" t="s">
        <v>47</v>
      </c>
      <c r="C833" s="98" t="s">
        <v>16</v>
      </c>
      <c r="D833" s="98" t="s">
        <v>296</v>
      </c>
      <c r="E833" s="110" t="s">
        <v>1647</v>
      </c>
      <c r="F833" s="99" t="n">
        <v>6.54</v>
      </c>
      <c r="G833" s="98" t="s">
        <v>244</v>
      </c>
      <c r="H833" s="112" t="n">
        <f aca="false">IF(AND(AE833="yes",ISNUMBER(AD833)),AD833,"")</f>
        <v>6.54</v>
      </c>
      <c r="I833" s="95" t="n">
        <f aca="false">IF(AND(AE833="yes",ISNUMBER(AD833),ISNUMBER(INDEX(Sources!$G$7:$G$10,MATCH(AB833,Sources!$B$7:$B$10,0)))),ROUND(AD833/INDEX(Sources!$G$7:$G$10,MATCH(AB833,Sources!$B$7:$B$10,0)),6),"")</f>
        <v>6.54</v>
      </c>
      <c r="J833" s="98" t="s">
        <v>530</v>
      </c>
      <c r="K833" s="98" t="s">
        <v>2059</v>
      </c>
      <c r="L833" s="96"/>
      <c r="M833" s="110" t="s">
        <v>2790</v>
      </c>
      <c r="N833" s="117" t="s">
        <v>2791</v>
      </c>
      <c r="O833" s="110" t="s">
        <v>296</v>
      </c>
      <c r="P833" s="110" t="s">
        <v>590</v>
      </c>
      <c r="Q833" s="118" t="n">
        <v>0.19</v>
      </c>
      <c r="R833" s="110" t="n">
        <v>1</v>
      </c>
      <c r="S833" s="110" t="s">
        <v>632</v>
      </c>
      <c r="T833" s="110" t="s">
        <v>530</v>
      </c>
      <c r="U833" s="110" t="s">
        <v>2062</v>
      </c>
      <c r="V833" s="119" t="n">
        <v>6.54</v>
      </c>
      <c r="W833" s="119"/>
      <c r="X833" s="110" t="s">
        <v>2063</v>
      </c>
      <c r="Y833" s="110" t="s">
        <v>2064</v>
      </c>
      <c r="Z833" s="110" t="s">
        <v>2164</v>
      </c>
      <c r="AA833" s="110" t="s">
        <v>537</v>
      </c>
      <c r="AB833" s="110" t="s">
        <v>244</v>
      </c>
      <c r="AC833" s="110" t="s">
        <v>538</v>
      </c>
      <c r="AD833" s="110" t="n">
        <f aca="false">IF(OR(F833="",Q833="",R833=""),"",ROUND(IF(P833="incl.",F833/(1+Q833),F833)/IF(S833="per pack",R833,1),2))</f>
        <v>6.54</v>
      </c>
      <c r="AE833" s="110" t="str">
        <f aca="false">IF(AND(AC833="yes",ISNUMBER(F833),IF(Compare!$H$5="All mapped",TRUE(),IF(Compare!$H$5="EXACT only",J833="EXACT",OR(J833="EXACT",J833="CLOSE")))),"yes","no")</f>
        <v>yes</v>
      </c>
      <c r="AF833" s="110" t="n">
        <f aca="false">IF(ISNUMBER(H833),COUNTIFS($B$7:$B$3000,B833,$C$7:$C$3000,C833,$H$7:$H$3000,"&lt;"&amp;H833,$AH$7:$AH$3000,"yes")+COUNTIFS($B$7:B833,B833,$C$7:C833,C833,$H$7:H833,H833,$AH$7:AH833,"yes"),"")</f>
        <v>1</v>
      </c>
      <c r="AG833" s="110" t="n">
        <f aca="false">IF(ISNUMBER(I833),COUNTIFS($B$7:$B$3000,B833,$C$7:$C$3000,C833,$I$7:$I$3000,"&lt;"&amp;I833,$AI$7:$AI$3000,"yes")+COUNTIFS($B$7:B833,B833,$C$7:C833,C833,$I$7:I833,I833,$AI$7:AI833,"yes"),"")</f>
        <v>1</v>
      </c>
      <c r="AH833" s="110" t="str">
        <f aca="false">IF(ISNUMBER(H833),"yes","no")</f>
        <v>yes</v>
      </c>
      <c r="AI833" s="110" t="str">
        <f aca="false">IF(ISNUMBER(I833),"yes","no")</f>
        <v>yes</v>
      </c>
      <c r="AJ833" s="120" t="n">
        <v>46297</v>
      </c>
      <c r="AK833" s="110"/>
    </row>
    <row r="834" customFormat="false" ht="23.25" hidden="false" customHeight="true" outlineLevel="0" collapsed="false">
      <c r="B834" s="36" t="s">
        <v>59</v>
      </c>
      <c r="C834" s="98" t="s">
        <v>16</v>
      </c>
      <c r="D834" s="98" t="s">
        <v>296</v>
      </c>
      <c r="E834" s="110" t="s">
        <v>1895</v>
      </c>
      <c r="F834" s="99" t="n">
        <v>3.23</v>
      </c>
      <c r="G834" s="98" t="s">
        <v>244</v>
      </c>
      <c r="H834" s="112" t="n">
        <f aca="false">IF(AND(AE834="yes",ISNUMBER(AD834)),AD834,"")</f>
        <v>3.23</v>
      </c>
      <c r="I834" s="95" t="n">
        <f aca="false">IF(AND(AE834="yes",ISNUMBER(AD834),ISNUMBER(INDEX(Sources!$G$7:$G$10,MATCH(AB834,Sources!$B$7:$B$10,0)))),ROUND(AD834/INDEX(Sources!$G$7:$G$10,MATCH(AB834,Sources!$B$7:$B$10,0)),6),"")</f>
        <v>3.23</v>
      </c>
      <c r="J834" s="98" t="s">
        <v>530</v>
      </c>
      <c r="K834" s="98" t="s">
        <v>2059</v>
      </c>
      <c r="L834" s="96"/>
      <c r="M834" s="110" t="s">
        <v>2792</v>
      </c>
      <c r="N834" s="117" t="s">
        <v>2793</v>
      </c>
      <c r="O834" s="110" t="s">
        <v>296</v>
      </c>
      <c r="P834" s="110" t="s">
        <v>590</v>
      </c>
      <c r="Q834" s="118" t="n">
        <v>0.19</v>
      </c>
      <c r="R834" s="110" t="n">
        <v>1</v>
      </c>
      <c r="S834" s="110" t="s">
        <v>632</v>
      </c>
      <c r="T834" s="110" t="s">
        <v>530</v>
      </c>
      <c r="U834" s="110" t="s">
        <v>2062</v>
      </c>
      <c r="V834" s="119" t="n">
        <v>3.23</v>
      </c>
      <c r="W834" s="119"/>
      <c r="X834" s="110" t="s">
        <v>2063</v>
      </c>
      <c r="Y834" s="110" t="s">
        <v>2064</v>
      </c>
      <c r="Z834" s="110" t="s">
        <v>2164</v>
      </c>
      <c r="AA834" s="110" t="s">
        <v>537</v>
      </c>
      <c r="AB834" s="110" t="s">
        <v>244</v>
      </c>
      <c r="AC834" s="110" t="s">
        <v>538</v>
      </c>
      <c r="AD834" s="110" t="n">
        <f aca="false">IF(OR(F834="",Q834="",R834=""),"",ROUND(IF(P834="incl.",F834/(1+Q834),F834)/IF(S834="per pack",R834,1),2))</f>
        <v>3.23</v>
      </c>
      <c r="AE834" s="110" t="str">
        <f aca="false">IF(AND(AC834="yes",ISNUMBER(F834),IF(Compare!$H$5="All mapped",TRUE(),IF(Compare!$H$5="EXACT only",J834="EXACT",OR(J834="EXACT",J834="CLOSE")))),"yes","no")</f>
        <v>yes</v>
      </c>
      <c r="AF834" s="110" t="n">
        <f aca="false">IF(ISNUMBER(H834),COUNTIFS($B$7:$B$3000,B834,$C$7:$C$3000,C834,$H$7:$H$3000,"&lt;"&amp;H834,$AH$7:$AH$3000,"yes")+COUNTIFS($B$7:B834,B834,$C$7:C834,C834,$H$7:H834,H834,$AH$7:AH834,"yes"),"")</f>
        <v>1</v>
      </c>
      <c r="AG834" s="110" t="n">
        <f aca="false">IF(ISNUMBER(I834),COUNTIFS($B$7:$B$3000,B834,$C$7:$C$3000,C834,$I$7:$I$3000,"&lt;"&amp;I834,$AI$7:$AI$3000,"yes")+COUNTIFS($B$7:B834,B834,$C$7:C834,C834,$I$7:I834,I834,$AI$7:AI834,"yes"),"")</f>
        <v>1</v>
      </c>
      <c r="AH834" s="110" t="str">
        <f aca="false">IF(ISNUMBER(H834),"yes","no")</f>
        <v>yes</v>
      </c>
      <c r="AI834" s="110" t="str">
        <f aca="false">IF(ISNUMBER(I834),"yes","no")</f>
        <v>yes</v>
      </c>
      <c r="AJ834" s="120" t="n">
        <v>46297</v>
      </c>
      <c r="AK834" s="110"/>
    </row>
    <row r="835" customFormat="false" ht="23.25" hidden="false" customHeight="true" outlineLevel="0" collapsed="false">
      <c r="B835" s="36" t="s">
        <v>58</v>
      </c>
      <c r="C835" s="98" t="s">
        <v>16</v>
      </c>
      <c r="D835" s="98" t="s">
        <v>300</v>
      </c>
      <c r="E835" s="110" t="s">
        <v>2794</v>
      </c>
      <c r="F835" s="99" t="n">
        <v>24.9</v>
      </c>
      <c r="G835" s="98" t="s">
        <v>244</v>
      </c>
      <c r="H835" s="112" t="n">
        <f aca="false">IF(AND(AE835="yes",ISNUMBER(AD835)),AD835,"")</f>
        <v>24.9</v>
      </c>
      <c r="I835" s="95" t="n">
        <f aca="false">IF(AND(AE835="yes",ISNUMBER(AD835),ISNUMBER(INDEX(Sources!$G$7:$G$10,MATCH(AB835,Sources!$B$7:$B$10,0)))),ROUND(AD835/INDEX(Sources!$G$7:$G$10,MATCH(AB835,Sources!$B$7:$B$10,0)),6),"")</f>
        <v>24.9</v>
      </c>
      <c r="J835" s="98" t="s">
        <v>530</v>
      </c>
      <c r="K835" s="98" t="s">
        <v>2059</v>
      </c>
      <c r="L835" s="96"/>
      <c r="M835" s="110" t="s">
        <v>2795</v>
      </c>
      <c r="N835" s="117" t="s">
        <v>2796</v>
      </c>
      <c r="O835" s="110" t="s">
        <v>598</v>
      </c>
      <c r="P835" s="110" t="s">
        <v>590</v>
      </c>
      <c r="Q835" s="118" t="n">
        <v>0.19</v>
      </c>
      <c r="R835" s="110" t="n">
        <v>1</v>
      </c>
      <c r="S835" s="110" t="s">
        <v>632</v>
      </c>
      <c r="T835" s="110" t="s">
        <v>530</v>
      </c>
      <c r="U835" s="110" t="s">
        <v>2062</v>
      </c>
      <c r="V835" s="119" t="n">
        <v>24.9</v>
      </c>
      <c r="W835" s="119"/>
      <c r="X835" s="110" t="s">
        <v>2063</v>
      </c>
      <c r="Y835" s="110" t="s">
        <v>2064</v>
      </c>
      <c r="Z835" s="110" t="s">
        <v>2549</v>
      </c>
      <c r="AA835" s="110" t="s">
        <v>537</v>
      </c>
      <c r="AB835" s="110" t="s">
        <v>244</v>
      </c>
      <c r="AC835" s="110" t="s">
        <v>538</v>
      </c>
      <c r="AD835" s="110" t="n">
        <f aca="false">IF(OR(F835="",Q835="",R835=""),"",ROUND(IF(P835="incl.",F835/(1+Q835),F835)/IF(S835="per pack",R835,1),2))</f>
        <v>24.9</v>
      </c>
      <c r="AE835" s="110" t="str">
        <f aca="false">IF(AND(AC835="yes",ISNUMBER(F835),IF(Compare!$H$5="All mapped",TRUE(),IF(Compare!$H$5="EXACT only",J835="EXACT",OR(J835="EXACT",J835="CLOSE")))),"yes","no")</f>
        <v>yes</v>
      </c>
      <c r="AF835" s="110" t="n">
        <f aca="false">IF(ISNUMBER(H835),COUNTIFS($B$7:$B$3000,B835,$C$7:$C$3000,C835,$H$7:$H$3000,"&lt;"&amp;H835,$AH$7:$AH$3000,"yes")+COUNTIFS($B$7:B835,B835,$C$7:C835,C835,$H$7:H835,H835,$AH$7:AH835,"yes"),"")</f>
        <v>7</v>
      </c>
      <c r="AG835" s="110" t="n">
        <f aca="false">IF(ISNUMBER(I835),COUNTIFS($B$7:$B$3000,B835,$C$7:$C$3000,C835,$I$7:$I$3000,"&lt;"&amp;I835,$AI$7:$AI$3000,"yes")+COUNTIFS($B$7:B835,B835,$C$7:C835,C835,$I$7:I835,I835,$AI$7:AI835,"yes"),"")</f>
        <v>7</v>
      </c>
      <c r="AH835" s="110" t="str">
        <f aca="false">IF(ISNUMBER(H835),"yes","no")</f>
        <v>yes</v>
      </c>
      <c r="AI835" s="110" t="str">
        <f aca="false">IF(ISNUMBER(I835),"yes","no")</f>
        <v>yes</v>
      </c>
      <c r="AJ835" s="120" t="n">
        <v>46297</v>
      </c>
      <c r="AK835" s="110"/>
    </row>
    <row r="836" customFormat="false" ht="34.5" hidden="false" customHeight="true" outlineLevel="0" collapsed="false">
      <c r="B836" s="36" t="s">
        <v>24</v>
      </c>
      <c r="C836" s="98" t="s">
        <v>16</v>
      </c>
      <c r="D836" s="98" t="s">
        <v>300</v>
      </c>
      <c r="E836" s="110" t="s">
        <v>2797</v>
      </c>
      <c r="F836" s="99" t="n">
        <v>11.45</v>
      </c>
      <c r="G836" s="98" t="s">
        <v>244</v>
      </c>
      <c r="H836" s="112" t="n">
        <f aca="false">IF(AND(AE836="yes",ISNUMBER(AD836)),AD836,"")</f>
        <v>11.45</v>
      </c>
      <c r="I836" s="95" t="n">
        <f aca="false">IF(AND(AE836="yes",ISNUMBER(AD836),ISNUMBER(INDEX(Sources!$G$7:$G$10,MATCH(AB836,Sources!$B$7:$B$10,0)))),ROUND(AD836/INDEX(Sources!$G$7:$G$10,MATCH(AB836,Sources!$B$7:$B$10,0)),6),"")</f>
        <v>11.45</v>
      </c>
      <c r="J836" s="98" t="s">
        <v>530</v>
      </c>
      <c r="K836" s="98" t="s">
        <v>2059</v>
      </c>
      <c r="L836" s="96"/>
      <c r="M836" s="110" t="s">
        <v>2798</v>
      </c>
      <c r="N836" s="117" t="s">
        <v>2799</v>
      </c>
      <c r="O836" s="110" t="s">
        <v>646</v>
      </c>
      <c r="P836" s="110" t="s">
        <v>590</v>
      </c>
      <c r="Q836" s="118" t="n">
        <v>0.19</v>
      </c>
      <c r="R836" s="110" t="n">
        <v>1</v>
      </c>
      <c r="S836" s="110" t="s">
        <v>632</v>
      </c>
      <c r="T836" s="110" t="s">
        <v>530</v>
      </c>
      <c r="U836" s="110" t="s">
        <v>2062</v>
      </c>
      <c r="V836" s="119" t="n">
        <v>11.45</v>
      </c>
      <c r="W836" s="119"/>
      <c r="X836" s="110" t="s">
        <v>2063</v>
      </c>
      <c r="Y836" s="110" t="s">
        <v>2064</v>
      </c>
      <c r="Z836" s="110" t="s">
        <v>2800</v>
      </c>
      <c r="AA836" s="110" t="s">
        <v>537</v>
      </c>
      <c r="AB836" s="110" t="s">
        <v>244</v>
      </c>
      <c r="AC836" s="110" t="s">
        <v>538</v>
      </c>
      <c r="AD836" s="110" t="n">
        <f aca="false">IF(OR(F836="",Q836="",R836=""),"",ROUND(IF(P836="incl.",F836/(1+Q836),F836)/IF(S836="per pack",R836,1),2))</f>
        <v>11.45</v>
      </c>
      <c r="AE836" s="110" t="str">
        <f aca="false">IF(AND(AC836="yes",ISNUMBER(F836),IF(Compare!$H$5="All mapped",TRUE(),IF(Compare!$H$5="EXACT only",J836="EXACT",OR(J836="EXACT",J836="CLOSE")))),"yes","no")</f>
        <v>yes</v>
      </c>
      <c r="AF836" s="110" t="n">
        <f aca="false">IF(ISNUMBER(H836),COUNTIFS($B$7:$B$3000,B836,$C$7:$C$3000,C836,$H$7:$H$3000,"&lt;"&amp;H836,$AH$7:$AH$3000,"yes")+COUNTIFS($B$7:B836,B836,$C$7:C836,C836,$H$7:H836,H836,$AH$7:AH836,"yes"),"")</f>
        <v>7</v>
      </c>
      <c r="AG836" s="110" t="n">
        <f aca="false">IF(ISNUMBER(I836),COUNTIFS($B$7:$B$3000,B836,$C$7:$C$3000,C836,$I$7:$I$3000,"&lt;"&amp;I836,$AI$7:$AI$3000,"yes")+COUNTIFS($B$7:B836,B836,$C$7:C836,C836,$I$7:I836,I836,$AI$7:AI836,"yes"),"")</f>
        <v>7</v>
      </c>
      <c r="AH836" s="110" t="str">
        <f aca="false">IF(ISNUMBER(H836),"yes","no")</f>
        <v>yes</v>
      </c>
      <c r="AI836" s="110" t="str">
        <f aca="false">IF(ISNUMBER(I836),"yes","no")</f>
        <v>yes</v>
      </c>
      <c r="AJ836" s="120" t="n">
        <v>46297</v>
      </c>
      <c r="AK836" s="110"/>
    </row>
    <row r="837" customFormat="false" ht="23.25" hidden="false" customHeight="true" outlineLevel="0" collapsed="false">
      <c r="B837" s="36" t="s">
        <v>22</v>
      </c>
      <c r="C837" s="98" t="s">
        <v>16</v>
      </c>
      <c r="D837" s="98" t="s">
        <v>300</v>
      </c>
      <c r="E837" s="110" t="s">
        <v>2801</v>
      </c>
      <c r="F837" s="99" t="n">
        <v>13.9</v>
      </c>
      <c r="G837" s="98" t="s">
        <v>244</v>
      </c>
      <c r="H837" s="112" t="n">
        <f aca="false">IF(AND(AE837="yes",ISNUMBER(AD837)),AD837,"")</f>
        <v>13.9</v>
      </c>
      <c r="I837" s="95" t="n">
        <f aca="false">IF(AND(AE837="yes",ISNUMBER(AD837),ISNUMBER(INDEX(Sources!$G$7:$G$10,MATCH(AB837,Sources!$B$7:$B$10,0)))),ROUND(AD837/INDEX(Sources!$G$7:$G$10,MATCH(AB837,Sources!$B$7:$B$10,0)),6),"")</f>
        <v>13.9</v>
      </c>
      <c r="J837" s="98" t="s">
        <v>530</v>
      </c>
      <c r="K837" s="98" t="s">
        <v>2059</v>
      </c>
      <c r="L837" s="96"/>
      <c r="M837" s="110" t="s">
        <v>2802</v>
      </c>
      <c r="N837" s="117" t="s">
        <v>2803</v>
      </c>
      <c r="O837" s="110" t="s">
        <v>598</v>
      </c>
      <c r="P837" s="110" t="s">
        <v>590</v>
      </c>
      <c r="Q837" s="118" t="n">
        <v>0.19</v>
      </c>
      <c r="R837" s="110" t="n">
        <v>1</v>
      </c>
      <c r="S837" s="110" t="s">
        <v>632</v>
      </c>
      <c r="T837" s="110" t="s">
        <v>530</v>
      </c>
      <c r="U837" s="110" t="s">
        <v>2062</v>
      </c>
      <c r="V837" s="119" t="n">
        <v>13.9</v>
      </c>
      <c r="W837" s="119"/>
      <c r="X837" s="110" t="s">
        <v>2063</v>
      </c>
      <c r="Y837" s="110" t="s">
        <v>2064</v>
      </c>
      <c r="Z837" s="110" t="s">
        <v>2549</v>
      </c>
      <c r="AA837" s="110" t="s">
        <v>537</v>
      </c>
      <c r="AB837" s="110" t="s">
        <v>244</v>
      </c>
      <c r="AC837" s="110" t="s">
        <v>538</v>
      </c>
      <c r="AD837" s="110" t="n">
        <f aca="false">IF(OR(F837="",Q837="",R837=""),"",ROUND(IF(P837="incl.",F837/(1+Q837),F837)/IF(S837="per pack",R837,1),2))</f>
        <v>13.9</v>
      </c>
      <c r="AE837" s="110" t="str">
        <f aca="false">IF(AND(AC837="yes",ISNUMBER(F837),IF(Compare!$H$5="All mapped",TRUE(),IF(Compare!$H$5="EXACT only",J837="EXACT",OR(J837="EXACT",J837="CLOSE")))),"yes","no")</f>
        <v>yes</v>
      </c>
      <c r="AF837" s="110" t="n">
        <f aca="false">IF(ISNUMBER(H837),COUNTIFS($B$7:$B$3000,B837,$C$7:$C$3000,C837,$H$7:$H$3000,"&lt;"&amp;H837,$AH$7:$AH$3000,"yes")+COUNTIFS($B$7:B837,B837,$C$7:C837,C837,$H$7:H837,H837,$AH$7:AH837,"yes"),"")</f>
        <v>7</v>
      </c>
      <c r="AG837" s="110" t="n">
        <f aca="false">IF(ISNUMBER(I837),COUNTIFS($B$7:$B$3000,B837,$C$7:$C$3000,C837,$I$7:$I$3000,"&lt;"&amp;I837,$AI$7:$AI$3000,"yes")+COUNTIFS($B$7:B837,B837,$C$7:C837,C837,$I$7:I837,I837,$AI$7:AI837,"yes"),"")</f>
        <v>7</v>
      </c>
      <c r="AH837" s="110" t="str">
        <f aca="false">IF(ISNUMBER(H837),"yes","no")</f>
        <v>yes</v>
      </c>
      <c r="AI837" s="110" t="str">
        <f aca="false">IF(ISNUMBER(I837),"yes","no")</f>
        <v>yes</v>
      </c>
      <c r="AJ837" s="120" t="n">
        <v>46297</v>
      </c>
      <c r="AK837" s="110"/>
    </row>
    <row r="838" customFormat="false" ht="23.25" hidden="false" customHeight="true" outlineLevel="0" collapsed="false">
      <c r="B838" s="36" t="s">
        <v>59</v>
      </c>
      <c r="C838" s="98" t="s">
        <v>16</v>
      </c>
      <c r="D838" s="98" t="s">
        <v>300</v>
      </c>
      <c r="E838" s="110" t="s">
        <v>2804</v>
      </c>
      <c r="F838" s="99" t="n">
        <v>5.6</v>
      </c>
      <c r="G838" s="98" t="s">
        <v>244</v>
      </c>
      <c r="H838" s="112" t="n">
        <f aca="false">IF(AND(AE838="yes",ISNUMBER(AD838)),AD838,"")</f>
        <v>5.6</v>
      </c>
      <c r="I838" s="95" t="n">
        <f aca="false">IF(AND(AE838="yes",ISNUMBER(AD838),ISNUMBER(INDEX(Sources!$G$7:$G$10,MATCH(AB838,Sources!$B$7:$B$10,0)))),ROUND(AD838/INDEX(Sources!$G$7:$G$10,MATCH(AB838,Sources!$B$7:$B$10,0)),6),"")</f>
        <v>5.6</v>
      </c>
      <c r="J838" s="98" t="s">
        <v>530</v>
      </c>
      <c r="K838" s="98" t="s">
        <v>2059</v>
      </c>
      <c r="L838" s="96"/>
      <c r="M838" s="110" t="s">
        <v>2805</v>
      </c>
      <c r="N838" s="117" t="s">
        <v>2806</v>
      </c>
      <c r="O838" s="110" t="s">
        <v>598</v>
      </c>
      <c r="P838" s="110" t="s">
        <v>590</v>
      </c>
      <c r="Q838" s="118" t="n">
        <v>0.19</v>
      </c>
      <c r="R838" s="110" t="n">
        <v>1</v>
      </c>
      <c r="S838" s="110" t="s">
        <v>632</v>
      </c>
      <c r="T838" s="110" t="s">
        <v>530</v>
      </c>
      <c r="U838" s="110" t="s">
        <v>2062</v>
      </c>
      <c r="V838" s="119" t="n">
        <v>5.6</v>
      </c>
      <c r="W838" s="119"/>
      <c r="X838" s="110" t="s">
        <v>2063</v>
      </c>
      <c r="Y838" s="110" t="s">
        <v>2064</v>
      </c>
      <c r="Z838" s="110" t="s">
        <v>2549</v>
      </c>
      <c r="AA838" s="110" t="s">
        <v>537</v>
      </c>
      <c r="AB838" s="110" t="s">
        <v>244</v>
      </c>
      <c r="AC838" s="110" t="s">
        <v>538</v>
      </c>
      <c r="AD838" s="110" t="n">
        <f aca="false">IF(OR(F838="",Q838="",R838=""),"",ROUND(IF(P838="incl.",F838/(1+Q838),F838)/IF(S838="per pack",R838,1),2))</f>
        <v>5.6</v>
      </c>
      <c r="AE838" s="110" t="str">
        <f aca="false">IF(AND(AC838="yes",ISNUMBER(F838),IF(Compare!$H$5="All mapped",TRUE(),IF(Compare!$H$5="EXACT only",J838="EXACT",OR(J838="EXACT",J838="CLOSE")))),"yes","no")</f>
        <v>yes</v>
      </c>
      <c r="AF838" s="110" t="n">
        <f aca="false">IF(ISNUMBER(H838),COUNTIFS($B$7:$B$3000,B838,$C$7:$C$3000,C838,$H$7:$H$3000,"&lt;"&amp;H838,$AH$7:$AH$3000,"yes")+COUNTIFS($B$7:B838,B838,$C$7:C838,C838,$H$7:H838,H838,$AH$7:AH838,"yes"),"")</f>
        <v>5</v>
      </c>
      <c r="AG838" s="110" t="n">
        <f aca="false">IF(ISNUMBER(I838),COUNTIFS($B$7:$B$3000,B838,$C$7:$C$3000,C838,$I$7:$I$3000,"&lt;"&amp;I838,$AI$7:$AI$3000,"yes")+COUNTIFS($B$7:B838,B838,$C$7:C838,C838,$I$7:I838,I838,$AI$7:AI838,"yes"),"")</f>
        <v>5</v>
      </c>
      <c r="AH838" s="110" t="str">
        <f aca="false">IF(ISNUMBER(H838),"yes","no")</f>
        <v>yes</v>
      </c>
      <c r="AI838" s="110" t="str">
        <f aca="false">IF(ISNUMBER(I838),"yes","no")</f>
        <v>yes</v>
      </c>
      <c r="AJ838" s="120" t="n">
        <v>46297</v>
      </c>
      <c r="AK838" s="110"/>
    </row>
    <row r="839" customFormat="false" ht="23.25" hidden="false" customHeight="true" outlineLevel="0" collapsed="false">
      <c r="B839" s="36" t="s">
        <v>58</v>
      </c>
      <c r="C839" s="98" t="s">
        <v>16</v>
      </c>
      <c r="D839" s="98" t="s">
        <v>317</v>
      </c>
      <c r="E839" s="110" t="s">
        <v>2807</v>
      </c>
      <c r="F839" s="99" t="n">
        <v>56.99</v>
      </c>
      <c r="G839" s="98" t="s">
        <v>244</v>
      </c>
      <c r="H839" s="112" t="n">
        <f aca="false">IF(AND(AE839="yes",ISNUMBER(AD839)),AD839,"")</f>
        <v>9.5</v>
      </c>
      <c r="I839" s="95" t="n">
        <f aca="false">IF(AND(AE839="yes",ISNUMBER(AD839),ISNUMBER(INDEX(Sources!$G$7:$G$10,MATCH(AB839,Sources!$B$7:$B$10,0)))),ROUND(AD839/INDEX(Sources!$G$7:$G$10,MATCH(AB839,Sources!$B$7:$B$10,0)),6),"")</f>
        <v>9.5</v>
      </c>
      <c r="J839" s="98" t="s">
        <v>530</v>
      </c>
      <c r="K839" s="98" t="s">
        <v>2059</v>
      </c>
      <c r="L839" s="96"/>
      <c r="M839" s="110" t="s">
        <v>2808</v>
      </c>
      <c r="N839" s="117" t="s">
        <v>2809</v>
      </c>
      <c r="O839" s="110" t="s">
        <v>610</v>
      </c>
      <c r="P839" s="110" t="s">
        <v>590</v>
      </c>
      <c r="Q839" s="118" t="n">
        <v>0.19</v>
      </c>
      <c r="R839" s="110" t="n">
        <v>6</v>
      </c>
      <c r="S839" s="110" t="s">
        <v>625</v>
      </c>
      <c r="T839" s="110" t="s">
        <v>530</v>
      </c>
      <c r="U839" s="110" t="s">
        <v>2062</v>
      </c>
      <c r="V839" s="119" t="n">
        <v>9.5</v>
      </c>
      <c r="W839" s="119"/>
      <c r="X839" s="110" t="s">
        <v>2063</v>
      </c>
      <c r="Y839" s="110" t="s">
        <v>2064</v>
      </c>
      <c r="Z839" s="110" t="s">
        <v>2810</v>
      </c>
      <c r="AA839" s="110" t="s">
        <v>537</v>
      </c>
      <c r="AB839" s="110" t="s">
        <v>244</v>
      </c>
      <c r="AC839" s="110" t="s">
        <v>538</v>
      </c>
      <c r="AD839" s="110" t="n">
        <f aca="false">IF(OR(F839="",Q839="",R839=""),"",ROUND(IF(P839="incl.",F839/(1+Q839),F839)/IF(S839="per pack",R839,1),2))</f>
        <v>9.5</v>
      </c>
      <c r="AE839" s="110" t="str">
        <f aca="false">IF(AND(AC839="yes",ISNUMBER(F839),IF(Compare!$H$5="All mapped",TRUE(),IF(Compare!$H$5="EXACT only",J839="EXACT",OR(J839="EXACT",J839="CLOSE")))),"yes","no")</f>
        <v>yes</v>
      </c>
      <c r="AF839" s="110" t="n">
        <f aca="false">IF(ISNUMBER(H839),COUNTIFS($B$7:$B$3000,B839,$C$7:$C$3000,C839,$H$7:$H$3000,"&lt;"&amp;H839,$AH$7:$AH$3000,"yes")+COUNTIFS($B$7:B839,B839,$C$7:C839,C839,$H$7:H839,H839,$AH$7:AH839,"yes"),"")</f>
        <v>3</v>
      </c>
      <c r="AG839" s="110" t="n">
        <f aca="false">IF(ISNUMBER(I839),COUNTIFS($B$7:$B$3000,B839,$C$7:$C$3000,C839,$I$7:$I$3000,"&lt;"&amp;I839,$AI$7:$AI$3000,"yes")+COUNTIFS($B$7:B839,B839,$C$7:C839,C839,$I$7:I839,I839,$AI$7:AI839,"yes"),"")</f>
        <v>3</v>
      </c>
      <c r="AH839" s="110" t="str">
        <f aca="false">IF(ISNUMBER(H839),"yes","no")</f>
        <v>yes</v>
      </c>
      <c r="AI839" s="110" t="str">
        <f aca="false">IF(ISNUMBER(I839),"yes","no")</f>
        <v>yes</v>
      </c>
      <c r="AJ839" s="120" t="n">
        <v>46297</v>
      </c>
      <c r="AK839" s="110"/>
    </row>
    <row r="840" customFormat="false" ht="34.5" hidden="false" customHeight="true" outlineLevel="0" collapsed="false">
      <c r="B840" s="36" t="s">
        <v>47</v>
      </c>
      <c r="C840" s="98" t="s">
        <v>16</v>
      </c>
      <c r="D840" s="98" t="s">
        <v>317</v>
      </c>
      <c r="E840" s="110" t="s">
        <v>2811</v>
      </c>
      <c r="F840" s="99" t="n">
        <v>67.99</v>
      </c>
      <c r="G840" s="98" t="s">
        <v>244</v>
      </c>
      <c r="H840" s="112" t="str">
        <f aca="false">IF(AND(AE840="yes",ISNUMBER(AD840)),AD840,"")</f>
        <v/>
      </c>
      <c r="I840" s="95" t="str">
        <f aca="false">IF(AND(AE840="yes",ISNUMBER(AD840),ISNUMBER(INDEX(Sources!$G$7:$G$10,MATCH(AB840,Sources!$B$7:$B$10,0)))),ROUND(AD840/INDEX(Sources!$G$7:$G$10,MATCH(AB840,Sources!$B$7:$B$10,0)),6),"")</f>
        <v/>
      </c>
      <c r="J840" s="98" t="s">
        <v>629</v>
      </c>
      <c r="K840" s="98" t="s">
        <v>2059</v>
      </c>
      <c r="L840" s="96"/>
      <c r="M840" s="110" t="s">
        <v>2812</v>
      </c>
      <c r="N840" s="117" t="s">
        <v>2813</v>
      </c>
      <c r="O840" s="110" t="s">
        <v>610</v>
      </c>
      <c r="P840" s="110" t="s">
        <v>590</v>
      </c>
      <c r="Q840" s="118" t="n">
        <v>0.19</v>
      </c>
      <c r="R840" s="110" t="n">
        <v>6</v>
      </c>
      <c r="S840" s="110" t="s">
        <v>625</v>
      </c>
      <c r="T840" s="110" t="s">
        <v>629</v>
      </c>
      <c r="U840" s="110" t="s">
        <v>2062</v>
      </c>
      <c r="V840" s="119" t="n">
        <v>11.33</v>
      </c>
      <c r="W840" s="119"/>
      <c r="X840" s="110" t="s">
        <v>2063</v>
      </c>
      <c r="Y840" s="110" t="s">
        <v>2064</v>
      </c>
      <c r="Z840" s="110" t="s">
        <v>2810</v>
      </c>
      <c r="AA840" s="110" t="s">
        <v>537</v>
      </c>
      <c r="AB840" s="110" t="s">
        <v>244</v>
      </c>
      <c r="AC840" s="110" t="s">
        <v>538</v>
      </c>
      <c r="AD840" s="110" t="n">
        <f aca="false">IF(OR(F840="",Q840="",R840=""),"",ROUND(IF(P840="incl.",F840/(1+Q840),F840)/IF(S840="per pack",R840,1),2))</f>
        <v>11.33</v>
      </c>
      <c r="AE840" s="110" t="str">
        <f aca="false">IF(AND(AC840="yes",ISNUMBER(F840),IF(Compare!$H$5="All mapped",TRUE(),IF(Compare!$H$5="EXACT only",J840="EXACT",OR(J840="EXACT",J840="CLOSE")))),"yes","no")</f>
        <v>no</v>
      </c>
      <c r="AF840" s="110" t="str">
        <f aca="false">IF(ISNUMBER(H840),COUNTIFS($B$7:$B$3000,B840,$C$7:$C$3000,C840,$H$7:$H$3000,"&lt;"&amp;H840,$AH$7:$AH$3000,"yes")+COUNTIFS($B$7:B840,B840,$C$7:C840,C840,$H$7:H840,H840,$AH$7:AH840,"yes"),"")</f>
        <v/>
      </c>
      <c r="AG840" s="110" t="str">
        <f aca="false">IF(ISNUMBER(I840),COUNTIFS($B$7:$B$3000,B840,$C$7:$C$3000,C840,$I$7:$I$3000,"&lt;"&amp;I840,$AI$7:$AI$3000,"yes")+COUNTIFS($B$7:B840,B840,$C$7:C840,C840,$I$7:I840,I840,$AI$7:AI840,"yes"),"")</f>
        <v/>
      </c>
      <c r="AH840" s="110" t="str">
        <f aca="false">IF(ISNUMBER(H840),"yes","no")</f>
        <v>no</v>
      </c>
      <c r="AI840" s="110" t="str">
        <f aca="false">IF(ISNUMBER(I840),"yes","no")</f>
        <v>no</v>
      </c>
      <c r="AJ840" s="120" t="n">
        <v>46297</v>
      </c>
      <c r="AK840" s="110"/>
    </row>
    <row r="841" customFormat="false" ht="34.5" hidden="false" customHeight="true" outlineLevel="0" collapsed="false">
      <c r="B841" s="36" t="s">
        <v>61</v>
      </c>
      <c r="C841" s="98" t="s">
        <v>16</v>
      </c>
      <c r="D841" s="98" t="s">
        <v>317</v>
      </c>
      <c r="E841" s="110" t="s">
        <v>2814</v>
      </c>
      <c r="F841" s="99" t="n">
        <v>37.99</v>
      </c>
      <c r="G841" s="98" t="s">
        <v>244</v>
      </c>
      <c r="H841" s="112" t="n">
        <f aca="false">IF(AND(AE841="yes",ISNUMBER(AD841)),AD841,"")</f>
        <v>3.17</v>
      </c>
      <c r="I841" s="95" t="n">
        <f aca="false">IF(AND(AE841="yes",ISNUMBER(AD841),ISNUMBER(INDEX(Sources!$G$7:$G$10,MATCH(AB841,Sources!$B$7:$B$10,0)))),ROUND(AD841/INDEX(Sources!$G$7:$G$10,MATCH(AB841,Sources!$B$7:$B$10,0)),6),"")</f>
        <v>3.17</v>
      </c>
      <c r="J841" s="98" t="s">
        <v>530</v>
      </c>
      <c r="K841" s="98" t="s">
        <v>2059</v>
      </c>
      <c r="L841" s="96"/>
      <c r="M841" s="110" t="s">
        <v>2815</v>
      </c>
      <c r="N841" s="117" t="s">
        <v>2816</v>
      </c>
      <c r="O841" s="110" t="s">
        <v>610</v>
      </c>
      <c r="P841" s="110" t="s">
        <v>590</v>
      </c>
      <c r="Q841" s="118" t="n">
        <v>0.19</v>
      </c>
      <c r="R841" s="110" t="n">
        <v>12</v>
      </c>
      <c r="S841" s="110" t="s">
        <v>625</v>
      </c>
      <c r="T841" s="110" t="s">
        <v>530</v>
      </c>
      <c r="U841" s="110" t="s">
        <v>2062</v>
      </c>
      <c r="V841" s="119" t="n">
        <v>3.17</v>
      </c>
      <c r="W841" s="119"/>
      <c r="X841" s="110" t="s">
        <v>2063</v>
      </c>
      <c r="Y841" s="110" t="s">
        <v>2064</v>
      </c>
      <c r="Z841" s="110" t="s">
        <v>2817</v>
      </c>
      <c r="AA841" s="110" t="s">
        <v>537</v>
      </c>
      <c r="AB841" s="110" t="s">
        <v>244</v>
      </c>
      <c r="AC841" s="110" t="s">
        <v>538</v>
      </c>
      <c r="AD841" s="110" t="n">
        <f aca="false">IF(OR(F841="",Q841="",R841=""),"",ROUND(IF(P841="incl.",F841/(1+Q841),F841)/IF(S841="per pack",R841,1),2))</f>
        <v>3.17</v>
      </c>
      <c r="AE841" s="110" t="str">
        <f aca="false">IF(AND(AC841="yes",ISNUMBER(F841),IF(Compare!$H$5="All mapped",TRUE(),IF(Compare!$H$5="EXACT only",J841="EXACT",OR(J841="EXACT",J841="CLOSE")))),"yes","no")</f>
        <v>yes</v>
      </c>
      <c r="AF841" s="110" t="n">
        <f aca="false">IF(ISNUMBER(H841),COUNTIFS($B$7:$B$3000,B841,$C$7:$C$3000,C841,$H$7:$H$3000,"&lt;"&amp;H841,$AH$7:$AH$3000,"yes")+COUNTIFS($B$7:B841,B841,$C$7:C841,C841,$H$7:H841,H841,$AH$7:AH841,"yes"),"")</f>
        <v>3</v>
      </c>
      <c r="AG841" s="110" t="n">
        <f aca="false">IF(ISNUMBER(I841),COUNTIFS($B$7:$B$3000,B841,$C$7:$C$3000,C841,$I$7:$I$3000,"&lt;"&amp;I841,$AI$7:$AI$3000,"yes")+COUNTIFS($B$7:B841,B841,$C$7:C841,C841,$I$7:I841,I841,$AI$7:AI841,"yes"),"")</f>
        <v>3</v>
      </c>
      <c r="AH841" s="110" t="str">
        <f aca="false">IF(ISNUMBER(H841),"yes","no")</f>
        <v>yes</v>
      </c>
      <c r="AI841" s="110" t="str">
        <f aca="false">IF(ISNUMBER(I841),"yes","no")</f>
        <v>yes</v>
      </c>
      <c r="AJ841" s="120" t="n">
        <v>46297</v>
      </c>
      <c r="AK841" s="110"/>
    </row>
    <row r="842" customFormat="false" ht="34.5" hidden="false" customHeight="true" outlineLevel="0" collapsed="false">
      <c r="B842" s="36" t="s">
        <v>59</v>
      </c>
      <c r="C842" s="98" t="s">
        <v>16</v>
      </c>
      <c r="D842" s="98" t="s">
        <v>317</v>
      </c>
      <c r="E842" s="110" t="s">
        <v>2818</v>
      </c>
      <c r="F842" s="99" t="n">
        <v>44.99</v>
      </c>
      <c r="G842" s="98" t="s">
        <v>244</v>
      </c>
      <c r="H842" s="112" t="n">
        <f aca="false">IF(AND(AE842="yes",ISNUMBER(AD842)),AD842,"")</f>
        <v>3.75</v>
      </c>
      <c r="I842" s="95" t="n">
        <f aca="false">IF(AND(AE842="yes",ISNUMBER(AD842),ISNUMBER(INDEX(Sources!$G$7:$G$10,MATCH(AB842,Sources!$B$7:$B$10,0)))),ROUND(AD842/INDEX(Sources!$G$7:$G$10,MATCH(AB842,Sources!$B$7:$B$10,0)),6),"")</f>
        <v>3.75</v>
      </c>
      <c r="J842" s="98" t="s">
        <v>530</v>
      </c>
      <c r="K842" s="98" t="s">
        <v>2059</v>
      </c>
      <c r="L842" s="96"/>
      <c r="M842" s="110" t="s">
        <v>2819</v>
      </c>
      <c r="N842" s="117" t="s">
        <v>2820</v>
      </c>
      <c r="O842" s="110" t="s">
        <v>610</v>
      </c>
      <c r="P842" s="110" t="s">
        <v>590</v>
      </c>
      <c r="Q842" s="118" t="n">
        <v>0.19</v>
      </c>
      <c r="R842" s="110" t="n">
        <v>12</v>
      </c>
      <c r="S842" s="110" t="s">
        <v>625</v>
      </c>
      <c r="T842" s="110" t="s">
        <v>530</v>
      </c>
      <c r="U842" s="110" t="s">
        <v>2062</v>
      </c>
      <c r="V842" s="119" t="n">
        <v>3.75</v>
      </c>
      <c r="W842" s="119"/>
      <c r="X842" s="110" t="s">
        <v>2063</v>
      </c>
      <c r="Y842" s="110" t="s">
        <v>2064</v>
      </c>
      <c r="Z842" s="110" t="s">
        <v>2821</v>
      </c>
      <c r="AA842" s="110" t="s">
        <v>537</v>
      </c>
      <c r="AB842" s="110" t="s">
        <v>244</v>
      </c>
      <c r="AC842" s="110" t="s">
        <v>538</v>
      </c>
      <c r="AD842" s="110" t="n">
        <f aca="false">IF(OR(F842="",Q842="",R842=""),"",ROUND(IF(P842="incl.",F842/(1+Q842),F842)/IF(S842="per pack",R842,1),2))</f>
        <v>3.75</v>
      </c>
      <c r="AE842" s="110" t="str">
        <f aca="false">IF(AND(AC842="yes",ISNUMBER(F842),IF(Compare!$H$5="All mapped",TRUE(),IF(Compare!$H$5="EXACT only",J842="EXACT",OR(J842="EXACT",J842="CLOSE")))),"yes","no")</f>
        <v>yes</v>
      </c>
      <c r="AF842" s="110" t="n">
        <f aca="false">IF(ISNUMBER(H842),COUNTIFS($B$7:$B$3000,B842,$C$7:$C$3000,C842,$H$7:$H$3000,"&lt;"&amp;H842,$AH$7:$AH$3000,"yes")+COUNTIFS($B$7:B842,B842,$C$7:C842,C842,$H$7:H842,H842,$AH$7:AH842,"yes"),"")</f>
        <v>3</v>
      </c>
      <c r="AG842" s="110" t="n">
        <f aca="false">IF(ISNUMBER(I842),COUNTIFS($B$7:$B$3000,B842,$C$7:$C$3000,C842,$I$7:$I$3000,"&lt;"&amp;I842,$AI$7:$AI$3000,"yes")+COUNTIFS($B$7:B842,B842,$C$7:C842,C842,$I$7:I842,I842,$AI$7:AI842,"yes"),"")</f>
        <v>3</v>
      </c>
      <c r="AH842" s="110" t="str">
        <f aca="false">IF(ISNUMBER(H842),"yes","no")</f>
        <v>yes</v>
      </c>
      <c r="AI842" s="110" t="str">
        <f aca="false">IF(ISNUMBER(I842),"yes","no")</f>
        <v>yes</v>
      </c>
      <c r="AJ842" s="120" t="n">
        <v>46297</v>
      </c>
      <c r="AK842" s="110"/>
    </row>
    <row r="843" customFormat="false" ht="34.5" hidden="false" customHeight="true" outlineLevel="0" collapsed="false">
      <c r="B843" s="36" t="s">
        <v>58</v>
      </c>
      <c r="C843" s="98" t="s">
        <v>16</v>
      </c>
      <c r="D843" s="98" t="s">
        <v>305</v>
      </c>
      <c r="E843" s="110" t="s">
        <v>2822</v>
      </c>
      <c r="F843" s="99" t="n">
        <v>14.48</v>
      </c>
      <c r="G843" s="98" t="s">
        <v>244</v>
      </c>
      <c r="H843" s="112" t="n">
        <f aca="false">IF(AND(AE843="yes",ISNUMBER(AD843)),AD843,"")</f>
        <v>14.48</v>
      </c>
      <c r="I843" s="95" t="n">
        <f aca="false">IF(AND(AE843="yes",ISNUMBER(AD843),ISNUMBER(INDEX(Sources!$G$7:$G$10,MATCH(AB843,Sources!$B$7:$B$10,0)))),ROUND(AD843/INDEX(Sources!$G$7:$G$10,MATCH(AB843,Sources!$B$7:$B$10,0)),6),"")</f>
        <v>14.48</v>
      </c>
      <c r="J843" s="98" t="s">
        <v>530</v>
      </c>
      <c r="K843" s="98" t="s">
        <v>2059</v>
      </c>
      <c r="L843" s="96"/>
      <c r="M843" s="110" t="s">
        <v>2823</v>
      </c>
      <c r="N843" s="117" t="s">
        <v>2824</v>
      </c>
      <c r="O843" s="110" t="s">
        <v>2576</v>
      </c>
      <c r="P843" s="110" t="s">
        <v>590</v>
      </c>
      <c r="Q843" s="118" t="n">
        <v>0.19</v>
      </c>
      <c r="R843" s="110" t="n">
        <v>1</v>
      </c>
      <c r="S843" s="110" t="s">
        <v>632</v>
      </c>
      <c r="T843" s="110" t="s">
        <v>530</v>
      </c>
      <c r="U843" s="110" t="s">
        <v>2062</v>
      </c>
      <c r="V843" s="119" t="n">
        <v>14.48</v>
      </c>
      <c r="W843" s="119"/>
      <c r="X843" s="110" t="s">
        <v>2063</v>
      </c>
      <c r="Y843" s="110" t="s">
        <v>2064</v>
      </c>
      <c r="Z843" s="110" t="s">
        <v>2105</v>
      </c>
      <c r="AA843" s="110" t="s">
        <v>537</v>
      </c>
      <c r="AB843" s="110" t="s">
        <v>244</v>
      </c>
      <c r="AC843" s="110" t="s">
        <v>538</v>
      </c>
      <c r="AD843" s="110" t="n">
        <f aca="false">IF(OR(F843="",Q843="",R843=""),"",ROUND(IF(P843="incl.",F843/(1+Q843),F843)/IF(S843="per pack",R843,1),2))</f>
        <v>14.48</v>
      </c>
      <c r="AE843" s="110" t="str">
        <f aca="false">IF(AND(AC843="yes",ISNUMBER(F843),IF(Compare!$H$5="All mapped",TRUE(),IF(Compare!$H$5="EXACT only",J843="EXACT",OR(J843="EXACT",J843="CLOSE")))),"yes","no")</f>
        <v>yes</v>
      </c>
      <c r="AF843" s="110" t="n">
        <f aca="false">IF(ISNUMBER(H843),COUNTIFS($B$7:$B$3000,B843,$C$7:$C$3000,C843,$H$7:$H$3000,"&lt;"&amp;H843,$AH$7:$AH$3000,"yes")+COUNTIFS($B$7:B843,B843,$C$7:C843,C843,$H$7:H843,H843,$AH$7:AH843,"yes"),"")</f>
        <v>5</v>
      </c>
      <c r="AG843" s="110" t="n">
        <f aca="false">IF(ISNUMBER(I843),COUNTIFS($B$7:$B$3000,B843,$C$7:$C$3000,C843,$I$7:$I$3000,"&lt;"&amp;I843,$AI$7:$AI$3000,"yes")+COUNTIFS($B$7:B843,B843,$C$7:C843,C843,$I$7:I843,I843,$AI$7:AI843,"yes"),"")</f>
        <v>5</v>
      </c>
      <c r="AH843" s="110" t="str">
        <f aca="false">IF(ISNUMBER(H843),"yes","no")</f>
        <v>yes</v>
      </c>
      <c r="AI843" s="110" t="str">
        <f aca="false">IF(ISNUMBER(I843),"yes","no")</f>
        <v>yes</v>
      </c>
      <c r="AJ843" s="120" t="n">
        <v>46297</v>
      </c>
      <c r="AK843" s="110"/>
    </row>
    <row r="844" customFormat="false" ht="34.5" hidden="false" customHeight="true" outlineLevel="0" collapsed="false">
      <c r="B844" s="36" t="s">
        <v>47</v>
      </c>
      <c r="C844" s="98" t="s">
        <v>16</v>
      </c>
      <c r="D844" s="98" t="s">
        <v>305</v>
      </c>
      <c r="E844" s="110" t="s">
        <v>2825</v>
      </c>
      <c r="F844" s="99" t="n">
        <v>8.4</v>
      </c>
      <c r="G844" s="98" t="s">
        <v>244</v>
      </c>
      <c r="H844" s="112" t="n">
        <f aca="false">IF(AND(AE844="yes",ISNUMBER(AD844)),AD844,"")</f>
        <v>8.4</v>
      </c>
      <c r="I844" s="95" t="n">
        <f aca="false">IF(AND(AE844="yes",ISNUMBER(AD844),ISNUMBER(INDEX(Sources!$G$7:$G$10,MATCH(AB844,Sources!$B$7:$B$10,0)))),ROUND(AD844/INDEX(Sources!$G$7:$G$10,MATCH(AB844,Sources!$B$7:$B$10,0)),6),"")</f>
        <v>8.4</v>
      </c>
      <c r="J844" s="98" t="s">
        <v>530</v>
      </c>
      <c r="K844" s="98" t="s">
        <v>2059</v>
      </c>
      <c r="L844" s="96"/>
      <c r="M844" s="110" t="s">
        <v>2826</v>
      </c>
      <c r="N844" s="117" t="s">
        <v>2827</v>
      </c>
      <c r="O844" s="110" t="s">
        <v>2576</v>
      </c>
      <c r="P844" s="110" t="s">
        <v>590</v>
      </c>
      <c r="Q844" s="118" t="n">
        <v>0.19</v>
      </c>
      <c r="R844" s="110" t="n">
        <v>1</v>
      </c>
      <c r="S844" s="110" t="s">
        <v>632</v>
      </c>
      <c r="T844" s="110" t="s">
        <v>530</v>
      </c>
      <c r="U844" s="110" t="s">
        <v>2062</v>
      </c>
      <c r="V844" s="119" t="n">
        <v>8.4</v>
      </c>
      <c r="W844" s="119"/>
      <c r="X844" s="110" t="s">
        <v>2063</v>
      </c>
      <c r="Y844" s="110" t="s">
        <v>2064</v>
      </c>
      <c r="Z844" s="110" t="s">
        <v>2105</v>
      </c>
      <c r="AA844" s="110" t="s">
        <v>537</v>
      </c>
      <c r="AB844" s="110" t="s">
        <v>244</v>
      </c>
      <c r="AC844" s="110" t="s">
        <v>538</v>
      </c>
      <c r="AD844" s="110" t="n">
        <f aca="false">IF(OR(F844="",Q844="",R844=""),"",ROUND(IF(P844="incl.",F844/(1+Q844),F844)/IF(S844="per pack",R844,1),2))</f>
        <v>8.4</v>
      </c>
      <c r="AE844" s="110" t="str">
        <f aca="false">IF(AND(AC844="yes",ISNUMBER(F844),IF(Compare!$H$5="All mapped",TRUE(),IF(Compare!$H$5="EXACT only",J844="EXACT",OR(J844="EXACT",J844="CLOSE")))),"yes","no")</f>
        <v>yes</v>
      </c>
      <c r="AF844" s="110" t="n">
        <f aca="false">IF(ISNUMBER(H844),COUNTIFS($B$7:$B$3000,B844,$C$7:$C$3000,C844,$H$7:$H$3000,"&lt;"&amp;H844,$AH$7:$AH$3000,"yes")+COUNTIFS($B$7:B844,B844,$C$7:C844,C844,$H$7:H844,H844,$AH$7:AH844,"yes"),"")</f>
        <v>3</v>
      </c>
      <c r="AG844" s="110" t="n">
        <f aca="false">IF(ISNUMBER(I844),COUNTIFS($B$7:$B$3000,B844,$C$7:$C$3000,C844,$I$7:$I$3000,"&lt;"&amp;I844,$AI$7:$AI$3000,"yes")+COUNTIFS($B$7:B844,B844,$C$7:C844,C844,$I$7:I844,I844,$AI$7:AI844,"yes"),"")</f>
        <v>3</v>
      </c>
      <c r="AH844" s="110" t="str">
        <f aca="false">IF(ISNUMBER(H844),"yes","no")</f>
        <v>yes</v>
      </c>
      <c r="AI844" s="110" t="str">
        <f aca="false">IF(ISNUMBER(I844),"yes","no")</f>
        <v>yes</v>
      </c>
      <c r="AJ844" s="120" t="n">
        <v>46297</v>
      </c>
      <c r="AK844" s="110"/>
    </row>
    <row r="845" customFormat="false" ht="34.5" hidden="false" customHeight="true" outlineLevel="0" collapsed="false">
      <c r="B845" s="36" t="s">
        <v>24</v>
      </c>
      <c r="C845" s="98" t="s">
        <v>16</v>
      </c>
      <c r="D845" s="98" t="s">
        <v>305</v>
      </c>
      <c r="E845" s="110" t="s">
        <v>2828</v>
      </c>
      <c r="F845" s="99" t="n">
        <v>3.92</v>
      </c>
      <c r="G845" s="98" t="s">
        <v>244</v>
      </c>
      <c r="H845" s="112" t="n">
        <f aca="false">IF(AND(AE845="yes",ISNUMBER(AD845)),AD845,"")</f>
        <v>3.92</v>
      </c>
      <c r="I845" s="95" t="n">
        <f aca="false">IF(AND(AE845="yes",ISNUMBER(AD845),ISNUMBER(INDEX(Sources!$G$7:$G$10,MATCH(AB845,Sources!$B$7:$B$10,0)))),ROUND(AD845/INDEX(Sources!$G$7:$G$10,MATCH(AB845,Sources!$B$7:$B$10,0)),6),"")</f>
        <v>3.92</v>
      </c>
      <c r="J845" s="98" t="s">
        <v>530</v>
      </c>
      <c r="K845" s="98" t="s">
        <v>2059</v>
      </c>
      <c r="L845" s="96"/>
      <c r="M845" s="110" t="s">
        <v>2829</v>
      </c>
      <c r="N845" s="117" t="s">
        <v>2830</v>
      </c>
      <c r="O845" s="110" t="s">
        <v>2576</v>
      </c>
      <c r="P845" s="110" t="s">
        <v>590</v>
      </c>
      <c r="Q845" s="118" t="n">
        <v>0.19</v>
      </c>
      <c r="R845" s="110" t="n">
        <v>1</v>
      </c>
      <c r="S845" s="110" t="s">
        <v>632</v>
      </c>
      <c r="T845" s="110" t="s">
        <v>530</v>
      </c>
      <c r="U845" s="110" t="s">
        <v>2062</v>
      </c>
      <c r="V845" s="119" t="n">
        <v>3.92</v>
      </c>
      <c r="W845" s="119"/>
      <c r="X845" s="110" t="s">
        <v>2063</v>
      </c>
      <c r="Y845" s="110" t="s">
        <v>2064</v>
      </c>
      <c r="Z845" s="110" t="s">
        <v>2105</v>
      </c>
      <c r="AA845" s="110" t="s">
        <v>537</v>
      </c>
      <c r="AB845" s="110" t="s">
        <v>244</v>
      </c>
      <c r="AC845" s="110" t="s">
        <v>538</v>
      </c>
      <c r="AD845" s="110" t="n">
        <f aca="false">IF(OR(F845="",Q845="",R845=""),"",ROUND(IF(P845="incl.",F845/(1+Q845),F845)/IF(S845="per pack",R845,1),2))</f>
        <v>3.92</v>
      </c>
      <c r="AE845" s="110" t="str">
        <f aca="false">IF(AND(AC845="yes",ISNUMBER(F845),IF(Compare!$H$5="All mapped",TRUE(),IF(Compare!$H$5="EXACT only",J845="EXACT",OR(J845="EXACT",J845="CLOSE")))),"yes","no")</f>
        <v>yes</v>
      </c>
      <c r="AF845" s="110" t="n">
        <f aca="false">IF(ISNUMBER(H845),COUNTIFS($B$7:$B$3000,B845,$C$7:$C$3000,C845,$H$7:$H$3000,"&lt;"&amp;H845,$AH$7:$AH$3000,"yes")+COUNTIFS($B$7:B845,B845,$C$7:C845,C845,$H$7:H845,H845,$AH$7:AH845,"yes"),"")</f>
        <v>2</v>
      </c>
      <c r="AG845" s="110" t="n">
        <f aca="false">IF(ISNUMBER(I845),COUNTIFS($B$7:$B$3000,B845,$C$7:$C$3000,C845,$I$7:$I$3000,"&lt;"&amp;I845,$AI$7:$AI$3000,"yes")+COUNTIFS($B$7:B845,B845,$C$7:C845,C845,$I$7:I845,I845,$AI$7:AI845,"yes"),"")</f>
        <v>2</v>
      </c>
      <c r="AH845" s="110" t="str">
        <f aca="false">IF(ISNUMBER(H845),"yes","no")</f>
        <v>yes</v>
      </c>
      <c r="AI845" s="110" t="str">
        <f aca="false">IF(ISNUMBER(I845),"yes","no")</f>
        <v>yes</v>
      </c>
      <c r="AJ845" s="120" t="n">
        <v>46297</v>
      </c>
      <c r="AK845" s="110"/>
    </row>
    <row r="846" customFormat="false" ht="34.5" hidden="false" customHeight="true" outlineLevel="0" collapsed="false">
      <c r="B846" s="36" t="s">
        <v>22</v>
      </c>
      <c r="C846" s="98" t="s">
        <v>16</v>
      </c>
      <c r="D846" s="98" t="s">
        <v>305</v>
      </c>
      <c r="E846" s="110" t="s">
        <v>2831</v>
      </c>
      <c r="F846" s="99" t="n">
        <v>9.11</v>
      </c>
      <c r="G846" s="98" t="s">
        <v>244</v>
      </c>
      <c r="H846" s="112" t="n">
        <f aca="false">IF(AND(AE846="yes",ISNUMBER(AD846)),AD846,"")</f>
        <v>9.11</v>
      </c>
      <c r="I846" s="95" t="n">
        <f aca="false">IF(AND(AE846="yes",ISNUMBER(AD846),ISNUMBER(INDEX(Sources!$G$7:$G$10,MATCH(AB846,Sources!$B$7:$B$10,0)))),ROUND(AD846/INDEX(Sources!$G$7:$G$10,MATCH(AB846,Sources!$B$7:$B$10,0)),6),"")</f>
        <v>9.11</v>
      </c>
      <c r="J846" s="98" t="s">
        <v>530</v>
      </c>
      <c r="K846" s="98" t="s">
        <v>2059</v>
      </c>
      <c r="L846" s="96"/>
      <c r="M846" s="110" t="s">
        <v>2832</v>
      </c>
      <c r="N846" s="117" t="s">
        <v>2833</v>
      </c>
      <c r="O846" s="110" t="s">
        <v>2576</v>
      </c>
      <c r="P846" s="110" t="s">
        <v>590</v>
      </c>
      <c r="Q846" s="118" t="n">
        <v>0.19</v>
      </c>
      <c r="R846" s="110" t="n">
        <v>1</v>
      </c>
      <c r="S846" s="110" t="s">
        <v>632</v>
      </c>
      <c r="T846" s="110" t="s">
        <v>530</v>
      </c>
      <c r="U846" s="110" t="s">
        <v>2062</v>
      </c>
      <c r="V846" s="119" t="n">
        <v>9.11</v>
      </c>
      <c r="W846" s="119"/>
      <c r="X846" s="110" t="s">
        <v>2063</v>
      </c>
      <c r="Y846" s="110" t="s">
        <v>2064</v>
      </c>
      <c r="Z846" s="110" t="s">
        <v>2105</v>
      </c>
      <c r="AA846" s="110" t="s">
        <v>537</v>
      </c>
      <c r="AB846" s="110" t="s">
        <v>244</v>
      </c>
      <c r="AC846" s="110" t="s">
        <v>538</v>
      </c>
      <c r="AD846" s="110" t="n">
        <f aca="false">IF(OR(F846="",Q846="",R846=""),"",ROUND(IF(P846="incl.",F846/(1+Q846),F846)/IF(S846="per pack",R846,1),2))</f>
        <v>9.11</v>
      </c>
      <c r="AE846" s="110" t="str">
        <f aca="false">IF(AND(AC846="yes",ISNUMBER(F846),IF(Compare!$H$5="All mapped",TRUE(),IF(Compare!$H$5="EXACT only",J846="EXACT",OR(J846="EXACT",J846="CLOSE")))),"yes","no")</f>
        <v>yes</v>
      </c>
      <c r="AF846" s="110" t="n">
        <f aca="false">IF(ISNUMBER(H846),COUNTIFS($B$7:$B$3000,B846,$C$7:$C$3000,C846,$H$7:$H$3000,"&lt;"&amp;H846,$AH$7:$AH$3000,"yes")+COUNTIFS($B$7:B846,B846,$C$7:C846,C846,$H$7:H846,H846,$AH$7:AH846,"yes"),"")</f>
        <v>4</v>
      </c>
      <c r="AG846" s="110" t="n">
        <f aca="false">IF(ISNUMBER(I846),COUNTIFS($B$7:$B$3000,B846,$C$7:$C$3000,C846,$I$7:$I$3000,"&lt;"&amp;I846,$AI$7:$AI$3000,"yes")+COUNTIFS($B$7:B846,B846,$C$7:C846,C846,$I$7:I846,I846,$AI$7:AI846,"yes"),"")</f>
        <v>4</v>
      </c>
      <c r="AH846" s="110" t="str">
        <f aca="false">IF(ISNUMBER(H846),"yes","no")</f>
        <v>yes</v>
      </c>
      <c r="AI846" s="110" t="str">
        <f aca="false">IF(ISNUMBER(I846),"yes","no")</f>
        <v>yes</v>
      </c>
      <c r="AJ846" s="120" t="n">
        <v>46297</v>
      </c>
      <c r="AK846" s="110"/>
    </row>
    <row r="847" customFormat="false" ht="23.25" hidden="false" customHeight="true" outlineLevel="0" collapsed="false">
      <c r="B847" s="36" t="s">
        <v>61</v>
      </c>
      <c r="C847" s="98" t="s">
        <v>16</v>
      </c>
      <c r="D847" s="98" t="s">
        <v>305</v>
      </c>
      <c r="E847" s="110" t="s">
        <v>2834</v>
      </c>
      <c r="F847" s="99" t="n">
        <v>1.75</v>
      </c>
      <c r="G847" s="98" t="s">
        <v>244</v>
      </c>
      <c r="H847" s="112" t="n">
        <f aca="false">IF(AND(AE847="yes",ISNUMBER(AD847)),AD847,"")</f>
        <v>1.75</v>
      </c>
      <c r="I847" s="95" t="n">
        <f aca="false">IF(AND(AE847="yes",ISNUMBER(AD847),ISNUMBER(INDEX(Sources!$G$7:$G$10,MATCH(AB847,Sources!$B$7:$B$10,0)))),ROUND(AD847/INDEX(Sources!$G$7:$G$10,MATCH(AB847,Sources!$B$7:$B$10,0)),6),"")</f>
        <v>1.75</v>
      </c>
      <c r="J847" s="98" t="s">
        <v>530</v>
      </c>
      <c r="K847" s="98" t="s">
        <v>2059</v>
      </c>
      <c r="L847" s="96"/>
      <c r="M847" s="110" t="s">
        <v>2835</v>
      </c>
      <c r="N847" s="117" t="s">
        <v>2836</v>
      </c>
      <c r="O847" s="110" t="s">
        <v>2576</v>
      </c>
      <c r="P847" s="110" t="s">
        <v>590</v>
      </c>
      <c r="Q847" s="118" t="n">
        <v>0.19</v>
      </c>
      <c r="R847" s="110" t="n">
        <v>1</v>
      </c>
      <c r="S847" s="110" t="s">
        <v>632</v>
      </c>
      <c r="T847" s="110" t="s">
        <v>530</v>
      </c>
      <c r="U847" s="110" t="s">
        <v>2062</v>
      </c>
      <c r="V847" s="119" t="n">
        <v>1.75</v>
      </c>
      <c r="W847" s="119"/>
      <c r="X847" s="110" t="s">
        <v>2063</v>
      </c>
      <c r="Y847" s="110" t="s">
        <v>2064</v>
      </c>
      <c r="Z847" s="110" t="s">
        <v>2837</v>
      </c>
      <c r="AA847" s="110" t="s">
        <v>537</v>
      </c>
      <c r="AB847" s="110" t="s">
        <v>244</v>
      </c>
      <c r="AC847" s="110" t="s">
        <v>538</v>
      </c>
      <c r="AD847" s="110" t="n">
        <f aca="false">IF(OR(F847="",Q847="",R847=""),"",ROUND(IF(P847="incl.",F847/(1+Q847),F847)/IF(S847="per pack",R847,1),2))</f>
        <v>1.75</v>
      </c>
      <c r="AE847" s="110" t="str">
        <f aca="false">IF(AND(AC847="yes",ISNUMBER(F847),IF(Compare!$H$5="All mapped",TRUE(),IF(Compare!$H$5="EXACT only",J847="EXACT",OR(J847="EXACT",J847="CLOSE")))),"yes","no")</f>
        <v>yes</v>
      </c>
      <c r="AF847" s="110" t="n">
        <f aca="false">IF(ISNUMBER(H847),COUNTIFS($B$7:$B$3000,B847,$C$7:$C$3000,C847,$H$7:$H$3000,"&lt;"&amp;H847,$AH$7:$AH$3000,"yes")+COUNTIFS($B$7:B847,B847,$C$7:C847,C847,$H$7:H847,H847,$AH$7:AH847,"yes"),"")</f>
        <v>1</v>
      </c>
      <c r="AG847" s="110" t="n">
        <f aca="false">IF(ISNUMBER(I847),COUNTIFS($B$7:$B$3000,B847,$C$7:$C$3000,C847,$I$7:$I$3000,"&lt;"&amp;I847,$AI$7:$AI$3000,"yes")+COUNTIFS($B$7:B847,B847,$C$7:C847,C847,$I$7:I847,I847,$AI$7:AI847,"yes"),"")</f>
        <v>1</v>
      </c>
      <c r="AH847" s="110" t="str">
        <f aca="false">IF(ISNUMBER(H847),"yes","no")</f>
        <v>yes</v>
      </c>
      <c r="AI847" s="110" t="str">
        <f aca="false">IF(ISNUMBER(I847),"yes","no")</f>
        <v>yes</v>
      </c>
      <c r="AJ847" s="120" t="n">
        <v>46297</v>
      </c>
      <c r="AK847" s="110"/>
    </row>
    <row r="848" customFormat="false" ht="34.5" hidden="false" customHeight="true" outlineLevel="0" collapsed="false">
      <c r="B848" s="36" t="s">
        <v>59</v>
      </c>
      <c r="C848" s="98" t="s">
        <v>16</v>
      </c>
      <c r="D848" s="98" t="s">
        <v>305</v>
      </c>
      <c r="E848" s="110" t="s">
        <v>2838</v>
      </c>
      <c r="F848" s="99" t="n">
        <v>3.62</v>
      </c>
      <c r="G848" s="98" t="s">
        <v>244</v>
      </c>
      <c r="H848" s="112" t="n">
        <f aca="false">IF(AND(AE848="yes",ISNUMBER(AD848)),AD848,"")</f>
        <v>3.62</v>
      </c>
      <c r="I848" s="95" t="n">
        <f aca="false">IF(AND(AE848="yes",ISNUMBER(AD848),ISNUMBER(INDEX(Sources!$G$7:$G$10,MATCH(AB848,Sources!$B$7:$B$10,0)))),ROUND(AD848/INDEX(Sources!$G$7:$G$10,MATCH(AB848,Sources!$B$7:$B$10,0)),6),"")</f>
        <v>3.62</v>
      </c>
      <c r="J848" s="98" t="s">
        <v>530</v>
      </c>
      <c r="K848" s="98" t="s">
        <v>2059</v>
      </c>
      <c r="L848" s="96"/>
      <c r="M848" s="110" t="s">
        <v>2839</v>
      </c>
      <c r="N848" s="117" t="s">
        <v>2840</v>
      </c>
      <c r="O848" s="110" t="s">
        <v>2576</v>
      </c>
      <c r="P848" s="110" t="s">
        <v>590</v>
      </c>
      <c r="Q848" s="118" t="n">
        <v>0.19</v>
      </c>
      <c r="R848" s="110" t="n">
        <v>1</v>
      </c>
      <c r="S848" s="110" t="s">
        <v>632</v>
      </c>
      <c r="T848" s="110" t="s">
        <v>530</v>
      </c>
      <c r="U848" s="110" t="s">
        <v>2062</v>
      </c>
      <c r="V848" s="119" t="n">
        <v>3.62</v>
      </c>
      <c r="W848" s="119"/>
      <c r="X848" s="110" t="s">
        <v>2063</v>
      </c>
      <c r="Y848" s="110" t="s">
        <v>2064</v>
      </c>
      <c r="Z848" s="110" t="s">
        <v>2105</v>
      </c>
      <c r="AA848" s="110" t="s">
        <v>537</v>
      </c>
      <c r="AB848" s="110" t="s">
        <v>244</v>
      </c>
      <c r="AC848" s="110" t="s">
        <v>538</v>
      </c>
      <c r="AD848" s="110" t="n">
        <f aca="false">IF(OR(F848="",Q848="",R848=""),"",ROUND(IF(P848="incl.",F848/(1+Q848),F848)/IF(S848="per pack",R848,1),2))</f>
        <v>3.62</v>
      </c>
      <c r="AE848" s="110" t="str">
        <f aca="false">IF(AND(AC848="yes",ISNUMBER(F848),IF(Compare!$H$5="All mapped",TRUE(),IF(Compare!$H$5="EXACT only",J848="EXACT",OR(J848="EXACT",J848="CLOSE")))),"yes","no")</f>
        <v>yes</v>
      </c>
      <c r="AF848" s="110" t="n">
        <f aca="false">IF(ISNUMBER(H848),COUNTIFS($B$7:$B$3000,B848,$C$7:$C$3000,C848,$H$7:$H$3000,"&lt;"&amp;H848,$AH$7:$AH$3000,"yes")+COUNTIFS($B$7:B848,B848,$C$7:C848,C848,$H$7:H848,H848,$AH$7:AH848,"yes"),"")</f>
        <v>2</v>
      </c>
      <c r="AG848" s="110" t="n">
        <f aca="false">IF(ISNUMBER(I848),COUNTIFS($B$7:$B$3000,B848,$C$7:$C$3000,C848,$I$7:$I$3000,"&lt;"&amp;I848,$AI$7:$AI$3000,"yes")+COUNTIFS($B$7:B848,B848,$C$7:C848,C848,$I$7:I848,I848,$AI$7:AI848,"yes"),"")</f>
        <v>2</v>
      </c>
      <c r="AH848" s="110" t="str">
        <f aca="false">IF(ISNUMBER(H848),"yes","no")</f>
        <v>yes</v>
      </c>
      <c r="AI848" s="110" t="str">
        <f aca="false">IF(ISNUMBER(I848),"yes","no")</f>
        <v>yes</v>
      </c>
      <c r="AJ848" s="120" t="n">
        <v>46297</v>
      </c>
      <c r="AK848" s="110"/>
    </row>
    <row r="849" customFormat="false" ht="23.25" hidden="false" customHeight="true" outlineLevel="0" collapsed="false">
      <c r="B849" s="36" t="s">
        <v>58</v>
      </c>
      <c r="C849" s="98" t="s">
        <v>16</v>
      </c>
      <c r="D849" s="98" t="s">
        <v>311</v>
      </c>
      <c r="E849" s="110" t="s">
        <v>1869</v>
      </c>
      <c r="F849" s="99" t="n">
        <v>17.19</v>
      </c>
      <c r="G849" s="98" t="s">
        <v>244</v>
      </c>
      <c r="H849" s="112" t="n">
        <f aca="false">IF(AND(AE849="yes",ISNUMBER(AD849)),AD849,"")</f>
        <v>17.19</v>
      </c>
      <c r="I849" s="95" t="n">
        <f aca="false">IF(AND(AE849="yes",ISNUMBER(AD849),ISNUMBER(INDEX(Sources!$G$7:$G$10,MATCH(AB849,Sources!$B$7:$B$10,0)))),ROUND(AD849/INDEX(Sources!$G$7:$G$10,MATCH(AB849,Sources!$B$7:$B$10,0)),6),"")</f>
        <v>17.19</v>
      </c>
      <c r="J849" s="98" t="s">
        <v>530</v>
      </c>
      <c r="K849" s="98" t="s">
        <v>2059</v>
      </c>
      <c r="L849" s="96"/>
      <c r="M849" s="110" t="s">
        <v>2841</v>
      </c>
      <c r="N849" s="117" t="s">
        <v>2842</v>
      </c>
      <c r="O849" s="110" t="s">
        <v>598</v>
      </c>
      <c r="P849" s="110" t="s">
        <v>590</v>
      </c>
      <c r="Q849" s="118" t="n">
        <v>0.19</v>
      </c>
      <c r="R849" s="110" t="n">
        <v>1</v>
      </c>
      <c r="S849" s="110" t="s">
        <v>632</v>
      </c>
      <c r="T849" s="110" t="s">
        <v>530</v>
      </c>
      <c r="U849" s="110" t="s">
        <v>2062</v>
      </c>
      <c r="V849" s="119" t="n">
        <v>17.19</v>
      </c>
      <c r="W849" s="119"/>
      <c r="X849" s="110" t="s">
        <v>2063</v>
      </c>
      <c r="Y849" s="110" t="s">
        <v>2064</v>
      </c>
      <c r="Z849" s="110" t="s">
        <v>2843</v>
      </c>
      <c r="AA849" s="110" t="s">
        <v>537</v>
      </c>
      <c r="AB849" s="110" t="s">
        <v>244</v>
      </c>
      <c r="AC849" s="110" t="s">
        <v>538</v>
      </c>
      <c r="AD849" s="110" t="n">
        <f aca="false">IF(OR(F849="",Q849="",R849=""),"",ROUND(IF(P849="incl.",F849/(1+Q849),F849)/IF(S849="per pack",R849,1),2))</f>
        <v>17.19</v>
      </c>
      <c r="AE849" s="110" t="str">
        <f aca="false">IF(AND(AC849="yes",ISNUMBER(F849),IF(Compare!$H$5="All mapped",TRUE(),IF(Compare!$H$5="EXACT only",J849="EXACT",OR(J849="EXACT",J849="CLOSE")))),"yes","no")</f>
        <v>yes</v>
      </c>
      <c r="AF849" s="110" t="n">
        <f aca="false">IF(ISNUMBER(H849),COUNTIFS($B$7:$B$3000,B849,$C$7:$C$3000,C849,$H$7:$H$3000,"&lt;"&amp;H849,$AH$7:$AH$3000,"yes")+COUNTIFS($B$7:B849,B849,$C$7:C849,C849,$H$7:H849,H849,$AH$7:AH849,"yes"),"")</f>
        <v>6</v>
      </c>
      <c r="AG849" s="110" t="n">
        <f aca="false">IF(ISNUMBER(I849),COUNTIFS($B$7:$B$3000,B849,$C$7:$C$3000,C849,$I$7:$I$3000,"&lt;"&amp;I849,$AI$7:$AI$3000,"yes")+COUNTIFS($B$7:B849,B849,$C$7:C849,C849,$I$7:I849,I849,$AI$7:AI849,"yes"),"")</f>
        <v>6</v>
      </c>
      <c r="AH849" s="110" t="str">
        <f aca="false">IF(ISNUMBER(H849),"yes","no")</f>
        <v>yes</v>
      </c>
      <c r="AI849" s="110" t="str">
        <f aca="false">IF(ISNUMBER(I849),"yes","no")</f>
        <v>yes</v>
      </c>
      <c r="AJ849" s="120" t="n">
        <v>46297</v>
      </c>
      <c r="AK849" s="110"/>
    </row>
    <row r="850" customFormat="false" ht="23.25" hidden="false" customHeight="true" outlineLevel="0" collapsed="false">
      <c r="B850" s="36" t="s">
        <v>47</v>
      </c>
      <c r="C850" s="98" t="s">
        <v>16</v>
      </c>
      <c r="D850" s="98" t="s">
        <v>311</v>
      </c>
      <c r="E850" s="110" t="s">
        <v>2844</v>
      </c>
      <c r="F850" s="99" t="n">
        <v>10.59</v>
      </c>
      <c r="G850" s="98" t="s">
        <v>244</v>
      </c>
      <c r="H850" s="112" t="n">
        <f aca="false">IF(AND(AE850="yes",ISNUMBER(AD850)),AD850,"")</f>
        <v>10.59</v>
      </c>
      <c r="I850" s="95" t="n">
        <f aca="false">IF(AND(AE850="yes",ISNUMBER(AD850),ISNUMBER(INDEX(Sources!$G$7:$G$10,MATCH(AB850,Sources!$B$7:$B$10,0)))),ROUND(AD850/INDEX(Sources!$G$7:$G$10,MATCH(AB850,Sources!$B$7:$B$10,0)),6),"")</f>
        <v>10.59</v>
      </c>
      <c r="J850" s="98" t="s">
        <v>530</v>
      </c>
      <c r="K850" s="98" t="s">
        <v>2059</v>
      </c>
      <c r="L850" s="96"/>
      <c r="M850" s="110" t="s">
        <v>2845</v>
      </c>
      <c r="N850" s="117" t="s">
        <v>2846</v>
      </c>
      <c r="O850" s="110" t="s">
        <v>589</v>
      </c>
      <c r="P850" s="110" t="s">
        <v>590</v>
      </c>
      <c r="Q850" s="118" t="n">
        <v>0.19</v>
      </c>
      <c r="R850" s="110" t="n">
        <v>1</v>
      </c>
      <c r="S850" s="110" t="s">
        <v>632</v>
      </c>
      <c r="T850" s="110" t="s">
        <v>530</v>
      </c>
      <c r="U850" s="110" t="s">
        <v>2062</v>
      </c>
      <c r="V850" s="119" t="n">
        <v>10.59</v>
      </c>
      <c r="W850" s="119"/>
      <c r="X850" s="110" t="s">
        <v>2063</v>
      </c>
      <c r="Y850" s="110" t="s">
        <v>2064</v>
      </c>
      <c r="Z850" s="110" t="s">
        <v>2595</v>
      </c>
      <c r="AA850" s="110" t="s">
        <v>537</v>
      </c>
      <c r="AB850" s="110" t="s">
        <v>244</v>
      </c>
      <c r="AC850" s="110" t="s">
        <v>538</v>
      </c>
      <c r="AD850" s="110" t="n">
        <f aca="false">IF(OR(F850="",Q850="",R850=""),"",ROUND(IF(P850="incl.",F850/(1+Q850),F850)/IF(S850="per pack",R850,1),2))</f>
        <v>10.59</v>
      </c>
      <c r="AE850" s="110" t="str">
        <f aca="false">IF(AND(AC850="yes",ISNUMBER(F850),IF(Compare!$H$5="All mapped",TRUE(),IF(Compare!$H$5="EXACT only",J850="EXACT",OR(J850="EXACT",J850="CLOSE")))),"yes","no")</f>
        <v>yes</v>
      </c>
      <c r="AF850" s="110" t="n">
        <f aca="false">IF(ISNUMBER(H850),COUNTIFS($B$7:$B$3000,B850,$C$7:$C$3000,C850,$H$7:$H$3000,"&lt;"&amp;H850,$AH$7:$AH$3000,"yes")+COUNTIFS($B$7:B850,B850,$C$7:C850,C850,$H$7:H850,H850,$AH$7:AH850,"yes"),"")</f>
        <v>5</v>
      </c>
      <c r="AG850" s="110" t="n">
        <f aca="false">IF(ISNUMBER(I850),COUNTIFS($B$7:$B$3000,B850,$C$7:$C$3000,C850,$I$7:$I$3000,"&lt;"&amp;I850,$AI$7:$AI$3000,"yes")+COUNTIFS($B$7:B850,B850,$C$7:C850,C850,$I$7:I850,I850,$AI$7:AI850,"yes"),"")</f>
        <v>5</v>
      </c>
      <c r="AH850" s="110" t="str">
        <f aca="false">IF(ISNUMBER(H850),"yes","no")</f>
        <v>yes</v>
      </c>
      <c r="AI850" s="110" t="str">
        <f aca="false">IF(ISNUMBER(I850),"yes","no")</f>
        <v>yes</v>
      </c>
      <c r="AJ850" s="120" t="n">
        <v>46297</v>
      </c>
      <c r="AK850" s="110"/>
    </row>
    <row r="851" customFormat="false" ht="23.25" hidden="false" customHeight="true" outlineLevel="0" collapsed="false">
      <c r="B851" s="36" t="s">
        <v>58</v>
      </c>
      <c r="C851" s="98" t="s">
        <v>16</v>
      </c>
      <c r="D851" s="98" t="s">
        <v>313</v>
      </c>
      <c r="E851" s="110" t="s">
        <v>1875</v>
      </c>
      <c r="F851" s="99" t="n">
        <v>15.19</v>
      </c>
      <c r="G851" s="98" t="s">
        <v>244</v>
      </c>
      <c r="H851" s="112" t="n">
        <f aca="false">IF(AND(AE851="yes",ISNUMBER(AD851)),AD851,"")</f>
        <v>12.76</v>
      </c>
      <c r="I851" s="95" t="n">
        <f aca="false">IF(AND(AE851="yes",ISNUMBER(AD851),ISNUMBER(INDEX(Sources!$G$7:$G$10,MATCH(AB851,Sources!$B$7:$B$10,0)))),ROUND(AD851/INDEX(Sources!$G$7:$G$10,MATCH(AB851,Sources!$B$7:$B$10,0)),6),"")</f>
        <v>12.76</v>
      </c>
      <c r="J851" s="98" t="s">
        <v>530</v>
      </c>
      <c r="K851" s="98" t="s">
        <v>2059</v>
      </c>
      <c r="L851" s="96"/>
      <c r="M851" s="110" t="s">
        <v>2847</v>
      </c>
      <c r="N851" s="117" t="s">
        <v>2848</v>
      </c>
      <c r="O851" s="110" t="s">
        <v>598</v>
      </c>
      <c r="P851" s="110" t="s">
        <v>265</v>
      </c>
      <c r="Q851" s="118" t="n">
        <v>0.19</v>
      </c>
      <c r="R851" s="110" t="n">
        <v>1</v>
      </c>
      <c r="S851" s="110" t="s">
        <v>632</v>
      </c>
      <c r="T851" s="110" t="s">
        <v>530</v>
      </c>
      <c r="U851" s="110" t="s">
        <v>2124</v>
      </c>
      <c r="V851" s="119" t="n">
        <v>12.76</v>
      </c>
      <c r="W851" s="119"/>
      <c r="X851" s="110" t="s">
        <v>2063</v>
      </c>
      <c r="Y851" s="110" t="s">
        <v>2064</v>
      </c>
      <c r="Z851" s="110" t="s">
        <v>2849</v>
      </c>
      <c r="AA851" s="110" t="s">
        <v>537</v>
      </c>
      <c r="AB851" s="110" t="s">
        <v>244</v>
      </c>
      <c r="AC851" s="110" t="s">
        <v>538</v>
      </c>
      <c r="AD851" s="110" t="n">
        <f aca="false">IF(OR(F851="",Q851="",R851=""),"",ROUND(IF(P851="incl.",F851/(1+Q851),F851)/IF(S851="per pack",R851,1),2))</f>
        <v>12.76</v>
      </c>
      <c r="AE851" s="110" t="str">
        <f aca="false">IF(AND(AC851="yes",ISNUMBER(F851),IF(Compare!$H$5="All mapped",TRUE(),IF(Compare!$H$5="EXACT only",J851="EXACT",OR(J851="EXACT",J851="CLOSE")))),"yes","no")</f>
        <v>yes</v>
      </c>
      <c r="AF851" s="110" t="n">
        <f aca="false">IF(ISNUMBER(H851),COUNTIFS($B$7:$B$3000,B851,$C$7:$C$3000,C851,$H$7:$H$3000,"&lt;"&amp;H851,$AH$7:$AH$3000,"yes")+COUNTIFS($B$7:B851,B851,$C$7:C851,C851,$H$7:H851,H851,$AH$7:AH851,"yes"),"")</f>
        <v>4</v>
      </c>
      <c r="AG851" s="110" t="n">
        <f aca="false">IF(ISNUMBER(I851),COUNTIFS($B$7:$B$3000,B851,$C$7:$C$3000,C851,$I$7:$I$3000,"&lt;"&amp;I851,$AI$7:$AI$3000,"yes")+COUNTIFS($B$7:B851,B851,$C$7:C851,C851,$I$7:I851,I851,$AI$7:AI851,"yes"),"")</f>
        <v>4</v>
      </c>
      <c r="AH851" s="110" t="str">
        <f aca="false">IF(ISNUMBER(H851),"yes","no")</f>
        <v>yes</v>
      </c>
      <c r="AI851" s="110" t="str">
        <f aca="false">IF(ISNUMBER(I851),"yes","no")</f>
        <v>yes</v>
      </c>
      <c r="AJ851" s="120" t="n">
        <v>46297</v>
      </c>
      <c r="AK851" s="110"/>
    </row>
    <row r="852" customFormat="false" ht="34.5" hidden="false" customHeight="true" outlineLevel="0" collapsed="false">
      <c r="B852" s="36" t="s">
        <v>47</v>
      </c>
      <c r="C852" s="98" t="s">
        <v>16</v>
      </c>
      <c r="D852" s="98" t="s">
        <v>313</v>
      </c>
      <c r="E852" s="110" t="s">
        <v>1661</v>
      </c>
      <c r="F852" s="99" t="n">
        <v>14.59</v>
      </c>
      <c r="G852" s="98" t="s">
        <v>244</v>
      </c>
      <c r="H852" s="112" t="n">
        <f aca="false">IF(AND(AE852="yes",ISNUMBER(AD852)),AD852,"")</f>
        <v>12.26</v>
      </c>
      <c r="I852" s="95" t="n">
        <f aca="false">IF(AND(AE852="yes",ISNUMBER(AD852),ISNUMBER(INDEX(Sources!$G$7:$G$10,MATCH(AB852,Sources!$B$7:$B$10,0)))),ROUND(AD852/INDEX(Sources!$G$7:$G$10,MATCH(AB852,Sources!$B$7:$B$10,0)),6),"")</f>
        <v>12.26</v>
      </c>
      <c r="J852" s="98" t="s">
        <v>530</v>
      </c>
      <c r="K852" s="98" t="s">
        <v>2059</v>
      </c>
      <c r="L852" s="96"/>
      <c r="M852" s="110" t="s">
        <v>2850</v>
      </c>
      <c r="N852" s="117" t="s">
        <v>2851</v>
      </c>
      <c r="O852" s="110" t="s">
        <v>642</v>
      </c>
      <c r="P852" s="110" t="s">
        <v>265</v>
      </c>
      <c r="Q852" s="118" t="n">
        <v>0.19</v>
      </c>
      <c r="R852" s="110" t="n">
        <v>1</v>
      </c>
      <c r="S852" s="110" t="s">
        <v>632</v>
      </c>
      <c r="T852" s="110" t="s">
        <v>530</v>
      </c>
      <c r="U852" s="110" t="s">
        <v>2124</v>
      </c>
      <c r="V852" s="119" t="n">
        <v>12.26</v>
      </c>
      <c r="W852" s="119"/>
      <c r="X852" s="110" t="s">
        <v>2063</v>
      </c>
      <c r="Y852" s="110" t="s">
        <v>2064</v>
      </c>
      <c r="Z852" s="110" t="s">
        <v>2849</v>
      </c>
      <c r="AA852" s="110" t="s">
        <v>537</v>
      </c>
      <c r="AB852" s="110" t="s">
        <v>244</v>
      </c>
      <c r="AC852" s="110" t="s">
        <v>538</v>
      </c>
      <c r="AD852" s="110" t="n">
        <f aca="false">IF(OR(F852="",Q852="",R852=""),"",ROUND(IF(P852="incl.",F852/(1+Q852),F852)/IF(S852="per pack",R852,1),2))</f>
        <v>12.26</v>
      </c>
      <c r="AE852" s="110" t="str">
        <f aca="false">IF(AND(AC852="yes",ISNUMBER(F852),IF(Compare!$H$5="All mapped",TRUE(),IF(Compare!$H$5="EXACT only",J852="EXACT",OR(J852="EXACT",J852="CLOSE")))),"yes","no")</f>
        <v>yes</v>
      </c>
      <c r="AF852" s="110" t="n">
        <f aca="false">IF(ISNUMBER(H852),COUNTIFS($B$7:$B$3000,B852,$C$7:$C$3000,C852,$H$7:$H$3000,"&lt;"&amp;H852,$AH$7:$AH$3000,"yes")+COUNTIFS($B$7:B852,B852,$C$7:C852,C852,$H$7:H852,H852,$AH$7:AH852,"yes"),"")</f>
        <v>6</v>
      </c>
      <c r="AG852" s="110" t="n">
        <f aca="false">IF(ISNUMBER(I852),COUNTIFS($B$7:$B$3000,B852,$C$7:$C$3000,C852,$I$7:$I$3000,"&lt;"&amp;I852,$AI$7:$AI$3000,"yes")+COUNTIFS($B$7:B852,B852,$C$7:C852,C852,$I$7:I852,I852,$AI$7:AI852,"yes"),"")</f>
        <v>6</v>
      </c>
      <c r="AH852" s="110" t="str">
        <f aca="false">IF(ISNUMBER(H852),"yes","no")</f>
        <v>yes</v>
      </c>
      <c r="AI852" s="110" t="str">
        <f aca="false">IF(ISNUMBER(I852),"yes","no")</f>
        <v>yes</v>
      </c>
      <c r="AJ852" s="120" t="n">
        <v>46297</v>
      </c>
      <c r="AK852" s="110"/>
    </row>
    <row r="853" customFormat="false" ht="23.25" hidden="false" customHeight="true" outlineLevel="0" collapsed="false">
      <c r="B853" s="36" t="s">
        <v>61</v>
      </c>
      <c r="C853" s="98" t="s">
        <v>16</v>
      </c>
      <c r="D853" s="98" t="s">
        <v>313</v>
      </c>
      <c r="E853" s="110" t="s">
        <v>1971</v>
      </c>
      <c r="F853" s="99" t="n">
        <v>5.59</v>
      </c>
      <c r="G853" s="98" t="s">
        <v>244</v>
      </c>
      <c r="H853" s="112" t="n">
        <f aca="false">IF(AND(AE853="yes",ISNUMBER(AD853)),AD853,"")</f>
        <v>4.7</v>
      </c>
      <c r="I853" s="95" t="n">
        <f aca="false">IF(AND(AE853="yes",ISNUMBER(AD853),ISNUMBER(INDEX(Sources!$G$7:$G$10,MATCH(AB853,Sources!$B$7:$B$10,0)))),ROUND(AD853/INDEX(Sources!$G$7:$G$10,MATCH(AB853,Sources!$B$7:$B$10,0)),6),"")</f>
        <v>4.7</v>
      </c>
      <c r="J853" s="98" t="s">
        <v>530</v>
      </c>
      <c r="K853" s="98" t="s">
        <v>2059</v>
      </c>
      <c r="L853" s="96"/>
      <c r="M853" s="110" t="s">
        <v>2852</v>
      </c>
      <c r="N853" s="117" t="s">
        <v>2853</v>
      </c>
      <c r="O853" s="110" t="s">
        <v>642</v>
      </c>
      <c r="P853" s="110" t="s">
        <v>265</v>
      </c>
      <c r="Q853" s="118" t="n">
        <v>0.19</v>
      </c>
      <c r="R853" s="110" t="n">
        <v>1</v>
      </c>
      <c r="S853" s="110" t="s">
        <v>632</v>
      </c>
      <c r="T853" s="110" t="s">
        <v>530</v>
      </c>
      <c r="U853" s="110" t="s">
        <v>2124</v>
      </c>
      <c r="V853" s="119" t="n">
        <v>4.7</v>
      </c>
      <c r="W853" s="119"/>
      <c r="X853" s="110" t="s">
        <v>2063</v>
      </c>
      <c r="Y853" s="110" t="s">
        <v>2064</v>
      </c>
      <c r="Z853" s="110" t="s">
        <v>2130</v>
      </c>
      <c r="AA853" s="110" t="s">
        <v>537</v>
      </c>
      <c r="AB853" s="110" t="s">
        <v>244</v>
      </c>
      <c r="AC853" s="110" t="s">
        <v>538</v>
      </c>
      <c r="AD853" s="110" t="n">
        <f aca="false">IF(OR(F853="",Q853="",R853=""),"",ROUND(IF(P853="incl.",F853/(1+Q853),F853)/IF(S853="per pack",R853,1),2))</f>
        <v>4.7</v>
      </c>
      <c r="AE853" s="110" t="str">
        <f aca="false">IF(AND(AC853="yes",ISNUMBER(F853),IF(Compare!$H$5="All mapped",TRUE(),IF(Compare!$H$5="EXACT only",J853="EXACT",OR(J853="EXACT",J853="CLOSE")))),"yes","no")</f>
        <v>yes</v>
      </c>
      <c r="AF853" s="110" t="n">
        <f aca="false">IF(ISNUMBER(H853),COUNTIFS($B$7:$B$3000,B853,$C$7:$C$3000,C853,$H$7:$H$3000,"&lt;"&amp;H853,$AH$7:$AH$3000,"yes")+COUNTIFS($B$7:B853,B853,$C$7:C853,C853,$H$7:H853,H853,$AH$7:AH853,"yes"),"")</f>
        <v>4</v>
      </c>
      <c r="AG853" s="110" t="n">
        <f aca="false">IF(ISNUMBER(I853),COUNTIFS($B$7:$B$3000,B853,$C$7:$C$3000,C853,$I$7:$I$3000,"&lt;"&amp;I853,$AI$7:$AI$3000,"yes")+COUNTIFS($B$7:B853,B853,$C$7:C853,C853,$I$7:I853,I853,$AI$7:AI853,"yes"),"")</f>
        <v>4</v>
      </c>
      <c r="AH853" s="110" t="str">
        <f aca="false">IF(ISNUMBER(H853),"yes","no")</f>
        <v>yes</v>
      </c>
      <c r="AI853" s="110" t="str">
        <f aca="false">IF(ISNUMBER(I853),"yes","no")</f>
        <v>yes</v>
      </c>
      <c r="AJ853" s="120" t="n">
        <v>46297</v>
      </c>
      <c r="AK853" s="110"/>
    </row>
    <row r="854" customFormat="false" ht="23.25" hidden="false" customHeight="true" outlineLevel="0" collapsed="false">
      <c r="B854" s="36" t="s">
        <v>61</v>
      </c>
      <c r="C854" s="98" t="s">
        <v>16</v>
      </c>
      <c r="D854" s="98" t="s">
        <v>321</v>
      </c>
      <c r="E854" s="110" t="s">
        <v>2854</v>
      </c>
      <c r="F854" s="99" t="n">
        <v>1.9</v>
      </c>
      <c r="G854" s="98" t="s">
        <v>244</v>
      </c>
      <c r="H854" s="112" t="n">
        <f aca="false">IF(AND(AE854="yes",ISNUMBER(AD854)),AD854,"")</f>
        <v>1.9</v>
      </c>
      <c r="I854" s="95" t="n">
        <f aca="false">IF(AND(AE854="yes",ISNUMBER(AD854),ISNUMBER(INDEX(Sources!$G$7:$G$10,MATCH(AB854,Sources!$B$7:$B$10,0)))),ROUND(AD854/INDEX(Sources!$G$7:$G$10,MATCH(AB854,Sources!$B$7:$B$10,0)),6),"")</f>
        <v>1.9</v>
      </c>
      <c r="J854" s="98" t="s">
        <v>530</v>
      </c>
      <c r="K854" s="98" t="s">
        <v>2059</v>
      </c>
      <c r="L854" s="96"/>
      <c r="M854" s="110" t="s">
        <v>2855</v>
      </c>
      <c r="N854" s="117" t="s">
        <v>2856</v>
      </c>
      <c r="O854" s="110" t="s">
        <v>733</v>
      </c>
      <c r="P854" s="110" t="s">
        <v>590</v>
      </c>
      <c r="Q854" s="118" t="n">
        <v>0.19</v>
      </c>
      <c r="R854" s="110" t="n">
        <v>1</v>
      </c>
      <c r="S854" s="110" t="s">
        <v>632</v>
      </c>
      <c r="T854" s="110" t="s">
        <v>530</v>
      </c>
      <c r="U854" s="110" t="s">
        <v>2062</v>
      </c>
      <c r="V854" s="119" t="n">
        <v>1.9</v>
      </c>
      <c r="W854" s="119"/>
      <c r="X854" s="110" t="s">
        <v>2063</v>
      </c>
      <c r="Y854" s="110" t="s">
        <v>2064</v>
      </c>
      <c r="Z854" s="110" t="s">
        <v>2857</v>
      </c>
      <c r="AA854" s="110" t="s">
        <v>537</v>
      </c>
      <c r="AB854" s="110" t="s">
        <v>244</v>
      </c>
      <c r="AC854" s="110" t="s">
        <v>538</v>
      </c>
      <c r="AD854" s="110" t="n">
        <f aca="false">IF(OR(F854="",Q854="",R854=""),"",ROUND(IF(P854="incl.",F854/(1+Q854),F854)/IF(S854="per pack",R854,1),2))</f>
        <v>1.9</v>
      </c>
      <c r="AE854" s="110" t="str">
        <f aca="false">IF(AND(AC854="yes",ISNUMBER(F854),IF(Compare!$H$5="All mapped",TRUE(),IF(Compare!$H$5="EXACT only",J854="EXACT",OR(J854="EXACT",J854="CLOSE")))),"yes","no")</f>
        <v>yes</v>
      </c>
      <c r="AF854" s="110" t="n">
        <f aca="false">IF(ISNUMBER(H854),COUNTIFS($B$7:$B$3000,B854,$C$7:$C$3000,C854,$H$7:$H$3000,"&lt;"&amp;H854,$AH$7:$AH$3000,"yes")+COUNTIFS($B$7:B854,B854,$C$7:C854,C854,$H$7:H854,H854,$AH$7:AH854,"yes"),"")</f>
        <v>2</v>
      </c>
      <c r="AG854" s="110" t="n">
        <f aca="false">IF(ISNUMBER(I854),COUNTIFS($B$7:$B$3000,B854,$C$7:$C$3000,C854,$I$7:$I$3000,"&lt;"&amp;I854,$AI$7:$AI$3000,"yes")+COUNTIFS($B$7:B854,B854,$C$7:C854,C854,$I$7:I854,I854,$AI$7:AI854,"yes"),"")</f>
        <v>2</v>
      </c>
      <c r="AH854" s="110" t="str">
        <f aca="false">IF(ISNUMBER(H854),"yes","no")</f>
        <v>yes</v>
      </c>
      <c r="AI854" s="110" t="str">
        <f aca="false">IF(ISNUMBER(I854),"yes","no")</f>
        <v>yes</v>
      </c>
      <c r="AJ854" s="120" t="n">
        <v>46297</v>
      </c>
      <c r="AK854" s="110"/>
    </row>
    <row r="855" customFormat="false" ht="34.5" hidden="false" customHeight="true" outlineLevel="0" collapsed="false">
      <c r="B855" s="36" t="s">
        <v>58</v>
      </c>
      <c r="C855" s="98" t="s">
        <v>16</v>
      </c>
      <c r="D855" s="98" t="s">
        <v>325</v>
      </c>
      <c r="E855" s="110" t="s">
        <v>2211</v>
      </c>
      <c r="F855" s="99" t="n">
        <v>32.09</v>
      </c>
      <c r="G855" s="98" t="s">
        <v>244</v>
      </c>
      <c r="H855" s="112" t="n">
        <f aca="false">IF(AND(AE855="yes",ISNUMBER(AD855)),AD855,"")</f>
        <v>32.09</v>
      </c>
      <c r="I855" s="95" t="n">
        <f aca="false">IF(AND(AE855="yes",ISNUMBER(AD855),ISNUMBER(INDEX(Sources!$G$7:$G$10,MATCH(AB855,Sources!$B$7:$B$10,0)))),ROUND(AD855/INDEX(Sources!$G$7:$G$10,MATCH(AB855,Sources!$B$7:$B$10,0)),6),"")</f>
        <v>32.09</v>
      </c>
      <c r="J855" s="98" t="s">
        <v>530</v>
      </c>
      <c r="K855" s="98" t="s">
        <v>2059</v>
      </c>
      <c r="L855" s="96"/>
      <c r="M855" s="110" t="s">
        <v>2858</v>
      </c>
      <c r="N855" s="117" t="s">
        <v>2859</v>
      </c>
      <c r="O855" s="110" t="s">
        <v>589</v>
      </c>
      <c r="P855" s="110" t="s">
        <v>590</v>
      </c>
      <c r="Q855" s="118" t="n">
        <v>0.19</v>
      </c>
      <c r="R855" s="110" t="n">
        <v>1</v>
      </c>
      <c r="S855" s="110" t="s">
        <v>632</v>
      </c>
      <c r="T855" s="110" t="s">
        <v>530</v>
      </c>
      <c r="U855" s="110" t="s">
        <v>2062</v>
      </c>
      <c r="V855" s="119" t="n">
        <v>32.09</v>
      </c>
      <c r="W855" s="119"/>
      <c r="X855" s="110" t="s">
        <v>2063</v>
      </c>
      <c r="Y855" s="110" t="s">
        <v>2064</v>
      </c>
      <c r="Z855" s="110" t="s">
        <v>2860</v>
      </c>
      <c r="AA855" s="110" t="s">
        <v>537</v>
      </c>
      <c r="AB855" s="110" t="s">
        <v>244</v>
      </c>
      <c r="AC855" s="110" t="s">
        <v>538</v>
      </c>
      <c r="AD855" s="110" t="n">
        <f aca="false">IF(OR(F855="",Q855="",R855=""),"",ROUND(IF(P855="incl.",F855/(1+Q855),F855)/IF(S855="per pack",R855,1),2))</f>
        <v>32.09</v>
      </c>
      <c r="AE855" s="110" t="str">
        <f aca="false">IF(AND(AC855="yes",ISNUMBER(F855),IF(Compare!$H$5="All mapped",TRUE(),IF(Compare!$H$5="EXACT only",J855="EXACT",OR(J855="EXACT",J855="CLOSE")))),"yes","no")</f>
        <v>yes</v>
      </c>
      <c r="AF855" s="110" t="n">
        <f aca="false">IF(ISNUMBER(H855),COUNTIFS($B$7:$B$3000,B855,$C$7:$C$3000,C855,$H$7:$H$3000,"&lt;"&amp;H855,$AH$7:$AH$3000,"yes")+COUNTIFS($B$7:B855,B855,$C$7:C855,C855,$H$7:H855,H855,$AH$7:AH855,"yes"),"")</f>
        <v>8</v>
      </c>
      <c r="AG855" s="110" t="n">
        <f aca="false">IF(ISNUMBER(I855),COUNTIFS($B$7:$B$3000,B855,$C$7:$C$3000,C855,$I$7:$I$3000,"&lt;"&amp;I855,$AI$7:$AI$3000,"yes")+COUNTIFS($B$7:B855,B855,$C$7:C855,C855,$I$7:I855,I855,$AI$7:AI855,"yes"),"")</f>
        <v>8</v>
      </c>
      <c r="AH855" s="110" t="str">
        <f aca="false">IF(ISNUMBER(H855),"yes","no")</f>
        <v>yes</v>
      </c>
      <c r="AI855" s="110" t="str">
        <f aca="false">IF(ISNUMBER(I855),"yes","no")</f>
        <v>yes</v>
      </c>
      <c r="AJ855" s="120" t="n">
        <v>46297</v>
      </c>
      <c r="AK855" s="110"/>
    </row>
    <row r="856" customFormat="false" ht="34.5" hidden="false" customHeight="true" outlineLevel="0" collapsed="false">
      <c r="B856" s="36" t="s">
        <v>47</v>
      </c>
      <c r="C856" s="98" t="s">
        <v>16</v>
      </c>
      <c r="D856" s="98" t="s">
        <v>325</v>
      </c>
      <c r="E856" s="110" t="s">
        <v>2219</v>
      </c>
      <c r="F856" s="99" t="n">
        <v>10.09</v>
      </c>
      <c r="G856" s="98" t="s">
        <v>244</v>
      </c>
      <c r="H856" s="112" t="n">
        <f aca="false">IF(AND(AE856="yes",ISNUMBER(AD856)),AD856,"")</f>
        <v>10.09</v>
      </c>
      <c r="I856" s="95" t="n">
        <f aca="false">IF(AND(AE856="yes",ISNUMBER(AD856),ISNUMBER(INDEX(Sources!$G$7:$G$10,MATCH(AB856,Sources!$B$7:$B$10,0)))),ROUND(AD856/INDEX(Sources!$G$7:$G$10,MATCH(AB856,Sources!$B$7:$B$10,0)),6),"")</f>
        <v>10.09</v>
      </c>
      <c r="J856" s="98" t="s">
        <v>530</v>
      </c>
      <c r="K856" s="98" t="s">
        <v>2059</v>
      </c>
      <c r="L856" s="96"/>
      <c r="M856" s="110" t="s">
        <v>2861</v>
      </c>
      <c r="N856" s="117" t="s">
        <v>2862</v>
      </c>
      <c r="O856" s="110" t="s">
        <v>662</v>
      </c>
      <c r="P856" s="110" t="s">
        <v>590</v>
      </c>
      <c r="Q856" s="118" t="n">
        <v>0.19</v>
      </c>
      <c r="R856" s="110" t="n">
        <v>1</v>
      </c>
      <c r="S856" s="110" t="s">
        <v>632</v>
      </c>
      <c r="T856" s="110" t="s">
        <v>530</v>
      </c>
      <c r="U856" s="110" t="s">
        <v>2062</v>
      </c>
      <c r="V856" s="119" t="n">
        <v>10.09</v>
      </c>
      <c r="W856" s="119"/>
      <c r="X856" s="110" t="s">
        <v>2063</v>
      </c>
      <c r="Y856" s="110" t="s">
        <v>2064</v>
      </c>
      <c r="Z856" s="110" t="s">
        <v>2863</v>
      </c>
      <c r="AA856" s="110" t="s">
        <v>537</v>
      </c>
      <c r="AB856" s="110" t="s">
        <v>244</v>
      </c>
      <c r="AC856" s="110" t="s">
        <v>538</v>
      </c>
      <c r="AD856" s="110" t="n">
        <f aca="false">IF(OR(F856="",Q856="",R856=""),"",ROUND(IF(P856="incl.",F856/(1+Q856),F856)/IF(S856="per pack",R856,1),2))</f>
        <v>10.09</v>
      </c>
      <c r="AE856" s="110" t="str">
        <f aca="false">IF(AND(AC856="yes",ISNUMBER(F856),IF(Compare!$H$5="All mapped",TRUE(),IF(Compare!$H$5="EXACT only",J856="EXACT",OR(J856="EXACT",J856="CLOSE")))),"yes","no")</f>
        <v>yes</v>
      </c>
      <c r="AF856" s="110" t="n">
        <f aca="false">IF(ISNUMBER(H856),COUNTIFS($B$7:$B$3000,B856,$C$7:$C$3000,C856,$H$7:$H$3000,"&lt;"&amp;H856,$AH$7:$AH$3000,"yes")+COUNTIFS($B$7:B856,B856,$C$7:C856,C856,$H$7:H856,H856,$AH$7:AH856,"yes"),"")</f>
        <v>4</v>
      </c>
      <c r="AG856" s="110" t="n">
        <f aca="false">IF(ISNUMBER(I856),COUNTIFS($B$7:$B$3000,B856,$C$7:$C$3000,C856,$I$7:$I$3000,"&lt;"&amp;I856,$AI$7:$AI$3000,"yes")+COUNTIFS($B$7:B856,B856,$C$7:C856,C856,$I$7:I856,I856,$AI$7:AI856,"yes"),"")</f>
        <v>4</v>
      </c>
      <c r="AH856" s="110" t="str">
        <f aca="false">IF(ISNUMBER(H856),"yes","no")</f>
        <v>yes</v>
      </c>
      <c r="AI856" s="110" t="str">
        <f aca="false">IF(ISNUMBER(I856),"yes","no")</f>
        <v>yes</v>
      </c>
      <c r="AJ856" s="120" t="n">
        <v>46297</v>
      </c>
      <c r="AK856" s="110"/>
    </row>
    <row r="857" customFormat="false" ht="34.5" hidden="false" customHeight="true" outlineLevel="0" collapsed="false">
      <c r="B857" s="36" t="s">
        <v>47</v>
      </c>
      <c r="C857" s="98" t="s">
        <v>16</v>
      </c>
      <c r="D857" s="98" t="s">
        <v>325</v>
      </c>
      <c r="E857" s="110" t="s">
        <v>2864</v>
      </c>
      <c r="F857" s="99" t="n">
        <v>7.99</v>
      </c>
      <c r="G857" s="98" t="s">
        <v>244</v>
      </c>
      <c r="H857" s="112" t="n">
        <f aca="false">IF(AND(AE857="yes",ISNUMBER(AD857)),AD857,"")</f>
        <v>7.99</v>
      </c>
      <c r="I857" s="95" t="n">
        <f aca="false">IF(AND(AE857="yes",ISNUMBER(AD857),ISNUMBER(INDEX(Sources!$G$7:$G$10,MATCH(AB857,Sources!$B$7:$B$10,0)))),ROUND(AD857/INDEX(Sources!$G$7:$G$10,MATCH(AB857,Sources!$B$7:$B$10,0)),6),"")</f>
        <v>7.99</v>
      </c>
      <c r="J857" s="98" t="s">
        <v>530</v>
      </c>
      <c r="K857" s="98" t="s">
        <v>2059</v>
      </c>
      <c r="L857" s="96"/>
      <c r="M857" s="110" t="s">
        <v>2865</v>
      </c>
      <c r="N857" s="117" t="s">
        <v>2866</v>
      </c>
      <c r="O857" s="110" t="s">
        <v>733</v>
      </c>
      <c r="P857" s="110" t="s">
        <v>590</v>
      </c>
      <c r="Q857" s="118" t="n">
        <v>0.19</v>
      </c>
      <c r="R857" s="110" t="n">
        <v>1</v>
      </c>
      <c r="S857" s="110" t="s">
        <v>632</v>
      </c>
      <c r="T857" s="110" t="s">
        <v>530</v>
      </c>
      <c r="U857" s="110" t="s">
        <v>2062</v>
      </c>
      <c r="V857" s="119" t="n">
        <v>7.99</v>
      </c>
      <c r="W857" s="119"/>
      <c r="X857" s="110" t="s">
        <v>2063</v>
      </c>
      <c r="Y857" s="110" t="s">
        <v>2064</v>
      </c>
      <c r="Z857" s="110" t="s">
        <v>2867</v>
      </c>
      <c r="AA857" s="110" t="s">
        <v>537</v>
      </c>
      <c r="AB857" s="110" t="s">
        <v>244</v>
      </c>
      <c r="AC857" s="110" t="s">
        <v>538</v>
      </c>
      <c r="AD857" s="110" t="n">
        <f aca="false">IF(OR(F857="",Q857="",R857=""),"",ROUND(IF(P857="incl.",F857/(1+Q857),F857)/IF(S857="per pack",R857,1),2))</f>
        <v>7.99</v>
      </c>
      <c r="AE857" s="110" t="str">
        <f aca="false">IF(AND(AC857="yes",ISNUMBER(F857),IF(Compare!$H$5="All mapped",TRUE(),IF(Compare!$H$5="EXACT only",J857="EXACT",OR(J857="EXACT",J857="CLOSE")))),"yes","no")</f>
        <v>yes</v>
      </c>
      <c r="AF857" s="110" t="n">
        <f aca="false">IF(ISNUMBER(H857),COUNTIFS($B$7:$B$3000,B857,$C$7:$C$3000,C857,$H$7:$H$3000,"&lt;"&amp;H857,$AH$7:$AH$3000,"yes")+COUNTIFS($B$7:B857,B857,$C$7:C857,C857,$H$7:H857,H857,$AH$7:AH857,"yes"),"")</f>
        <v>2</v>
      </c>
      <c r="AG857" s="110" t="n">
        <f aca="false">IF(ISNUMBER(I857),COUNTIFS($B$7:$B$3000,B857,$C$7:$C$3000,C857,$I$7:$I$3000,"&lt;"&amp;I857,$AI$7:$AI$3000,"yes")+COUNTIFS($B$7:B857,B857,$C$7:C857,C857,$I$7:I857,I857,$AI$7:AI857,"yes"),"")</f>
        <v>2</v>
      </c>
      <c r="AH857" s="110" t="str">
        <f aca="false">IF(ISNUMBER(H857),"yes","no")</f>
        <v>yes</v>
      </c>
      <c r="AI857" s="110" t="str">
        <f aca="false">IF(ISNUMBER(I857),"yes","no")</f>
        <v>yes</v>
      </c>
      <c r="AJ857" s="120" t="n">
        <v>46297</v>
      </c>
      <c r="AK857" s="110"/>
    </row>
    <row r="858" customFormat="false" ht="34.5" hidden="false" customHeight="true" outlineLevel="0" collapsed="false">
      <c r="B858" s="36" t="s">
        <v>24</v>
      </c>
      <c r="C858" s="98" t="s">
        <v>16</v>
      </c>
      <c r="D858" s="98" t="s">
        <v>325</v>
      </c>
      <c r="E858" s="110" t="s">
        <v>2868</v>
      </c>
      <c r="F858" s="99" t="n">
        <v>14.99</v>
      </c>
      <c r="G858" s="98" t="s">
        <v>244</v>
      </c>
      <c r="H858" s="112" t="n">
        <f aca="false">IF(AND(AE858="yes",ISNUMBER(AD858)),AD858,"")</f>
        <v>14.99</v>
      </c>
      <c r="I858" s="95" t="n">
        <f aca="false">IF(AND(AE858="yes",ISNUMBER(AD858),ISNUMBER(INDEX(Sources!$G$7:$G$10,MATCH(AB858,Sources!$B$7:$B$10,0)))),ROUND(AD858/INDEX(Sources!$G$7:$G$10,MATCH(AB858,Sources!$B$7:$B$10,0)),6),"")</f>
        <v>14.99</v>
      </c>
      <c r="J858" s="98" t="s">
        <v>702</v>
      </c>
      <c r="K858" s="98" t="s">
        <v>2059</v>
      </c>
      <c r="L858" s="96"/>
      <c r="M858" s="110" t="s">
        <v>2869</v>
      </c>
      <c r="N858" s="117" t="s">
        <v>2870</v>
      </c>
      <c r="O858" s="110" t="s">
        <v>565</v>
      </c>
      <c r="P858" s="110" t="s">
        <v>590</v>
      </c>
      <c r="Q858" s="118" t="n">
        <v>0.19</v>
      </c>
      <c r="R858" s="110" t="n">
        <v>1</v>
      </c>
      <c r="S858" s="110" t="s">
        <v>632</v>
      </c>
      <c r="T858" s="110" t="s">
        <v>702</v>
      </c>
      <c r="U858" s="110" t="s">
        <v>2062</v>
      </c>
      <c r="V858" s="119" t="n">
        <v>14.99</v>
      </c>
      <c r="W858" s="119"/>
      <c r="X858" s="110" t="s">
        <v>2063</v>
      </c>
      <c r="Y858" s="110" t="s">
        <v>2064</v>
      </c>
      <c r="Z858" s="110" t="s">
        <v>2871</v>
      </c>
      <c r="AA858" s="110" t="s">
        <v>537</v>
      </c>
      <c r="AB858" s="110" t="s">
        <v>244</v>
      </c>
      <c r="AC858" s="110" t="s">
        <v>538</v>
      </c>
      <c r="AD858" s="110" t="n">
        <f aca="false">IF(OR(F858="",Q858="",R858=""),"",ROUND(IF(P858="incl.",F858/(1+Q858),F858)/IF(S858="per pack",R858,1),2))</f>
        <v>14.99</v>
      </c>
      <c r="AE858" s="110" t="str">
        <f aca="false">IF(AND(AC858="yes",ISNUMBER(F858),IF(Compare!$H$5="All mapped",TRUE(),IF(Compare!$H$5="EXACT only",J858="EXACT",OR(J858="EXACT",J858="CLOSE")))),"yes","no")</f>
        <v>yes</v>
      </c>
      <c r="AF858" s="110" t="n">
        <f aca="false">IF(ISNUMBER(H858),COUNTIFS($B$7:$B$3000,B858,$C$7:$C$3000,C858,$H$7:$H$3000,"&lt;"&amp;H858,$AH$7:$AH$3000,"yes")+COUNTIFS($B$7:B858,B858,$C$7:C858,C858,$H$7:H858,H858,$AH$7:AH858,"yes"),"")</f>
        <v>8</v>
      </c>
      <c r="AG858" s="110" t="n">
        <f aca="false">IF(ISNUMBER(I858),COUNTIFS($B$7:$B$3000,B858,$C$7:$C$3000,C858,$I$7:$I$3000,"&lt;"&amp;I858,$AI$7:$AI$3000,"yes")+COUNTIFS($B$7:B858,B858,$C$7:C858,C858,$I$7:I858,I858,$AI$7:AI858,"yes"),"")</f>
        <v>8</v>
      </c>
      <c r="AH858" s="110" t="str">
        <f aca="false">IF(ISNUMBER(H858),"yes","no")</f>
        <v>yes</v>
      </c>
      <c r="AI858" s="110" t="str">
        <f aca="false">IF(ISNUMBER(I858),"yes","no")</f>
        <v>yes</v>
      </c>
      <c r="AJ858" s="120" t="n">
        <v>46297</v>
      </c>
      <c r="AK858" s="110"/>
    </row>
    <row r="859" customFormat="false" ht="34.5" hidden="false" customHeight="true" outlineLevel="0" collapsed="false">
      <c r="B859" s="36" t="s">
        <v>61</v>
      </c>
      <c r="C859" s="98" t="s">
        <v>16</v>
      </c>
      <c r="D859" s="98" t="s">
        <v>325</v>
      </c>
      <c r="E859" s="110" t="s">
        <v>2872</v>
      </c>
      <c r="F859" s="99" t="n">
        <v>5.19</v>
      </c>
      <c r="G859" s="98" t="s">
        <v>244</v>
      </c>
      <c r="H859" s="112" t="n">
        <f aca="false">IF(AND(AE859="yes",ISNUMBER(AD859)),AD859,"")</f>
        <v>5.19</v>
      </c>
      <c r="I859" s="95" t="n">
        <f aca="false">IF(AND(AE859="yes",ISNUMBER(AD859),ISNUMBER(INDEX(Sources!$G$7:$G$10,MATCH(AB859,Sources!$B$7:$B$10,0)))),ROUND(AD859/INDEX(Sources!$G$7:$G$10,MATCH(AB859,Sources!$B$7:$B$10,0)),6),"")</f>
        <v>5.19</v>
      </c>
      <c r="J859" s="98" t="s">
        <v>530</v>
      </c>
      <c r="K859" s="98" t="s">
        <v>2059</v>
      </c>
      <c r="L859" s="96"/>
      <c r="M859" s="110" t="s">
        <v>2873</v>
      </c>
      <c r="N859" s="117" t="s">
        <v>2874</v>
      </c>
      <c r="O859" s="110" t="s">
        <v>2096</v>
      </c>
      <c r="P859" s="110" t="s">
        <v>590</v>
      </c>
      <c r="Q859" s="118" t="n">
        <v>0.19</v>
      </c>
      <c r="R859" s="110" t="n">
        <v>1</v>
      </c>
      <c r="S859" s="110" t="s">
        <v>632</v>
      </c>
      <c r="T859" s="110" t="s">
        <v>530</v>
      </c>
      <c r="U859" s="110" t="s">
        <v>2062</v>
      </c>
      <c r="V859" s="119" t="n">
        <v>5.19</v>
      </c>
      <c r="W859" s="119"/>
      <c r="X859" s="110" t="s">
        <v>2063</v>
      </c>
      <c r="Y859" s="110" t="s">
        <v>2064</v>
      </c>
      <c r="Z859" s="110" t="s">
        <v>2875</v>
      </c>
      <c r="AA859" s="110" t="s">
        <v>537</v>
      </c>
      <c r="AB859" s="110" t="s">
        <v>244</v>
      </c>
      <c r="AC859" s="110" t="s">
        <v>538</v>
      </c>
      <c r="AD859" s="110" t="n">
        <f aca="false">IF(OR(F859="",Q859="",R859=""),"",ROUND(IF(P859="incl.",F859/(1+Q859),F859)/IF(S859="per pack",R859,1),2))</f>
        <v>5.19</v>
      </c>
      <c r="AE859" s="110" t="str">
        <f aca="false">IF(AND(AC859="yes",ISNUMBER(F859),IF(Compare!$H$5="All mapped",TRUE(),IF(Compare!$H$5="EXACT only",J859="EXACT",OR(J859="EXACT",J859="CLOSE")))),"yes","no")</f>
        <v>yes</v>
      </c>
      <c r="AF859" s="110" t="n">
        <f aca="false">IF(ISNUMBER(H859),COUNTIFS($B$7:$B$3000,B859,$C$7:$C$3000,C859,$H$7:$H$3000,"&lt;"&amp;H859,$AH$7:$AH$3000,"yes")+COUNTIFS($B$7:B859,B859,$C$7:C859,C859,$H$7:H859,H859,$AH$7:AH859,"yes"),"")</f>
        <v>5</v>
      </c>
      <c r="AG859" s="110" t="n">
        <f aca="false">IF(ISNUMBER(I859),COUNTIFS($B$7:$B$3000,B859,$C$7:$C$3000,C859,$I$7:$I$3000,"&lt;"&amp;I859,$AI$7:$AI$3000,"yes")+COUNTIFS($B$7:B859,B859,$C$7:C859,C859,$I$7:I859,I859,$AI$7:AI859,"yes"),"")</f>
        <v>5</v>
      </c>
      <c r="AH859" s="110" t="str">
        <f aca="false">IF(ISNUMBER(H859),"yes","no")</f>
        <v>yes</v>
      </c>
      <c r="AI859" s="110" t="str">
        <f aca="false">IF(ISNUMBER(I859),"yes","no")</f>
        <v>yes</v>
      </c>
      <c r="AJ859" s="120" t="n">
        <v>46297</v>
      </c>
      <c r="AK859" s="110"/>
    </row>
    <row r="860" customFormat="false" ht="34.5" hidden="false" customHeight="true" outlineLevel="0" collapsed="false">
      <c r="B860" s="36" t="s">
        <v>59</v>
      </c>
      <c r="C860" s="98" t="s">
        <v>16</v>
      </c>
      <c r="D860" s="98" t="s">
        <v>325</v>
      </c>
      <c r="E860" s="110" t="s">
        <v>2243</v>
      </c>
      <c r="F860" s="99" t="n">
        <v>4.5</v>
      </c>
      <c r="G860" s="98" t="s">
        <v>244</v>
      </c>
      <c r="H860" s="112" t="n">
        <f aca="false">IF(AND(AE860="yes",ISNUMBER(AD860)),AD860,"")</f>
        <v>4.5</v>
      </c>
      <c r="I860" s="95" t="n">
        <f aca="false">IF(AND(AE860="yes",ISNUMBER(AD860),ISNUMBER(INDEX(Sources!$G$7:$G$10,MATCH(AB860,Sources!$B$7:$B$10,0)))),ROUND(AD860/INDEX(Sources!$G$7:$G$10,MATCH(AB860,Sources!$B$7:$B$10,0)),6),"")</f>
        <v>4.5</v>
      </c>
      <c r="J860" s="98" t="s">
        <v>530</v>
      </c>
      <c r="K860" s="98" t="s">
        <v>2059</v>
      </c>
      <c r="L860" s="96"/>
      <c r="M860" s="110" t="s">
        <v>2876</v>
      </c>
      <c r="N860" s="117" t="s">
        <v>2877</v>
      </c>
      <c r="O860" s="110" t="s">
        <v>662</v>
      </c>
      <c r="P860" s="110" t="s">
        <v>590</v>
      </c>
      <c r="Q860" s="118" t="n">
        <v>0.19</v>
      </c>
      <c r="R860" s="110" t="n">
        <v>1</v>
      </c>
      <c r="S860" s="110" t="s">
        <v>632</v>
      </c>
      <c r="T860" s="110" t="s">
        <v>530</v>
      </c>
      <c r="U860" s="110" t="s">
        <v>2062</v>
      </c>
      <c r="V860" s="119" t="n">
        <v>4.5</v>
      </c>
      <c r="W860" s="119"/>
      <c r="X860" s="110" t="s">
        <v>2063</v>
      </c>
      <c r="Y860" s="110" t="s">
        <v>2064</v>
      </c>
      <c r="Z860" s="110" t="s">
        <v>2863</v>
      </c>
      <c r="AA860" s="110" t="s">
        <v>537</v>
      </c>
      <c r="AB860" s="110" t="s">
        <v>244</v>
      </c>
      <c r="AC860" s="110" t="s">
        <v>538</v>
      </c>
      <c r="AD860" s="110" t="n">
        <f aca="false">IF(OR(F860="",Q860="",R860=""),"",ROUND(IF(P860="incl.",F860/(1+Q860),F860)/IF(S860="per pack",R860,1),2))</f>
        <v>4.5</v>
      </c>
      <c r="AE860" s="110" t="str">
        <f aca="false">IF(AND(AC860="yes",ISNUMBER(F860),IF(Compare!$H$5="All mapped",TRUE(),IF(Compare!$H$5="EXACT only",J860="EXACT",OR(J860="EXACT",J860="CLOSE")))),"yes","no")</f>
        <v>yes</v>
      </c>
      <c r="AF860" s="110" t="n">
        <f aca="false">IF(ISNUMBER(H860),COUNTIFS($B$7:$B$3000,B860,$C$7:$C$3000,C860,$H$7:$H$3000,"&lt;"&amp;H860,$AH$7:$AH$3000,"yes")+COUNTIFS($B$7:B860,B860,$C$7:C860,C860,$H$7:H860,H860,$AH$7:AH860,"yes"),"")</f>
        <v>4</v>
      </c>
      <c r="AG860" s="110" t="n">
        <f aca="false">IF(ISNUMBER(I860),COUNTIFS($B$7:$B$3000,B860,$C$7:$C$3000,C860,$I$7:$I$3000,"&lt;"&amp;I860,$AI$7:$AI$3000,"yes")+COUNTIFS($B$7:B860,B860,$C$7:C860,C860,$I$7:I860,I860,$AI$7:AI860,"yes"),"")</f>
        <v>4</v>
      </c>
      <c r="AH860" s="110" t="str">
        <f aca="false">IF(ISNUMBER(H860),"yes","no")</f>
        <v>yes</v>
      </c>
      <c r="AI860" s="110" t="str">
        <f aca="false">IF(ISNUMBER(I860),"yes","no")</f>
        <v>yes</v>
      </c>
      <c r="AJ860" s="120" t="n">
        <v>46297</v>
      </c>
      <c r="AK860" s="110"/>
    </row>
    <row r="861" customFormat="false" ht="34.5" hidden="false" customHeight="true" outlineLevel="0" collapsed="false">
      <c r="B861" s="36" t="s">
        <v>58</v>
      </c>
      <c r="C861" s="98" t="s">
        <v>16</v>
      </c>
      <c r="D861" s="98" t="s">
        <v>329</v>
      </c>
      <c r="E861" s="110" t="s">
        <v>1875</v>
      </c>
      <c r="F861" s="99" t="n">
        <v>9.17</v>
      </c>
      <c r="G861" s="98" t="s">
        <v>244</v>
      </c>
      <c r="H861" s="112" t="n">
        <f aca="false">IF(AND(AE861="yes",ISNUMBER(AD861)),AD861,"")</f>
        <v>9.17</v>
      </c>
      <c r="I861" s="95" t="n">
        <f aca="false">IF(AND(AE861="yes",ISNUMBER(AD861),ISNUMBER(INDEX(Sources!$G$7:$G$10,MATCH(AB861,Sources!$B$7:$B$10,0)))),ROUND(AD861/INDEX(Sources!$G$7:$G$10,MATCH(AB861,Sources!$B$7:$B$10,0)),6),"")</f>
        <v>9.17</v>
      </c>
      <c r="J861" s="98" t="s">
        <v>530</v>
      </c>
      <c r="K861" s="98" t="s">
        <v>2059</v>
      </c>
      <c r="L861" s="96"/>
      <c r="M861" s="110" t="s">
        <v>2878</v>
      </c>
      <c r="N861" s="117" t="s">
        <v>2879</v>
      </c>
      <c r="O861" s="110" t="s">
        <v>598</v>
      </c>
      <c r="P861" s="110" t="s">
        <v>590</v>
      </c>
      <c r="Q861" s="118" t="n">
        <v>0.19</v>
      </c>
      <c r="R861" s="110" t="n">
        <v>1</v>
      </c>
      <c r="S861" s="110" t="s">
        <v>632</v>
      </c>
      <c r="T861" s="110" t="s">
        <v>530</v>
      </c>
      <c r="U861" s="110" t="s">
        <v>2062</v>
      </c>
      <c r="V861" s="119" t="n">
        <v>9.17</v>
      </c>
      <c r="W861" s="119"/>
      <c r="X861" s="110" t="s">
        <v>2063</v>
      </c>
      <c r="Y861" s="110" t="s">
        <v>2064</v>
      </c>
      <c r="Z861" s="110" t="s">
        <v>2680</v>
      </c>
      <c r="AA861" s="110" t="s">
        <v>537</v>
      </c>
      <c r="AB861" s="110" t="s">
        <v>244</v>
      </c>
      <c r="AC861" s="110" t="s">
        <v>538</v>
      </c>
      <c r="AD861" s="110" t="n">
        <f aca="false">IF(OR(F861="",Q861="",R861=""),"",ROUND(IF(P861="incl.",F861/(1+Q861),F861)/IF(S861="per pack",R861,1),2))</f>
        <v>9.17</v>
      </c>
      <c r="AE861" s="110" t="str">
        <f aca="false">IF(AND(AC861="yes",ISNUMBER(F861),IF(Compare!$H$5="All mapped",TRUE(),IF(Compare!$H$5="EXACT only",J861="EXACT",OR(J861="EXACT",J861="CLOSE")))),"yes","no")</f>
        <v>yes</v>
      </c>
      <c r="AF861" s="110" t="n">
        <f aca="false">IF(ISNUMBER(H861),COUNTIFS($B$7:$B$3000,B861,$C$7:$C$3000,C861,$H$7:$H$3000,"&lt;"&amp;H861,$AH$7:$AH$3000,"yes")+COUNTIFS($B$7:B861,B861,$C$7:C861,C861,$H$7:H861,H861,$AH$7:AH861,"yes"),"")</f>
        <v>2</v>
      </c>
      <c r="AG861" s="110" t="n">
        <f aca="false">IF(ISNUMBER(I861),COUNTIFS($B$7:$B$3000,B861,$C$7:$C$3000,C861,$I$7:$I$3000,"&lt;"&amp;I861,$AI$7:$AI$3000,"yes")+COUNTIFS($B$7:B861,B861,$C$7:C861,C861,$I$7:I861,I861,$AI$7:AI861,"yes"),"")</f>
        <v>2</v>
      </c>
      <c r="AH861" s="110" t="str">
        <f aca="false">IF(ISNUMBER(H861),"yes","no")</f>
        <v>yes</v>
      </c>
      <c r="AI861" s="110" t="str">
        <f aca="false">IF(ISNUMBER(I861),"yes","no")</f>
        <v>yes</v>
      </c>
      <c r="AJ861" s="120" t="n">
        <v>46297</v>
      </c>
      <c r="AK861" s="110"/>
    </row>
    <row r="862" customFormat="false" ht="34.5" hidden="false" customHeight="true" outlineLevel="0" collapsed="false">
      <c r="B862" s="36" t="s">
        <v>39</v>
      </c>
      <c r="C862" s="98" t="s">
        <v>16</v>
      </c>
      <c r="D862" s="98" t="s">
        <v>300</v>
      </c>
      <c r="E862" s="110" t="s">
        <v>2880</v>
      </c>
      <c r="F862" s="99" t="n">
        <v>213</v>
      </c>
      <c r="G862" s="98" t="s">
        <v>244</v>
      </c>
      <c r="H862" s="112" t="n">
        <f aca="false">IF(AND(AE862="yes",ISNUMBER(AD862)),AD862,"")</f>
        <v>213</v>
      </c>
      <c r="I862" s="95" t="n">
        <f aca="false">IF(AND(AE862="yes",ISNUMBER(AD862),ISNUMBER(INDEX(Sources!$G$7:$G$10,MATCH(AB862,Sources!$B$7:$B$10,0)))),ROUND(AD862/INDEX(Sources!$G$7:$G$10,MATCH(AB862,Sources!$B$7:$B$10,0)),6),"")</f>
        <v>213</v>
      </c>
      <c r="J862" s="98" t="s">
        <v>702</v>
      </c>
      <c r="K862" s="98" t="s">
        <v>2059</v>
      </c>
      <c r="L862" s="96"/>
      <c r="M862" s="110" t="s">
        <v>2881</v>
      </c>
      <c r="N862" s="117" t="s">
        <v>2882</v>
      </c>
      <c r="O862" s="110" t="s">
        <v>2883</v>
      </c>
      <c r="P862" s="110" t="s">
        <v>590</v>
      </c>
      <c r="Q862" s="118" t="n">
        <v>0.19</v>
      </c>
      <c r="R862" s="110" t="n">
        <v>1</v>
      </c>
      <c r="S862" s="110" t="s">
        <v>632</v>
      </c>
      <c r="T862" s="110" t="s">
        <v>702</v>
      </c>
      <c r="U862" s="110" t="s">
        <v>2062</v>
      </c>
      <c r="V862" s="119" t="n">
        <v>213</v>
      </c>
      <c r="W862" s="119"/>
      <c r="X862" s="110" t="s">
        <v>2063</v>
      </c>
      <c r="Y862" s="110" t="s">
        <v>2064</v>
      </c>
      <c r="Z862" s="110" t="s">
        <v>2884</v>
      </c>
      <c r="AA862" s="110" t="s">
        <v>537</v>
      </c>
      <c r="AB862" s="110" t="s">
        <v>244</v>
      </c>
      <c r="AC862" s="110" t="s">
        <v>538</v>
      </c>
      <c r="AD862" s="110" t="n">
        <f aca="false">IF(OR(F862="",Q862="",R862=""),"",ROUND(IF(P862="incl.",F862/(1+Q862),F862)/IF(S862="per pack",R862,1),2))</f>
        <v>213</v>
      </c>
      <c r="AE862" s="110" t="str">
        <f aca="false">IF(AND(AC862="yes",ISNUMBER(F862),IF(Compare!$H$5="All mapped",TRUE(),IF(Compare!$H$5="EXACT only",J862="EXACT",OR(J862="EXACT",J862="CLOSE")))),"yes","no")</f>
        <v>yes</v>
      </c>
      <c r="AF862" s="110" t="n">
        <f aca="false">IF(ISNUMBER(H862),COUNTIFS($B$7:$B$3000,B862,$C$7:$C$3000,C862,$H$7:$H$3000,"&lt;"&amp;H862,$AH$7:$AH$3000,"yes")+COUNTIFS($B$7:B862,B862,$C$7:C862,C862,$H$7:H862,H862,$AH$7:AH862,"yes"),"")</f>
        <v>2</v>
      </c>
      <c r="AG862" s="110" t="n">
        <f aca="false">IF(ISNUMBER(I862),COUNTIFS($B$7:$B$3000,B862,$C$7:$C$3000,C862,$I$7:$I$3000,"&lt;"&amp;I862,$AI$7:$AI$3000,"yes")+COUNTIFS($B$7:B862,B862,$C$7:C862,C862,$I$7:I862,I862,$AI$7:AI862,"yes"),"")</f>
        <v>2</v>
      </c>
      <c r="AH862" s="110" t="str">
        <f aca="false">IF(ISNUMBER(H862),"yes","no")</f>
        <v>yes</v>
      </c>
      <c r="AI862" s="110" t="str">
        <f aca="false">IF(ISNUMBER(I862),"yes","no")</f>
        <v>yes</v>
      </c>
      <c r="AJ862" s="120" t="n">
        <v>46297</v>
      </c>
      <c r="AK862" s="110"/>
    </row>
    <row r="863" customFormat="false" ht="34.5" hidden="false" customHeight="true" outlineLevel="0" collapsed="false">
      <c r="B863" s="36" t="s">
        <v>39</v>
      </c>
      <c r="C863" s="98" t="s">
        <v>16</v>
      </c>
      <c r="D863" s="98" t="s">
        <v>300</v>
      </c>
      <c r="E863" s="110" t="s">
        <v>2885</v>
      </c>
      <c r="F863" s="99" t="n">
        <v>290</v>
      </c>
      <c r="G863" s="98" t="s">
        <v>244</v>
      </c>
      <c r="H863" s="112" t="str">
        <f aca="false">IF(AND(AE863="yes",ISNUMBER(AD863)),AD863,"")</f>
        <v/>
      </c>
      <c r="I863" s="95" t="str">
        <f aca="false">IF(AND(AE863="yes",ISNUMBER(AD863),ISNUMBER(INDEX(Sources!$G$7:$G$10,MATCH(AB863,Sources!$B$7:$B$10,0)))),ROUND(AD863/INDEX(Sources!$G$7:$G$10,MATCH(AB863,Sources!$B$7:$B$10,0)),6),"")</f>
        <v/>
      </c>
      <c r="J863" s="98" t="s">
        <v>956</v>
      </c>
      <c r="K863" s="98" t="s">
        <v>2059</v>
      </c>
      <c r="L863" s="96"/>
      <c r="M863" s="110" t="s">
        <v>2886</v>
      </c>
      <c r="N863" s="117" t="s">
        <v>2887</v>
      </c>
      <c r="O863" s="110" t="s">
        <v>646</v>
      </c>
      <c r="P863" s="110" t="s">
        <v>590</v>
      </c>
      <c r="Q863" s="118" t="n">
        <v>0.19</v>
      </c>
      <c r="R863" s="110" t="n">
        <v>1</v>
      </c>
      <c r="S863" s="110" t="s">
        <v>632</v>
      </c>
      <c r="T863" s="110" t="s">
        <v>956</v>
      </c>
      <c r="U863" s="110" t="s">
        <v>2062</v>
      </c>
      <c r="V863" s="119" t="n">
        <v>290</v>
      </c>
      <c r="W863" s="119"/>
      <c r="X863" s="110" t="s">
        <v>2063</v>
      </c>
      <c r="Y863" s="110" t="s">
        <v>2064</v>
      </c>
      <c r="Z863" s="110" t="s">
        <v>2884</v>
      </c>
      <c r="AA863" s="110" t="s">
        <v>537</v>
      </c>
      <c r="AB863" s="110" t="s">
        <v>244</v>
      </c>
      <c r="AC863" s="110" t="s">
        <v>538</v>
      </c>
      <c r="AD863" s="110" t="n">
        <f aca="false">IF(OR(F863="",Q863="",R863=""),"",ROUND(IF(P863="incl.",F863/(1+Q863),F863)/IF(S863="per pack",R863,1),2))</f>
        <v>290</v>
      </c>
      <c r="AE863" s="110" t="str">
        <f aca="false">IF(AND(AC863="yes",ISNUMBER(F863),IF(Compare!$H$5="All mapped",TRUE(),IF(Compare!$H$5="EXACT only",J863="EXACT",OR(J863="EXACT",J863="CLOSE")))),"yes","no")</f>
        <v>no</v>
      </c>
      <c r="AF863" s="110" t="str">
        <f aca="false">IF(ISNUMBER(H863),COUNTIFS($B$7:$B$3000,B863,$C$7:$C$3000,C863,$H$7:$H$3000,"&lt;"&amp;H863,$AH$7:$AH$3000,"yes")+COUNTIFS($B$7:B863,B863,$C$7:C863,C863,$H$7:H863,H863,$AH$7:AH863,"yes"),"")</f>
        <v/>
      </c>
      <c r="AG863" s="110" t="str">
        <f aca="false">IF(ISNUMBER(I863),COUNTIFS($B$7:$B$3000,B863,$C$7:$C$3000,C863,$I$7:$I$3000,"&lt;"&amp;I863,$AI$7:$AI$3000,"yes")+COUNTIFS($B$7:B863,B863,$C$7:C863,C863,$I$7:I863,I863,$AI$7:AI863,"yes"),"")</f>
        <v/>
      </c>
      <c r="AH863" s="110" t="str">
        <f aca="false">IF(ISNUMBER(H863),"yes","no")</f>
        <v>no</v>
      </c>
      <c r="AI863" s="110" t="str">
        <f aca="false">IF(ISNUMBER(I863),"yes","no")</f>
        <v>no</v>
      </c>
      <c r="AJ863" s="120" t="n">
        <v>46297</v>
      </c>
      <c r="AK863" s="110"/>
    </row>
    <row r="864" customFormat="false" ht="34.5" hidden="false" customHeight="true" outlineLevel="0" collapsed="false">
      <c r="B864" s="36" t="s">
        <v>39</v>
      </c>
      <c r="C864" s="98" t="s">
        <v>16</v>
      </c>
      <c r="D864" s="98" t="s">
        <v>305</v>
      </c>
      <c r="E864" s="110" t="s">
        <v>2888</v>
      </c>
      <c r="F864" s="99" t="n">
        <v>274.97</v>
      </c>
      <c r="G864" s="98" t="s">
        <v>244</v>
      </c>
      <c r="H864" s="112" t="n">
        <f aca="false">IF(AND(AE864="yes",ISNUMBER(AD864)),AD864,"")</f>
        <v>274.97</v>
      </c>
      <c r="I864" s="95" t="n">
        <f aca="false">IF(AND(AE864="yes",ISNUMBER(AD864),ISNUMBER(INDEX(Sources!$G$7:$G$10,MATCH(AB864,Sources!$B$7:$B$10,0)))),ROUND(AD864/INDEX(Sources!$G$7:$G$10,MATCH(AB864,Sources!$B$7:$B$10,0)),6),"")</f>
        <v>274.97</v>
      </c>
      <c r="J864" s="98" t="s">
        <v>702</v>
      </c>
      <c r="K864" s="98" t="s">
        <v>2059</v>
      </c>
      <c r="L864" s="96"/>
      <c r="M864" s="110" t="s">
        <v>2889</v>
      </c>
      <c r="N864" s="117" t="s">
        <v>2890</v>
      </c>
      <c r="O864" s="110" t="s">
        <v>2576</v>
      </c>
      <c r="P864" s="110" t="s">
        <v>590</v>
      </c>
      <c r="Q864" s="118" t="n">
        <v>0.19</v>
      </c>
      <c r="R864" s="110" t="n">
        <v>1</v>
      </c>
      <c r="S864" s="110" t="s">
        <v>632</v>
      </c>
      <c r="T864" s="110" t="s">
        <v>702</v>
      </c>
      <c r="U864" s="110" t="s">
        <v>2062</v>
      </c>
      <c r="V864" s="119" t="n">
        <v>274.97</v>
      </c>
      <c r="W864" s="119"/>
      <c r="X864" s="110" t="s">
        <v>2063</v>
      </c>
      <c r="Y864" s="110" t="s">
        <v>2064</v>
      </c>
      <c r="Z864" s="110" t="s">
        <v>2891</v>
      </c>
      <c r="AA864" s="110" t="s">
        <v>537</v>
      </c>
      <c r="AB864" s="110" t="s">
        <v>244</v>
      </c>
      <c r="AC864" s="110" t="s">
        <v>538</v>
      </c>
      <c r="AD864" s="110" t="n">
        <f aca="false">IF(OR(F864="",Q864="",R864=""),"",ROUND(IF(P864="incl.",F864/(1+Q864),F864)/IF(S864="per pack",R864,1),2))</f>
        <v>274.97</v>
      </c>
      <c r="AE864" s="110" t="str">
        <f aca="false">IF(AND(AC864="yes",ISNUMBER(F864),IF(Compare!$H$5="All mapped",TRUE(),IF(Compare!$H$5="EXACT only",J864="EXACT",OR(J864="EXACT",J864="CLOSE")))),"yes","no")</f>
        <v>yes</v>
      </c>
      <c r="AF864" s="110" t="n">
        <f aca="false">IF(ISNUMBER(H864),COUNTIFS($B$7:$B$3000,B864,$C$7:$C$3000,C864,$H$7:$H$3000,"&lt;"&amp;H864,$AH$7:$AH$3000,"yes")+COUNTIFS($B$7:B864,B864,$C$7:C864,C864,$H$7:H864,H864,$AH$7:AH864,"yes"),"")</f>
        <v>8</v>
      </c>
      <c r="AG864" s="110" t="n">
        <f aca="false">IF(ISNUMBER(I864),COUNTIFS($B$7:$B$3000,B864,$C$7:$C$3000,C864,$I$7:$I$3000,"&lt;"&amp;I864,$AI$7:$AI$3000,"yes")+COUNTIFS($B$7:B864,B864,$C$7:C864,C864,$I$7:I864,I864,$AI$7:AI864,"yes"),"")</f>
        <v>8</v>
      </c>
      <c r="AH864" s="110" t="str">
        <f aca="false">IF(ISNUMBER(H864),"yes","no")</f>
        <v>yes</v>
      </c>
      <c r="AI864" s="110" t="str">
        <f aca="false">IF(ISNUMBER(I864),"yes","no")</f>
        <v>yes</v>
      </c>
      <c r="AJ864" s="120" t="n">
        <v>46297</v>
      </c>
      <c r="AK864" s="110"/>
    </row>
    <row r="865" customFormat="false" ht="45.75" hidden="false" customHeight="true" outlineLevel="0" collapsed="false">
      <c r="B865" s="36" t="s">
        <v>40</v>
      </c>
      <c r="C865" s="98" t="s">
        <v>16</v>
      </c>
      <c r="D865" s="98" t="s">
        <v>305</v>
      </c>
      <c r="E865" s="110" t="s">
        <v>2892</v>
      </c>
      <c r="F865" s="99" t="n">
        <v>12.66</v>
      </c>
      <c r="G865" s="98" t="s">
        <v>244</v>
      </c>
      <c r="H865" s="112" t="str">
        <f aca="false">IF(AND(AE865="yes",ISNUMBER(AD865)),AD865,"")</f>
        <v/>
      </c>
      <c r="I865" s="95" t="str">
        <f aca="false">IF(AND(AE865="yes",ISNUMBER(AD865),ISNUMBER(INDEX(Sources!$G$7:$G$10,MATCH(AB865,Sources!$B$7:$B$10,0)))),ROUND(AD865/INDEX(Sources!$G$7:$G$10,MATCH(AB865,Sources!$B$7:$B$10,0)),6),"")</f>
        <v/>
      </c>
      <c r="J865" s="98" t="s">
        <v>629</v>
      </c>
      <c r="K865" s="98" t="s">
        <v>2059</v>
      </c>
      <c r="L865" s="96"/>
      <c r="M865" s="110" t="s">
        <v>2893</v>
      </c>
      <c r="N865" s="117" t="s">
        <v>2894</v>
      </c>
      <c r="O865" s="110" t="s">
        <v>2576</v>
      </c>
      <c r="P865" s="110" t="s">
        <v>590</v>
      </c>
      <c r="Q865" s="118" t="n">
        <v>0.19</v>
      </c>
      <c r="R865" s="110" t="n">
        <v>1</v>
      </c>
      <c r="S865" s="110" t="s">
        <v>632</v>
      </c>
      <c r="T865" s="110" t="s">
        <v>629</v>
      </c>
      <c r="U865" s="110" t="s">
        <v>2062</v>
      </c>
      <c r="V865" s="119" t="n">
        <v>12.66</v>
      </c>
      <c r="W865" s="119"/>
      <c r="X865" s="110" t="s">
        <v>2063</v>
      </c>
      <c r="Y865" s="110" t="s">
        <v>2064</v>
      </c>
      <c r="Z865" s="110" t="s">
        <v>2105</v>
      </c>
      <c r="AA865" s="110" t="s">
        <v>537</v>
      </c>
      <c r="AB865" s="110" t="s">
        <v>244</v>
      </c>
      <c r="AC865" s="110" t="s">
        <v>538</v>
      </c>
      <c r="AD865" s="110" t="n">
        <f aca="false">IF(OR(F865="",Q865="",R865=""),"",ROUND(IF(P865="incl.",F865/(1+Q865),F865)/IF(S865="per pack",R865,1),2))</f>
        <v>12.66</v>
      </c>
      <c r="AE865" s="110" t="str">
        <f aca="false">IF(AND(AC865="yes",ISNUMBER(F865),IF(Compare!$H$5="All mapped",TRUE(),IF(Compare!$H$5="EXACT only",J865="EXACT",OR(J865="EXACT",J865="CLOSE")))),"yes","no")</f>
        <v>no</v>
      </c>
      <c r="AF865" s="110" t="str">
        <f aca="false">IF(ISNUMBER(H865),COUNTIFS($B$7:$B$3000,B865,$C$7:$C$3000,C865,$H$7:$H$3000,"&lt;"&amp;H865,$AH$7:$AH$3000,"yes")+COUNTIFS($B$7:B865,B865,$C$7:C865,C865,$H$7:H865,H865,$AH$7:AH865,"yes"),"")</f>
        <v/>
      </c>
      <c r="AG865" s="110" t="str">
        <f aca="false">IF(ISNUMBER(I865),COUNTIFS($B$7:$B$3000,B865,$C$7:$C$3000,C865,$I$7:$I$3000,"&lt;"&amp;I865,$AI$7:$AI$3000,"yes")+COUNTIFS($B$7:B865,B865,$C$7:C865,C865,$I$7:I865,I865,$AI$7:AI865,"yes"),"")</f>
        <v/>
      </c>
      <c r="AH865" s="110" t="str">
        <f aca="false">IF(ISNUMBER(H865),"yes","no")</f>
        <v>no</v>
      </c>
      <c r="AI865" s="110" t="str">
        <f aca="false">IF(ISNUMBER(I865),"yes","no")</f>
        <v>no</v>
      </c>
      <c r="AJ865" s="120" t="n">
        <v>46297</v>
      </c>
      <c r="AK865" s="110"/>
    </row>
    <row r="866" customFormat="false" ht="34.5" hidden="false" customHeight="true" outlineLevel="0" collapsed="false">
      <c r="B866" s="36" t="s">
        <v>39</v>
      </c>
      <c r="C866" s="98" t="s">
        <v>16</v>
      </c>
      <c r="D866" s="98" t="s">
        <v>325</v>
      </c>
      <c r="E866" s="110" t="s">
        <v>2262</v>
      </c>
      <c r="F866" s="99" t="n">
        <v>221.99</v>
      </c>
      <c r="G866" s="98" t="s">
        <v>244</v>
      </c>
      <c r="H866" s="112" t="n">
        <f aca="false">IF(AND(AE866="yes",ISNUMBER(AD866)),AD866,"")</f>
        <v>221.99</v>
      </c>
      <c r="I866" s="95" t="n">
        <f aca="false">IF(AND(AE866="yes",ISNUMBER(AD866),ISNUMBER(INDEX(Sources!$G$7:$G$10,MATCH(AB866,Sources!$B$7:$B$10,0)))),ROUND(AD866/INDEX(Sources!$G$7:$G$10,MATCH(AB866,Sources!$B$7:$B$10,0)),6),"")</f>
        <v>221.99</v>
      </c>
      <c r="J866" s="98" t="s">
        <v>702</v>
      </c>
      <c r="K866" s="98" t="s">
        <v>2059</v>
      </c>
      <c r="L866" s="96"/>
      <c r="M866" s="110" t="s">
        <v>2895</v>
      </c>
      <c r="N866" s="117" t="s">
        <v>2896</v>
      </c>
      <c r="O866" s="110" t="s">
        <v>2265</v>
      </c>
      <c r="P866" s="110" t="s">
        <v>590</v>
      </c>
      <c r="Q866" s="118" t="n">
        <v>0.19</v>
      </c>
      <c r="R866" s="110" t="n">
        <v>1</v>
      </c>
      <c r="S866" s="110" t="s">
        <v>632</v>
      </c>
      <c r="T866" s="110" t="s">
        <v>702</v>
      </c>
      <c r="U866" s="110" t="s">
        <v>2062</v>
      </c>
      <c r="V866" s="119" t="n">
        <v>221.99</v>
      </c>
      <c r="W866" s="119"/>
      <c r="X866" s="110" t="s">
        <v>2063</v>
      </c>
      <c r="Y866" s="110" t="s">
        <v>2064</v>
      </c>
      <c r="Z866" s="110" t="s">
        <v>2897</v>
      </c>
      <c r="AA866" s="110" t="s">
        <v>537</v>
      </c>
      <c r="AB866" s="110" t="s">
        <v>244</v>
      </c>
      <c r="AC866" s="110" t="s">
        <v>538</v>
      </c>
      <c r="AD866" s="110" t="n">
        <f aca="false">IF(OR(F866="",Q866="",R866=""),"",ROUND(IF(P866="incl.",F866/(1+Q866),F866)/IF(S866="per pack",R866,1),2))</f>
        <v>221.99</v>
      </c>
      <c r="AE866" s="110" t="str">
        <f aca="false">IF(AND(AC866="yes",ISNUMBER(F866),IF(Compare!$H$5="All mapped",TRUE(),IF(Compare!$H$5="EXACT only",J866="EXACT",OR(J866="EXACT",J866="CLOSE")))),"yes","no")</f>
        <v>yes</v>
      </c>
      <c r="AF866" s="110" t="n">
        <f aca="false">IF(ISNUMBER(H866),COUNTIFS($B$7:$B$3000,B866,$C$7:$C$3000,C866,$H$7:$H$3000,"&lt;"&amp;H866,$AH$7:$AH$3000,"yes")+COUNTIFS($B$7:B866,B866,$C$7:C866,C866,$H$7:H866,H866,$AH$7:AH866,"yes"),"")</f>
        <v>3</v>
      </c>
      <c r="AG866" s="110" t="n">
        <f aca="false">IF(ISNUMBER(I866),COUNTIFS($B$7:$B$3000,B866,$C$7:$C$3000,C866,$I$7:$I$3000,"&lt;"&amp;I866,$AI$7:$AI$3000,"yes")+COUNTIFS($B$7:B866,B866,$C$7:C866,C866,$I$7:I866,I866,$AI$7:AI866,"yes"),"")</f>
        <v>3</v>
      </c>
      <c r="AH866" s="110" t="str">
        <f aca="false">IF(ISNUMBER(H866),"yes","no")</f>
        <v>yes</v>
      </c>
      <c r="AI866" s="110" t="str">
        <f aca="false">IF(ISNUMBER(I866),"yes","no")</f>
        <v>yes</v>
      </c>
      <c r="AJ866" s="120" t="n">
        <v>46297</v>
      </c>
      <c r="AK866" s="110"/>
    </row>
    <row r="867" customFormat="false" ht="34.5" hidden="false" customHeight="true" outlineLevel="0" collapsed="false">
      <c r="B867" s="36" t="s">
        <v>39</v>
      </c>
      <c r="C867" s="98" t="s">
        <v>16</v>
      </c>
      <c r="D867" s="98" t="s">
        <v>325</v>
      </c>
      <c r="E867" s="110" t="s">
        <v>2898</v>
      </c>
      <c r="F867" s="99" t="n">
        <v>155</v>
      </c>
      <c r="G867" s="98" t="s">
        <v>244</v>
      </c>
      <c r="H867" s="112" t="str">
        <f aca="false">IF(AND(AE867="yes",ISNUMBER(AD867)),AD867,"")</f>
        <v/>
      </c>
      <c r="I867" s="95" t="str">
        <f aca="false">IF(AND(AE867="yes",ISNUMBER(AD867),ISNUMBER(INDEX(Sources!$G$7:$G$10,MATCH(AB867,Sources!$B$7:$B$10,0)))),ROUND(AD867/INDEX(Sources!$G$7:$G$10,MATCH(AB867,Sources!$B$7:$B$10,0)),6),"")</f>
        <v/>
      </c>
      <c r="J867" s="98" t="s">
        <v>629</v>
      </c>
      <c r="K867" s="98" t="s">
        <v>2059</v>
      </c>
      <c r="L867" s="96"/>
      <c r="M867" s="110" t="s">
        <v>2899</v>
      </c>
      <c r="N867" s="117" t="s">
        <v>2900</v>
      </c>
      <c r="O867" s="110" t="s">
        <v>2265</v>
      </c>
      <c r="P867" s="110" t="s">
        <v>590</v>
      </c>
      <c r="Q867" s="118" t="n">
        <v>0.19</v>
      </c>
      <c r="R867" s="110" t="n">
        <v>1</v>
      </c>
      <c r="S867" s="110" t="s">
        <v>632</v>
      </c>
      <c r="T867" s="110" t="s">
        <v>629</v>
      </c>
      <c r="U867" s="110" t="s">
        <v>2062</v>
      </c>
      <c r="V867" s="119" t="n">
        <v>155</v>
      </c>
      <c r="W867" s="119"/>
      <c r="X867" s="110" t="s">
        <v>2063</v>
      </c>
      <c r="Y867" s="110" t="s">
        <v>2064</v>
      </c>
      <c r="Z867" s="110" t="s">
        <v>2607</v>
      </c>
      <c r="AA867" s="110" t="s">
        <v>537</v>
      </c>
      <c r="AB867" s="110" t="s">
        <v>244</v>
      </c>
      <c r="AC867" s="110" t="s">
        <v>538</v>
      </c>
      <c r="AD867" s="110" t="n">
        <f aca="false">IF(OR(F867="",Q867="",R867=""),"",ROUND(IF(P867="incl.",F867/(1+Q867),F867)/IF(S867="per pack",R867,1),2))</f>
        <v>155</v>
      </c>
      <c r="AE867" s="110" t="str">
        <f aca="false">IF(AND(AC867="yes",ISNUMBER(F867),IF(Compare!$H$5="All mapped",TRUE(),IF(Compare!$H$5="EXACT only",J867="EXACT",OR(J867="EXACT",J867="CLOSE")))),"yes","no")</f>
        <v>no</v>
      </c>
      <c r="AF867" s="110" t="str">
        <f aca="false">IF(ISNUMBER(H867),COUNTIFS($B$7:$B$3000,B867,$C$7:$C$3000,C867,$H$7:$H$3000,"&lt;"&amp;H867,$AH$7:$AH$3000,"yes")+COUNTIFS($B$7:B867,B867,$C$7:C867,C867,$H$7:H867,H867,$AH$7:AH867,"yes"),"")</f>
        <v/>
      </c>
      <c r="AG867" s="110" t="str">
        <f aca="false">IF(ISNUMBER(I867),COUNTIFS($B$7:$B$3000,B867,$C$7:$C$3000,C867,$I$7:$I$3000,"&lt;"&amp;I867,$AI$7:$AI$3000,"yes")+COUNTIFS($B$7:B867,B867,$C$7:C867,C867,$I$7:I867,I867,$AI$7:AI867,"yes"),"")</f>
        <v/>
      </c>
      <c r="AH867" s="110" t="str">
        <f aca="false">IF(ISNUMBER(H867),"yes","no")</f>
        <v>no</v>
      </c>
      <c r="AI867" s="110" t="str">
        <f aca="false">IF(ISNUMBER(I867),"yes","no")</f>
        <v>no</v>
      </c>
      <c r="AJ867" s="120" t="n">
        <v>46297</v>
      </c>
      <c r="AK867" s="110"/>
    </row>
    <row r="868" customFormat="false" ht="45.75" hidden="false" customHeight="true" outlineLevel="0" collapsed="false">
      <c r="B868" s="36" t="s">
        <v>40</v>
      </c>
      <c r="C868" s="98" t="s">
        <v>16</v>
      </c>
      <c r="D868" s="98" t="s">
        <v>325</v>
      </c>
      <c r="E868" s="110" t="s">
        <v>2901</v>
      </c>
      <c r="F868" s="99" t="n">
        <v>4.9</v>
      </c>
      <c r="G868" s="98" t="s">
        <v>244</v>
      </c>
      <c r="H868" s="112" t="str">
        <f aca="false">IF(AND(AE868="yes",ISNUMBER(AD868)),AD868,"")</f>
        <v/>
      </c>
      <c r="I868" s="95" t="str">
        <f aca="false">IF(AND(AE868="yes",ISNUMBER(AD868),ISNUMBER(INDEX(Sources!$G$7:$G$10,MATCH(AB868,Sources!$B$7:$B$10,0)))),ROUND(AD868/INDEX(Sources!$G$7:$G$10,MATCH(AB868,Sources!$B$7:$B$10,0)),6),"")</f>
        <v/>
      </c>
      <c r="J868" s="98" t="s">
        <v>629</v>
      </c>
      <c r="K868" s="98" t="s">
        <v>2059</v>
      </c>
      <c r="L868" s="96"/>
      <c r="M868" s="110" t="s">
        <v>2902</v>
      </c>
      <c r="N868" s="117" t="s">
        <v>2903</v>
      </c>
      <c r="O868" s="110" t="s">
        <v>733</v>
      </c>
      <c r="P868" s="110" t="s">
        <v>590</v>
      </c>
      <c r="Q868" s="118" t="n">
        <v>0.19</v>
      </c>
      <c r="R868" s="110" t="n">
        <v>1</v>
      </c>
      <c r="S868" s="110" t="s">
        <v>632</v>
      </c>
      <c r="T868" s="110" t="s">
        <v>629</v>
      </c>
      <c r="U868" s="110" t="s">
        <v>2062</v>
      </c>
      <c r="V868" s="119" t="n">
        <v>4.9</v>
      </c>
      <c r="W868" s="119"/>
      <c r="X868" s="110" t="s">
        <v>2063</v>
      </c>
      <c r="Y868" s="110" t="s">
        <v>2064</v>
      </c>
      <c r="Z868" s="110" t="s">
        <v>2904</v>
      </c>
      <c r="AA868" s="110" t="s">
        <v>537</v>
      </c>
      <c r="AB868" s="110" t="s">
        <v>244</v>
      </c>
      <c r="AC868" s="110" t="s">
        <v>538</v>
      </c>
      <c r="AD868" s="110" t="n">
        <f aca="false">IF(OR(F868="",Q868="",R868=""),"",ROUND(IF(P868="incl.",F868/(1+Q868),F868)/IF(S868="per pack",R868,1),2))</f>
        <v>4.9</v>
      </c>
      <c r="AE868" s="110" t="str">
        <f aca="false">IF(AND(AC868="yes",ISNUMBER(F868),IF(Compare!$H$5="All mapped",TRUE(),IF(Compare!$H$5="EXACT only",J868="EXACT",OR(J868="EXACT",J868="CLOSE")))),"yes","no")</f>
        <v>no</v>
      </c>
      <c r="AF868" s="110" t="str">
        <f aca="false">IF(ISNUMBER(H868),COUNTIFS($B$7:$B$3000,B868,$C$7:$C$3000,C868,$H$7:$H$3000,"&lt;"&amp;H868,$AH$7:$AH$3000,"yes")+COUNTIFS($B$7:B868,B868,$C$7:C868,C868,$H$7:H868,H868,$AH$7:AH868,"yes"),"")</f>
        <v/>
      </c>
      <c r="AG868" s="110" t="str">
        <f aca="false">IF(ISNUMBER(I868),COUNTIFS($B$7:$B$3000,B868,$C$7:$C$3000,C868,$I$7:$I$3000,"&lt;"&amp;I868,$AI$7:$AI$3000,"yes")+COUNTIFS($B$7:B868,B868,$C$7:C868,C868,$I$7:I868,I868,$AI$7:AI868,"yes"),"")</f>
        <v/>
      </c>
      <c r="AH868" s="110" t="str">
        <f aca="false">IF(ISNUMBER(H868),"yes","no")</f>
        <v>no</v>
      </c>
      <c r="AI868" s="110" t="str">
        <f aca="false">IF(ISNUMBER(I868),"yes","no")</f>
        <v>no</v>
      </c>
      <c r="AJ868" s="120" t="n">
        <v>46297</v>
      </c>
      <c r="AK868" s="110"/>
    </row>
    <row r="869" customFormat="false" ht="34.5" hidden="false" customHeight="true" outlineLevel="0" collapsed="false">
      <c r="B869" s="36" t="s">
        <v>41</v>
      </c>
      <c r="C869" s="98" t="s">
        <v>16</v>
      </c>
      <c r="D869" s="98" t="s">
        <v>325</v>
      </c>
      <c r="E869" s="110" t="s">
        <v>2905</v>
      </c>
      <c r="F869" s="99" t="n">
        <v>23.39</v>
      </c>
      <c r="G869" s="98" t="s">
        <v>244</v>
      </c>
      <c r="H869" s="112" t="n">
        <f aca="false">IF(AND(AE869="yes",ISNUMBER(AD869)),AD869,"")</f>
        <v>23.39</v>
      </c>
      <c r="I869" s="95" t="n">
        <f aca="false">IF(AND(AE869="yes",ISNUMBER(AD869),ISNUMBER(INDEX(Sources!$G$7:$G$10,MATCH(AB869,Sources!$B$7:$B$10,0)))),ROUND(AD869/INDEX(Sources!$G$7:$G$10,MATCH(AB869,Sources!$B$7:$B$10,0)),6),"")</f>
        <v>23.39</v>
      </c>
      <c r="J869" s="98" t="s">
        <v>702</v>
      </c>
      <c r="K869" s="98" t="s">
        <v>2059</v>
      </c>
      <c r="L869" s="96"/>
      <c r="M869" s="110" t="s">
        <v>2906</v>
      </c>
      <c r="N869" s="117" t="s">
        <v>2907</v>
      </c>
      <c r="O869" s="110" t="s">
        <v>662</v>
      </c>
      <c r="P869" s="110" t="s">
        <v>590</v>
      </c>
      <c r="Q869" s="118" t="n">
        <v>0.19</v>
      </c>
      <c r="R869" s="110" t="n">
        <v>1</v>
      </c>
      <c r="S869" s="110" t="s">
        <v>632</v>
      </c>
      <c r="T869" s="110" t="s">
        <v>702</v>
      </c>
      <c r="U869" s="110" t="s">
        <v>2062</v>
      </c>
      <c r="V869" s="119" t="n">
        <v>23.39</v>
      </c>
      <c r="W869" s="119"/>
      <c r="X869" s="110" t="s">
        <v>2063</v>
      </c>
      <c r="Y869" s="110" t="s">
        <v>2064</v>
      </c>
      <c r="Z869" s="110" t="s">
        <v>2908</v>
      </c>
      <c r="AA869" s="110" t="s">
        <v>537</v>
      </c>
      <c r="AB869" s="110" t="s">
        <v>244</v>
      </c>
      <c r="AC869" s="110" t="s">
        <v>538</v>
      </c>
      <c r="AD869" s="110" t="n">
        <f aca="false">IF(OR(F869="",Q869="",R869=""),"",ROUND(IF(P869="incl.",F869/(1+Q869),F869)/IF(S869="per pack",R869,1),2))</f>
        <v>23.39</v>
      </c>
      <c r="AE869" s="110" t="str">
        <f aca="false">IF(AND(AC869="yes",ISNUMBER(F869),IF(Compare!$H$5="All mapped",TRUE(),IF(Compare!$H$5="EXACT only",J869="EXACT",OR(J869="EXACT",J869="CLOSE")))),"yes","no")</f>
        <v>yes</v>
      </c>
      <c r="AF869" s="110" t="n">
        <f aca="false">IF(ISNUMBER(H869),COUNTIFS($B$7:$B$3000,B869,$C$7:$C$3000,C869,$H$7:$H$3000,"&lt;"&amp;H869,$AH$7:$AH$3000,"yes")+COUNTIFS($B$7:B869,B869,$C$7:C869,C869,$H$7:H869,H869,$AH$7:AH869,"yes"),"")</f>
        <v>1</v>
      </c>
      <c r="AG869" s="110" t="n">
        <f aca="false">IF(ISNUMBER(I869),COUNTIFS($B$7:$B$3000,B869,$C$7:$C$3000,C869,$I$7:$I$3000,"&lt;"&amp;I869,$AI$7:$AI$3000,"yes")+COUNTIFS($B$7:B869,B869,$C$7:C869,C869,$I$7:I869,I869,$AI$7:AI869,"yes"),"")</f>
        <v>1</v>
      </c>
      <c r="AH869" s="110" t="str">
        <f aca="false">IF(ISNUMBER(H869),"yes","no")</f>
        <v>yes</v>
      </c>
      <c r="AI869" s="110" t="str">
        <f aca="false">IF(ISNUMBER(I869),"yes","no")</f>
        <v>yes</v>
      </c>
      <c r="AJ869" s="120" t="n">
        <v>46297</v>
      </c>
      <c r="AK869" s="110"/>
    </row>
    <row r="870" customFormat="false" ht="35.05" hidden="false" customHeight="false" outlineLevel="0" collapsed="false">
      <c r="B870" s="36" t="s">
        <v>66</v>
      </c>
      <c r="C870" s="98" t="s">
        <v>14</v>
      </c>
      <c r="D870" s="98" t="s">
        <v>373</v>
      </c>
      <c r="E870" s="110" t="s">
        <v>2909</v>
      </c>
      <c r="F870" s="99" t="n">
        <v>83.9</v>
      </c>
      <c r="G870" s="98" t="s">
        <v>374</v>
      </c>
      <c r="H870" s="112" t="n">
        <f aca="false">IF(AND(AE870="yes",ISNUMBER(AD870)),AD870,"")</f>
        <v>83.9</v>
      </c>
      <c r="I870" s="95" t="n">
        <f aca="false">IF(AND(AE870="yes",ISNUMBER(AD870),ISNUMBER(INDEX(Sources!$G$7:$G$10,MATCH(AB870,Sources!$B$7:$B$10,0)))),ROUND(AD870/INDEX(Sources!$G$7:$G$10,MATCH(AB870,Sources!$B$7:$B$10,0)),6),"")</f>
        <v>15.897252</v>
      </c>
      <c r="J870" s="98" t="s">
        <v>530</v>
      </c>
      <c r="K870" s="98" t="s">
        <v>2059</v>
      </c>
      <c r="L870" s="96"/>
      <c r="M870" s="110" t="s">
        <v>2910</v>
      </c>
      <c r="N870" s="117" t="s">
        <v>2911</v>
      </c>
      <c r="O870" s="110" t="s">
        <v>2912</v>
      </c>
      <c r="P870" s="110" t="s">
        <v>590</v>
      </c>
      <c r="Q870" s="118" t="n">
        <v>0.21</v>
      </c>
      <c r="R870" s="110" t="n">
        <v>1</v>
      </c>
      <c r="S870" s="110" t="s">
        <v>632</v>
      </c>
      <c r="T870" s="110" t="s">
        <v>530</v>
      </c>
      <c r="U870" s="110" t="s">
        <v>2913</v>
      </c>
      <c r="V870" s="119" t="n">
        <v>83.9</v>
      </c>
      <c r="W870" s="119"/>
      <c r="X870" s="110" t="s">
        <v>2063</v>
      </c>
      <c r="Y870" s="110" t="s">
        <v>2064</v>
      </c>
      <c r="Z870" s="110"/>
      <c r="AA870" s="110" t="s">
        <v>537</v>
      </c>
      <c r="AB870" s="110" t="s">
        <v>374</v>
      </c>
      <c r="AC870" s="110" t="s">
        <v>538</v>
      </c>
      <c r="AD870" s="110" t="n">
        <f aca="false">IF(OR(F870="",Q870="",R870=""),"",ROUND(IF(P870="incl.",F870/(1+Q870),F870)/IF(S870="per pack",R870,1),2))</f>
        <v>83.9</v>
      </c>
      <c r="AE870" s="110" t="str">
        <f aca="false">IF(AND(AC870="yes",ISNUMBER(F870),IF(Compare!$H$5="All mapped",TRUE(),IF(Compare!$H$5="EXACT only",J870="EXACT",OR(J870="EXACT",J870="CLOSE")))),"yes","no")</f>
        <v>yes</v>
      </c>
      <c r="AF870" s="110" t="n">
        <f aca="false">IF(ISNUMBER(H870),COUNTIFS($B$7:$B$3000,B870,$C$7:$C$3000,C870,$H$7:$H$3000,"&lt;"&amp;H870,$AH$7:$AH$3000,"yes")+COUNTIFS($B$7:B870,B870,$C$7:C870,C870,$H$7:H870,H870,$AH$7:AH870,"yes"),"")</f>
        <v>3</v>
      </c>
      <c r="AG870" s="110" t="n">
        <f aca="false">IF(ISNUMBER(I870),COUNTIFS($B$7:$B$3000,B870,$C$7:$C$3000,C870,$I$7:$I$3000,"&lt;"&amp;I870,$AI$7:$AI$3000,"yes")+COUNTIFS($B$7:B870,B870,$C$7:C870,C870,$I$7:I870,I870,$AI$7:AI870,"yes"),"")</f>
        <v>3</v>
      </c>
      <c r="AH870" s="110" t="str">
        <f aca="false">IF(ISNUMBER(H870),"yes","no")</f>
        <v>yes</v>
      </c>
      <c r="AI870" s="110" t="str">
        <f aca="false">IF(ISNUMBER(I870),"yes","no")</f>
        <v>yes</v>
      </c>
      <c r="AJ870" s="120" t="n">
        <v>46297</v>
      </c>
      <c r="AK870" s="110"/>
    </row>
    <row r="871" customFormat="false" ht="23.85" hidden="false" customHeight="false" outlineLevel="0" collapsed="false">
      <c r="B871" s="36" t="s">
        <v>66</v>
      </c>
      <c r="C871" s="98" t="s">
        <v>14</v>
      </c>
      <c r="D871" s="98" t="s">
        <v>378</v>
      </c>
      <c r="E871" s="110" t="s">
        <v>2914</v>
      </c>
      <c r="F871" s="99" t="n">
        <v>125.56</v>
      </c>
      <c r="G871" s="98" t="s">
        <v>374</v>
      </c>
      <c r="H871" s="112" t="n">
        <f aca="false">IF(AND(AE871="yes",ISNUMBER(AD871)),AD871,"")</f>
        <v>103.77</v>
      </c>
      <c r="I871" s="95" t="n">
        <f aca="false">IF(AND(AE871="yes",ISNUMBER(AD871),ISNUMBER(INDEX(Sources!$G$7:$G$10,MATCH(AB871,Sources!$B$7:$B$10,0)))),ROUND(AD871/INDEX(Sources!$G$7:$G$10,MATCH(AB871,Sources!$B$7:$B$10,0)),6),"")</f>
        <v>19.662191</v>
      </c>
      <c r="J871" s="98" t="s">
        <v>530</v>
      </c>
      <c r="K871" s="98" t="s">
        <v>2059</v>
      </c>
      <c r="L871" s="96"/>
      <c r="M871" s="110" t="s">
        <v>2915</v>
      </c>
      <c r="N871" s="117" t="s">
        <v>2916</v>
      </c>
      <c r="O871" s="110" t="s">
        <v>2917</v>
      </c>
      <c r="P871" s="110" t="s">
        <v>265</v>
      </c>
      <c r="Q871" s="118" t="n">
        <v>0.21</v>
      </c>
      <c r="R871" s="110" t="n">
        <v>1</v>
      </c>
      <c r="S871" s="110" t="s">
        <v>632</v>
      </c>
      <c r="T871" s="110" t="s">
        <v>530</v>
      </c>
      <c r="U871" s="110" t="s">
        <v>2918</v>
      </c>
      <c r="V871" s="119" t="n">
        <v>103.77</v>
      </c>
      <c r="W871" s="119"/>
      <c r="X871" s="110" t="s">
        <v>2063</v>
      </c>
      <c r="Y871" s="110" t="s">
        <v>2064</v>
      </c>
      <c r="Z871" s="110"/>
      <c r="AA871" s="110" t="s">
        <v>537</v>
      </c>
      <c r="AB871" s="110" t="s">
        <v>374</v>
      </c>
      <c r="AC871" s="110" t="s">
        <v>538</v>
      </c>
      <c r="AD871" s="110" t="n">
        <f aca="false">IF(OR(F871="",Q871="",R871=""),"",ROUND(IF(P871="incl.",F871/(1+Q871),F871)/IF(S871="per pack",R871,1),2))</f>
        <v>103.77</v>
      </c>
      <c r="AE871" s="110" t="str">
        <f aca="false">IF(AND(AC871="yes",ISNUMBER(F871),IF(Compare!$H$5="All mapped",TRUE(),IF(Compare!$H$5="EXACT only",J871="EXACT",OR(J871="EXACT",J871="CLOSE")))),"yes","no")</f>
        <v>yes</v>
      </c>
      <c r="AF871" s="110" t="n">
        <f aca="false">IF(ISNUMBER(H871),COUNTIFS($B$7:$B$3000,B871,$C$7:$C$3000,C871,$H$7:$H$3000,"&lt;"&amp;H871,$AH$7:$AH$3000,"yes")+COUNTIFS($B$7:B871,B871,$C$7:C871,C871,$H$7:H871,H871,$AH$7:AH871,"yes"),"")</f>
        <v>4</v>
      </c>
      <c r="AG871" s="110" t="n">
        <f aca="false">IF(ISNUMBER(I871),COUNTIFS($B$7:$B$3000,B871,$C$7:$C$3000,C871,$I$7:$I$3000,"&lt;"&amp;I871,$AI$7:$AI$3000,"yes")+COUNTIFS($B$7:B871,B871,$C$7:C871,C871,$I$7:I871,I871,$AI$7:AI871,"yes"),"")</f>
        <v>4</v>
      </c>
      <c r="AH871" s="110" t="str">
        <f aca="false">IF(ISNUMBER(H871),"yes","no")</f>
        <v>yes</v>
      </c>
      <c r="AI871" s="110" t="str">
        <f aca="false">IF(ISNUMBER(I871),"yes","no")</f>
        <v>yes</v>
      </c>
      <c r="AJ871" s="120" t="n">
        <v>46297</v>
      </c>
      <c r="AK871" s="110"/>
    </row>
    <row r="872" customFormat="false" ht="35.05" hidden="false" customHeight="false" outlineLevel="0" collapsed="false">
      <c r="B872" s="36" t="s">
        <v>66</v>
      </c>
      <c r="C872" s="98" t="s">
        <v>14</v>
      </c>
      <c r="D872" s="98" t="s">
        <v>346</v>
      </c>
      <c r="E872" s="110" t="s">
        <v>2919</v>
      </c>
      <c r="F872" s="99" t="n">
        <v>171.15</v>
      </c>
      <c r="G872" s="98" t="s">
        <v>374</v>
      </c>
      <c r="H872" s="112" t="n">
        <f aca="false">IF(AND(AE872="yes",ISNUMBER(AD872)),AD872,"")</f>
        <v>141.45</v>
      </c>
      <c r="I872" s="95" t="n">
        <f aca="false">IF(AND(AE872="yes",ISNUMBER(AD872),ISNUMBER(INDEX(Sources!$G$7:$G$10,MATCH(AB872,Sources!$B$7:$B$10,0)))),ROUND(AD872/INDEX(Sources!$G$7:$G$10,MATCH(AB872,Sources!$B$7:$B$10,0)),6),"")</f>
        <v>26.801744</v>
      </c>
      <c r="J872" s="98" t="s">
        <v>530</v>
      </c>
      <c r="K872" s="98" t="s">
        <v>2059</v>
      </c>
      <c r="L872" s="96"/>
      <c r="M872" s="110" t="s">
        <v>2920</v>
      </c>
      <c r="N872" s="117" t="s">
        <v>2921</v>
      </c>
      <c r="O872" s="110" t="s">
        <v>565</v>
      </c>
      <c r="P872" s="110" t="s">
        <v>265</v>
      </c>
      <c r="Q872" s="118" t="n">
        <v>0.21</v>
      </c>
      <c r="R872" s="110" t="n">
        <v>1</v>
      </c>
      <c r="S872" s="110" t="s">
        <v>632</v>
      </c>
      <c r="T872" s="110" t="s">
        <v>530</v>
      </c>
      <c r="U872" s="110" t="s">
        <v>2918</v>
      </c>
      <c r="V872" s="119" t="n">
        <v>141.45</v>
      </c>
      <c r="W872" s="119"/>
      <c r="X872" s="110" t="s">
        <v>2063</v>
      </c>
      <c r="Y872" s="110" t="s">
        <v>2064</v>
      </c>
      <c r="Z872" s="110"/>
      <c r="AA872" s="110" t="s">
        <v>537</v>
      </c>
      <c r="AB872" s="110" t="s">
        <v>374</v>
      </c>
      <c r="AC872" s="110" t="s">
        <v>538</v>
      </c>
      <c r="AD872" s="110" t="n">
        <f aca="false">IF(OR(F872="",Q872="",R872=""),"",ROUND(IF(P872="incl.",F872/(1+Q872),F872)/IF(S872="per pack",R872,1),2))</f>
        <v>141.45</v>
      </c>
      <c r="AE872" s="110" t="str">
        <f aca="false">IF(AND(AC872="yes",ISNUMBER(F872),IF(Compare!$H$5="All mapped",TRUE(),IF(Compare!$H$5="EXACT only",J872="EXACT",OR(J872="EXACT",J872="CLOSE")))),"yes","no")</f>
        <v>yes</v>
      </c>
      <c r="AF872" s="110" t="n">
        <f aca="false">IF(ISNUMBER(H872),COUNTIFS($B$7:$B$3000,B872,$C$7:$C$3000,C872,$H$7:$H$3000,"&lt;"&amp;H872,$AH$7:$AH$3000,"yes")+COUNTIFS($B$7:B872,B872,$C$7:C872,C872,$H$7:H872,H872,$AH$7:AH872,"yes"),"")</f>
        <v>5</v>
      </c>
      <c r="AG872" s="110" t="n">
        <f aca="false">IF(ISNUMBER(I872),COUNTIFS($B$7:$B$3000,B872,$C$7:$C$3000,C872,$I$7:$I$3000,"&lt;"&amp;I872,$AI$7:$AI$3000,"yes")+COUNTIFS($B$7:B872,B872,$C$7:C872,C872,$I$7:I872,I872,$AI$7:AI872,"yes"),"")</f>
        <v>5</v>
      </c>
      <c r="AH872" s="110" t="str">
        <f aca="false">IF(ISNUMBER(H872),"yes","no")</f>
        <v>yes</v>
      </c>
      <c r="AI872" s="110" t="str">
        <f aca="false">IF(ISNUMBER(I872),"yes","no")</f>
        <v>yes</v>
      </c>
      <c r="AJ872" s="120" t="n">
        <v>46297</v>
      </c>
      <c r="AK872" s="110"/>
    </row>
    <row r="873" customFormat="false" ht="23.85" hidden="false" customHeight="false" outlineLevel="0" collapsed="false">
      <c r="B873" s="36" t="s">
        <v>66</v>
      </c>
      <c r="C873" s="98" t="s">
        <v>14</v>
      </c>
      <c r="D873" s="98" t="s">
        <v>395</v>
      </c>
      <c r="E873" s="110" t="s">
        <v>2922</v>
      </c>
      <c r="F873" s="99" t="n">
        <v>11.68</v>
      </c>
      <c r="G873" s="98" t="s">
        <v>244</v>
      </c>
      <c r="H873" s="112" t="n">
        <f aca="false">IF(AND(AE873="yes",ISNUMBER(AD873)),AD873,"")</f>
        <v>11.68</v>
      </c>
      <c r="I873" s="95" t="n">
        <f aca="false">IF(AND(AE873="yes",ISNUMBER(AD873),ISNUMBER(INDEX(Sources!$G$7:$G$10,MATCH(AB873,Sources!$B$7:$B$10,0)))),ROUND(AD873/INDEX(Sources!$G$7:$G$10,MATCH(AB873,Sources!$B$7:$B$10,0)),6),"")</f>
        <v>11.68</v>
      </c>
      <c r="J873" s="98" t="s">
        <v>530</v>
      </c>
      <c r="K873" s="98" t="s">
        <v>2059</v>
      </c>
      <c r="L873" s="96"/>
      <c r="M873" s="110" t="s">
        <v>2923</v>
      </c>
      <c r="N873" s="117" t="s">
        <v>2924</v>
      </c>
      <c r="O873" s="110" t="s">
        <v>572</v>
      </c>
      <c r="P873" s="110" t="s">
        <v>590</v>
      </c>
      <c r="Q873" s="118" t="n">
        <v>0.21</v>
      </c>
      <c r="R873" s="110" t="n">
        <v>1</v>
      </c>
      <c r="S873" s="110" t="s">
        <v>632</v>
      </c>
      <c r="T873" s="110" t="s">
        <v>530</v>
      </c>
      <c r="U873" s="110" t="s">
        <v>2913</v>
      </c>
      <c r="V873" s="119" t="n">
        <v>11.68</v>
      </c>
      <c r="W873" s="119"/>
      <c r="X873" s="110" t="s">
        <v>2063</v>
      </c>
      <c r="Y873" s="110" t="s">
        <v>2064</v>
      </c>
      <c r="Z873" s="110" t="s">
        <v>2925</v>
      </c>
      <c r="AA873" s="110" t="s">
        <v>537</v>
      </c>
      <c r="AB873" s="110" t="s">
        <v>244</v>
      </c>
      <c r="AC873" s="110" t="s">
        <v>538</v>
      </c>
      <c r="AD873" s="110" t="n">
        <f aca="false">IF(OR(F873="",Q873="",R873=""),"",ROUND(IF(P873="incl.",F873/(1+Q873),F873)/IF(S873="per pack",R873,1),2))</f>
        <v>11.68</v>
      </c>
      <c r="AE873" s="110" t="str">
        <f aca="false">IF(AND(AC873="yes",ISNUMBER(F873),IF(Compare!$H$5="All mapped",TRUE(),IF(Compare!$H$5="EXACT only",J873="EXACT",OR(J873="EXACT",J873="CLOSE")))),"yes","no")</f>
        <v>yes</v>
      </c>
      <c r="AF873" s="110" t="n">
        <f aca="false">IF(ISNUMBER(H873),COUNTIFS($B$7:$B$3000,B873,$C$7:$C$3000,C873,$H$7:$H$3000,"&lt;"&amp;H873,$AH$7:$AH$3000,"yes")+COUNTIFS($B$7:B873,B873,$C$7:C873,C873,$H$7:H873,H873,$AH$7:AH873,"yes"),"")</f>
        <v>1</v>
      </c>
      <c r="AG873" s="110" t="n">
        <f aca="false">IF(ISNUMBER(I873),COUNTIFS($B$7:$B$3000,B873,$C$7:$C$3000,C873,$I$7:$I$3000,"&lt;"&amp;I873,$AI$7:$AI$3000,"yes")+COUNTIFS($B$7:B873,B873,$C$7:C873,C873,$I$7:I873,I873,$AI$7:AI873,"yes"),"")</f>
        <v>2</v>
      </c>
      <c r="AH873" s="110" t="str">
        <f aca="false">IF(ISNUMBER(H873),"yes","no")</f>
        <v>yes</v>
      </c>
      <c r="AI873" s="110" t="str">
        <f aca="false">IF(ISNUMBER(I873),"yes","no")</f>
        <v>yes</v>
      </c>
      <c r="AJ873" s="120" t="n">
        <v>46297</v>
      </c>
      <c r="AK873" s="110"/>
    </row>
    <row r="874" customFormat="false" ht="23.85" hidden="false" customHeight="false" outlineLevel="0" collapsed="false">
      <c r="B874" s="36" t="s">
        <v>66</v>
      </c>
      <c r="C874" s="98" t="s">
        <v>14</v>
      </c>
      <c r="D874" s="98" t="s">
        <v>403</v>
      </c>
      <c r="E874" s="110" t="s">
        <v>2926</v>
      </c>
      <c r="F874" s="99" t="n">
        <v>49.33</v>
      </c>
      <c r="G874" s="98" t="s">
        <v>374</v>
      </c>
      <c r="H874" s="112" t="n">
        <f aca="false">IF(AND(AE874="yes",ISNUMBER(AD874)),AD874,"")</f>
        <v>49.33</v>
      </c>
      <c r="I874" s="95" t="n">
        <f aca="false">IF(AND(AE874="yes",ISNUMBER(AD874),ISNUMBER(INDEX(Sources!$G$7:$G$10,MATCH(AB874,Sources!$B$7:$B$10,0)))),ROUND(AD874/INDEX(Sources!$G$7:$G$10,MATCH(AB874,Sources!$B$7:$B$10,0)),6),"")</f>
        <v>9.346978</v>
      </c>
      <c r="J874" s="98" t="s">
        <v>530</v>
      </c>
      <c r="K874" s="98" t="s">
        <v>2059</v>
      </c>
      <c r="L874" s="96"/>
      <c r="M874" s="110" t="s">
        <v>2927</v>
      </c>
      <c r="N874" s="117" t="s">
        <v>2928</v>
      </c>
      <c r="O874" s="110" t="s">
        <v>1138</v>
      </c>
      <c r="P874" s="110" t="s">
        <v>590</v>
      </c>
      <c r="Q874" s="118" t="n">
        <v>0.21</v>
      </c>
      <c r="R874" s="110" t="n">
        <v>1</v>
      </c>
      <c r="S874" s="110" t="s">
        <v>632</v>
      </c>
      <c r="T874" s="110" t="s">
        <v>530</v>
      </c>
      <c r="U874" s="110" t="s">
        <v>2913</v>
      </c>
      <c r="V874" s="119" t="n">
        <v>49.33</v>
      </c>
      <c r="W874" s="119"/>
      <c r="X874" s="110" t="s">
        <v>2063</v>
      </c>
      <c r="Y874" s="110" t="s">
        <v>2064</v>
      </c>
      <c r="Z874" s="110"/>
      <c r="AA874" s="110" t="s">
        <v>537</v>
      </c>
      <c r="AB874" s="110" t="s">
        <v>374</v>
      </c>
      <c r="AC874" s="110" t="s">
        <v>538</v>
      </c>
      <c r="AD874" s="110" t="n">
        <f aca="false">IF(OR(F874="",Q874="",R874=""),"",ROUND(IF(P874="incl.",F874/(1+Q874),F874)/IF(S874="per pack",R874,1),2))</f>
        <v>49.33</v>
      </c>
      <c r="AE874" s="110" t="str">
        <f aca="false">IF(AND(AC874="yes",ISNUMBER(F874),IF(Compare!$H$5="All mapped",TRUE(),IF(Compare!$H$5="EXACT only",J874="EXACT",OR(J874="EXACT",J874="CLOSE")))),"yes","no")</f>
        <v>yes</v>
      </c>
      <c r="AF874" s="110" t="n">
        <f aca="false">IF(ISNUMBER(H874),COUNTIFS($B$7:$B$3000,B874,$C$7:$C$3000,C874,$H$7:$H$3000,"&lt;"&amp;H874,$AH$7:$AH$3000,"yes")+COUNTIFS($B$7:B874,B874,$C$7:C874,C874,$H$7:H874,H874,$AH$7:AH874,"yes"),"")</f>
        <v>2</v>
      </c>
      <c r="AG874" s="110" t="n">
        <f aca="false">IF(ISNUMBER(I874),COUNTIFS($B$7:$B$3000,B874,$C$7:$C$3000,C874,$I$7:$I$3000,"&lt;"&amp;I874,$AI$7:$AI$3000,"yes")+COUNTIFS($B$7:B874,B874,$C$7:C874,C874,$I$7:I874,I874,$AI$7:AI874,"yes"),"")</f>
        <v>1</v>
      </c>
      <c r="AH874" s="110" t="str">
        <f aca="false">IF(ISNUMBER(H874),"yes","no")</f>
        <v>yes</v>
      </c>
      <c r="AI874" s="110" t="str">
        <f aca="false">IF(ISNUMBER(I874),"yes","no")</f>
        <v>yes</v>
      </c>
      <c r="AJ874" s="120" t="n">
        <v>46297</v>
      </c>
      <c r="AK874" s="110"/>
    </row>
    <row r="875" customFormat="false" ht="35.05" hidden="false" customHeight="false" outlineLevel="0" collapsed="false">
      <c r="B875" s="36" t="s">
        <v>66</v>
      </c>
      <c r="C875" s="98" t="s">
        <v>15</v>
      </c>
      <c r="D875" s="98" t="s">
        <v>243</v>
      </c>
      <c r="E875" s="110" t="s">
        <v>2929</v>
      </c>
      <c r="F875" s="99" t="n">
        <v>12.9</v>
      </c>
      <c r="G875" s="98" t="s">
        <v>244</v>
      </c>
      <c r="H875" s="112" t="n">
        <f aca="false">IF(AND(AE875="yes",ISNUMBER(AD875)),AD875,"")</f>
        <v>12.9</v>
      </c>
      <c r="I875" s="95" t="n">
        <f aca="false">IF(AND(AE875="yes",ISNUMBER(AD875),ISNUMBER(INDEX(Sources!$G$7:$G$10,MATCH(AB875,Sources!$B$7:$B$10,0)))),ROUND(AD875/INDEX(Sources!$G$7:$G$10,MATCH(AB875,Sources!$B$7:$B$10,0)),6),"")</f>
        <v>12.9</v>
      </c>
      <c r="J875" s="98" t="s">
        <v>530</v>
      </c>
      <c r="K875" s="98" t="s">
        <v>2059</v>
      </c>
      <c r="L875" s="96"/>
      <c r="M875" s="110" t="s">
        <v>2930</v>
      </c>
      <c r="N875" s="117" t="s">
        <v>2931</v>
      </c>
      <c r="O875" s="110" t="s">
        <v>2932</v>
      </c>
      <c r="P875" s="110" t="s">
        <v>590</v>
      </c>
      <c r="Q875" s="118" t="n">
        <v>0.2</v>
      </c>
      <c r="R875" s="110" t="n">
        <v>1</v>
      </c>
      <c r="S875" s="110" t="s">
        <v>632</v>
      </c>
      <c r="T875" s="110" t="s">
        <v>530</v>
      </c>
      <c r="U875" s="110" t="s">
        <v>2913</v>
      </c>
      <c r="V875" s="119" t="n">
        <v>12.9</v>
      </c>
      <c r="W875" s="119"/>
      <c r="X875" s="110" t="s">
        <v>2063</v>
      </c>
      <c r="Y875" s="110" t="s">
        <v>2064</v>
      </c>
      <c r="Z875" s="110" t="s">
        <v>2164</v>
      </c>
      <c r="AA875" s="110" t="s">
        <v>537</v>
      </c>
      <c r="AB875" s="110" t="s">
        <v>244</v>
      </c>
      <c r="AC875" s="110" t="s">
        <v>538</v>
      </c>
      <c r="AD875" s="110" t="n">
        <f aca="false">IF(OR(F875="",Q875="",R875=""),"",ROUND(IF(P875="incl.",F875/(1+Q875),F875)/IF(S875="per pack",R875,1),2))</f>
        <v>12.9</v>
      </c>
      <c r="AE875" s="110" t="str">
        <f aca="false">IF(AND(AC875="yes",ISNUMBER(F875),IF(Compare!$H$5="All mapped",TRUE(),IF(Compare!$H$5="EXACT only",J875="EXACT",OR(J875="EXACT",J875="CLOSE")))),"yes","no")</f>
        <v>yes</v>
      </c>
      <c r="AF875" s="110" t="n">
        <f aca="false">IF(ISNUMBER(H875),COUNTIFS($B$7:$B$3000,B875,$C$7:$C$3000,C875,$H$7:$H$3000,"&lt;"&amp;H875,$AH$7:$AH$3000,"yes")+COUNTIFS($B$7:B875,B875,$C$7:C875,C875,$H$7:H875,H875,$AH$7:AH875,"yes"),"")</f>
        <v>1</v>
      </c>
      <c r="AG875" s="110" t="n">
        <f aca="false">IF(ISNUMBER(I875),COUNTIFS($B$7:$B$3000,B875,$C$7:$C$3000,C875,$I$7:$I$3000,"&lt;"&amp;I875,$AI$7:$AI$3000,"yes")+COUNTIFS($B$7:B875,B875,$C$7:C875,C875,$I$7:I875,I875,$AI$7:AI875,"yes"),"")</f>
        <v>1</v>
      </c>
      <c r="AH875" s="110" t="str">
        <f aca="false">IF(ISNUMBER(H875),"yes","no")</f>
        <v>yes</v>
      </c>
      <c r="AI875" s="110" t="str">
        <f aca="false">IF(ISNUMBER(I875),"yes","no")</f>
        <v>yes</v>
      </c>
      <c r="AJ875" s="120" t="n">
        <v>46297</v>
      </c>
      <c r="AK875" s="110"/>
    </row>
    <row r="876" customFormat="false" ht="35.05" hidden="false" customHeight="false" outlineLevel="0" collapsed="false">
      <c r="B876" s="36" t="s">
        <v>66</v>
      </c>
      <c r="C876" s="98" t="s">
        <v>15</v>
      </c>
      <c r="D876" s="98" t="s">
        <v>257</v>
      </c>
      <c r="E876" s="110" t="s">
        <v>2933</v>
      </c>
      <c r="F876" s="99" t="n">
        <v>35</v>
      </c>
      <c r="G876" s="98" t="s">
        <v>244</v>
      </c>
      <c r="H876" s="112" t="n">
        <f aca="false">IF(AND(AE876="yes",ISNUMBER(AD876)),AD876,"")</f>
        <v>35</v>
      </c>
      <c r="I876" s="95" t="n">
        <f aca="false">IF(AND(AE876="yes",ISNUMBER(AD876),ISNUMBER(INDEX(Sources!$G$7:$G$10,MATCH(AB876,Sources!$B$7:$B$10,0)))),ROUND(AD876/INDEX(Sources!$G$7:$G$10,MATCH(AB876,Sources!$B$7:$B$10,0)),6),"")</f>
        <v>35</v>
      </c>
      <c r="J876" s="98" t="s">
        <v>530</v>
      </c>
      <c r="K876" s="98" t="s">
        <v>2059</v>
      </c>
      <c r="L876" s="96"/>
      <c r="M876" s="110" t="s">
        <v>2934</v>
      </c>
      <c r="N876" s="117" t="s">
        <v>2935</v>
      </c>
      <c r="O876" s="110" t="s">
        <v>1576</v>
      </c>
      <c r="P876" s="110" t="s">
        <v>590</v>
      </c>
      <c r="Q876" s="118" t="n">
        <v>0.2</v>
      </c>
      <c r="R876" s="110" t="n">
        <v>1</v>
      </c>
      <c r="S876" s="110" t="s">
        <v>632</v>
      </c>
      <c r="T876" s="110" t="s">
        <v>530</v>
      </c>
      <c r="U876" s="110" t="s">
        <v>2913</v>
      </c>
      <c r="V876" s="119" t="n">
        <v>35</v>
      </c>
      <c r="W876" s="119"/>
      <c r="X876" s="110" t="s">
        <v>2063</v>
      </c>
      <c r="Y876" s="110" t="s">
        <v>2064</v>
      </c>
      <c r="Z876" s="110" t="s">
        <v>2936</v>
      </c>
      <c r="AA876" s="110" t="s">
        <v>537</v>
      </c>
      <c r="AB876" s="110" t="s">
        <v>244</v>
      </c>
      <c r="AC876" s="110" t="s">
        <v>538</v>
      </c>
      <c r="AD876" s="110" t="n">
        <f aca="false">IF(OR(F876="",Q876="",R876=""),"",ROUND(IF(P876="incl.",F876/(1+Q876),F876)/IF(S876="per pack",R876,1),2))</f>
        <v>35</v>
      </c>
      <c r="AE876" s="110" t="str">
        <f aca="false">IF(AND(AC876="yes",ISNUMBER(F876),IF(Compare!$H$5="All mapped",TRUE(),IF(Compare!$H$5="EXACT only",J876="EXACT",OR(J876="EXACT",J876="CLOSE")))),"yes","no")</f>
        <v>yes</v>
      </c>
      <c r="AF876" s="110" t="n">
        <f aca="false">IF(ISNUMBER(H876),COUNTIFS($B$7:$B$3000,B876,$C$7:$C$3000,C876,$H$7:$H$3000,"&lt;"&amp;H876,$AH$7:$AH$3000,"yes")+COUNTIFS($B$7:B876,B876,$C$7:C876,C876,$H$7:H876,H876,$AH$7:AH876,"yes"),"")</f>
        <v>6</v>
      </c>
      <c r="AG876" s="110" t="n">
        <f aca="false">IF(ISNUMBER(I876),COUNTIFS($B$7:$B$3000,B876,$C$7:$C$3000,C876,$I$7:$I$3000,"&lt;"&amp;I876,$AI$7:$AI$3000,"yes")+COUNTIFS($B$7:B876,B876,$C$7:C876,C876,$I$7:I876,I876,$AI$7:AI876,"yes"),"")</f>
        <v>6</v>
      </c>
      <c r="AH876" s="110" t="str">
        <f aca="false">IF(ISNUMBER(H876),"yes","no")</f>
        <v>yes</v>
      </c>
      <c r="AI876" s="110" t="str">
        <f aca="false">IF(ISNUMBER(I876),"yes","no")</f>
        <v>yes</v>
      </c>
      <c r="AJ876" s="120" t="n">
        <v>46297</v>
      </c>
      <c r="AK876" s="110"/>
    </row>
    <row r="877" customFormat="false" ht="35.05" hidden="false" customHeight="false" outlineLevel="0" collapsed="false">
      <c r="B877" s="36" t="s">
        <v>66</v>
      </c>
      <c r="C877" s="98" t="s">
        <v>15</v>
      </c>
      <c r="D877" s="98" t="s">
        <v>269</v>
      </c>
      <c r="E877" s="110" t="s">
        <v>2937</v>
      </c>
      <c r="F877" s="99" t="n">
        <v>19.79</v>
      </c>
      <c r="G877" s="98" t="s">
        <v>244</v>
      </c>
      <c r="H877" s="112" t="n">
        <f aca="false">IF(AND(AE877="yes",ISNUMBER(AD877)),AD877,"")</f>
        <v>19.79</v>
      </c>
      <c r="I877" s="95" t="n">
        <f aca="false">IF(AND(AE877="yes",ISNUMBER(AD877),ISNUMBER(INDEX(Sources!$G$7:$G$10,MATCH(AB877,Sources!$B$7:$B$10,0)))),ROUND(AD877/INDEX(Sources!$G$7:$G$10,MATCH(AB877,Sources!$B$7:$B$10,0)),6),"")</f>
        <v>19.79</v>
      </c>
      <c r="J877" s="98" t="s">
        <v>530</v>
      </c>
      <c r="K877" s="98" t="s">
        <v>2059</v>
      </c>
      <c r="L877" s="96"/>
      <c r="M877" s="110" t="s">
        <v>2938</v>
      </c>
      <c r="N877" s="117" t="s">
        <v>2939</v>
      </c>
      <c r="O877" s="110" t="s">
        <v>598</v>
      </c>
      <c r="P877" s="110" t="s">
        <v>590</v>
      </c>
      <c r="Q877" s="118" t="n">
        <v>0.2</v>
      </c>
      <c r="R877" s="110" t="n">
        <v>1</v>
      </c>
      <c r="S877" s="110" t="s">
        <v>632</v>
      </c>
      <c r="T877" s="110" t="s">
        <v>530</v>
      </c>
      <c r="U877" s="110" t="s">
        <v>2913</v>
      </c>
      <c r="V877" s="119" t="n">
        <v>19.79</v>
      </c>
      <c r="W877" s="119"/>
      <c r="X877" s="110" t="s">
        <v>2063</v>
      </c>
      <c r="Y877" s="110" t="s">
        <v>2064</v>
      </c>
      <c r="Z877" s="110" t="s">
        <v>2940</v>
      </c>
      <c r="AA877" s="110" t="s">
        <v>537</v>
      </c>
      <c r="AB877" s="110" t="s">
        <v>244</v>
      </c>
      <c r="AC877" s="110" t="s">
        <v>538</v>
      </c>
      <c r="AD877" s="110" t="n">
        <f aca="false">IF(OR(F877="",Q877="",R877=""),"",ROUND(IF(P877="incl.",F877/(1+Q877),F877)/IF(S877="per pack",R877,1),2))</f>
        <v>19.79</v>
      </c>
      <c r="AE877" s="110" t="str">
        <f aca="false">IF(AND(AC877="yes",ISNUMBER(F877),IF(Compare!$H$5="All mapped",TRUE(),IF(Compare!$H$5="EXACT only",J877="EXACT",OR(J877="EXACT",J877="CLOSE")))),"yes","no")</f>
        <v>yes</v>
      </c>
      <c r="AF877" s="110" t="n">
        <f aca="false">IF(ISNUMBER(H877),COUNTIFS($B$7:$B$3000,B877,$C$7:$C$3000,C877,$H$7:$H$3000,"&lt;"&amp;H877,$AH$7:$AH$3000,"yes")+COUNTIFS($B$7:B877,B877,$C$7:C877,C877,$H$7:H877,H877,$AH$7:AH877,"yes"),"")</f>
        <v>4</v>
      </c>
      <c r="AG877" s="110" t="n">
        <f aca="false">IF(ISNUMBER(I877),COUNTIFS($B$7:$B$3000,B877,$C$7:$C$3000,C877,$I$7:$I$3000,"&lt;"&amp;I877,$AI$7:$AI$3000,"yes")+COUNTIFS($B$7:B877,B877,$C$7:C877,C877,$I$7:I877,I877,$AI$7:AI877,"yes"),"")</f>
        <v>4</v>
      </c>
      <c r="AH877" s="110" t="str">
        <f aca="false">IF(ISNUMBER(H877),"yes","no")</f>
        <v>yes</v>
      </c>
      <c r="AI877" s="110" t="str">
        <f aca="false">IF(ISNUMBER(I877),"yes","no")</f>
        <v>yes</v>
      </c>
      <c r="AJ877" s="120" t="n">
        <v>46297</v>
      </c>
      <c r="AK877" s="110"/>
    </row>
    <row r="878" customFormat="false" ht="23.85" hidden="false" customHeight="false" outlineLevel="0" collapsed="false">
      <c r="B878" s="36" t="s">
        <v>66</v>
      </c>
      <c r="C878" s="98" t="s">
        <v>15</v>
      </c>
      <c r="D878" s="98" t="s">
        <v>264</v>
      </c>
      <c r="E878" s="110" t="s">
        <v>2941</v>
      </c>
      <c r="F878" s="99" t="n">
        <v>36.8</v>
      </c>
      <c r="G878" s="98" t="s">
        <v>244</v>
      </c>
      <c r="H878" s="112" t="n">
        <f aca="false">IF(AND(AE878="yes",ISNUMBER(AD878)),AD878,"")</f>
        <v>36.8</v>
      </c>
      <c r="I878" s="95" t="n">
        <f aca="false">IF(AND(AE878="yes",ISNUMBER(AD878),ISNUMBER(INDEX(Sources!$G$7:$G$10,MATCH(AB878,Sources!$B$7:$B$10,0)))),ROUND(AD878/INDEX(Sources!$G$7:$G$10,MATCH(AB878,Sources!$B$7:$B$10,0)),6),"")</f>
        <v>36.8</v>
      </c>
      <c r="J878" s="98" t="s">
        <v>530</v>
      </c>
      <c r="K878" s="98" t="s">
        <v>2059</v>
      </c>
      <c r="L878" s="96"/>
      <c r="M878" s="110" t="s">
        <v>2942</v>
      </c>
      <c r="N878" s="117" t="s">
        <v>2943</v>
      </c>
      <c r="O878" s="110" t="s">
        <v>2944</v>
      </c>
      <c r="P878" s="110" t="s">
        <v>590</v>
      </c>
      <c r="Q878" s="118" t="n">
        <v>0.2</v>
      </c>
      <c r="R878" s="110" t="n">
        <v>1</v>
      </c>
      <c r="S878" s="110" t="s">
        <v>632</v>
      </c>
      <c r="T878" s="110" t="s">
        <v>530</v>
      </c>
      <c r="U878" s="110" t="s">
        <v>2913</v>
      </c>
      <c r="V878" s="119" t="n">
        <v>36.8</v>
      </c>
      <c r="W878" s="119"/>
      <c r="X878" s="110" t="s">
        <v>2063</v>
      </c>
      <c r="Y878" s="110" t="s">
        <v>2064</v>
      </c>
      <c r="Z878" s="110"/>
      <c r="AA878" s="110" t="s">
        <v>537</v>
      </c>
      <c r="AB878" s="110" t="s">
        <v>244</v>
      </c>
      <c r="AC878" s="110" t="s">
        <v>538</v>
      </c>
      <c r="AD878" s="110" t="n">
        <f aca="false">IF(OR(F878="",Q878="",R878=""),"",ROUND(IF(P878="incl.",F878/(1+Q878),F878)/IF(S878="per pack",R878,1),2))</f>
        <v>36.8</v>
      </c>
      <c r="AE878" s="110" t="str">
        <f aca="false">IF(AND(AC878="yes",ISNUMBER(F878),IF(Compare!$H$5="All mapped",TRUE(),IF(Compare!$H$5="EXACT only",J878="EXACT",OR(J878="EXACT",J878="CLOSE")))),"yes","no")</f>
        <v>yes</v>
      </c>
      <c r="AF878" s="110" t="n">
        <f aca="false">IF(ISNUMBER(H878),COUNTIFS($B$7:$B$3000,B878,$C$7:$C$3000,C878,$H$7:$H$3000,"&lt;"&amp;H878,$AH$7:$AH$3000,"yes")+COUNTIFS($B$7:B878,B878,$C$7:C878,C878,$H$7:H878,H878,$AH$7:AH878,"yes"),"")</f>
        <v>7</v>
      </c>
      <c r="AG878" s="110" t="n">
        <f aca="false">IF(ISNUMBER(I878),COUNTIFS($B$7:$B$3000,B878,$C$7:$C$3000,C878,$I$7:$I$3000,"&lt;"&amp;I878,$AI$7:$AI$3000,"yes")+COUNTIFS($B$7:B878,B878,$C$7:C878,C878,$I$7:I878,I878,$AI$7:AI878,"yes"),"")</f>
        <v>7</v>
      </c>
      <c r="AH878" s="110" t="str">
        <f aca="false">IF(ISNUMBER(H878),"yes","no")</f>
        <v>yes</v>
      </c>
      <c r="AI878" s="110" t="str">
        <f aca="false">IF(ISNUMBER(I878),"yes","no")</f>
        <v>yes</v>
      </c>
      <c r="AJ878" s="120" t="n">
        <v>46297</v>
      </c>
      <c r="AK878" s="110"/>
    </row>
    <row r="879" customFormat="false" ht="23.85" hidden="false" customHeight="false" outlineLevel="0" collapsed="false">
      <c r="B879" s="36" t="s">
        <v>66</v>
      </c>
      <c r="C879" s="98" t="s">
        <v>15</v>
      </c>
      <c r="D879" s="98" t="s">
        <v>273</v>
      </c>
      <c r="E879" s="110" t="s">
        <v>2945</v>
      </c>
      <c r="F879" s="99" t="n">
        <v>17.49</v>
      </c>
      <c r="G879" s="98" t="s">
        <v>244</v>
      </c>
      <c r="H879" s="112" t="n">
        <f aca="false">IF(AND(AE879="yes",ISNUMBER(AD879)),AD879,"")</f>
        <v>14.58</v>
      </c>
      <c r="I879" s="95" t="n">
        <f aca="false">IF(AND(AE879="yes",ISNUMBER(AD879),ISNUMBER(INDEX(Sources!$G$7:$G$10,MATCH(AB879,Sources!$B$7:$B$10,0)))),ROUND(AD879/INDEX(Sources!$G$7:$G$10,MATCH(AB879,Sources!$B$7:$B$10,0)),6),"")</f>
        <v>14.58</v>
      </c>
      <c r="J879" s="98" t="s">
        <v>530</v>
      </c>
      <c r="K879" s="98" t="s">
        <v>2059</v>
      </c>
      <c r="L879" s="96"/>
      <c r="M879" s="110" t="s">
        <v>2946</v>
      </c>
      <c r="N879" s="117" t="s">
        <v>2947</v>
      </c>
      <c r="O879" s="110" t="s">
        <v>598</v>
      </c>
      <c r="P879" s="110" t="s">
        <v>265</v>
      </c>
      <c r="Q879" s="118" t="n">
        <v>0.2</v>
      </c>
      <c r="R879" s="110" t="n">
        <v>1</v>
      </c>
      <c r="S879" s="110" t="s">
        <v>632</v>
      </c>
      <c r="T879" s="110" t="s">
        <v>530</v>
      </c>
      <c r="U879" s="110" t="s">
        <v>2918</v>
      </c>
      <c r="V879" s="119" t="n">
        <v>14.57</v>
      </c>
      <c r="W879" s="119"/>
      <c r="X879" s="110" t="s">
        <v>2063</v>
      </c>
      <c r="Y879" s="110" t="s">
        <v>2064</v>
      </c>
      <c r="Z879" s="110" t="s">
        <v>2948</v>
      </c>
      <c r="AA879" s="110" t="s">
        <v>537</v>
      </c>
      <c r="AB879" s="110" t="s">
        <v>244</v>
      </c>
      <c r="AC879" s="110" t="s">
        <v>538</v>
      </c>
      <c r="AD879" s="110" t="n">
        <f aca="false">IF(OR(F879="",Q879="",R879=""),"",ROUND(IF(P879="incl.",F879/(1+Q879),F879)/IF(S879="per pack",R879,1),2))</f>
        <v>14.58</v>
      </c>
      <c r="AE879" s="110" t="str">
        <f aca="false">IF(AND(AC879="yes",ISNUMBER(F879),IF(Compare!$H$5="All mapped",TRUE(),IF(Compare!$H$5="EXACT only",J879="EXACT",OR(J879="EXACT",J879="CLOSE")))),"yes","no")</f>
        <v>yes</v>
      </c>
      <c r="AF879" s="110" t="n">
        <f aca="false">IF(ISNUMBER(H879),COUNTIFS($B$7:$B$3000,B879,$C$7:$C$3000,C879,$H$7:$H$3000,"&lt;"&amp;H879,$AH$7:$AH$3000,"yes")+COUNTIFS($B$7:B879,B879,$C$7:C879,C879,$H$7:H879,H879,$AH$7:AH879,"yes"),"")</f>
        <v>2</v>
      </c>
      <c r="AG879" s="110" t="n">
        <f aca="false">IF(ISNUMBER(I879),COUNTIFS($B$7:$B$3000,B879,$C$7:$C$3000,C879,$I$7:$I$3000,"&lt;"&amp;I879,$AI$7:$AI$3000,"yes")+COUNTIFS($B$7:B879,B879,$C$7:C879,C879,$I$7:I879,I879,$AI$7:AI879,"yes"),"")</f>
        <v>2</v>
      </c>
      <c r="AH879" s="110" t="str">
        <f aca="false">IF(ISNUMBER(H879),"yes","no")</f>
        <v>yes</v>
      </c>
      <c r="AI879" s="110" t="str">
        <f aca="false">IF(ISNUMBER(I879),"yes","no")</f>
        <v>yes</v>
      </c>
      <c r="AJ879" s="120" t="n">
        <v>46297</v>
      </c>
      <c r="AK879" s="110"/>
    </row>
    <row r="880" customFormat="false" ht="46.25" hidden="false" customHeight="false" outlineLevel="0" collapsed="false">
      <c r="B880" s="36" t="s">
        <v>66</v>
      </c>
      <c r="C880" s="98" t="s">
        <v>15</v>
      </c>
      <c r="D880" s="98" t="s">
        <v>281</v>
      </c>
      <c r="E880" s="110" t="s">
        <v>2949</v>
      </c>
      <c r="F880" s="99" t="n">
        <v>23.04</v>
      </c>
      <c r="G880" s="98" t="s">
        <v>244</v>
      </c>
      <c r="H880" s="112" t="n">
        <f aca="false">IF(AND(AE880="yes",ISNUMBER(AD880)),AD880,"")</f>
        <v>23.04</v>
      </c>
      <c r="I880" s="95" t="n">
        <f aca="false">IF(AND(AE880="yes",ISNUMBER(AD880),ISNUMBER(INDEX(Sources!$G$7:$G$10,MATCH(AB880,Sources!$B$7:$B$10,0)))),ROUND(AD880/INDEX(Sources!$G$7:$G$10,MATCH(AB880,Sources!$B$7:$B$10,0)),6),"")</f>
        <v>23.04</v>
      </c>
      <c r="J880" s="98" t="s">
        <v>530</v>
      </c>
      <c r="K880" s="98" t="s">
        <v>2059</v>
      </c>
      <c r="L880" s="96"/>
      <c r="M880" s="110" t="s">
        <v>2950</v>
      </c>
      <c r="N880" s="117" t="s">
        <v>2951</v>
      </c>
      <c r="O880" s="110" t="s">
        <v>2952</v>
      </c>
      <c r="P880" s="110" t="s">
        <v>590</v>
      </c>
      <c r="Q880" s="118" t="n">
        <v>0.2</v>
      </c>
      <c r="R880" s="110" t="n">
        <v>1</v>
      </c>
      <c r="S880" s="110" t="s">
        <v>632</v>
      </c>
      <c r="T880" s="110" t="s">
        <v>530</v>
      </c>
      <c r="U880" s="110" t="s">
        <v>2913</v>
      </c>
      <c r="V880" s="119" t="n">
        <v>23.04</v>
      </c>
      <c r="W880" s="119"/>
      <c r="X880" s="110" t="s">
        <v>2063</v>
      </c>
      <c r="Y880" s="110" t="s">
        <v>2064</v>
      </c>
      <c r="Z880" s="110" t="s">
        <v>2953</v>
      </c>
      <c r="AA880" s="110" t="s">
        <v>537</v>
      </c>
      <c r="AB880" s="110" t="s">
        <v>244</v>
      </c>
      <c r="AC880" s="110" t="s">
        <v>538</v>
      </c>
      <c r="AD880" s="110" t="n">
        <f aca="false">IF(OR(F880="",Q880="",R880=""),"",ROUND(IF(P880="incl.",F880/(1+Q880),F880)/IF(S880="per pack",R880,1),2))</f>
        <v>23.04</v>
      </c>
      <c r="AE880" s="110" t="str">
        <f aca="false">IF(AND(AC880="yes",ISNUMBER(F880),IF(Compare!$H$5="All mapped",TRUE(),IF(Compare!$H$5="EXACT only",J880="EXACT",OR(J880="EXACT",J880="CLOSE")))),"yes","no")</f>
        <v>yes</v>
      </c>
      <c r="AF880" s="110" t="n">
        <f aca="false">IF(ISNUMBER(H880),COUNTIFS($B$7:$B$3000,B880,$C$7:$C$3000,C880,$H$7:$H$3000,"&lt;"&amp;H880,$AH$7:$AH$3000,"yes")+COUNTIFS($B$7:B880,B880,$C$7:C880,C880,$H$7:H880,H880,$AH$7:AH880,"yes"),"")</f>
        <v>5</v>
      </c>
      <c r="AG880" s="110" t="n">
        <f aca="false">IF(ISNUMBER(I880),COUNTIFS($B$7:$B$3000,B880,$C$7:$C$3000,C880,$I$7:$I$3000,"&lt;"&amp;I880,$AI$7:$AI$3000,"yes")+COUNTIFS($B$7:B880,B880,$C$7:C880,C880,$I$7:I880,I880,$AI$7:AI880,"yes"),"")</f>
        <v>5</v>
      </c>
      <c r="AH880" s="110" t="str">
        <f aca="false">IF(ISNUMBER(H880),"yes","no")</f>
        <v>yes</v>
      </c>
      <c r="AI880" s="110" t="str">
        <f aca="false">IF(ISNUMBER(I880),"yes","no")</f>
        <v>yes</v>
      </c>
      <c r="AJ880" s="120" t="n">
        <v>46297</v>
      </c>
      <c r="AK880" s="110"/>
    </row>
    <row r="881" customFormat="false" ht="35.05" hidden="false" customHeight="false" outlineLevel="0" collapsed="false">
      <c r="B881" s="36" t="s">
        <v>66</v>
      </c>
      <c r="C881" s="98" t="s">
        <v>15</v>
      </c>
      <c r="D881" s="98" t="s">
        <v>293</v>
      </c>
      <c r="E881" s="110" t="s">
        <v>2954</v>
      </c>
      <c r="F881" s="99" t="n">
        <v>17</v>
      </c>
      <c r="G881" s="98" t="s">
        <v>244</v>
      </c>
      <c r="H881" s="112" t="n">
        <f aca="false">IF(AND(AE881="yes",ISNUMBER(AD881)),AD881,"")</f>
        <v>17</v>
      </c>
      <c r="I881" s="95" t="n">
        <f aca="false">IF(AND(AE881="yes",ISNUMBER(AD881),ISNUMBER(INDEX(Sources!$G$7:$G$10,MATCH(AB881,Sources!$B$7:$B$10,0)))),ROUND(AD881/INDEX(Sources!$G$7:$G$10,MATCH(AB881,Sources!$B$7:$B$10,0)),6),"")</f>
        <v>17</v>
      </c>
      <c r="J881" s="98" t="s">
        <v>530</v>
      </c>
      <c r="K881" s="98" t="s">
        <v>2059</v>
      </c>
      <c r="L881" s="96"/>
      <c r="M881" s="110" t="s">
        <v>2955</v>
      </c>
      <c r="N881" s="117" t="s">
        <v>2956</v>
      </c>
      <c r="O881" s="110" t="s">
        <v>2957</v>
      </c>
      <c r="P881" s="110" t="s">
        <v>590</v>
      </c>
      <c r="Q881" s="118" t="n">
        <v>0.2</v>
      </c>
      <c r="R881" s="110" t="n">
        <v>1</v>
      </c>
      <c r="S881" s="110" t="s">
        <v>632</v>
      </c>
      <c r="T881" s="110" t="s">
        <v>530</v>
      </c>
      <c r="U881" s="110" t="s">
        <v>2913</v>
      </c>
      <c r="V881" s="119" t="n">
        <v>17</v>
      </c>
      <c r="W881" s="119"/>
      <c r="X881" s="110" t="s">
        <v>2063</v>
      </c>
      <c r="Y881" s="110" t="s">
        <v>2064</v>
      </c>
      <c r="Z881" s="110" t="s">
        <v>2958</v>
      </c>
      <c r="AA881" s="110" t="s">
        <v>537</v>
      </c>
      <c r="AB881" s="110" t="s">
        <v>244</v>
      </c>
      <c r="AC881" s="110" t="s">
        <v>538</v>
      </c>
      <c r="AD881" s="110" t="n">
        <f aca="false">IF(OR(F881="",Q881="",R881=""),"",ROUND(IF(P881="incl.",F881/(1+Q881),F881)/IF(S881="per pack",R881,1),2))</f>
        <v>17</v>
      </c>
      <c r="AE881" s="110" t="str">
        <f aca="false">IF(AND(AC881="yes",ISNUMBER(F881),IF(Compare!$H$5="All mapped",TRUE(),IF(Compare!$H$5="EXACT only",J881="EXACT",OR(J881="EXACT",J881="CLOSE")))),"yes","no")</f>
        <v>yes</v>
      </c>
      <c r="AF881" s="110" t="n">
        <f aca="false">IF(ISNUMBER(H881),COUNTIFS($B$7:$B$3000,B881,$C$7:$C$3000,C881,$H$7:$H$3000,"&lt;"&amp;H881,$AH$7:$AH$3000,"yes")+COUNTIFS($B$7:B881,B881,$C$7:C881,C881,$H$7:H881,H881,$AH$7:AH881,"yes"),"")</f>
        <v>3</v>
      </c>
      <c r="AG881" s="110" t="n">
        <f aca="false">IF(ISNUMBER(I881),COUNTIFS($B$7:$B$3000,B881,$C$7:$C$3000,C881,$I$7:$I$3000,"&lt;"&amp;I881,$AI$7:$AI$3000,"yes")+COUNTIFS($B$7:B881,B881,$C$7:C881,C881,$I$7:I881,I881,$AI$7:AI881,"yes"),"")</f>
        <v>3</v>
      </c>
      <c r="AH881" s="110" t="str">
        <f aca="false">IF(ISNUMBER(H881),"yes","no")</f>
        <v>yes</v>
      </c>
      <c r="AI881" s="110" t="str">
        <f aca="false">IF(ISNUMBER(I881),"yes","no")</f>
        <v>yes</v>
      </c>
      <c r="AJ881" s="120" t="n">
        <v>46297</v>
      </c>
      <c r="AK881" s="110"/>
    </row>
    <row r="882" customFormat="false" ht="46.25" hidden="false" customHeight="false" outlineLevel="0" collapsed="false">
      <c r="B882" s="36" t="s">
        <v>66</v>
      </c>
      <c r="C882" s="98" t="s">
        <v>16</v>
      </c>
      <c r="D882" s="98" t="s">
        <v>317</v>
      </c>
      <c r="E882" s="110" t="s">
        <v>2959</v>
      </c>
      <c r="F882" s="99" t="n">
        <v>64.99</v>
      </c>
      <c r="G882" s="98" t="s">
        <v>244</v>
      </c>
      <c r="H882" s="112" t="n">
        <f aca="false">IF(AND(AE882="yes",ISNUMBER(AD882)),AD882,"")</f>
        <v>10.83</v>
      </c>
      <c r="I882" s="95" t="n">
        <f aca="false">IF(AND(AE882="yes",ISNUMBER(AD882),ISNUMBER(INDEX(Sources!$G$7:$G$10,MATCH(AB882,Sources!$B$7:$B$10,0)))),ROUND(AD882/INDEX(Sources!$G$7:$G$10,MATCH(AB882,Sources!$B$7:$B$10,0)),6),"")</f>
        <v>10.83</v>
      </c>
      <c r="J882" s="98" t="s">
        <v>530</v>
      </c>
      <c r="K882" s="98" t="s">
        <v>2059</v>
      </c>
      <c r="L882" s="96"/>
      <c r="M882" s="110" t="s">
        <v>2960</v>
      </c>
      <c r="N882" s="117" t="s">
        <v>2961</v>
      </c>
      <c r="O882" s="110" t="s">
        <v>317</v>
      </c>
      <c r="P882" s="110" t="s">
        <v>590</v>
      </c>
      <c r="Q882" s="118" t="n">
        <v>0.19</v>
      </c>
      <c r="R882" s="110" t="n">
        <v>6</v>
      </c>
      <c r="S882" s="110" t="s">
        <v>625</v>
      </c>
      <c r="T882" s="110" t="s">
        <v>530</v>
      </c>
      <c r="U882" s="110" t="s">
        <v>2913</v>
      </c>
      <c r="V882" s="119" t="n">
        <v>10.83</v>
      </c>
      <c r="W882" s="119"/>
      <c r="X882" s="110" t="s">
        <v>2063</v>
      </c>
      <c r="Y882" s="110" t="s">
        <v>2064</v>
      </c>
      <c r="Z882" s="110" t="s">
        <v>2638</v>
      </c>
      <c r="AA882" s="110" t="s">
        <v>537</v>
      </c>
      <c r="AB882" s="110" t="s">
        <v>244</v>
      </c>
      <c r="AC882" s="110" t="s">
        <v>538</v>
      </c>
      <c r="AD882" s="110" t="n">
        <f aca="false">IF(OR(F882="",Q882="",R882=""),"",ROUND(IF(P882="incl.",F882/(1+Q882),F882)/IF(S882="per pack",R882,1),2))</f>
        <v>10.83</v>
      </c>
      <c r="AE882" s="110" t="str">
        <f aca="false">IF(AND(AC882="yes",ISNUMBER(F882),IF(Compare!$H$5="All mapped",TRUE(),IF(Compare!$H$5="EXACT only",J882="EXACT",OR(J882="EXACT",J882="CLOSE")))),"yes","no")</f>
        <v>yes</v>
      </c>
      <c r="AF882" s="110" t="n">
        <f aca="false">IF(ISNUMBER(H882),COUNTIFS($B$7:$B$3000,B882,$C$7:$C$3000,C882,$H$7:$H$3000,"&lt;"&amp;H882,$AH$7:$AH$3000,"yes")+COUNTIFS($B$7:B882,B882,$C$7:C882,C882,$H$7:H882,H882,$AH$7:AH882,"yes"),"")</f>
        <v>1</v>
      </c>
      <c r="AG882" s="110" t="n">
        <f aca="false">IF(ISNUMBER(I882),COUNTIFS($B$7:$B$3000,B882,$C$7:$C$3000,C882,$I$7:$I$3000,"&lt;"&amp;I882,$AI$7:$AI$3000,"yes")+COUNTIFS($B$7:B882,B882,$C$7:C882,C882,$I$7:I882,I882,$AI$7:AI882,"yes"),"")</f>
        <v>1</v>
      </c>
      <c r="AH882" s="110" t="str">
        <f aca="false">IF(ISNUMBER(H882),"yes","no")</f>
        <v>yes</v>
      </c>
      <c r="AI882" s="110" t="str">
        <f aca="false">IF(ISNUMBER(I882),"yes","no")</f>
        <v>yes</v>
      </c>
      <c r="AJ882" s="120" t="n">
        <v>46297</v>
      </c>
      <c r="AK882" s="110"/>
    </row>
    <row r="883" customFormat="false" ht="35.05" hidden="false" customHeight="false" outlineLevel="0" collapsed="false">
      <c r="B883" s="36" t="s">
        <v>66</v>
      </c>
      <c r="C883" s="98" t="s">
        <v>16</v>
      </c>
      <c r="D883" s="98" t="s">
        <v>305</v>
      </c>
      <c r="E883" s="110" t="s">
        <v>2962</v>
      </c>
      <c r="F883" s="99" t="n">
        <v>21.1</v>
      </c>
      <c r="G883" s="98" t="s">
        <v>244</v>
      </c>
      <c r="H883" s="112" t="n">
        <f aca="false">IF(AND(AE883="yes",ISNUMBER(AD883)),AD883,"")</f>
        <v>17.73</v>
      </c>
      <c r="I883" s="95" t="n">
        <f aca="false">IF(AND(AE883="yes",ISNUMBER(AD883),ISNUMBER(INDEX(Sources!$G$7:$G$10,MATCH(AB883,Sources!$B$7:$B$10,0)))),ROUND(AD883/INDEX(Sources!$G$7:$G$10,MATCH(AB883,Sources!$B$7:$B$10,0)),6),"")</f>
        <v>17.73</v>
      </c>
      <c r="J883" s="98" t="s">
        <v>530</v>
      </c>
      <c r="K883" s="98" t="s">
        <v>2059</v>
      </c>
      <c r="L883" s="96"/>
      <c r="M883" s="110" t="s">
        <v>2963</v>
      </c>
      <c r="N883" s="117" t="s">
        <v>2964</v>
      </c>
      <c r="O883" s="110" t="s">
        <v>2965</v>
      </c>
      <c r="P883" s="110" t="s">
        <v>265</v>
      </c>
      <c r="Q883" s="118" t="n">
        <v>0.19</v>
      </c>
      <c r="R883" s="110" t="n">
        <v>1</v>
      </c>
      <c r="S883" s="110" t="s">
        <v>632</v>
      </c>
      <c r="T883" s="110" t="s">
        <v>530</v>
      </c>
      <c r="U883" s="110" t="s">
        <v>2918</v>
      </c>
      <c r="V883" s="119" t="n">
        <v>17.73</v>
      </c>
      <c r="W883" s="119"/>
      <c r="X883" s="110" t="s">
        <v>2063</v>
      </c>
      <c r="Y883" s="110" t="s">
        <v>2064</v>
      </c>
      <c r="Z883" s="110" t="s">
        <v>2156</v>
      </c>
      <c r="AA883" s="110" t="s">
        <v>537</v>
      </c>
      <c r="AB883" s="110" t="s">
        <v>244</v>
      </c>
      <c r="AC883" s="110" t="s">
        <v>538</v>
      </c>
      <c r="AD883" s="110" t="n">
        <f aca="false">IF(OR(F883="",Q883="",R883=""),"",ROUND(IF(P883="incl.",F883/(1+Q883),F883)/IF(S883="per pack",R883,1),2))</f>
        <v>17.73</v>
      </c>
      <c r="AE883" s="110" t="str">
        <f aca="false">IF(AND(AC883="yes",ISNUMBER(F883),IF(Compare!$H$5="All mapped",TRUE(),IF(Compare!$H$5="EXACT only",J883="EXACT",OR(J883="EXACT",J883="CLOSE")))),"yes","no")</f>
        <v>yes</v>
      </c>
      <c r="AF883" s="110" t="n">
        <f aca="false">IF(ISNUMBER(H883),COUNTIFS($B$7:$B$3000,B883,$C$7:$C$3000,C883,$H$7:$H$3000,"&lt;"&amp;H883,$AH$7:$AH$3000,"yes")+COUNTIFS($B$7:B883,B883,$C$7:C883,C883,$H$7:H883,H883,$AH$7:AH883,"yes"),"")</f>
        <v>4</v>
      </c>
      <c r="AG883" s="110" t="n">
        <f aca="false">IF(ISNUMBER(I883),COUNTIFS($B$7:$B$3000,B883,$C$7:$C$3000,C883,$I$7:$I$3000,"&lt;"&amp;I883,$AI$7:$AI$3000,"yes")+COUNTIFS($B$7:B883,B883,$C$7:C883,C883,$I$7:I883,I883,$AI$7:AI883,"yes"),"")</f>
        <v>4</v>
      </c>
      <c r="AH883" s="110" t="str">
        <f aca="false">IF(ISNUMBER(H883),"yes","no")</f>
        <v>yes</v>
      </c>
      <c r="AI883" s="110" t="str">
        <f aca="false">IF(ISNUMBER(I883),"yes","no")</f>
        <v>yes</v>
      </c>
      <c r="AJ883" s="120" t="n">
        <v>46297</v>
      </c>
      <c r="AK883" s="110"/>
    </row>
    <row r="884" customFormat="false" ht="35.05" hidden="false" customHeight="false" outlineLevel="0" collapsed="false">
      <c r="B884" s="36" t="s">
        <v>66</v>
      </c>
      <c r="C884" s="98" t="s">
        <v>16</v>
      </c>
      <c r="D884" s="98" t="s">
        <v>311</v>
      </c>
      <c r="E884" s="110" t="s">
        <v>2937</v>
      </c>
      <c r="F884" s="99" t="n">
        <v>18.79</v>
      </c>
      <c r="G884" s="98" t="s">
        <v>244</v>
      </c>
      <c r="H884" s="112" t="n">
        <f aca="false">IF(AND(AE884="yes",ISNUMBER(AD884)),AD884,"")</f>
        <v>18.79</v>
      </c>
      <c r="I884" s="95" t="n">
        <f aca="false">IF(AND(AE884="yes",ISNUMBER(AD884),ISNUMBER(INDEX(Sources!$G$7:$G$10,MATCH(AB884,Sources!$B$7:$B$10,0)))),ROUND(AD884/INDEX(Sources!$G$7:$G$10,MATCH(AB884,Sources!$B$7:$B$10,0)),6),"")</f>
        <v>18.79</v>
      </c>
      <c r="J884" s="98" t="s">
        <v>530</v>
      </c>
      <c r="K884" s="98" t="s">
        <v>2059</v>
      </c>
      <c r="L884" s="96"/>
      <c r="M884" s="110" t="s">
        <v>2966</v>
      </c>
      <c r="N884" s="117" t="s">
        <v>2967</v>
      </c>
      <c r="O884" s="110" t="s">
        <v>598</v>
      </c>
      <c r="P884" s="110" t="s">
        <v>590</v>
      </c>
      <c r="Q884" s="118" t="n">
        <v>0.19</v>
      </c>
      <c r="R884" s="110" t="n">
        <v>1</v>
      </c>
      <c r="S884" s="110" t="s">
        <v>632</v>
      </c>
      <c r="T884" s="110" t="s">
        <v>530</v>
      </c>
      <c r="U884" s="110" t="s">
        <v>2913</v>
      </c>
      <c r="V884" s="119" t="n">
        <v>18.79</v>
      </c>
      <c r="W884" s="119"/>
      <c r="X884" s="110" t="s">
        <v>2063</v>
      </c>
      <c r="Y884" s="110" t="s">
        <v>2064</v>
      </c>
      <c r="Z884" s="110" t="s">
        <v>2968</v>
      </c>
      <c r="AA884" s="110" t="s">
        <v>537</v>
      </c>
      <c r="AB884" s="110" t="s">
        <v>244</v>
      </c>
      <c r="AC884" s="110" t="s">
        <v>538</v>
      </c>
      <c r="AD884" s="110" t="n">
        <f aca="false">IF(OR(F884="",Q884="",R884=""),"",ROUND(IF(P884="incl.",F884/(1+Q884),F884)/IF(S884="per pack",R884,1),2))</f>
        <v>18.79</v>
      </c>
      <c r="AE884" s="110" t="str">
        <f aca="false">IF(AND(AC884="yes",ISNUMBER(F884),IF(Compare!$H$5="All mapped",TRUE(),IF(Compare!$H$5="EXACT only",J884="EXACT",OR(J884="EXACT",J884="CLOSE")))),"yes","no")</f>
        <v>yes</v>
      </c>
      <c r="AF884" s="110" t="n">
        <f aca="false">IF(ISNUMBER(H884),COUNTIFS($B$7:$B$3000,B884,$C$7:$C$3000,C884,$H$7:$H$3000,"&lt;"&amp;H884,$AH$7:$AH$3000,"yes")+COUNTIFS($B$7:B884,B884,$C$7:C884,C884,$H$7:H884,H884,$AH$7:AH884,"yes"),"")</f>
        <v>5</v>
      </c>
      <c r="AG884" s="110" t="n">
        <f aca="false">IF(ISNUMBER(I884),COUNTIFS($B$7:$B$3000,B884,$C$7:$C$3000,C884,$I$7:$I$3000,"&lt;"&amp;I884,$AI$7:$AI$3000,"yes")+COUNTIFS($B$7:B884,B884,$C$7:C884,C884,$I$7:I884,I884,$AI$7:AI884,"yes"),"")</f>
        <v>5</v>
      </c>
      <c r="AH884" s="110" t="str">
        <f aca="false">IF(ISNUMBER(H884),"yes","no")</f>
        <v>yes</v>
      </c>
      <c r="AI884" s="110" t="str">
        <f aca="false">IF(ISNUMBER(I884),"yes","no")</f>
        <v>yes</v>
      </c>
      <c r="AJ884" s="120" t="n">
        <v>46297</v>
      </c>
      <c r="AK884" s="110"/>
    </row>
    <row r="885" customFormat="false" ht="23.85" hidden="false" customHeight="false" outlineLevel="0" collapsed="false">
      <c r="B885" s="36" t="s">
        <v>66</v>
      </c>
      <c r="C885" s="98" t="s">
        <v>16</v>
      </c>
      <c r="D885" s="98" t="s">
        <v>309</v>
      </c>
      <c r="E885" s="110" t="s">
        <v>2941</v>
      </c>
      <c r="F885" s="99" t="n">
        <v>36.8</v>
      </c>
      <c r="G885" s="98" t="s">
        <v>244</v>
      </c>
      <c r="H885" s="112" t="n">
        <f aca="false">IF(AND(AE885="yes",ISNUMBER(AD885)),AD885,"")</f>
        <v>36.8</v>
      </c>
      <c r="I885" s="95" t="n">
        <f aca="false">IF(AND(AE885="yes",ISNUMBER(AD885),ISNUMBER(INDEX(Sources!$G$7:$G$10,MATCH(AB885,Sources!$B$7:$B$10,0)))),ROUND(AD885/INDEX(Sources!$G$7:$G$10,MATCH(AB885,Sources!$B$7:$B$10,0)),6),"")</f>
        <v>36.8</v>
      </c>
      <c r="J885" s="98" t="s">
        <v>530</v>
      </c>
      <c r="K885" s="98" t="s">
        <v>2059</v>
      </c>
      <c r="L885" s="96"/>
      <c r="M885" s="110" t="s">
        <v>2969</v>
      </c>
      <c r="N885" s="117" t="s">
        <v>2943</v>
      </c>
      <c r="O885" s="110" t="s">
        <v>2944</v>
      </c>
      <c r="P885" s="110" t="s">
        <v>590</v>
      </c>
      <c r="Q885" s="118" t="n">
        <v>0.19</v>
      </c>
      <c r="R885" s="110" t="n">
        <v>1</v>
      </c>
      <c r="S885" s="110" t="s">
        <v>632</v>
      </c>
      <c r="T885" s="110" t="s">
        <v>530</v>
      </c>
      <c r="U885" s="110" t="s">
        <v>2913</v>
      </c>
      <c r="V885" s="119" t="n">
        <v>36.8</v>
      </c>
      <c r="W885" s="119"/>
      <c r="X885" s="110" t="s">
        <v>2063</v>
      </c>
      <c r="Y885" s="110" t="s">
        <v>2064</v>
      </c>
      <c r="Z885" s="110" t="s">
        <v>2970</v>
      </c>
      <c r="AA885" s="110" t="s">
        <v>537</v>
      </c>
      <c r="AB885" s="110" t="s">
        <v>244</v>
      </c>
      <c r="AC885" s="110" t="s">
        <v>538</v>
      </c>
      <c r="AD885" s="110" t="n">
        <f aca="false">IF(OR(F885="",Q885="",R885=""),"",ROUND(IF(P885="incl.",F885/(1+Q885),F885)/IF(S885="per pack",R885,1),2))</f>
        <v>36.8</v>
      </c>
      <c r="AE885" s="110" t="str">
        <f aca="false">IF(AND(AC885="yes",ISNUMBER(F885),IF(Compare!$H$5="All mapped",TRUE(),IF(Compare!$H$5="EXACT only",J885="EXACT",OR(J885="EXACT",J885="CLOSE")))),"yes","no")</f>
        <v>yes</v>
      </c>
      <c r="AF885" s="110" t="n">
        <f aca="false">IF(ISNUMBER(H885),COUNTIFS($B$7:$B$3000,B885,$C$7:$C$3000,C885,$H$7:$H$3000,"&lt;"&amp;H885,$AH$7:$AH$3000,"yes")+COUNTIFS($B$7:B885,B885,$C$7:C885,C885,$H$7:H885,H885,$AH$7:AH885,"yes"),"")</f>
        <v>7</v>
      </c>
      <c r="AG885" s="110" t="n">
        <f aca="false">IF(ISNUMBER(I885),COUNTIFS($B$7:$B$3000,B885,$C$7:$C$3000,C885,$I$7:$I$3000,"&lt;"&amp;I885,$AI$7:$AI$3000,"yes")+COUNTIFS($B$7:B885,B885,$C$7:C885,C885,$I$7:I885,I885,$AI$7:AI885,"yes"),"")</f>
        <v>7</v>
      </c>
      <c r="AH885" s="110" t="str">
        <f aca="false">IF(ISNUMBER(H885),"yes","no")</f>
        <v>yes</v>
      </c>
      <c r="AI885" s="110" t="str">
        <f aca="false">IF(ISNUMBER(I885),"yes","no")</f>
        <v>yes</v>
      </c>
      <c r="AJ885" s="120" t="n">
        <v>46297</v>
      </c>
      <c r="AK885" s="110"/>
    </row>
    <row r="886" customFormat="false" ht="23.85" hidden="false" customHeight="false" outlineLevel="0" collapsed="false">
      <c r="B886" s="36" t="s">
        <v>66</v>
      </c>
      <c r="C886" s="98" t="s">
        <v>16</v>
      </c>
      <c r="D886" s="98" t="s">
        <v>313</v>
      </c>
      <c r="E886" s="110" t="s">
        <v>2945</v>
      </c>
      <c r="F886" s="99" t="n">
        <v>17.39</v>
      </c>
      <c r="G886" s="98" t="s">
        <v>244</v>
      </c>
      <c r="H886" s="112" t="n">
        <f aca="false">IF(AND(AE886="yes",ISNUMBER(AD886)),AD886,"")</f>
        <v>14.61</v>
      </c>
      <c r="I886" s="95" t="n">
        <f aca="false">IF(AND(AE886="yes",ISNUMBER(AD886),ISNUMBER(INDEX(Sources!$G$7:$G$10,MATCH(AB886,Sources!$B$7:$B$10,0)))),ROUND(AD886/INDEX(Sources!$G$7:$G$10,MATCH(AB886,Sources!$B$7:$B$10,0)),6),"")</f>
        <v>14.61</v>
      </c>
      <c r="J886" s="98" t="s">
        <v>530</v>
      </c>
      <c r="K886" s="98" t="s">
        <v>2059</v>
      </c>
      <c r="L886" s="96"/>
      <c r="M886" s="110" t="s">
        <v>2971</v>
      </c>
      <c r="N886" s="117" t="s">
        <v>2972</v>
      </c>
      <c r="O886" s="110" t="s">
        <v>598</v>
      </c>
      <c r="P886" s="110" t="s">
        <v>265</v>
      </c>
      <c r="Q886" s="118" t="n">
        <v>0.19</v>
      </c>
      <c r="R886" s="110" t="n">
        <v>1</v>
      </c>
      <c r="S886" s="110" t="s">
        <v>632</v>
      </c>
      <c r="T886" s="110" t="s">
        <v>530</v>
      </c>
      <c r="U886" s="110" t="s">
        <v>2918</v>
      </c>
      <c r="V886" s="119" t="n">
        <v>14.61</v>
      </c>
      <c r="W886" s="119"/>
      <c r="X886" s="110" t="s">
        <v>2063</v>
      </c>
      <c r="Y886" s="110" t="s">
        <v>2064</v>
      </c>
      <c r="Z886" s="110" t="s">
        <v>2973</v>
      </c>
      <c r="AA886" s="110" t="s">
        <v>537</v>
      </c>
      <c r="AB886" s="110" t="s">
        <v>244</v>
      </c>
      <c r="AC886" s="110" t="s">
        <v>538</v>
      </c>
      <c r="AD886" s="110" t="n">
        <f aca="false">IF(OR(F886="",Q886="",R886=""),"",ROUND(IF(P886="incl.",F886/(1+Q886),F886)/IF(S886="per pack",R886,1),2))</f>
        <v>14.61</v>
      </c>
      <c r="AE886" s="110" t="str">
        <f aca="false">IF(AND(AC886="yes",ISNUMBER(F886),IF(Compare!$H$5="All mapped",TRUE(),IF(Compare!$H$5="EXACT only",J886="EXACT",OR(J886="EXACT",J886="CLOSE")))),"yes","no")</f>
        <v>yes</v>
      </c>
      <c r="AF886" s="110" t="n">
        <f aca="false">IF(ISNUMBER(H886),COUNTIFS($B$7:$B$3000,B886,$C$7:$C$3000,C886,$H$7:$H$3000,"&lt;"&amp;H886,$AH$7:$AH$3000,"yes")+COUNTIFS($B$7:B886,B886,$C$7:C886,C886,$H$7:H886,H886,$AH$7:AH886,"yes"),"")</f>
        <v>2</v>
      </c>
      <c r="AG886" s="110" t="n">
        <f aca="false">IF(ISNUMBER(I886),COUNTIFS($B$7:$B$3000,B886,$C$7:$C$3000,C886,$I$7:$I$3000,"&lt;"&amp;I886,$AI$7:$AI$3000,"yes")+COUNTIFS($B$7:B886,B886,$C$7:C886,C886,$I$7:I886,I886,$AI$7:AI886,"yes"),"")</f>
        <v>2</v>
      </c>
      <c r="AH886" s="110" t="str">
        <f aca="false">IF(ISNUMBER(H886),"yes","no")</f>
        <v>yes</v>
      </c>
      <c r="AI886" s="110" t="str">
        <f aca="false">IF(ISNUMBER(I886),"yes","no")</f>
        <v>yes</v>
      </c>
      <c r="AJ886" s="120" t="n">
        <v>46297</v>
      </c>
      <c r="AK886" s="110"/>
    </row>
    <row r="887" customFormat="false" ht="35.05" hidden="false" customHeight="false" outlineLevel="0" collapsed="false">
      <c r="B887" s="36" t="s">
        <v>66</v>
      </c>
      <c r="C887" s="98" t="s">
        <v>16</v>
      </c>
      <c r="D887" s="98" t="s">
        <v>321</v>
      </c>
      <c r="E887" s="110" t="s">
        <v>2974</v>
      </c>
      <c r="F887" s="99" t="n">
        <v>16.91</v>
      </c>
      <c r="G887" s="98" t="s">
        <v>244</v>
      </c>
      <c r="H887" s="112" t="n">
        <f aca="false">IF(AND(AE887="yes",ISNUMBER(AD887)),AD887,"")</f>
        <v>16.91</v>
      </c>
      <c r="I887" s="95" t="n">
        <f aca="false">IF(AND(AE887="yes",ISNUMBER(AD887),ISNUMBER(INDEX(Sources!$G$7:$G$10,MATCH(AB887,Sources!$B$7:$B$10,0)))),ROUND(AD887/INDEX(Sources!$G$7:$G$10,MATCH(AB887,Sources!$B$7:$B$10,0)),6),"")</f>
        <v>16.91</v>
      </c>
      <c r="J887" s="98" t="s">
        <v>530</v>
      </c>
      <c r="K887" s="98" t="s">
        <v>2059</v>
      </c>
      <c r="L887" s="96"/>
      <c r="M887" s="110" t="s">
        <v>2975</v>
      </c>
      <c r="N887" s="117" t="s">
        <v>2976</v>
      </c>
      <c r="O887" s="110" t="s">
        <v>2977</v>
      </c>
      <c r="P887" s="110" t="s">
        <v>590</v>
      </c>
      <c r="Q887" s="118" t="n">
        <v>0.19</v>
      </c>
      <c r="R887" s="110" t="n">
        <v>1</v>
      </c>
      <c r="S887" s="110" t="s">
        <v>632</v>
      </c>
      <c r="T887" s="110" t="s">
        <v>530</v>
      </c>
      <c r="U887" s="110" t="s">
        <v>2913</v>
      </c>
      <c r="V887" s="119" t="n">
        <v>16.91</v>
      </c>
      <c r="W887" s="119"/>
      <c r="X887" s="110" t="s">
        <v>2063</v>
      </c>
      <c r="Y887" s="110" t="s">
        <v>2064</v>
      </c>
      <c r="Z887" s="110" t="s">
        <v>2978</v>
      </c>
      <c r="AA887" s="110" t="s">
        <v>537</v>
      </c>
      <c r="AB887" s="110" t="s">
        <v>244</v>
      </c>
      <c r="AC887" s="110" t="s">
        <v>538</v>
      </c>
      <c r="AD887" s="110" t="n">
        <f aca="false">IF(OR(F887="",Q887="",R887=""),"",ROUND(IF(P887="incl.",F887/(1+Q887),F887)/IF(S887="per pack",R887,1),2))</f>
        <v>16.91</v>
      </c>
      <c r="AE887" s="110" t="str">
        <f aca="false">IF(AND(AC887="yes",ISNUMBER(F887),IF(Compare!$H$5="All mapped",TRUE(),IF(Compare!$H$5="EXACT only",J887="EXACT",OR(J887="EXACT",J887="CLOSE")))),"yes","no")</f>
        <v>yes</v>
      </c>
      <c r="AF887" s="110" t="n">
        <f aca="false">IF(ISNUMBER(H887),COUNTIFS($B$7:$B$3000,B887,$C$7:$C$3000,C887,$H$7:$H$3000,"&lt;"&amp;H887,$AH$7:$AH$3000,"yes")+COUNTIFS($B$7:B887,B887,$C$7:C887,C887,$H$7:H887,H887,$AH$7:AH887,"yes"),"")</f>
        <v>3</v>
      </c>
      <c r="AG887" s="110" t="n">
        <f aca="false">IF(ISNUMBER(I887),COUNTIFS($B$7:$B$3000,B887,$C$7:$C$3000,C887,$I$7:$I$3000,"&lt;"&amp;I887,$AI$7:$AI$3000,"yes")+COUNTIFS($B$7:B887,B887,$C$7:C887,C887,$I$7:I887,I887,$AI$7:AI887,"yes"),"")</f>
        <v>3</v>
      </c>
      <c r="AH887" s="110" t="str">
        <f aca="false">IF(ISNUMBER(H887),"yes","no")</f>
        <v>yes</v>
      </c>
      <c r="AI887" s="110" t="str">
        <f aca="false">IF(ISNUMBER(I887),"yes","no")</f>
        <v>yes</v>
      </c>
      <c r="AJ887" s="120" t="n">
        <v>46297</v>
      </c>
      <c r="AK887" s="110"/>
    </row>
    <row r="888" customFormat="false" ht="35.05" hidden="false" customHeight="false" outlineLevel="0" collapsed="false">
      <c r="B888" s="36" t="s">
        <v>66</v>
      </c>
      <c r="C888" s="98" t="s">
        <v>16</v>
      </c>
      <c r="D888" s="98" t="s">
        <v>329</v>
      </c>
      <c r="E888" s="110" t="s">
        <v>2979</v>
      </c>
      <c r="F888" s="99" t="n">
        <v>20.39</v>
      </c>
      <c r="G888" s="98" t="s">
        <v>244</v>
      </c>
      <c r="H888" s="112" t="n">
        <f aca="false">IF(AND(AE888="yes",ISNUMBER(AD888)),AD888,"")</f>
        <v>20.39</v>
      </c>
      <c r="I888" s="95" t="n">
        <f aca="false">IF(AND(AE888="yes",ISNUMBER(AD888),ISNUMBER(INDEX(Sources!$G$7:$G$10,MATCH(AB888,Sources!$B$7:$B$10,0)))),ROUND(AD888/INDEX(Sources!$G$7:$G$10,MATCH(AB888,Sources!$B$7:$B$10,0)),6),"")</f>
        <v>20.39</v>
      </c>
      <c r="J888" s="98" t="s">
        <v>530</v>
      </c>
      <c r="K888" s="98" t="s">
        <v>2059</v>
      </c>
      <c r="L888" s="96"/>
      <c r="M888" s="110" t="s">
        <v>2980</v>
      </c>
      <c r="N888" s="117" t="s">
        <v>2981</v>
      </c>
      <c r="O888" s="110" t="s">
        <v>2982</v>
      </c>
      <c r="P888" s="110" t="s">
        <v>590</v>
      </c>
      <c r="Q888" s="118" t="n">
        <v>0.19</v>
      </c>
      <c r="R888" s="110" t="n">
        <v>1</v>
      </c>
      <c r="S888" s="110" t="s">
        <v>632</v>
      </c>
      <c r="T888" s="110" t="s">
        <v>530</v>
      </c>
      <c r="U888" s="110" t="s">
        <v>2913</v>
      </c>
      <c r="V888" s="119" t="n">
        <v>20.39</v>
      </c>
      <c r="W888" s="119"/>
      <c r="X888" s="110" t="s">
        <v>2063</v>
      </c>
      <c r="Y888" s="110" t="s">
        <v>2064</v>
      </c>
      <c r="Z888" s="110" t="s">
        <v>2624</v>
      </c>
      <c r="AA888" s="110" t="s">
        <v>537</v>
      </c>
      <c r="AB888" s="110" t="s">
        <v>244</v>
      </c>
      <c r="AC888" s="110" t="s">
        <v>538</v>
      </c>
      <c r="AD888" s="110" t="n">
        <f aca="false">IF(OR(F888="",Q888="",R888=""),"",ROUND(IF(P888="incl.",F888/(1+Q888),F888)/IF(S888="per pack",R888,1),2))</f>
        <v>20.39</v>
      </c>
      <c r="AE888" s="110" t="str">
        <f aca="false">IF(AND(AC888="yes",ISNUMBER(F888),IF(Compare!$H$5="All mapped",TRUE(),IF(Compare!$H$5="EXACT only",J888="EXACT",OR(J888="EXACT",J888="CLOSE")))),"yes","no")</f>
        <v>yes</v>
      </c>
      <c r="AF888" s="110" t="n">
        <f aca="false">IF(ISNUMBER(H888),COUNTIFS($B$7:$B$3000,B888,$C$7:$C$3000,C888,$H$7:$H$3000,"&lt;"&amp;H888,$AH$7:$AH$3000,"yes")+COUNTIFS($B$7:B888,B888,$C$7:C888,C888,$H$7:H888,H888,$AH$7:AH888,"yes"),"")</f>
        <v>6</v>
      </c>
      <c r="AG888" s="110" t="n">
        <f aca="false">IF(ISNUMBER(I888),COUNTIFS($B$7:$B$3000,B888,$C$7:$C$3000,C888,$I$7:$I$3000,"&lt;"&amp;I888,$AI$7:$AI$3000,"yes")+COUNTIFS($B$7:B888,B888,$C$7:C888,C888,$I$7:I888,I888,$AI$7:AI888,"yes"),"")</f>
        <v>6</v>
      </c>
      <c r="AH888" s="110" t="str">
        <f aca="false">IF(ISNUMBER(H888),"yes","no")</f>
        <v>yes</v>
      </c>
      <c r="AI888" s="110" t="str">
        <f aca="false">IF(ISNUMBER(I888),"yes","no")</f>
        <v>yes</v>
      </c>
      <c r="AJ888" s="120" t="n">
        <v>46297</v>
      </c>
      <c r="AK888" s="110"/>
    </row>
    <row r="889" customFormat="false" ht="35.05" hidden="false" customHeight="false" outlineLevel="0" collapsed="false">
      <c r="B889" s="36" t="s">
        <v>66</v>
      </c>
      <c r="C889" s="98" t="s">
        <v>17</v>
      </c>
      <c r="D889" s="98" t="s">
        <v>338</v>
      </c>
      <c r="E889" s="110" t="s">
        <v>2983</v>
      </c>
      <c r="F889" s="99" t="n">
        <v>376</v>
      </c>
      <c r="G889" s="98" t="s">
        <v>333</v>
      </c>
      <c r="H889" s="112" t="n">
        <f aca="false">IF(AND(AE889="yes",ISNUMBER(AD889)),AD889,"")</f>
        <v>376</v>
      </c>
      <c r="I889" s="95" t="n">
        <f aca="false">IF(AND(AE889="yes",ISNUMBER(AD889),ISNUMBER(INDEX(Sources!$G$7:$G$10,MATCH(AB889,Sources!$B$7:$B$10,0)))),ROUND(AD889/INDEX(Sources!$G$7:$G$10,MATCH(AB889,Sources!$B$7:$B$10,0)),6),"")</f>
        <v>15.394936</v>
      </c>
      <c r="J889" s="98" t="s">
        <v>530</v>
      </c>
      <c r="K889" s="98" t="s">
        <v>2059</v>
      </c>
      <c r="L889" s="96"/>
      <c r="M889" s="110" t="s">
        <v>2984</v>
      </c>
      <c r="N889" s="117" t="s">
        <v>2985</v>
      </c>
      <c r="O889" s="110" t="s">
        <v>388</v>
      </c>
      <c r="P889" s="110" t="s">
        <v>590</v>
      </c>
      <c r="Q889" s="118" t="n">
        <v>0.21</v>
      </c>
      <c r="R889" s="110" t="n">
        <v>1</v>
      </c>
      <c r="S889" s="110" t="s">
        <v>632</v>
      </c>
      <c r="T889" s="110" t="s">
        <v>530</v>
      </c>
      <c r="U889" s="110" t="s">
        <v>2913</v>
      </c>
      <c r="V889" s="119" t="n">
        <v>376</v>
      </c>
      <c r="W889" s="119"/>
      <c r="X889" s="110" t="s">
        <v>2063</v>
      </c>
      <c r="Y889" s="110" t="s">
        <v>2064</v>
      </c>
      <c r="Z889" s="110" t="s">
        <v>2408</v>
      </c>
      <c r="AA889" s="110" t="s">
        <v>537</v>
      </c>
      <c r="AB889" s="110" t="s">
        <v>333</v>
      </c>
      <c r="AC889" s="110" t="s">
        <v>538</v>
      </c>
      <c r="AD889" s="110" t="n">
        <f aca="false">IF(OR(F889="",Q889="",R889=""),"",ROUND(IF(P889="incl.",F889/(1+Q889),F889)/IF(S889="per pack",R889,1),2))</f>
        <v>376</v>
      </c>
      <c r="AE889" s="110" t="str">
        <f aca="false">IF(AND(AC889="yes",ISNUMBER(F889),IF(Compare!$H$5="All mapped",TRUE(),IF(Compare!$H$5="EXACT only",J889="EXACT",OR(J889="EXACT",J889="CLOSE")))),"yes","no")</f>
        <v>yes</v>
      </c>
      <c r="AF889" s="110" t="n">
        <f aca="false">IF(ISNUMBER(H889),COUNTIFS($B$7:$B$3000,B889,$C$7:$C$3000,C889,$H$7:$H$3000,"&lt;"&amp;H889,$AH$7:$AH$3000,"yes")+COUNTIFS($B$7:B889,B889,$C$7:C889,C889,$H$7:H889,H889,$AH$7:AH889,"yes"),"")</f>
        <v>3</v>
      </c>
      <c r="AG889" s="110" t="n">
        <f aca="false">IF(ISNUMBER(I889),COUNTIFS($B$7:$B$3000,B889,$C$7:$C$3000,C889,$I$7:$I$3000,"&lt;"&amp;I889,$AI$7:$AI$3000,"yes")+COUNTIFS($B$7:B889,B889,$C$7:C889,C889,$I$7:I889,I889,$AI$7:AI889,"yes"),"")</f>
        <v>3</v>
      </c>
      <c r="AH889" s="110" t="str">
        <f aca="false">IF(ISNUMBER(H889),"yes","no")</f>
        <v>yes</v>
      </c>
      <c r="AI889" s="110" t="str">
        <f aca="false">IF(ISNUMBER(I889),"yes","no")</f>
        <v>yes</v>
      </c>
      <c r="AJ889" s="120" t="n">
        <v>46297</v>
      </c>
      <c r="AK889" s="110"/>
    </row>
    <row r="890" customFormat="false" ht="35.05" hidden="false" customHeight="false" outlineLevel="0" collapsed="false">
      <c r="B890" s="36" t="s">
        <v>66</v>
      </c>
      <c r="C890" s="98" t="s">
        <v>17</v>
      </c>
      <c r="D890" s="98" t="s">
        <v>342</v>
      </c>
      <c r="E890" s="110" t="s">
        <v>2986</v>
      </c>
      <c r="F890" s="99" t="n">
        <v>307</v>
      </c>
      <c r="G890" s="98" t="s">
        <v>333</v>
      </c>
      <c r="H890" s="112" t="n">
        <f aca="false">IF(AND(AE890="yes",ISNUMBER(AD890)),AD890,"")</f>
        <v>307</v>
      </c>
      <c r="I890" s="95" t="n">
        <f aca="false">IF(AND(AE890="yes",ISNUMBER(AD890),ISNUMBER(INDEX(Sources!$G$7:$G$10,MATCH(AB890,Sources!$B$7:$B$10,0)))),ROUND(AD890/INDEX(Sources!$G$7:$G$10,MATCH(AB890,Sources!$B$7:$B$10,0)),6),"")</f>
        <v>12.569801</v>
      </c>
      <c r="J890" s="98" t="s">
        <v>530</v>
      </c>
      <c r="K890" s="98" t="s">
        <v>2059</v>
      </c>
      <c r="L890" s="96"/>
      <c r="M890" s="110" t="s">
        <v>2987</v>
      </c>
      <c r="N890" s="117" t="s">
        <v>2988</v>
      </c>
      <c r="O890" s="110" t="s">
        <v>1138</v>
      </c>
      <c r="P890" s="110" t="s">
        <v>590</v>
      </c>
      <c r="Q890" s="118" t="n">
        <v>0.21</v>
      </c>
      <c r="R890" s="110" t="n">
        <v>1</v>
      </c>
      <c r="S890" s="110" t="s">
        <v>632</v>
      </c>
      <c r="T890" s="110" t="s">
        <v>530</v>
      </c>
      <c r="U890" s="110" t="s">
        <v>2913</v>
      </c>
      <c r="V890" s="119" t="n">
        <v>307</v>
      </c>
      <c r="W890" s="119"/>
      <c r="X890" s="110" t="s">
        <v>2063</v>
      </c>
      <c r="Y890" s="110" t="s">
        <v>2064</v>
      </c>
      <c r="Z890" s="110" t="s">
        <v>2989</v>
      </c>
      <c r="AA890" s="110" t="s">
        <v>537</v>
      </c>
      <c r="AB890" s="110" t="s">
        <v>333</v>
      </c>
      <c r="AC890" s="110" t="s">
        <v>538</v>
      </c>
      <c r="AD890" s="110" t="n">
        <f aca="false">IF(OR(F890="",Q890="",R890=""),"",ROUND(IF(P890="incl.",F890/(1+Q890),F890)/IF(S890="per pack",R890,1),2))</f>
        <v>307</v>
      </c>
      <c r="AE890" s="110" t="str">
        <f aca="false">IF(AND(AC890="yes",ISNUMBER(F890),IF(Compare!$H$5="All mapped",TRUE(),IF(Compare!$H$5="EXACT only",J890="EXACT",OR(J890="EXACT",J890="CLOSE")))),"yes","no")</f>
        <v>yes</v>
      </c>
      <c r="AF890" s="110" t="n">
        <f aca="false">IF(ISNUMBER(H890),COUNTIFS($B$7:$B$3000,B890,$C$7:$C$3000,C890,$H$7:$H$3000,"&lt;"&amp;H890,$AH$7:$AH$3000,"yes")+COUNTIFS($B$7:B890,B890,$C$7:C890,C890,$H$7:H890,H890,$AH$7:AH890,"yes"),"")</f>
        <v>2</v>
      </c>
      <c r="AG890" s="110" t="n">
        <f aca="false">IF(ISNUMBER(I890),COUNTIFS($B$7:$B$3000,B890,$C$7:$C$3000,C890,$I$7:$I$3000,"&lt;"&amp;I890,$AI$7:$AI$3000,"yes")+COUNTIFS($B$7:B890,B890,$C$7:C890,C890,$I$7:I890,I890,$AI$7:AI890,"yes"),"")</f>
        <v>2</v>
      </c>
      <c r="AH890" s="110" t="str">
        <f aca="false">IF(ISNUMBER(H890),"yes","no")</f>
        <v>yes</v>
      </c>
      <c r="AI890" s="110" t="str">
        <f aca="false">IF(ISNUMBER(I890),"yes","no")</f>
        <v>yes</v>
      </c>
      <c r="AJ890" s="120" t="n">
        <v>46297</v>
      </c>
      <c r="AK890" s="110"/>
    </row>
    <row r="891" customFormat="false" ht="46.25" hidden="false" customHeight="false" outlineLevel="0" collapsed="false">
      <c r="B891" s="36" t="s">
        <v>66</v>
      </c>
      <c r="C891" s="98" t="s">
        <v>17</v>
      </c>
      <c r="D891" s="98" t="s">
        <v>346</v>
      </c>
      <c r="E891" s="110" t="s">
        <v>2990</v>
      </c>
      <c r="F891" s="99" t="n">
        <v>642</v>
      </c>
      <c r="G891" s="98" t="s">
        <v>333</v>
      </c>
      <c r="H891" s="112" t="n">
        <f aca="false">IF(AND(AE891="yes",ISNUMBER(AD891)),AD891,"")</f>
        <v>642</v>
      </c>
      <c r="I891" s="95" t="n">
        <f aca="false">IF(AND(AE891="yes",ISNUMBER(AD891),ISNUMBER(INDEX(Sources!$G$7:$G$10,MATCH(AB891,Sources!$B$7:$B$10,0)))),ROUND(AD891/INDEX(Sources!$G$7:$G$10,MATCH(AB891,Sources!$B$7:$B$10,0)),6),"")</f>
        <v>26.286034</v>
      </c>
      <c r="J891" s="98" t="s">
        <v>530</v>
      </c>
      <c r="K891" s="98" t="s">
        <v>2059</v>
      </c>
      <c r="L891" s="96"/>
      <c r="M891" s="110" t="s">
        <v>2991</v>
      </c>
      <c r="N891" s="117" t="s">
        <v>2992</v>
      </c>
      <c r="O891" s="110" t="s">
        <v>565</v>
      </c>
      <c r="P891" s="110" t="s">
        <v>590</v>
      </c>
      <c r="Q891" s="118" t="n">
        <v>0.21</v>
      </c>
      <c r="R891" s="110" t="n">
        <v>1</v>
      </c>
      <c r="S891" s="110" t="s">
        <v>632</v>
      </c>
      <c r="T891" s="110" t="s">
        <v>530</v>
      </c>
      <c r="U891" s="110" t="s">
        <v>2913</v>
      </c>
      <c r="V891" s="119" t="n">
        <v>642</v>
      </c>
      <c r="W891" s="119"/>
      <c r="X891" s="110" t="s">
        <v>2063</v>
      </c>
      <c r="Y891" s="110" t="s">
        <v>2064</v>
      </c>
      <c r="Z891" s="110" t="s">
        <v>2993</v>
      </c>
      <c r="AA891" s="110" t="s">
        <v>537</v>
      </c>
      <c r="AB891" s="110" t="s">
        <v>333</v>
      </c>
      <c r="AC891" s="110" t="s">
        <v>538</v>
      </c>
      <c r="AD891" s="110" t="n">
        <f aca="false">IF(OR(F891="",Q891="",R891=""),"",ROUND(IF(P891="incl.",F891/(1+Q891),F891)/IF(S891="per pack",R891,1),2))</f>
        <v>642</v>
      </c>
      <c r="AE891" s="110" t="str">
        <f aca="false">IF(AND(AC891="yes",ISNUMBER(F891),IF(Compare!$H$5="All mapped",TRUE(),IF(Compare!$H$5="EXACT only",J891="EXACT",OR(J891="EXACT",J891="CLOSE")))),"yes","no")</f>
        <v>yes</v>
      </c>
      <c r="AF891" s="110" t="n">
        <f aca="false">IF(ISNUMBER(H891),COUNTIFS($B$7:$B$3000,B891,$C$7:$C$3000,C891,$H$7:$H$3000,"&lt;"&amp;H891,$AH$7:$AH$3000,"yes")+COUNTIFS($B$7:B891,B891,$C$7:C891,C891,$H$7:H891,H891,$AH$7:AH891,"yes"),"")</f>
        <v>5</v>
      </c>
      <c r="AG891" s="110" t="n">
        <f aca="false">IF(ISNUMBER(I891),COUNTIFS($B$7:$B$3000,B891,$C$7:$C$3000,C891,$I$7:$I$3000,"&lt;"&amp;I891,$AI$7:$AI$3000,"yes")+COUNTIFS($B$7:B891,B891,$C$7:C891,C891,$I$7:I891,I891,$AI$7:AI891,"yes"),"")</f>
        <v>5</v>
      </c>
      <c r="AH891" s="110" t="str">
        <f aca="false">IF(ISNUMBER(H891),"yes","no")</f>
        <v>yes</v>
      </c>
      <c r="AI891" s="110" t="str">
        <f aca="false">IF(ISNUMBER(I891),"yes","no")</f>
        <v>yes</v>
      </c>
      <c r="AJ891" s="120" t="n">
        <v>46297</v>
      </c>
      <c r="AK891" s="110"/>
    </row>
    <row r="892" customFormat="false" ht="35.05" hidden="false" customHeight="false" outlineLevel="0" collapsed="false">
      <c r="B892" s="36" t="s">
        <v>66</v>
      </c>
      <c r="C892" s="98" t="s">
        <v>17</v>
      </c>
      <c r="D892" s="98" t="s">
        <v>350</v>
      </c>
      <c r="E892" s="110" t="s">
        <v>2994</v>
      </c>
      <c r="F892" s="99" t="n">
        <v>351</v>
      </c>
      <c r="G892" s="98" t="s">
        <v>333</v>
      </c>
      <c r="H892" s="112" t="n">
        <f aca="false">IF(AND(AE892="yes",ISNUMBER(AD892)),AD892,"")</f>
        <v>290.08</v>
      </c>
      <c r="I892" s="95" t="n">
        <f aca="false">IF(AND(AE892="yes",ISNUMBER(AD892),ISNUMBER(INDEX(Sources!$G$7:$G$10,MATCH(AB892,Sources!$B$7:$B$10,0)))),ROUND(AD892/INDEX(Sources!$G$7:$G$10,MATCH(AB892,Sources!$B$7:$B$10,0)),6),"")</f>
        <v>11.877029</v>
      </c>
      <c r="J892" s="98" t="s">
        <v>530</v>
      </c>
      <c r="K892" s="98" t="s">
        <v>2059</v>
      </c>
      <c r="L892" s="96"/>
      <c r="M892" s="110" t="s">
        <v>2995</v>
      </c>
      <c r="N892" s="117" t="s">
        <v>2996</v>
      </c>
      <c r="O892" s="110" t="s">
        <v>2997</v>
      </c>
      <c r="P892" s="110" t="s">
        <v>265</v>
      </c>
      <c r="Q892" s="118" t="n">
        <v>0.21</v>
      </c>
      <c r="R892" s="110" t="n">
        <v>1</v>
      </c>
      <c r="S892" s="110" t="s">
        <v>632</v>
      </c>
      <c r="T892" s="110" t="s">
        <v>530</v>
      </c>
      <c r="U892" s="110" t="s">
        <v>2918</v>
      </c>
      <c r="V892" s="119" t="n">
        <v>290.08</v>
      </c>
      <c r="W892" s="119"/>
      <c r="X892" s="110" t="s">
        <v>2063</v>
      </c>
      <c r="Y892" s="110" t="s">
        <v>2064</v>
      </c>
      <c r="Z892" s="110" t="s">
        <v>2344</v>
      </c>
      <c r="AA892" s="110" t="s">
        <v>537</v>
      </c>
      <c r="AB892" s="110" t="s">
        <v>333</v>
      </c>
      <c r="AC892" s="110" t="s">
        <v>538</v>
      </c>
      <c r="AD892" s="110" t="n">
        <f aca="false">IF(OR(F892="",Q892="",R892=""),"",ROUND(IF(P892="incl.",F892/(1+Q892),F892)/IF(S892="per pack",R892,1),2))</f>
        <v>290.08</v>
      </c>
      <c r="AE892" s="110" t="str">
        <f aca="false">IF(AND(AC892="yes",ISNUMBER(F892),IF(Compare!$H$5="All mapped",TRUE(),IF(Compare!$H$5="EXACT only",J892="EXACT",OR(J892="EXACT",J892="CLOSE")))),"yes","no")</f>
        <v>yes</v>
      </c>
      <c r="AF892" s="110" t="n">
        <f aca="false">IF(ISNUMBER(H892),COUNTIFS($B$7:$B$3000,B892,$C$7:$C$3000,C892,$H$7:$H$3000,"&lt;"&amp;H892,$AH$7:$AH$3000,"yes")+COUNTIFS($B$7:B892,B892,$C$7:C892,C892,$H$7:H892,H892,$AH$7:AH892,"yes"),"")</f>
        <v>1</v>
      </c>
      <c r="AG892" s="110" t="n">
        <f aca="false">IF(ISNUMBER(I892),COUNTIFS($B$7:$B$3000,B892,$C$7:$C$3000,C892,$I$7:$I$3000,"&lt;"&amp;I892,$AI$7:$AI$3000,"yes")+COUNTIFS($B$7:B892,B892,$C$7:C892,C892,$I$7:I892,I892,$AI$7:AI892,"yes"),"")</f>
        <v>1</v>
      </c>
      <c r="AH892" s="110" t="str">
        <f aca="false">IF(ISNUMBER(H892),"yes","no")</f>
        <v>yes</v>
      </c>
      <c r="AI892" s="110" t="str">
        <f aca="false">IF(ISNUMBER(I892),"yes","no")</f>
        <v>yes</v>
      </c>
      <c r="AJ892" s="120" t="n">
        <v>46297</v>
      </c>
      <c r="AK892" s="110"/>
    </row>
    <row r="893" customFormat="false" ht="23.85" hidden="false" customHeight="false" outlineLevel="0" collapsed="false">
      <c r="B893" s="36" t="s">
        <v>66</v>
      </c>
      <c r="C893" s="98" t="s">
        <v>17</v>
      </c>
      <c r="D893" s="98" t="s">
        <v>361</v>
      </c>
      <c r="E893" s="110" t="s">
        <v>2998</v>
      </c>
      <c r="F893" s="99" t="n">
        <v>429</v>
      </c>
      <c r="G893" s="98" t="s">
        <v>333</v>
      </c>
      <c r="H893" s="112" t="n">
        <f aca="false">IF(AND(AE893="yes",ISNUMBER(AD893)),AD893,"")</f>
        <v>429</v>
      </c>
      <c r="I893" s="95" t="n">
        <f aca="false">IF(AND(AE893="yes",ISNUMBER(AD893),ISNUMBER(INDEX(Sources!$G$7:$G$10,MATCH(AB893,Sources!$B$7:$B$10,0)))),ROUND(AD893/INDEX(Sources!$G$7:$G$10,MATCH(AB893,Sources!$B$7:$B$10,0)),6),"")</f>
        <v>17.564967</v>
      </c>
      <c r="J893" s="98" t="s">
        <v>530</v>
      </c>
      <c r="K893" s="98" t="s">
        <v>2059</v>
      </c>
      <c r="L893" s="96"/>
      <c r="M893" s="110" t="s">
        <v>2999</v>
      </c>
      <c r="N893" s="117" t="s">
        <v>3000</v>
      </c>
      <c r="O893" s="110" t="s">
        <v>361</v>
      </c>
      <c r="P893" s="110" t="s">
        <v>590</v>
      </c>
      <c r="Q893" s="118" t="n">
        <v>0.21</v>
      </c>
      <c r="R893" s="110" t="n">
        <v>1</v>
      </c>
      <c r="S893" s="110" t="s">
        <v>632</v>
      </c>
      <c r="T893" s="110" t="s">
        <v>530</v>
      </c>
      <c r="U893" s="110" t="s">
        <v>2913</v>
      </c>
      <c r="V893" s="119" t="n">
        <v>429</v>
      </c>
      <c r="W893" s="119"/>
      <c r="X893" s="110" t="s">
        <v>2063</v>
      </c>
      <c r="Y893" s="110" t="s">
        <v>2064</v>
      </c>
      <c r="Z893" s="110" t="s">
        <v>3001</v>
      </c>
      <c r="AA893" s="110" t="s">
        <v>537</v>
      </c>
      <c r="AB893" s="110" t="s">
        <v>333</v>
      </c>
      <c r="AC893" s="110" t="s">
        <v>538</v>
      </c>
      <c r="AD893" s="110" t="n">
        <f aca="false">IF(OR(F893="",Q893="",R893=""),"",ROUND(IF(P893="incl.",F893/(1+Q893),F893)/IF(S893="per pack",R893,1),2))</f>
        <v>429</v>
      </c>
      <c r="AE893" s="110" t="str">
        <f aca="false">IF(AND(AC893="yes",ISNUMBER(F893),IF(Compare!$H$5="All mapped",TRUE(),IF(Compare!$H$5="EXACT only",J893="EXACT",OR(J893="EXACT",J893="CLOSE")))),"yes","no")</f>
        <v>yes</v>
      </c>
      <c r="AF893" s="110" t="n">
        <f aca="false">IF(ISNUMBER(H893),COUNTIFS($B$7:$B$3000,B893,$C$7:$C$3000,C893,$H$7:$H$3000,"&lt;"&amp;H893,$AH$7:$AH$3000,"yes")+COUNTIFS($B$7:B893,B893,$C$7:C893,C893,$H$7:H893,H893,$AH$7:AH893,"yes"),"")</f>
        <v>4</v>
      </c>
      <c r="AG893" s="110" t="n">
        <f aca="false">IF(ISNUMBER(I893),COUNTIFS($B$7:$B$3000,B893,$C$7:$C$3000,C893,$I$7:$I$3000,"&lt;"&amp;I893,$AI$7:$AI$3000,"yes")+COUNTIFS($B$7:B893,B893,$C$7:C893,C893,$I$7:I893,I893,$AI$7:AI893,"yes"),"")</f>
        <v>4</v>
      </c>
      <c r="AH893" s="110" t="str">
        <f aca="false">IF(ISNUMBER(H893),"yes","no")</f>
        <v>yes</v>
      </c>
      <c r="AI893" s="110" t="str">
        <f aca="false">IF(ISNUMBER(I893),"yes","no")</f>
        <v>yes</v>
      </c>
      <c r="AJ893" s="120" t="n">
        <v>46297</v>
      </c>
      <c r="AK893" s="110"/>
    </row>
    <row r="894" customFormat="false" ht="23.85" hidden="false" customHeight="false" outlineLevel="0" collapsed="false">
      <c r="B894" s="36" t="s">
        <v>66</v>
      </c>
      <c r="C894" s="98" t="s">
        <v>18</v>
      </c>
      <c r="D894" s="98" t="s">
        <v>3002</v>
      </c>
      <c r="E894" s="110" t="s">
        <v>3003</v>
      </c>
      <c r="F894" s="99" t="n">
        <v>18</v>
      </c>
      <c r="G894" s="98" t="s">
        <v>244</v>
      </c>
      <c r="H894" s="112" t="n">
        <f aca="false">IF(AND(AE894="yes",ISNUMBER(AD894)),AD894,"")</f>
        <v>18</v>
      </c>
      <c r="I894" s="95" t="n">
        <f aca="false">IF(AND(AE894="yes",ISNUMBER(AD894),ISNUMBER(INDEX(Sources!$G$7:$G$10,MATCH(AB894,Sources!$B$7:$B$10,0)))),ROUND(AD894/INDEX(Sources!$G$7:$G$10,MATCH(AB894,Sources!$B$7:$B$10,0)),6),"")</f>
        <v>18</v>
      </c>
      <c r="J894" s="98" t="s">
        <v>530</v>
      </c>
      <c r="K894" s="98" t="s">
        <v>2059</v>
      </c>
      <c r="L894" s="96"/>
      <c r="M894" s="110" t="s">
        <v>3004</v>
      </c>
      <c r="N894" s="117" t="s">
        <v>3005</v>
      </c>
      <c r="O894" s="110" t="s">
        <v>2396</v>
      </c>
      <c r="P894" s="110" t="s">
        <v>590</v>
      </c>
      <c r="Q894" s="118" t="n">
        <v>0.23</v>
      </c>
      <c r="R894" s="110" t="n">
        <v>1</v>
      </c>
      <c r="S894" s="110" t="s">
        <v>632</v>
      </c>
      <c r="T894" s="110" t="s">
        <v>530</v>
      </c>
      <c r="U894" s="110" t="s">
        <v>2913</v>
      </c>
      <c r="V894" s="119" t="n">
        <v>18</v>
      </c>
      <c r="W894" s="119"/>
      <c r="X894" s="110" t="s">
        <v>2063</v>
      </c>
      <c r="Y894" s="110" t="s">
        <v>2064</v>
      </c>
      <c r="Z894" s="110" t="s">
        <v>3006</v>
      </c>
      <c r="AA894" s="110" t="s">
        <v>537</v>
      </c>
      <c r="AB894" s="110" t="s">
        <v>244</v>
      </c>
      <c r="AC894" s="110" t="s">
        <v>538</v>
      </c>
      <c r="AD894" s="110" t="n">
        <f aca="false">IF(OR(F894="",Q894="",R894=""),"",ROUND(IF(P894="incl.",F894/(1+Q894),F894)/IF(S894="per pack",R894,1),2))</f>
        <v>18</v>
      </c>
      <c r="AE894" s="110" t="str">
        <f aca="false">IF(AND(AC894="yes",ISNUMBER(F894),IF(Compare!$H$5="All mapped",TRUE(),IF(Compare!$H$5="EXACT only",J894="EXACT",OR(J894="EXACT",J894="CLOSE")))),"yes","no")</f>
        <v>yes</v>
      </c>
      <c r="AF894" s="110" t="n">
        <f aca="false">IF(ISNUMBER(H894),COUNTIFS($B$7:$B$3000,B894,$C$7:$C$3000,C894,$H$7:$H$3000,"&lt;"&amp;H894,$AH$7:$AH$3000,"yes")+COUNTIFS($B$7:B894,B894,$C$7:C894,C894,$H$7:H894,H894,$AH$7:AH894,"yes"),"")</f>
        <v>4</v>
      </c>
      <c r="AG894" s="110" t="n">
        <f aca="false">IF(ISNUMBER(I894),COUNTIFS($B$7:$B$3000,B894,$C$7:$C$3000,C894,$I$7:$I$3000,"&lt;"&amp;I894,$AI$7:$AI$3000,"yes")+COUNTIFS($B$7:B894,B894,$C$7:C894,C894,$I$7:I894,I894,$AI$7:AI894,"yes"),"")</f>
        <v>4</v>
      </c>
      <c r="AH894" s="110" t="str">
        <f aca="false">IF(ISNUMBER(H894),"yes","no")</f>
        <v>yes</v>
      </c>
      <c r="AI894" s="110" t="str">
        <f aca="false">IF(ISNUMBER(I894),"yes","no")</f>
        <v>yes</v>
      </c>
      <c r="AJ894" s="120" t="n">
        <v>46297</v>
      </c>
      <c r="AK894" s="110"/>
    </row>
    <row r="895" customFormat="false" ht="23.85" hidden="false" customHeight="false" outlineLevel="0" collapsed="false">
      <c r="B895" s="36" t="s">
        <v>66</v>
      </c>
      <c r="C895" s="98" t="s">
        <v>18</v>
      </c>
      <c r="D895" s="98" t="s">
        <v>3007</v>
      </c>
      <c r="E895" s="110" t="s">
        <v>3008</v>
      </c>
      <c r="F895" s="99" t="n">
        <v>15.06</v>
      </c>
      <c r="G895" s="98" t="s">
        <v>244</v>
      </c>
      <c r="H895" s="112" t="n">
        <f aca="false">IF(AND(AE895="yes",ISNUMBER(AD895)),AD895,"")</f>
        <v>15.06</v>
      </c>
      <c r="I895" s="95" t="n">
        <f aca="false">IF(AND(AE895="yes",ISNUMBER(AD895),ISNUMBER(INDEX(Sources!$G$7:$G$10,MATCH(AB895,Sources!$B$7:$B$10,0)))),ROUND(AD895/INDEX(Sources!$G$7:$G$10,MATCH(AB895,Sources!$B$7:$B$10,0)),6),"")</f>
        <v>15.06</v>
      </c>
      <c r="J895" s="98" t="s">
        <v>530</v>
      </c>
      <c r="K895" s="98" t="s">
        <v>2059</v>
      </c>
      <c r="L895" s="96"/>
      <c r="M895" s="110" t="s">
        <v>3009</v>
      </c>
      <c r="N895" s="117" t="s">
        <v>3010</v>
      </c>
      <c r="O895" s="110" t="s">
        <v>3011</v>
      </c>
      <c r="P895" s="110" t="s">
        <v>590</v>
      </c>
      <c r="Q895" s="118" t="n">
        <v>0.23</v>
      </c>
      <c r="R895" s="110" t="n">
        <v>1</v>
      </c>
      <c r="S895" s="110" t="s">
        <v>632</v>
      </c>
      <c r="T895" s="110" t="s">
        <v>530</v>
      </c>
      <c r="U895" s="110" t="s">
        <v>2913</v>
      </c>
      <c r="V895" s="119" t="n">
        <v>15.06</v>
      </c>
      <c r="W895" s="119"/>
      <c r="X895" s="110" t="s">
        <v>2063</v>
      </c>
      <c r="Y895" s="110" t="s">
        <v>2064</v>
      </c>
      <c r="Z895" s="110" t="s">
        <v>3012</v>
      </c>
      <c r="AA895" s="110" t="s">
        <v>537</v>
      </c>
      <c r="AB895" s="110" t="s">
        <v>244</v>
      </c>
      <c r="AC895" s="110" t="s">
        <v>538</v>
      </c>
      <c r="AD895" s="110" t="n">
        <f aca="false">IF(OR(F895="",Q895="",R895=""),"",ROUND(IF(P895="incl.",F895/(1+Q895),F895)/IF(S895="per pack",R895,1),2))</f>
        <v>15.06</v>
      </c>
      <c r="AE895" s="110" t="str">
        <f aca="false">IF(AND(AC895="yes",ISNUMBER(F895),IF(Compare!$H$5="All mapped",TRUE(),IF(Compare!$H$5="EXACT only",J895="EXACT",OR(J895="EXACT",J895="CLOSE")))),"yes","no")</f>
        <v>yes</v>
      </c>
      <c r="AF895" s="110" t="n">
        <f aca="false">IF(ISNUMBER(H895),COUNTIFS($B$7:$B$3000,B895,$C$7:$C$3000,C895,$H$7:$H$3000,"&lt;"&amp;H895,$AH$7:$AH$3000,"yes")+COUNTIFS($B$7:B895,B895,$C$7:C895,C895,$H$7:H895,H895,$AH$7:AH895,"yes"),"")</f>
        <v>2</v>
      </c>
      <c r="AG895" s="110" t="n">
        <f aca="false">IF(ISNUMBER(I895),COUNTIFS($B$7:$B$3000,B895,$C$7:$C$3000,C895,$I$7:$I$3000,"&lt;"&amp;I895,$AI$7:$AI$3000,"yes")+COUNTIFS($B$7:B895,B895,$C$7:C895,C895,$I$7:I895,I895,$AI$7:AI895,"yes"),"")</f>
        <v>2</v>
      </c>
      <c r="AH895" s="110" t="str">
        <f aca="false">IF(ISNUMBER(H895),"yes","no")</f>
        <v>yes</v>
      </c>
      <c r="AI895" s="110" t="str">
        <f aca="false">IF(ISNUMBER(I895),"yes","no")</f>
        <v>yes</v>
      </c>
      <c r="AJ895" s="120" t="n">
        <v>46297</v>
      </c>
      <c r="AK895" s="110"/>
    </row>
    <row r="896" customFormat="false" ht="35.05" hidden="false" customHeight="false" outlineLevel="0" collapsed="false">
      <c r="B896" s="36" t="s">
        <v>66</v>
      </c>
      <c r="C896" s="98" t="s">
        <v>18</v>
      </c>
      <c r="D896" s="98" t="s">
        <v>365</v>
      </c>
      <c r="E896" s="110" t="s">
        <v>2986</v>
      </c>
      <c r="F896" s="99" t="n">
        <v>14.77</v>
      </c>
      <c r="G896" s="98" t="s">
        <v>244</v>
      </c>
      <c r="H896" s="112" t="n">
        <f aca="false">IF(AND(AE896="yes",ISNUMBER(AD896)),AD896,"")</f>
        <v>12.01</v>
      </c>
      <c r="I896" s="95" t="n">
        <f aca="false">IF(AND(AE896="yes",ISNUMBER(AD896),ISNUMBER(INDEX(Sources!$G$7:$G$10,MATCH(AB896,Sources!$B$7:$B$10,0)))),ROUND(AD896/INDEX(Sources!$G$7:$G$10,MATCH(AB896,Sources!$B$7:$B$10,0)),6),"")</f>
        <v>12.01</v>
      </c>
      <c r="J896" s="98" t="s">
        <v>530</v>
      </c>
      <c r="K896" s="98" t="s">
        <v>2059</v>
      </c>
      <c r="L896" s="96"/>
      <c r="M896" s="110" t="s">
        <v>3013</v>
      </c>
      <c r="N896" s="117" t="s">
        <v>3014</v>
      </c>
      <c r="O896" s="110" t="s">
        <v>3015</v>
      </c>
      <c r="P896" s="110" t="s">
        <v>265</v>
      </c>
      <c r="Q896" s="118" t="n">
        <v>0.23</v>
      </c>
      <c r="R896" s="110" t="n">
        <v>1</v>
      </c>
      <c r="S896" s="110" t="s">
        <v>632</v>
      </c>
      <c r="T896" s="110" t="s">
        <v>530</v>
      </c>
      <c r="U896" s="110" t="s">
        <v>2918</v>
      </c>
      <c r="V896" s="119" t="n">
        <v>12.01</v>
      </c>
      <c r="W896" s="119"/>
      <c r="X896" s="110" t="s">
        <v>2063</v>
      </c>
      <c r="Y896" s="110" t="s">
        <v>2064</v>
      </c>
      <c r="Z896" s="110" t="s">
        <v>3016</v>
      </c>
      <c r="AA896" s="110" t="s">
        <v>537</v>
      </c>
      <c r="AB896" s="110" t="s">
        <v>244</v>
      </c>
      <c r="AC896" s="110" t="s">
        <v>538</v>
      </c>
      <c r="AD896" s="110" t="n">
        <f aca="false">IF(OR(F896="",Q896="",R896=""),"",ROUND(IF(P896="incl.",F896/(1+Q896),F896)/IF(S896="per pack",R896,1),2))</f>
        <v>12.01</v>
      </c>
      <c r="AE896" s="110" t="str">
        <f aca="false">IF(AND(AC896="yes",ISNUMBER(F896),IF(Compare!$H$5="All mapped",TRUE(),IF(Compare!$H$5="EXACT only",J896="EXACT",OR(J896="EXACT",J896="CLOSE")))),"yes","no")</f>
        <v>yes</v>
      </c>
      <c r="AF896" s="110" t="n">
        <f aca="false">IF(ISNUMBER(H896),COUNTIFS($B$7:$B$3000,B896,$C$7:$C$3000,C896,$H$7:$H$3000,"&lt;"&amp;H896,$AH$7:$AH$3000,"yes")+COUNTIFS($B$7:B896,B896,$C$7:C896,C896,$H$7:H896,H896,$AH$7:AH896,"yes"),"")</f>
        <v>1</v>
      </c>
      <c r="AG896" s="110" t="n">
        <f aca="false">IF(ISNUMBER(I896),COUNTIFS($B$7:$B$3000,B896,$C$7:$C$3000,C896,$I$7:$I$3000,"&lt;"&amp;I896,$AI$7:$AI$3000,"yes")+COUNTIFS($B$7:B896,B896,$C$7:C896,C896,$I$7:I896,I896,$AI$7:AI896,"yes"),"")</f>
        <v>1</v>
      </c>
      <c r="AH896" s="110" t="str">
        <f aca="false">IF(ISNUMBER(H896),"yes","no")</f>
        <v>yes</v>
      </c>
      <c r="AI896" s="110" t="str">
        <f aca="false">IF(ISNUMBER(I896),"yes","no")</f>
        <v>yes</v>
      </c>
      <c r="AJ896" s="120" t="n">
        <v>46297</v>
      </c>
      <c r="AK896" s="110"/>
    </row>
    <row r="897" customFormat="false" ht="35.05" hidden="false" customHeight="false" outlineLevel="0" collapsed="false">
      <c r="B897" s="36" t="s">
        <v>66</v>
      </c>
      <c r="C897" s="98" t="s">
        <v>18</v>
      </c>
      <c r="D897" s="98" t="s">
        <v>369</v>
      </c>
      <c r="E897" s="110" t="s">
        <v>3017</v>
      </c>
      <c r="F897" s="99" t="n">
        <v>39.51</v>
      </c>
      <c r="G897" s="98" t="s">
        <v>244</v>
      </c>
      <c r="H897" s="112" t="n">
        <f aca="false">IF(AND(AE897="yes",ISNUMBER(AD897)),AD897,"")</f>
        <v>32.12</v>
      </c>
      <c r="I897" s="95" t="n">
        <f aca="false">IF(AND(AE897="yes",ISNUMBER(AD897),ISNUMBER(INDEX(Sources!$G$7:$G$10,MATCH(AB897,Sources!$B$7:$B$10,0)))),ROUND(AD897/INDEX(Sources!$G$7:$G$10,MATCH(AB897,Sources!$B$7:$B$10,0)),6),"")</f>
        <v>32.12</v>
      </c>
      <c r="J897" s="98" t="s">
        <v>530</v>
      </c>
      <c r="K897" s="98" t="s">
        <v>2059</v>
      </c>
      <c r="L897" s="96"/>
      <c r="M897" s="110" t="s">
        <v>3018</v>
      </c>
      <c r="N897" s="117" t="s">
        <v>3019</v>
      </c>
      <c r="O897" s="110" t="s">
        <v>565</v>
      </c>
      <c r="P897" s="110" t="s">
        <v>265</v>
      </c>
      <c r="Q897" s="118" t="n">
        <v>0.23</v>
      </c>
      <c r="R897" s="110" t="n">
        <v>1</v>
      </c>
      <c r="S897" s="110" t="s">
        <v>632</v>
      </c>
      <c r="T897" s="110" t="s">
        <v>530</v>
      </c>
      <c r="U897" s="110" t="s">
        <v>2918</v>
      </c>
      <c r="V897" s="119" t="n">
        <v>32.12</v>
      </c>
      <c r="W897" s="119"/>
      <c r="X897" s="110" t="s">
        <v>2063</v>
      </c>
      <c r="Y897" s="110" t="s">
        <v>2064</v>
      </c>
      <c r="Z897" s="110" t="s">
        <v>3020</v>
      </c>
      <c r="AA897" s="110" t="s">
        <v>537</v>
      </c>
      <c r="AB897" s="110" t="s">
        <v>244</v>
      </c>
      <c r="AC897" s="110" t="s">
        <v>538</v>
      </c>
      <c r="AD897" s="110" t="n">
        <f aca="false">IF(OR(F897="",Q897="",R897=""),"",ROUND(IF(P897="incl.",F897/(1+Q897),F897)/IF(S897="per pack",R897,1),2))</f>
        <v>32.12</v>
      </c>
      <c r="AE897" s="110" t="str">
        <f aca="false">IF(AND(AC897="yes",ISNUMBER(F897),IF(Compare!$H$5="All mapped",TRUE(),IF(Compare!$H$5="EXACT only",J897="EXACT",OR(J897="EXACT",J897="CLOSE")))),"yes","no")</f>
        <v>yes</v>
      </c>
      <c r="AF897" s="110" t="n">
        <f aca="false">IF(ISNUMBER(H897),COUNTIFS($B$7:$B$3000,B897,$C$7:$C$3000,C897,$H$7:$H$3000,"&lt;"&amp;H897,$AH$7:$AH$3000,"yes")+COUNTIFS($B$7:B897,B897,$C$7:C897,C897,$H$7:H897,H897,$AH$7:AH897,"yes"),"")</f>
        <v>5</v>
      </c>
      <c r="AG897" s="110" t="n">
        <f aca="false">IF(ISNUMBER(I897),COUNTIFS($B$7:$B$3000,B897,$C$7:$C$3000,C897,$I$7:$I$3000,"&lt;"&amp;I897,$AI$7:$AI$3000,"yes")+COUNTIFS($B$7:B897,B897,$C$7:C897,C897,$I$7:I897,I897,$AI$7:AI897,"yes"),"")</f>
        <v>5</v>
      </c>
      <c r="AH897" s="110" t="str">
        <f aca="false">IF(ISNUMBER(H897),"yes","no")</f>
        <v>yes</v>
      </c>
      <c r="AI897" s="110" t="str">
        <f aca="false">IF(ISNUMBER(I897),"yes","no")</f>
        <v>yes</v>
      </c>
      <c r="AJ897" s="120" t="n">
        <v>46297</v>
      </c>
      <c r="AK897" s="110"/>
    </row>
    <row r="898" customFormat="false" ht="35.05" hidden="false" customHeight="false" outlineLevel="0" collapsed="false">
      <c r="B898" s="36" t="s">
        <v>66</v>
      </c>
      <c r="C898" s="98" t="s">
        <v>18</v>
      </c>
      <c r="D898" s="98" t="s">
        <v>3021</v>
      </c>
      <c r="E898" s="110" t="s">
        <v>2998</v>
      </c>
      <c r="F898" s="99" t="n">
        <v>16.42</v>
      </c>
      <c r="G898" s="98" t="s">
        <v>244</v>
      </c>
      <c r="H898" s="112" t="n">
        <f aca="false">IF(AND(AE898="yes",ISNUMBER(AD898)),AD898,"")</f>
        <v>16.42</v>
      </c>
      <c r="I898" s="95" t="n">
        <f aca="false">IF(AND(AE898="yes",ISNUMBER(AD898),ISNUMBER(INDEX(Sources!$G$7:$G$10,MATCH(AB898,Sources!$B$7:$B$10,0)))),ROUND(AD898/INDEX(Sources!$G$7:$G$10,MATCH(AB898,Sources!$B$7:$B$10,0)),6),"")</f>
        <v>16.42</v>
      </c>
      <c r="J898" s="98" t="s">
        <v>530</v>
      </c>
      <c r="K898" s="98" t="s">
        <v>2059</v>
      </c>
      <c r="L898" s="96"/>
      <c r="M898" s="110" t="s">
        <v>3022</v>
      </c>
      <c r="N898" s="117" t="s">
        <v>3023</v>
      </c>
      <c r="O898" s="110" t="s">
        <v>3024</v>
      </c>
      <c r="P898" s="110" t="s">
        <v>590</v>
      </c>
      <c r="Q898" s="118" t="n">
        <v>0.23</v>
      </c>
      <c r="R898" s="110" t="n">
        <v>1</v>
      </c>
      <c r="S898" s="110" t="s">
        <v>632</v>
      </c>
      <c r="T898" s="110" t="s">
        <v>530</v>
      </c>
      <c r="U898" s="110" t="s">
        <v>2913</v>
      </c>
      <c r="V898" s="119" t="n">
        <v>16.42</v>
      </c>
      <c r="W898" s="119"/>
      <c r="X898" s="110" t="s">
        <v>2063</v>
      </c>
      <c r="Y898" s="110" t="s">
        <v>2064</v>
      </c>
      <c r="Z898" s="110" t="s">
        <v>3025</v>
      </c>
      <c r="AA898" s="110" t="s">
        <v>537</v>
      </c>
      <c r="AB898" s="110" t="s">
        <v>244</v>
      </c>
      <c r="AC898" s="110" t="s">
        <v>538</v>
      </c>
      <c r="AD898" s="110" t="n">
        <f aca="false">IF(OR(F898="",Q898="",R898=""),"",ROUND(IF(P898="incl.",F898/(1+Q898),F898)/IF(S898="per pack",R898,1),2))</f>
        <v>16.42</v>
      </c>
      <c r="AE898" s="110" t="str">
        <f aca="false">IF(AND(AC898="yes",ISNUMBER(F898),IF(Compare!$H$5="All mapped",TRUE(),IF(Compare!$H$5="EXACT only",J898="EXACT",OR(J898="EXACT",J898="CLOSE")))),"yes","no")</f>
        <v>yes</v>
      </c>
      <c r="AF898" s="110" t="n">
        <f aca="false">IF(ISNUMBER(H898),COUNTIFS($B$7:$B$3000,B898,$C$7:$C$3000,C898,$H$7:$H$3000,"&lt;"&amp;H898,$AH$7:$AH$3000,"yes")+COUNTIFS($B$7:B898,B898,$C$7:C898,C898,$H$7:H898,H898,$AH$7:AH898,"yes"),"")</f>
        <v>3</v>
      </c>
      <c r="AG898" s="110" t="n">
        <f aca="false">IF(ISNUMBER(I898),COUNTIFS($B$7:$B$3000,B898,$C$7:$C$3000,C898,$I$7:$I$3000,"&lt;"&amp;I898,$AI$7:$AI$3000,"yes")+COUNTIFS($B$7:B898,B898,$C$7:C898,C898,$I$7:I898,I898,$AI$7:AI898,"yes"),"")</f>
        <v>3</v>
      </c>
      <c r="AH898" s="110" t="str">
        <f aca="false">IF(ISNUMBER(H898),"yes","no")</f>
        <v>yes</v>
      </c>
      <c r="AI898" s="110" t="str">
        <f aca="false">IF(ISNUMBER(I898),"yes","no")</f>
        <v>yes</v>
      </c>
      <c r="AJ898" s="120" t="n">
        <v>46297</v>
      </c>
      <c r="AK898" s="110"/>
    </row>
    <row r="899" customFormat="false" ht="23.85" hidden="false" customHeight="false" outlineLevel="0" collapsed="false">
      <c r="B899" s="36" t="s">
        <v>67</v>
      </c>
      <c r="C899" s="98" t="s">
        <v>14</v>
      </c>
      <c r="D899" s="98" t="s">
        <v>373</v>
      </c>
      <c r="E899" s="110" t="s">
        <v>3026</v>
      </c>
      <c r="F899" s="99" t="n">
        <v>105.82</v>
      </c>
      <c r="G899" s="98" t="s">
        <v>374</v>
      </c>
      <c r="H899" s="112" t="n">
        <f aca="false">IF(AND(AE899="yes",ISNUMBER(AD899)),AD899,"")</f>
        <v>105.82</v>
      </c>
      <c r="I899" s="95" t="n">
        <f aca="false">IF(AND(AE899="yes",ISNUMBER(AD899),ISNUMBER(INDEX(Sources!$G$7:$G$10,MATCH(AB899,Sources!$B$7:$B$10,0)))),ROUND(AD899/INDEX(Sources!$G$7:$G$10,MATCH(AB899,Sources!$B$7:$B$10,0)),6),"")</f>
        <v>20.050622</v>
      </c>
      <c r="J899" s="98" t="s">
        <v>530</v>
      </c>
      <c r="K899" s="98" t="s">
        <v>2059</v>
      </c>
      <c r="L899" s="96"/>
      <c r="M899" s="110" t="s">
        <v>3027</v>
      </c>
      <c r="N899" s="117" t="s">
        <v>3028</v>
      </c>
      <c r="O899" s="110" t="s">
        <v>3029</v>
      </c>
      <c r="P899" s="110" t="s">
        <v>590</v>
      </c>
      <c r="Q899" s="118" t="n">
        <v>0.21</v>
      </c>
      <c r="R899" s="110" t="n">
        <v>1</v>
      </c>
      <c r="S899" s="110" t="s">
        <v>632</v>
      </c>
      <c r="T899" s="110" t="s">
        <v>530</v>
      </c>
      <c r="U899" s="110" t="s">
        <v>2913</v>
      </c>
      <c r="V899" s="119" t="n">
        <v>105.82</v>
      </c>
      <c r="W899" s="119"/>
      <c r="X899" s="110" t="s">
        <v>2063</v>
      </c>
      <c r="Y899" s="110" t="s">
        <v>2064</v>
      </c>
      <c r="Z899" s="110"/>
      <c r="AA899" s="110" t="s">
        <v>537</v>
      </c>
      <c r="AB899" s="110" t="s">
        <v>374</v>
      </c>
      <c r="AC899" s="110" t="s">
        <v>538</v>
      </c>
      <c r="AD899" s="110" t="n">
        <f aca="false">IF(OR(F899="",Q899="",R899=""),"",ROUND(IF(P899="incl.",F899/(1+Q899),F899)/IF(S899="per pack",R899,1),2))</f>
        <v>105.82</v>
      </c>
      <c r="AE899" s="110" t="str">
        <f aca="false">IF(AND(AC899="yes",ISNUMBER(F899),IF(Compare!$H$5="All mapped",TRUE(),IF(Compare!$H$5="EXACT only",J899="EXACT",OR(J899="EXACT",J899="CLOSE")))),"yes","no")</f>
        <v>yes</v>
      </c>
      <c r="AF899" s="110" t="n">
        <f aca="false">IF(ISNUMBER(H899),COUNTIFS($B$7:$B$3000,B899,$C$7:$C$3000,C899,$H$7:$H$3000,"&lt;"&amp;H899,$AH$7:$AH$3000,"yes")+COUNTIFS($B$7:B899,B899,$C$7:C899,C899,$H$7:H899,H899,$AH$7:AH899,"yes"),"")</f>
        <v>3</v>
      </c>
      <c r="AG899" s="110" t="n">
        <f aca="false">IF(ISNUMBER(I899),COUNTIFS($B$7:$B$3000,B899,$C$7:$C$3000,C899,$I$7:$I$3000,"&lt;"&amp;I899,$AI$7:$AI$3000,"yes")+COUNTIFS($B$7:B899,B899,$C$7:C899,C899,$I$7:I899,I899,$AI$7:AI899,"yes"),"")</f>
        <v>3</v>
      </c>
      <c r="AH899" s="110" t="str">
        <f aca="false">IF(ISNUMBER(H899),"yes","no")</f>
        <v>yes</v>
      </c>
      <c r="AI899" s="110" t="str">
        <f aca="false">IF(ISNUMBER(I899),"yes","no")</f>
        <v>yes</v>
      </c>
      <c r="AJ899" s="120" t="n">
        <v>46297</v>
      </c>
      <c r="AK899" s="110"/>
    </row>
    <row r="900" customFormat="false" ht="23.85" hidden="false" customHeight="false" outlineLevel="0" collapsed="false">
      <c r="B900" s="36" t="s">
        <v>67</v>
      </c>
      <c r="C900" s="98" t="s">
        <v>14</v>
      </c>
      <c r="D900" s="98" t="s">
        <v>378</v>
      </c>
      <c r="E900" s="110" t="s">
        <v>3030</v>
      </c>
      <c r="F900" s="99" t="n">
        <v>161.16</v>
      </c>
      <c r="G900" s="98" t="s">
        <v>374</v>
      </c>
      <c r="H900" s="112" t="n">
        <f aca="false">IF(AND(AE900="yes",ISNUMBER(AD900)),AD900,"")</f>
        <v>133.19</v>
      </c>
      <c r="I900" s="95" t="n">
        <f aca="false">IF(AND(AE900="yes",ISNUMBER(AD900),ISNUMBER(INDEX(Sources!$G$7:$G$10,MATCH(AB900,Sources!$B$7:$B$10,0)))),ROUND(AD900/INDEX(Sources!$G$7:$G$10,MATCH(AB900,Sources!$B$7:$B$10,0)),6),"")</f>
        <v>25.236651</v>
      </c>
      <c r="J900" s="98" t="s">
        <v>530</v>
      </c>
      <c r="K900" s="98" t="s">
        <v>2059</v>
      </c>
      <c r="L900" s="96"/>
      <c r="M900" s="110" t="s">
        <v>3031</v>
      </c>
      <c r="N900" s="117" t="s">
        <v>3032</v>
      </c>
      <c r="O900" s="110" t="s">
        <v>2917</v>
      </c>
      <c r="P900" s="110" t="s">
        <v>265</v>
      </c>
      <c r="Q900" s="118" t="n">
        <v>0.21</v>
      </c>
      <c r="R900" s="110" t="n">
        <v>1</v>
      </c>
      <c r="S900" s="110" t="s">
        <v>632</v>
      </c>
      <c r="T900" s="110" t="s">
        <v>530</v>
      </c>
      <c r="U900" s="110" t="s">
        <v>2918</v>
      </c>
      <c r="V900" s="119" t="n">
        <v>133.19</v>
      </c>
      <c r="W900" s="119"/>
      <c r="X900" s="110" t="s">
        <v>2063</v>
      </c>
      <c r="Y900" s="110" t="s">
        <v>2064</v>
      </c>
      <c r="Z900" s="110"/>
      <c r="AA900" s="110" t="s">
        <v>537</v>
      </c>
      <c r="AB900" s="110" t="s">
        <v>374</v>
      </c>
      <c r="AC900" s="110" t="s">
        <v>538</v>
      </c>
      <c r="AD900" s="110" t="n">
        <f aca="false">IF(OR(F900="",Q900="",R900=""),"",ROUND(IF(P900="incl.",F900/(1+Q900),F900)/IF(S900="per pack",R900,1),2))</f>
        <v>133.19</v>
      </c>
      <c r="AE900" s="110" t="str">
        <f aca="false">IF(AND(AC900="yes",ISNUMBER(F900),IF(Compare!$H$5="All mapped",TRUE(),IF(Compare!$H$5="EXACT only",J900="EXACT",OR(J900="EXACT",J900="CLOSE")))),"yes","no")</f>
        <v>yes</v>
      </c>
      <c r="AF900" s="110" t="n">
        <f aca="false">IF(ISNUMBER(H900),COUNTIFS($B$7:$B$3000,B900,$C$7:$C$3000,C900,$H$7:$H$3000,"&lt;"&amp;H900,$AH$7:$AH$3000,"yes")+COUNTIFS($B$7:B900,B900,$C$7:C900,C900,$H$7:H900,H900,$AH$7:AH900,"yes"),"")</f>
        <v>4</v>
      </c>
      <c r="AG900" s="110" t="n">
        <f aca="false">IF(ISNUMBER(I900),COUNTIFS($B$7:$B$3000,B900,$C$7:$C$3000,C900,$I$7:$I$3000,"&lt;"&amp;I900,$AI$7:$AI$3000,"yes")+COUNTIFS($B$7:B900,B900,$C$7:C900,C900,$I$7:I900,I900,$AI$7:AI900,"yes"),"")</f>
        <v>4</v>
      </c>
      <c r="AH900" s="110" t="str">
        <f aca="false">IF(ISNUMBER(H900),"yes","no")</f>
        <v>yes</v>
      </c>
      <c r="AI900" s="110" t="str">
        <f aca="false">IF(ISNUMBER(I900),"yes","no")</f>
        <v>yes</v>
      </c>
      <c r="AJ900" s="120" t="n">
        <v>46297</v>
      </c>
      <c r="AK900" s="110"/>
    </row>
    <row r="901" customFormat="false" ht="35.05" hidden="false" customHeight="false" outlineLevel="0" collapsed="false">
      <c r="B901" s="36" t="s">
        <v>67</v>
      </c>
      <c r="C901" s="98" t="s">
        <v>14</v>
      </c>
      <c r="D901" s="98" t="s">
        <v>346</v>
      </c>
      <c r="E901" s="110" t="s">
        <v>3033</v>
      </c>
      <c r="F901" s="99" t="n">
        <v>218.13</v>
      </c>
      <c r="G901" s="98" t="s">
        <v>374</v>
      </c>
      <c r="H901" s="112" t="n">
        <f aca="false">IF(AND(AE901="yes",ISNUMBER(AD901)),AD901,"")</f>
        <v>180.27</v>
      </c>
      <c r="I901" s="95" t="n">
        <f aca="false">IF(AND(AE901="yes",ISNUMBER(AD901),ISNUMBER(INDEX(Sources!$G$7:$G$10,MATCH(AB901,Sources!$B$7:$B$10,0)))),ROUND(AD901/INDEX(Sources!$G$7:$G$10,MATCH(AB901,Sources!$B$7:$B$10,0)),6),"")</f>
        <v>34.157302</v>
      </c>
      <c r="J901" s="98" t="s">
        <v>530</v>
      </c>
      <c r="K901" s="98" t="s">
        <v>2059</v>
      </c>
      <c r="L901" s="96"/>
      <c r="M901" s="110" t="s">
        <v>3034</v>
      </c>
      <c r="N901" s="117" t="s">
        <v>3035</v>
      </c>
      <c r="O901" s="110" t="s">
        <v>565</v>
      </c>
      <c r="P901" s="110" t="s">
        <v>265</v>
      </c>
      <c r="Q901" s="118" t="n">
        <v>0.21</v>
      </c>
      <c r="R901" s="110" t="n">
        <v>1</v>
      </c>
      <c r="S901" s="110" t="s">
        <v>632</v>
      </c>
      <c r="T901" s="110" t="s">
        <v>530</v>
      </c>
      <c r="U901" s="110" t="s">
        <v>2918</v>
      </c>
      <c r="V901" s="119" t="n">
        <v>180.27</v>
      </c>
      <c r="W901" s="119"/>
      <c r="X901" s="110" t="s">
        <v>2063</v>
      </c>
      <c r="Y901" s="110" t="s">
        <v>2064</v>
      </c>
      <c r="Z901" s="110"/>
      <c r="AA901" s="110" t="s">
        <v>537</v>
      </c>
      <c r="AB901" s="110" t="s">
        <v>374</v>
      </c>
      <c r="AC901" s="110" t="s">
        <v>538</v>
      </c>
      <c r="AD901" s="110" t="n">
        <f aca="false">IF(OR(F901="",Q901="",R901=""),"",ROUND(IF(P901="incl.",F901/(1+Q901),F901)/IF(S901="per pack",R901,1),2))</f>
        <v>180.27</v>
      </c>
      <c r="AE901" s="110" t="str">
        <f aca="false">IF(AND(AC901="yes",ISNUMBER(F901),IF(Compare!$H$5="All mapped",TRUE(),IF(Compare!$H$5="EXACT only",J901="EXACT",OR(J901="EXACT",J901="CLOSE")))),"yes","no")</f>
        <v>yes</v>
      </c>
      <c r="AF901" s="110" t="n">
        <f aca="false">IF(ISNUMBER(H901),COUNTIFS($B$7:$B$3000,B901,$C$7:$C$3000,C901,$H$7:$H$3000,"&lt;"&amp;H901,$AH$7:$AH$3000,"yes")+COUNTIFS($B$7:B901,B901,$C$7:C901,C901,$H$7:H901,H901,$AH$7:AH901,"yes"),"")</f>
        <v>5</v>
      </c>
      <c r="AG901" s="110" t="n">
        <f aca="false">IF(ISNUMBER(I901),COUNTIFS($B$7:$B$3000,B901,$C$7:$C$3000,C901,$I$7:$I$3000,"&lt;"&amp;I901,$AI$7:$AI$3000,"yes")+COUNTIFS($B$7:B901,B901,$C$7:C901,C901,$I$7:I901,I901,$AI$7:AI901,"yes"),"")</f>
        <v>5</v>
      </c>
      <c r="AH901" s="110" t="str">
        <f aca="false">IF(ISNUMBER(H901),"yes","no")</f>
        <v>yes</v>
      </c>
      <c r="AI901" s="110" t="str">
        <f aca="false">IF(ISNUMBER(I901),"yes","no")</f>
        <v>yes</v>
      </c>
      <c r="AJ901" s="120" t="n">
        <v>46297</v>
      </c>
      <c r="AK901" s="110"/>
    </row>
    <row r="902" customFormat="false" ht="23.85" hidden="false" customHeight="false" outlineLevel="0" collapsed="false">
      <c r="B902" s="36" t="s">
        <v>67</v>
      </c>
      <c r="C902" s="98" t="s">
        <v>14</v>
      </c>
      <c r="D902" s="98" t="s">
        <v>395</v>
      </c>
      <c r="E902" s="110" t="s">
        <v>3036</v>
      </c>
      <c r="F902" s="99" t="n">
        <v>14.57</v>
      </c>
      <c r="G902" s="98" t="s">
        <v>244</v>
      </c>
      <c r="H902" s="112" t="n">
        <f aca="false">IF(AND(AE902="yes",ISNUMBER(AD902)),AD902,"")</f>
        <v>14.57</v>
      </c>
      <c r="I902" s="95" t="n">
        <f aca="false">IF(AND(AE902="yes",ISNUMBER(AD902),ISNUMBER(INDEX(Sources!$G$7:$G$10,MATCH(AB902,Sources!$B$7:$B$10,0)))),ROUND(AD902/INDEX(Sources!$G$7:$G$10,MATCH(AB902,Sources!$B$7:$B$10,0)),6),"")</f>
        <v>14.57</v>
      </c>
      <c r="J902" s="98" t="s">
        <v>530</v>
      </c>
      <c r="K902" s="98" t="s">
        <v>2059</v>
      </c>
      <c r="L902" s="96"/>
      <c r="M902" s="110" t="s">
        <v>3037</v>
      </c>
      <c r="N902" s="117" t="s">
        <v>3038</v>
      </c>
      <c r="O902" s="110"/>
      <c r="P902" s="110" t="s">
        <v>590</v>
      </c>
      <c r="Q902" s="118" t="n">
        <v>0.21</v>
      </c>
      <c r="R902" s="110" t="n">
        <v>1</v>
      </c>
      <c r="S902" s="110" t="s">
        <v>632</v>
      </c>
      <c r="T902" s="110" t="s">
        <v>530</v>
      </c>
      <c r="U902" s="110" t="s">
        <v>2913</v>
      </c>
      <c r="V902" s="119" t="n">
        <v>14.57</v>
      </c>
      <c r="W902" s="119"/>
      <c r="X902" s="110" t="s">
        <v>2063</v>
      </c>
      <c r="Y902" s="110" t="s">
        <v>2064</v>
      </c>
      <c r="Z902" s="110" t="s">
        <v>2925</v>
      </c>
      <c r="AA902" s="110" t="s">
        <v>537</v>
      </c>
      <c r="AB902" s="110" t="s">
        <v>244</v>
      </c>
      <c r="AC902" s="110" t="s">
        <v>538</v>
      </c>
      <c r="AD902" s="110" t="n">
        <f aca="false">IF(OR(F902="",Q902="",R902=""),"",ROUND(IF(P902="incl.",F902/(1+Q902),F902)/IF(S902="per pack",R902,1),2))</f>
        <v>14.57</v>
      </c>
      <c r="AE902" s="110" t="str">
        <f aca="false">IF(AND(AC902="yes",ISNUMBER(F902),IF(Compare!$H$5="All mapped",TRUE(),IF(Compare!$H$5="EXACT only",J902="EXACT",OR(J902="EXACT",J902="CLOSE")))),"yes","no")</f>
        <v>yes</v>
      </c>
      <c r="AF902" s="110" t="n">
        <f aca="false">IF(ISNUMBER(H902),COUNTIFS($B$7:$B$3000,B902,$C$7:$C$3000,C902,$H$7:$H$3000,"&lt;"&amp;H902,$AH$7:$AH$3000,"yes")+COUNTIFS($B$7:B902,B902,$C$7:C902,C902,$H$7:H902,H902,$AH$7:AH902,"yes"),"")</f>
        <v>1</v>
      </c>
      <c r="AG902" s="110" t="n">
        <f aca="false">IF(ISNUMBER(I902),COUNTIFS($B$7:$B$3000,B902,$C$7:$C$3000,C902,$I$7:$I$3000,"&lt;"&amp;I902,$AI$7:$AI$3000,"yes")+COUNTIFS($B$7:B902,B902,$C$7:C902,C902,$I$7:I902,I902,$AI$7:AI902,"yes"),"")</f>
        <v>2</v>
      </c>
      <c r="AH902" s="110" t="str">
        <f aca="false">IF(ISNUMBER(H902),"yes","no")</f>
        <v>yes</v>
      </c>
      <c r="AI902" s="110" t="str">
        <f aca="false">IF(ISNUMBER(I902),"yes","no")</f>
        <v>yes</v>
      </c>
      <c r="AJ902" s="120" t="n">
        <v>46297</v>
      </c>
      <c r="AK902" s="110"/>
    </row>
    <row r="903" customFormat="false" ht="23.85" hidden="false" customHeight="false" outlineLevel="0" collapsed="false">
      <c r="B903" s="36" t="s">
        <v>67</v>
      </c>
      <c r="C903" s="98" t="s">
        <v>14</v>
      </c>
      <c r="D903" s="98" t="s">
        <v>403</v>
      </c>
      <c r="E903" s="110" t="s">
        <v>3039</v>
      </c>
      <c r="F903" s="99" t="n">
        <v>67.73</v>
      </c>
      <c r="G903" s="98" t="s">
        <v>374</v>
      </c>
      <c r="H903" s="112" t="n">
        <f aca="false">IF(AND(AE903="yes",ISNUMBER(AD903)),AD903,"")</f>
        <v>67.73</v>
      </c>
      <c r="I903" s="95" t="n">
        <f aca="false">IF(AND(AE903="yes",ISNUMBER(AD903),ISNUMBER(INDEX(Sources!$G$7:$G$10,MATCH(AB903,Sources!$B$7:$B$10,0)))),ROUND(AD903/INDEX(Sources!$G$7:$G$10,MATCH(AB903,Sources!$B$7:$B$10,0)),6),"")</f>
        <v>12.833384</v>
      </c>
      <c r="J903" s="98" t="s">
        <v>530</v>
      </c>
      <c r="K903" s="98" t="s">
        <v>2059</v>
      </c>
      <c r="L903" s="96"/>
      <c r="M903" s="110" t="s">
        <v>3040</v>
      </c>
      <c r="N903" s="117" t="s">
        <v>3041</v>
      </c>
      <c r="O903" s="110" t="s">
        <v>1138</v>
      </c>
      <c r="P903" s="110" t="s">
        <v>590</v>
      </c>
      <c r="Q903" s="118" t="n">
        <v>0.21</v>
      </c>
      <c r="R903" s="110" t="n">
        <v>1</v>
      </c>
      <c r="S903" s="110" t="s">
        <v>632</v>
      </c>
      <c r="T903" s="110" t="s">
        <v>530</v>
      </c>
      <c r="U903" s="110" t="s">
        <v>2913</v>
      </c>
      <c r="V903" s="119" t="n">
        <v>67.73</v>
      </c>
      <c r="W903" s="119"/>
      <c r="X903" s="110" t="s">
        <v>2063</v>
      </c>
      <c r="Y903" s="110" t="s">
        <v>2064</v>
      </c>
      <c r="Z903" s="110"/>
      <c r="AA903" s="110" t="s">
        <v>537</v>
      </c>
      <c r="AB903" s="110" t="s">
        <v>374</v>
      </c>
      <c r="AC903" s="110" t="s">
        <v>538</v>
      </c>
      <c r="AD903" s="110" t="n">
        <f aca="false">IF(OR(F903="",Q903="",R903=""),"",ROUND(IF(P903="incl.",F903/(1+Q903),F903)/IF(S903="per pack",R903,1),2))</f>
        <v>67.73</v>
      </c>
      <c r="AE903" s="110" t="str">
        <f aca="false">IF(AND(AC903="yes",ISNUMBER(F903),IF(Compare!$H$5="All mapped",TRUE(),IF(Compare!$H$5="EXACT only",J903="EXACT",OR(J903="EXACT",J903="CLOSE")))),"yes","no")</f>
        <v>yes</v>
      </c>
      <c r="AF903" s="110" t="n">
        <f aca="false">IF(ISNUMBER(H903),COUNTIFS($B$7:$B$3000,B903,$C$7:$C$3000,C903,$H$7:$H$3000,"&lt;"&amp;H903,$AH$7:$AH$3000,"yes")+COUNTIFS($B$7:B903,B903,$C$7:C903,C903,$H$7:H903,H903,$AH$7:AH903,"yes"),"")</f>
        <v>2</v>
      </c>
      <c r="AG903" s="110" t="n">
        <f aca="false">IF(ISNUMBER(I903),COUNTIFS($B$7:$B$3000,B903,$C$7:$C$3000,C903,$I$7:$I$3000,"&lt;"&amp;I903,$AI$7:$AI$3000,"yes")+COUNTIFS($B$7:B903,B903,$C$7:C903,C903,$I$7:I903,I903,$AI$7:AI903,"yes"),"")</f>
        <v>1</v>
      </c>
      <c r="AH903" s="110" t="str">
        <f aca="false">IF(ISNUMBER(H903),"yes","no")</f>
        <v>yes</v>
      </c>
      <c r="AI903" s="110" t="str">
        <f aca="false">IF(ISNUMBER(I903),"yes","no")</f>
        <v>yes</v>
      </c>
      <c r="AJ903" s="120" t="n">
        <v>46297</v>
      </c>
      <c r="AK903" s="110"/>
    </row>
    <row r="904" customFormat="false" ht="35.05" hidden="false" customHeight="false" outlineLevel="0" collapsed="false">
      <c r="B904" s="36" t="s">
        <v>67</v>
      </c>
      <c r="C904" s="98" t="s">
        <v>15</v>
      </c>
      <c r="D904" s="98" t="s">
        <v>243</v>
      </c>
      <c r="E904" s="110" t="s">
        <v>3042</v>
      </c>
      <c r="F904" s="99" t="n">
        <v>13.17</v>
      </c>
      <c r="G904" s="98" t="s">
        <v>244</v>
      </c>
      <c r="H904" s="112" t="n">
        <f aca="false">IF(AND(AE904="yes",ISNUMBER(AD904)),AD904,"")</f>
        <v>13.17</v>
      </c>
      <c r="I904" s="95" t="n">
        <f aca="false">IF(AND(AE904="yes",ISNUMBER(AD904),ISNUMBER(INDEX(Sources!$G$7:$G$10,MATCH(AB904,Sources!$B$7:$B$10,0)))),ROUND(AD904/INDEX(Sources!$G$7:$G$10,MATCH(AB904,Sources!$B$7:$B$10,0)),6),"")</f>
        <v>13.17</v>
      </c>
      <c r="J904" s="98" t="s">
        <v>530</v>
      </c>
      <c r="K904" s="98" t="s">
        <v>2059</v>
      </c>
      <c r="L904" s="96"/>
      <c r="M904" s="110" t="s">
        <v>3043</v>
      </c>
      <c r="N904" s="117" t="s">
        <v>3044</v>
      </c>
      <c r="O904" s="110" t="s">
        <v>2932</v>
      </c>
      <c r="P904" s="110" t="s">
        <v>590</v>
      </c>
      <c r="Q904" s="118" t="n">
        <v>0.2</v>
      </c>
      <c r="R904" s="110" t="n">
        <v>1</v>
      </c>
      <c r="S904" s="110" t="s">
        <v>632</v>
      </c>
      <c r="T904" s="110" t="s">
        <v>530</v>
      </c>
      <c r="U904" s="110" t="s">
        <v>2913</v>
      </c>
      <c r="V904" s="119" t="n">
        <v>13.17</v>
      </c>
      <c r="W904" s="119"/>
      <c r="X904" s="110" t="s">
        <v>2063</v>
      </c>
      <c r="Y904" s="110" t="s">
        <v>2064</v>
      </c>
      <c r="Z904" s="110" t="s">
        <v>2164</v>
      </c>
      <c r="AA904" s="110" t="s">
        <v>537</v>
      </c>
      <c r="AB904" s="110" t="s">
        <v>244</v>
      </c>
      <c r="AC904" s="110" t="s">
        <v>538</v>
      </c>
      <c r="AD904" s="110" t="n">
        <f aca="false">IF(OR(F904="",Q904="",R904=""),"",ROUND(IF(P904="incl.",F904/(1+Q904),F904)/IF(S904="per pack",R904,1),2))</f>
        <v>13.17</v>
      </c>
      <c r="AE904" s="110" t="str">
        <f aca="false">IF(AND(AC904="yes",ISNUMBER(F904),IF(Compare!$H$5="All mapped",TRUE(),IF(Compare!$H$5="EXACT only",J904="EXACT",OR(J904="EXACT",J904="CLOSE")))),"yes","no")</f>
        <v>yes</v>
      </c>
      <c r="AF904" s="110" t="n">
        <f aca="false">IF(ISNUMBER(H904),COUNTIFS($B$7:$B$3000,B904,$C$7:$C$3000,C904,$H$7:$H$3000,"&lt;"&amp;H904,$AH$7:$AH$3000,"yes")+COUNTIFS($B$7:B904,B904,$C$7:C904,C904,$H$7:H904,H904,$AH$7:AH904,"yes"),"")</f>
        <v>1</v>
      </c>
      <c r="AG904" s="110" t="n">
        <f aca="false">IF(ISNUMBER(I904),COUNTIFS($B$7:$B$3000,B904,$C$7:$C$3000,C904,$I$7:$I$3000,"&lt;"&amp;I904,$AI$7:$AI$3000,"yes")+COUNTIFS($B$7:B904,B904,$C$7:C904,C904,$I$7:I904,I904,$AI$7:AI904,"yes"),"")</f>
        <v>1</v>
      </c>
      <c r="AH904" s="110" t="str">
        <f aca="false">IF(ISNUMBER(H904),"yes","no")</f>
        <v>yes</v>
      </c>
      <c r="AI904" s="110" t="str">
        <f aca="false">IF(ISNUMBER(I904),"yes","no")</f>
        <v>yes</v>
      </c>
      <c r="AJ904" s="120" t="n">
        <v>46297</v>
      </c>
      <c r="AK904" s="110"/>
    </row>
    <row r="905" customFormat="false" ht="35.05" hidden="false" customHeight="false" outlineLevel="0" collapsed="false">
      <c r="B905" s="36" t="s">
        <v>67</v>
      </c>
      <c r="C905" s="98" t="s">
        <v>15</v>
      </c>
      <c r="D905" s="98" t="s">
        <v>257</v>
      </c>
      <c r="E905" s="110" t="s">
        <v>3045</v>
      </c>
      <c r="F905" s="99" t="n">
        <v>38</v>
      </c>
      <c r="G905" s="98" t="s">
        <v>244</v>
      </c>
      <c r="H905" s="112" t="n">
        <f aca="false">IF(AND(AE905="yes",ISNUMBER(AD905)),AD905,"")</f>
        <v>38</v>
      </c>
      <c r="I905" s="95" t="n">
        <f aca="false">IF(AND(AE905="yes",ISNUMBER(AD905),ISNUMBER(INDEX(Sources!$G$7:$G$10,MATCH(AB905,Sources!$B$7:$B$10,0)))),ROUND(AD905/INDEX(Sources!$G$7:$G$10,MATCH(AB905,Sources!$B$7:$B$10,0)),6),"")</f>
        <v>38</v>
      </c>
      <c r="J905" s="98" t="s">
        <v>530</v>
      </c>
      <c r="K905" s="98" t="s">
        <v>2059</v>
      </c>
      <c r="L905" s="96"/>
      <c r="M905" s="110" t="s">
        <v>3046</v>
      </c>
      <c r="N905" s="117" t="s">
        <v>3047</v>
      </c>
      <c r="O905" s="110" t="s">
        <v>1576</v>
      </c>
      <c r="P905" s="110" t="s">
        <v>590</v>
      </c>
      <c r="Q905" s="118" t="n">
        <v>0.2</v>
      </c>
      <c r="R905" s="110" t="n">
        <v>1</v>
      </c>
      <c r="S905" s="110" t="s">
        <v>632</v>
      </c>
      <c r="T905" s="110" t="s">
        <v>530</v>
      </c>
      <c r="U905" s="110" t="s">
        <v>2913</v>
      </c>
      <c r="V905" s="119" t="n">
        <v>38</v>
      </c>
      <c r="W905" s="119"/>
      <c r="X905" s="110" t="s">
        <v>2063</v>
      </c>
      <c r="Y905" s="110" t="s">
        <v>2064</v>
      </c>
      <c r="Z905" s="110" t="s">
        <v>2936</v>
      </c>
      <c r="AA905" s="110" t="s">
        <v>537</v>
      </c>
      <c r="AB905" s="110" t="s">
        <v>244</v>
      </c>
      <c r="AC905" s="110" t="s">
        <v>538</v>
      </c>
      <c r="AD905" s="110" t="n">
        <f aca="false">IF(OR(F905="",Q905="",R905=""),"",ROUND(IF(P905="incl.",F905/(1+Q905),F905)/IF(S905="per pack",R905,1),2))</f>
        <v>38</v>
      </c>
      <c r="AE905" s="110" t="str">
        <f aca="false">IF(AND(AC905="yes",ISNUMBER(F905),IF(Compare!$H$5="All mapped",TRUE(),IF(Compare!$H$5="EXACT only",J905="EXACT",OR(J905="EXACT",J905="CLOSE")))),"yes","no")</f>
        <v>yes</v>
      </c>
      <c r="AF905" s="110" t="n">
        <f aca="false">IF(ISNUMBER(H905),COUNTIFS($B$7:$B$3000,B905,$C$7:$C$3000,C905,$H$7:$H$3000,"&lt;"&amp;H905,$AH$7:$AH$3000,"yes")+COUNTIFS($B$7:B905,B905,$C$7:C905,C905,$H$7:H905,H905,$AH$7:AH905,"yes"),"")</f>
        <v>6</v>
      </c>
      <c r="AG905" s="110" t="n">
        <f aca="false">IF(ISNUMBER(I905),COUNTIFS($B$7:$B$3000,B905,$C$7:$C$3000,C905,$I$7:$I$3000,"&lt;"&amp;I905,$AI$7:$AI$3000,"yes")+COUNTIFS($B$7:B905,B905,$C$7:C905,C905,$I$7:I905,I905,$AI$7:AI905,"yes"),"")</f>
        <v>6</v>
      </c>
      <c r="AH905" s="110" t="str">
        <f aca="false">IF(ISNUMBER(H905),"yes","no")</f>
        <v>yes</v>
      </c>
      <c r="AI905" s="110" t="str">
        <f aca="false">IF(ISNUMBER(I905),"yes","no")</f>
        <v>yes</v>
      </c>
      <c r="AJ905" s="120" t="n">
        <v>46297</v>
      </c>
      <c r="AK905" s="110"/>
    </row>
    <row r="906" customFormat="false" ht="35.05" hidden="false" customHeight="false" outlineLevel="0" collapsed="false">
      <c r="B906" s="36" t="s">
        <v>67</v>
      </c>
      <c r="C906" s="98" t="s">
        <v>15</v>
      </c>
      <c r="D906" s="98" t="s">
        <v>269</v>
      </c>
      <c r="E906" s="110" t="s">
        <v>3048</v>
      </c>
      <c r="F906" s="99" t="n">
        <v>23.09</v>
      </c>
      <c r="G906" s="98" t="s">
        <v>244</v>
      </c>
      <c r="H906" s="112" t="n">
        <f aca="false">IF(AND(AE906="yes",ISNUMBER(AD906)),AD906,"")</f>
        <v>23.09</v>
      </c>
      <c r="I906" s="95" t="n">
        <f aca="false">IF(AND(AE906="yes",ISNUMBER(AD906),ISNUMBER(INDEX(Sources!$G$7:$G$10,MATCH(AB906,Sources!$B$7:$B$10,0)))),ROUND(AD906/INDEX(Sources!$G$7:$G$10,MATCH(AB906,Sources!$B$7:$B$10,0)),6),"")</f>
        <v>23.09</v>
      </c>
      <c r="J906" s="98" t="s">
        <v>530</v>
      </c>
      <c r="K906" s="98" t="s">
        <v>2059</v>
      </c>
      <c r="L906" s="96"/>
      <c r="M906" s="110" t="s">
        <v>3049</v>
      </c>
      <c r="N906" s="117" t="s">
        <v>3050</v>
      </c>
      <c r="O906" s="110" t="s">
        <v>598</v>
      </c>
      <c r="P906" s="110" t="s">
        <v>590</v>
      </c>
      <c r="Q906" s="118" t="n">
        <v>0.2</v>
      </c>
      <c r="R906" s="110" t="n">
        <v>1</v>
      </c>
      <c r="S906" s="110" t="s">
        <v>632</v>
      </c>
      <c r="T906" s="110" t="s">
        <v>530</v>
      </c>
      <c r="U906" s="110" t="s">
        <v>2913</v>
      </c>
      <c r="V906" s="119" t="n">
        <v>23.09</v>
      </c>
      <c r="W906" s="119"/>
      <c r="X906" s="110" t="s">
        <v>2063</v>
      </c>
      <c r="Y906" s="110" t="s">
        <v>2064</v>
      </c>
      <c r="Z906" s="110" t="s">
        <v>2940</v>
      </c>
      <c r="AA906" s="110" t="s">
        <v>537</v>
      </c>
      <c r="AB906" s="110" t="s">
        <v>244</v>
      </c>
      <c r="AC906" s="110" t="s">
        <v>538</v>
      </c>
      <c r="AD906" s="110" t="n">
        <f aca="false">IF(OR(F906="",Q906="",R906=""),"",ROUND(IF(P906="incl.",F906/(1+Q906),F906)/IF(S906="per pack",R906,1),2))</f>
        <v>23.09</v>
      </c>
      <c r="AE906" s="110" t="str">
        <f aca="false">IF(AND(AC906="yes",ISNUMBER(F906),IF(Compare!$H$5="All mapped",TRUE(),IF(Compare!$H$5="EXACT only",J906="EXACT",OR(J906="EXACT",J906="CLOSE")))),"yes","no")</f>
        <v>yes</v>
      </c>
      <c r="AF906" s="110" t="n">
        <f aca="false">IF(ISNUMBER(H906),COUNTIFS($B$7:$B$3000,B906,$C$7:$C$3000,C906,$H$7:$H$3000,"&lt;"&amp;H906,$AH$7:$AH$3000,"yes")+COUNTIFS($B$7:B906,B906,$C$7:C906,C906,$H$7:H906,H906,$AH$7:AH906,"yes"),"")</f>
        <v>3</v>
      </c>
      <c r="AG906" s="110" t="n">
        <f aca="false">IF(ISNUMBER(I906),COUNTIFS($B$7:$B$3000,B906,$C$7:$C$3000,C906,$I$7:$I$3000,"&lt;"&amp;I906,$AI$7:$AI$3000,"yes")+COUNTIFS($B$7:B906,B906,$C$7:C906,C906,$I$7:I906,I906,$AI$7:AI906,"yes"),"")</f>
        <v>3</v>
      </c>
      <c r="AH906" s="110" t="str">
        <f aca="false">IF(ISNUMBER(H906),"yes","no")</f>
        <v>yes</v>
      </c>
      <c r="AI906" s="110" t="str">
        <f aca="false">IF(ISNUMBER(I906),"yes","no")</f>
        <v>yes</v>
      </c>
      <c r="AJ906" s="120" t="n">
        <v>46297</v>
      </c>
      <c r="AK906" s="110"/>
    </row>
    <row r="907" customFormat="false" ht="23.85" hidden="false" customHeight="false" outlineLevel="0" collapsed="false">
      <c r="B907" s="36" t="s">
        <v>67</v>
      </c>
      <c r="C907" s="98" t="s">
        <v>15</v>
      </c>
      <c r="D907" s="98" t="s">
        <v>264</v>
      </c>
      <c r="E907" s="110" t="s">
        <v>3051</v>
      </c>
      <c r="F907" s="99" t="n">
        <v>42</v>
      </c>
      <c r="G907" s="98" t="s">
        <v>244</v>
      </c>
      <c r="H907" s="112" t="n">
        <f aca="false">IF(AND(AE907="yes",ISNUMBER(AD907)),AD907,"")</f>
        <v>42</v>
      </c>
      <c r="I907" s="95" t="n">
        <f aca="false">IF(AND(AE907="yes",ISNUMBER(AD907),ISNUMBER(INDEX(Sources!$G$7:$G$10,MATCH(AB907,Sources!$B$7:$B$10,0)))),ROUND(AD907/INDEX(Sources!$G$7:$G$10,MATCH(AB907,Sources!$B$7:$B$10,0)),6),"")</f>
        <v>42</v>
      </c>
      <c r="J907" s="98" t="s">
        <v>530</v>
      </c>
      <c r="K907" s="98" t="s">
        <v>2059</v>
      </c>
      <c r="L907" s="96"/>
      <c r="M907" s="110" t="s">
        <v>3052</v>
      </c>
      <c r="N907" s="117" t="s">
        <v>3053</v>
      </c>
      <c r="O907" s="110" t="s">
        <v>2944</v>
      </c>
      <c r="P907" s="110" t="s">
        <v>590</v>
      </c>
      <c r="Q907" s="118" t="n">
        <v>0.2</v>
      </c>
      <c r="R907" s="110" t="n">
        <v>1</v>
      </c>
      <c r="S907" s="110" t="s">
        <v>632</v>
      </c>
      <c r="T907" s="110" t="s">
        <v>530</v>
      </c>
      <c r="U907" s="110" t="s">
        <v>2913</v>
      </c>
      <c r="V907" s="119" t="n">
        <v>42</v>
      </c>
      <c r="W907" s="119"/>
      <c r="X907" s="110" t="s">
        <v>2063</v>
      </c>
      <c r="Y907" s="110" t="s">
        <v>2064</v>
      </c>
      <c r="Z907" s="110"/>
      <c r="AA907" s="110" t="s">
        <v>537</v>
      </c>
      <c r="AB907" s="110" t="s">
        <v>244</v>
      </c>
      <c r="AC907" s="110" t="s">
        <v>538</v>
      </c>
      <c r="AD907" s="110" t="n">
        <f aca="false">IF(OR(F907="",Q907="",R907=""),"",ROUND(IF(P907="incl.",F907/(1+Q907),F907)/IF(S907="per pack",R907,1),2))</f>
        <v>42</v>
      </c>
      <c r="AE907" s="110" t="str">
        <f aca="false">IF(AND(AC907="yes",ISNUMBER(F907),IF(Compare!$H$5="All mapped",TRUE(),IF(Compare!$H$5="EXACT only",J907="EXACT",OR(J907="EXACT",J907="CLOSE")))),"yes","no")</f>
        <v>yes</v>
      </c>
      <c r="AF907" s="110" t="n">
        <f aca="false">IF(ISNUMBER(H907),COUNTIFS($B$7:$B$3000,B907,$C$7:$C$3000,C907,$H$7:$H$3000,"&lt;"&amp;H907,$AH$7:$AH$3000,"yes")+COUNTIFS($B$7:B907,B907,$C$7:C907,C907,$H$7:H907,H907,$AH$7:AH907,"yes"),"")</f>
        <v>7</v>
      </c>
      <c r="AG907" s="110" t="n">
        <f aca="false">IF(ISNUMBER(I907),COUNTIFS($B$7:$B$3000,B907,$C$7:$C$3000,C907,$I$7:$I$3000,"&lt;"&amp;I907,$AI$7:$AI$3000,"yes")+COUNTIFS($B$7:B907,B907,$C$7:C907,C907,$I$7:I907,I907,$AI$7:AI907,"yes"),"")</f>
        <v>7</v>
      </c>
      <c r="AH907" s="110" t="str">
        <f aca="false">IF(ISNUMBER(H907),"yes","no")</f>
        <v>yes</v>
      </c>
      <c r="AI907" s="110" t="str">
        <f aca="false">IF(ISNUMBER(I907),"yes","no")</f>
        <v>yes</v>
      </c>
      <c r="AJ907" s="120" t="n">
        <v>46297</v>
      </c>
      <c r="AK907" s="110"/>
    </row>
    <row r="908" customFormat="false" ht="23.85" hidden="false" customHeight="false" outlineLevel="0" collapsed="false">
      <c r="B908" s="36" t="s">
        <v>67</v>
      </c>
      <c r="C908" s="98" t="s">
        <v>15</v>
      </c>
      <c r="D908" s="98" t="s">
        <v>273</v>
      </c>
      <c r="E908" s="110" t="s">
        <v>3054</v>
      </c>
      <c r="F908" s="99" t="n">
        <v>23.49</v>
      </c>
      <c r="G908" s="98" t="s">
        <v>244</v>
      </c>
      <c r="H908" s="112" t="n">
        <f aca="false">IF(AND(AE908="yes",ISNUMBER(AD908)),AD908,"")</f>
        <v>19.58</v>
      </c>
      <c r="I908" s="95" t="n">
        <f aca="false">IF(AND(AE908="yes",ISNUMBER(AD908),ISNUMBER(INDEX(Sources!$G$7:$G$10,MATCH(AB908,Sources!$B$7:$B$10,0)))),ROUND(AD908/INDEX(Sources!$G$7:$G$10,MATCH(AB908,Sources!$B$7:$B$10,0)),6),"")</f>
        <v>19.58</v>
      </c>
      <c r="J908" s="98" t="s">
        <v>530</v>
      </c>
      <c r="K908" s="98" t="s">
        <v>2059</v>
      </c>
      <c r="L908" s="96"/>
      <c r="M908" s="110" t="s">
        <v>3055</v>
      </c>
      <c r="N908" s="117" t="s">
        <v>3056</v>
      </c>
      <c r="O908" s="110" t="s">
        <v>598</v>
      </c>
      <c r="P908" s="110" t="s">
        <v>265</v>
      </c>
      <c r="Q908" s="118" t="n">
        <v>0.2</v>
      </c>
      <c r="R908" s="110" t="n">
        <v>1</v>
      </c>
      <c r="S908" s="110" t="s">
        <v>632</v>
      </c>
      <c r="T908" s="110" t="s">
        <v>530</v>
      </c>
      <c r="U908" s="110" t="s">
        <v>2918</v>
      </c>
      <c r="V908" s="119" t="n">
        <v>19.57</v>
      </c>
      <c r="W908" s="119"/>
      <c r="X908" s="110" t="s">
        <v>2063</v>
      </c>
      <c r="Y908" s="110" t="s">
        <v>2064</v>
      </c>
      <c r="Z908" s="110" t="s">
        <v>2948</v>
      </c>
      <c r="AA908" s="110" t="s">
        <v>537</v>
      </c>
      <c r="AB908" s="110" t="s">
        <v>244</v>
      </c>
      <c r="AC908" s="110" t="s">
        <v>538</v>
      </c>
      <c r="AD908" s="110" t="n">
        <f aca="false">IF(OR(F908="",Q908="",R908=""),"",ROUND(IF(P908="incl.",F908/(1+Q908),F908)/IF(S908="per pack",R908,1),2))</f>
        <v>19.58</v>
      </c>
      <c r="AE908" s="110" t="str">
        <f aca="false">IF(AND(AC908="yes",ISNUMBER(F908),IF(Compare!$H$5="All mapped",TRUE(),IF(Compare!$H$5="EXACT only",J908="EXACT",OR(J908="EXACT",J908="CLOSE")))),"yes","no")</f>
        <v>yes</v>
      </c>
      <c r="AF908" s="110" t="n">
        <f aca="false">IF(ISNUMBER(H908),COUNTIFS($B$7:$B$3000,B908,$C$7:$C$3000,C908,$H$7:$H$3000,"&lt;"&amp;H908,$AH$7:$AH$3000,"yes")+COUNTIFS($B$7:B908,B908,$C$7:C908,C908,$H$7:H908,H908,$AH$7:AH908,"yes"),"")</f>
        <v>2</v>
      </c>
      <c r="AG908" s="110" t="n">
        <f aca="false">IF(ISNUMBER(I908),COUNTIFS($B$7:$B$3000,B908,$C$7:$C$3000,C908,$I$7:$I$3000,"&lt;"&amp;I908,$AI$7:$AI$3000,"yes")+COUNTIFS($B$7:B908,B908,$C$7:C908,C908,$I$7:I908,I908,$AI$7:AI908,"yes"),"")</f>
        <v>2</v>
      </c>
      <c r="AH908" s="110" t="str">
        <f aca="false">IF(ISNUMBER(H908),"yes","no")</f>
        <v>yes</v>
      </c>
      <c r="AI908" s="110" t="str">
        <f aca="false">IF(ISNUMBER(I908),"yes","no")</f>
        <v>yes</v>
      </c>
      <c r="AJ908" s="120" t="n">
        <v>46297</v>
      </c>
      <c r="AK908" s="110"/>
    </row>
    <row r="909" customFormat="false" ht="46.25" hidden="false" customHeight="false" outlineLevel="0" collapsed="false">
      <c r="B909" s="36" t="s">
        <v>67</v>
      </c>
      <c r="C909" s="98" t="s">
        <v>15</v>
      </c>
      <c r="D909" s="98" t="s">
        <v>281</v>
      </c>
      <c r="E909" s="110" t="s">
        <v>3057</v>
      </c>
      <c r="F909" s="99" t="n">
        <v>36.96</v>
      </c>
      <c r="G909" s="98" t="s">
        <v>244</v>
      </c>
      <c r="H909" s="112" t="n">
        <f aca="false">IF(AND(AE909="yes",ISNUMBER(AD909)),AD909,"")</f>
        <v>36.96</v>
      </c>
      <c r="I909" s="95" t="n">
        <f aca="false">IF(AND(AE909="yes",ISNUMBER(AD909),ISNUMBER(INDEX(Sources!$G$7:$G$10,MATCH(AB909,Sources!$B$7:$B$10,0)))),ROUND(AD909/INDEX(Sources!$G$7:$G$10,MATCH(AB909,Sources!$B$7:$B$10,0)),6),"")</f>
        <v>36.96</v>
      </c>
      <c r="J909" s="98" t="s">
        <v>530</v>
      </c>
      <c r="K909" s="98" t="s">
        <v>2059</v>
      </c>
      <c r="L909" s="96"/>
      <c r="M909" s="110" t="s">
        <v>3058</v>
      </c>
      <c r="N909" s="117" t="s">
        <v>3059</v>
      </c>
      <c r="O909" s="110" t="s">
        <v>2952</v>
      </c>
      <c r="P909" s="110" t="s">
        <v>590</v>
      </c>
      <c r="Q909" s="118" t="n">
        <v>0.2</v>
      </c>
      <c r="R909" s="110" t="n">
        <v>1</v>
      </c>
      <c r="S909" s="110" t="s">
        <v>632</v>
      </c>
      <c r="T909" s="110" t="s">
        <v>530</v>
      </c>
      <c r="U909" s="110" t="s">
        <v>2913</v>
      </c>
      <c r="V909" s="119" t="n">
        <v>36.96</v>
      </c>
      <c r="W909" s="119"/>
      <c r="X909" s="110" t="s">
        <v>2063</v>
      </c>
      <c r="Y909" s="110" t="s">
        <v>2064</v>
      </c>
      <c r="Z909" s="110" t="s">
        <v>2953</v>
      </c>
      <c r="AA909" s="110" t="s">
        <v>537</v>
      </c>
      <c r="AB909" s="110" t="s">
        <v>244</v>
      </c>
      <c r="AC909" s="110" t="s">
        <v>538</v>
      </c>
      <c r="AD909" s="110" t="n">
        <f aca="false">IF(OR(F909="",Q909="",R909=""),"",ROUND(IF(P909="incl.",F909/(1+Q909),F909)/IF(S909="per pack",R909,1),2))</f>
        <v>36.96</v>
      </c>
      <c r="AE909" s="110" t="str">
        <f aca="false">IF(AND(AC909="yes",ISNUMBER(F909),IF(Compare!$H$5="All mapped",TRUE(),IF(Compare!$H$5="EXACT only",J909="EXACT",OR(J909="EXACT",J909="CLOSE")))),"yes","no")</f>
        <v>yes</v>
      </c>
      <c r="AF909" s="110" t="n">
        <f aca="false">IF(ISNUMBER(H909),COUNTIFS($B$7:$B$3000,B909,$C$7:$C$3000,C909,$H$7:$H$3000,"&lt;"&amp;H909,$AH$7:$AH$3000,"yes")+COUNTIFS($B$7:B909,B909,$C$7:C909,C909,$H$7:H909,H909,$AH$7:AH909,"yes"),"")</f>
        <v>5</v>
      </c>
      <c r="AG909" s="110" t="n">
        <f aca="false">IF(ISNUMBER(I909),COUNTIFS($B$7:$B$3000,B909,$C$7:$C$3000,C909,$I$7:$I$3000,"&lt;"&amp;I909,$AI$7:$AI$3000,"yes")+COUNTIFS($B$7:B909,B909,$C$7:C909,C909,$I$7:I909,I909,$AI$7:AI909,"yes"),"")</f>
        <v>5</v>
      </c>
      <c r="AH909" s="110" t="str">
        <f aca="false">IF(ISNUMBER(H909),"yes","no")</f>
        <v>yes</v>
      </c>
      <c r="AI909" s="110" t="str">
        <f aca="false">IF(ISNUMBER(I909),"yes","no")</f>
        <v>yes</v>
      </c>
      <c r="AJ909" s="120" t="n">
        <v>46297</v>
      </c>
      <c r="AK909" s="110"/>
    </row>
    <row r="910" customFormat="false" ht="35.05" hidden="false" customHeight="false" outlineLevel="0" collapsed="false">
      <c r="B910" s="36" t="s">
        <v>67</v>
      </c>
      <c r="C910" s="98" t="s">
        <v>15</v>
      </c>
      <c r="D910" s="98" t="s">
        <v>293</v>
      </c>
      <c r="E910" s="110" t="s">
        <v>3060</v>
      </c>
      <c r="F910" s="99" t="n">
        <v>25.9</v>
      </c>
      <c r="G910" s="98" t="s">
        <v>244</v>
      </c>
      <c r="H910" s="112" t="n">
        <f aca="false">IF(AND(AE910="yes",ISNUMBER(AD910)),AD910,"")</f>
        <v>25.9</v>
      </c>
      <c r="I910" s="95" t="n">
        <f aca="false">IF(AND(AE910="yes",ISNUMBER(AD910),ISNUMBER(INDEX(Sources!$G$7:$G$10,MATCH(AB910,Sources!$B$7:$B$10,0)))),ROUND(AD910/INDEX(Sources!$G$7:$G$10,MATCH(AB910,Sources!$B$7:$B$10,0)),6),"")</f>
        <v>25.9</v>
      </c>
      <c r="J910" s="98" t="s">
        <v>530</v>
      </c>
      <c r="K910" s="98" t="s">
        <v>2059</v>
      </c>
      <c r="L910" s="96"/>
      <c r="M910" s="110" t="s">
        <v>3061</v>
      </c>
      <c r="N910" s="117" t="s">
        <v>3062</v>
      </c>
      <c r="O910" s="110" t="s">
        <v>3063</v>
      </c>
      <c r="P910" s="110" t="s">
        <v>590</v>
      </c>
      <c r="Q910" s="118" t="n">
        <v>0.2</v>
      </c>
      <c r="R910" s="110" t="n">
        <v>1</v>
      </c>
      <c r="S910" s="110" t="s">
        <v>632</v>
      </c>
      <c r="T910" s="110" t="s">
        <v>530</v>
      </c>
      <c r="U910" s="110" t="s">
        <v>2913</v>
      </c>
      <c r="V910" s="119" t="n">
        <v>25.9</v>
      </c>
      <c r="W910" s="119"/>
      <c r="X910" s="110" t="s">
        <v>2063</v>
      </c>
      <c r="Y910" s="110" t="s">
        <v>2064</v>
      </c>
      <c r="Z910" s="110" t="s">
        <v>3064</v>
      </c>
      <c r="AA910" s="110" t="s">
        <v>537</v>
      </c>
      <c r="AB910" s="110" t="s">
        <v>244</v>
      </c>
      <c r="AC910" s="110" t="s">
        <v>538</v>
      </c>
      <c r="AD910" s="110" t="n">
        <f aca="false">IF(OR(F910="",Q910="",R910=""),"",ROUND(IF(P910="incl.",F910/(1+Q910),F910)/IF(S910="per pack",R910,1),2))</f>
        <v>25.9</v>
      </c>
      <c r="AE910" s="110" t="str">
        <f aca="false">IF(AND(AC910="yes",ISNUMBER(F910),IF(Compare!$H$5="All mapped",TRUE(),IF(Compare!$H$5="EXACT only",J910="EXACT",OR(J910="EXACT",J910="CLOSE")))),"yes","no")</f>
        <v>yes</v>
      </c>
      <c r="AF910" s="110" t="n">
        <f aca="false">IF(ISNUMBER(H910),COUNTIFS($B$7:$B$3000,B910,$C$7:$C$3000,C910,$H$7:$H$3000,"&lt;"&amp;H910,$AH$7:$AH$3000,"yes")+COUNTIFS($B$7:B910,B910,$C$7:C910,C910,$H$7:H910,H910,$AH$7:AH910,"yes"),"")</f>
        <v>4</v>
      </c>
      <c r="AG910" s="110" t="n">
        <f aca="false">IF(ISNUMBER(I910),COUNTIFS($B$7:$B$3000,B910,$C$7:$C$3000,C910,$I$7:$I$3000,"&lt;"&amp;I910,$AI$7:$AI$3000,"yes")+COUNTIFS($B$7:B910,B910,$C$7:C910,C910,$I$7:I910,I910,$AI$7:AI910,"yes"),"")</f>
        <v>4</v>
      </c>
      <c r="AH910" s="110" t="str">
        <f aca="false">IF(ISNUMBER(H910),"yes","no")</f>
        <v>yes</v>
      </c>
      <c r="AI910" s="110" t="str">
        <f aca="false">IF(ISNUMBER(I910),"yes","no")</f>
        <v>yes</v>
      </c>
      <c r="AJ910" s="120" t="n">
        <v>46297</v>
      </c>
      <c r="AK910" s="110"/>
    </row>
    <row r="911" customFormat="false" ht="35.05" hidden="false" customHeight="false" outlineLevel="0" collapsed="false">
      <c r="B911" s="36" t="s">
        <v>67</v>
      </c>
      <c r="C911" s="98" t="s">
        <v>16</v>
      </c>
      <c r="D911" s="98" t="s">
        <v>305</v>
      </c>
      <c r="E911" s="110" t="s">
        <v>3065</v>
      </c>
      <c r="F911" s="99" t="n">
        <v>26.69</v>
      </c>
      <c r="G911" s="98" t="s">
        <v>244</v>
      </c>
      <c r="H911" s="112" t="n">
        <f aca="false">IF(AND(AE911="yes",ISNUMBER(AD911)),AD911,"")</f>
        <v>22.43</v>
      </c>
      <c r="I911" s="95" t="n">
        <f aca="false">IF(AND(AE911="yes",ISNUMBER(AD911),ISNUMBER(INDEX(Sources!$G$7:$G$10,MATCH(AB911,Sources!$B$7:$B$10,0)))),ROUND(AD911/INDEX(Sources!$G$7:$G$10,MATCH(AB911,Sources!$B$7:$B$10,0)),6),"")</f>
        <v>22.43</v>
      </c>
      <c r="J911" s="98" t="s">
        <v>530</v>
      </c>
      <c r="K911" s="98" t="s">
        <v>2059</v>
      </c>
      <c r="L911" s="96"/>
      <c r="M911" s="110" t="s">
        <v>3066</v>
      </c>
      <c r="N911" s="117" t="s">
        <v>3067</v>
      </c>
      <c r="O911" s="110" t="s">
        <v>2965</v>
      </c>
      <c r="P911" s="110" t="s">
        <v>265</v>
      </c>
      <c r="Q911" s="118" t="n">
        <v>0.19</v>
      </c>
      <c r="R911" s="110" t="n">
        <v>1</v>
      </c>
      <c r="S911" s="110" t="s">
        <v>632</v>
      </c>
      <c r="T911" s="110" t="s">
        <v>530</v>
      </c>
      <c r="U911" s="110" t="s">
        <v>2918</v>
      </c>
      <c r="V911" s="119" t="n">
        <v>22.43</v>
      </c>
      <c r="W911" s="119"/>
      <c r="X911" s="110" t="s">
        <v>2063</v>
      </c>
      <c r="Y911" s="110" t="s">
        <v>2064</v>
      </c>
      <c r="Z911" s="110" t="s">
        <v>2156</v>
      </c>
      <c r="AA911" s="110" t="s">
        <v>537</v>
      </c>
      <c r="AB911" s="110" t="s">
        <v>244</v>
      </c>
      <c r="AC911" s="110" t="s">
        <v>538</v>
      </c>
      <c r="AD911" s="110" t="n">
        <f aca="false">IF(OR(F911="",Q911="",R911=""),"",ROUND(IF(P911="incl.",F911/(1+Q911),F911)/IF(S911="per pack",R911,1),2))</f>
        <v>22.43</v>
      </c>
      <c r="AE911" s="110" t="str">
        <f aca="false">IF(AND(AC911="yes",ISNUMBER(F911),IF(Compare!$H$5="All mapped",TRUE(),IF(Compare!$H$5="EXACT only",J911="EXACT",OR(J911="EXACT",J911="CLOSE")))),"yes","no")</f>
        <v>yes</v>
      </c>
      <c r="AF911" s="110" t="n">
        <f aca="false">IF(ISNUMBER(H911),COUNTIFS($B$7:$B$3000,B911,$C$7:$C$3000,C911,$H$7:$H$3000,"&lt;"&amp;H911,$AH$7:$AH$3000,"yes")+COUNTIFS($B$7:B911,B911,$C$7:C911,C911,$H$7:H911,H911,$AH$7:AH911,"yes"),"")</f>
        <v>4</v>
      </c>
      <c r="AG911" s="110" t="n">
        <f aca="false">IF(ISNUMBER(I911),COUNTIFS($B$7:$B$3000,B911,$C$7:$C$3000,C911,$I$7:$I$3000,"&lt;"&amp;I911,$AI$7:$AI$3000,"yes")+COUNTIFS($B$7:B911,B911,$C$7:C911,C911,$I$7:I911,I911,$AI$7:AI911,"yes"),"")</f>
        <v>4</v>
      </c>
      <c r="AH911" s="110" t="str">
        <f aca="false">IF(ISNUMBER(H911),"yes","no")</f>
        <v>yes</v>
      </c>
      <c r="AI911" s="110" t="str">
        <f aca="false">IF(ISNUMBER(I911),"yes","no")</f>
        <v>yes</v>
      </c>
      <c r="AJ911" s="120" t="n">
        <v>46297</v>
      </c>
      <c r="AK911" s="110"/>
    </row>
    <row r="912" customFormat="false" ht="35.05" hidden="false" customHeight="false" outlineLevel="0" collapsed="false">
      <c r="B912" s="36" t="s">
        <v>67</v>
      </c>
      <c r="C912" s="98" t="s">
        <v>16</v>
      </c>
      <c r="D912" s="98" t="s">
        <v>311</v>
      </c>
      <c r="E912" s="110" t="s">
        <v>3048</v>
      </c>
      <c r="F912" s="99" t="n">
        <v>21.99</v>
      </c>
      <c r="G912" s="98" t="s">
        <v>244</v>
      </c>
      <c r="H912" s="112" t="n">
        <f aca="false">IF(AND(AE912="yes",ISNUMBER(AD912)),AD912,"")</f>
        <v>21.99</v>
      </c>
      <c r="I912" s="95" t="n">
        <f aca="false">IF(AND(AE912="yes",ISNUMBER(AD912),ISNUMBER(INDEX(Sources!$G$7:$G$10,MATCH(AB912,Sources!$B$7:$B$10,0)))),ROUND(AD912/INDEX(Sources!$G$7:$G$10,MATCH(AB912,Sources!$B$7:$B$10,0)),6),"")</f>
        <v>21.99</v>
      </c>
      <c r="J912" s="98" t="s">
        <v>530</v>
      </c>
      <c r="K912" s="98" t="s">
        <v>2059</v>
      </c>
      <c r="L912" s="96"/>
      <c r="M912" s="110" t="s">
        <v>3068</v>
      </c>
      <c r="N912" s="117" t="s">
        <v>3069</v>
      </c>
      <c r="O912" s="110" t="s">
        <v>598</v>
      </c>
      <c r="P912" s="110" t="s">
        <v>590</v>
      </c>
      <c r="Q912" s="118" t="n">
        <v>0.19</v>
      </c>
      <c r="R912" s="110" t="n">
        <v>1</v>
      </c>
      <c r="S912" s="110" t="s">
        <v>632</v>
      </c>
      <c r="T912" s="110" t="s">
        <v>530</v>
      </c>
      <c r="U912" s="110" t="s">
        <v>2913</v>
      </c>
      <c r="V912" s="119" t="n">
        <v>21.99</v>
      </c>
      <c r="W912" s="119"/>
      <c r="X912" s="110" t="s">
        <v>2063</v>
      </c>
      <c r="Y912" s="110" t="s">
        <v>2064</v>
      </c>
      <c r="Z912" s="110" t="s">
        <v>2968</v>
      </c>
      <c r="AA912" s="110" t="s">
        <v>537</v>
      </c>
      <c r="AB912" s="110" t="s">
        <v>244</v>
      </c>
      <c r="AC912" s="110" t="s">
        <v>538</v>
      </c>
      <c r="AD912" s="110" t="n">
        <f aca="false">IF(OR(F912="",Q912="",R912=""),"",ROUND(IF(P912="incl.",F912/(1+Q912),F912)/IF(S912="per pack",R912,1),2))</f>
        <v>21.99</v>
      </c>
      <c r="AE912" s="110" t="str">
        <f aca="false">IF(AND(AC912="yes",ISNUMBER(F912),IF(Compare!$H$5="All mapped",TRUE(),IF(Compare!$H$5="EXACT only",J912="EXACT",OR(J912="EXACT",J912="CLOSE")))),"yes","no")</f>
        <v>yes</v>
      </c>
      <c r="AF912" s="110" t="n">
        <f aca="false">IF(ISNUMBER(H912),COUNTIFS($B$7:$B$3000,B912,$C$7:$C$3000,C912,$H$7:$H$3000,"&lt;"&amp;H912,$AH$7:$AH$3000,"yes")+COUNTIFS($B$7:B912,B912,$C$7:C912,C912,$H$7:H912,H912,$AH$7:AH912,"yes"),"")</f>
        <v>3</v>
      </c>
      <c r="AG912" s="110" t="n">
        <f aca="false">IF(ISNUMBER(I912),COUNTIFS($B$7:$B$3000,B912,$C$7:$C$3000,C912,$I$7:$I$3000,"&lt;"&amp;I912,$AI$7:$AI$3000,"yes")+COUNTIFS($B$7:B912,B912,$C$7:C912,C912,$I$7:I912,I912,$AI$7:AI912,"yes"),"")</f>
        <v>3</v>
      </c>
      <c r="AH912" s="110" t="str">
        <f aca="false">IF(ISNUMBER(H912),"yes","no")</f>
        <v>yes</v>
      </c>
      <c r="AI912" s="110" t="str">
        <f aca="false">IF(ISNUMBER(I912),"yes","no")</f>
        <v>yes</v>
      </c>
      <c r="AJ912" s="120" t="n">
        <v>46297</v>
      </c>
      <c r="AK912" s="110"/>
    </row>
    <row r="913" customFormat="false" ht="23.85" hidden="false" customHeight="false" outlineLevel="0" collapsed="false">
      <c r="B913" s="36" t="s">
        <v>67</v>
      </c>
      <c r="C913" s="98" t="s">
        <v>16</v>
      </c>
      <c r="D913" s="98" t="s">
        <v>309</v>
      </c>
      <c r="E913" s="110" t="s">
        <v>3051</v>
      </c>
      <c r="F913" s="99" t="n">
        <v>42</v>
      </c>
      <c r="G913" s="98" t="s">
        <v>244</v>
      </c>
      <c r="H913" s="112" t="n">
        <f aca="false">IF(AND(AE913="yes",ISNUMBER(AD913)),AD913,"")</f>
        <v>42</v>
      </c>
      <c r="I913" s="95" t="n">
        <f aca="false">IF(AND(AE913="yes",ISNUMBER(AD913),ISNUMBER(INDEX(Sources!$G$7:$G$10,MATCH(AB913,Sources!$B$7:$B$10,0)))),ROUND(AD913/INDEX(Sources!$G$7:$G$10,MATCH(AB913,Sources!$B$7:$B$10,0)),6),"")</f>
        <v>42</v>
      </c>
      <c r="J913" s="98" t="s">
        <v>530</v>
      </c>
      <c r="K913" s="98" t="s">
        <v>2059</v>
      </c>
      <c r="L913" s="96"/>
      <c r="M913" s="110" t="s">
        <v>3070</v>
      </c>
      <c r="N913" s="117" t="s">
        <v>3053</v>
      </c>
      <c r="O913" s="110" t="s">
        <v>2944</v>
      </c>
      <c r="P913" s="110" t="s">
        <v>590</v>
      </c>
      <c r="Q913" s="118" t="n">
        <v>0.19</v>
      </c>
      <c r="R913" s="110" t="n">
        <v>1</v>
      </c>
      <c r="S913" s="110" t="s">
        <v>632</v>
      </c>
      <c r="T913" s="110" t="s">
        <v>530</v>
      </c>
      <c r="U913" s="110" t="s">
        <v>2913</v>
      </c>
      <c r="V913" s="119" t="n">
        <v>42</v>
      </c>
      <c r="W913" s="119"/>
      <c r="X913" s="110" t="s">
        <v>2063</v>
      </c>
      <c r="Y913" s="110" t="s">
        <v>2064</v>
      </c>
      <c r="Z913" s="110" t="s">
        <v>2970</v>
      </c>
      <c r="AA913" s="110" t="s">
        <v>537</v>
      </c>
      <c r="AB913" s="110" t="s">
        <v>244</v>
      </c>
      <c r="AC913" s="110" t="s">
        <v>538</v>
      </c>
      <c r="AD913" s="110" t="n">
        <f aca="false">IF(OR(F913="",Q913="",R913=""),"",ROUND(IF(P913="incl.",F913/(1+Q913),F913)/IF(S913="per pack",R913,1),2))</f>
        <v>42</v>
      </c>
      <c r="AE913" s="110" t="str">
        <f aca="false">IF(AND(AC913="yes",ISNUMBER(F913),IF(Compare!$H$5="All mapped",TRUE(),IF(Compare!$H$5="EXACT only",J913="EXACT",OR(J913="EXACT",J913="CLOSE")))),"yes","no")</f>
        <v>yes</v>
      </c>
      <c r="AF913" s="110" t="n">
        <f aca="false">IF(ISNUMBER(H913),COUNTIFS($B$7:$B$3000,B913,$C$7:$C$3000,C913,$H$7:$H$3000,"&lt;"&amp;H913,$AH$7:$AH$3000,"yes")+COUNTIFS($B$7:B913,B913,$C$7:C913,C913,$H$7:H913,H913,$AH$7:AH913,"yes"),"")</f>
        <v>7</v>
      </c>
      <c r="AG913" s="110" t="n">
        <f aca="false">IF(ISNUMBER(I913),COUNTIFS($B$7:$B$3000,B913,$C$7:$C$3000,C913,$I$7:$I$3000,"&lt;"&amp;I913,$AI$7:$AI$3000,"yes")+COUNTIFS($B$7:B913,B913,$C$7:C913,C913,$I$7:I913,I913,$AI$7:AI913,"yes"),"")</f>
        <v>7</v>
      </c>
      <c r="AH913" s="110" t="str">
        <f aca="false">IF(ISNUMBER(H913),"yes","no")</f>
        <v>yes</v>
      </c>
      <c r="AI913" s="110" t="str">
        <f aca="false">IF(ISNUMBER(I913),"yes","no")</f>
        <v>yes</v>
      </c>
      <c r="AJ913" s="120" t="n">
        <v>46297</v>
      </c>
      <c r="AK913" s="110"/>
    </row>
    <row r="914" customFormat="false" ht="23.85" hidden="false" customHeight="false" outlineLevel="0" collapsed="false">
      <c r="B914" s="36" t="s">
        <v>67</v>
      </c>
      <c r="C914" s="98" t="s">
        <v>16</v>
      </c>
      <c r="D914" s="98" t="s">
        <v>313</v>
      </c>
      <c r="E914" s="110" t="s">
        <v>3054</v>
      </c>
      <c r="F914" s="99" t="n">
        <v>23.29</v>
      </c>
      <c r="G914" s="98" t="s">
        <v>244</v>
      </c>
      <c r="H914" s="112" t="n">
        <f aca="false">IF(AND(AE914="yes",ISNUMBER(AD914)),AD914,"")</f>
        <v>19.57</v>
      </c>
      <c r="I914" s="95" t="n">
        <f aca="false">IF(AND(AE914="yes",ISNUMBER(AD914),ISNUMBER(INDEX(Sources!$G$7:$G$10,MATCH(AB914,Sources!$B$7:$B$10,0)))),ROUND(AD914/INDEX(Sources!$G$7:$G$10,MATCH(AB914,Sources!$B$7:$B$10,0)),6),"")</f>
        <v>19.57</v>
      </c>
      <c r="J914" s="98" t="s">
        <v>530</v>
      </c>
      <c r="K914" s="98" t="s">
        <v>2059</v>
      </c>
      <c r="L914" s="96"/>
      <c r="M914" s="110" t="s">
        <v>3071</v>
      </c>
      <c r="N914" s="117" t="s">
        <v>3072</v>
      </c>
      <c r="O914" s="110" t="s">
        <v>598</v>
      </c>
      <c r="P914" s="110" t="s">
        <v>265</v>
      </c>
      <c r="Q914" s="118" t="n">
        <v>0.19</v>
      </c>
      <c r="R914" s="110" t="n">
        <v>1</v>
      </c>
      <c r="S914" s="110" t="s">
        <v>632</v>
      </c>
      <c r="T914" s="110" t="s">
        <v>530</v>
      </c>
      <c r="U914" s="110" t="s">
        <v>2918</v>
      </c>
      <c r="V914" s="119" t="n">
        <v>19.57</v>
      </c>
      <c r="W914" s="119"/>
      <c r="X914" s="110" t="s">
        <v>2063</v>
      </c>
      <c r="Y914" s="110" t="s">
        <v>2064</v>
      </c>
      <c r="Z914" s="110" t="s">
        <v>2973</v>
      </c>
      <c r="AA914" s="110" t="s">
        <v>537</v>
      </c>
      <c r="AB914" s="110" t="s">
        <v>244</v>
      </c>
      <c r="AC914" s="110" t="s">
        <v>538</v>
      </c>
      <c r="AD914" s="110" t="n">
        <f aca="false">IF(OR(F914="",Q914="",R914=""),"",ROUND(IF(P914="incl.",F914/(1+Q914),F914)/IF(S914="per pack",R914,1),2))</f>
        <v>19.57</v>
      </c>
      <c r="AE914" s="110" t="str">
        <f aca="false">IF(AND(AC914="yes",ISNUMBER(F914),IF(Compare!$H$5="All mapped",TRUE(),IF(Compare!$H$5="EXACT only",J914="EXACT",OR(J914="EXACT",J914="CLOSE")))),"yes","no")</f>
        <v>yes</v>
      </c>
      <c r="AF914" s="110" t="n">
        <f aca="false">IF(ISNUMBER(H914),COUNTIFS($B$7:$B$3000,B914,$C$7:$C$3000,C914,$H$7:$H$3000,"&lt;"&amp;H914,$AH$7:$AH$3000,"yes")+COUNTIFS($B$7:B914,B914,$C$7:C914,C914,$H$7:H914,H914,$AH$7:AH914,"yes"),"")</f>
        <v>2</v>
      </c>
      <c r="AG914" s="110" t="n">
        <f aca="false">IF(ISNUMBER(I914),COUNTIFS($B$7:$B$3000,B914,$C$7:$C$3000,C914,$I$7:$I$3000,"&lt;"&amp;I914,$AI$7:$AI$3000,"yes")+COUNTIFS($B$7:B914,B914,$C$7:C914,C914,$I$7:I914,I914,$AI$7:AI914,"yes"),"")</f>
        <v>2</v>
      </c>
      <c r="AH914" s="110" t="str">
        <f aca="false">IF(ISNUMBER(H914),"yes","no")</f>
        <v>yes</v>
      </c>
      <c r="AI914" s="110" t="str">
        <f aca="false">IF(ISNUMBER(I914),"yes","no")</f>
        <v>yes</v>
      </c>
      <c r="AJ914" s="120" t="n">
        <v>46297</v>
      </c>
      <c r="AK914" s="110"/>
    </row>
    <row r="915" customFormat="false" ht="35.05" hidden="false" customHeight="false" outlineLevel="0" collapsed="false">
      <c r="B915" s="36" t="s">
        <v>67</v>
      </c>
      <c r="C915" s="98" t="s">
        <v>16</v>
      </c>
      <c r="D915" s="98" t="s">
        <v>321</v>
      </c>
      <c r="E915" s="110" t="s">
        <v>3073</v>
      </c>
      <c r="F915" s="99" t="n">
        <v>25.09</v>
      </c>
      <c r="G915" s="98" t="s">
        <v>244</v>
      </c>
      <c r="H915" s="112" t="n">
        <f aca="false">IF(AND(AE915="yes",ISNUMBER(AD915)),AD915,"")</f>
        <v>25.09</v>
      </c>
      <c r="I915" s="95" t="n">
        <f aca="false">IF(AND(AE915="yes",ISNUMBER(AD915),ISNUMBER(INDEX(Sources!$G$7:$G$10,MATCH(AB915,Sources!$B$7:$B$10,0)))),ROUND(AD915/INDEX(Sources!$G$7:$G$10,MATCH(AB915,Sources!$B$7:$B$10,0)),6),"")</f>
        <v>25.09</v>
      </c>
      <c r="J915" s="98" t="s">
        <v>530</v>
      </c>
      <c r="K915" s="98" t="s">
        <v>2059</v>
      </c>
      <c r="L915" s="96"/>
      <c r="M915" s="110" t="s">
        <v>3074</v>
      </c>
      <c r="N915" s="117" t="s">
        <v>3075</v>
      </c>
      <c r="O915" s="110" t="s">
        <v>3076</v>
      </c>
      <c r="P915" s="110" t="s">
        <v>590</v>
      </c>
      <c r="Q915" s="118" t="n">
        <v>0.19</v>
      </c>
      <c r="R915" s="110" t="n">
        <v>1</v>
      </c>
      <c r="S915" s="110" t="s">
        <v>632</v>
      </c>
      <c r="T915" s="110" t="s">
        <v>530</v>
      </c>
      <c r="U915" s="110" t="s">
        <v>2913</v>
      </c>
      <c r="V915" s="119" t="n">
        <v>25.09</v>
      </c>
      <c r="W915" s="119"/>
      <c r="X915" s="110" t="s">
        <v>2063</v>
      </c>
      <c r="Y915" s="110" t="s">
        <v>2064</v>
      </c>
      <c r="Z915" s="110" t="s">
        <v>2978</v>
      </c>
      <c r="AA915" s="110" t="s">
        <v>537</v>
      </c>
      <c r="AB915" s="110" t="s">
        <v>244</v>
      </c>
      <c r="AC915" s="110" t="s">
        <v>538</v>
      </c>
      <c r="AD915" s="110" t="n">
        <f aca="false">IF(OR(F915="",Q915="",R915=""),"",ROUND(IF(P915="incl.",F915/(1+Q915),F915)/IF(S915="per pack",R915,1),2))</f>
        <v>25.09</v>
      </c>
      <c r="AE915" s="110" t="str">
        <f aca="false">IF(AND(AC915="yes",ISNUMBER(F915),IF(Compare!$H$5="All mapped",TRUE(),IF(Compare!$H$5="EXACT only",J915="EXACT",OR(J915="EXACT",J915="CLOSE")))),"yes","no")</f>
        <v>yes</v>
      </c>
      <c r="AF915" s="110" t="n">
        <f aca="false">IF(ISNUMBER(H915),COUNTIFS($B$7:$B$3000,B915,$C$7:$C$3000,C915,$H$7:$H$3000,"&lt;"&amp;H915,$AH$7:$AH$3000,"yes")+COUNTIFS($B$7:B915,B915,$C$7:C915,C915,$H$7:H915,H915,$AH$7:AH915,"yes"),"")</f>
        <v>5</v>
      </c>
      <c r="AG915" s="110" t="n">
        <f aca="false">IF(ISNUMBER(I915),COUNTIFS($B$7:$B$3000,B915,$C$7:$C$3000,C915,$I$7:$I$3000,"&lt;"&amp;I915,$AI$7:$AI$3000,"yes")+COUNTIFS($B$7:B915,B915,$C$7:C915,C915,$I$7:I915,I915,$AI$7:AI915,"yes"),"")</f>
        <v>5</v>
      </c>
      <c r="AH915" s="110" t="str">
        <f aca="false">IF(ISNUMBER(H915),"yes","no")</f>
        <v>yes</v>
      </c>
      <c r="AI915" s="110" t="str">
        <f aca="false">IF(ISNUMBER(I915),"yes","no")</f>
        <v>yes</v>
      </c>
      <c r="AJ915" s="120" t="n">
        <v>46297</v>
      </c>
      <c r="AK915" s="110"/>
    </row>
    <row r="916" customFormat="false" ht="35.05" hidden="false" customHeight="false" outlineLevel="0" collapsed="false">
      <c r="B916" s="36" t="s">
        <v>67</v>
      </c>
      <c r="C916" s="98" t="s">
        <v>16</v>
      </c>
      <c r="D916" s="98" t="s">
        <v>321</v>
      </c>
      <c r="E916" s="110" t="s">
        <v>3077</v>
      </c>
      <c r="F916" s="99" t="n">
        <v>26.01</v>
      </c>
      <c r="G916" s="98" t="s">
        <v>244</v>
      </c>
      <c r="H916" s="112" t="n">
        <f aca="false">IF(AND(AE916="yes",ISNUMBER(AD916)),AD916,"")</f>
        <v>26.01</v>
      </c>
      <c r="I916" s="95" t="n">
        <f aca="false">IF(AND(AE916="yes",ISNUMBER(AD916),ISNUMBER(INDEX(Sources!$G$7:$G$10,MATCH(AB916,Sources!$B$7:$B$10,0)))),ROUND(AD916/INDEX(Sources!$G$7:$G$10,MATCH(AB916,Sources!$B$7:$B$10,0)),6),"")</f>
        <v>26.01</v>
      </c>
      <c r="J916" s="98" t="s">
        <v>530</v>
      </c>
      <c r="K916" s="98" t="s">
        <v>2059</v>
      </c>
      <c r="L916" s="96"/>
      <c r="M916" s="110" t="s">
        <v>3078</v>
      </c>
      <c r="N916" s="117" t="s">
        <v>3079</v>
      </c>
      <c r="O916" s="110" t="s">
        <v>2944</v>
      </c>
      <c r="P916" s="110" t="s">
        <v>590</v>
      </c>
      <c r="Q916" s="118" t="n">
        <v>0.19</v>
      </c>
      <c r="R916" s="110" t="n">
        <v>1</v>
      </c>
      <c r="S916" s="110" t="s">
        <v>632</v>
      </c>
      <c r="T916" s="110" t="s">
        <v>530</v>
      </c>
      <c r="U916" s="110" t="s">
        <v>2913</v>
      </c>
      <c r="V916" s="119" t="n">
        <v>26.01</v>
      </c>
      <c r="W916" s="119"/>
      <c r="X916" s="110" t="s">
        <v>2063</v>
      </c>
      <c r="Y916" s="110" t="s">
        <v>2064</v>
      </c>
      <c r="Z916" s="110" t="s">
        <v>2978</v>
      </c>
      <c r="AA916" s="110" t="s">
        <v>537</v>
      </c>
      <c r="AB916" s="110" t="s">
        <v>244</v>
      </c>
      <c r="AC916" s="110" t="s">
        <v>538</v>
      </c>
      <c r="AD916" s="110" t="n">
        <f aca="false">IF(OR(F916="",Q916="",R916=""),"",ROUND(IF(P916="incl.",F916/(1+Q916),F916)/IF(S916="per pack",R916,1),2))</f>
        <v>26.01</v>
      </c>
      <c r="AE916" s="110" t="str">
        <f aca="false">IF(AND(AC916="yes",ISNUMBER(F916),IF(Compare!$H$5="All mapped",TRUE(),IF(Compare!$H$5="EXACT only",J916="EXACT",OR(J916="EXACT",J916="CLOSE")))),"yes","no")</f>
        <v>yes</v>
      </c>
      <c r="AF916" s="110" t="n">
        <f aca="false">IF(ISNUMBER(H916),COUNTIFS($B$7:$B$3000,B916,$C$7:$C$3000,C916,$H$7:$H$3000,"&lt;"&amp;H916,$AH$7:$AH$3000,"yes")+COUNTIFS($B$7:B916,B916,$C$7:C916,C916,$H$7:H916,H916,$AH$7:AH916,"yes"),"")</f>
        <v>6</v>
      </c>
      <c r="AG916" s="110" t="n">
        <f aca="false">IF(ISNUMBER(I916),COUNTIFS($B$7:$B$3000,B916,$C$7:$C$3000,C916,$I$7:$I$3000,"&lt;"&amp;I916,$AI$7:$AI$3000,"yes")+COUNTIFS($B$7:B916,B916,$C$7:C916,C916,$I$7:I916,I916,$AI$7:AI916,"yes"),"")</f>
        <v>6</v>
      </c>
      <c r="AH916" s="110" t="str">
        <f aca="false">IF(ISNUMBER(H916),"yes","no")</f>
        <v>yes</v>
      </c>
      <c r="AI916" s="110" t="str">
        <f aca="false">IF(ISNUMBER(I916),"yes","no")</f>
        <v>yes</v>
      </c>
      <c r="AJ916" s="120" t="n">
        <v>46297</v>
      </c>
      <c r="AK916" s="110"/>
    </row>
    <row r="917" customFormat="false" ht="35.05" hidden="false" customHeight="false" outlineLevel="0" collapsed="false">
      <c r="B917" s="36" t="s">
        <v>67</v>
      </c>
      <c r="C917" s="98" t="s">
        <v>16</v>
      </c>
      <c r="D917" s="98" t="s">
        <v>329</v>
      </c>
      <c r="E917" s="110" t="s">
        <v>3054</v>
      </c>
      <c r="F917" s="99" t="n">
        <v>14.45</v>
      </c>
      <c r="G917" s="98" t="s">
        <v>244</v>
      </c>
      <c r="H917" s="112" t="n">
        <f aca="false">IF(AND(AE917="yes",ISNUMBER(AD917)),AD917,"")</f>
        <v>14.45</v>
      </c>
      <c r="I917" s="95" t="n">
        <f aca="false">IF(AND(AE917="yes",ISNUMBER(AD917),ISNUMBER(INDEX(Sources!$G$7:$G$10,MATCH(AB917,Sources!$B$7:$B$10,0)))),ROUND(AD917/INDEX(Sources!$G$7:$G$10,MATCH(AB917,Sources!$B$7:$B$10,0)),6),"")</f>
        <v>14.45</v>
      </c>
      <c r="J917" s="98" t="s">
        <v>530</v>
      </c>
      <c r="K917" s="98" t="s">
        <v>2059</v>
      </c>
      <c r="L917" s="96"/>
      <c r="M917" s="110" t="s">
        <v>3080</v>
      </c>
      <c r="N917" s="117" t="s">
        <v>3081</v>
      </c>
      <c r="O917" s="110" t="s">
        <v>598</v>
      </c>
      <c r="P917" s="110" t="s">
        <v>590</v>
      </c>
      <c r="Q917" s="118" t="n">
        <v>0.19</v>
      </c>
      <c r="R917" s="110" t="n">
        <v>1</v>
      </c>
      <c r="S917" s="110" t="s">
        <v>632</v>
      </c>
      <c r="T917" s="110" t="s">
        <v>530</v>
      </c>
      <c r="U917" s="110" t="s">
        <v>2913</v>
      </c>
      <c r="V917" s="119" t="n">
        <v>14.45</v>
      </c>
      <c r="W917" s="119"/>
      <c r="X917" s="110" t="s">
        <v>2063</v>
      </c>
      <c r="Y917" s="110" t="s">
        <v>2064</v>
      </c>
      <c r="Z917" s="110" t="s">
        <v>2777</v>
      </c>
      <c r="AA917" s="110" t="s">
        <v>537</v>
      </c>
      <c r="AB917" s="110" t="s">
        <v>244</v>
      </c>
      <c r="AC917" s="110" t="s">
        <v>538</v>
      </c>
      <c r="AD917" s="110" t="n">
        <f aca="false">IF(OR(F917="",Q917="",R917=""),"",ROUND(IF(P917="incl.",F917/(1+Q917),F917)/IF(S917="per pack",R917,1),2))</f>
        <v>14.45</v>
      </c>
      <c r="AE917" s="110" t="str">
        <f aca="false">IF(AND(AC917="yes",ISNUMBER(F917),IF(Compare!$H$5="All mapped",TRUE(),IF(Compare!$H$5="EXACT only",J917="EXACT",OR(J917="EXACT",J917="CLOSE")))),"yes","no")</f>
        <v>yes</v>
      </c>
      <c r="AF917" s="110" t="n">
        <f aca="false">IF(ISNUMBER(H917),COUNTIFS($B$7:$B$3000,B917,$C$7:$C$3000,C917,$H$7:$H$3000,"&lt;"&amp;H917,$AH$7:$AH$3000,"yes")+COUNTIFS($B$7:B917,B917,$C$7:C917,C917,$H$7:H917,H917,$AH$7:AH917,"yes"),"")</f>
        <v>1</v>
      </c>
      <c r="AG917" s="110" t="n">
        <f aca="false">IF(ISNUMBER(I917),COUNTIFS($B$7:$B$3000,B917,$C$7:$C$3000,C917,$I$7:$I$3000,"&lt;"&amp;I917,$AI$7:$AI$3000,"yes")+COUNTIFS($B$7:B917,B917,$C$7:C917,C917,$I$7:I917,I917,$AI$7:AI917,"yes"),"")</f>
        <v>1</v>
      </c>
      <c r="AH917" s="110" t="str">
        <f aca="false">IF(ISNUMBER(H917),"yes","no")</f>
        <v>yes</v>
      </c>
      <c r="AI917" s="110" t="str">
        <f aca="false">IF(ISNUMBER(I917),"yes","no")</f>
        <v>yes</v>
      </c>
      <c r="AJ917" s="120" t="n">
        <v>46297</v>
      </c>
      <c r="AK917" s="110"/>
    </row>
    <row r="918" customFormat="false" ht="35.05" hidden="false" customHeight="false" outlineLevel="0" collapsed="false">
      <c r="B918" s="36" t="s">
        <v>67</v>
      </c>
      <c r="C918" s="98" t="s">
        <v>17</v>
      </c>
      <c r="D918" s="98" t="s">
        <v>338</v>
      </c>
      <c r="E918" s="110" t="s">
        <v>3082</v>
      </c>
      <c r="F918" s="99" t="n">
        <v>452</v>
      </c>
      <c r="G918" s="98" t="s">
        <v>333</v>
      </c>
      <c r="H918" s="112" t="n">
        <f aca="false">IF(AND(AE918="yes",ISNUMBER(AD918)),AD918,"")</f>
        <v>452</v>
      </c>
      <c r="I918" s="95" t="n">
        <f aca="false">IF(AND(AE918="yes",ISNUMBER(AD918),ISNUMBER(INDEX(Sources!$G$7:$G$10,MATCH(AB918,Sources!$B$7:$B$10,0)))),ROUND(AD918/INDEX(Sources!$G$7:$G$10,MATCH(AB918,Sources!$B$7:$B$10,0)),6),"")</f>
        <v>18.506678</v>
      </c>
      <c r="J918" s="98" t="s">
        <v>530</v>
      </c>
      <c r="K918" s="98" t="s">
        <v>2059</v>
      </c>
      <c r="L918" s="96"/>
      <c r="M918" s="110" t="s">
        <v>3083</v>
      </c>
      <c r="N918" s="117" t="s">
        <v>3084</v>
      </c>
      <c r="O918" s="110" t="s">
        <v>2412</v>
      </c>
      <c r="P918" s="110" t="s">
        <v>590</v>
      </c>
      <c r="Q918" s="118" t="n">
        <v>0.21</v>
      </c>
      <c r="R918" s="110" t="n">
        <v>1</v>
      </c>
      <c r="S918" s="110" t="s">
        <v>632</v>
      </c>
      <c r="T918" s="110" t="s">
        <v>530</v>
      </c>
      <c r="U918" s="110" t="s">
        <v>2913</v>
      </c>
      <c r="V918" s="119" t="n">
        <v>452</v>
      </c>
      <c r="W918" s="119"/>
      <c r="X918" s="110" t="s">
        <v>2063</v>
      </c>
      <c r="Y918" s="110" t="s">
        <v>2064</v>
      </c>
      <c r="Z918" s="110" t="s">
        <v>2413</v>
      </c>
      <c r="AA918" s="110" t="s">
        <v>537</v>
      </c>
      <c r="AB918" s="110" t="s">
        <v>333</v>
      </c>
      <c r="AC918" s="110" t="s">
        <v>538</v>
      </c>
      <c r="AD918" s="110" t="n">
        <f aca="false">IF(OR(F918="",Q918="",R918=""),"",ROUND(IF(P918="incl.",F918/(1+Q918),F918)/IF(S918="per pack",R918,1),2))</f>
        <v>452</v>
      </c>
      <c r="AE918" s="110" t="str">
        <f aca="false">IF(AND(AC918="yes",ISNUMBER(F918),IF(Compare!$H$5="All mapped",TRUE(),IF(Compare!$H$5="EXACT only",J918="EXACT",OR(J918="EXACT",J918="CLOSE")))),"yes","no")</f>
        <v>yes</v>
      </c>
      <c r="AF918" s="110" t="n">
        <f aca="false">IF(ISNUMBER(H918),COUNTIFS($B$7:$B$3000,B918,$C$7:$C$3000,C918,$H$7:$H$3000,"&lt;"&amp;H918,$AH$7:$AH$3000,"yes")+COUNTIFS($B$7:B918,B918,$C$7:C918,C918,$H$7:H918,H918,$AH$7:AH918,"yes"),"")</f>
        <v>3</v>
      </c>
      <c r="AG918" s="110" t="n">
        <f aca="false">IF(ISNUMBER(I918),COUNTIFS($B$7:$B$3000,B918,$C$7:$C$3000,C918,$I$7:$I$3000,"&lt;"&amp;I918,$AI$7:$AI$3000,"yes")+COUNTIFS($B$7:B918,B918,$C$7:C918,C918,$I$7:I918,I918,$AI$7:AI918,"yes"),"")</f>
        <v>3</v>
      </c>
      <c r="AH918" s="110" t="str">
        <f aca="false">IF(ISNUMBER(H918),"yes","no")</f>
        <v>yes</v>
      </c>
      <c r="AI918" s="110" t="str">
        <f aca="false">IF(ISNUMBER(I918),"yes","no")</f>
        <v>yes</v>
      </c>
      <c r="AJ918" s="120" t="n">
        <v>46297</v>
      </c>
      <c r="AK918" s="110"/>
    </row>
    <row r="919" customFormat="false" ht="35.05" hidden="false" customHeight="false" outlineLevel="0" collapsed="false">
      <c r="B919" s="36" t="s">
        <v>67</v>
      </c>
      <c r="C919" s="98" t="s">
        <v>17</v>
      </c>
      <c r="D919" s="98" t="s">
        <v>342</v>
      </c>
      <c r="E919" s="110" t="s">
        <v>3085</v>
      </c>
      <c r="F919" s="99" t="n">
        <v>422</v>
      </c>
      <c r="G919" s="98" t="s">
        <v>333</v>
      </c>
      <c r="H919" s="112" t="n">
        <f aca="false">IF(AND(AE919="yes",ISNUMBER(AD919)),AD919,"")</f>
        <v>422</v>
      </c>
      <c r="I919" s="95" t="n">
        <f aca="false">IF(AND(AE919="yes",ISNUMBER(AD919),ISNUMBER(INDEX(Sources!$G$7:$G$10,MATCH(AB919,Sources!$B$7:$B$10,0)))),ROUND(AD919/INDEX(Sources!$G$7:$G$10,MATCH(AB919,Sources!$B$7:$B$10,0)),6),"")</f>
        <v>17.278359</v>
      </c>
      <c r="J919" s="98" t="s">
        <v>530</v>
      </c>
      <c r="K919" s="98" t="s">
        <v>2059</v>
      </c>
      <c r="L919" s="96"/>
      <c r="M919" s="110" t="s">
        <v>3086</v>
      </c>
      <c r="N919" s="117" t="s">
        <v>3087</v>
      </c>
      <c r="O919" s="110" t="s">
        <v>1138</v>
      </c>
      <c r="P919" s="110" t="s">
        <v>590</v>
      </c>
      <c r="Q919" s="118" t="n">
        <v>0.21</v>
      </c>
      <c r="R919" s="110" t="n">
        <v>1</v>
      </c>
      <c r="S919" s="110" t="s">
        <v>632</v>
      </c>
      <c r="T919" s="110" t="s">
        <v>530</v>
      </c>
      <c r="U919" s="110" t="s">
        <v>2913</v>
      </c>
      <c r="V919" s="119" t="n">
        <v>422</v>
      </c>
      <c r="W919" s="119"/>
      <c r="X919" s="110" t="s">
        <v>2063</v>
      </c>
      <c r="Y919" s="110" t="s">
        <v>2064</v>
      </c>
      <c r="Z919" s="110" t="s">
        <v>2989</v>
      </c>
      <c r="AA919" s="110" t="s">
        <v>537</v>
      </c>
      <c r="AB919" s="110" t="s">
        <v>333</v>
      </c>
      <c r="AC919" s="110" t="s">
        <v>538</v>
      </c>
      <c r="AD919" s="110" t="n">
        <f aca="false">IF(OR(F919="",Q919="",R919=""),"",ROUND(IF(P919="incl.",F919/(1+Q919),F919)/IF(S919="per pack",R919,1),2))</f>
        <v>422</v>
      </c>
      <c r="AE919" s="110" t="str">
        <f aca="false">IF(AND(AC919="yes",ISNUMBER(F919),IF(Compare!$H$5="All mapped",TRUE(),IF(Compare!$H$5="EXACT only",J919="EXACT",OR(J919="EXACT",J919="CLOSE")))),"yes","no")</f>
        <v>yes</v>
      </c>
      <c r="AF919" s="110" t="n">
        <f aca="false">IF(ISNUMBER(H919),COUNTIFS($B$7:$B$3000,B919,$C$7:$C$3000,C919,$H$7:$H$3000,"&lt;"&amp;H919,$AH$7:$AH$3000,"yes")+COUNTIFS($B$7:B919,B919,$C$7:C919,C919,$H$7:H919,H919,$AH$7:AH919,"yes"),"")</f>
        <v>2</v>
      </c>
      <c r="AG919" s="110" t="n">
        <f aca="false">IF(ISNUMBER(I919),COUNTIFS($B$7:$B$3000,B919,$C$7:$C$3000,C919,$I$7:$I$3000,"&lt;"&amp;I919,$AI$7:$AI$3000,"yes")+COUNTIFS($B$7:B919,B919,$C$7:C919,C919,$I$7:I919,I919,$AI$7:AI919,"yes"),"")</f>
        <v>2</v>
      </c>
      <c r="AH919" s="110" t="str">
        <f aca="false">IF(ISNUMBER(H919),"yes","no")</f>
        <v>yes</v>
      </c>
      <c r="AI919" s="110" t="str">
        <f aca="false">IF(ISNUMBER(I919),"yes","no")</f>
        <v>yes</v>
      </c>
      <c r="AJ919" s="120" t="n">
        <v>46297</v>
      </c>
      <c r="AK919" s="110"/>
    </row>
    <row r="920" customFormat="false" ht="46.25" hidden="false" customHeight="false" outlineLevel="0" collapsed="false">
      <c r="B920" s="36" t="s">
        <v>67</v>
      </c>
      <c r="C920" s="98" t="s">
        <v>17</v>
      </c>
      <c r="D920" s="98" t="s">
        <v>346</v>
      </c>
      <c r="E920" s="110" t="s">
        <v>3088</v>
      </c>
      <c r="F920" s="99" t="n">
        <v>818</v>
      </c>
      <c r="G920" s="98" t="s">
        <v>333</v>
      </c>
      <c r="H920" s="112" t="n">
        <f aca="false">IF(AND(AE920="yes",ISNUMBER(AD920)),AD920,"")</f>
        <v>818</v>
      </c>
      <c r="I920" s="95" t="n">
        <f aca="false">IF(AND(AE920="yes",ISNUMBER(AD920),ISNUMBER(INDEX(Sources!$G$7:$G$10,MATCH(AB920,Sources!$B$7:$B$10,0)))),ROUND(AD920/INDEX(Sources!$G$7:$G$10,MATCH(AB920,Sources!$B$7:$B$10,0)),6),"")</f>
        <v>33.492174</v>
      </c>
      <c r="J920" s="98" t="s">
        <v>530</v>
      </c>
      <c r="K920" s="98" t="s">
        <v>2059</v>
      </c>
      <c r="L920" s="96"/>
      <c r="M920" s="110" t="s">
        <v>3089</v>
      </c>
      <c r="N920" s="117" t="s">
        <v>3090</v>
      </c>
      <c r="O920" s="110" t="s">
        <v>565</v>
      </c>
      <c r="P920" s="110" t="s">
        <v>590</v>
      </c>
      <c r="Q920" s="118" t="n">
        <v>0.21</v>
      </c>
      <c r="R920" s="110" t="n">
        <v>1</v>
      </c>
      <c r="S920" s="110" t="s">
        <v>632</v>
      </c>
      <c r="T920" s="110" t="s">
        <v>530</v>
      </c>
      <c r="U920" s="110" t="s">
        <v>2913</v>
      </c>
      <c r="V920" s="119" t="n">
        <v>818</v>
      </c>
      <c r="W920" s="119"/>
      <c r="X920" s="110" t="s">
        <v>2063</v>
      </c>
      <c r="Y920" s="110" t="s">
        <v>2064</v>
      </c>
      <c r="Z920" s="110" t="s">
        <v>2993</v>
      </c>
      <c r="AA920" s="110" t="s">
        <v>537</v>
      </c>
      <c r="AB920" s="110" t="s">
        <v>333</v>
      </c>
      <c r="AC920" s="110" t="s">
        <v>538</v>
      </c>
      <c r="AD920" s="110" t="n">
        <f aca="false">IF(OR(F920="",Q920="",R920=""),"",ROUND(IF(P920="incl.",F920/(1+Q920),F920)/IF(S920="per pack",R920,1),2))</f>
        <v>818</v>
      </c>
      <c r="AE920" s="110" t="str">
        <f aca="false">IF(AND(AC920="yes",ISNUMBER(F920),IF(Compare!$H$5="All mapped",TRUE(),IF(Compare!$H$5="EXACT only",J920="EXACT",OR(J920="EXACT",J920="CLOSE")))),"yes","no")</f>
        <v>yes</v>
      </c>
      <c r="AF920" s="110" t="n">
        <f aca="false">IF(ISNUMBER(H920),COUNTIFS($B$7:$B$3000,B920,$C$7:$C$3000,C920,$H$7:$H$3000,"&lt;"&amp;H920,$AH$7:$AH$3000,"yes")+COUNTIFS($B$7:B920,B920,$C$7:C920,C920,$H$7:H920,H920,$AH$7:AH920,"yes"),"")</f>
        <v>5</v>
      </c>
      <c r="AG920" s="110" t="n">
        <f aca="false">IF(ISNUMBER(I920),COUNTIFS($B$7:$B$3000,B920,$C$7:$C$3000,C920,$I$7:$I$3000,"&lt;"&amp;I920,$AI$7:$AI$3000,"yes")+COUNTIFS($B$7:B920,B920,$C$7:C920,C920,$I$7:I920,I920,$AI$7:AI920,"yes"),"")</f>
        <v>5</v>
      </c>
      <c r="AH920" s="110" t="str">
        <f aca="false">IF(ISNUMBER(H920),"yes","no")</f>
        <v>yes</v>
      </c>
      <c r="AI920" s="110" t="str">
        <f aca="false">IF(ISNUMBER(I920),"yes","no")</f>
        <v>yes</v>
      </c>
      <c r="AJ920" s="120" t="n">
        <v>46297</v>
      </c>
      <c r="AK920" s="110"/>
    </row>
    <row r="921" customFormat="false" ht="35.05" hidden="false" customHeight="false" outlineLevel="0" collapsed="false">
      <c r="B921" s="36" t="s">
        <v>67</v>
      </c>
      <c r="C921" s="98" t="s">
        <v>17</v>
      </c>
      <c r="D921" s="98" t="s">
        <v>350</v>
      </c>
      <c r="E921" s="110" t="s">
        <v>3091</v>
      </c>
      <c r="F921" s="99" t="n">
        <v>411</v>
      </c>
      <c r="G921" s="98" t="s">
        <v>333</v>
      </c>
      <c r="H921" s="112" t="n">
        <f aca="false">IF(AND(AE921="yes",ISNUMBER(AD921)),AD921,"")</f>
        <v>339.67</v>
      </c>
      <c r="I921" s="95" t="n">
        <f aca="false">IF(AND(AE921="yes",ISNUMBER(AD921),ISNUMBER(INDEX(Sources!$G$7:$G$10,MATCH(AB921,Sources!$B$7:$B$10,0)))),ROUND(AD921/INDEX(Sources!$G$7:$G$10,MATCH(AB921,Sources!$B$7:$B$10,0)),6),"")</f>
        <v>13.907441</v>
      </c>
      <c r="J921" s="98" t="s">
        <v>530</v>
      </c>
      <c r="K921" s="98" t="s">
        <v>2059</v>
      </c>
      <c r="L921" s="96"/>
      <c r="M921" s="110" t="s">
        <v>3092</v>
      </c>
      <c r="N921" s="117" t="s">
        <v>3093</v>
      </c>
      <c r="O921" s="110" t="s">
        <v>2997</v>
      </c>
      <c r="P921" s="110" t="s">
        <v>265</v>
      </c>
      <c r="Q921" s="118" t="n">
        <v>0.21</v>
      </c>
      <c r="R921" s="110" t="n">
        <v>1</v>
      </c>
      <c r="S921" s="110" t="s">
        <v>632</v>
      </c>
      <c r="T921" s="110" t="s">
        <v>530</v>
      </c>
      <c r="U921" s="110" t="s">
        <v>2918</v>
      </c>
      <c r="V921" s="119" t="n">
        <v>339.67</v>
      </c>
      <c r="W921" s="119"/>
      <c r="X921" s="110" t="s">
        <v>2063</v>
      </c>
      <c r="Y921" s="110" t="s">
        <v>2064</v>
      </c>
      <c r="Z921" s="110" t="s">
        <v>2349</v>
      </c>
      <c r="AA921" s="110" t="s">
        <v>537</v>
      </c>
      <c r="AB921" s="110" t="s">
        <v>333</v>
      </c>
      <c r="AC921" s="110" t="s">
        <v>538</v>
      </c>
      <c r="AD921" s="110" t="n">
        <f aca="false">IF(OR(F921="",Q921="",R921=""),"",ROUND(IF(P921="incl.",F921/(1+Q921),F921)/IF(S921="per pack",R921,1),2))</f>
        <v>339.67</v>
      </c>
      <c r="AE921" s="110" t="str">
        <f aca="false">IF(AND(AC921="yes",ISNUMBER(F921),IF(Compare!$H$5="All mapped",TRUE(),IF(Compare!$H$5="EXACT only",J921="EXACT",OR(J921="EXACT",J921="CLOSE")))),"yes","no")</f>
        <v>yes</v>
      </c>
      <c r="AF921" s="110" t="n">
        <f aca="false">IF(ISNUMBER(H921),COUNTIFS($B$7:$B$3000,B921,$C$7:$C$3000,C921,$H$7:$H$3000,"&lt;"&amp;H921,$AH$7:$AH$3000,"yes")+COUNTIFS($B$7:B921,B921,$C$7:C921,C921,$H$7:H921,H921,$AH$7:AH921,"yes"),"")</f>
        <v>1</v>
      </c>
      <c r="AG921" s="110" t="n">
        <f aca="false">IF(ISNUMBER(I921),COUNTIFS($B$7:$B$3000,B921,$C$7:$C$3000,C921,$I$7:$I$3000,"&lt;"&amp;I921,$AI$7:$AI$3000,"yes")+COUNTIFS($B$7:B921,B921,$C$7:C921,C921,$I$7:I921,I921,$AI$7:AI921,"yes"),"")</f>
        <v>1</v>
      </c>
      <c r="AH921" s="110" t="str">
        <f aca="false">IF(ISNUMBER(H921),"yes","no")</f>
        <v>yes</v>
      </c>
      <c r="AI921" s="110" t="str">
        <f aca="false">IF(ISNUMBER(I921),"yes","no")</f>
        <v>yes</v>
      </c>
      <c r="AJ921" s="120" t="n">
        <v>46297</v>
      </c>
      <c r="AK921" s="110"/>
    </row>
    <row r="922" customFormat="false" ht="23.85" hidden="false" customHeight="false" outlineLevel="0" collapsed="false">
      <c r="B922" s="36" t="s">
        <v>67</v>
      </c>
      <c r="C922" s="98" t="s">
        <v>17</v>
      </c>
      <c r="D922" s="98" t="s">
        <v>361</v>
      </c>
      <c r="E922" s="110" t="s">
        <v>3094</v>
      </c>
      <c r="F922" s="99" t="n">
        <v>609</v>
      </c>
      <c r="G922" s="98" t="s">
        <v>333</v>
      </c>
      <c r="H922" s="112" t="n">
        <f aca="false">IF(AND(AE922="yes",ISNUMBER(AD922)),AD922,"")</f>
        <v>609</v>
      </c>
      <c r="I922" s="95" t="n">
        <f aca="false">IF(AND(AE922="yes",ISNUMBER(AD922),ISNUMBER(INDEX(Sources!$G$7:$G$10,MATCH(AB922,Sources!$B$7:$B$10,0)))),ROUND(AD922/INDEX(Sources!$G$7:$G$10,MATCH(AB922,Sources!$B$7:$B$10,0)),6),"")</f>
        <v>24.934883</v>
      </c>
      <c r="J922" s="98" t="s">
        <v>530</v>
      </c>
      <c r="K922" s="98" t="s">
        <v>2059</v>
      </c>
      <c r="L922" s="96"/>
      <c r="M922" s="110" t="s">
        <v>3095</v>
      </c>
      <c r="N922" s="117" t="s">
        <v>3096</v>
      </c>
      <c r="O922" s="110" t="s">
        <v>642</v>
      </c>
      <c r="P922" s="110" t="s">
        <v>590</v>
      </c>
      <c r="Q922" s="118" t="n">
        <v>0.21</v>
      </c>
      <c r="R922" s="110" t="n">
        <v>1</v>
      </c>
      <c r="S922" s="110" t="s">
        <v>632</v>
      </c>
      <c r="T922" s="110" t="s">
        <v>530</v>
      </c>
      <c r="U922" s="110" t="s">
        <v>2913</v>
      </c>
      <c r="V922" s="119" t="n">
        <v>609</v>
      </c>
      <c r="W922" s="119"/>
      <c r="X922" s="110" t="s">
        <v>2063</v>
      </c>
      <c r="Y922" s="110" t="s">
        <v>2064</v>
      </c>
      <c r="Z922" s="110" t="s">
        <v>3097</v>
      </c>
      <c r="AA922" s="110" t="s">
        <v>537</v>
      </c>
      <c r="AB922" s="110" t="s">
        <v>333</v>
      </c>
      <c r="AC922" s="110" t="s">
        <v>538</v>
      </c>
      <c r="AD922" s="110" t="n">
        <f aca="false">IF(OR(F922="",Q922="",R922=""),"",ROUND(IF(P922="incl.",F922/(1+Q922),F922)/IF(S922="per pack",R922,1),2))</f>
        <v>609</v>
      </c>
      <c r="AE922" s="110" t="str">
        <f aca="false">IF(AND(AC922="yes",ISNUMBER(F922),IF(Compare!$H$5="All mapped",TRUE(),IF(Compare!$H$5="EXACT only",J922="EXACT",OR(J922="EXACT",J922="CLOSE")))),"yes","no")</f>
        <v>yes</v>
      </c>
      <c r="AF922" s="110" t="n">
        <f aca="false">IF(ISNUMBER(H922),COUNTIFS($B$7:$B$3000,B922,$C$7:$C$3000,C922,$H$7:$H$3000,"&lt;"&amp;H922,$AH$7:$AH$3000,"yes")+COUNTIFS($B$7:B922,B922,$C$7:C922,C922,$H$7:H922,H922,$AH$7:AH922,"yes"),"")</f>
        <v>4</v>
      </c>
      <c r="AG922" s="110" t="n">
        <f aca="false">IF(ISNUMBER(I922),COUNTIFS($B$7:$B$3000,B922,$C$7:$C$3000,C922,$I$7:$I$3000,"&lt;"&amp;I922,$AI$7:$AI$3000,"yes")+COUNTIFS($B$7:B922,B922,$C$7:C922,C922,$I$7:I922,I922,$AI$7:AI922,"yes"),"")</f>
        <v>4</v>
      </c>
      <c r="AH922" s="110" t="str">
        <f aca="false">IF(ISNUMBER(H922),"yes","no")</f>
        <v>yes</v>
      </c>
      <c r="AI922" s="110" t="str">
        <f aca="false">IF(ISNUMBER(I922),"yes","no")</f>
        <v>yes</v>
      </c>
      <c r="AJ922" s="120" t="n">
        <v>46297</v>
      </c>
      <c r="AK922" s="110"/>
    </row>
    <row r="923" customFormat="false" ht="23.85" hidden="false" customHeight="false" outlineLevel="0" collapsed="false">
      <c r="B923" s="36" t="s">
        <v>67</v>
      </c>
      <c r="C923" s="98" t="s">
        <v>18</v>
      </c>
      <c r="D923" s="98" t="s">
        <v>3002</v>
      </c>
      <c r="E923" s="110" t="s">
        <v>3098</v>
      </c>
      <c r="F923" s="99" t="n">
        <v>23</v>
      </c>
      <c r="G923" s="98" t="s">
        <v>244</v>
      </c>
      <c r="H923" s="112" t="n">
        <f aca="false">IF(AND(AE923="yes",ISNUMBER(AD923)),AD923,"")</f>
        <v>23</v>
      </c>
      <c r="I923" s="95" t="n">
        <f aca="false">IF(AND(AE923="yes",ISNUMBER(AD923),ISNUMBER(INDEX(Sources!$G$7:$G$10,MATCH(AB923,Sources!$B$7:$B$10,0)))),ROUND(AD923/INDEX(Sources!$G$7:$G$10,MATCH(AB923,Sources!$B$7:$B$10,0)),6),"")</f>
        <v>23</v>
      </c>
      <c r="J923" s="98" t="s">
        <v>530</v>
      </c>
      <c r="K923" s="98" t="s">
        <v>2059</v>
      </c>
      <c r="L923" s="96"/>
      <c r="M923" s="110" t="s">
        <v>3099</v>
      </c>
      <c r="N923" s="117" t="s">
        <v>3005</v>
      </c>
      <c r="O923" s="110" t="s">
        <v>2396</v>
      </c>
      <c r="P923" s="110" t="s">
        <v>590</v>
      </c>
      <c r="Q923" s="118" t="n">
        <v>0.23</v>
      </c>
      <c r="R923" s="110" t="n">
        <v>1</v>
      </c>
      <c r="S923" s="110" t="s">
        <v>632</v>
      </c>
      <c r="T923" s="110" t="s">
        <v>530</v>
      </c>
      <c r="U923" s="110" t="s">
        <v>2913</v>
      </c>
      <c r="V923" s="119" t="n">
        <v>23</v>
      </c>
      <c r="W923" s="119"/>
      <c r="X923" s="110" t="s">
        <v>2063</v>
      </c>
      <c r="Y923" s="110" t="s">
        <v>2064</v>
      </c>
      <c r="Z923" s="110" t="s">
        <v>3006</v>
      </c>
      <c r="AA923" s="110" t="s">
        <v>537</v>
      </c>
      <c r="AB923" s="110" t="s">
        <v>244</v>
      </c>
      <c r="AC923" s="110" t="s">
        <v>538</v>
      </c>
      <c r="AD923" s="110" t="n">
        <f aca="false">IF(OR(F923="",Q923="",R923=""),"",ROUND(IF(P923="incl.",F923/(1+Q923),F923)/IF(S923="per pack",R923,1),2))</f>
        <v>23</v>
      </c>
      <c r="AE923" s="110" t="str">
        <f aca="false">IF(AND(AC923="yes",ISNUMBER(F923),IF(Compare!$H$5="All mapped",TRUE(),IF(Compare!$H$5="EXACT only",J923="EXACT",OR(J923="EXACT",J923="CLOSE")))),"yes","no")</f>
        <v>yes</v>
      </c>
      <c r="AF923" s="110" t="n">
        <f aca="false">IF(ISNUMBER(H923),COUNTIFS($B$7:$B$3000,B923,$C$7:$C$3000,C923,$H$7:$H$3000,"&lt;"&amp;H923,$AH$7:$AH$3000,"yes")+COUNTIFS($B$7:B923,B923,$C$7:C923,C923,$H$7:H923,H923,$AH$7:AH923,"yes"),"")</f>
        <v>4</v>
      </c>
      <c r="AG923" s="110" t="n">
        <f aca="false">IF(ISNUMBER(I923),COUNTIFS($B$7:$B$3000,B923,$C$7:$C$3000,C923,$I$7:$I$3000,"&lt;"&amp;I923,$AI$7:$AI$3000,"yes")+COUNTIFS($B$7:B923,B923,$C$7:C923,C923,$I$7:I923,I923,$AI$7:AI923,"yes"),"")</f>
        <v>4</v>
      </c>
      <c r="AH923" s="110" t="str">
        <f aca="false">IF(ISNUMBER(H923),"yes","no")</f>
        <v>yes</v>
      </c>
      <c r="AI923" s="110" t="str">
        <f aca="false">IF(ISNUMBER(I923),"yes","no")</f>
        <v>yes</v>
      </c>
      <c r="AJ923" s="120" t="n">
        <v>46297</v>
      </c>
      <c r="AK923" s="110"/>
    </row>
    <row r="924" customFormat="false" ht="23.85" hidden="false" customHeight="false" outlineLevel="0" collapsed="false">
      <c r="B924" s="36" t="s">
        <v>67</v>
      </c>
      <c r="C924" s="98" t="s">
        <v>18</v>
      </c>
      <c r="D924" s="98" t="s">
        <v>3007</v>
      </c>
      <c r="E924" s="110" t="s">
        <v>3100</v>
      </c>
      <c r="F924" s="99" t="n">
        <v>17.96</v>
      </c>
      <c r="G924" s="98" t="s">
        <v>244</v>
      </c>
      <c r="H924" s="112" t="n">
        <f aca="false">IF(AND(AE924="yes",ISNUMBER(AD924)),AD924,"")</f>
        <v>17.96</v>
      </c>
      <c r="I924" s="95" t="n">
        <f aca="false">IF(AND(AE924="yes",ISNUMBER(AD924),ISNUMBER(INDEX(Sources!$G$7:$G$10,MATCH(AB924,Sources!$B$7:$B$10,0)))),ROUND(AD924/INDEX(Sources!$G$7:$G$10,MATCH(AB924,Sources!$B$7:$B$10,0)),6),"")</f>
        <v>17.96</v>
      </c>
      <c r="J924" s="98" t="s">
        <v>530</v>
      </c>
      <c r="K924" s="98" t="s">
        <v>2059</v>
      </c>
      <c r="L924" s="96"/>
      <c r="M924" s="110" t="s">
        <v>3101</v>
      </c>
      <c r="N924" s="117" t="s">
        <v>3010</v>
      </c>
      <c r="O924" s="110" t="s">
        <v>3011</v>
      </c>
      <c r="P924" s="110" t="s">
        <v>590</v>
      </c>
      <c r="Q924" s="118" t="n">
        <v>0.23</v>
      </c>
      <c r="R924" s="110" t="n">
        <v>1</v>
      </c>
      <c r="S924" s="110" t="s">
        <v>632</v>
      </c>
      <c r="T924" s="110" t="s">
        <v>530</v>
      </c>
      <c r="U924" s="110" t="s">
        <v>2913</v>
      </c>
      <c r="V924" s="119" t="n">
        <v>17.96</v>
      </c>
      <c r="W924" s="119"/>
      <c r="X924" s="110" t="s">
        <v>2063</v>
      </c>
      <c r="Y924" s="110" t="s">
        <v>2064</v>
      </c>
      <c r="Z924" s="110" t="s">
        <v>3012</v>
      </c>
      <c r="AA924" s="110" t="s">
        <v>537</v>
      </c>
      <c r="AB924" s="110" t="s">
        <v>244</v>
      </c>
      <c r="AC924" s="110" t="s">
        <v>538</v>
      </c>
      <c r="AD924" s="110" t="n">
        <f aca="false">IF(OR(F924="",Q924="",R924=""),"",ROUND(IF(P924="incl.",F924/(1+Q924),F924)/IF(S924="per pack",R924,1),2))</f>
        <v>17.96</v>
      </c>
      <c r="AE924" s="110" t="str">
        <f aca="false">IF(AND(AC924="yes",ISNUMBER(F924),IF(Compare!$H$5="All mapped",TRUE(),IF(Compare!$H$5="EXACT only",J924="EXACT",OR(J924="EXACT",J924="CLOSE")))),"yes","no")</f>
        <v>yes</v>
      </c>
      <c r="AF924" s="110" t="n">
        <f aca="false">IF(ISNUMBER(H924),COUNTIFS($B$7:$B$3000,B924,$C$7:$C$3000,C924,$H$7:$H$3000,"&lt;"&amp;H924,$AH$7:$AH$3000,"yes")+COUNTIFS($B$7:B924,B924,$C$7:C924,C924,$H$7:H924,H924,$AH$7:AH924,"yes"),"")</f>
        <v>3</v>
      </c>
      <c r="AG924" s="110" t="n">
        <f aca="false">IF(ISNUMBER(I924),COUNTIFS($B$7:$B$3000,B924,$C$7:$C$3000,C924,$I$7:$I$3000,"&lt;"&amp;I924,$AI$7:$AI$3000,"yes")+COUNTIFS($B$7:B924,B924,$C$7:C924,C924,$I$7:I924,I924,$AI$7:AI924,"yes"),"")</f>
        <v>3</v>
      </c>
      <c r="AH924" s="110" t="str">
        <f aca="false">IF(ISNUMBER(H924),"yes","no")</f>
        <v>yes</v>
      </c>
      <c r="AI924" s="110" t="str">
        <f aca="false">IF(ISNUMBER(I924),"yes","no")</f>
        <v>yes</v>
      </c>
      <c r="AJ924" s="120" t="n">
        <v>46297</v>
      </c>
      <c r="AK924" s="110"/>
    </row>
    <row r="925" customFormat="false" ht="35.05" hidden="false" customHeight="false" outlineLevel="0" collapsed="false">
      <c r="B925" s="36" t="s">
        <v>67</v>
      </c>
      <c r="C925" s="98" t="s">
        <v>18</v>
      </c>
      <c r="D925" s="98" t="s">
        <v>365</v>
      </c>
      <c r="E925" s="110" t="s">
        <v>3085</v>
      </c>
      <c r="F925" s="99" t="n">
        <v>20.28</v>
      </c>
      <c r="G925" s="98" t="s">
        <v>244</v>
      </c>
      <c r="H925" s="112" t="n">
        <f aca="false">IF(AND(AE925="yes",ISNUMBER(AD925)),AD925,"")</f>
        <v>16.49</v>
      </c>
      <c r="I925" s="95" t="n">
        <f aca="false">IF(AND(AE925="yes",ISNUMBER(AD925),ISNUMBER(INDEX(Sources!$G$7:$G$10,MATCH(AB925,Sources!$B$7:$B$10,0)))),ROUND(AD925/INDEX(Sources!$G$7:$G$10,MATCH(AB925,Sources!$B$7:$B$10,0)),6),"")</f>
        <v>16.49</v>
      </c>
      <c r="J925" s="98" t="s">
        <v>530</v>
      </c>
      <c r="K925" s="98" t="s">
        <v>2059</v>
      </c>
      <c r="L925" s="96"/>
      <c r="M925" s="110" t="s">
        <v>3102</v>
      </c>
      <c r="N925" s="117" t="s">
        <v>3103</v>
      </c>
      <c r="O925" s="110" t="s">
        <v>3015</v>
      </c>
      <c r="P925" s="110" t="s">
        <v>265</v>
      </c>
      <c r="Q925" s="118" t="n">
        <v>0.23</v>
      </c>
      <c r="R925" s="110" t="n">
        <v>1</v>
      </c>
      <c r="S925" s="110" t="s">
        <v>632</v>
      </c>
      <c r="T925" s="110" t="s">
        <v>530</v>
      </c>
      <c r="U925" s="110" t="s">
        <v>2918</v>
      </c>
      <c r="V925" s="119" t="n">
        <v>16.49</v>
      </c>
      <c r="W925" s="119"/>
      <c r="X925" s="110" t="s">
        <v>2063</v>
      </c>
      <c r="Y925" s="110" t="s">
        <v>2064</v>
      </c>
      <c r="Z925" s="110" t="s">
        <v>3016</v>
      </c>
      <c r="AA925" s="110" t="s">
        <v>537</v>
      </c>
      <c r="AB925" s="110" t="s">
        <v>244</v>
      </c>
      <c r="AC925" s="110" t="s">
        <v>538</v>
      </c>
      <c r="AD925" s="110" t="n">
        <f aca="false">IF(OR(F925="",Q925="",R925=""),"",ROUND(IF(P925="incl.",F925/(1+Q925),F925)/IF(S925="per pack",R925,1),2))</f>
        <v>16.49</v>
      </c>
      <c r="AE925" s="110" t="str">
        <f aca="false">IF(AND(AC925="yes",ISNUMBER(F925),IF(Compare!$H$5="All mapped",TRUE(),IF(Compare!$H$5="EXACT only",J925="EXACT",OR(J925="EXACT",J925="CLOSE")))),"yes","no")</f>
        <v>yes</v>
      </c>
      <c r="AF925" s="110" t="n">
        <f aca="false">IF(ISNUMBER(H925),COUNTIFS($B$7:$B$3000,B925,$C$7:$C$3000,C925,$H$7:$H$3000,"&lt;"&amp;H925,$AH$7:$AH$3000,"yes")+COUNTIFS($B$7:B925,B925,$C$7:C925,C925,$H$7:H925,H925,$AH$7:AH925,"yes"),"")</f>
        <v>2</v>
      </c>
      <c r="AG925" s="110" t="n">
        <f aca="false">IF(ISNUMBER(I925),COUNTIFS($B$7:$B$3000,B925,$C$7:$C$3000,C925,$I$7:$I$3000,"&lt;"&amp;I925,$AI$7:$AI$3000,"yes")+COUNTIFS($B$7:B925,B925,$C$7:C925,C925,$I$7:I925,I925,$AI$7:AI925,"yes"),"")</f>
        <v>2</v>
      </c>
      <c r="AH925" s="110" t="str">
        <f aca="false">IF(ISNUMBER(H925),"yes","no")</f>
        <v>yes</v>
      </c>
      <c r="AI925" s="110" t="str">
        <f aca="false">IF(ISNUMBER(I925),"yes","no")</f>
        <v>yes</v>
      </c>
      <c r="AJ925" s="120" t="n">
        <v>46297</v>
      </c>
      <c r="AK925" s="110"/>
    </row>
    <row r="926" customFormat="false" ht="46.25" hidden="false" customHeight="false" outlineLevel="0" collapsed="false">
      <c r="B926" s="36" t="s">
        <v>67</v>
      </c>
      <c r="C926" s="98" t="s">
        <v>18</v>
      </c>
      <c r="D926" s="98" t="s">
        <v>369</v>
      </c>
      <c r="E926" s="110" t="s">
        <v>3104</v>
      </c>
      <c r="F926" s="99" t="n">
        <v>43.83</v>
      </c>
      <c r="G926" s="98" t="s">
        <v>244</v>
      </c>
      <c r="H926" s="112" t="n">
        <f aca="false">IF(AND(AE926="yes",ISNUMBER(AD926)),AD926,"")</f>
        <v>35.63</v>
      </c>
      <c r="I926" s="95" t="n">
        <f aca="false">IF(AND(AE926="yes",ISNUMBER(AD926),ISNUMBER(INDEX(Sources!$G$7:$G$10,MATCH(AB926,Sources!$B$7:$B$10,0)))),ROUND(AD926/INDEX(Sources!$G$7:$G$10,MATCH(AB926,Sources!$B$7:$B$10,0)),6),"")</f>
        <v>35.63</v>
      </c>
      <c r="J926" s="98" t="s">
        <v>530</v>
      </c>
      <c r="K926" s="98" t="s">
        <v>2059</v>
      </c>
      <c r="L926" s="96"/>
      <c r="M926" s="110" t="s">
        <v>3105</v>
      </c>
      <c r="N926" s="117" t="s">
        <v>3106</v>
      </c>
      <c r="O926" s="110" t="s">
        <v>565</v>
      </c>
      <c r="P926" s="110" t="s">
        <v>265</v>
      </c>
      <c r="Q926" s="118" t="n">
        <v>0.23</v>
      </c>
      <c r="R926" s="110" t="n">
        <v>1</v>
      </c>
      <c r="S926" s="110" t="s">
        <v>632</v>
      </c>
      <c r="T926" s="110" t="s">
        <v>530</v>
      </c>
      <c r="U926" s="110" t="s">
        <v>2918</v>
      </c>
      <c r="V926" s="119" t="n">
        <v>35.63</v>
      </c>
      <c r="W926" s="119"/>
      <c r="X926" s="110" t="s">
        <v>2063</v>
      </c>
      <c r="Y926" s="110" t="s">
        <v>2064</v>
      </c>
      <c r="Z926" s="110" t="s">
        <v>3107</v>
      </c>
      <c r="AA926" s="110" t="s">
        <v>537</v>
      </c>
      <c r="AB926" s="110" t="s">
        <v>244</v>
      </c>
      <c r="AC926" s="110" t="s">
        <v>538</v>
      </c>
      <c r="AD926" s="110" t="n">
        <f aca="false">IF(OR(F926="",Q926="",R926=""),"",ROUND(IF(P926="incl.",F926/(1+Q926),F926)/IF(S926="per pack",R926,1),2))</f>
        <v>35.63</v>
      </c>
      <c r="AE926" s="110" t="str">
        <f aca="false">IF(AND(AC926="yes",ISNUMBER(F926),IF(Compare!$H$5="All mapped",TRUE(),IF(Compare!$H$5="EXACT only",J926="EXACT",OR(J926="EXACT",J926="CLOSE")))),"yes","no")</f>
        <v>yes</v>
      </c>
      <c r="AF926" s="110" t="n">
        <f aca="false">IF(ISNUMBER(H926),COUNTIFS($B$7:$B$3000,B926,$C$7:$C$3000,C926,$H$7:$H$3000,"&lt;"&amp;H926,$AH$7:$AH$3000,"yes")+COUNTIFS($B$7:B926,B926,$C$7:C926,C926,$H$7:H926,H926,$AH$7:AH926,"yes"),"")</f>
        <v>5</v>
      </c>
      <c r="AG926" s="110" t="n">
        <f aca="false">IF(ISNUMBER(I926),COUNTIFS($B$7:$B$3000,B926,$C$7:$C$3000,C926,$I$7:$I$3000,"&lt;"&amp;I926,$AI$7:$AI$3000,"yes")+COUNTIFS($B$7:B926,B926,$C$7:C926,C926,$I$7:I926,I926,$AI$7:AI926,"yes"),"")</f>
        <v>5</v>
      </c>
      <c r="AH926" s="110" t="str">
        <f aca="false">IF(ISNUMBER(H926),"yes","no")</f>
        <v>yes</v>
      </c>
      <c r="AI926" s="110" t="str">
        <f aca="false">IF(ISNUMBER(I926),"yes","no")</f>
        <v>yes</v>
      </c>
      <c r="AJ926" s="120" t="n">
        <v>46297</v>
      </c>
      <c r="AK926" s="110"/>
    </row>
    <row r="927" customFormat="false" ht="23.85" hidden="false" customHeight="false" outlineLevel="0" collapsed="false">
      <c r="B927" s="36" t="s">
        <v>67</v>
      </c>
      <c r="C927" s="98" t="s">
        <v>18</v>
      </c>
      <c r="D927" s="98" t="s">
        <v>3021</v>
      </c>
      <c r="E927" s="110" t="s">
        <v>3094</v>
      </c>
      <c r="F927" s="99" t="n">
        <v>14.17</v>
      </c>
      <c r="G927" s="98" t="s">
        <v>244</v>
      </c>
      <c r="H927" s="112" t="n">
        <f aca="false">IF(AND(AE927="yes",ISNUMBER(AD927)),AD927,"")</f>
        <v>14.17</v>
      </c>
      <c r="I927" s="95" t="n">
        <f aca="false">IF(AND(AE927="yes",ISNUMBER(AD927),ISNUMBER(INDEX(Sources!$G$7:$G$10,MATCH(AB927,Sources!$B$7:$B$10,0)))),ROUND(AD927/INDEX(Sources!$G$7:$G$10,MATCH(AB927,Sources!$B$7:$B$10,0)),6),"")</f>
        <v>14.17</v>
      </c>
      <c r="J927" s="98" t="s">
        <v>530</v>
      </c>
      <c r="K927" s="98" t="s">
        <v>2059</v>
      </c>
      <c r="L927" s="96"/>
      <c r="M927" s="110" t="s">
        <v>3108</v>
      </c>
      <c r="N927" s="117" t="s">
        <v>3023</v>
      </c>
      <c r="O927" s="110" t="s">
        <v>3024</v>
      </c>
      <c r="P927" s="110" t="s">
        <v>590</v>
      </c>
      <c r="Q927" s="118" t="n">
        <v>0.23</v>
      </c>
      <c r="R927" s="110" t="n">
        <v>1</v>
      </c>
      <c r="S927" s="110" t="s">
        <v>632</v>
      </c>
      <c r="T927" s="110" t="s">
        <v>530</v>
      </c>
      <c r="U927" s="110" t="s">
        <v>2913</v>
      </c>
      <c r="V927" s="119" t="n">
        <v>14.17</v>
      </c>
      <c r="W927" s="119"/>
      <c r="X927" s="110" t="s">
        <v>2063</v>
      </c>
      <c r="Y927" s="110" t="s">
        <v>2064</v>
      </c>
      <c r="Z927" s="110" t="s">
        <v>3109</v>
      </c>
      <c r="AA927" s="110" t="s">
        <v>537</v>
      </c>
      <c r="AB927" s="110" t="s">
        <v>244</v>
      </c>
      <c r="AC927" s="110" t="s">
        <v>538</v>
      </c>
      <c r="AD927" s="110" t="n">
        <f aca="false">IF(OR(F927="",Q927="",R927=""),"",ROUND(IF(P927="incl.",F927/(1+Q927),F927)/IF(S927="per pack",R927,1),2))</f>
        <v>14.17</v>
      </c>
      <c r="AE927" s="110" t="str">
        <f aca="false">IF(AND(AC927="yes",ISNUMBER(F927),IF(Compare!$H$5="All mapped",TRUE(),IF(Compare!$H$5="EXACT only",J927="EXACT",OR(J927="EXACT",J927="CLOSE")))),"yes","no")</f>
        <v>yes</v>
      </c>
      <c r="AF927" s="110" t="n">
        <f aca="false">IF(ISNUMBER(H927),COUNTIFS($B$7:$B$3000,B927,$C$7:$C$3000,C927,$H$7:$H$3000,"&lt;"&amp;H927,$AH$7:$AH$3000,"yes")+COUNTIFS($B$7:B927,B927,$C$7:C927,C927,$H$7:H927,H927,$AH$7:AH927,"yes"),"")</f>
        <v>1</v>
      </c>
      <c r="AG927" s="110" t="n">
        <f aca="false">IF(ISNUMBER(I927),COUNTIFS($B$7:$B$3000,B927,$C$7:$C$3000,C927,$I$7:$I$3000,"&lt;"&amp;I927,$AI$7:$AI$3000,"yes")+COUNTIFS($B$7:B927,B927,$C$7:C927,C927,$I$7:I927,I927,$AI$7:AI927,"yes"),"")</f>
        <v>1</v>
      </c>
      <c r="AH927" s="110" t="str">
        <f aca="false">IF(ISNUMBER(H927),"yes","no")</f>
        <v>yes</v>
      </c>
      <c r="AI927" s="110" t="str">
        <f aca="false">IF(ISNUMBER(I927),"yes","no")</f>
        <v>yes</v>
      </c>
      <c r="AJ927" s="120" t="n">
        <v>46297</v>
      </c>
      <c r="AK927" s="110"/>
    </row>
    <row r="928" customFormat="false" ht="35.05" hidden="false" customHeight="false" outlineLevel="0" collapsed="false">
      <c r="B928" s="36" t="s">
        <v>68</v>
      </c>
      <c r="C928" s="98" t="s">
        <v>14</v>
      </c>
      <c r="D928" s="98" t="s">
        <v>373</v>
      </c>
      <c r="E928" s="110" t="s">
        <v>3110</v>
      </c>
      <c r="F928" s="99" t="n">
        <v>32.45</v>
      </c>
      <c r="G928" s="98" t="s">
        <v>374</v>
      </c>
      <c r="H928" s="112" t="n">
        <f aca="false">IF(AND(AE928="yes",ISNUMBER(AD928)),AD928,"")</f>
        <v>32.45</v>
      </c>
      <c r="I928" s="95" t="n">
        <f aca="false">IF(AND(AE928="yes",ISNUMBER(AD928),ISNUMBER(INDEX(Sources!$G$7:$G$10,MATCH(AB928,Sources!$B$7:$B$10,0)))),ROUND(AD928/INDEX(Sources!$G$7:$G$10,MATCH(AB928,Sources!$B$7:$B$10,0)),6),"")</f>
        <v>6.14858</v>
      </c>
      <c r="J928" s="98" t="s">
        <v>530</v>
      </c>
      <c r="K928" s="98" t="s">
        <v>2059</v>
      </c>
      <c r="L928" s="96"/>
      <c r="M928" s="110" t="s">
        <v>3111</v>
      </c>
      <c r="N928" s="117" t="s">
        <v>3112</v>
      </c>
      <c r="O928" s="110" t="s">
        <v>2912</v>
      </c>
      <c r="P928" s="110" t="s">
        <v>590</v>
      </c>
      <c r="Q928" s="118" t="n">
        <v>0.21</v>
      </c>
      <c r="R928" s="110" t="n">
        <v>1</v>
      </c>
      <c r="S928" s="110" t="s">
        <v>632</v>
      </c>
      <c r="T928" s="110" t="s">
        <v>530</v>
      </c>
      <c r="U928" s="110" t="s">
        <v>2913</v>
      </c>
      <c r="V928" s="119" t="n">
        <v>32.45</v>
      </c>
      <c r="W928" s="119"/>
      <c r="X928" s="110" t="s">
        <v>2063</v>
      </c>
      <c r="Y928" s="110" t="s">
        <v>2064</v>
      </c>
      <c r="Z928" s="110"/>
      <c r="AA928" s="110" t="s">
        <v>537</v>
      </c>
      <c r="AB928" s="110" t="s">
        <v>374</v>
      </c>
      <c r="AC928" s="110" t="s">
        <v>538</v>
      </c>
      <c r="AD928" s="110" t="n">
        <f aca="false">IF(OR(F928="",Q928="",R928=""),"",ROUND(IF(P928="incl.",F928/(1+Q928),F928)/IF(S928="per pack",R928,1),2))</f>
        <v>32.45</v>
      </c>
      <c r="AE928" s="110" t="str">
        <f aca="false">IF(AND(AC928="yes",ISNUMBER(F928),IF(Compare!$H$5="All mapped",TRUE(),IF(Compare!$H$5="EXACT only",J928="EXACT",OR(J928="EXACT",J928="CLOSE")))),"yes","no")</f>
        <v>yes</v>
      </c>
      <c r="AF928" s="110" t="n">
        <f aca="false">IF(ISNUMBER(H928),COUNTIFS($B$7:$B$3000,B928,$C$7:$C$3000,C928,$H$7:$H$3000,"&lt;"&amp;H928,$AH$7:$AH$3000,"yes")+COUNTIFS($B$7:B928,B928,$C$7:C928,C928,$H$7:H928,H928,$AH$7:AH928,"yes"),"")</f>
        <v>3</v>
      </c>
      <c r="AG928" s="110" t="n">
        <f aca="false">IF(ISNUMBER(I928),COUNTIFS($B$7:$B$3000,B928,$C$7:$C$3000,C928,$I$7:$I$3000,"&lt;"&amp;I928,$AI$7:$AI$3000,"yes")+COUNTIFS($B$7:B928,B928,$C$7:C928,C928,$I$7:I928,I928,$AI$7:AI928,"yes"),"")</f>
        <v>3</v>
      </c>
      <c r="AH928" s="110" t="str">
        <f aca="false">IF(ISNUMBER(H928),"yes","no")</f>
        <v>yes</v>
      </c>
      <c r="AI928" s="110" t="str">
        <f aca="false">IF(ISNUMBER(I928),"yes","no")</f>
        <v>yes</v>
      </c>
      <c r="AJ928" s="120" t="n">
        <v>46297</v>
      </c>
      <c r="AK928" s="110"/>
    </row>
    <row r="929" customFormat="false" ht="23.85" hidden="false" customHeight="false" outlineLevel="0" collapsed="false">
      <c r="B929" s="36" t="s">
        <v>68</v>
      </c>
      <c r="C929" s="98" t="s">
        <v>14</v>
      </c>
      <c r="D929" s="98" t="s">
        <v>378</v>
      </c>
      <c r="E929" s="110" t="s">
        <v>3113</v>
      </c>
      <c r="F929" s="99" t="n">
        <v>43.75</v>
      </c>
      <c r="G929" s="98" t="s">
        <v>374</v>
      </c>
      <c r="H929" s="112" t="n">
        <f aca="false">IF(AND(AE929="yes",ISNUMBER(AD929)),AD929,"")</f>
        <v>36.16</v>
      </c>
      <c r="I929" s="95" t="n">
        <f aca="false">IF(AND(AE929="yes",ISNUMBER(AD929),ISNUMBER(INDEX(Sources!$G$7:$G$10,MATCH(AB929,Sources!$B$7:$B$10,0)))),ROUND(AD929/INDEX(Sources!$G$7:$G$10,MATCH(AB929,Sources!$B$7:$B$10,0)),6),"")</f>
        <v>6.851545</v>
      </c>
      <c r="J929" s="98" t="s">
        <v>530</v>
      </c>
      <c r="K929" s="98" t="s">
        <v>2059</v>
      </c>
      <c r="L929" s="96"/>
      <c r="M929" s="110" t="s">
        <v>3114</v>
      </c>
      <c r="N929" s="117" t="s">
        <v>3115</v>
      </c>
      <c r="O929" s="110" t="s">
        <v>2917</v>
      </c>
      <c r="P929" s="110" t="s">
        <v>265</v>
      </c>
      <c r="Q929" s="118" t="n">
        <v>0.21</v>
      </c>
      <c r="R929" s="110" t="n">
        <v>1</v>
      </c>
      <c r="S929" s="110" t="s">
        <v>632</v>
      </c>
      <c r="T929" s="110" t="s">
        <v>530</v>
      </c>
      <c r="U929" s="110" t="s">
        <v>2918</v>
      </c>
      <c r="V929" s="119" t="n">
        <v>36.16</v>
      </c>
      <c r="W929" s="119"/>
      <c r="X929" s="110" t="s">
        <v>2063</v>
      </c>
      <c r="Y929" s="110" t="s">
        <v>2064</v>
      </c>
      <c r="Z929" s="110"/>
      <c r="AA929" s="110" t="s">
        <v>537</v>
      </c>
      <c r="AB929" s="110" t="s">
        <v>374</v>
      </c>
      <c r="AC929" s="110" t="s">
        <v>538</v>
      </c>
      <c r="AD929" s="110" t="n">
        <f aca="false">IF(OR(F929="",Q929="",R929=""),"",ROUND(IF(P929="incl.",F929/(1+Q929),F929)/IF(S929="per pack",R929,1),2))</f>
        <v>36.16</v>
      </c>
      <c r="AE929" s="110" t="str">
        <f aca="false">IF(AND(AC929="yes",ISNUMBER(F929),IF(Compare!$H$5="All mapped",TRUE(),IF(Compare!$H$5="EXACT only",J929="EXACT",OR(J929="EXACT",J929="CLOSE")))),"yes","no")</f>
        <v>yes</v>
      </c>
      <c r="AF929" s="110" t="n">
        <f aca="false">IF(ISNUMBER(H929),COUNTIFS($B$7:$B$3000,B929,$C$7:$C$3000,C929,$H$7:$H$3000,"&lt;"&amp;H929,$AH$7:$AH$3000,"yes")+COUNTIFS($B$7:B929,B929,$C$7:C929,C929,$H$7:H929,H929,$AH$7:AH929,"yes"),"")</f>
        <v>4</v>
      </c>
      <c r="AG929" s="110" t="n">
        <f aca="false">IF(ISNUMBER(I929),COUNTIFS($B$7:$B$3000,B929,$C$7:$C$3000,C929,$I$7:$I$3000,"&lt;"&amp;I929,$AI$7:$AI$3000,"yes")+COUNTIFS($B$7:B929,B929,$C$7:C929,C929,$I$7:I929,I929,$AI$7:AI929,"yes"),"")</f>
        <v>4</v>
      </c>
      <c r="AH929" s="110" t="str">
        <f aca="false">IF(ISNUMBER(H929),"yes","no")</f>
        <v>yes</v>
      </c>
      <c r="AI929" s="110" t="str">
        <f aca="false">IF(ISNUMBER(I929),"yes","no")</f>
        <v>yes</v>
      </c>
      <c r="AJ929" s="120" t="n">
        <v>46297</v>
      </c>
      <c r="AK929" s="110"/>
    </row>
    <row r="930" customFormat="false" ht="35.05" hidden="false" customHeight="false" outlineLevel="0" collapsed="false">
      <c r="B930" s="36" t="s">
        <v>68</v>
      </c>
      <c r="C930" s="98" t="s">
        <v>14</v>
      </c>
      <c r="D930" s="98" t="s">
        <v>346</v>
      </c>
      <c r="E930" s="110" t="s">
        <v>3116</v>
      </c>
      <c r="F930" s="99" t="n">
        <v>62.88</v>
      </c>
      <c r="G930" s="98" t="s">
        <v>374</v>
      </c>
      <c r="H930" s="112" t="n">
        <f aca="false">IF(AND(AE930="yes",ISNUMBER(AD930)),AD930,"")</f>
        <v>51.97</v>
      </c>
      <c r="I930" s="95" t="n">
        <f aca="false">IF(AND(AE930="yes",ISNUMBER(AD930),ISNUMBER(INDEX(Sources!$G$7:$G$10,MATCH(AB930,Sources!$B$7:$B$10,0)))),ROUND(AD930/INDEX(Sources!$G$7:$G$10,MATCH(AB930,Sources!$B$7:$B$10,0)),6),"")</f>
        <v>9.847201</v>
      </c>
      <c r="J930" s="98" t="s">
        <v>530</v>
      </c>
      <c r="K930" s="98" t="s">
        <v>2059</v>
      </c>
      <c r="L930" s="96"/>
      <c r="M930" s="110" t="s">
        <v>3117</v>
      </c>
      <c r="N930" s="117" t="s">
        <v>3118</v>
      </c>
      <c r="O930" s="110" t="s">
        <v>565</v>
      </c>
      <c r="P930" s="110" t="s">
        <v>265</v>
      </c>
      <c r="Q930" s="118" t="n">
        <v>0.21</v>
      </c>
      <c r="R930" s="110" t="n">
        <v>1</v>
      </c>
      <c r="S930" s="110" t="s">
        <v>632</v>
      </c>
      <c r="T930" s="110" t="s">
        <v>530</v>
      </c>
      <c r="U930" s="110" t="s">
        <v>2918</v>
      </c>
      <c r="V930" s="119" t="n">
        <v>51.97</v>
      </c>
      <c r="W930" s="119"/>
      <c r="X930" s="110" t="s">
        <v>2063</v>
      </c>
      <c r="Y930" s="110" t="s">
        <v>2064</v>
      </c>
      <c r="Z930" s="110"/>
      <c r="AA930" s="110" t="s">
        <v>537</v>
      </c>
      <c r="AB930" s="110" t="s">
        <v>374</v>
      </c>
      <c r="AC930" s="110" t="s">
        <v>538</v>
      </c>
      <c r="AD930" s="110" t="n">
        <f aca="false">IF(OR(F930="",Q930="",R930=""),"",ROUND(IF(P930="incl.",F930/(1+Q930),F930)/IF(S930="per pack",R930,1),2))</f>
        <v>51.97</v>
      </c>
      <c r="AE930" s="110" t="str">
        <f aca="false">IF(AND(AC930="yes",ISNUMBER(F930),IF(Compare!$H$5="All mapped",TRUE(),IF(Compare!$H$5="EXACT only",J930="EXACT",OR(J930="EXACT",J930="CLOSE")))),"yes","no")</f>
        <v>yes</v>
      </c>
      <c r="AF930" s="110" t="n">
        <f aca="false">IF(ISNUMBER(H930),COUNTIFS($B$7:$B$3000,B930,$C$7:$C$3000,C930,$H$7:$H$3000,"&lt;"&amp;H930,$AH$7:$AH$3000,"yes")+COUNTIFS($B$7:B930,B930,$C$7:C930,C930,$H$7:H930,H930,$AH$7:AH930,"yes"),"")</f>
        <v>5</v>
      </c>
      <c r="AG930" s="110" t="n">
        <f aca="false">IF(ISNUMBER(I930),COUNTIFS($B$7:$B$3000,B930,$C$7:$C$3000,C930,$I$7:$I$3000,"&lt;"&amp;I930,$AI$7:$AI$3000,"yes")+COUNTIFS($B$7:B930,B930,$C$7:C930,C930,$I$7:I930,I930,$AI$7:AI930,"yes"),"")</f>
        <v>5</v>
      </c>
      <c r="AH930" s="110" t="str">
        <f aca="false">IF(ISNUMBER(H930),"yes","no")</f>
        <v>yes</v>
      </c>
      <c r="AI930" s="110" t="str">
        <f aca="false">IF(ISNUMBER(I930),"yes","no")</f>
        <v>yes</v>
      </c>
      <c r="AJ930" s="120" t="n">
        <v>46297</v>
      </c>
      <c r="AK930" s="110"/>
    </row>
    <row r="931" customFormat="false" ht="23.85" hidden="false" customHeight="false" outlineLevel="0" collapsed="false">
      <c r="B931" s="36" t="s">
        <v>68</v>
      </c>
      <c r="C931" s="98" t="s">
        <v>14</v>
      </c>
      <c r="D931" s="98" t="s">
        <v>395</v>
      </c>
      <c r="E931" s="110" t="s">
        <v>3119</v>
      </c>
      <c r="F931" s="99" t="n">
        <v>4.35</v>
      </c>
      <c r="G931" s="98" t="s">
        <v>244</v>
      </c>
      <c r="H931" s="112" t="n">
        <f aca="false">IF(AND(AE931="yes",ISNUMBER(AD931)),AD931,"")</f>
        <v>4.35</v>
      </c>
      <c r="I931" s="95" t="n">
        <f aca="false">IF(AND(AE931="yes",ISNUMBER(AD931),ISNUMBER(INDEX(Sources!$G$7:$G$10,MATCH(AB931,Sources!$B$7:$B$10,0)))),ROUND(AD931/INDEX(Sources!$G$7:$G$10,MATCH(AB931,Sources!$B$7:$B$10,0)),6),"")</f>
        <v>4.35</v>
      </c>
      <c r="J931" s="98" t="s">
        <v>530</v>
      </c>
      <c r="K931" s="98" t="s">
        <v>2059</v>
      </c>
      <c r="L931" s="96"/>
      <c r="M931" s="110" t="s">
        <v>3120</v>
      </c>
      <c r="N931" s="117" t="s">
        <v>3121</v>
      </c>
      <c r="O931" s="110" t="s">
        <v>572</v>
      </c>
      <c r="P931" s="110" t="s">
        <v>590</v>
      </c>
      <c r="Q931" s="118" t="n">
        <v>0.21</v>
      </c>
      <c r="R931" s="110" t="n">
        <v>1</v>
      </c>
      <c r="S931" s="110" t="s">
        <v>632</v>
      </c>
      <c r="T931" s="110" t="s">
        <v>530</v>
      </c>
      <c r="U931" s="110" t="s">
        <v>2913</v>
      </c>
      <c r="V931" s="119" t="n">
        <v>4.35</v>
      </c>
      <c r="W931" s="119"/>
      <c r="X931" s="110" t="s">
        <v>2063</v>
      </c>
      <c r="Y931" s="110" t="s">
        <v>2064</v>
      </c>
      <c r="Z931" s="110" t="s">
        <v>2925</v>
      </c>
      <c r="AA931" s="110" t="s">
        <v>537</v>
      </c>
      <c r="AB931" s="110" t="s">
        <v>244</v>
      </c>
      <c r="AC931" s="110" t="s">
        <v>538</v>
      </c>
      <c r="AD931" s="110" t="n">
        <f aca="false">IF(OR(F931="",Q931="",R931=""),"",ROUND(IF(P931="incl.",F931/(1+Q931),F931)/IF(S931="per pack",R931,1),2))</f>
        <v>4.35</v>
      </c>
      <c r="AE931" s="110" t="str">
        <f aca="false">IF(AND(AC931="yes",ISNUMBER(F931),IF(Compare!$H$5="All mapped",TRUE(),IF(Compare!$H$5="EXACT only",J931="EXACT",OR(J931="EXACT",J931="CLOSE")))),"yes","no")</f>
        <v>yes</v>
      </c>
      <c r="AF931" s="110" t="n">
        <f aca="false">IF(ISNUMBER(H931),COUNTIFS($B$7:$B$3000,B931,$C$7:$C$3000,C931,$H$7:$H$3000,"&lt;"&amp;H931,$AH$7:$AH$3000,"yes")+COUNTIFS($B$7:B931,B931,$C$7:C931,C931,$H$7:H931,H931,$AH$7:AH931,"yes"),"")</f>
        <v>1</v>
      </c>
      <c r="AG931" s="110" t="n">
        <f aca="false">IF(ISNUMBER(I931),COUNTIFS($B$7:$B$3000,B931,$C$7:$C$3000,C931,$I$7:$I$3000,"&lt;"&amp;I931,$AI$7:$AI$3000,"yes")+COUNTIFS($B$7:B931,B931,$C$7:C931,C931,$I$7:I931,I931,$AI$7:AI931,"yes"),"")</f>
        <v>2</v>
      </c>
      <c r="AH931" s="110" t="str">
        <f aca="false">IF(ISNUMBER(H931),"yes","no")</f>
        <v>yes</v>
      </c>
      <c r="AI931" s="110" t="str">
        <f aca="false">IF(ISNUMBER(I931),"yes","no")</f>
        <v>yes</v>
      </c>
      <c r="AJ931" s="120" t="n">
        <v>46297</v>
      </c>
      <c r="AK931" s="110"/>
    </row>
    <row r="932" customFormat="false" ht="23.85" hidden="false" customHeight="false" outlineLevel="0" collapsed="false">
      <c r="B932" s="36" t="s">
        <v>68</v>
      </c>
      <c r="C932" s="98" t="s">
        <v>14</v>
      </c>
      <c r="D932" s="98" t="s">
        <v>403</v>
      </c>
      <c r="E932" s="110" t="s">
        <v>3122</v>
      </c>
      <c r="F932" s="99" t="n">
        <v>17.73</v>
      </c>
      <c r="G932" s="98" t="s">
        <v>374</v>
      </c>
      <c r="H932" s="112" t="n">
        <f aca="false">IF(AND(AE932="yes",ISNUMBER(AD932)),AD932,"")</f>
        <v>17.73</v>
      </c>
      <c r="I932" s="95" t="n">
        <f aca="false">IF(AND(AE932="yes",ISNUMBER(AD932),ISNUMBER(INDEX(Sources!$G$7:$G$10,MATCH(AB932,Sources!$B$7:$B$10,0)))),ROUND(AD932/INDEX(Sources!$G$7:$G$10,MATCH(AB932,Sources!$B$7:$B$10,0)),6),"")</f>
        <v>3.359455</v>
      </c>
      <c r="J932" s="98" t="s">
        <v>530</v>
      </c>
      <c r="K932" s="98" t="s">
        <v>2059</v>
      </c>
      <c r="L932" s="96"/>
      <c r="M932" s="110" t="s">
        <v>3123</v>
      </c>
      <c r="N932" s="117" t="s">
        <v>3124</v>
      </c>
      <c r="O932" s="110" t="s">
        <v>1138</v>
      </c>
      <c r="P932" s="110" t="s">
        <v>590</v>
      </c>
      <c r="Q932" s="118" t="n">
        <v>0.21</v>
      </c>
      <c r="R932" s="110" t="n">
        <v>1</v>
      </c>
      <c r="S932" s="110" t="s">
        <v>632</v>
      </c>
      <c r="T932" s="110" t="s">
        <v>530</v>
      </c>
      <c r="U932" s="110" t="s">
        <v>2913</v>
      </c>
      <c r="V932" s="119" t="n">
        <v>17.73</v>
      </c>
      <c r="W932" s="119"/>
      <c r="X932" s="110" t="s">
        <v>2063</v>
      </c>
      <c r="Y932" s="110" t="s">
        <v>2064</v>
      </c>
      <c r="Z932" s="110"/>
      <c r="AA932" s="110" t="s">
        <v>537</v>
      </c>
      <c r="AB932" s="110" t="s">
        <v>374</v>
      </c>
      <c r="AC932" s="110" t="s">
        <v>538</v>
      </c>
      <c r="AD932" s="110" t="n">
        <f aca="false">IF(OR(F932="",Q932="",R932=""),"",ROUND(IF(P932="incl.",F932/(1+Q932),F932)/IF(S932="per pack",R932,1),2))</f>
        <v>17.73</v>
      </c>
      <c r="AE932" s="110" t="str">
        <f aca="false">IF(AND(AC932="yes",ISNUMBER(F932),IF(Compare!$H$5="All mapped",TRUE(),IF(Compare!$H$5="EXACT only",J932="EXACT",OR(J932="EXACT",J932="CLOSE")))),"yes","no")</f>
        <v>yes</v>
      </c>
      <c r="AF932" s="110" t="n">
        <f aca="false">IF(ISNUMBER(H932),COUNTIFS($B$7:$B$3000,B932,$C$7:$C$3000,C932,$H$7:$H$3000,"&lt;"&amp;H932,$AH$7:$AH$3000,"yes")+COUNTIFS($B$7:B932,B932,$C$7:C932,C932,$H$7:H932,H932,$AH$7:AH932,"yes"),"")</f>
        <v>2</v>
      </c>
      <c r="AG932" s="110" t="n">
        <f aca="false">IF(ISNUMBER(I932),COUNTIFS($B$7:$B$3000,B932,$C$7:$C$3000,C932,$I$7:$I$3000,"&lt;"&amp;I932,$AI$7:$AI$3000,"yes")+COUNTIFS($B$7:B932,B932,$C$7:C932,C932,$I$7:I932,I932,$AI$7:AI932,"yes"),"")</f>
        <v>1</v>
      </c>
      <c r="AH932" s="110" t="str">
        <f aca="false">IF(ISNUMBER(H932),"yes","no")</f>
        <v>yes</v>
      </c>
      <c r="AI932" s="110" t="str">
        <f aca="false">IF(ISNUMBER(I932),"yes","no")</f>
        <v>yes</v>
      </c>
      <c r="AJ932" s="120" t="n">
        <v>46297</v>
      </c>
      <c r="AK932" s="110"/>
    </row>
    <row r="933" customFormat="false" ht="35.05" hidden="false" customHeight="false" outlineLevel="0" collapsed="false">
      <c r="B933" s="36" t="s">
        <v>68</v>
      </c>
      <c r="C933" s="98" t="s">
        <v>15</v>
      </c>
      <c r="D933" s="98" t="s">
        <v>243</v>
      </c>
      <c r="E933" s="110" t="s">
        <v>3125</v>
      </c>
      <c r="F933" s="99" t="n">
        <v>2.4</v>
      </c>
      <c r="G933" s="98" t="s">
        <v>244</v>
      </c>
      <c r="H933" s="112" t="n">
        <f aca="false">IF(AND(AE933="yes",ISNUMBER(AD933)),AD933,"")</f>
        <v>2.4</v>
      </c>
      <c r="I933" s="95" t="n">
        <f aca="false">IF(AND(AE933="yes",ISNUMBER(AD933),ISNUMBER(INDEX(Sources!$G$7:$G$10,MATCH(AB933,Sources!$B$7:$B$10,0)))),ROUND(AD933/INDEX(Sources!$G$7:$G$10,MATCH(AB933,Sources!$B$7:$B$10,0)),6),"")</f>
        <v>2.4</v>
      </c>
      <c r="J933" s="98" t="s">
        <v>530</v>
      </c>
      <c r="K933" s="98" t="s">
        <v>2059</v>
      </c>
      <c r="L933" s="96"/>
      <c r="M933" s="110" t="s">
        <v>3126</v>
      </c>
      <c r="N933" s="117" t="s">
        <v>3127</v>
      </c>
      <c r="O933" s="110" t="s">
        <v>2932</v>
      </c>
      <c r="P933" s="110" t="s">
        <v>590</v>
      </c>
      <c r="Q933" s="118" t="n">
        <v>0.2</v>
      </c>
      <c r="R933" s="110" t="n">
        <v>1</v>
      </c>
      <c r="S933" s="110" t="s">
        <v>632</v>
      </c>
      <c r="T933" s="110" t="s">
        <v>530</v>
      </c>
      <c r="U933" s="110" t="s">
        <v>2913</v>
      </c>
      <c r="V933" s="119" t="n">
        <v>2.4</v>
      </c>
      <c r="W933" s="119"/>
      <c r="X933" s="110" t="s">
        <v>2063</v>
      </c>
      <c r="Y933" s="110" t="s">
        <v>2064</v>
      </c>
      <c r="Z933" s="110" t="s">
        <v>3128</v>
      </c>
      <c r="AA933" s="110" t="s">
        <v>537</v>
      </c>
      <c r="AB933" s="110" t="s">
        <v>244</v>
      </c>
      <c r="AC933" s="110" t="s">
        <v>538</v>
      </c>
      <c r="AD933" s="110" t="n">
        <f aca="false">IF(OR(F933="",Q933="",R933=""),"",ROUND(IF(P933="incl.",F933/(1+Q933),F933)/IF(S933="per pack",R933,1),2))</f>
        <v>2.4</v>
      </c>
      <c r="AE933" s="110" t="str">
        <f aca="false">IF(AND(AC933="yes",ISNUMBER(F933),IF(Compare!$H$5="All mapped",TRUE(),IF(Compare!$H$5="EXACT only",J933="EXACT",OR(J933="EXACT",J933="CLOSE")))),"yes","no")</f>
        <v>yes</v>
      </c>
      <c r="AF933" s="110" t="n">
        <f aca="false">IF(ISNUMBER(H933),COUNTIFS($B$7:$B$3000,B933,$C$7:$C$3000,C933,$H$7:$H$3000,"&lt;"&amp;H933,$AH$7:$AH$3000,"yes")+COUNTIFS($B$7:B933,B933,$C$7:C933,C933,$H$7:H933,H933,$AH$7:AH933,"yes"),"")</f>
        <v>1</v>
      </c>
      <c r="AG933" s="110" t="n">
        <f aca="false">IF(ISNUMBER(I933),COUNTIFS($B$7:$B$3000,B933,$C$7:$C$3000,C933,$I$7:$I$3000,"&lt;"&amp;I933,$AI$7:$AI$3000,"yes")+COUNTIFS($B$7:B933,B933,$C$7:C933,C933,$I$7:I933,I933,$AI$7:AI933,"yes"),"")</f>
        <v>1</v>
      </c>
      <c r="AH933" s="110" t="str">
        <f aca="false">IF(ISNUMBER(H933),"yes","no")</f>
        <v>yes</v>
      </c>
      <c r="AI933" s="110" t="str">
        <f aca="false">IF(ISNUMBER(I933),"yes","no")</f>
        <v>yes</v>
      </c>
      <c r="AJ933" s="120" t="n">
        <v>46297</v>
      </c>
      <c r="AK933" s="110"/>
    </row>
    <row r="934" customFormat="false" ht="35.05" hidden="false" customHeight="false" outlineLevel="0" collapsed="false">
      <c r="B934" s="36" t="s">
        <v>68</v>
      </c>
      <c r="C934" s="98" t="s">
        <v>15</v>
      </c>
      <c r="D934" s="98" t="s">
        <v>257</v>
      </c>
      <c r="E934" s="110" t="s">
        <v>3129</v>
      </c>
      <c r="F934" s="99" t="n">
        <v>15</v>
      </c>
      <c r="G934" s="98" t="s">
        <v>244</v>
      </c>
      <c r="H934" s="112" t="n">
        <f aca="false">IF(AND(AE934="yes",ISNUMBER(AD934)),AD934,"")</f>
        <v>15</v>
      </c>
      <c r="I934" s="95" t="n">
        <f aca="false">IF(AND(AE934="yes",ISNUMBER(AD934),ISNUMBER(INDEX(Sources!$G$7:$G$10,MATCH(AB934,Sources!$B$7:$B$10,0)))),ROUND(AD934/INDEX(Sources!$G$7:$G$10,MATCH(AB934,Sources!$B$7:$B$10,0)),6),"")</f>
        <v>15</v>
      </c>
      <c r="J934" s="98" t="s">
        <v>530</v>
      </c>
      <c r="K934" s="98" t="s">
        <v>2059</v>
      </c>
      <c r="L934" s="96"/>
      <c r="M934" s="110" t="s">
        <v>3130</v>
      </c>
      <c r="N934" s="117" t="s">
        <v>3131</v>
      </c>
      <c r="O934" s="110" t="s">
        <v>1576</v>
      </c>
      <c r="P934" s="110" t="s">
        <v>590</v>
      </c>
      <c r="Q934" s="118" t="n">
        <v>0.2</v>
      </c>
      <c r="R934" s="110" t="n">
        <v>1</v>
      </c>
      <c r="S934" s="110" t="s">
        <v>632</v>
      </c>
      <c r="T934" s="110" t="s">
        <v>530</v>
      </c>
      <c r="U934" s="110" t="s">
        <v>2913</v>
      </c>
      <c r="V934" s="119" t="n">
        <v>15</v>
      </c>
      <c r="W934" s="119"/>
      <c r="X934" s="110" t="s">
        <v>2063</v>
      </c>
      <c r="Y934" s="110" t="s">
        <v>2064</v>
      </c>
      <c r="Z934" s="110" t="s">
        <v>2936</v>
      </c>
      <c r="AA934" s="110" t="s">
        <v>537</v>
      </c>
      <c r="AB934" s="110" t="s">
        <v>244</v>
      </c>
      <c r="AC934" s="110" t="s">
        <v>538</v>
      </c>
      <c r="AD934" s="110" t="n">
        <f aca="false">IF(OR(F934="",Q934="",R934=""),"",ROUND(IF(P934="incl.",F934/(1+Q934),F934)/IF(S934="per pack",R934,1),2))</f>
        <v>15</v>
      </c>
      <c r="AE934" s="110" t="str">
        <f aca="false">IF(AND(AC934="yes",ISNUMBER(F934),IF(Compare!$H$5="All mapped",TRUE(),IF(Compare!$H$5="EXACT only",J934="EXACT",OR(J934="EXACT",J934="CLOSE")))),"yes","no")</f>
        <v>yes</v>
      </c>
      <c r="AF934" s="110" t="n">
        <f aca="false">IF(ISNUMBER(H934),COUNTIFS($B$7:$B$3000,B934,$C$7:$C$3000,C934,$H$7:$H$3000,"&lt;"&amp;H934,$AH$7:$AH$3000,"yes")+COUNTIFS($B$7:B934,B934,$C$7:C934,C934,$H$7:H934,H934,$AH$7:AH934,"yes"),"")</f>
        <v>6</v>
      </c>
      <c r="AG934" s="110" t="n">
        <f aca="false">IF(ISNUMBER(I934),COUNTIFS($B$7:$B$3000,B934,$C$7:$C$3000,C934,$I$7:$I$3000,"&lt;"&amp;I934,$AI$7:$AI$3000,"yes")+COUNTIFS($B$7:B934,B934,$C$7:C934,C934,$I$7:I934,I934,$AI$7:AI934,"yes"),"")</f>
        <v>6</v>
      </c>
      <c r="AH934" s="110" t="str">
        <f aca="false">IF(ISNUMBER(H934),"yes","no")</f>
        <v>yes</v>
      </c>
      <c r="AI934" s="110" t="str">
        <f aca="false">IF(ISNUMBER(I934),"yes","no")</f>
        <v>yes</v>
      </c>
      <c r="AJ934" s="120" t="n">
        <v>46297</v>
      </c>
      <c r="AK934" s="110"/>
    </row>
    <row r="935" customFormat="false" ht="35.05" hidden="false" customHeight="false" outlineLevel="0" collapsed="false">
      <c r="B935" s="36" t="s">
        <v>68</v>
      </c>
      <c r="C935" s="98" t="s">
        <v>15</v>
      </c>
      <c r="D935" s="98" t="s">
        <v>269</v>
      </c>
      <c r="E935" s="110" t="s">
        <v>3132</v>
      </c>
      <c r="F935" s="99" t="n">
        <v>5.79</v>
      </c>
      <c r="G935" s="98" t="s">
        <v>244</v>
      </c>
      <c r="H935" s="112" t="n">
        <f aca="false">IF(AND(AE935="yes",ISNUMBER(AD935)),AD935,"")</f>
        <v>5.79</v>
      </c>
      <c r="I935" s="95" t="n">
        <f aca="false">IF(AND(AE935="yes",ISNUMBER(AD935),ISNUMBER(INDEX(Sources!$G$7:$G$10,MATCH(AB935,Sources!$B$7:$B$10,0)))),ROUND(AD935/INDEX(Sources!$G$7:$G$10,MATCH(AB935,Sources!$B$7:$B$10,0)),6),"")</f>
        <v>5.79</v>
      </c>
      <c r="J935" s="98" t="s">
        <v>530</v>
      </c>
      <c r="K935" s="98" t="s">
        <v>2059</v>
      </c>
      <c r="L935" s="96"/>
      <c r="M935" s="110" t="s">
        <v>3133</v>
      </c>
      <c r="N935" s="117" t="s">
        <v>3134</v>
      </c>
      <c r="O935" s="110" t="s">
        <v>598</v>
      </c>
      <c r="P935" s="110" t="s">
        <v>590</v>
      </c>
      <c r="Q935" s="118" t="n">
        <v>0.2</v>
      </c>
      <c r="R935" s="110" t="n">
        <v>1</v>
      </c>
      <c r="S935" s="110" t="s">
        <v>632</v>
      </c>
      <c r="T935" s="110" t="s">
        <v>530</v>
      </c>
      <c r="U935" s="110" t="s">
        <v>2913</v>
      </c>
      <c r="V935" s="119" t="n">
        <v>5.79</v>
      </c>
      <c r="W935" s="119"/>
      <c r="X935" s="110" t="s">
        <v>2063</v>
      </c>
      <c r="Y935" s="110" t="s">
        <v>2064</v>
      </c>
      <c r="Z935" s="110" t="s">
        <v>2940</v>
      </c>
      <c r="AA935" s="110" t="s">
        <v>537</v>
      </c>
      <c r="AB935" s="110" t="s">
        <v>244</v>
      </c>
      <c r="AC935" s="110" t="s">
        <v>538</v>
      </c>
      <c r="AD935" s="110" t="n">
        <f aca="false">IF(OR(F935="",Q935="",R935=""),"",ROUND(IF(P935="incl.",F935/(1+Q935),F935)/IF(S935="per pack",R935,1),2))</f>
        <v>5.79</v>
      </c>
      <c r="AE935" s="110" t="str">
        <f aca="false">IF(AND(AC935="yes",ISNUMBER(F935),IF(Compare!$H$5="All mapped",TRUE(),IF(Compare!$H$5="EXACT only",J935="EXACT",OR(J935="EXACT",J935="CLOSE")))),"yes","no")</f>
        <v>yes</v>
      </c>
      <c r="AF935" s="110" t="n">
        <f aca="false">IF(ISNUMBER(H935),COUNTIFS($B$7:$B$3000,B935,$C$7:$C$3000,C935,$H$7:$H$3000,"&lt;"&amp;H935,$AH$7:$AH$3000,"yes")+COUNTIFS($B$7:B935,B935,$C$7:C935,C935,$H$7:H935,H935,$AH$7:AH935,"yes"),"")</f>
        <v>2</v>
      </c>
      <c r="AG935" s="110" t="n">
        <f aca="false">IF(ISNUMBER(I935),COUNTIFS($B$7:$B$3000,B935,$C$7:$C$3000,C935,$I$7:$I$3000,"&lt;"&amp;I935,$AI$7:$AI$3000,"yes")+COUNTIFS($B$7:B935,B935,$C$7:C935,C935,$I$7:I935,I935,$AI$7:AI935,"yes"),"")</f>
        <v>2</v>
      </c>
      <c r="AH935" s="110" t="str">
        <f aca="false">IF(ISNUMBER(H935),"yes","no")</f>
        <v>yes</v>
      </c>
      <c r="AI935" s="110" t="str">
        <f aca="false">IF(ISNUMBER(I935),"yes","no")</f>
        <v>yes</v>
      </c>
      <c r="AJ935" s="120" t="n">
        <v>46297</v>
      </c>
      <c r="AK935" s="110"/>
    </row>
    <row r="936" customFormat="false" ht="23.85" hidden="false" customHeight="false" outlineLevel="0" collapsed="false">
      <c r="B936" s="36" t="s">
        <v>68</v>
      </c>
      <c r="C936" s="98" t="s">
        <v>15</v>
      </c>
      <c r="D936" s="98" t="s">
        <v>264</v>
      </c>
      <c r="E936" s="110" t="s">
        <v>3135</v>
      </c>
      <c r="F936" s="99" t="n">
        <v>16</v>
      </c>
      <c r="G936" s="98" t="s">
        <v>244</v>
      </c>
      <c r="H936" s="112" t="n">
        <f aca="false">IF(AND(AE936="yes",ISNUMBER(AD936)),AD936,"")</f>
        <v>16</v>
      </c>
      <c r="I936" s="95" t="n">
        <f aca="false">IF(AND(AE936="yes",ISNUMBER(AD936),ISNUMBER(INDEX(Sources!$G$7:$G$10,MATCH(AB936,Sources!$B$7:$B$10,0)))),ROUND(AD936/INDEX(Sources!$G$7:$G$10,MATCH(AB936,Sources!$B$7:$B$10,0)),6),"")</f>
        <v>16</v>
      </c>
      <c r="J936" s="98" t="s">
        <v>530</v>
      </c>
      <c r="K936" s="98" t="s">
        <v>2059</v>
      </c>
      <c r="L936" s="96"/>
      <c r="M936" s="110" t="s">
        <v>3136</v>
      </c>
      <c r="N936" s="117" t="s">
        <v>3137</v>
      </c>
      <c r="O936" s="110" t="s">
        <v>2944</v>
      </c>
      <c r="P936" s="110" t="s">
        <v>590</v>
      </c>
      <c r="Q936" s="118" t="n">
        <v>0.2</v>
      </c>
      <c r="R936" s="110" t="n">
        <v>1</v>
      </c>
      <c r="S936" s="110" t="s">
        <v>632</v>
      </c>
      <c r="T936" s="110" t="s">
        <v>530</v>
      </c>
      <c r="U936" s="110" t="s">
        <v>2913</v>
      </c>
      <c r="V936" s="119" t="n">
        <v>16</v>
      </c>
      <c r="W936" s="119"/>
      <c r="X936" s="110" t="s">
        <v>2063</v>
      </c>
      <c r="Y936" s="110" t="s">
        <v>2064</v>
      </c>
      <c r="Z936" s="110"/>
      <c r="AA936" s="110" t="s">
        <v>537</v>
      </c>
      <c r="AB936" s="110" t="s">
        <v>244</v>
      </c>
      <c r="AC936" s="110" t="s">
        <v>538</v>
      </c>
      <c r="AD936" s="110" t="n">
        <f aca="false">IF(OR(F936="",Q936="",R936=""),"",ROUND(IF(P936="incl.",F936/(1+Q936),F936)/IF(S936="per pack",R936,1),2))</f>
        <v>16</v>
      </c>
      <c r="AE936" s="110" t="str">
        <f aca="false">IF(AND(AC936="yes",ISNUMBER(F936),IF(Compare!$H$5="All mapped",TRUE(),IF(Compare!$H$5="EXACT only",J936="EXACT",OR(J936="EXACT",J936="CLOSE")))),"yes","no")</f>
        <v>yes</v>
      </c>
      <c r="AF936" s="110" t="n">
        <f aca="false">IF(ISNUMBER(H936),COUNTIFS($B$7:$B$3000,B936,$C$7:$C$3000,C936,$H$7:$H$3000,"&lt;"&amp;H936,$AH$7:$AH$3000,"yes")+COUNTIFS($B$7:B936,B936,$C$7:C936,C936,$H$7:H936,H936,$AH$7:AH936,"yes"),"")</f>
        <v>7</v>
      </c>
      <c r="AG936" s="110" t="n">
        <f aca="false">IF(ISNUMBER(I936),COUNTIFS($B$7:$B$3000,B936,$C$7:$C$3000,C936,$I$7:$I$3000,"&lt;"&amp;I936,$AI$7:$AI$3000,"yes")+COUNTIFS($B$7:B936,B936,$C$7:C936,C936,$I$7:I936,I936,$AI$7:AI936,"yes"),"")</f>
        <v>7</v>
      </c>
      <c r="AH936" s="110" t="str">
        <f aca="false">IF(ISNUMBER(H936),"yes","no")</f>
        <v>yes</v>
      </c>
      <c r="AI936" s="110" t="str">
        <f aca="false">IF(ISNUMBER(I936),"yes","no")</f>
        <v>yes</v>
      </c>
      <c r="AJ936" s="120" t="n">
        <v>46297</v>
      </c>
      <c r="AK936" s="110"/>
    </row>
    <row r="937" customFormat="false" ht="35.05" hidden="false" customHeight="false" outlineLevel="0" collapsed="false">
      <c r="B937" s="36" t="s">
        <v>68</v>
      </c>
      <c r="C937" s="98" t="s">
        <v>15</v>
      </c>
      <c r="D937" s="98" t="s">
        <v>273</v>
      </c>
      <c r="E937" s="110" t="s">
        <v>3138</v>
      </c>
      <c r="F937" s="99" t="n">
        <v>13.49</v>
      </c>
      <c r="G937" s="98" t="s">
        <v>244</v>
      </c>
      <c r="H937" s="112" t="n">
        <f aca="false">IF(AND(AE937="yes",ISNUMBER(AD937)),AD937,"")</f>
        <v>11.24</v>
      </c>
      <c r="I937" s="95" t="n">
        <f aca="false">IF(AND(AE937="yes",ISNUMBER(AD937),ISNUMBER(INDEX(Sources!$G$7:$G$10,MATCH(AB937,Sources!$B$7:$B$10,0)))),ROUND(AD937/INDEX(Sources!$G$7:$G$10,MATCH(AB937,Sources!$B$7:$B$10,0)),6),"")</f>
        <v>11.24</v>
      </c>
      <c r="J937" s="98" t="s">
        <v>530</v>
      </c>
      <c r="K937" s="98" t="s">
        <v>2059</v>
      </c>
      <c r="L937" s="96"/>
      <c r="M937" s="110" t="s">
        <v>3139</v>
      </c>
      <c r="N937" s="117" t="s">
        <v>3140</v>
      </c>
      <c r="O937" s="110" t="s">
        <v>598</v>
      </c>
      <c r="P937" s="110" t="s">
        <v>265</v>
      </c>
      <c r="Q937" s="118" t="n">
        <v>0.2</v>
      </c>
      <c r="R937" s="110" t="n">
        <v>1</v>
      </c>
      <c r="S937" s="110" t="s">
        <v>632</v>
      </c>
      <c r="T937" s="110" t="s">
        <v>530</v>
      </c>
      <c r="U937" s="110" t="s">
        <v>2918</v>
      </c>
      <c r="V937" s="119" t="n">
        <v>11.24</v>
      </c>
      <c r="W937" s="119"/>
      <c r="X937" s="110" t="s">
        <v>2063</v>
      </c>
      <c r="Y937" s="110" t="s">
        <v>2064</v>
      </c>
      <c r="Z937" s="110" t="s">
        <v>2130</v>
      </c>
      <c r="AA937" s="110" t="s">
        <v>537</v>
      </c>
      <c r="AB937" s="110" t="s">
        <v>244</v>
      </c>
      <c r="AC937" s="110" t="s">
        <v>538</v>
      </c>
      <c r="AD937" s="110" t="n">
        <f aca="false">IF(OR(F937="",Q937="",R937=""),"",ROUND(IF(P937="incl.",F937/(1+Q937),F937)/IF(S937="per pack",R937,1),2))</f>
        <v>11.24</v>
      </c>
      <c r="AE937" s="110" t="str">
        <f aca="false">IF(AND(AC937="yes",ISNUMBER(F937),IF(Compare!$H$5="All mapped",TRUE(),IF(Compare!$H$5="EXACT only",J937="EXACT",OR(J937="EXACT",J937="CLOSE")))),"yes","no")</f>
        <v>yes</v>
      </c>
      <c r="AF937" s="110" t="n">
        <f aca="false">IF(ISNUMBER(H937),COUNTIFS($B$7:$B$3000,B937,$C$7:$C$3000,C937,$H$7:$H$3000,"&lt;"&amp;H937,$AH$7:$AH$3000,"yes")+COUNTIFS($B$7:B937,B937,$C$7:C937,C937,$H$7:H937,H937,$AH$7:AH937,"yes"),"")</f>
        <v>5</v>
      </c>
      <c r="AG937" s="110" t="n">
        <f aca="false">IF(ISNUMBER(I937),COUNTIFS($B$7:$B$3000,B937,$C$7:$C$3000,C937,$I$7:$I$3000,"&lt;"&amp;I937,$AI$7:$AI$3000,"yes")+COUNTIFS($B$7:B937,B937,$C$7:C937,C937,$I$7:I937,I937,$AI$7:AI937,"yes"),"")</f>
        <v>5</v>
      </c>
      <c r="AH937" s="110" t="str">
        <f aca="false">IF(ISNUMBER(H937),"yes","no")</f>
        <v>yes</v>
      </c>
      <c r="AI937" s="110" t="str">
        <f aca="false">IF(ISNUMBER(I937),"yes","no")</f>
        <v>yes</v>
      </c>
      <c r="AJ937" s="120" t="n">
        <v>46297</v>
      </c>
      <c r="AK937" s="110"/>
    </row>
    <row r="938" customFormat="false" ht="46.25" hidden="false" customHeight="false" outlineLevel="0" collapsed="false">
      <c r="B938" s="36" t="s">
        <v>68</v>
      </c>
      <c r="C938" s="98" t="s">
        <v>15</v>
      </c>
      <c r="D938" s="98" t="s">
        <v>281</v>
      </c>
      <c r="E938" s="110" t="s">
        <v>3141</v>
      </c>
      <c r="F938" s="99" t="n">
        <v>6.9</v>
      </c>
      <c r="G938" s="98" t="s">
        <v>244</v>
      </c>
      <c r="H938" s="112" t="n">
        <f aca="false">IF(AND(AE938="yes",ISNUMBER(AD938)),AD938,"")</f>
        <v>6.9</v>
      </c>
      <c r="I938" s="95" t="n">
        <f aca="false">IF(AND(AE938="yes",ISNUMBER(AD938),ISNUMBER(INDEX(Sources!$G$7:$G$10,MATCH(AB938,Sources!$B$7:$B$10,0)))),ROUND(AD938/INDEX(Sources!$G$7:$G$10,MATCH(AB938,Sources!$B$7:$B$10,0)),6),"")</f>
        <v>6.9</v>
      </c>
      <c r="J938" s="98" t="s">
        <v>530</v>
      </c>
      <c r="K938" s="98" t="s">
        <v>2059</v>
      </c>
      <c r="L938" s="96"/>
      <c r="M938" s="110" t="s">
        <v>3142</v>
      </c>
      <c r="N938" s="117" t="s">
        <v>3143</v>
      </c>
      <c r="O938" s="110" t="s">
        <v>2952</v>
      </c>
      <c r="P938" s="110" t="s">
        <v>590</v>
      </c>
      <c r="Q938" s="118" t="n">
        <v>0.2</v>
      </c>
      <c r="R938" s="110" t="n">
        <v>1</v>
      </c>
      <c r="S938" s="110" t="s">
        <v>632</v>
      </c>
      <c r="T938" s="110" t="s">
        <v>530</v>
      </c>
      <c r="U938" s="110" t="s">
        <v>2913</v>
      </c>
      <c r="V938" s="119" t="n">
        <v>6.9</v>
      </c>
      <c r="W938" s="119"/>
      <c r="X938" s="110" t="s">
        <v>2063</v>
      </c>
      <c r="Y938" s="110" t="s">
        <v>2064</v>
      </c>
      <c r="Z938" s="110" t="s">
        <v>2953</v>
      </c>
      <c r="AA938" s="110" t="s">
        <v>537</v>
      </c>
      <c r="AB938" s="110" t="s">
        <v>244</v>
      </c>
      <c r="AC938" s="110" t="s">
        <v>538</v>
      </c>
      <c r="AD938" s="110" t="n">
        <f aca="false">IF(OR(F938="",Q938="",R938=""),"",ROUND(IF(P938="incl.",F938/(1+Q938),F938)/IF(S938="per pack",R938,1),2))</f>
        <v>6.9</v>
      </c>
      <c r="AE938" s="110" t="str">
        <f aca="false">IF(AND(AC938="yes",ISNUMBER(F938),IF(Compare!$H$5="All mapped",TRUE(),IF(Compare!$H$5="EXACT only",J938="EXACT",OR(J938="EXACT",J938="CLOSE")))),"yes","no")</f>
        <v>yes</v>
      </c>
      <c r="AF938" s="110" t="n">
        <f aca="false">IF(ISNUMBER(H938),COUNTIFS($B$7:$B$3000,B938,$C$7:$C$3000,C938,$H$7:$H$3000,"&lt;"&amp;H938,$AH$7:$AH$3000,"yes")+COUNTIFS($B$7:B938,B938,$C$7:C938,C938,$H$7:H938,H938,$AH$7:AH938,"yes"),"")</f>
        <v>3</v>
      </c>
      <c r="AG938" s="110" t="n">
        <f aca="false">IF(ISNUMBER(I938),COUNTIFS($B$7:$B$3000,B938,$C$7:$C$3000,C938,$I$7:$I$3000,"&lt;"&amp;I938,$AI$7:$AI$3000,"yes")+COUNTIFS($B$7:B938,B938,$C$7:C938,C938,$I$7:I938,I938,$AI$7:AI938,"yes"),"")</f>
        <v>3</v>
      </c>
      <c r="AH938" s="110" t="str">
        <f aca="false">IF(ISNUMBER(H938),"yes","no")</f>
        <v>yes</v>
      </c>
      <c r="AI938" s="110" t="str">
        <f aca="false">IF(ISNUMBER(I938),"yes","no")</f>
        <v>yes</v>
      </c>
      <c r="AJ938" s="120" t="n">
        <v>46297</v>
      </c>
      <c r="AK938" s="110"/>
    </row>
    <row r="939" customFormat="false" ht="35.05" hidden="false" customHeight="false" outlineLevel="0" collapsed="false">
      <c r="B939" s="36" t="s">
        <v>68</v>
      </c>
      <c r="C939" s="98" t="s">
        <v>15</v>
      </c>
      <c r="D939" s="98" t="s">
        <v>293</v>
      </c>
      <c r="E939" s="110" t="s">
        <v>3144</v>
      </c>
      <c r="F939" s="99" t="n">
        <v>7.1</v>
      </c>
      <c r="G939" s="98" t="s">
        <v>244</v>
      </c>
      <c r="H939" s="112" t="n">
        <f aca="false">IF(AND(AE939="yes",ISNUMBER(AD939)),AD939,"")</f>
        <v>7.1</v>
      </c>
      <c r="I939" s="95" t="n">
        <f aca="false">IF(AND(AE939="yes",ISNUMBER(AD939),ISNUMBER(INDEX(Sources!$G$7:$G$10,MATCH(AB939,Sources!$B$7:$B$10,0)))),ROUND(AD939/INDEX(Sources!$G$7:$G$10,MATCH(AB939,Sources!$B$7:$B$10,0)),6),"")</f>
        <v>7.1</v>
      </c>
      <c r="J939" s="98" t="s">
        <v>530</v>
      </c>
      <c r="K939" s="98" t="s">
        <v>2059</v>
      </c>
      <c r="L939" s="96"/>
      <c r="M939" s="110" t="s">
        <v>3145</v>
      </c>
      <c r="N939" s="117" t="s">
        <v>3146</v>
      </c>
      <c r="O939" s="110" t="s">
        <v>3063</v>
      </c>
      <c r="P939" s="110" t="s">
        <v>590</v>
      </c>
      <c r="Q939" s="118" t="n">
        <v>0.2</v>
      </c>
      <c r="R939" s="110" t="n">
        <v>1</v>
      </c>
      <c r="S939" s="110" t="s">
        <v>632</v>
      </c>
      <c r="T939" s="110" t="s">
        <v>530</v>
      </c>
      <c r="U939" s="110" t="s">
        <v>2913</v>
      </c>
      <c r="V939" s="119" t="n">
        <v>7.1</v>
      </c>
      <c r="W939" s="119"/>
      <c r="X939" s="110" t="s">
        <v>2063</v>
      </c>
      <c r="Y939" s="110" t="s">
        <v>2064</v>
      </c>
      <c r="Z939" s="110" t="s">
        <v>3064</v>
      </c>
      <c r="AA939" s="110" t="s">
        <v>537</v>
      </c>
      <c r="AB939" s="110" t="s">
        <v>244</v>
      </c>
      <c r="AC939" s="110" t="s">
        <v>538</v>
      </c>
      <c r="AD939" s="110" t="n">
        <f aca="false">IF(OR(F939="",Q939="",R939=""),"",ROUND(IF(P939="incl.",F939/(1+Q939),F939)/IF(S939="per pack",R939,1),2))</f>
        <v>7.1</v>
      </c>
      <c r="AE939" s="110" t="str">
        <f aca="false">IF(AND(AC939="yes",ISNUMBER(F939),IF(Compare!$H$5="All mapped",TRUE(),IF(Compare!$H$5="EXACT only",J939="EXACT",OR(J939="EXACT",J939="CLOSE")))),"yes","no")</f>
        <v>yes</v>
      </c>
      <c r="AF939" s="110" t="n">
        <f aca="false">IF(ISNUMBER(H939),COUNTIFS($B$7:$B$3000,B939,$C$7:$C$3000,C939,$H$7:$H$3000,"&lt;"&amp;H939,$AH$7:$AH$3000,"yes")+COUNTIFS($B$7:B939,B939,$C$7:C939,C939,$H$7:H939,H939,$AH$7:AH939,"yes"),"")</f>
        <v>4</v>
      </c>
      <c r="AG939" s="110" t="n">
        <f aca="false">IF(ISNUMBER(I939),COUNTIFS($B$7:$B$3000,B939,$C$7:$C$3000,C939,$I$7:$I$3000,"&lt;"&amp;I939,$AI$7:$AI$3000,"yes")+COUNTIFS($B$7:B939,B939,$C$7:C939,C939,$I$7:I939,I939,$AI$7:AI939,"yes"),"")</f>
        <v>4</v>
      </c>
      <c r="AH939" s="110" t="str">
        <f aca="false">IF(ISNUMBER(H939),"yes","no")</f>
        <v>yes</v>
      </c>
      <c r="AI939" s="110" t="str">
        <f aca="false">IF(ISNUMBER(I939),"yes","no")</f>
        <v>yes</v>
      </c>
      <c r="AJ939" s="120" t="n">
        <v>46297</v>
      </c>
      <c r="AK939" s="110"/>
    </row>
    <row r="940" customFormat="false" ht="35.05" hidden="false" customHeight="false" outlineLevel="0" collapsed="false">
      <c r="B940" s="36" t="s">
        <v>68</v>
      </c>
      <c r="C940" s="98" t="s">
        <v>16</v>
      </c>
      <c r="D940" s="98" t="s">
        <v>296</v>
      </c>
      <c r="E940" s="110" t="s">
        <v>3125</v>
      </c>
      <c r="F940" s="99" t="n">
        <v>2.4</v>
      </c>
      <c r="G940" s="98" t="s">
        <v>244</v>
      </c>
      <c r="H940" s="112" t="n">
        <f aca="false">IF(AND(AE940="yes",ISNUMBER(AD940)),AD940,"")</f>
        <v>2.4</v>
      </c>
      <c r="I940" s="95" t="n">
        <f aca="false">IF(AND(AE940="yes",ISNUMBER(AD940),ISNUMBER(INDEX(Sources!$G$7:$G$10,MATCH(AB940,Sources!$B$7:$B$10,0)))),ROUND(AD940/INDEX(Sources!$G$7:$G$10,MATCH(AB940,Sources!$B$7:$B$10,0)),6),"")</f>
        <v>2.4</v>
      </c>
      <c r="J940" s="98" t="s">
        <v>530</v>
      </c>
      <c r="K940" s="98" t="s">
        <v>2059</v>
      </c>
      <c r="L940" s="96"/>
      <c r="M940" s="110" t="s">
        <v>3147</v>
      </c>
      <c r="N940" s="117" t="s">
        <v>3148</v>
      </c>
      <c r="O940" s="110" t="s">
        <v>3149</v>
      </c>
      <c r="P940" s="110" t="s">
        <v>590</v>
      </c>
      <c r="Q940" s="118" t="n">
        <v>0.19</v>
      </c>
      <c r="R940" s="110" t="n">
        <v>1</v>
      </c>
      <c r="S940" s="110" t="s">
        <v>632</v>
      </c>
      <c r="T940" s="110" t="s">
        <v>530</v>
      </c>
      <c r="U940" s="110" t="s">
        <v>2913</v>
      </c>
      <c r="V940" s="119" t="n">
        <v>2.4</v>
      </c>
      <c r="W940" s="119"/>
      <c r="X940" s="110" t="s">
        <v>2063</v>
      </c>
      <c r="Y940" s="110" t="s">
        <v>2064</v>
      </c>
      <c r="Z940" s="110" t="s">
        <v>3128</v>
      </c>
      <c r="AA940" s="110" t="s">
        <v>537</v>
      </c>
      <c r="AB940" s="110" t="s">
        <v>244</v>
      </c>
      <c r="AC940" s="110" t="s">
        <v>538</v>
      </c>
      <c r="AD940" s="110" t="n">
        <f aca="false">IF(OR(F940="",Q940="",R940=""),"",ROUND(IF(P940="incl.",F940/(1+Q940),F940)/IF(S940="per pack",R940,1),2))</f>
        <v>2.4</v>
      </c>
      <c r="AE940" s="110" t="str">
        <f aca="false">IF(AND(AC940="yes",ISNUMBER(F940),IF(Compare!$H$5="All mapped",TRUE(),IF(Compare!$H$5="EXACT only",J940="EXACT",OR(J940="EXACT",J940="CLOSE")))),"yes","no")</f>
        <v>yes</v>
      </c>
      <c r="AF940" s="110" t="n">
        <f aca="false">IF(ISNUMBER(H940),COUNTIFS($B$7:$B$3000,B940,$C$7:$C$3000,C940,$H$7:$H$3000,"&lt;"&amp;H940,$AH$7:$AH$3000,"yes")+COUNTIFS($B$7:B940,B940,$C$7:C940,C940,$H$7:H940,H940,$AH$7:AH940,"yes"),"")</f>
        <v>1</v>
      </c>
      <c r="AG940" s="110" t="n">
        <f aca="false">IF(ISNUMBER(I940),COUNTIFS($B$7:$B$3000,B940,$C$7:$C$3000,C940,$I$7:$I$3000,"&lt;"&amp;I940,$AI$7:$AI$3000,"yes")+COUNTIFS($B$7:B940,B940,$C$7:C940,C940,$I$7:I940,I940,$AI$7:AI940,"yes"),"")</f>
        <v>1</v>
      </c>
      <c r="AH940" s="110" t="str">
        <f aca="false">IF(ISNUMBER(H940),"yes","no")</f>
        <v>yes</v>
      </c>
      <c r="AI940" s="110" t="str">
        <f aca="false">IF(ISNUMBER(I940),"yes","no")</f>
        <v>yes</v>
      </c>
      <c r="AJ940" s="120" t="n">
        <v>46297</v>
      </c>
      <c r="AK940" s="110"/>
    </row>
    <row r="941" customFormat="false" ht="46.25" hidden="false" customHeight="false" outlineLevel="0" collapsed="false">
      <c r="B941" s="36" t="s">
        <v>68</v>
      </c>
      <c r="C941" s="98" t="s">
        <v>16</v>
      </c>
      <c r="D941" s="98" t="s">
        <v>317</v>
      </c>
      <c r="E941" s="110" t="s">
        <v>3150</v>
      </c>
      <c r="F941" s="99" t="n">
        <v>63.99</v>
      </c>
      <c r="G941" s="98" t="s">
        <v>244</v>
      </c>
      <c r="H941" s="112" t="n">
        <f aca="false">IF(AND(AE941="yes",ISNUMBER(AD941)),AD941,"")</f>
        <v>5.33</v>
      </c>
      <c r="I941" s="95" t="n">
        <f aca="false">IF(AND(AE941="yes",ISNUMBER(AD941),ISNUMBER(INDEX(Sources!$G$7:$G$10,MATCH(AB941,Sources!$B$7:$B$10,0)))),ROUND(AD941/INDEX(Sources!$G$7:$G$10,MATCH(AB941,Sources!$B$7:$B$10,0)),6),"")</f>
        <v>5.33</v>
      </c>
      <c r="J941" s="98" t="s">
        <v>530</v>
      </c>
      <c r="K941" s="98" t="s">
        <v>2059</v>
      </c>
      <c r="L941" s="96"/>
      <c r="M941" s="110" t="s">
        <v>3151</v>
      </c>
      <c r="N941" s="117" t="s">
        <v>3152</v>
      </c>
      <c r="O941" s="110" t="s">
        <v>317</v>
      </c>
      <c r="P941" s="110" t="s">
        <v>590</v>
      </c>
      <c r="Q941" s="118" t="n">
        <v>0.19</v>
      </c>
      <c r="R941" s="110" t="n">
        <v>12</v>
      </c>
      <c r="S941" s="110" t="s">
        <v>625</v>
      </c>
      <c r="T941" s="110" t="s">
        <v>530</v>
      </c>
      <c r="U941" s="110" t="s">
        <v>2913</v>
      </c>
      <c r="V941" s="119" t="n">
        <v>5.33</v>
      </c>
      <c r="W941" s="119"/>
      <c r="X941" s="110" t="s">
        <v>2063</v>
      </c>
      <c r="Y941" s="110" t="s">
        <v>2064</v>
      </c>
      <c r="Z941" s="110" t="s">
        <v>2638</v>
      </c>
      <c r="AA941" s="110" t="s">
        <v>537</v>
      </c>
      <c r="AB941" s="110" t="s">
        <v>244</v>
      </c>
      <c r="AC941" s="110" t="s">
        <v>538</v>
      </c>
      <c r="AD941" s="110" t="n">
        <f aca="false">IF(OR(F941="",Q941="",R941=""),"",ROUND(IF(P941="incl.",F941/(1+Q941),F941)/IF(S941="per pack",R941,1),2))</f>
        <v>5.33</v>
      </c>
      <c r="AE941" s="110" t="str">
        <f aca="false">IF(AND(AC941="yes",ISNUMBER(F941),IF(Compare!$H$5="All mapped",TRUE(),IF(Compare!$H$5="EXACT only",J941="EXACT",OR(J941="EXACT",J941="CLOSE")))),"yes","no")</f>
        <v>yes</v>
      </c>
      <c r="AF941" s="110" t="n">
        <f aca="false">IF(ISNUMBER(H941),COUNTIFS($B$7:$B$3000,B941,$C$7:$C$3000,C941,$H$7:$H$3000,"&lt;"&amp;H941,$AH$7:$AH$3000,"yes")+COUNTIFS($B$7:B941,B941,$C$7:C941,C941,$H$7:H941,H941,$AH$7:AH941,"yes"),"")</f>
        <v>2</v>
      </c>
      <c r="AG941" s="110" t="n">
        <f aca="false">IF(ISNUMBER(I941),COUNTIFS($B$7:$B$3000,B941,$C$7:$C$3000,C941,$I$7:$I$3000,"&lt;"&amp;I941,$AI$7:$AI$3000,"yes")+COUNTIFS($B$7:B941,B941,$C$7:C941,C941,$I$7:I941,I941,$AI$7:AI941,"yes"),"")</f>
        <v>2</v>
      </c>
      <c r="AH941" s="110" t="str">
        <f aca="false">IF(ISNUMBER(H941),"yes","no")</f>
        <v>yes</v>
      </c>
      <c r="AI941" s="110" t="str">
        <f aca="false">IF(ISNUMBER(I941),"yes","no")</f>
        <v>yes</v>
      </c>
      <c r="AJ941" s="120" t="n">
        <v>46297</v>
      </c>
      <c r="AK941" s="110"/>
    </row>
    <row r="942" customFormat="false" ht="35.05" hidden="false" customHeight="false" outlineLevel="0" collapsed="false">
      <c r="B942" s="36" t="s">
        <v>68</v>
      </c>
      <c r="C942" s="98" t="s">
        <v>16</v>
      </c>
      <c r="D942" s="98" t="s">
        <v>305</v>
      </c>
      <c r="E942" s="110" t="s">
        <v>3153</v>
      </c>
      <c r="F942" s="99" t="n">
        <v>7.33</v>
      </c>
      <c r="G942" s="98" t="s">
        <v>244</v>
      </c>
      <c r="H942" s="112" t="n">
        <f aca="false">IF(AND(AE942="yes",ISNUMBER(AD942)),AD942,"")</f>
        <v>6.16</v>
      </c>
      <c r="I942" s="95" t="n">
        <f aca="false">IF(AND(AE942="yes",ISNUMBER(AD942),ISNUMBER(INDEX(Sources!$G$7:$G$10,MATCH(AB942,Sources!$B$7:$B$10,0)))),ROUND(AD942/INDEX(Sources!$G$7:$G$10,MATCH(AB942,Sources!$B$7:$B$10,0)),6),"")</f>
        <v>6.16</v>
      </c>
      <c r="J942" s="98" t="s">
        <v>530</v>
      </c>
      <c r="K942" s="98" t="s">
        <v>2059</v>
      </c>
      <c r="L942" s="96"/>
      <c r="M942" s="110" t="s">
        <v>3154</v>
      </c>
      <c r="N942" s="117" t="s">
        <v>3155</v>
      </c>
      <c r="O942" s="110" t="s">
        <v>2965</v>
      </c>
      <c r="P942" s="110" t="s">
        <v>265</v>
      </c>
      <c r="Q942" s="118" t="n">
        <v>0.19</v>
      </c>
      <c r="R942" s="110" t="n">
        <v>1</v>
      </c>
      <c r="S942" s="110" t="s">
        <v>632</v>
      </c>
      <c r="T942" s="110" t="s">
        <v>530</v>
      </c>
      <c r="U942" s="110" t="s">
        <v>2918</v>
      </c>
      <c r="V942" s="119" t="n">
        <v>6.16</v>
      </c>
      <c r="W942" s="119"/>
      <c r="X942" s="110" t="s">
        <v>2063</v>
      </c>
      <c r="Y942" s="110" t="s">
        <v>2064</v>
      </c>
      <c r="Z942" s="110" t="s">
        <v>2156</v>
      </c>
      <c r="AA942" s="110" t="s">
        <v>537</v>
      </c>
      <c r="AB942" s="110" t="s">
        <v>244</v>
      </c>
      <c r="AC942" s="110" t="s">
        <v>538</v>
      </c>
      <c r="AD942" s="110" t="n">
        <f aca="false">IF(OR(F942="",Q942="",R942=""),"",ROUND(IF(P942="incl.",F942/(1+Q942),F942)/IF(S942="per pack",R942,1),2))</f>
        <v>6.16</v>
      </c>
      <c r="AE942" s="110" t="str">
        <f aca="false">IF(AND(AC942="yes",ISNUMBER(F942),IF(Compare!$H$5="All mapped",TRUE(),IF(Compare!$H$5="EXACT only",J942="EXACT",OR(J942="EXACT",J942="CLOSE")))),"yes","no")</f>
        <v>yes</v>
      </c>
      <c r="AF942" s="110" t="n">
        <f aca="false">IF(ISNUMBER(H942),COUNTIFS($B$7:$B$3000,B942,$C$7:$C$3000,C942,$H$7:$H$3000,"&lt;"&amp;H942,$AH$7:$AH$3000,"yes")+COUNTIFS($B$7:B942,B942,$C$7:C942,C942,$H$7:H942,H942,$AH$7:AH942,"yes"),"")</f>
        <v>4</v>
      </c>
      <c r="AG942" s="110" t="n">
        <f aca="false">IF(ISNUMBER(I942),COUNTIFS($B$7:$B$3000,B942,$C$7:$C$3000,C942,$I$7:$I$3000,"&lt;"&amp;I942,$AI$7:$AI$3000,"yes")+COUNTIFS($B$7:B942,B942,$C$7:C942,C942,$I$7:I942,I942,$AI$7:AI942,"yes"),"")</f>
        <v>4</v>
      </c>
      <c r="AH942" s="110" t="str">
        <f aca="false">IF(ISNUMBER(H942),"yes","no")</f>
        <v>yes</v>
      </c>
      <c r="AI942" s="110" t="str">
        <f aca="false">IF(ISNUMBER(I942),"yes","no")</f>
        <v>yes</v>
      </c>
      <c r="AJ942" s="120" t="n">
        <v>46297</v>
      </c>
      <c r="AK942" s="110"/>
    </row>
    <row r="943" customFormat="false" ht="35.05" hidden="false" customHeight="false" outlineLevel="0" collapsed="false">
      <c r="B943" s="36" t="s">
        <v>68</v>
      </c>
      <c r="C943" s="98" t="s">
        <v>16</v>
      </c>
      <c r="D943" s="98" t="s">
        <v>311</v>
      </c>
      <c r="E943" s="110" t="s">
        <v>3132</v>
      </c>
      <c r="F943" s="99" t="n">
        <v>5.49</v>
      </c>
      <c r="G943" s="98" t="s">
        <v>244</v>
      </c>
      <c r="H943" s="112" t="n">
        <f aca="false">IF(AND(AE943="yes",ISNUMBER(AD943)),AD943,"")</f>
        <v>5.49</v>
      </c>
      <c r="I943" s="95" t="n">
        <f aca="false">IF(AND(AE943="yes",ISNUMBER(AD943),ISNUMBER(INDEX(Sources!$G$7:$G$10,MATCH(AB943,Sources!$B$7:$B$10,0)))),ROUND(AD943/INDEX(Sources!$G$7:$G$10,MATCH(AB943,Sources!$B$7:$B$10,0)),6),"")</f>
        <v>5.49</v>
      </c>
      <c r="J943" s="98" t="s">
        <v>530</v>
      </c>
      <c r="K943" s="98" t="s">
        <v>2059</v>
      </c>
      <c r="L943" s="96"/>
      <c r="M943" s="110" t="s">
        <v>3156</v>
      </c>
      <c r="N943" s="117" t="s">
        <v>3157</v>
      </c>
      <c r="O943" s="110" t="s">
        <v>598</v>
      </c>
      <c r="P943" s="110" t="s">
        <v>590</v>
      </c>
      <c r="Q943" s="118" t="n">
        <v>0.19</v>
      </c>
      <c r="R943" s="110" t="n">
        <v>1</v>
      </c>
      <c r="S943" s="110" t="s">
        <v>632</v>
      </c>
      <c r="T943" s="110" t="s">
        <v>530</v>
      </c>
      <c r="U943" s="110" t="s">
        <v>2913</v>
      </c>
      <c r="V943" s="119" t="n">
        <v>5.49</v>
      </c>
      <c r="W943" s="119"/>
      <c r="X943" s="110" t="s">
        <v>2063</v>
      </c>
      <c r="Y943" s="110" t="s">
        <v>2064</v>
      </c>
      <c r="Z943" s="110" t="s">
        <v>2968</v>
      </c>
      <c r="AA943" s="110" t="s">
        <v>537</v>
      </c>
      <c r="AB943" s="110" t="s">
        <v>244</v>
      </c>
      <c r="AC943" s="110" t="s">
        <v>538</v>
      </c>
      <c r="AD943" s="110" t="n">
        <f aca="false">IF(OR(F943="",Q943="",R943=""),"",ROUND(IF(P943="incl.",F943/(1+Q943),F943)/IF(S943="per pack",R943,1),2))</f>
        <v>5.49</v>
      </c>
      <c r="AE943" s="110" t="str">
        <f aca="false">IF(AND(AC943="yes",ISNUMBER(F943),IF(Compare!$H$5="All mapped",TRUE(),IF(Compare!$H$5="EXACT only",J943="EXACT",OR(J943="EXACT",J943="CLOSE")))),"yes","no")</f>
        <v>yes</v>
      </c>
      <c r="AF943" s="110" t="n">
        <f aca="false">IF(ISNUMBER(H943),COUNTIFS($B$7:$B$3000,B943,$C$7:$C$3000,C943,$H$7:$H$3000,"&lt;"&amp;H943,$AH$7:$AH$3000,"yes")+COUNTIFS($B$7:B943,B943,$C$7:C943,C943,$H$7:H943,H943,$AH$7:AH943,"yes"),"")</f>
        <v>3</v>
      </c>
      <c r="AG943" s="110" t="n">
        <f aca="false">IF(ISNUMBER(I943),COUNTIFS($B$7:$B$3000,B943,$C$7:$C$3000,C943,$I$7:$I$3000,"&lt;"&amp;I943,$AI$7:$AI$3000,"yes")+COUNTIFS($B$7:B943,B943,$C$7:C943,C943,$I$7:I943,I943,$AI$7:AI943,"yes"),"")</f>
        <v>3</v>
      </c>
      <c r="AH943" s="110" t="str">
        <f aca="false">IF(ISNUMBER(H943),"yes","no")</f>
        <v>yes</v>
      </c>
      <c r="AI943" s="110" t="str">
        <f aca="false">IF(ISNUMBER(I943),"yes","no")</f>
        <v>yes</v>
      </c>
      <c r="AJ943" s="120" t="n">
        <v>46297</v>
      </c>
      <c r="AK943" s="110"/>
    </row>
    <row r="944" customFormat="false" ht="23.85" hidden="false" customHeight="false" outlineLevel="0" collapsed="false">
      <c r="B944" s="36" t="s">
        <v>68</v>
      </c>
      <c r="C944" s="98" t="s">
        <v>16</v>
      </c>
      <c r="D944" s="98" t="s">
        <v>309</v>
      </c>
      <c r="E944" s="110" t="s">
        <v>3135</v>
      </c>
      <c r="F944" s="99" t="n">
        <v>16</v>
      </c>
      <c r="G944" s="98" t="s">
        <v>244</v>
      </c>
      <c r="H944" s="112" t="n">
        <f aca="false">IF(AND(AE944="yes",ISNUMBER(AD944)),AD944,"")</f>
        <v>16</v>
      </c>
      <c r="I944" s="95" t="n">
        <f aca="false">IF(AND(AE944="yes",ISNUMBER(AD944),ISNUMBER(INDEX(Sources!$G$7:$G$10,MATCH(AB944,Sources!$B$7:$B$10,0)))),ROUND(AD944/INDEX(Sources!$G$7:$G$10,MATCH(AB944,Sources!$B$7:$B$10,0)),6),"")</f>
        <v>16</v>
      </c>
      <c r="J944" s="98" t="s">
        <v>530</v>
      </c>
      <c r="K944" s="98" t="s">
        <v>2059</v>
      </c>
      <c r="L944" s="96"/>
      <c r="M944" s="110" t="s">
        <v>3158</v>
      </c>
      <c r="N944" s="117" t="s">
        <v>3137</v>
      </c>
      <c r="O944" s="110" t="s">
        <v>2944</v>
      </c>
      <c r="P944" s="110" t="s">
        <v>590</v>
      </c>
      <c r="Q944" s="118" t="n">
        <v>0.19</v>
      </c>
      <c r="R944" s="110" t="n">
        <v>1</v>
      </c>
      <c r="S944" s="110" t="s">
        <v>632</v>
      </c>
      <c r="T944" s="110" t="s">
        <v>530</v>
      </c>
      <c r="U944" s="110" t="s">
        <v>2913</v>
      </c>
      <c r="V944" s="119" t="n">
        <v>16</v>
      </c>
      <c r="W944" s="119"/>
      <c r="X944" s="110" t="s">
        <v>2063</v>
      </c>
      <c r="Y944" s="110" t="s">
        <v>2064</v>
      </c>
      <c r="Z944" s="110" t="s">
        <v>2970</v>
      </c>
      <c r="AA944" s="110" t="s">
        <v>537</v>
      </c>
      <c r="AB944" s="110" t="s">
        <v>244</v>
      </c>
      <c r="AC944" s="110" t="s">
        <v>538</v>
      </c>
      <c r="AD944" s="110" t="n">
        <f aca="false">IF(OR(F944="",Q944="",R944=""),"",ROUND(IF(P944="incl.",F944/(1+Q944),F944)/IF(S944="per pack",R944,1),2))</f>
        <v>16</v>
      </c>
      <c r="AE944" s="110" t="str">
        <f aca="false">IF(AND(AC944="yes",ISNUMBER(F944),IF(Compare!$H$5="All mapped",TRUE(),IF(Compare!$H$5="EXACT only",J944="EXACT",OR(J944="EXACT",J944="CLOSE")))),"yes","no")</f>
        <v>yes</v>
      </c>
      <c r="AF944" s="110" t="n">
        <f aca="false">IF(ISNUMBER(H944),COUNTIFS($B$7:$B$3000,B944,$C$7:$C$3000,C944,$H$7:$H$3000,"&lt;"&amp;H944,$AH$7:$AH$3000,"yes")+COUNTIFS($B$7:B944,B944,$C$7:C944,C944,$H$7:H944,H944,$AH$7:AH944,"yes"),"")</f>
        <v>7</v>
      </c>
      <c r="AG944" s="110" t="n">
        <f aca="false">IF(ISNUMBER(I944),COUNTIFS($B$7:$B$3000,B944,$C$7:$C$3000,C944,$I$7:$I$3000,"&lt;"&amp;I944,$AI$7:$AI$3000,"yes")+COUNTIFS($B$7:B944,B944,$C$7:C944,C944,$I$7:I944,I944,$AI$7:AI944,"yes"),"")</f>
        <v>7</v>
      </c>
      <c r="AH944" s="110" t="str">
        <f aca="false">IF(ISNUMBER(H944),"yes","no")</f>
        <v>yes</v>
      </c>
      <c r="AI944" s="110" t="str">
        <f aca="false">IF(ISNUMBER(I944),"yes","no")</f>
        <v>yes</v>
      </c>
      <c r="AJ944" s="120" t="n">
        <v>46297</v>
      </c>
      <c r="AK944" s="110"/>
    </row>
    <row r="945" customFormat="false" ht="35.05" hidden="false" customHeight="false" outlineLevel="0" collapsed="false">
      <c r="B945" s="36" t="s">
        <v>68</v>
      </c>
      <c r="C945" s="98" t="s">
        <v>16</v>
      </c>
      <c r="D945" s="98" t="s">
        <v>321</v>
      </c>
      <c r="E945" s="110" t="s">
        <v>3141</v>
      </c>
      <c r="F945" s="99" t="n">
        <v>6.9</v>
      </c>
      <c r="G945" s="98" t="s">
        <v>244</v>
      </c>
      <c r="H945" s="112" t="n">
        <f aca="false">IF(AND(AE945="yes",ISNUMBER(AD945)),AD945,"")</f>
        <v>6.9</v>
      </c>
      <c r="I945" s="95" t="n">
        <f aca="false">IF(AND(AE945="yes",ISNUMBER(AD945),ISNUMBER(INDEX(Sources!$G$7:$G$10,MATCH(AB945,Sources!$B$7:$B$10,0)))),ROUND(AD945/INDEX(Sources!$G$7:$G$10,MATCH(AB945,Sources!$B$7:$B$10,0)),6),"")</f>
        <v>6.9</v>
      </c>
      <c r="J945" s="98" t="s">
        <v>530</v>
      </c>
      <c r="K945" s="98" t="s">
        <v>2059</v>
      </c>
      <c r="L945" s="96"/>
      <c r="M945" s="110" t="s">
        <v>3159</v>
      </c>
      <c r="N945" s="117" t="s">
        <v>3160</v>
      </c>
      <c r="O945" s="110" t="s">
        <v>2952</v>
      </c>
      <c r="P945" s="110" t="s">
        <v>590</v>
      </c>
      <c r="Q945" s="118" t="n">
        <v>0.19</v>
      </c>
      <c r="R945" s="110" t="n">
        <v>1</v>
      </c>
      <c r="S945" s="110" t="s">
        <v>632</v>
      </c>
      <c r="T945" s="110" t="s">
        <v>530</v>
      </c>
      <c r="U945" s="110" t="s">
        <v>2913</v>
      </c>
      <c r="V945" s="119" t="n">
        <v>6.9</v>
      </c>
      <c r="W945" s="119"/>
      <c r="X945" s="110" t="s">
        <v>2063</v>
      </c>
      <c r="Y945" s="110" t="s">
        <v>2064</v>
      </c>
      <c r="Z945" s="110" t="s">
        <v>2978</v>
      </c>
      <c r="AA945" s="110" t="s">
        <v>537</v>
      </c>
      <c r="AB945" s="110" t="s">
        <v>244</v>
      </c>
      <c r="AC945" s="110" t="s">
        <v>538</v>
      </c>
      <c r="AD945" s="110" t="n">
        <f aca="false">IF(OR(F945="",Q945="",R945=""),"",ROUND(IF(P945="incl.",F945/(1+Q945),F945)/IF(S945="per pack",R945,1),2))</f>
        <v>6.9</v>
      </c>
      <c r="AE945" s="110" t="str">
        <f aca="false">IF(AND(AC945="yes",ISNUMBER(F945),IF(Compare!$H$5="All mapped",TRUE(),IF(Compare!$H$5="EXACT only",J945="EXACT",OR(J945="EXACT",J945="CLOSE")))),"yes","no")</f>
        <v>yes</v>
      </c>
      <c r="AF945" s="110" t="n">
        <f aca="false">IF(ISNUMBER(H945),COUNTIFS($B$7:$B$3000,B945,$C$7:$C$3000,C945,$H$7:$H$3000,"&lt;"&amp;H945,$AH$7:$AH$3000,"yes")+COUNTIFS($B$7:B945,B945,$C$7:C945,C945,$H$7:H945,H945,$AH$7:AH945,"yes"),"")</f>
        <v>6</v>
      </c>
      <c r="AG945" s="110" t="n">
        <f aca="false">IF(ISNUMBER(I945),COUNTIFS($B$7:$B$3000,B945,$C$7:$C$3000,C945,$I$7:$I$3000,"&lt;"&amp;I945,$AI$7:$AI$3000,"yes")+COUNTIFS($B$7:B945,B945,$C$7:C945,C945,$I$7:I945,I945,$AI$7:AI945,"yes"),"")</f>
        <v>6</v>
      </c>
      <c r="AH945" s="110" t="str">
        <f aca="false">IF(ISNUMBER(H945),"yes","no")</f>
        <v>yes</v>
      </c>
      <c r="AI945" s="110" t="str">
        <f aca="false">IF(ISNUMBER(I945),"yes","no")</f>
        <v>yes</v>
      </c>
      <c r="AJ945" s="120" t="n">
        <v>46297</v>
      </c>
      <c r="AK945" s="110"/>
    </row>
    <row r="946" customFormat="false" ht="35.05" hidden="false" customHeight="false" outlineLevel="0" collapsed="false">
      <c r="B946" s="36" t="s">
        <v>68</v>
      </c>
      <c r="C946" s="98" t="s">
        <v>16</v>
      </c>
      <c r="D946" s="98" t="s">
        <v>321</v>
      </c>
      <c r="E946" s="110" t="s">
        <v>3161</v>
      </c>
      <c r="F946" s="99" t="n">
        <v>6.38</v>
      </c>
      <c r="G946" s="98" t="s">
        <v>244</v>
      </c>
      <c r="H946" s="112" t="n">
        <f aca="false">IF(AND(AE946="yes",ISNUMBER(AD946)),AD946,"")</f>
        <v>6.38</v>
      </c>
      <c r="I946" s="95" t="n">
        <f aca="false">IF(AND(AE946="yes",ISNUMBER(AD946),ISNUMBER(INDEX(Sources!$G$7:$G$10,MATCH(AB946,Sources!$B$7:$B$10,0)))),ROUND(AD946/INDEX(Sources!$G$7:$G$10,MATCH(AB946,Sources!$B$7:$B$10,0)),6),"")</f>
        <v>6.38</v>
      </c>
      <c r="J946" s="98" t="s">
        <v>530</v>
      </c>
      <c r="K946" s="98" t="s">
        <v>2059</v>
      </c>
      <c r="L946" s="96"/>
      <c r="M946" s="110" t="s">
        <v>3162</v>
      </c>
      <c r="N946" s="117" t="s">
        <v>3163</v>
      </c>
      <c r="O946" s="110" t="s">
        <v>2977</v>
      </c>
      <c r="P946" s="110" t="s">
        <v>590</v>
      </c>
      <c r="Q946" s="118" t="n">
        <v>0.19</v>
      </c>
      <c r="R946" s="110" t="n">
        <v>1</v>
      </c>
      <c r="S946" s="110" t="s">
        <v>632</v>
      </c>
      <c r="T946" s="110" t="s">
        <v>530</v>
      </c>
      <c r="U946" s="110" t="s">
        <v>2913</v>
      </c>
      <c r="V946" s="119" t="n">
        <v>6.38</v>
      </c>
      <c r="W946" s="119"/>
      <c r="X946" s="110" t="s">
        <v>2063</v>
      </c>
      <c r="Y946" s="110" t="s">
        <v>2064</v>
      </c>
      <c r="Z946" s="110" t="s">
        <v>2978</v>
      </c>
      <c r="AA946" s="110" t="s">
        <v>537</v>
      </c>
      <c r="AB946" s="110" t="s">
        <v>244</v>
      </c>
      <c r="AC946" s="110" t="s">
        <v>538</v>
      </c>
      <c r="AD946" s="110" t="n">
        <f aca="false">IF(OR(F946="",Q946="",R946=""),"",ROUND(IF(P946="incl.",F946/(1+Q946),F946)/IF(S946="per pack",R946,1),2))</f>
        <v>6.38</v>
      </c>
      <c r="AE946" s="110" t="str">
        <f aca="false">IF(AND(AC946="yes",ISNUMBER(F946),IF(Compare!$H$5="All mapped",TRUE(),IF(Compare!$H$5="EXACT only",J946="EXACT",OR(J946="EXACT",J946="CLOSE")))),"yes","no")</f>
        <v>yes</v>
      </c>
      <c r="AF946" s="110" t="n">
        <f aca="false">IF(ISNUMBER(H946),COUNTIFS($B$7:$B$3000,B946,$C$7:$C$3000,C946,$H$7:$H$3000,"&lt;"&amp;H946,$AH$7:$AH$3000,"yes")+COUNTIFS($B$7:B946,B946,$C$7:C946,C946,$H$7:H946,H946,$AH$7:AH946,"yes"),"")</f>
        <v>5</v>
      </c>
      <c r="AG946" s="110" t="n">
        <f aca="false">IF(ISNUMBER(I946),COUNTIFS($B$7:$B$3000,B946,$C$7:$C$3000,C946,$I$7:$I$3000,"&lt;"&amp;I946,$AI$7:$AI$3000,"yes")+COUNTIFS($B$7:B946,B946,$C$7:C946,C946,$I$7:I946,I946,$AI$7:AI946,"yes"),"")</f>
        <v>5</v>
      </c>
      <c r="AH946" s="110" t="str">
        <f aca="false">IF(ISNUMBER(H946),"yes","no")</f>
        <v>yes</v>
      </c>
      <c r="AI946" s="110" t="str">
        <f aca="false">IF(ISNUMBER(I946),"yes","no")</f>
        <v>yes</v>
      </c>
      <c r="AJ946" s="120" t="n">
        <v>46297</v>
      </c>
      <c r="AK946" s="110"/>
    </row>
    <row r="947" customFormat="false" ht="35.05" hidden="false" customHeight="false" outlineLevel="0" collapsed="false">
      <c r="B947" s="36" t="s">
        <v>68</v>
      </c>
      <c r="C947" s="98" t="s">
        <v>17</v>
      </c>
      <c r="D947" s="98" t="s">
        <v>338</v>
      </c>
      <c r="E947" s="110" t="s">
        <v>3164</v>
      </c>
      <c r="F947" s="99" t="n">
        <v>141</v>
      </c>
      <c r="G947" s="98" t="s">
        <v>333</v>
      </c>
      <c r="H947" s="112" t="n">
        <f aca="false">IF(AND(AE947="yes",ISNUMBER(AD947)),AD947,"")</f>
        <v>141</v>
      </c>
      <c r="I947" s="95" t="n">
        <f aca="false">IF(AND(AE947="yes",ISNUMBER(AD947),ISNUMBER(INDEX(Sources!$G$7:$G$10,MATCH(AB947,Sources!$B$7:$B$10,0)))),ROUND(AD947/INDEX(Sources!$G$7:$G$10,MATCH(AB947,Sources!$B$7:$B$10,0)),6),"")</f>
        <v>5.773101</v>
      </c>
      <c r="J947" s="98" t="s">
        <v>530</v>
      </c>
      <c r="K947" s="98" t="s">
        <v>2059</v>
      </c>
      <c r="L947" s="96"/>
      <c r="M947" s="110" t="s">
        <v>3165</v>
      </c>
      <c r="N947" s="117" t="s">
        <v>3166</v>
      </c>
      <c r="O947" s="110" t="s">
        <v>388</v>
      </c>
      <c r="P947" s="110" t="s">
        <v>590</v>
      </c>
      <c r="Q947" s="118" t="n">
        <v>0.21</v>
      </c>
      <c r="R947" s="110" t="n">
        <v>1</v>
      </c>
      <c r="S947" s="110" t="s">
        <v>632</v>
      </c>
      <c r="T947" s="110" t="s">
        <v>530</v>
      </c>
      <c r="U947" s="110" t="s">
        <v>2913</v>
      </c>
      <c r="V947" s="119" t="n">
        <v>141</v>
      </c>
      <c r="W947" s="119"/>
      <c r="X947" s="110" t="s">
        <v>2063</v>
      </c>
      <c r="Y947" s="110" t="s">
        <v>2064</v>
      </c>
      <c r="Z947" s="110" t="s">
        <v>3167</v>
      </c>
      <c r="AA947" s="110" t="s">
        <v>537</v>
      </c>
      <c r="AB947" s="110" t="s">
        <v>333</v>
      </c>
      <c r="AC947" s="110" t="s">
        <v>538</v>
      </c>
      <c r="AD947" s="110" t="n">
        <f aca="false">IF(OR(F947="",Q947="",R947=""),"",ROUND(IF(P947="incl.",F947/(1+Q947),F947)/IF(S947="per pack",R947,1),2))</f>
        <v>141</v>
      </c>
      <c r="AE947" s="110" t="str">
        <f aca="false">IF(AND(AC947="yes",ISNUMBER(F947),IF(Compare!$H$5="All mapped",TRUE(),IF(Compare!$H$5="EXACT only",J947="EXACT",OR(J947="EXACT",J947="CLOSE")))),"yes","no")</f>
        <v>yes</v>
      </c>
      <c r="AF947" s="110" t="n">
        <f aca="false">IF(ISNUMBER(H947),COUNTIFS($B$7:$B$3000,B947,$C$7:$C$3000,C947,$H$7:$H$3000,"&lt;"&amp;H947,$AH$7:$AH$3000,"yes")+COUNTIFS($B$7:B947,B947,$C$7:C947,C947,$H$7:H947,H947,$AH$7:AH947,"yes"),"")</f>
        <v>2</v>
      </c>
      <c r="AG947" s="110" t="n">
        <f aca="false">IF(ISNUMBER(I947),COUNTIFS($B$7:$B$3000,B947,$C$7:$C$3000,C947,$I$7:$I$3000,"&lt;"&amp;I947,$AI$7:$AI$3000,"yes")+COUNTIFS($B$7:B947,B947,$C$7:C947,C947,$I$7:I947,I947,$AI$7:AI947,"yes"),"")</f>
        <v>2</v>
      </c>
      <c r="AH947" s="110" t="str">
        <f aca="false">IF(ISNUMBER(H947),"yes","no")</f>
        <v>yes</v>
      </c>
      <c r="AI947" s="110" t="str">
        <f aca="false">IF(ISNUMBER(I947),"yes","no")</f>
        <v>yes</v>
      </c>
      <c r="AJ947" s="120" t="n">
        <v>46297</v>
      </c>
      <c r="AK947" s="110"/>
    </row>
    <row r="948" customFormat="false" ht="35.05" hidden="false" customHeight="false" outlineLevel="0" collapsed="false">
      <c r="B948" s="36" t="s">
        <v>68</v>
      </c>
      <c r="C948" s="98" t="s">
        <v>17</v>
      </c>
      <c r="D948" s="98" t="s">
        <v>342</v>
      </c>
      <c r="E948" s="110" t="s">
        <v>3168</v>
      </c>
      <c r="F948" s="99" t="n">
        <v>159</v>
      </c>
      <c r="G948" s="98" t="s">
        <v>333</v>
      </c>
      <c r="H948" s="112" t="n">
        <f aca="false">IF(AND(AE948="yes",ISNUMBER(AD948)),AD948,"")</f>
        <v>159</v>
      </c>
      <c r="I948" s="95" t="n">
        <f aca="false">IF(AND(AE948="yes",ISNUMBER(AD948),ISNUMBER(INDEX(Sources!$G$7:$G$10,MATCH(AB948,Sources!$B$7:$B$10,0)))),ROUND(AD948/INDEX(Sources!$G$7:$G$10,MATCH(AB948,Sources!$B$7:$B$10,0)),6),"")</f>
        <v>6.510093</v>
      </c>
      <c r="J948" s="98" t="s">
        <v>530</v>
      </c>
      <c r="K948" s="98" t="s">
        <v>2059</v>
      </c>
      <c r="L948" s="96"/>
      <c r="M948" s="110" t="s">
        <v>3169</v>
      </c>
      <c r="N948" s="117" t="s">
        <v>3170</v>
      </c>
      <c r="O948" s="110" t="s">
        <v>1138</v>
      </c>
      <c r="P948" s="110" t="s">
        <v>590</v>
      </c>
      <c r="Q948" s="118" t="n">
        <v>0.21</v>
      </c>
      <c r="R948" s="110" t="n">
        <v>1</v>
      </c>
      <c r="S948" s="110" t="s">
        <v>632</v>
      </c>
      <c r="T948" s="110" t="s">
        <v>530</v>
      </c>
      <c r="U948" s="110" t="s">
        <v>2913</v>
      </c>
      <c r="V948" s="119" t="n">
        <v>159</v>
      </c>
      <c r="W948" s="119"/>
      <c r="X948" s="110" t="s">
        <v>2063</v>
      </c>
      <c r="Y948" s="110" t="s">
        <v>2064</v>
      </c>
      <c r="Z948" s="110" t="s">
        <v>2989</v>
      </c>
      <c r="AA948" s="110" t="s">
        <v>537</v>
      </c>
      <c r="AB948" s="110" t="s">
        <v>333</v>
      </c>
      <c r="AC948" s="110" t="s">
        <v>538</v>
      </c>
      <c r="AD948" s="110" t="n">
        <f aca="false">IF(OR(F948="",Q948="",R948=""),"",ROUND(IF(P948="incl.",F948/(1+Q948),F948)/IF(S948="per pack",R948,1),2))</f>
        <v>159</v>
      </c>
      <c r="AE948" s="110" t="str">
        <f aca="false">IF(AND(AC948="yes",ISNUMBER(F948),IF(Compare!$H$5="All mapped",TRUE(),IF(Compare!$H$5="EXACT only",J948="EXACT",OR(J948="EXACT",J948="CLOSE")))),"yes","no")</f>
        <v>yes</v>
      </c>
      <c r="AF948" s="110" t="n">
        <f aca="false">IF(ISNUMBER(H948),COUNTIFS($B$7:$B$3000,B948,$C$7:$C$3000,C948,$H$7:$H$3000,"&lt;"&amp;H948,$AH$7:$AH$3000,"yes")+COUNTIFS($B$7:B948,B948,$C$7:C948,C948,$H$7:H948,H948,$AH$7:AH948,"yes"),"")</f>
        <v>3</v>
      </c>
      <c r="AG948" s="110" t="n">
        <f aca="false">IF(ISNUMBER(I948),COUNTIFS($B$7:$B$3000,B948,$C$7:$C$3000,C948,$I$7:$I$3000,"&lt;"&amp;I948,$AI$7:$AI$3000,"yes")+COUNTIFS($B$7:B948,B948,$C$7:C948,C948,$I$7:I948,I948,$AI$7:AI948,"yes"),"")</f>
        <v>3</v>
      </c>
      <c r="AH948" s="110" t="str">
        <f aca="false">IF(ISNUMBER(H948),"yes","no")</f>
        <v>yes</v>
      </c>
      <c r="AI948" s="110" t="str">
        <f aca="false">IF(ISNUMBER(I948),"yes","no")</f>
        <v>yes</v>
      </c>
      <c r="AJ948" s="120" t="n">
        <v>46297</v>
      </c>
      <c r="AK948" s="110"/>
    </row>
    <row r="949" customFormat="false" ht="46.25" hidden="false" customHeight="false" outlineLevel="0" collapsed="false">
      <c r="B949" s="36" t="s">
        <v>68</v>
      </c>
      <c r="C949" s="98" t="s">
        <v>17</v>
      </c>
      <c r="D949" s="98" t="s">
        <v>346</v>
      </c>
      <c r="E949" s="110" t="s">
        <v>3171</v>
      </c>
      <c r="F949" s="99" t="n">
        <v>236</v>
      </c>
      <c r="G949" s="98" t="s">
        <v>333</v>
      </c>
      <c r="H949" s="112" t="n">
        <f aca="false">IF(AND(AE949="yes",ISNUMBER(AD949)),AD949,"")</f>
        <v>236</v>
      </c>
      <c r="I949" s="95" t="n">
        <f aca="false">IF(AND(AE949="yes",ISNUMBER(AD949),ISNUMBER(INDEX(Sources!$G$7:$G$10,MATCH(AB949,Sources!$B$7:$B$10,0)))),ROUND(AD949/INDEX(Sources!$G$7:$G$10,MATCH(AB949,Sources!$B$7:$B$10,0)),6),"")</f>
        <v>9.662779</v>
      </c>
      <c r="J949" s="98" t="s">
        <v>530</v>
      </c>
      <c r="K949" s="98" t="s">
        <v>2059</v>
      </c>
      <c r="L949" s="96"/>
      <c r="M949" s="110" t="s">
        <v>3172</v>
      </c>
      <c r="N949" s="117" t="s">
        <v>3173</v>
      </c>
      <c r="O949" s="110" t="s">
        <v>565</v>
      </c>
      <c r="P949" s="110" t="s">
        <v>590</v>
      </c>
      <c r="Q949" s="118" t="n">
        <v>0.21</v>
      </c>
      <c r="R949" s="110" t="n">
        <v>1</v>
      </c>
      <c r="S949" s="110" t="s">
        <v>632</v>
      </c>
      <c r="T949" s="110" t="s">
        <v>530</v>
      </c>
      <c r="U949" s="110" t="s">
        <v>2913</v>
      </c>
      <c r="V949" s="119" t="n">
        <v>236</v>
      </c>
      <c r="W949" s="119"/>
      <c r="X949" s="110" t="s">
        <v>2063</v>
      </c>
      <c r="Y949" s="110" t="s">
        <v>2064</v>
      </c>
      <c r="Z949" s="110" t="s">
        <v>2993</v>
      </c>
      <c r="AA949" s="110" t="s">
        <v>537</v>
      </c>
      <c r="AB949" s="110" t="s">
        <v>333</v>
      </c>
      <c r="AC949" s="110" t="s">
        <v>538</v>
      </c>
      <c r="AD949" s="110" t="n">
        <f aca="false">IF(OR(F949="",Q949="",R949=""),"",ROUND(IF(P949="incl.",F949/(1+Q949),F949)/IF(S949="per pack",R949,1),2))</f>
        <v>236</v>
      </c>
      <c r="AE949" s="110" t="str">
        <f aca="false">IF(AND(AC949="yes",ISNUMBER(F949),IF(Compare!$H$5="All mapped",TRUE(),IF(Compare!$H$5="EXACT only",J949="EXACT",OR(J949="EXACT",J949="CLOSE")))),"yes","no")</f>
        <v>yes</v>
      </c>
      <c r="AF949" s="110" t="n">
        <f aca="false">IF(ISNUMBER(H949),COUNTIFS($B$7:$B$3000,B949,$C$7:$C$3000,C949,$H$7:$H$3000,"&lt;"&amp;H949,$AH$7:$AH$3000,"yes")+COUNTIFS($B$7:B949,B949,$C$7:C949,C949,$H$7:H949,H949,$AH$7:AH949,"yes"),"")</f>
        <v>5</v>
      </c>
      <c r="AG949" s="110" t="n">
        <f aca="false">IF(ISNUMBER(I949),COUNTIFS($B$7:$B$3000,B949,$C$7:$C$3000,C949,$I$7:$I$3000,"&lt;"&amp;I949,$AI$7:$AI$3000,"yes")+COUNTIFS($B$7:B949,B949,$C$7:C949,C949,$I$7:I949,I949,$AI$7:AI949,"yes"),"")</f>
        <v>5</v>
      </c>
      <c r="AH949" s="110" t="str">
        <f aca="false">IF(ISNUMBER(H949),"yes","no")</f>
        <v>yes</v>
      </c>
      <c r="AI949" s="110" t="str">
        <f aca="false">IF(ISNUMBER(I949),"yes","no")</f>
        <v>yes</v>
      </c>
      <c r="AJ949" s="120" t="n">
        <v>46297</v>
      </c>
      <c r="AK949" s="110"/>
    </row>
    <row r="950" customFormat="false" ht="35.05" hidden="false" customHeight="false" outlineLevel="0" collapsed="false">
      <c r="B950" s="36" t="s">
        <v>68</v>
      </c>
      <c r="C950" s="98" t="s">
        <v>17</v>
      </c>
      <c r="D950" s="98" t="s">
        <v>350</v>
      </c>
      <c r="E950" s="110" t="s">
        <v>3174</v>
      </c>
      <c r="F950" s="99" t="n">
        <v>126</v>
      </c>
      <c r="G950" s="98" t="s">
        <v>333</v>
      </c>
      <c r="H950" s="112" t="n">
        <f aca="false">IF(AND(AE950="yes",ISNUMBER(AD950)),AD950,"")</f>
        <v>104.13</v>
      </c>
      <c r="I950" s="95" t="n">
        <f aca="false">IF(AND(AE950="yes",ISNUMBER(AD950),ISNUMBER(INDEX(Sources!$G$7:$G$10,MATCH(AB950,Sources!$B$7:$B$10,0)))),ROUND(AD950/INDEX(Sources!$G$7:$G$10,MATCH(AB950,Sources!$B$7:$B$10,0)),6),"")</f>
        <v>4.263496</v>
      </c>
      <c r="J950" s="98" t="s">
        <v>530</v>
      </c>
      <c r="K950" s="98" t="s">
        <v>2059</v>
      </c>
      <c r="L950" s="96"/>
      <c r="M950" s="110" t="s">
        <v>3175</v>
      </c>
      <c r="N950" s="117" t="s">
        <v>3176</v>
      </c>
      <c r="O950" s="110" t="s">
        <v>2997</v>
      </c>
      <c r="P950" s="110" t="s">
        <v>265</v>
      </c>
      <c r="Q950" s="118" t="n">
        <v>0.21</v>
      </c>
      <c r="R950" s="110" t="n">
        <v>1</v>
      </c>
      <c r="S950" s="110" t="s">
        <v>632</v>
      </c>
      <c r="T950" s="110" t="s">
        <v>530</v>
      </c>
      <c r="U950" s="110" t="s">
        <v>2918</v>
      </c>
      <c r="V950" s="119" t="n">
        <v>104.13</v>
      </c>
      <c r="W950" s="119"/>
      <c r="X950" s="110" t="s">
        <v>2063</v>
      </c>
      <c r="Y950" s="110" t="s">
        <v>2064</v>
      </c>
      <c r="Z950" s="110" t="s">
        <v>2349</v>
      </c>
      <c r="AA950" s="110" t="s">
        <v>537</v>
      </c>
      <c r="AB950" s="110" t="s">
        <v>333</v>
      </c>
      <c r="AC950" s="110" t="s">
        <v>538</v>
      </c>
      <c r="AD950" s="110" t="n">
        <f aca="false">IF(OR(F950="",Q950="",R950=""),"",ROUND(IF(P950="incl.",F950/(1+Q950),F950)/IF(S950="per pack",R950,1),2))</f>
        <v>104.13</v>
      </c>
      <c r="AE950" s="110" t="str">
        <f aca="false">IF(AND(AC950="yes",ISNUMBER(F950),IF(Compare!$H$5="All mapped",TRUE(),IF(Compare!$H$5="EXACT only",J950="EXACT",OR(J950="EXACT",J950="CLOSE")))),"yes","no")</f>
        <v>yes</v>
      </c>
      <c r="AF950" s="110" t="n">
        <f aca="false">IF(ISNUMBER(H950),COUNTIFS($B$7:$B$3000,B950,$C$7:$C$3000,C950,$H$7:$H$3000,"&lt;"&amp;H950,$AH$7:$AH$3000,"yes")+COUNTIFS($B$7:B950,B950,$C$7:C950,C950,$H$7:H950,H950,$AH$7:AH950,"yes"),"")</f>
        <v>1</v>
      </c>
      <c r="AG950" s="110" t="n">
        <f aca="false">IF(ISNUMBER(I950),COUNTIFS($B$7:$B$3000,B950,$C$7:$C$3000,C950,$I$7:$I$3000,"&lt;"&amp;I950,$AI$7:$AI$3000,"yes")+COUNTIFS($B$7:B950,B950,$C$7:C950,C950,$I$7:I950,I950,$AI$7:AI950,"yes"),"")</f>
        <v>1</v>
      </c>
      <c r="AH950" s="110" t="str">
        <f aca="false">IF(ISNUMBER(H950),"yes","no")</f>
        <v>yes</v>
      </c>
      <c r="AI950" s="110" t="str">
        <f aca="false">IF(ISNUMBER(I950),"yes","no")</f>
        <v>yes</v>
      </c>
      <c r="AJ950" s="120" t="n">
        <v>46297</v>
      </c>
      <c r="AK950" s="110"/>
    </row>
    <row r="951" customFormat="false" ht="23.85" hidden="false" customHeight="false" outlineLevel="0" collapsed="false">
      <c r="B951" s="36" t="s">
        <v>68</v>
      </c>
      <c r="C951" s="98" t="s">
        <v>17</v>
      </c>
      <c r="D951" s="98" t="s">
        <v>361</v>
      </c>
      <c r="E951" s="110" t="s">
        <v>3177</v>
      </c>
      <c r="F951" s="99" t="n">
        <v>184</v>
      </c>
      <c r="G951" s="98" t="s">
        <v>333</v>
      </c>
      <c r="H951" s="112" t="n">
        <f aca="false">IF(AND(AE951="yes",ISNUMBER(AD951)),AD951,"")</f>
        <v>184</v>
      </c>
      <c r="I951" s="95" t="n">
        <f aca="false">IF(AND(AE951="yes",ISNUMBER(AD951),ISNUMBER(INDEX(Sources!$G$7:$G$10,MATCH(AB951,Sources!$B$7:$B$10,0)))),ROUND(AD951/INDEX(Sources!$G$7:$G$10,MATCH(AB951,Sources!$B$7:$B$10,0)),6),"")</f>
        <v>7.533692</v>
      </c>
      <c r="J951" s="98" t="s">
        <v>530</v>
      </c>
      <c r="K951" s="98" t="s">
        <v>2059</v>
      </c>
      <c r="L951" s="96"/>
      <c r="M951" s="110" t="s">
        <v>3178</v>
      </c>
      <c r="N951" s="117" t="s">
        <v>3179</v>
      </c>
      <c r="O951" s="110" t="s">
        <v>642</v>
      </c>
      <c r="P951" s="110" t="s">
        <v>590</v>
      </c>
      <c r="Q951" s="118" t="n">
        <v>0.21</v>
      </c>
      <c r="R951" s="110" t="n">
        <v>1</v>
      </c>
      <c r="S951" s="110" t="s">
        <v>632</v>
      </c>
      <c r="T951" s="110" t="s">
        <v>530</v>
      </c>
      <c r="U951" s="110" t="s">
        <v>2913</v>
      </c>
      <c r="V951" s="119" t="n">
        <v>184</v>
      </c>
      <c r="W951" s="119"/>
      <c r="X951" s="110" t="s">
        <v>2063</v>
      </c>
      <c r="Y951" s="110" t="s">
        <v>2064</v>
      </c>
      <c r="Z951" s="110" t="s">
        <v>3180</v>
      </c>
      <c r="AA951" s="110" t="s">
        <v>537</v>
      </c>
      <c r="AB951" s="110" t="s">
        <v>333</v>
      </c>
      <c r="AC951" s="110" t="s">
        <v>538</v>
      </c>
      <c r="AD951" s="110" t="n">
        <f aca="false">IF(OR(F951="",Q951="",R951=""),"",ROUND(IF(P951="incl.",F951/(1+Q951),F951)/IF(S951="per pack",R951,1),2))</f>
        <v>184</v>
      </c>
      <c r="AE951" s="110" t="str">
        <f aca="false">IF(AND(AC951="yes",ISNUMBER(F951),IF(Compare!$H$5="All mapped",TRUE(),IF(Compare!$H$5="EXACT only",J951="EXACT",OR(J951="EXACT",J951="CLOSE")))),"yes","no")</f>
        <v>yes</v>
      </c>
      <c r="AF951" s="110" t="n">
        <f aca="false">IF(ISNUMBER(H951),COUNTIFS($B$7:$B$3000,B951,$C$7:$C$3000,C951,$H$7:$H$3000,"&lt;"&amp;H951,$AH$7:$AH$3000,"yes")+COUNTIFS($B$7:B951,B951,$C$7:C951,C951,$H$7:H951,H951,$AH$7:AH951,"yes"),"")</f>
        <v>4</v>
      </c>
      <c r="AG951" s="110" t="n">
        <f aca="false">IF(ISNUMBER(I951),COUNTIFS($B$7:$B$3000,B951,$C$7:$C$3000,C951,$I$7:$I$3000,"&lt;"&amp;I951,$AI$7:$AI$3000,"yes")+COUNTIFS($B$7:B951,B951,$C$7:C951,C951,$I$7:I951,I951,$AI$7:AI951,"yes"),"")</f>
        <v>4</v>
      </c>
      <c r="AH951" s="110" t="str">
        <f aca="false">IF(ISNUMBER(H951),"yes","no")</f>
        <v>yes</v>
      </c>
      <c r="AI951" s="110" t="str">
        <f aca="false">IF(ISNUMBER(I951),"yes","no")</f>
        <v>yes</v>
      </c>
      <c r="AJ951" s="120" t="n">
        <v>46297</v>
      </c>
      <c r="AK951" s="110"/>
    </row>
    <row r="952" customFormat="false" ht="35.05" hidden="false" customHeight="false" outlineLevel="0" collapsed="false">
      <c r="B952" s="36" t="s">
        <v>68</v>
      </c>
      <c r="C952" s="98" t="s">
        <v>18</v>
      </c>
      <c r="D952" s="98" t="s">
        <v>3002</v>
      </c>
      <c r="E952" s="110" t="s">
        <v>3181</v>
      </c>
      <c r="F952" s="99" t="n">
        <v>6.4</v>
      </c>
      <c r="G952" s="98" t="s">
        <v>244</v>
      </c>
      <c r="H952" s="112" t="n">
        <f aca="false">IF(AND(AE952="yes",ISNUMBER(AD952)),AD952,"")</f>
        <v>6.4</v>
      </c>
      <c r="I952" s="95" t="n">
        <f aca="false">IF(AND(AE952="yes",ISNUMBER(AD952),ISNUMBER(INDEX(Sources!$G$7:$G$10,MATCH(AB952,Sources!$B$7:$B$10,0)))),ROUND(AD952/INDEX(Sources!$G$7:$G$10,MATCH(AB952,Sources!$B$7:$B$10,0)),6),"")</f>
        <v>6.4</v>
      </c>
      <c r="J952" s="98" t="s">
        <v>530</v>
      </c>
      <c r="K952" s="98" t="s">
        <v>2059</v>
      </c>
      <c r="L952" s="96"/>
      <c r="M952" s="110" t="s">
        <v>3182</v>
      </c>
      <c r="N952" s="117" t="s">
        <v>3005</v>
      </c>
      <c r="O952" s="110" t="s">
        <v>2396</v>
      </c>
      <c r="P952" s="110" t="s">
        <v>590</v>
      </c>
      <c r="Q952" s="118" t="n">
        <v>0.23</v>
      </c>
      <c r="R952" s="110" t="n">
        <v>1</v>
      </c>
      <c r="S952" s="110" t="s">
        <v>632</v>
      </c>
      <c r="T952" s="110" t="s">
        <v>530</v>
      </c>
      <c r="U952" s="110" t="s">
        <v>2913</v>
      </c>
      <c r="V952" s="119" t="n">
        <v>6.4</v>
      </c>
      <c r="W952" s="119"/>
      <c r="X952" s="110" t="s">
        <v>2063</v>
      </c>
      <c r="Y952" s="110" t="s">
        <v>2064</v>
      </c>
      <c r="Z952" s="110" t="s">
        <v>3006</v>
      </c>
      <c r="AA952" s="110" t="s">
        <v>537</v>
      </c>
      <c r="AB952" s="110" t="s">
        <v>244</v>
      </c>
      <c r="AC952" s="110" t="s">
        <v>538</v>
      </c>
      <c r="AD952" s="110" t="n">
        <f aca="false">IF(OR(F952="",Q952="",R952=""),"",ROUND(IF(P952="incl.",F952/(1+Q952),F952)/IF(S952="per pack",R952,1),2))</f>
        <v>6.4</v>
      </c>
      <c r="AE952" s="110" t="str">
        <f aca="false">IF(AND(AC952="yes",ISNUMBER(F952),IF(Compare!$H$5="All mapped",TRUE(),IF(Compare!$H$5="EXACT only",J952="EXACT",OR(J952="EXACT",J952="CLOSE")))),"yes","no")</f>
        <v>yes</v>
      </c>
      <c r="AF952" s="110" t="n">
        <f aca="false">IF(ISNUMBER(H952),COUNTIFS($B$7:$B$3000,B952,$C$7:$C$3000,C952,$H$7:$H$3000,"&lt;"&amp;H952,$AH$7:$AH$3000,"yes")+COUNTIFS($B$7:B952,B952,$C$7:C952,C952,$H$7:H952,H952,$AH$7:AH952,"yes"),"")</f>
        <v>4</v>
      </c>
      <c r="AG952" s="110" t="n">
        <f aca="false">IF(ISNUMBER(I952),COUNTIFS($B$7:$B$3000,B952,$C$7:$C$3000,C952,$I$7:$I$3000,"&lt;"&amp;I952,$AI$7:$AI$3000,"yes")+COUNTIFS($B$7:B952,B952,$C$7:C952,C952,$I$7:I952,I952,$AI$7:AI952,"yes"),"")</f>
        <v>4</v>
      </c>
      <c r="AH952" s="110" t="str">
        <f aca="false">IF(ISNUMBER(H952),"yes","no")</f>
        <v>yes</v>
      </c>
      <c r="AI952" s="110" t="str">
        <f aca="false">IF(ISNUMBER(I952),"yes","no")</f>
        <v>yes</v>
      </c>
      <c r="AJ952" s="120" t="n">
        <v>46297</v>
      </c>
      <c r="AK952" s="110"/>
    </row>
    <row r="953" customFormat="false" ht="23.85" hidden="false" customHeight="false" outlineLevel="0" collapsed="false">
      <c r="B953" s="36" t="s">
        <v>68</v>
      </c>
      <c r="C953" s="98" t="s">
        <v>18</v>
      </c>
      <c r="D953" s="98" t="s">
        <v>3007</v>
      </c>
      <c r="E953" s="110" t="s">
        <v>3183</v>
      </c>
      <c r="F953" s="99" t="n">
        <v>5.21</v>
      </c>
      <c r="G953" s="98" t="s">
        <v>244</v>
      </c>
      <c r="H953" s="112" t="n">
        <f aca="false">IF(AND(AE953="yes",ISNUMBER(AD953)),AD953,"")</f>
        <v>5.21</v>
      </c>
      <c r="I953" s="95" t="n">
        <f aca="false">IF(AND(AE953="yes",ISNUMBER(AD953),ISNUMBER(INDEX(Sources!$G$7:$G$10,MATCH(AB953,Sources!$B$7:$B$10,0)))),ROUND(AD953/INDEX(Sources!$G$7:$G$10,MATCH(AB953,Sources!$B$7:$B$10,0)),6),"")</f>
        <v>5.21</v>
      </c>
      <c r="J953" s="98" t="s">
        <v>530</v>
      </c>
      <c r="K953" s="98" t="s">
        <v>2059</v>
      </c>
      <c r="L953" s="96"/>
      <c r="M953" s="110" t="s">
        <v>3184</v>
      </c>
      <c r="N953" s="117" t="s">
        <v>3010</v>
      </c>
      <c r="O953" s="110" t="s">
        <v>3011</v>
      </c>
      <c r="P953" s="110" t="s">
        <v>590</v>
      </c>
      <c r="Q953" s="118" t="n">
        <v>0.23</v>
      </c>
      <c r="R953" s="110" t="n">
        <v>1</v>
      </c>
      <c r="S953" s="110" t="s">
        <v>632</v>
      </c>
      <c r="T953" s="110" t="s">
        <v>530</v>
      </c>
      <c r="U953" s="110" t="s">
        <v>2913</v>
      </c>
      <c r="V953" s="119" t="n">
        <v>5.21</v>
      </c>
      <c r="W953" s="119"/>
      <c r="X953" s="110" t="s">
        <v>2063</v>
      </c>
      <c r="Y953" s="110" t="s">
        <v>2064</v>
      </c>
      <c r="Z953" s="110" t="s">
        <v>3012</v>
      </c>
      <c r="AA953" s="110" t="s">
        <v>537</v>
      </c>
      <c r="AB953" s="110" t="s">
        <v>244</v>
      </c>
      <c r="AC953" s="110" t="s">
        <v>538</v>
      </c>
      <c r="AD953" s="110" t="n">
        <f aca="false">IF(OR(F953="",Q953="",R953=""),"",ROUND(IF(P953="incl.",F953/(1+Q953),F953)/IF(S953="per pack",R953,1),2))</f>
        <v>5.21</v>
      </c>
      <c r="AE953" s="110" t="str">
        <f aca="false">IF(AND(AC953="yes",ISNUMBER(F953),IF(Compare!$H$5="All mapped",TRUE(),IF(Compare!$H$5="EXACT only",J953="EXACT",OR(J953="EXACT",J953="CLOSE")))),"yes","no")</f>
        <v>yes</v>
      </c>
      <c r="AF953" s="110" t="n">
        <f aca="false">IF(ISNUMBER(H953),COUNTIFS($B$7:$B$3000,B953,$C$7:$C$3000,C953,$H$7:$H$3000,"&lt;"&amp;H953,$AH$7:$AH$3000,"yes")+COUNTIFS($B$7:B953,B953,$C$7:C953,C953,$H$7:H953,H953,$AH$7:AH953,"yes"),"")</f>
        <v>1</v>
      </c>
      <c r="AG953" s="110" t="n">
        <f aca="false">IF(ISNUMBER(I953),COUNTIFS($B$7:$B$3000,B953,$C$7:$C$3000,C953,$I$7:$I$3000,"&lt;"&amp;I953,$AI$7:$AI$3000,"yes")+COUNTIFS($B$7:B953,B953,$C$7:C953,C953,$I$7:I953,I953,$AI$7:AI953,"yes"),"")</f>
        <v>1</v>
      </c>
      <c r="AH953" s="110" t="str">
        <f aca="false">IF(ISNUMBER(H953),"yes","no")</f>
        <v>yes</v>
      </c>
      <c r="AI953" s="110" t="str">
        <f aca="false">IF(ISNUMBER(I953),"yes","no")</f>
        <v>yes</v>
      </c>
      <c r="AJ953" s="120" t="n">
        <v>46297</v>
      </c>
      <c r="AK953" s="110"/>
    </row>
    <row r="954" customFormat="false" ht="35.05" hidden="false" customHeight="false" outlineLevel="0" collapsed="false">
      <c r="B954" s="36" t="s">
        <v>68</v>
      </c>
      <c r="C954" s="98" t="s">
        <v>18</v>
      </c>
      <c r="D954" s="98" t="s">
        <v>365</v>
      </c>
      <c r="E954" s="110" t="s">
        <v>3185</v>
      </c>
      <c r="F954" s="99" t="n">
        <v>7.56</v>
      </c>
      <c r="G954" s="98" t="s">
        <v>244</v>
      </c>
      <c r="H954" s="112" t="n">
        <f aca="false">IF(AND(AE954="yes",ISNUMBER(AD954)),AD954,"")</f>
        <v>6.15</v>
      </c>
      <c r="I954" s="95" t="n">
        <f aca="false">IF(AND(AE954="yes",ISNUMBER(AD954),ISNUMBER(INDEX(Sources!$G$7:$G$10,MATCH(AB954,Sources!$B$7:$B$10,0)))),ROUND(AD954/INDEX(Sources!$G$7:$G$10,MATCH(AB954,Sources!$B$7:$B$10,0)),6),"")</f>
        <v>6.15</v>
      </c>
      <c r="J954" s="98" t="s">
        <v>530</v>
      </c>
      <c r="K954" s="98" t="s">
        <v>2059</v>
      </c>
      <c r="L954" s="96"/>
      <c r="M954" s="110" t="s">
        <v>3186</v>
      </c>
      <c r="N954" s="117" t="s">
        <v>3187</v>
      </c>
      <c r="O954" s="110" t="s">
        <v>3076</v>
      </c>
      <c r="P954" s="110" t="s">
        <v>265</v>
      </c>
      <c r="Q954" s="118" t="n">
        <v>0.23</v>
      </c>
      <c r="R954" s="110" t="n">
        <v>1</v>
      </c>
      <c r="S954" s="110" t="s">
        <v>632</v>
      </c>
      <c r="T954" s="110" t="s">
        <v>530</v>
      </c>
      <c r="U954" s="110" t="s">
        <v>2918</v>
      </c>
      <c r="V954" s="119" t="n">
        <v>6.15</v>
      </c>
      <c r="W954" s="119"/>
      <c r="X954" s="110" t="s">
        <v>2063</v>
      </c>
      <c r="Y954" s="110" t="s">
        <v>2064</v>
      </c>
      <c r="Z954" s="110" t="s">
        <v>3016</v>
      </c>
      <c r="AA954" s="110" t="s">
        <v>537</v>
      </c>
      <c r="AB954" s="110" t="s">
        <v>244</v>
      </c>
      <c r="AC954" s="110" t="s">
        <v>538</v>
      </c>
      <c r="AD954" s="110" t="n">
        <f aca="false">IF(OR(F954="",Q954="",R954=""),"",ROUND(IF(P954="incl.",F954/(1+Q954),F954)/IF(S954="per pack",R954,1),2))</f>
        <v>6.15</v>
      </c>
      <c r="AE954" s="110" t="str">
        <f aca="false">IF(AND(AC954="yes",ISNUMBER(F954),IF(Compare!$H$5="All mapped",TRUE(),IF(Compare!$H$5="EXACT only",J954="EXACT",OR(J954="EXACT",J954="CLOSE")))),"yes","no")</f>
        <v>yes</v>
      </c>
      <c r="AF954" s="110" t="n">
        <f aca="false">IF(ISNUMBER(H954),COUNTIFS($B$7:$B$3000,B954,$C$7:$C$3000,C954,$H$7:$H$3000,"&lt;"&amp;H954,$AH$7:$AH$3000,"yes")+COUNTIFS($B$7:B954,B954,$C$7:C954,C954,$H$7:H954,H954,$AH$7:AH954,"yes"),"")</f>
        <v>3</v>
      </c>
      <c r="AG954" s="110" t="n">
        <f aca="false">IF(ISNUMBER(I954),COUNTIFS($B$7:$B$3000,B954,$C$7:$C$3000,C954,$I$7:$I$3000,"&lt;"&amp;I954,$AI$7:$AI$3000,"yes")+COUNTIFS($B$7:B954,B954,$C$7:C954,C954,$I$7:I954,I954,$AI$7:AI954,"yes"),"")</f>
        <v>3</v>
      </c>
      <c r="AH954" s="110" t="str">
        <f aca="false">IF(ISNUMBER(H954),"yes","no")</f>
        <v>yes</v>
      </c>
      <c r="AI954" s="110" t="str">
        <f aca="false">IF(ISNUMBER(I954),"yes","no")</f>
        <v>yes</v>
      </c>
      <c r="AJ954" s="120" t="n">
        <v>46297</v>
      </c>
      <c r="AK954" s="110"/>
    </row>
    <row r="955" customFormat="false" ht="35.05" hidden="false" customHeight="false" outlineLevel="0" collapsed="false">
      <c r="B955" s="36" t="s">
        <v>68</v>
      </c>
      <c r="C955" s="98" t="s">
        <v>18</v>
      </c>
      <c r="D955" s="98" t="s">
        <v>369</v>
      </c>
      <c r="E955" s="110" t="s">
        <v>3188</v>
      </c>
      <c r="F955" s="99" t="n">
        <v>15.76</v>
      </c>
      <c r="G955" s="98" t="s">
        <v>244</v>
      </c>
      <c r="H955" s="112" t="n">
        <f aca="false">IF(AND(AE955="yes",ISNUMBER(AD955)),AD955,"")</f>
        <v>12.81</v>
      </c>
      <c r="I955" s="95" t="n">
        <f aca="false">IF(AND(AE955="yes",ISNUMBER(AD955),ISNUMBER(INDEX(Sources!$G$7:$G$10,MATCH(AB955,Sources!$B$7:$B$10,0)))),ROUND(AD955/INDEX(Sources!$G$7:$G$10,MATCH(AB955,Sources!$B$7:$B$10,0)),6),"")</f>
        <v>12.81</v>
      </c>
      <c r="J955" s="98" t="s">
        <v>530</v>
      </c>
      <c r="K955" s="98" t="s">
        <v>2059</v>
      </c>
      <c r="L955" s="96"/>
      <c r="M955" s="110" t="s">
        <v>3189</v>
      </c>
      <c r="N955" s="117" t="s">
        <v>3190</v>
      </c>
      <c r="O955" s="110" t="s">
        <v>565</v>
      </c>
      <c r="P955" s="110" t="s">
        <v>265</v>
      </c>
      <c r="Q955" s="118" t="n">
        <v>0.23</v>
      </c>
      <c r="R955" s="110" t="n">
        <v>1</v>
      </c>
      <c r="S955" s="110" t="s">
        <v>632</v>
      </c>
      <c r="T955" s="110" t="s">
        <v>530</v>
      </c>
      <c r="U955" s="110" t="s">
        <v>2918</v>
      </c>
      <c r="V955" s="119" t="n">
        <v>12.81</v>
      </c>
      <c r="W955" s="119"/>
      <c r="X955" s="110" t="s">
        <v>2063</v>
      </c>
      <c r="Y955" s="110" t="s">
        <v>2064</v>
      </c>
      <c r="Z955" s="110" t="s">
        <v>3020</v>
      </c>
      <c r="AA955" s="110" t="s">
        <v>537</v>
      </c>
      <c r="AB955" s="110" t="s">
        <v>244</v>
      </c>
      <c r="AC955" s="110" t="s">
        <v>538</v>
      </c>
      <c r="AD955" s="110" t="n">
        <f aca="false">IF(OR(F955="",Q955="",R955=""),"",ROUND(IF(P955="incl.",F955/(1+Q955),F955)/IF(S955="per pack",R955,1),2))</f>
        <v>12.81</v>
      </c>
      <c r="AE955" s="110" t="str">
        <f aca="false">IF(AND(AC955="yes",ISNUMBER(F955),IF(Compare!$H$5="All mapped",TRUE(),IF(Compare!$H$5="EXACT only",J955="EXACT",OR(J955="EXACT",J955="CLOSE")))),"yes","no")</f>
        <v>yes</v>
      </c>
      <c r="AF955" s="110" t="n">
        <f aca="false">IF(ISNUMBER(H955),COUNTIFS($B$7:$B$3000,B955,$C$7:$C$3000,C955,$H$7:$H$3000,"&lt;"&amp;H955,$AH$7:$AH$3000,"yes")+COUNTIFS($B$7:B955,B955,$C$7:C955,C955,$H$7:H955,H955,$AH$7:AH955,"yes"),"")</f>
        <v>5</v>
      </c>
      <c r="AG955" s="110" t="n">
        <f aca="false">IF(ISNUMBER(I955),COUNTIFS($B$7:$B$3000,B955,$C$7:$C$3000,C955,$I$7:$I$3000,"&lt;"&amp;I955,$AI$7:$AI$3000,"yes")+COUNTIFS($B$7:B955,B955,$C$7:C955,C955,$I$7:I955,I955,$AI$7:AI955,"yes"),"")</f>
        <v>5</v>
      </c>
      <c r="AH955" s="110" t="str">
        <f aca="false">IF(ISNUMBER(H955),"yes","no")</f>
        <v>yes</v>
      </c>
      <c r="AI955" s="110" t="str">
        <f aca="false">IF(ISNUMBER(I955),"yes","no")</f>
        <v>yes</v>
      </c>
      <c r="AJ955" s="120" t="n">
        <v>46297</v>
      </c>
      <c r="AK955" s="110"/>
    </row>
    <row r="956" customFormat="false" ht="35.05" hidden="false" customHeight="false" outlineLevel="0" collapsed="false">
      <c r="B956" s="36" t="s">
        <v>68</v>
      </c>
      <c r="C956" s="98" t="s">
        <v>18</v>
      </c>
      <c r="D956" s="98" t="s">
        <v>3021</v>
      </c>
      <c r="E956" s="110" t="s">
        <v>3191</v>
      </c>
      <c r="F956" s="99" t="n">
        <v>5.47</v>
      </c>
      <c r="G956" s="98" t="s">
        <v>244</v>
      </c>
      <c r="H956" s="112" t="n">
        <f aca="false">IF(AND(AE956="yes",ISNUMBER(AD956)),AD956,"")</f>
        <v>5.47</v>
      </c>
      <c r="I956" s="95" t="n">
        <f aca="false">IF(AND(AE956="yes",ISNUMBER(AD956),ISNUMBER(INDEX(Sources!$G$7:$G$10,MATCH(AB956,Sources!$B$7:$B$10,0)))),ROUND(AD956/INDEX(Sources!$G$7:$G$10,MATCH(AB956,Sources!$B$7:$B$10,0)),6),"")</f>
        <v>5.47</v>
      </c>
      <c r="J956" s="98" t="s">
        <v>530</v>
      </c>
      <c r="K956" s="98" t="s">
        <v>2059</v>
      </c>
      <c r="L956" s="96"/>
      <c r="M956" s="110" t="s">
        <v>3192</v>
      </c>
      <c r="N956" s="117" t="s">
        <v>3023</v>
      </c>
      <c r="O956" s="110" t="s">
        <v>3024</v>
      </c>
      <c r="P956" s="110" t="s">
        <v>590</v>
      </c>
      <c r="Q956" s="118" t="n">
        <v>0.23</v>
      </c>
      <c r="R956" s="110" t="n">
        <v>1</v>
      </c>
      <c r="S956" s="110" t="s">
        <v>632</v>
      </c>
      <c r="T956" s="110" t="s">
        <v>530</v>
      </c>
      <c r="U956" s="110" t="s">
        <v>2913</v>
      </c>
      <c r="V956" s="119" t="n">
        <v>5.47</v>
      </c>
      <c r="W956" s="119"/>
      <c r="X956" s="110" t="s">
        <v>2063</v>
      </c>
      <c r="Y956" s="110" t="s">
        <v>2064</v>
      </c>
      <c r="Z956" s="110" t="s">
        <v>3025</v>
      </c>
      <c r="AA956" s="110" t="s">
        <v>537</v>
      </c>
      <c r="AB956" s="110" t="s">
        <v>244</v>
      </c>
      <c r="AC956" s="110" t="s">
        <v>538</v>
      </c>
      <c r="AD956" s="110" t="n">
        <f aca="false">IF(OR(F956="",Q956="",R956=""),"",ROUND(IF(P956="incl.",F956/(1+Q956),F956)/IF(S956="per pack",R956,1),2))</f>
        <v>5.47</v>
      </c>
      <c r="AE956" s="110" t="str">
        <f aca="false">IF(AND(AC956="yes",ISNUMBER(F956),IF(Compare!$H$5="All mapped",TRUE(),IF(Compare!$H$5="EXACT only",J956="EXACT",OR(J956="EXACT",J956="CLOSE")))),"yes","no")</f>
        <v>yes</v>
      </c>
      <c r="AF956" s="110" t="n">
        <f aca="false">IF(ISNUMBER(H956),COUNTIFS($B$7:$B$3000,B956,$C$7:$C$3000,C956,$H$7:$H$3000,"&lt;"&amp;H956,$AH$7:$AH$3000,"yes")+COUNTIFS($B$7:B956,B956,$C$7:C956,C956,$H$7:H956,H956,$AH$7:AH956,"yes"),"")</f>
        <v>2</v>
      </c>
      <c r="AG956" s="110" t="n">
        <f aca="false">IF(ISNUMBER(I956),COUNTIFS($B$7:$B$3000,B956,$C$7:$C$3000,C956,$I$7:$I$3000,"&lt;"&amp;I956,$AI$7:$AI$3000,"yes")+COUNTIFS($B$7:B956,B956,$C$7:C956,C956,$I$7:I956,I956,$AI$7:AI956,"yes"),"")</f>
        <v>2</v>
      </c>
      <c r="AH956" s="110" t="str">
        <f aca="false">IF(ISNUMBER(H956),"yes","no")</f>
        <v>yes</v>
      </c>
      <c r="AI956" s="110" t="str">
        <f aca="false">IF(ISNUMBER(I956),"yes","no")</f>
        <v>yes</v>
      </c>
      <c r="AJ956" s="120" t="n">
        <v>46297</v>
      </c>
      <c r="AK956" s="110"/>
    </row>
    <row r="957" customFormat="false" ht="35.05" hidden="false" customHeight="false" outlineLevel="0" collapsed="false">
      <c r="B957" s="36" t="s">
        <v>69</v>
      </c>
      <c r="C957" s="98" t="s">
        <v>14</v>
      </c>
      <c r="D957" s="98" t="s">
        <v>373</v>
      </c>
      <c r="E957" s="110" t="s">
        <v>3193</v>
      </c>
      <c r="F957" s="99" t="n">
        <v>36.65</v>
      </c>
      <c r="G957" s="98" t="s">
        <v>374</v>
      </c>
      <c r="H957" s="112" t="n">
        <f aca="false">IF(AND(AE957="yes",ISNUMBER(AD957)),AD957,"")</f>
        <v>36.65</v>
      </c>
      <c r="I957" s="95" t="n">
        <f aca="false">IF(AND(AE957="yes",ISNUMBER(AD957),ISNUMBER(INDEX(Sources!$G$7:$G$10,MATCH(AB957,Sources!$B$7:$B$10,0)))),ROUND(AD957/INDEX(Sources!$G$7:$G$10,MATCH(AB957,Sources!$B$7:$B$10,0)),6),"")</f>
        <v>6.94439</v>
      </c>
      <c r="J957" s="98" t="s">
        <v>530</v>
      </c>
      <c r="K957" s="98" t="s">
        <v>2059</v>
      </c>
      <c r="L957" s="96"/>
      <c r="M957" s="110" t="s">
        <v>3194</v>
      </c>
      <c r="N957" s="117" t="s">
        <v>3112</v>
      </c>
      <c r="O957" s="110" t="s">
        <v>2912</v>
      </c>
      <c r="P957" s="110" t="s">
        <v>590</v>
      </c>
      <c r="Q957" s="118" t="n">
        <v>0.21</v>
      </c>
      <c r="R957" s="110" t="n">
        <v>1</v>
      </c>
      <c r="S957" s="110" t="s">
        <v>632</v>
      </c>
      <c r="T957" s="110" t="s">
        <v>530</v>
      </c>
      <c r="U957" s="110" t="s">
        <v>2913</v>
      </c>
      <c r="V957" s="119" t="n">
        <v>36.65</v>
      </c>
      <c r="W957" s="119"/>
      <c r="X957" s="110" t="s">
        <v>2063</v>
      </c>
      <c r="Y957" s="110" t="s">
        <v>2064</v>
      </c>
      <c r="Z957" s="110"/>
      <c r="AA957" s="110" t="s">
        <v>537</v>
      </c>
      <c r="AB957" s="110" t="s">
        <v>374</v>
      </c>
      <c r="AC957" s="110" t="s">
        <v>538</v>
      </c>
      <c r="AD957" s="110" t="n">
        <f aca="false">IF(OR(F957="",Q957="",R957=""),"",ROUND(IF(P957="incl.",F957/(1+Q957),F957)/IF(S957="per pack",R957,1),2))</f>
        <v>36.65</v>
      </c>
      <c r="AE957" s="110" t="str">
        <f aca="false">IF(AND(AC957="yes",ISNUMBER(F957),IF(Compare!$H$5="All mapped",TRUE(),IF(Compare!$H$5="EXACT only",J957="EXACT",OR(J957="EXACT",J957="CLOSE")))),"yes","no")</f>
        <v>yes</v>
      </c>
      <c r="AF957" s="110" t="n">
        <f aca="false">IF(ISNUMBER(H957),COUNTIFS($B$7:$B$3000,B957,$C$7:$C$3000,C957,$H$7:$H$3000,"&lt;"&amp;H957,$AH$7:$AH$3000,"yes")+COUNTIFS($B$7:B957,B957,$C$7:C957,C957,$H$7:H957,H957,$AH$7:AH957,"yes"),"")</f>
        <v>3</v>
      </c>
      <c r="AG957" s="110" t="n">
        <f aca="false">IF(ISNUMBER(I957),COUNTIFS($B$7:$B$3000,B957,$C$7:$C$3000,C957,$I$7:$I$3000,"&lt;"&amp;I957,$AI$7:$AI$3000,"yes")+COUNTIFS($B$7:B957,B957,$C$7:C957,C957,$I$7:I957,I957,$AI$7:AI957,"yes"),"")</f>
        <v>3</v>
      </c>
      <c r="AH957" s="110" t="str">
        <f aca="false">IF(ISNUMBER(H957),"yes","no")</f>
        <v>yes</v>
      </c>
      <c r="AI957" s="110" t="str">
        <f aca="false">IF(ISNUMBER(I957),"yes","no")</f>
        <v>yes</v>
      </c>
      <c r="AJ957" s="120" t="n">
        <v>46297</v>
      </c>
      <c r="AK957" s="110"/>
    </row>
    <row r="958" customFormat="false" ht="23.85" hidden="false" customHeight="false" outlineLevel="0" collapsed="false">
      <c r="B958" s="36" t="s">
        <v>69</v>
      </c>
      <c r="C958" s="98" t="s">
        <v>14</v>
      </c>
      <c r="D958" s="98" t="s">
        <v>378</v>
      </c>
      <c r="E958" s="110" t="s">
        <v>3195</v>
      </c>
      <c r="F958" s="99" t="n">
        <v>53.8</v>
      </c>
      <c r="G958" s="98" t="s">
        <v>374</v>
      </c>
      <c r="H958" s="112" t="n">
        <f aca="false">IF(AND(AE958="yes",ISNUMBER(AD958)),AD958,"")</f>
        <v>44.46</v>
      </c>
      <c r="I958" s="95" t="n">
        <f aca="false">IF(AND(AE958="yes",ISNUMBER(AD958),ISNUMBER(INDEX(Sources!$G$7:$G$10,MATCH(AB958,Sources!$B$7:$B$10,0)))),ROUND(AD958/INDEX(Sources!$G$7:$G$10,MATCH(AB958,Sources!$B$7:$B$10,0)),6),"")</f>
        <v>8.424217</v>
      </c>
      <c r="J958" s="98" t="s">
        <v>530</v>
      </c>
      <c r="K958" s="98" t="s">
        <v>2059</v>
      </c>
      <c r="L958" s="96"/>
      <c r="M958" s="110" t="s">
        <v>3196</v>
      </c>
      <c r="N958" s="117" t="s">
        <v>3197</v>
      </c>
      <c r="O958" s="110" t="s">
        <v>2917</v>
      </c>
      <c r="P958" s="110" t="s">
        <v>265</v>
      </c>
      <c r="Q958" s="118" t="n">
        <v>0.21</v>
      </c>
      <c r="R958" s="110" t="n">
        <v>1</v>
      </c>
      <c r="S958" s="110" t="s">
        <v>632</v>
      </c>
      <c r="T958" s="110" t="s">
        <v>530</v>
      </c>
      <c r="U958" s="110" t="s">
        <v>2918</v>
      </c>
      <c r="V958" s="119" t="n">
        <v>44.46</v>
      </c>
      <c r="W958" s="119"/>
      <c r="X958" s="110" t="s">
        <v>2063</v>
      </c>
      <c r="Y958" s="110" t="s">
        <v>2064</v>
      </c>
      <c r="Z958" s="110"/>
      <c r="AA958" s="110" t="s">
        <v>537</v>
      </c>
      <c r="AB958" s="110" t="s">
        <v>374</v>
      </c>
      <c r="AC958" s="110" t="s">
        <v>538</v>
      </c>
      <c r="AD958" s="110" t="n">
        <f aca="false">IF(OR(F958="",Q958="",R958=""),"",ROUND(IF(P958="incl.",F958/(1+Q958),F958)/IF(S958="per pack",R958,1),2))</f>
        <v>44.46</v>
      </c>
      <c r="AE958" s="110" t="str">
        <f aca="false">IF(AND(AC958="yes",ISNUMBER(F958),IF(Compare!$H$5="All mapped",TRUE(),IF(Compare!$H$5="EXACT only",J958="EXACT",OR(J958="EXACT",J958="CLOSE")))),"yes","no")</f>
        <v>yes</v>
      </c>
      <c r="AF958" s="110" t="n">
        <f aca="false">IF(ISNUMBER(H958),COUNTIFS($B$7:$B$3000,B958,$C$7:$C$3000,C958,$H$7:$H$3000,"&lt;"&amp;H958,$AH$7:$AH$3000,"yes")+COUNTIFS($B$7:B958,B958,$C$7:C958,C958,$H$7:H958,H958,$AH$7:AH958,"yes"),"")</f>
        <v>4</v>
      </c>
      <c r="AG958" s="110" t="n">
        <f aca="false">IF(ISNUMBER(I958),COUNTIFS($B$7:$B$3000,B958,$C$7:$C$3000,C958,$I$7:$I$3000,"&lt;"&amp;I958,$AI$7:$AI$3000,"yes")+COUNTIFS($B$7:B958,B958,$C$7:C958,C958,$I$7:I958,I958,$AI$7:AI958,"yes"),"")</f>
        <v>4</v>
      </c>
      <c r="AH958" s="110" t="str">
        <f aca="false">IF(ISNUMBER(H958),"yes","no")</f>
        <v>yes</v>
      </c>
      <c r="AI958" s="110" t="str">
        <f aca="false">IF(ISNUMBER(I958),"yes","no")</f>
        <v>yes</v>
      </c>
      <c r="AJ958" s="120" t="n">
        <v>46297</v>
      </c>
      <c r="AK958" s="110"/>
    </row>
    <row r="959" customFormat="false" ht="35.05" hidden="false" customHeight="false" outlineLevel="0" collapsed="false">
      <c r="B959" s="36" t="s">
        <v>69</v>
      </c>
      <c r="C959" s="98" t="s">
        <v>14</v>
      </c>
      <c r="D959" s="98" t="s">
        <v>346</v>
      </c>
      <c r="E959" s="110" t="s">
        <v>3198</v>
      </c>
      <c r="F959" s="99" t="n">
        <v>79.97</v>
      </c>
      <c r="G959" s="98" t="s">
        <v>374</v>
      </c>
      <c r="H959" s="112" t="n">
        <f aca="false">IF(AND(AE959="yes",ISNUMBER(AD959)),AD959,"")</f>
        <v>66.09</v>
      </c>
      <c r="I959" s="95" t="n">
        <f aca="false">IF(AND(AE959="yes",ISNUMBER(AD959),ISNUMBER(INDEX(Sources!$G$7:$G$10,MATCH(AB959,Sources!$B$7:$B$10,0)))),ROUND(AD959/INDEX(Sources!$G$7:$G$10,MATCH(AB959,Sources!$B$7:$B$10,0)),6),"")</f>
        <v>12.522639</v>
      </c>
      <c r="J959" s="98" t="s">
        <v>530</v>
      </c>
      <c r="K959" s="98" t="s">
        <v>2059</v>
      </c>
      <c r="L959" s="96"/>
      <c r="M959" s="110" t="s">
        <v>3199</v>
      </c>
      <c r="N959" s="117" t="s">
        <v>3200</v>
      </c>
      <c r="O959" s="110" t="s">
        <v>565</v>
      </c>
      <c r="P959" s="110" t="s">
        <v>265</v>
      </c>
      <c r="Q959" s="118" t="n">
        <v>0.21</v>
      </c>
      <c r="R959" s="110" t="n">
        <v>1</v>
      </c>
      <c r="S959" s="110" t="s">
        <v>632</v>
      </c>
      <c r="T959" s="110" t="s">
        <v>530</v>
      </c>
      <c r="U959" s="110" t="s">
        <v>2918</v>
      </c>
      <c r="V959" s="119" t="n">
        <v>66.09</v>
      </c>
      <c r="W959" s="119"/>
      <c r="X959" s="110" t="s">
        <v>2063</v>
      </c>
      <c r="Y959" s="110" t="s">
        <v>2064</v>
      </c>
      <c r="Z959" s="110"/>
      <c r="AA959" s="110" t="s">
        <v>537</v>
      </c>
      <c r="AB959" s="110" t="s">
        <v>374</v>
      </c>
      <c r="AC959" s="110" t="s">
        <v>538</v>
      </c>
      <c r="AD959" s="110" t="n">
        <f aca="false">IF(OR(F959="",Q959="",R959=""),"",ROUND(IF(P959="incl.",F959/(1+Q959),F959)/IF(S959="per pack",R959,1),2))</f>
        <v>66.09</v>
      </c>
      <c r="AE959" s="110" t="str">
        <f aca="false">IF(AND(AC959="yes",ISNUMBER(F959),IF(Compare!$H$5="All mapped",TRUE(),IF(Compare!$H$5="EXACT only",J959="EXACT",OR(J959="EXACT",J959="CLOSE")))),"yes","no")</f>
        <v>yes</v>
      </c>
      <c r="AF959" s="110" t="n">
        <f aca="false">IF(ISNUMBER(H959),COUNTIFS($B$7:$B$3000,B959,$C$7:$C$3000,C959,$H$7:$H$3000,"&lt;"&amp;H959,$AH$7:$AH$3000,"yes")+COUNTIFS($B$7:B959,B959,$C$7:C959,C959,$H$7:H959,H959,$AH$7:AH959,"yes"),"")</f>
        <v>5</v>
      </c>
      <c r="AG959" s="110" t="n">
        <f aca="false">IF(ISNUMBER(I959),COUNTIFS($B$7:$B$3000,B959,$C$7:$C$3000,C959,$I$7:$I$3000,"&lt;"&amp;I959,$AI$7:$AI$3000,"yes")+COUNTIFS($B$7:B959,B959,$C$7:C959,C959,$I$7:I959,I959,$AI$7:AI959,"yes"),"")</f>
        <v>5</v>
      </c>
      <c r="AH959" s="110" t="str">
        <f aca="false">IF(ISNUMBER(H959),"yes","no")</f>
        <v>yes</v>
      </c>
      <c r="AI959" s="110" t="str">
        <f aca="false">IF(ISNUMBER(I959),"yes","no")</f>
        <v>yes</v>
      </c>
      <c r="AJ959" s="120" t="n">
        <v>46297</v>
      </c>
      <c r="AK959" s="110"/>
    </row>
    <row r="960" customFormat="false" ht="35.05" hidden="false" customHeight="false" outlineLevel="0" collapsed="false">
      <c r="B960" s="36" t="s">
        <v>69</v>
      </c>
      <c r="C960" s="98" t="s">
        <v>14</v>
      </c>
      <c r="D960" s="98" t="s">
        <v>395</v>
      </c>
      <c r="E960" s="110" t="s">
        <v>3201</v>
      </c>
      <c r="F960" s="99" t="n">
        <v>4.5</v>
      </c>
      <c r="G960" s="98" t="s">
        <v>244</v>
      </c>
      <c r="H960" s="112" t="n">
        <f aca="false">IF(AND(AE960="yes",ISNUMBER(AD960)),AD960,"")</f>
        <v>4.5</v>
      </c>
      <c r="I960" s="95" t="n">
        <f aca="false">IF(AND(AE960="yes",ISNUMBER(AD960),ISNUMBER(INDEX(Sources!$G$7:$G$10,MATCH(AB960,Sources!$B$7:$B$10,0)))),ROUND(AD960/INDEX(Sources!$G$7:$G$10,MATCH(AB960,Sources!$B$7:$B$10,0)),6),"")</f>
        <v>4.5</v>
      </c>
      <c r="J960" s="98" t="s">
        <v>530</v>
      </c>
      <c r="K960" s="98" t="s">
        <v>2059</v>
      </c>
      <c r="L960" s="96"/>
      <c r="M960" s="110" t="s">
        <v>3202</v>
      </c>
      <c r="N960" s="117" t="s">
        <v>3203</v>
      </c>
      <c r="O960" s="110" t="s">
        <v>572</v>
      </c>
      <c r="P960" s="110" t="s">
        <v>590</v>
      </c>
      <c r="Q960" s="118" t="n">
        <v>0.21</v>
      </c>
      <c r="R960" s="110" t="n">
        <v>1</v>
      </c>
      <c r="S960" s="110" t="s">
        <v>632</v>
      </c>
      <c r="T960" s="110" t="s">
        <v>530</v>
      </c>
      <c r="U960" s="110" t="s">
        <v>2913</v>
      </c>
      <c r="V960" s="119" t="n">
        <v>4.5</v>
      </c>
      <c r="W960" s="119"/>
      <c r="X960" s="110" t="s">
        <v>2063</v>
      </c>
      <c r="Y960" s="110" t="s">
        <v>2064</v>
      </c>
      <c r="Z960" s="110" t="s">
        <v>2925</v>
      </c>
      <c r="AA960" s="110" t="s">
        <v>537</v>
      </c>
      <c r="AB960" s="110" t="s">
        <v>244</v>
      </c>
      <c r="AC960" s="110" t="s">
        <v>538</v>
      </c>
      <c r="AD960" s="110" t="n">
        <f aca="false">IF(OR(F960="",Q960="",R960=""),"",ROUND(IF(P960="incl.",F960/(1+Q960),F960)/IF(S960="per pack",R960,1),2))</f>
        <v>4.5</v>
      </c>
      <c r="AE960" s="110" t="str">
        <f aca="false">IF(AND(AC960="yes",ISNUMBER(F960),IF(Compare!$H$5="All mapped",TRUE(),IF(Compare!$H$5="EXACT only",J960="EXACT",OR(J960="EXACT",J960="CLOSE")))),"yes","no")</f>
        <v>yes</v>
      </c>
      <c r="AF960" s="110" t="n">
        <f aca="false">IF(ISNUMBER(H960),COUNTIFS($B$7:$B$3000,B960,$C$7:$C$3000,C960,$H$7:$H$3000,"&lt;"&amp;H960,$AH$7:$AH$3000,"yes")+COUNTIFS($B$7:B960,B960,$C$7:C960,C960,$H$7:H960,H960,$AH$7:AH960,"yes"),"")</f>
        <v>1</v>
      </c>
      <c r="AG960" s="110" t="n">
        <f aca="false">IF(ISNUMBER(I960),COUNTIFS($B$7:$B$3000,B960,$C$7:$C$3000,C960,$I$7:$I$3000,"&lt;"&amp;I960,$AI$7:$AI$3000,"yes")+COUNTIFS($B$7:B960,B960,$C$7:C960,C960,$I$7:I960,I960,$AI$7:AI960,"yes"),"")</f>
        <v>2</v>
      </c>
      <c r="AH960" s="110" t="str">
        <f aca="false">IF(ISNUMBER(H960),"yes","no")</f>
        <v>yes</v>
      </c>
      <c r="AI960" s="110" t="str">
        <f aca="false">IF(ISNUMBER(I960),"yes","no")</f>
        <v>yes</v>
      </c>
      <c r="AJ960" s="120" t="n">
        <v>46297</v>
      </c>
      <c r="AK960" s="110"/>
    </row>
    <row r="961" customFormat="false" ht="23.85" hidden="false" customHeight="false" outlineLevel="0" collapsed="false">
      <c r="B961" s="36" t="s">
        <v>69</v>
      </c>
      <c r="C961" s="98" t="s">
        <v>14</v>
      </c>
      <c r="D961" s="98" t="s">
        <v>403</v>
      </c>
      <c r="E961" s="110" t="s">
        <v>3204</v>
      </c>
      <c r="F961" s="99" t="n">
        <v>23.57</v>
      </c>
      <c r="G961" s="98" t="s">
        <v>374</v>
      </c>
      <c r="H961" s="112" t="n">
        <f aca="false">IF(AND(AE961="yes",ISNUMBER(AD961)),AD961,"")</f>
        <v>23.57</v>
      </c>
      <c r="I961" s="95" t="n">
        <f aca="false">IF(AND(AE961="yes",ISNUMBER(AD961),ISNUMBER(INDEX(Sources!$G$7:$G$10,MATCH(AB961,Sources!$B$7:$B$10,0)))),ROUND(AD961/INDEX(Sources!$G$7:$G$10,MATCH(AB961,Sources!$B$7:$B$10,0)),6),"")</f>
        <v>4.46601</v>
      </c>
      <c r="J961" s="98" t="s">
        <v>530</v>
      </c>
      <c r="K961" s="98" t="s">
        <v>2059</v>
      </c>
      <c r="L961" s="96"/>
      <c r="M961" s="110" t="s">
        <v>3205</v>
      </c>
      <c r="N961" s="117" t="s">
        <v>3206</v>
      </c>
      <c r="O961" s="110" t="s">
        <v>1138</v>
      </c>
      <c r="P961" s="110" t="s">
        <v>590</v>
      </c>
      <c r="Q961" s="118" t="n">
        <v>0.21</v>
      </c>
      <c r="R961" s="110" t="n">
        <v>1</v>
      </c>
      <c r="S961" s="110" t="s">
        <v>632</v>
      </c>
      <c r="T961" s="110" t="s">
        <v>530</v>
      </c>
      <c r="U961" s="110" t="s">
        <v>2913</v>
      </c>
      <c r="V961" s="119" t="n">
        <v>23.57</v>
      </c>
      <c r="W961" s="119"/>
      <c r="X961" s="110" t="s">
        <v>2063</v>
      </c>
      <c r="Y961" s="110" t="s">
        <v>2064</v>
      </c>
      <c r="Z961" s="110"/>
      <c r="AA961" s="110" t="s">
        <v>537</v>
      </c>
      <c r="AB961" s="110" t="s">
        <v>374</v>
      </c>
      <c r="AC961" s="110" t="s">
        <v>538</v>
      </c>
      <c r="AD961" s="110" t="n">
        <f aca="false">IF(OR(F961="",Q961="",R961=""),"",ROUND(IF(P961="incl.",F961/(1+Q961),F961)/IF(S961="per pack",R961,1),2))</f>
        <v>23.57</v>
      </c>
      <c r="AE961" s="110" t="str">
        <f aca="false">IF(AND(AC961="yes",ISNUMBER(F961),IF(Compare!$H$5="All mapped",TRUE(),IF(Compare!$H$5="EXACT only",J961="EXACT",OR(J961="EXACT",J961="CLOSE")))),"yes","no")</f>
        <v>yes</v>
      </c>
      <c r="AF961" s="110" t="n">
        <f aca="false">IF(ISNUMBER(H961),COUNTIFS($B$7:$B$3000,B961,$C$7:$C$3000,C961,$H$7:$H$3000,"&lt;"&amp;H961,$AH$7:$AH$3000,"yes")+COUNTIFS($B$7:B961,B961,$C$7:C961,C961,$H$7:H961,H961,$AH$7:AH961,"yes"),"")</f>
        <v>2</v>
      </c>
      <c r="AG961" s="110" t="n">
        <f aca="false">IF(ISNUMBER(I961),COUNTIFS($B$7:$B$3000,B961,$C$7:$C$3000,C961,$I$7:$I$3000,"&lt;"&amp;I961,$AI$7:$AI$3000,"yes")+COUNTIFS($B$7:B961,B961,$C$7:C961,C961,$I$7:I961,I961,$AI$7:AI961,"yes"),"")</f>
        <v>1</v>
      </c>
      <c r="AH961" s="110" t="str">
        <f aca="false">IF(ISNUMBER(H961),"yes","no")</f>
        <v>yes</v>
      </c>
      <c r="AI961" s="110" t="str">
        <f aca="false">IF(ISNUMBER(I961),"yes","no")</f>
        <v>yes</v>
      </c>
      <c r="AJ961" s="120" t="n">
        <v>46297</v>
      </c>
      <c r="AK961" s="110"/>
    </row>
    <row r="962" customFormat="false" ht="35.05" hidden="false" customHeight="false" outlineLevel="0" collapsed="false">
      <c r="B962" s="36" t="s">
        <v>69</v>
      </c>
      <c r="C962" s="98" t="s">
        <v>15</v>
      </c>
      <c r="D962" s="98" t="s">
        <v>243</v>
      </c>
      <c r="E962" s="110" t="s">
        <v>3207</v>
      </c>
      <c r="F962" s="99" t="n">
        <v>4.55</v>
      </c>
      <c r="G962" s="98" t="s">
        <v>244</v>
      </c>
      <c r="H962" s="112" t="n">
        <f aca="false">IF(AND(AE962="yes",ISNUMBER(AD962)),AD962,"")</f>
        <v>4.55</v>
      </c>
      <c r="I962" s="95" t="n">
        <f aca="false">IF(AND(AE962="yes",ISNUMBER(AD962),ISNUMBER(INDEX(Sources!$G$7:$G$10,MATCH(AB962,Sources!$B$7:$B$10,0)))),ROUND(AD962/INDEX(Sources!$G$7:$G$10,MATCH(AB962,Sources!$B$7:$B$10,0)),6),"")</f>
        <v>4.55</v>
      </c>
      <c r="J962" s="98" t="s">
        <v>530</v>
      </c>
      <c r="K962" s="98" t="s">
        <v>2059</v>
      </c>
      <c r="L962" s="96"/>
      <c r="M962" s="110" t="s">
        <v>3208</v>
      </c>
      <c r="N962" s="117" t="s">
        <v>3209</v>
      </c>
      <c r="O962" s="110" t="s">
        <v>2932</v>
      </c>
      <c r="P962" s="110" t="s">
        <v>590</v>
      </c>
      <c r="Q962" s="118" t="n">
        <v>0.2</v>
      </c>
      <c r="R962" s="110" t="n">
        <v>1</v>
      </c>
      <c r="S962" s="110" t="s">
        <v>632</v>
      </c>
      <c r="T962" s="110" t="s">
        <v>530</v>
      </c>
      <c r="U962" s="110" t="s">
        <v>2913</v>
      </c>
      <c r="V962" s="119" t="n">
        <v>4.55</v>
      </c>
      <c r="W962" s="119"/>
      <c r="X962" s="110" t="s">
        <v>2063</v>
      </c>
      <c r="Y962" s="110" t="s">
        <v>2064</v>
      </c>
      <c r="Z962" s="110" t="s">
        <v>2164</v>
      </c>
      <c r="AA962" s="110" t="s">
        <v>537</v>
      </c>
      <c r="AB962" s="110" t="s">
        <v>244</v>
      </c>
      <c r="AC962" s="110" t="s">
        <v>538</v>
      </c>
      <c r="AD962" s="110" t="n">
        <f aca="false">IF(OR(F962="",Q962="",R962=""),"",ROUND(IF(P962="incl.",F962/(1+Q962),F962)/IF(S962="per pack",R962,1),2))</f>
        <v>4.55</v>
      </c>
      <c r="AE962" s="110" t="str">
        <f aca="false">IF(AND(AC962="yes",ISNUMBER(F962),IF(Compare!$H$5="All mapped",TRUE(),IF(Compare!$H$5="EXACT only",J962="EXACT",OR(J962="EXACT",J962="CLOSE")))),"yes","no")</f>
        <v>yes</v>
      </c>
      <c r="AF962" s="110" t="n">
        <f aca="false">IF(ISNUMBER(H962),COUNTIFS($B$7:$B$3000,B962,$C$7:$C$3000,C962,$H$7:$H$3000,"&lt;"&amp;H962,$AH$7:$AH$3000,"yes")+COUNTIFS($B$7:B962,B962,$C$7:C962,C962,$H$7:H962,H962,$AH$7:AH962,"yes"),"")</f>
        <v>1</v>
      </c>
      <c r="AG962" s="110" t="n">
        <f aca="false">IF(ISNUMBER(I962),COUNTIFS($B$7:$B$3000,B962,$C$7:$C$3000,C962,$I$7:$I$3000,"&lt;"&amp;I962,$AI$7:$AI$3000,"yes")+COUNTIFS($B$7:B962,B962,$C$7:C962,C962,$I$7:I962,I962,$AI$7:AI962,"yes"),"")</f>
        <v>1</v>
      </c>
      <c r="AH962" s="110" t="str">
        <f aca="false">IF(ISNUMBER(H962),"yes","no")</f>
        <v>yes</v>
      </c>
      <c r="AI962" s="110" t="str">
        <f aca="false">IF(ISNUMBER(I962),"yes","no")</f>
        <v>yes</v>
      </c>
      <c r="AJ962" s="120" t="n">
        <v>46297</v>
      </c>
      <c r="AK962" s="110"/>
    </row>
    <row r="963" customFormat="false" ht="35.05" hidden="false" customHeight="false" outlineLevel="0" collapsed="false">
      <c r="B963" s="36" t="s">
        <v>69</v>
      </c>
      <c r="C963" s="98" t="s">
        <v>15</v>
      </c>
      <c r="D963" s="98" t="s">
        <v>257</v>
      </c>
      <c r="E963" s="110" t="s">
        <v>3210</v>
      </c>
      <c r="F963" s="99" t="n">
        <v>17</v>
      </c>
      <c r="G963" s="98" t="s">
        <v>244</v>
      </c>
      <c r="H963" s="112" t="n">
        <f aca="false">IF(AND(AE963="yes",ISNUMBER(AD963)),AD963,"")</f>
        <v>17</v>
      </c>
      <c r="I963" s="95" t="n">
        <f aca="false">IF(AND(AE963="yes",ISNUMBER(AD963),ISNUMBER(INDEX(Sources!$G$7:$G$10,MATCH(AB963,Sources!$B$7:$B$10,0)))),ROUND(AD963/INDEX(Sources!$G$7:$G$10,MATCH(AB963,Sources!$B$7:$B$10,0)),6),"")</f>
        <v>17</v>
      </c>
      <c r="J963" s="98" t="s">
        <v>530</v>
      </c>
      <c r="K963" s="98" t="s">
        <v>2059</v>
      </c>
      <c r="L963" s="96"/>
      <c r="M963" s="110" t="s">
        <v>3211</v>
      </c>
      <c r="N963" s="117" t="s">
        <v>3212</v>
      </c>
      <c r="O963" s="110" t="s">
        <v>1576</v>
      </c>
      <c r="P963" s="110" t="s">
        <v>590</v>
      </c>
      <c r="Q963" s="118" t="n">
        <v>0.2</v>
      </c>
      <c r="R963" s="110" t="n">
        <v>1</v>
      </c>
      <c r="S963" s="110" t="s">
        <v>632</v>
      </c>
      <c r="T963" s="110" t="s">
        <v>530</v>
      </c>
      <c r="U963" s="110" t="s">
        <v>2913</v>
      </c>
      <c r="V963" s="119" t="n">
        <v>17</v>
      </c>
      <c r="W963" s="119"/>
      <c r="X963" s="110" t="s">
        <v>2063</v>
      </c>
      <c r="Y963" s="110" t="s">
        <v>2064</v>
      </c>
      <c r="Z963" s="110" t="s">
        <v>2936</v>
      </c>
      <c r="AA963" s="110" t="s">
        <v>537</v>
      </c>
      <c r="AB963" s="110" t="s">
        <v>244</v>
      </c>
      <c r="AC963" s="110" t="s">
        <v>538</v>
      </c>
      <c r="AD963" s="110" t="n">
        <f aca="false">IF(OR(F963="",Q963="",R963=""),"",ROUND(IF(P963="incl.",F963/(1+Q963),F963)/IF(S963="per pack",R963,1),2))</f>
        <v>17</v>
      </c>
      <c r="AE963" s="110" t="str">
        <f aca="false">IF(AND(AC963="yes",ISNUMBER(F963),IF(Compare!$H$5="All mapped",TRUE(),IF(Compare!$H$5="EXACT only",J963="EXACT",OR(J963="EXACT",J963="CLOSE")))),"yes","no")</f>
        <v>yes</v>
      </c>
      <c r="AF963" s="110" t="n">
        <f aca="false">IF(ISNUMBER(H963),COUNTIFS($B$7:$B$3000,B963,$C$7:$C$3000,C963,$H$7:$H$3000,"&lt;"&amp;H963,$AH$7:$AH$3000,"yes")+COUNTIFS($B$7:B963,B963,$C$7:C963,C963,$H$7:H963,H963,$AH$7:AH963,"yes"),"")</f>
        <v>6</v>
      </c>
      <c r="AG963" s="110" t="n">
        <f aca="false">IF(ISNUMBER(I963),COUNTIFS($B$7:$B$3000,B963,$C$7:$C$3000,C963,$I$7:$I$3000,"&lt;"&amp;I963,$AI$7:$AI$3000,"yes")+COUNTIFS($B$7:B963,B963,$C$7:C963,C963,$I$7:I963,I963,$AI$7:AI963,"yes"),"")</f>
        <v>6</v>
      </c>
      <c r="AH963" s="110" t="str">
        <f aca="false">IF(ISNUMBER(H963),"yes","no")</f>
        <v>yes</v>
      </c>
      <c r="AI963" s="110" t="str">
        <f aca="false">IF(ISNUMBER(I963),"yes","no")</f>
        <v>yes</v>
      </c>
      <c r="AJ963" s="120" t="n">
        <v>46297</v>
      </c>
      <c r="AK963" s="110"/>
    </row>
    <row r="964" customFormat="false" ht="35.05" hidden="false" customHeight="false" outlineLevel="0" collapsed="false">
      <c r="B964" s="36" t="s">
        <v>69</v>
      </c>
      <c r="C964" s="98" t="s">
        <v>15</v>
      </c>
      <c r="D964" s="98" t="s">
        <v>269</v>
      </c>
      <c r="E964" s="110" t="s">
        <v>3213</v>
      </c>
      <c r="F964" s="99" t="n">
        <v>7.49</v>
      </c>
      <c r="G964" s="98" t="s">
        <v>244</v>
      </c>
      <c r="H964" s="112" t="n">
        <f aca="false">IF(AND(AE964="yes",ISNUMBER(AD964)),AD964,"")</f>
        <v>7.49</v>
      </c>
      <c r="I964" s="95" t="n">
        <f aca="false">IF(AND(AE964="yes",ISNUMBER(AD964),ISNUMBER(INDEX(Sources!$G$7:$G$10,MATCH(AB964,Sources!$B$7:$B$10,0)))),ROUND(AD964/INDEX(Sources!$G$7:$G$10,MATCH(AB964,Sources!$B$7:$B$10,0)),6),"")</f>
        <v>7.49</v>
      </c>
      <c r="J964" s="98" t="s">
        <v>530</v>
      </c>
      <c r="K964" s="98" t="s">
        <v>2059</v>
      </c>
      <c r="L964" s="96"/>
      <c r="M964" s="110" t="s">
        <v>3214</v>
      </c>
      <c r="N964" s="117" t="s">
        <v>3215</v>
      </c>
      <c r="O964" s="110" t="s">
        <v>598</v>
      </c>
      <c r="P964" s="110" t="s">
        <v>590</v>
      </c>
      <c r="Q964" s="118" t="n">
        <v>0.2</v>
      </c>
      <c r="R964" s="110" t="n">
        <v>1</v>
      </c>
      <c r="S964" s="110" t="s">
        <v>632</v>
      </c>
      <c r="T964" s="110" t="s">
        <v>530</v>
      </c>
      <c r="U964" s="110" t="s">
        <v>2913</v>
      </c>
      <c r="V964" s="119" t="n">
        <v>7.49</v>
      </c>
      <c r="W964" s="119"/>
      <c r="X964" s="110" t="s">
        <v>2063</v>
      </c>
      <c r="Y964" s="110" t="s">
        <v>2064</v>
      </c>
      <c r="Z964" s="110" t="s">
        <v>3216</v>
      </c>
      <c r="AA964" s="110" t="s">
        <v>537</v>
      </c>
      <c r="AB964" s="110" t="s">
        <v>244</v>
      </c>
      <c r="AC964" s="110" t="s">
        <v>538</v>
      </c>
      <c r="AD964" s="110" t="n">
        <f aca="false">IF(OR(F964="",Q964="",R964=""),"",ROUND(IF(P964="incl.",F964/(1+Q964),F964)/IF(S964="per pack",R964,1),2))</f>
        <v>7.49</v>
      </c>
      <c r="AE964" s="110" t="str">
        <f aca="false">IF(AND(AC964="yes",ISNUMBER(F964),IF(Compare!$H$5="All mapped",TRUE(),IF(Compare!$H$5="EXACT only",J964="EXACT",OR(J964="EXACT",J964="CLOSE")))),"yes","no")</f>
        <v>yes</v>
      </c>
      <c r="AF964" s="110" t="n">
        <f aca="false">IF(ISNUMBER(H964),COUNTIFS($B$7:$B$3000,B964,$C$7:$C$3000,C964,$H$7:$H$3000,"&lt;"&amp;H964,$AH$7:$AH$3000,"yes")+COUNTIFS($B$7:B964,B964,$C$7:C964,C964,$H$7:H964,H964,$AH$7:AH964,"yes"),"")</f>
        <v>4</v>
      </c>
      <c r="AG964" s="110" t="n">
        <f aca="false">IF(ISNUMBER(I964),COUNTIFS($B$7:$B$3000,B964,$C$7:$C$3000,C964,$I$7:$I$3000,"&lt;"&amp;I964,$AI$7:$AI$3000,"yes")+COUNTIFS($B$7:B964,B964,$C$7:C964,C964,$I$7:I964,I964,$AI$7:AI964,"yes"),"")</f>
        <v>4</v>
      </c>
      <c r="AH964" s="110" t="str">
        <f aca="false">IF(ISNUMBER(H964),"yes","no")</f>
        <v>yes</v>
      </c>
      <c r="AI964" s="110" t="str">
        <f aca="false">IF(ISNUMBER(I964),"yes","no")</f>
        <v>yes</v>
      </c>
      <c r="AJ964" s="120" t="n">
        <v>46297</v>
      </c>
      <c r="AK964" s="110"/>
    </row>
    <row r="965" customFormat="false" ht="23.85" hidden="false" customHeight="false" outlineLevel="0" collapsed="false">
      <c r="B965" s="36" t="s">
        <v>69</v>
      </c>
      <c r="C965" s="98" t="s">
        <v>15</v>
      </c>
      <c r="D965" s="98" t="s">
        <v>264</v>
      </c>
      <c r="E965" s="110" t="s">
        <v>3217</v>
      </c>
      <c r="F965" s="99" t="n">
        <v>19</v>
      </c>
      <c r="G965" s="98" t="s">
        <v>244</v>
      </c>
      <c r="H965" s="112" t="n">
        <f aca="false">IF(AND(AE965="yes",ISNUMBER(AD965)),AD965,"")</f>
        <v>19</v>
      </c>
      <c r="I965" s="95" t="n">
        <f aca="false">IF(AND(AE965="yes",ISNUMBER(AD965),ISNUMBER(INDEX(Sources!$G$7:$G$10,MATCH(AB965,Sources!$B$7:$B$10,0)))),ROUND(AD965/INDEX(Sources!$G$7:$G$10,MATCH(AB965,Sources!$B$7:$B$10,0)),6),"")</f>
        <v>19</v>
      </c>
      <c r="J965" s="98" t="s">
        <v>530</v>
      </c>
      <c r="K965" s="98" t="s">
        <v>2059</v>
      </c>
      <c r="L965" s="96"/>
      <c r="M965" s="110" t="s">
        <v>3218</v>
      </c>
      <c r="N965" s="117" t="s">
        <v>3219</v>
      </c>
      <c r="O965" s="110" t="s">
        <v>2944</v>
      </c>
      <c r="P965" s="110" t="s">
        <v>590</v>
      </c>
      <c r="Q965" s="118" t="n">
        <v>0.2</v>
      </c>
      <c r="R965" s="110" t="n">
        <v>1</v>
      </c>
      <c r="S965" s="110" t="s">
        <v>632</v>
      </c>
      <c r="T965" s="110" t="s">
        <v>530</v>
      </c>
      <c r="U965" s="110" t="s">
        <v>2913</v>
      </c>
      <c r="V965" s="119" t="n">
        <v>19</v>
      </c>
      <c r="W965" s="119"/>
      <c r="X965" s="110" t="s">
        <v>2063</v>
      </c>
      <c r="Y965" s="110" t="s">
        <v>2064</v>
      </c>
      <c r="Z965" s="110"/>
      <c r="AA965" s="110" t="s">
        <v>537</v>
      </c>
      <c r="AB965" s="110" t="s">
        <v>244</v>
      </c>
      <c r="AC965" s="110" t="s">
        <v>538</v>
      </c>
      <c r="AD965" s="110" t="n">
        <f aca="false">IF(OR(F965="",Q965="",R965=""),"",ROUND(IF(P965="incl.",F965/(1+Q965),F965)/IF(S965="per pack",R965,1),2))</f>
        <v>19</v>
      </c>
      <c r="AE965" s="110" t="str">
        <f aca="false">IF(AND(AC965="yes",ISNUMBER(F965),IF(Compare!$H$5="All mapped",TRUE(),IF(Compare!$H$5="EXACT only",J965="EXACT",OR(J965="EXACT",J965="CLOSE")))),"yes","no")</f>
        <v>yes</v>
      </c>
      <c r="AF965" s="110" t="n">
        <f aca="false">IF(ISNUMBER(H965),COUNTIFS($B$7:$B$3000,B965,$C$7:$C$3000,C965,$H$7:$H$3000,"&lt;"&amp;H965,$AH$7:$AH$3000,"yes")+COUNTIFS($B$7:B965,B965,$C$7:C965,C965,$H$7:H965,H965,$AH$7:AH965,"yes"),"")</f>
        <v>7</v>
      </c>
      <c r="AG965" s="110" t="n">
        <f aca="false">IF(ISNUMBER(I965),COUNTIFS($B$7:$B$3000,B965,$C$7:$C$3000,C965,$I$7:$I$3000,"&lt;"&amp;I965,$AI$7:$AI$3000,"yes")+COUNTIFS($B$7:B965,B965,$C$7:C965,C965,$I$7:I965,I965,$AI$7:AI965,"yes"),"")</f>
        <v>7</v>
      </c>
      <c r="AH965" s="110" t="str">
        <f aca="false">IF(ISNUMBER(H965),"yes","no")</f>
        <v>yes</v>
      </c>
      <c r="AI965" s="110" t="str">
        <f aca="false">IF(ISNUMBER(I965),"yes","no")</f>
        <v>yes</v>
      </c>
      <c r="AJ965" s="120" t="n">
        <v>46297</v>
      </c>
      <c r="AK965" s="110"/>
    </row>
    <row r="966" customFormat="false" ht="23.85" hidden="false" customHeight="false" outlineLevel="0" collapsed="false">
      <c r="B966" s="36" t="s">
        <v>69</v>
      </c>
      <c r="C966" s="98" t="s">
        <v>15</v>
      </c>
      <c r="D966" s="98" t="s">
        <v>273</v>
      </c>
      <c r="E966" s="110" t="s">
        <v>3220</v>
      </c>
      <c r="F966" s="99" t="n">
        <v>8.09</v>
      </c>
      <c r="G966" s="98" t="s">
        <v>244</v>
      </c>
      <c r="H966" s="112" t="n">
        <f aca="false">IF(AND(AE966="yes",ISNUMBER(AD966)),AD966,"")</f>
        <v>6.74</v>
      </c>
      <c r="I966" s="95" t="n">
        <f aca="false">IF(AND(AE966="yes",ISNUMBER(AD966),ISNUMBER(INDEX(Sources!$G$7:$G$10,MATCH(AB966,Sources!$B$7:$B$10,0)))),ROUND(AD966/INDEX(Sources!$G$7:$G$10,MATCH(AB966,Sources!$B$7:$B$10,0)),6),"")</f>
        <v>6.74</v>
      </c>
      <c r="J966" s="98" t="s">
        <v>530</v>
      </c>
      <c r="K966" s="98" t="s">
        <v>2059</v>
      </c>
      <c r="L966" s="96"/>
      <c r="M966" s="110" t="s">
        <v>3221</v>
      </c>
      <c r="N966" s="117" t="s">
        <v>3222</v>
      </c>
      <c r="O966" s="110" t="s">
        <v>598</v>
      </c>
      <c r="P966" s="110" t="s">
        <v>265</v>
      </c>
      <c r="Q966" s="118" t="n">
        <v>0.2</v>
      </c>
      <c r="R966" s="110" t="n">
        <v>1</v>
      </c>
      <c r="S966" s="110" t="s">
        <v>632</v>
      </c>
      <c r="T966" s="110" t="s">
        <v>530</v>
      </c>
      <c r="U966" s="110" t="s">
        <v>2918</v>
      </c>
      <c r="V966" s="119" t="n">
        <v>6.74</v>
      </c>
      <c r="W966" s="119"/>
      <c r="X966" s="110" t="s">
        <v>2063</v>
      </c>
      <c r="Y966" s="110" t="s">
        <v>2064</v>
      </c>
      <c r="Z966" s="110" t="s">
        <v>2130</v>
      </c>
      <c r="AA966" s="110" t="s">
        <v>537</v>
      </c>
      <c r="AB966" s="110" t="s">
        <v>244</v>
      </c>
      <c r="AC966" s="110" t="s">
        <v>538</v>
      </c>
      <c r="AD966" s="110" t="n">
        <f aca="false">IF(OR(F966="",Q966="",R966=""),"",ROUND(IF(P966="incl.",F966/(1+Q966),F966)/IF(S966="per pack",R966,1),2))</f>
        <v>6.74</v>
      </c>
      <c r="AE966" s="110" t="str">
        <f aca="false">IF(AND(AC966="yes",ISNUMBER(F966),IF(Compare!$H$5="All mapped",TRUE(),IF(Compare!$H$5="EXACT only",J966="EXACT",OR(J966="EXACT",J966="CLOSE")))),"yes","no")</f>
        <v>yes</v>
      </c>
      <c r="AF966" s="110" t="n">
        <f aca="false">IF(ISNUMBER(H966),COUNTIFS($B$7:$B$3000,B966,$C$7:$C$3000,C966,$H$7:$H$3000,"&lt;"&amp;H966,$AH$7:$AH$3000,"yes")+COUNTIFS($B$7:B966,B966,$C$7:C966,C966,$H$7:H966,H966,$AH$7:AH966,"yes"),"")</f>
        <v>2</v>
      </c>
      <c r="AG966" s="110" t="n">
        <f aca="false">IF(ISNUMBER(I966),COUNTIFS($B$7:$B$3000,B966,$C$7:$C$3000,C966,$I$7:$I$3000,"&lt;"&amp;I966,$AI$7:$AI$3000,"yes")+COUNTIFS($B$7:B966,B966,$C$7:C966,C966,$I$7:I966,I966,$AI$7:AI966,"yes"),"")</f>
        <v>2</v>
      </c>
      <c r="AH966" s="110" t="str">
        <f aca="false">IF(ISNUMBER(H966),"yes","no")</f>
        <v>yes</v>
      </c>
      <c r="AI966" s="110" t="str">
        <f aca="false">IF(ISNUMBER(I966),"yes","no")</f>
        <v>yes</v>
      </c>
      <c r="AJ966" s="120" t="n">
        <v>46297</v>
      </c>
      <c r="AK966" s="110"/>
    </row>
    <row r="967" customFormat="false" ht="46.25" hidden="false" customHeight="false" outlineLevel="0" collapsed="false">
      <c r="B967" s="36" t="s">
        <v>69</v>
      </c>
      <c r="C967" s="98" t="s">
        <v>15</v>
      </c>
      <c r="D967" s="98" t="s">
        <v>281</v>
      </c>
      <c r="E967" s="110" t="s">
        <v>3223</v>
      </c>
      <c r="F967" s="99" t="n">
        <v>8.34</v>
      </c>
      <c r="G967" s="98" t="s">
        <v>244</v>
      </c>
      <c r="H967" s="112" t="n">
        <f aca="false">IF(AND(AE967="yes",ISNUMBER(AD967)),AD967,"")</f>
        <v>8.34</v>
      </c>
      <c r="I967" s="95" t="n">
        <f aca="false">IF(AND(AE967="yes",ISNUMBER(AD967),ISNUMBER(INDEX(Sources!$G$7:$G$10,MATCH(AB967,Sources!$B$7:$B$10,0)))),ROUND(AD967/INDEX(Sources!$G$7:$G$10,MATCH(AB967,Sources!$B$7:$B$10,0)),6),"")</f>
        <v>8.34</v>
      </c>
      <c r="J967" s="98" t="s">
        <v>530</v>
      </c>
      <c r="K967" s="98" t="s">
        <v>2059</v>
      </c>
      <c r="L967" s="96"/>
      <c r="M967" s="110" t="s">
        <v>3224</v>
      </c>
      <c r="N967" s="117" t="s">
        <v>3225</v>
      </c>
      <c r="O967" s="110" t="s">
        <v>2952</v>
      </c>
      <c r="P967" s="110" t="s">
        <v>590</v>
      </c>
      <c r="Q967" s="118" t="n">
        <v>0.2</v>
      </c>
      <c r="R967" s="110" t="n">
        <v>1</v>
      </c>
      <c r="S967" s="110" t="s">
        <v>632</v>
      </c>
      <c r="T967" s="110" t="s">
        <v>530</v>
      </c>
      <c r="U967" s="110" t="s">
        <v>2913</v>
      </c>
      <c r="V967" s="119" t="n">
        <v>8.34</v>
      </c>
      <c r="W967" s="119"/>
      <c r="X967" s="110" t="s">
        <v>2063</v>
      </c>
      <c r="Y967" s="110" t="s">
        <v>2064</v>
      </c>
      <c r="Z967" s="110" t="s">
        <v>2953</v>
      </c>
      <c r="AA967" s="110" t="s">
        <v>537</v>
      </c>
      <c r="AB967" s="110" t="s">
        <v>244</v>
      </c>
      <c r="AC967" s="110" t="s">
        <v>538</v>
      </c>
      <c r="AD967" s="110" t="n">
        <f aca="false">IF(OR(F967="",Q967="",R967=""),"",ROUND(IF(P967="incl.",F967/(1+Q967),F967)/IF(S967="per pack",R967,1),2))</f>
        <v>8.34</v>
      </c>
      <c r="AE967" s="110" t="str">
        <f aca="false">IF(AND(AC967="yes",ISNUMBER(F967),IF(Compare!$H$5="All mapped",TRUE(),IF(Compare!$H$5="EXACT only",J967="EXACT",OR(J967="EXACT",J967="CLOSE")))),"yes","no")</f>
        <v>yes</v>
      </c>
      <c r="AF967" s="110" t="n">
        <f aca="false">IF(ISNUMBER(H967),COUNTIFS($B$7:$B$3000,B967,$C$7:$C$3000,C967,$H$7:$H$3000,"&lt;"&amp;H967,$AH$7:$AH$3000,"yes")+COUNTIFS($B$7:B967,B967,$C$7:C967,C967,$H$7:H967,H967,$AH$7:AH967,"yes"),"")</f>
        <v>5</v>
      </c>
      <c r="AG967" s="110" t="n">
        <f aca="false">IF(ISNUMBER(I967),COUNTIFS($B$7:$B$3000,B967,$C$7:$C$3000,C967,$I$7:$I$3000,"&lt;"&amp;I967,$AI$7:$AI$3000,"yes")+COUNTIFS($B$7:B967,B967,$C$7:C967,C967,$I$7:I967,I967,$AI$7:AI967,"yes"),"")</f>
        <v>5</v>
      </c>
      <c r="AH967" s="110" t="str">
        <f aca="false">IF(ISNUMBER(H967),"yes","no")</f>
        <v>yes</v>
      </c>
      <c r="AI967" s="110" t="str">
        <f aca="false">IF(ISNUMBER(I967),"yes","no")</f>
        <v>yes</v>
      </c>
      <c r="AJ967" s="120" t="n">
        <v>46297</v>
      </c>
      <c r="AK967" s="110"/>
    </row>
    <row r="968" customFormat="false" ht="35.05" hidden="false" customHeight="false" outlineLevel="0" collapsed="false">
      <c r="B968" s="36" t="s">
        <v>69</v>
      </c>
      <c r="C968" s="98" t="s">
        <v>15</v>
      </c>
      <c r="D968" s="98" t="s">
        <v>293</v>
      </c>
      <c r="E968" s="110" t="s">
        <v>3226</v>
      </c>
      <c r="F968" s="99" t="n">
        <v>7</v>
      </c>
      <c r="G968" s="98" t="s">
        <v>244</v>
      </c>
      <c r="H968" s="112" t="n">
        <f aca="false">IF(AND(AE968="yes",ISNUMBER(AD968)),AD968,"")</f>
        <v>7</v>
      </c>
      <c r="I968" s="95" t="n">
        <f aca="false">IF(AND(AE968="yes",ISNUMBER(AD968),ISNUMBER(INDEX(Sources!$G$7:$G$10,MATCH(AB968,Sources!$B$7:$B$10,0)))),ROUND(AD968/INDEX(Sources!$G$7:$G$10,MATCH(AB968,Sources!$B$7:$B$10,0)),6),"")</f>
        <v>7</v>
      </c>
      <c r="J968" s="98" t="s">
        <v>530</v>
      </c>
      <c r="K968" s="98" t="s">
        <v>2059</v>
      </c>
      <c r="L968" s="96"/>
      <c r="M968" s="110" t="s">
        <v>3227</v>
      </c>
      <c r="N968" s="117" t="s">
        <v>3228</v>
      </c>
      <c r="O968" s="110" t="s">
        <v>2957</v>
      </c>
      <c r="P968" s="110" t="s">
        <v>590</v>
      </c>
      <c r="Q968" s="118" t="n">
        <v>0.2</v>
      </c>
      <c r="R968" s="110" t="n">
        <v>1</v>
      </c>
      <c r="S968" s="110" t="s">
        <v>632</v>
      </c>
      <c r="T968" s="110" t="s">
        <v>530</v>
      </c>
      <c r="U968" s="110" t="s">
        <v>2913</v>
      </c>
      <c r="V968" s="119" t="n">
        <v>7</v>
      </c>
      <c r="W968" s="119"/>
      <c r="X968" s="110" t="s">
        <v>2063</v>
      </c>
      <c r="Y968" s="110" t="s">
        <v>2064</v>
      </c>
      <c r="Z968" s="110" t="s">
        <v>2958</v>
      </c>
      <c r="AA968" s="110" t="s">
        <v>537</v>
      </c>
      <c r="AB968" s="110" t="s">
        <v>244</v>
      </c>
      <c r="AC968" s="110" t="s">
        <v>538</v>
      </c>
      <c r="AD968" s="110" t="n">
        <f aca="false">IF(OR(F968="",Q968="",R968=""),"",ROUND(IF(P968="incl.",F968/(1+Q968),F968)/IF(S968="per pack",R968,1),2))</f>
        <v>7</v>
      </c>
      <c r="AE968" s="110" t="str">
        <f aca="false">IF(AND(AC968="yes",ISNUMBER(F968),IF(Compare!$H$5="All mapped",TRUE(),IF(Compare!$H$5="EXACT only",J968="EXACT",OR(J968="EXACT",J968="CLOSE")))),"yes","no")</f>
        <v>yes</v>
      </c>
      <c r="AF968" s="110" t="n">
        <f aca="false">IF(ISNUMBER(H968),COUNTIFS($B$7:$B$3000,B968,$C$7:$C$3000,C968,$H$7:$H$3000,"&lt;"&amp;H968,$AH$7:$AH$3000,"yes")+COUNTIFS($B$7:B968,B968,$C$7:C968,C968,$H$7:H968,H968,$AH$7:AH968,"yes"),"")</f>
        <v>3</v>
      </c>
      <c r="AG968" s="110" t="n">
        <f aca="false">IF(ISNUMBER(I968),COUNTIFS($B$7:$B$3000,B968,$C$7:$C$3000,C968,$I$7:$I$3000,"&lt;"&amp;I968,$AI$7:$AI$3000,"yes")+COUNTIFS($B$7:B968,B968,$C$7:C968,C968,$I$7:I968,I968,$AI$7:AI968,"yes"),"")</f>
        <v>3</v>
      </c>
      <c r="AH968" s="110" t="str">
        <f aca="false">IF(ISNUMBER(H968),"yes","no")</f>
        <v>yes</v>
      </c>
      <c r="AI968" s="110" t="str">
        <f aca="false">IF(ISNUMBER(I968),"yes","no")</f>
        <v>yes</v>
      </c>
      <c r="AJ968" s="120" t="n">
        <v>46297</v>
      </c>
      <c r="AK968" s="110"/>
    </row>
    <row r="969" customFormat="false" ht="35.05" hidden="false" customHeight="false" outlineLevel="0" collapsed="false">
      <c r="B969" s="36" t="s">
        <v>69</v>
      </c>
      <c r="C969" s="98" t="s">
        <v>16</v>
      </c>
      <c r="D969" s="98" t="s">
        <v>296</v>
      </c>
      <c r="E969" s="110" t="s">
        <v>3207</v>
      </c>
      <c r="F969" s="99" t="n">
        <v>4.55</v>
      </c>
      <c r="G969" s="98" t="s">
        <v>244</v>
      </c>
      <c r="H969" s="112" t="n">
        <f aca="false">IF(AND(AE969="yes",ISNUMBER(AD969)),AD969,"")</f>
        <v>4.55</v>
      </c>
      <c r="I969" s="95" t="n">
        <f aca="false">IF(AND(AE969="yes",ISNUMBER(AD969),ISNUMBER(INDEX(Sources!$G$7:$G$10,MATCH(AB969,Sources!$B$7:$B$10,0)))),ROUND(AD969/INDEX(Sources!$G$7:$G$10,MATCH(AB969,Sources!$B$7:$B$10,0)),6),"")</f>
        <v>4.55</v>
      </c>
      <c r="J969" s="98" t="s">
        <v>530</v>
      </c>
      <c r="K969" s="98" t="s">
        <v>2059</v>
      </c>
      <c r="L969" s="96"/>
      <c r="M969" s="110" t="s">
        <v>3229</v>
      </c>
      <c r="N969" s="117" t="s">
        <v>3230</v>
      </c>
      <c r="O969" s="110" t="s">
        <v>3149</v>
      </c>
      <c r="P969" s="110" t="s">
        <v>590</v>
      </c>
      <c r="Q969" s="118" t="n">
        <v>0.19</v>
      </c>
      <c r="R969" s="110" t="n">
        <v>1</v>
      </c>
      <c r="S969" s="110" t="s">
        <v>632</v>
      </c>
      <c r="T969" s="110" t="s">
        <v>530</v>
      </c>
      <c r="U969" s="110" t="s">
        <v>2913</v>
      </c>
      <c r="V969" s="119" t="n">
        <v>4.55</v>
      </c>
      <c r="W969" s="119"/>
      <c r="X969" s="110" t="s">
        <v>2063</v>
      </c>
      <c r="Y969" s="110" t="s">
        <v>2064</v>
      </c>
      <c r="Z969" s="110" t="s">
        <v>2164</v>
      </c>
      <c r="AA969" s="110" t="s">
        <v>537</v>
      </c>
      <c r="AB969" s="110" t="s">
        <v>244</v>
      </c>
      <c r="AC969" s="110" t="s">
        <v>538</v>
      </c>
      <c r="AD969" s="110" t="n">
        <f aca="false">IF(OR(F969="",Q969="",R969=""),"",ROUND(IF(P969="incl.",F969/(1+Q969),F969)/IF(S969="per pack",R969,1),2))</f>
        <v>4.55</v>
      </c>
      <c r="AE969" s="110" t="str">
        <f aca="false">IF(AND(AC969="yes",ISNUMBER(F969),IF(Compare!$H$5="All mapped",TRUE(),IF(Compare!$H$5="EXACT only",J969="EXACT",OR(J969="EXACT",J969="CLOSE")))),"yes","no")</f>
        <v>yes</v>
      </c>
      <c r="AF969" s="110" t="n">
        <f aca="false">IF(ISNUMBER(H969),COUNTIFS($B$7:$B$3000,B969,$C$7:$C$3000,C969,$H$7:$H$3000,"&lt;"&amp;H969,$AH$7:$AH$3000,"yes")+COUNTIFS($B$7:B969,B969,$C$7:C969,C969,$H$7:H969,H969,$AH$7:AH969,"yes"),"")</f>
        <v>1</v>
      </c>
      <c r="AG969" s="110" t="n">
        <f aca="false">IF(ISNUMBER(I969),COUNTIFS($B$7:$B$3000,B969,$C$7:$C$3000,C969,$I$7:$I$3000,"&lt;"&amp;I969,$AI$7:$AI$3000,"yes")+COUNTIFS($B$7:B969,B969,$C$7:C969,C969,$I$7:I969,I969,$AI$7:AI969,"yes"),"")</f>
        <v>1</v>
      </c>
      <c r="AH969" s="110" t="str">
        <f aca="false">IF(ISNUMBER(H969),"yes","no")</f>
        <v>yes</v>
      </c>
      <c r="AI969" s="110" t="str">
        <f aca="false">IF(ISNUMBER(I969),"yes","no")</f>
        <v>yes</v>
      </c>
      <c r="AJ969" s="120" t="n">
        <v>46297</v>
      </c>
      <c r="AK969" s="110"/>
    </row>
    <row r="970" customFormat="false" ht="35.05" hidden="false" customHeight="false" outlineLevel="0" collapsed="false">
      <c r="B970" s="36" t="s">
        <v>69</v>
      </c>
      <c r="C970" s="98" t="s">
        <v>16</v>
      </c>
      <c r="D970" s="98" t="s">
        <v>305</v>
      </c>
      <c r="E970" s="110" t="s">
        <v>3231</v>
      </c>
      <c r="F970" s="99" t="n">
        <v>8.61</v>
      </c>
      <c r="G970" s="98" t="s">
        <v>244</v>
      </c>
      <c r="H970" s="112" t="n">
        <f aca="false">IF(AND(AE970="yes",ISNUMBER(AD970)),AD970,"")</f>
        <v>7.24</v>
      </c>
      <c r="I970" s="95" t="n">
        <f aca="false">IF(AND(AE970="yes",ISNUMBER(AD970),ISNUMBER(INDEX(Sources!$G$7:$G$10,MATCH(AB970,Sources!$B$7:$B$10,0)))),ROUND(AD970/INDEX(Sources!$G$7:$G$10,MATCH(AB970,Sources!$B$7:$B$10,0)),6),"")</f>
        <v>7.24</v>
      </c>
      <c r="J970" s="98" t="s">
        <v>530</v>
      </c>
      <c r="K970" s="98" t="s">
        <v>2059</v>
      </c>
      <c r="L970" s="96"/>
      <c r="M970" s="110" t="s">
        <v>3232</v>
      </c>
      <c r="N970" s="117" t="s">
        <v>3233</v>
      </c>
      <c r="O970" s="110" t="s">
        <v>2965</v>
      </c>
      <c r="P970" s="110" t="s">
        <v>265</v>
      </c>
      <c r="Q970" s="118" t="n">
        <v>0.19</v>
      </c>
      <c r="R970" s="110" t="n">
        <v>1</v>
      </c>
      <c r="S970" s="110" t="s">
        <v>632</v>
      </c>
      <c r="T970" s="110" t="s">
        <v>530</v>
      </c>
      <c r="U970" s="110" t="s">
        <v>2918</v>
      </c>
      <c r="V970" s="119" t="n">
        <v>7.24</v>
      </c>
      <c r="W970" s="119"/>
      <c r="X970" s="110" t="s">
        <v>2063</v>
      </c>
      <c r="Y970" s="110" t="s">
        <v>2064</v>
      </c>
      <c r="Z970" s="110" t="s">
        <v>2156</v>
      </c>
      <c r="AA970" s="110" t="s">
        <v>537</v>
      </c>
      <c r="AB970" s="110" t="s">
        <v>244</v>
      </c>
      <c r="AC970" s="110" t="s">
        <v>538</v>
      </c>
      <c r="AD970" s="110" t="n">
        <f aca="false">IF(OR(F970="",Q970="",R970=""),"",ROUND(IF(P970="incl.",F970/(1+Q970),F970)/IF(S970="per pack",R970,1),2))</f>
        <v>7.24</v>
      </c>
      <c r="AE970" s="110" t="str">
        <f aca="false">IF(AND(AC970="yes",ISNUMBER(F970),IF(Compare!$H$5="All mapped",TRUE(),IF(Compare!$H$5="EXACT only",J970="EXACT",OR(J970="EXACT",J970="CLOSE")))),"yes","no")</f>
        <v>yes</v>
      </c>
      <c r="AF970" s="110" t="n">
        <f aca="false">IF(ISNUMBER(H970),COUNTIFS($B$7:$B$3000,B970,$C$7:$C$3000,C970,$H$7:$H$3000,"&lt;"&amp;H970,$AH$7:$AH$3000,"yes")+COUNTIFS($B$7:B970,B970,$C$7:C970,C970,$H$7:H970,H970,$AH$7:AH970,"yes"),"")</f>
        <v>5</v>
      </c>
      <c r="AG970" s="110" t="n">
        <f aca="false">IF(ISNUMBER(I970),COUNTIFS($B$7:$B$3000,B970,$C$7:$C$3000,C970,$I$7:$I$3000,"&lt;"&amp;I970,$AI$7:$AI$3000,"yes")+COUNTIFS($B$7:B970,B970,$C$7:C970,C970,$I$7:I970,I970,$AI$7:AI970,"yes"),"")</f>
        <v>5</v>
      </c>
      <c r="AH970" s="110" t="str">
        <f aca="false">IF(ISNUMBER(H970),"yes","no")</f>
        <v>yes</v>
      </c>
      <c r="AI970" s="110" t="str">
        <f aca="false">IF(ISNUMBER(I970),"yes","no")</f>
        <v>yes</v>
      </c>
      <c r="AJ970" s="120" t="n">
        <v>46297</v>
      </c>
      <c r="AK970" s="110"/>
    </row>
    <row r="971" customFormat="false" ht="35.05" hidden="false" customHeight="false" outlineLevel="0" collapsed="false">
      <c r="B971" s="36" t="s">
        <v>69</v>
      </c>
      <c r="C971" s="98" t="s">
        <v>16</v>
      </c>
      <c r="D971" s="98" t="s">
        <v>311</v>
      </c>
      <c r="E971" s="110" t="s">
        <v>3213</v>
      </c>
      <c r="F971" s="99" t="n">
        <v>7.09</v>
      </c>
      <c r="G971" s="98" t="s">
        <v>244</v>
      </c>
      <c r="H971" s="112" t="n">
        <f aca="false">IF(AND(AE971="yes",ISNUMBER(AD971)),AD971,"")</f>
        <v>7.09</v>
      </c>
      <c r="I971" s="95" t="n">
        <f aca="false">IF(AND(AE971="yes",ISNUMBER(AD971),ISNUMBER(INDEX(Sources!$G$7:$G$10,MATCH(AB971,Sources!$B$7:$B$10,0)))),ROUND(AD971/INDEX(Sources!$G$7:$G$10,MATCH(AB971,Sources!$B$7:$B$10,0)),6),"")</f>
        <v>7.09</v>
      </c>
      <c r="J971" s="98" t="s">
        <v>530</v>
      </c>
      <c r="K971" s="98" t="s">
        <v>2059</v>
      </c>
      <c r="L971" s="96"/>
      <c r="M971" s="110" t="s">
        <v>3234</v>
      </c>
      <c r="N971" s="117" t="s">
        <v>3235</v>
      </c>
      <c r="O971" s="110" t="s">
        <v>598</v>
      </c>
      <c r="P971" s="110" t="s">
        <v>590</v>
      </c>
      <c r="Q971" s="118" t="n">
        <v>0.19</v>
      </c>
      <c r="R971" s="110" t="n">
        <v>1</v>
      </c>
      <c r="S971" s="110" t="s">
        <v>632</v>
      </c>
      <c r="T971" s="110" t="s">
        <v>530</v>
      </c>
      <c r="U971" s="110" t="s">
        <v>2913</v>
      </c>
      <c r="V971" s="119" t="n">
        <v>7.09</v>
      </c>
      <c r="W971" s="119"/>
      <c r="X971" s="110" t="s">
        <v>2063</v>
      </c>
      <c r="Y971" s="110" t="s">
        <v>2064</v>
      </c>
      <c r="Z971" s="110" t="s">
        <v>3236</v>
      </c>
      <c r="AA971" s="110" t="s">
        <v>537</v>
      </c>
      <c r="AB971" s="110" t="s">
        <v>244</v>
      </c>
      <c r="AC971" s="110" t="s">
        <v>538</v>
      </c>
      <c r="AD971" s="110" t="n">
        <f aca="false">IF(OR(F971="",Q971="",R971=""),"",ROUND(IF(P971="incl.",F971/(1+Q971),F971)/IF(S971="per pack",R971,1),2))</f>
        <v>7.09</v>
      </c>
      <c r="AE971" s="110" t="str">
        <f aca="false">IF(AND(AC971="yes",ISNUMBER(F971),IF(Compare!$H$5="All mapped",TRUE(),IF(Compare!$H$5="EXACT only",J971="EXACT",OR(J971="EXACT",J971="CLOSE")))),"yes","no")</f>
        <v>yes</v>
      </c>
      <c r="AF971" s="110" t="n">
        <f aca="false">IF(ISNUMBER(H971),COUNTIFS($B$7:$B$3000,B971,$C$7:$C$3000,C971,$H$7:$H$3000,"&lt;"&amp;H971,$AH$7:$AH$3000,"yes")+COUNTIFS($B$7:B971,B971,$C$7:C971,C971,$H$7:H971,H971,$AH$7:AH971,"yes"),"")</f>
        <v>4</v>
      </c>
      <c r="AG971" s="110" t="n">
        <f aca="false">IF(ISNUMBER(I971),COUNTIFS($B$7:$B$3000,B971,$C$7:$C$3000,C971,$I$7:$I$3000,"&lt;"&amp;I971,$AI$7:$AI$3000,"yes")+COUNTIFS($B$7:B971,B971,$C$7:C971,C971,$I$7:I971,I971,$AI$7:AI971,"yes"),"")</f>
        <v>4</v>
      </c>
      <c r="AH971" s="110" t="str">
        <f aca="false">IF(ISNUMBER(H971),"yes","no")</f>
        <v>yes</v>
      </c>
      <c r="AI971" s="110" t="str">
        <f aca="false">IF(ISNUMBER(I971),"yes","no")</f>
        <v>yes</v>
      </c>
      <c r="AJ971" s="120" t="n">
        <v>46297</v>
      </c>
      <c r="AK971" s="110"/>
    </row>
    <row r="972" customFormat="false" ht="23.85" hidden="false" customHeight="false" outlineLevel="0" collapsed="false">
      <c r="B972" s="36" t="s">
        <v>69</v>
      </c>
      <c r="C972" s="98" t="s">
        <v>16</v>
      </c>
      <c r="D972" s="98" t="s">
        <v>309</v>
      </c>
      <c r="E972" s="110" t="s">
        <v>3237</v>
      </c>
      <c r="F972" s="99" t="n">
        <v>14.25</v>
      </c>
      <c r="G972" s="98" t="s">
        <v>244</v>
      </c>
      <c r="H972" s="112" t="n">
        <f aca="false">IF(AND(AE972="yes",ISNUMBER(AD972)),AD972,"")</f>
        <v>14.25</v>
      </c>
      <c r="I972" s="95" t="n">
        <f aca="false">IF(AND(AE972="yes",ISNUMBER(AD972),ISNUMBER(INDEX(Sources!$G$7:$G$10,MATCH(AB972,Sources!$B$7:$B$10,0)))),ROUND(AD972/INDEX(Sources!$G$7:$G$10,MATCH(AB972,Sources!$B$7:$B$10,0)),6),"")</f>
        <v>14.25</v>
      </c>
      <c r="J972" s="98" t="s">
        <v>530</v>
      </c>
      <c r="K972" s="98" t="s">
        <v>2059</v>
      </c>
      <c r="L972" s="96"/>
      <c r="M972" s="110" t="s">
        <v>3238</v>
      </c>
      <c r="N972" s="117" t="s">
        <v>3239</v>
      </c>
      <c r="O972" s="110" t="s">
        <v>388</v>
      </c>
      <c r="P972" s="110" t="s">
        <v>590</v>
      </c>
      <c r="Q972" s="118" t="n">
        <v>0.19</v>
      </c>
      <c r="R972" s="110" t="n">
        <v>1</v>
      </c>
      <c r="S972" s="110" t="s">
        <v>632</v>
      </c>
      <c r="T972" s="110" t="s">
        <v>530</v>
      </c>
      <c r="U972" s="110" t="s">
        <v>2913</v>
      </c>
      <c r="V972" s="119" t="n">
        <v>14.25</v>
      </c>
      <c r="W972" s="119"/>
      <c r="X972" s="110" t="s">
        <v>2063</v>
      </c>
      <c r="Y972" s="110" t="s">
        <v>2064</v>
      </c>
      <c r="Z972" s="110" t="s">
        <v>3240</v>
      </c>
      <c r="AA972" s="110" t="s">
        <v>537</v>
      </c>
      <c r="AB972" s="110" t="s">
        <v>244</v>
      </c>
      <c r="AC972" s="110" t="s">
        <v>538</v>
      </c>
      <c r="AD972" s="110" t="n">
        <f aca="false">IF(OR(F972="",Q972="",R972=""),"",ROUND(IF(P972="incl.",F972/(1+Q972),F972)/IF(S972="per pack",R972,1),2))</f>
        <v>14.25</v>
      </c>
      <c r="AE972" s="110" t="str">
        <f aca="false">IF(AND(AC972="yes",ISNUMBER(F972),IF(Compare!$H$5="All mapped",TRUE(),IF(Compare!$H$5="EXACT only",J972="EXACT",OR(J972="EXACT",J972="CLOSE")))),"yes","no")</f>
        <v>yes</v>
      </c>
      <c r="AF972" s="110" t="n">
        <f aca="false">IF(ISNUMBER(H972),COUNTIFS($B$7:$B$3000,B972,$C$7:$C$3000,C972,$H$7:$H$3000,"&lt;"&amp;H972,$AH$7:$AH$3000,"yes")+COUNTIFS($B$7:B972,B972,$C$7:C972,C972,$H$7:H972,H972,$AH$7:AH972,"yes"),"")</f>
        <v>7</v>
      </c>
      <c r="AG972" s="110" t="n">
        <f aca="false">IF(ISNUMBER(I972),COUNTIFS($B$7:$B$3000,B972,$C$7:$C$3000,C972,$I$7:$I$3000,"&lt;"&amp;I972,$AI$7:$AI$3000,"yes")+COUNTIFS($B$7:B972,B972,$C$7:C972,C972,$I$7:I972,I972,$AI$7:AI972,"yes"),"")</f>
        <v>7</v>
      </c>
      <c r="AH972" s="110" t="str">
        <f aca="false">IF(ISNUMBER(H972),"yes","no")</f>
        <v>yes</v>
      </c>
      <c r="AI972" s="110" t="str">
        <f aca="false">IF(ISNUMBER(I972),"yes","no")</f>
        <v>yes</v>
      </c>
      <c r="AJ972" s="120" t="n">
        <v>46297</v>
      </c>
      <c r="AK972" s="110"/>
    </row>
    <row r="973" customFormat="false" ht="23.85" hidden="false" customHeight="false" outlineLevel="0" collapsed="false">
      <c r="B973" s="36" t="s">
        <v>69</v>
      </c>
      <c r="C973" s="98" t="s">
        <v>16</v>
      </c>
      <c r="D973" s="98" t="s">
        <v>313</v>
      </c>
      <c r="E973" s="110" t="s">
        <v>3220</v>
      </c>
      <c r="F973" s="99" t="n">
        <v>7.98</v>
      </c>
      <c r="G973" s="98" t="s">
        <v>244</v>
      </c>
      <c r="H973" s="112" t="n">
        <f aca="false">IF(AND(AE973="yes",ISNUMBER(AD973)),AD973,"")</f>
        <v>6.71</v>
      </c>
      <c r="I973" s="95" t="n">
        <f aca="false">IF(AND(AE973="yes",ISNUMBER(AD973),ISNUMBER(INDEX(Sources!$G$7:$G$10,MATCH(AB973,Sources!$B$7:$B$10,0)))),ROUND(AD973/INDEX(Sources!$G$7:$G$10,MATCH(AB973,Sources!$B$7:$B$10,0)),6),"")</f>
        <v>6.71</v>
      </c>
      <c r="J973" s="98" t="s">
        <v>530</v>
      </c>
      <c r="K973" s="98" t="s">
        <v>2059</v>
      </c>
      <c r="L973" s="96"/>
      <c r="M973" s="110" t="s">
        <v>3241</v>
      </c>
      <c r="N973" s="117" t="s">
        <v>3242</v>
      </c>
      <c r="O973" s="110" t="s">
        <v>598</v>
      </c>
      <c r="P973" s="110" t="s">
        <v>265</v>
      </c>
      <c r="Q973" s="118" t="n">
        <v>0.19</v>
      </c>
      <c r="R973" s="110" t="n">
        <v>1</v>
      </c>
      <c r="S973" s="110" t="s">
        <v>632</v>
      </c>
      <c r="T973" s="110" t="s">
        <v>530</v>
      </c>
      <c r="U973" s="110" t="s">
        <v>2918</v>
      </c>
      <c r="V973" s="119" t="n">
        <v>6.71</v>
      </c>
      <c r="W973" s="119"/>
      <c r="X973" s="110" t="s">
        <v>2063</v>
      </c>
      <c r="Y973" s="110" t="s">
        <v>2064</v>
      </c>
      <c r="Z973" s="110" t="s">
        <v>3243</v>
      </c>
      <c r="AA973" s="110" t="s">
        <v>537</v>
      </c>
      <c r="AB973" s="110" t="s">
        <v>244</v>
      </c>
      <c r="AC973" s="110" t="s">
        <v>538</v>
      </c>
      <c r="AD973" s="110" t="n">
        <f aca="false">IF(OR(F973="",Q973="",R973=""),"",ROUND(IF(P973="incl.",F973/(1+Q973),F973)/IF(S973="per pack",R973,1),2))</f>
        <v>6.71</v>
      </c>
      <c r="AE973" s="110" t="str">
        <f aca="false">IF(AND(AC973="yes",ISNUMBER(F973),IF(Compare!$H$5="All mapped",TRUE(),IF(Compare!$H$5="EXACT only",J973="EXACT",OR(J973="EXACT",J973="CLOSE")))),"yes","no")</f>
        <v>yes</v>
      </c>
      <c r="AF973" s="110" t="n">
        <f aca="false">IF(ISNUMBER(H973),COUNTIFS($B$7:$B$3000,B973,$C$7:$C$3000,C973,$H$7:$H$3000,"&lt;"&amp;H973,$AH$7:$AH$3000,"yes")+COUNTIFS($B$7:B973,B973,$C$7:C973,C973,$H$7:H973,H973,$AH$7:AH973,"yes"),"")</f>
        <v>2</v>
      </c>
      <c r="AG973" s="110" t="n">
        <f aca="false">IF(ISNUMBER(I973),COUNTIFS($B$7:$B$3000,B973,$C$7:$C$3000,C973,$I$7:$I$3000,"&lt;"&amp;I973,$AI$7:$AI$3000,"yes")+COUNTIFS($B$7:B973,B973,$C$7:C973,C973,$I$7:I973,I973,$AI$7:AI973,"yes"),"")</f>
        <v>2</v>
      </c>
      <c r="AH973" s="110" t="str">
        <f aca="false">IF(ISNUMBER(H973),"yes","no")</f>
        <v>yes</v>
      </c>
      <c r="AI973" s="110" t="str">
        <f aca="false">IF(ISNUMBER(I973),"yes","no")</f>
        <v>yes</v>
      </c>
      <c r="AJ973" s="120" t="n">
        <v>46297</v>
      </c>
      <c r="AK973" s="110"/>
    </row>
    <row r="974" customFormat="false" ht="35.05" hidden="false" customHeight="false" outlineLevel="0" collapsed="false">
      <c r="B974" s="36" t="s">
        <v>69</v>
      </c>
      <c r="C974" s="98" t="s">
        <v>16</v>
      </c>
      <c r="D974" s="98" t="s">
        <v>321</v>
      </c>
      <c r="E974" s="110" t="s">
        <v>3244</v>
      </c>
      <c r="F974" s="99" t="n">
        <v>6.92</v>
      </c>
      <c r="G974" s="98" t="s">
        <v>244</v>
      </c>
      <c r="H974" s="112" t="n">
        <f aca="false">IF(AND(AE974="yes",ISNUMBER(AD974)),AD974,"")</f>
        <v>6.92</v>
      </c>
      <c r="I974" s="95" t="n">
        <f aca="false">IF(AND(AE974="yes",ISNUMBER(AD974),ISNUMBER(INDEX(Sources!$G$7:$G$10,MATCH(AB974,Sources!$B$7:$B$10,0)))),ROUND(AD974/INDEX(Sources!$G$7:$G$10,MATCH(AB974,Sources!$B$7:$B$10,0)),6),"")</f>
        <v>6.92</v>
      </c>
      <c r="J974" s="98" t="s">
        <v>530</v>
      </c>
      <c r="K974" s="98" t="s">
        <v>2059</v>
      </c>
      <c r="L974" s="96"/>
      <c r="M974" s="110" t="s">
        <v>3245</v>
      </c>
      <c r="N974" s="117" t="s">
        <v>3246</v>
      </c>
      <c r="O974" s="110" t="s">
        <v>2977</v>
      </c>
      <c r="P974" s="110" t="s">
        <v>590</v>
      </c>
      <c r="Q974" s="118" t="n">
        <v>0.19</v>
      </c>
      <c r="R974" s="110" t="n">
        <v>1</v>
      </c>
      <c r="S974" s="110" t="s">
        <v>632</v>
      </c>
      <c r="T974" s="110" t="s">
        <v>530</v>
      </c>
      <c r="U974" s="110" t="s">
        <v>2913</v>
      </c>
      <c r="V974" s="119" t="n">
        <v>6.92</v>
      </c>
      <c r="W974" s="119"/>
      <c r="X974" s="110" t="s">
        <v>2063</v>
      </c>
      <c r="Y974" s="110" t="s">
        <v>2064</v>
      </c>
      <c r="Z974" s="110" t="s">
        <v>2978</v>
      </c>
      <c r="AA974" s="110" t="s">
        <v>537</v>
      </c>
      <c r="AB974" s="110" t="s">
        <v>244</v>
      </c>
      <c r="AC974" s="110" t="s">
        <v>538</v>
      </c>
      <c r="AD974" s="110" t="n">
        <f aca="false">IF(OR(F974="",Q974="",R974=""),"",ROUND(IF(P974="incl.",F974/(1+Q974),F974)/IF(S974="per pack",R974,1),2))</f>
        <v>6.92</v>
      </c>
      <c r="AE974" s="110" t="str">
        <f aca="false">IF(AND(AC974="yes",ISNUMBER(F974),IF(Compare!$H$5="All mapped",TRUE(),IF(Compare!$H$5="EXACT only",J974="EXACT",OR(J974="EXACT",J974="CLOSE")))),"yes","no")</f>
        <v>yes</v>
      </c>
      <c r="AF974" s="110" t="n">
        <f aca="false">IF(ISNUMBER(H974),COUNTIFS($B$7:$B$3000,B974,$C$7:$C$3000,C974,$H$7:$H$3000,"&lt;"&amp;H974,$AH$7:$AH$3000,"yes")+COUNTIFS($B$7:B974,B974,$C$7:C974,C974,$H$7:H974,H974,$AH$7:AH974,"yes"),"")</f>
        <v>3</v>
      </c>
      <c r="AG974" s="110" t="n">
        <f aca="false">IF(ISNUMBER(I974),COUNTIFS($B$7:$B$3000,B974,$C$7:$C$3000,C974,$I$7:$I$3000,"&lt;"&amp;I974,$AI$7:$AI$3000,"yes")+COUNTIFS($B$7:B974,B974,$C$7:C974,C974,$I$7:I974,I974,$AI$7:AI974,"yes"),"")</f>
        <v>3</v>
      </c>
      <c r="AH974" s="110" t="str">
        <f aca="false">IF(ISNUMBER(H974),"yes","no")</f>
        <v>yes</v>
      </c>
      <c r="AI974" s="110" t="str">
        <f aca="false">IF(ISNUMBER(I974),"yes","no")</f>
        <v>yes</v>
      </c>
      <c r="AJ974" s="120" t="n">
        <v>46297</v>
      </c>
      <c r="AK974" s="110"/>
    </row>
    <row r="975" customFormat="false" ht="35.05" hidden="false" customHeight="false" outlineLevel="0" collapsed="false">
      <c r="B975" s="36" t="s">
        <v>69</v>
      </c>
      <c r="C975" s="98" t="s">
        <v>16</v>
      </c>
      <c r="D975" s="98" t="s">
        <v>329</v>
      </c>
      <c r="E975" s="110" t="s">
        <v>3247</v>
      </c>
      <c r="F975" s="99" t="n">
        <v>8.59</v>
      </c>
      <c r="G975" s="98" t="s">
        <v>244</v>
      </c>
      <c r="H975" s="112" t="n">
        <f aca="false">IF(AND(AE975="yes",ISNUMBER(AD975)),AD975,"")</f>
        <v>8.59</v>
      </c>
      <c r="I975" s="95" t="n">
        <f aca="false">IF(AND(AE975="yes",ISNUMBER(AD975),ISNUMBER(INDEX(Sources!$G$7:$G$10,MATCH(AB975,Sources!$B$7:$B$10,0)))),ROUND(AD975/INDEX(Sources!$G$7:$G$10,MATCH(AB975,Sources!$B$7:$B$10,0)),6),"")</f>
        <v>8.59</v>
      </c>
      <c r="J975" s="98" t="s">
        <v>530</v>
      </c>
      <c r="K975" s="98" t="s">
        <v>2059</v>
      </c>
      <c r="L975" s="96"/>
      <c r="M975" s="110" t="s">
        <v>3248</v>
      </c>
      <c r="N975" s="117" t="s">
        <v>3249</v>
      </c>
      <c r="O975" s="110" t="s">
        <v>2982</v>
      </c>
      <c r="P975" s="110" t="s">
        <v>590</v>
      </c>
      <c r="Q975" s="118" t="n">
        <v>0.19</v>
      </c>
      <c r="R975" s="110" t="n">
        <v>1</v>
      </c>
      <c r="S975" s="110" t="s">
        <v>632</v>
      </c>
      <c r="T975" s="110" t="s">
        <v>530</v>
      </c>
      <c r="U975" s="110" t="s">
        <v>2913</v>
      </c>
      <c r="V975" s="119" t="n">
        <v>8.59</v>
      </c>
      <c r="W975" s="119"/>
      <c r="X975" s="110" t="s">
        <v>2063</v>
      </c>
      <c r="Y975" s="110" t="s">
        <v>2064</v>
      </c>
      <c r="Z975" s="110" t="s">
        <v>2624</v>
      </c>
      <c r="AA975" s="110" t="s">
        <v>537</v>
      </c>
      <c r="AB975" s="110" t="s">
        <v>244</v>
      </c>
      <c r="AC975" s="110" t="s">
        <v>538</v>
      </c>
      <c r="AD975" s="110" t="n">
        <f aca="false">IF(OR(F975="",Q975="",R975=""),"",ROUND(IF(P975="incl.",F975/(1+Q975),F975)/IF(S975="per pack",R975,1),2))</f>
        <v>8.59</v>
      </c>
      <c r="AE975" s="110" t="str">
        <f aca="false">IF(AND(AC975="yes",ISNUMBER(F975),IF(Compare!$H$5="All mapped",TRUE(),IF(Compare!$H$5="EXACT only",J975="EXACT",OR(J975="EXACT",J975="CLOSE")))),"yes","no")</f>
        <v>yes</v>
      </c>
      <c r="AF975" s="110" t="n">
        <f aca="false">IF(ISNUMBER(H975),COUNTIFS($B$7:$B$3000,B975,$C$7:$C$3000,C975,$H$7:$H$3000,"&lt;"&amp;H975,$AH$7:$AH$3000,"yes")+COUNTIFS($B$7:B975,B975,$C$7:C975,C975,$H$7:H975,H975,$AH$7:AH975,"yes"),"")</f>
        <v>6</v>
      </c>
      <c r="AG975" s="110" t="n">
        <f aca="false">IF(ISNUMBER(I975),COUNTIFS($B$7:$B$3000,B975,$C$7:$C$3000,C975,$I$7:$I$3000,"&lt;"&amp;I975,$AI$7:$AI$3000,"yes")+COUNTIFS($B$7:B975,B975,$C$7:C975,C975,$I$7:I975,I975,$AI$7:AI975,"yes"),"")</f>
        <v>6</v>
      </c>
      <c r="AH975" s="110" t="str">
        <f aca="false">IF(ISNUMBER(H975),"yes","no")</f>
        <v>yes</v>
      </c>
      <c r="AI975" s="110" t="str">
        <f aca="false">IF(ISNUMBER(I975),"yes","no")</f>
        <v>yes</v>
      </c>
      <c r="AJ975" s="120" t="n">
        <v>46297</v>
      </c>
      <c r="AK975" s="110"/>
    </row>
    <row r="976" customFormat="false" ht="23.85" hidden="false" customHeight="false" outlineLevel="0" collapsed="false">
      <c r="B976" s="36" t="s">
        <v>69</v>
      </c>
      <c r="C976" s="98" t="s">
        <v>17</v>
      </c>
      <c r="D976" s="98" t="s">
        <v>338</v>
      </c>
      <c r="E976" s="110" t="s">
        <v>3250</v>
      </c>
      <c r="F976" s="99" t="n">
        <v>179</v>
      </c>
      <c r="G976" s="98" t="s">
        <v>333</v>
      </c>
      <c r="H976" s="112" t="n">
        <f aca="false">IF(AND(AE976="yes",ISNUMBER(AD976)),AD976,"")</f>
        <v>179</v>
      </c>
      <c r="I976" s="95" t="n">
        <f aca="false">IF(AND(AE976="yes",ISNUMBER(AD976),ISNUMBER(INDEX(Sources!$G$7:$G$10,MATCH(AB976,Sources!$B$7:$B$10,0)))),ROUND(AD976/INDEX(Sources!$G$7:$G$10,MATCH(AB976,Sources!$B$7:$B$10,0)),6),"")</f>
        <v>7.328972</v>
      </c>
      <c r="J976" s="98" t="s">
        <v>530</v>
      </c>
      <c r="K976" s="98" t="s">
        <v>2059</v>
      </c>
      <c r="L976" s="96"/>
      <c r="M976" s="110" t="s">
        <v>3251</v>
      </c>
      <c r="N976" s="117" t="s">
        <v>3252</v>
      </c>
      <c r="O976" s="110" t="s">
        <v>388</v>
      </c>
      <c r="P976" s="110" t="s">
        <v>590</v>
      </c>
      <c r="Q976" s="118" t="n">
        <v>0.21</v>
      </c>
      <c r="R976" s="110" t="n">
        <v>1</v>
      </c>
      <c r="S976" s="110" t="s">
        <v>632</v>
      </c>
      <c r="T976" s="110" t="s">
        <v>530</v>
      </c>
      <c r="U976" s="110" t="s">
        <v>2913</v>
      </c>
      <c r="V976" s="119" t="n">
        <v>179</v>
      </c>
      <c r="W976" s="119"/>
      <c r="X976" s="110" t="s">
        <v>2063</v>
      </c>
      <c r="Y976" s="110" t="s">
        <v>2064</v>
      </c>
      <c r="Z976" s="110" t="s">
        <v>3167</v>
      </c>
      <c r="AA976" s="110" t="s">
        <v>537</v>
      </c>
      <c r="AB976" s="110" t="s">
        <v>333</v>
      </c>
      <c r="AC976" s="110" t="s">
        <v>538</v>
      </c>
      <c r="AD976" s="110" t="n">
        <f aca="false">IF(OR(F976="",Q976="",R976=""),"",ROUND(IF(P976="incl.",F976/(1+Q976),F976)/IF(S976="per pack",R976,1),2))</f>
        <v>179</v>
      </c>
      <c r="AE976" s="110" t="str">
        <f aca="false">IF(AND(AC976="yes",ISNUMBER(F976),IF(Compare!$H$5="All mapped",TRUE(),IF(Compare!$H$5="EXACT only",J976="EXACT",OR(J976="EXACT",J976="CLOSE")))),"yes","no")</f>
        <v>yes</v>
      </c>
      <c r="AF976" s="110" t="n">
        <f aca="false">IF(ISNUMBER(H976),COUNTIFS($B$7:$B$3000,B976,$C$7:$C$3000,C976,$H$7:$H$3000,"&lt;"&amp;H976,$AH$7:$AH$3000,"yes")+COUNTIFS($B$7:B976,B976,$C$7:C976,C976,$H$7:H976,H976,$AH$7:AH976,"yes"),"")</f>
        <v>4</v>
      </c>
      <c r="AG976" s="110" t="n">
        <f aca="false">IF(ISNUMBER(I976),COUNTIFS($B$7:$B$3000,B976,$C$7:$C$3000,C976,$I$7:$I$3000,"&lt;"&amp;I976,$AI$7:$AI$3000,"yes")+COUNTIFS($B$7:B976,B976,$C$7:C976,C976,$I$7:I976,I976,$AI$7:AI976,"yes"),"")</f>
        <v>4</v>
      </c>
      <c r="AH976" s="110" t="str">
        <f aca="false">IF(ISNUMBER(H976),"yes","no")</f>
        <v>yes</v>
      </c>
      <c r="AI976" s="110" t="str">
        <f aca="false">IF(ISNUMBER(I976),"yes","no")</f>
        <v>yes</v>
      </c>
      <c r="AJ976" s="120" t="n">
        <v>46297</v>
      </c>
      <c r="AK976" s="110"/>
    </row>
    <row r="977" customFormat="false" ht="35.05" hidden="false" customHeight="false" outlineLevel="0" collapsed="false">
      <c r="B977" s="36" t="s">
        <v>69</v>
      </c>
      <c r="C977" s="98" t="s">
        <v>17</v>
      </c>
      <c r="D977" s="98" t="s">
        <v>342</v>
      </c>
      <c r="E977" s="110" t="s">
        <v>3253</v>
      </c>
      <c r="F977" s="99" t="n">
        <v>147</v>
      </c>
      <c r="G977" s="98" t="s">
        <v>333</v>
      </c>
      <c r="H977" s="112" t="n">
        <f aca="false">IF(AND(AE977="yes",ISNUMBER(AD977)),AD977,"")</f>
        <v>147</v>
      </c>
      <c r="I977" s="95" t="n">
        <f aca="false">IF(AND(AE977="yes",ISNUMBER(AD977),ISNUMBER(INDEX(Sources!$G$7:$G$10,MATCH(AB977,Sources!$B$7:$B$10,0)))),ROUND(AD977/INDEX(Sources!$G$7:$G$10,MATCH(AB977,Sources!$B$7:$B$10,0)),6),"")</f>
        <v>6.018765</v>
      </c>
      <c r="J977" s="98" t="s">
        <v>530</v>
      </c>
      <c r="K977" s="98" t="s">
        <v>2059</v>
      </c>
      <c r="L977" s="96"/>
      <c r="M977" s="110" t="s">
        <v>3254</v>
      </c>
      <c r="N977" s="117" t="s">
        <v>3255</v>
      </c>
      <c r="O977" s="110" t="s">
        <v>1138</v>
      </c>
      <c r="P977" s="110" t="s">
        <v>590</v>
      </c>
      <c r="Q977" s="118" t="n">
        <v>0.21</v>
      </c>
      <c r="R977" s="110" t="n">
        <v>1</v>
      </c>
      <c r="S977" s="110" t="s">
        <v>632</v>
      </c>
      <c r="T977" s="110" t="s">
        <v>530</v>
      </c>
      <c r="U977" s="110" t="s">
        <v>2913</v>
      </c>
      <c r="V977" s="119" t="n">
        <v>147</v>
      </c>
      <c r="W977" s="119"/>
      <c r="X977" s="110" t="s">
        <v>2063</v>
      </c>
      <c r="Y977" s="110" t="s">
        <v>2064</v>
      </c>
      <c r="Z977" s="110" t="s">
        <v>2989</v>
      </c>
      <c r="AA977" s="110" t="s">
        <v>537</v>
      </c>
      <c r="AB977" s="110" t="s">
        <v>333</v>
      </c>
      <c r="AC977" s="110" t="s">
        <v>538</v>
      </c>
      <c r="AD977" s="110" t="n">
        <f aca="false">IF(OR(F977="",Q977="",R977=""),"",ROUND(IF(P977="incl.",F977/(1+Q977),F977)/IF(S977="per pack",R977,1),2))</f>
        <v>147</v>
      </c>
      <c r="AE977" s="110" t="str">
        <f aca="false">IF(AND(AC977="yes",ISNUMBER(F977),IF(Compare!$H$5="All mapped",TRUE(),IF(Compare!$H$5="EXACT only",J977="EXACT",OR(J977="EXACT",J977="CLOSE")))),"yes","no")</f>
        <v>yes</v>
      </c>
      <c r="AF977" s="110" t="n">
        <f aca="false">IF(ISNUMBER(H977),COUNTIFS($B$7:$B$3000,B977,$C$7:$C$3000,C977,$H$7:$H$3000,"&lt;"&amp;H977,$AH$7:$AH$3000,"yes")+COUNTIFS($B$7:B977,B977,$C$7:C977,C977,$H$7:H977,H977,$AH$7:AH977,"yes"),"")</f>
        <v>2</v>
      </c>
      <c r="AG977" s="110" t="n">
        <f aca="false">IF(ISNUMBER(I977),COUNTIFS($B$7:$B$3000,B977,$C$7:$C$3000,C977,$I$7:$I$3000,"&lt;"&amp;I977,$AI$7:$AI$3000,"yes")+COUNTIFS($B$7:B977,B977,$C$7:C977,C977,$I$7:I977,I977,$AI$7:AI977,"yes"),"")</f>
        <v>2</v>
      </c>
      <c r="AH977" s="110" t="str">
        <f aca="false">IF(ISNUMBER(H977),"yes","no")</f>
        <v>yes</v>
      </c>
      <c r="AI977" s="110" t="str">
        <f aca="false">IF(ISNUMBER(I977),"yes","no")</f>
        <v>yes</v>
      </c>
      <c r="AJ977" s="120" t="n">
        <v>46297</v>
      </c>
      <c r="AK977" s="110"/>
    </row>
    <row r="978" customFormat="false" ht="46.25" hidden="false" customHeight="false" outlineLevel="0" collapsed="false">
      <c r="B978" s="36" t="s">
        <v>69</v>
      </c>
      <c r="C978" s="98" t="s">
        <v>17</v>
      </c>
      <c r="D978" s="98" t="s">
        <v>346</v>
      </c>
      <c r="E978" s="110" t="s">
        <v>3256</v>
      </c>
      <c r="F978" s="99" t="n">
        <v>300</v>
      </c>
      <c r="G978" s="98" t="s">
        <v>333</v>
      </c>
      <c r="H978" s="112" t="n">
        <f aca="false">IF(AND(AE978="yes",ISNUMBER(AD978)),AD978,"")</f>
        <v>300</v>
      </c>
      <c r="I978" s="95" t="n">
        <f aca="false">IF(AND(AE978="yes",ISNUMBER(AD978),ISNUMBER(INDEX(Sources!$G$7:$G$10,MATCH(AB978,Sources!$B$7:$B$10,0)))),ROUND(AD978/INDEX(Sources!$G$7:$G$10,MATCH(AB978,Sources!$B$7:$B$10,0)),6),"")</f>
        <v>12.283194</v>
      </c>
      <c r="J978" s="98" t="s">
        <v>530</v>
      </c>
      <c r="K978" s="98" t="s">
        <v>2059</v>
      </c>
      <c r="L978" s="96"/>
      <c r="M978" s="110" t="s">
        <v>3257</v>
      </c>
      <c r="N978" s="117" t="s">
        <v>3258</v>
      </c>
      <c r="O978" s="110" t="s">
        <v>565</v>
      </c>
      <c r="P978" s="110" t="s">
        <v>590</v>
      </c>
      <c r="Q978" s="118" t="n">
        <v>0.21</v>
      </c>
      <c r="R978" s="110" t="n">
        <v>1</v>
      </c>
      <c r="S978" s="110" t="s">
        <v>632</v>
      </c>
      <c r="T978" s="110" t="s">
        <v>530</v>
      </c>
      <c r="U978" s="110" t="s">
        <v>2913</v>
      </c>
      <c r="V978" s="119" t="n">
        <v>300</v>
      </c>
      <c r="W978" s="119"/>
      <c r="X978" s="110" t="s">
        <v>2063</v>
      </c>
      <c r="Y978" s="110" t="s">
        <v>2064</v>
      </c>
      <c r="Z978" s="110" t="s">
        <v>2993</v>
      </c>
      <c r="AA978" s="110" t="s">
        <v>537</v>
      </c>
      <c r="AB978" s="110" t="s">
        <v>333</v>
      </c>
      <c r="AC978" s="110" t="s">
        <v>538</v>
      </c>
      <c r="AD978" s="110" t="n">
        <f aca="false">IF(OR(F978="",Q978="",R978=""),"",ROUND(IF(P978="incl.",F978/(1+Q978),F978)/IF(S978="per pack",R978,1),2))</f>
        <v>300</v>
      </c>
      <c r="AE978" s="110" t="str">
        <f aca="false">IF(AND(AC978="yes",ISNUMBER(F978),IF(Compare!$H$5="All mapped",TRUE(),IF(Compare!$H$5="EXACT only",J978="EXACT",OR(J978="EXACT",J978="CLOSE")))),"yes","no")</f>
        <v>yes</v>
      </c>
      <c r="AF978" s="110" t="n">
        <f aca="false">IF(ISNUMBER(H978),COUNTIFS($B$7:$B$3000,B978,$C$7:$C$3000,C978,$H$7:$H$3000,"&lt;"&amp;H978,$AH$7:$AH$3000,"yes")+COUNTIFS($B$7:B978,B978,$C$7:C978,C978,$H$7:H978,H978,$AH$7:AH978,"yes"),"")</f>
        <v>5</v>
      </c>
      <c r="AG978" s="110" t="n">
        <f aca="false">IF(ISNUMBER(I978),COUNTIFS($B$7:$B$3000,B978,$C$7:$C$3000,C978,$I$7:$I$3000,"&lt;"&amp;I978,$AI$7:$AI$3000,"yes")+COUNTIFS($B$7:B978,B978,$C$7:C978,C978,$I$7:I978,I978,$AI$7:AI978,"yes"),"")</f>
        <v>5</v>
      </c>
      <c r="AH978" s="110" t="str">
        <f aca="false">IF(ISNUMBER(H978),"yes","no")</f>
        <v>yes</v>
      </c>
      <c r="AI978" s="110" t="str">
        <f aca="false">IF(ISNUMBER(I978),"yes","no")</f>
        <v>yes</v>
      </c>
      <c r="AJ978" s="120" t="n">
        <v>46297</v>
      </c>
      <c r="AK978" s="110"/>
    </row>
    <row r="979" customFormat="false" ht="35.05" hidden="false" customHeight="false" outlineLevel="0" collapsed="false">
      <c r="B979" s="36" t="s">
        <v>69</v>
      </c>
      <c r="C979" s="98" t="s">
        <v>17</v>
      </c>
      <c r="D979" s="98" t="s">
        <v>350</v>
      </c>
      <c r="E979" s="110" t="s">
        <v>3259</v>
      </c>
      <c r="F979" s="99" t="n">
        <v>140</v>
      </c>
      <c r="G979" s="98" t="s">
        <v>333</v>
      </c>
      <c r="H979" s="112" t="n">
        <f aca="false">IF(AND(AE979="yes",ISNUMBER(AD979)),AD979,"")</f>
        <v>115.7</v>
      </c>
      <c r="I979" s="95" t="n">
        <f aca="false">IF(AND(AE979="yes",ISNUMBER(AD979),ISNUMBER(INDEX(Sources!$G$7:$G$10,MATCH(AB979,Sources!$B$7:$B$10,0)))),ROUND(AD979/INDEX(Sources!$G$7:$G$10,MATCH(AB979,Sources!$B$7:$B$10,0)),6),"")</f>
        <v>4.737218</v>
      </c>
      <c r="J979" s="98" t="s">
        <v>530</v>
      </c>
      <c r="K979" s="98" t="s">
        <v>2059</v>
      </c>
      <c r="L979" s="96"/>
      <c r="M979" s="110" t="s">
        <v>3260</v>
      </c>
      <c r="N979" s="117" t="s">
        <v>3261</v>
      </c>
      <c r="O979" s="110" t="s">
        <v>2997</v>
      </c>
      <c r="P979" s="110" t="s">
        <v>265</v>
      </c>
      <c r="Q979" s="118" t="n">
        <v>0.21</v>
      </c>
      <c r="R979" s="110" t="n">
        <v>1</v>
      </c>
      <c r="S979" s="110" t="s">
        <v>632</v>
      </c>
      <c r="T979" s="110" t="s">
        <v>530</v>
      </c>
      <c r="U979" s="110" t="s">
        <v>2918</v>
      </c>
      <c r="V979" s="119" t="n">
        <v>115.7</v>
      </c>
      <c r="W979" s="119"/>
      <c r="X979" s="110" t="s">
        <v>2063</v>
      </c>
      <c r="Y979" s="110" t="s">
        <v>2064</v>
      </c>
      <c r="Z979" s="110" t="s">
        <v>2349</v>
      </c>
      <c r="AA979" s="110" t="s">
        <v>537</v>
      </c>
      <c r="AB979" s="110" t="s">
        <v>333</v>
      </c>
      <c r="AC979" s="110" t="s">
        <v>538</v>
      </c>
      <c r="AD979" s="110" t="n">
        <f aca="false">IF(OR(F979="",Q979="",R979=""),"",ROUND(IF(P979="incl.",F979/(1+Q979),F979)/IF(S979="per pack",R979,1),2))</f>
        <v>115.7</v>
      </c>
      <c r="AE979" s="110" t="str">
        <f aca="false">IF(AND(AC979="yes",ISNUMBER(F979),IF(Compare!$H$5="All mapped",TRUE(),IF(Compare!$H$5="EXACT only",J979="EXACT",OR(J979="EXACT",J979="CLOSE")))),"yes","no")</f>
        <v>yes</v>
      </c>
      <c r="AF979" s="110" t="n">
        <f aca="false">IF(ISNUMBER(H979),COUNTIFS($B$7:$B$3000,B979,$C$7:$C$3000,C979,$H$7:$H$3000,"&lt;"&amp;H979,$AH$7:$AH$3000,"yes")+COUNTIFS($B$7:B979,B979,$C$7:C979,C979,$H$7:H979,H979,$AH$7:AH979,"yes"),"")</f>
        <v>1</v>
      </c>
      <c r="AG979" s="110" t="n">
        <f aca="false">IF(ISNUMBER(I979),COUNTIFS($B$7:$B$3000,B979,$C$7:$C$3000,C979,$I$7:$I$3000,"&lt;"&amp;I979,$AI$7:$AI$3000,"yes")+COUNTIFS($B$7:B979,B979,$C$7:C979,C979,$I$7:I979,I979,$AI$7:AI979,"yes"),"")</f>
        <v>1</v>
      </c>
      <c r="AH979" s="110" t="str">
        <f aca="false">IF(ISNUMBER(H979),"yes","no")</f>
        <v>yes</v>
      </c>
      <c r="AI979" s="110" t="str">
        <f aca="false">IF(ISNUMBER(I979),"yes","no")</f>
        <v>yes</v>
      </c>
      <c r="AJ979" s="120" t="n">
        <v>46297</v>
      </c>
      <c r="AK979" s="110"/>
    </row>
    <row r="980" customFormat="false" ht="46.25" hidden="false" customHeight="false" outlineLevel="0" collapsed="false">
      <c r="B980" s="36" t="s">
        <v>69</v>
      </c>
      <c r="C980" s="98" t="s">
        <v>17</v>
      </c>
      <c r="D980" s="98" t="s">
        <v>361</v>
      </c>
      <c r="E980" s="110" t="s">
        <v>3262</v>
      </c>
      <c r="F980" s="99" t="n">
        <v>165</v>
      </c>
      <c r="G980" s="98" t="s">
        <v>333</v>
      </c>
      <c r="H980" s="112" t="n">
        <f aca="false">IF(AND(AE980="yes",ISNUMBER(AD980)),AD980,"")</f>
        <v>165</v>
      </c>
      <c r="I980" s="95" t="n">
        <f aca="false">IF(AND(AE980="yes",ISNUMBER(AD980),ISNUMBER(INDEX(Sources!$G$7:$G$10,MATCH(AB980,Sources!$B$7:$B$10,0)))),ROUND(AD980/INDEX(Sources!$G$7:$G$10,MATCH(AB980,Sources!$B$7:$B$10,0)),6),"")</f>
        <v>6.755756</v>
      </c>
      <c r="J980" s="98" t="s">
        <v>530</v>
      </c>
      <c r="K980" s="98" t="s">
        <v>2059</v>
      </c>
      <c r="L980" s="96"/>
      <c r="M980" s="110" t="s">
        <v>3263</v>
      </c>
      <c r="N980" s="117" t="s">
        <v>3264</v>
      </c>
      <c r="O980" s="110" t="s">
        <v>361</v>
      </c>
      <c r="P980" s="110" t="s">
        <v>590</v>
      </c>
      <c r="Q980" s="118" t="n">
        <v>0.21</v>
      </c>
      <c r="R980" s="110" t="n">
        <v>1</v>
      </c>
      <c r="S980" s="110" t="s">
        <v>632</v>
      </c>
      <c r="T980" s="110" t="s">
        <v>530</v>
      </c>
      <c r="U980" s="110" t="s">
        <v>2913</v>
      </c>
      <c r="V980" s="119" t="n">
        <v>165</v>
      </c>
      <c r="W980" s="119"/>
      <c r="X980" s="110" t="s">
        <v>2063</v>
      </c>
      <c r="Y980" s="110" t="s">
        <v>2064</v>
      </c>
      <c r="Z980" s="110" t="s">
        <v>3265</v>
      </c>
      <c r="AA980" s="110" t="s">
        <v>537</v>
      </c>
      <c r="AB980" s="110" t="s">
        <v>333</v>
      </c>
      <c r="AC980" s="110" t="s">
        <v>538</v>
      </c>
      <c r="AD980" s="110" t="n">
        <f aca="false">IF(OR(F980="",Q980="",R980=""),"",ROUND(IF(P980="incl.",F980/(1+Q980),F980)/IF(S980="per pack",R980,1),2))</f>
        <v>165</v>
      </c>
      <c r="AE980" s="110" t="str">
        <f aca="false">IF(AND(AC980="yes",ISNUMBER(F980),IF(Compare!$H$5="All mapped",TRUE(),IF(Compare!$H$5="EXACT only",J980="EXACT",OR(J980="EXACT",J980="CLOSE")))),"yes","no")</f>
        <v>yes</v>
      </c>
      <c r="AF980" s="110" t="n">
        <f aca="false">IF(ISNUMBER(H980),COUNTIFS($B$7:$B$3000,B980,$C$7:$C$3000,C980,$H$7:$H$3000,"&lt;"&amp;H980,$AH$7:$AH$3000,"yes")+COUNTIFS($B$7:B980,B980,$C$7:C980,C980,$H$7:H980,H980,$AH$7:AH980,"yes"),"")</f>
        <v>3</v>
      </c>
      <c r="AG980" s="110" t="n">
        <f aca="false">IF(ISNUMBER(I980),COUNTIFS($B$7:$B$3000,B980,$C$7:$C$3000,C980,$I$7:$I$3000,"&lt;"&amp;I980,$AI$7:$AI$3000,"yes")+COUNTIFS($B$7:B980,B980,$C$7:C980,C980,$I$7:I980,I980,$AI$7:AI980,"yes"),"")</f>
        <v>3</v>
      </c>
      <c r="AH980" s="110" t="str">
        <f aca="false">IF(ISNUMBER(H980),"yes","no")</f>
        <v>yes</v>
      </c>
      <c r="AI980" s="110" t="str">
        <f aca="false">IF(ISNUMBER(I980),"yes","no")</f>
        <v>yes</v>
      </c>
      <c r="AJ980" s="120" t="n">
        <v>46297</v>
      </c>
      <c r="AK980" s="110"/>
    </row>
    <row r="981" customFormat="false" ht="35.05" hidden="false" customHeight="false" outlineLevel="0" collapsed="false">
      <c r="B981" s="36" t="s">
        <v>69</v>
      </c>
      <c r="C981" s="98" t="s">
        <v>18</v>
      </c>
      <c r="D981" s="98" t="s">
        <v>3002</v>
      </c>
      <c r="E981" s="110" t="s">
        <v>3266</v>
      </c>
      <c r="F981" s="99" t="n">
        <v>7.1</v>
      </c>
      <c r="G981" s="98" t="s">
        <v>244</v>
      </c>
      <c r="H981" s="112" t="n">
        <f aca="false">IF(AND(AE981="yes",ISNUMBER(AD981)),AD981,"")</f>
        <v>7.1</v>
      </c>
      <c r="I981" s="95" t="n">
        <f aca="false">IF(AND(AE981="yes",ISNUMBER(AD981),ISNUMBER(INDEX(Sources!$G$7:$G$10,MATCH(AB981,Sources!$B$7:$B$10,0)))),ROUND(AD981/INDEX(Sources!$G$7:$G$10,MATCH(AB981,Sources!$B$7:$B$10,0)),6),"")</f>
        <v>7.1</v>
      </c>
      <c r="J981" s="98" t="s">
        <v>530</v>
      </c>
      <c r="K981" s="98" t="s">
        <v>2059</v>
      </c>
      <c r="L981" s="96"/>
      <c r="M981" s="110" t="s">
        <v>3267</v>
      </c>
      <c r="N981" s="117" t="s">
        <v>3005</v>
      </c>
      <c r="O981" s="110" t="s">
        <v>2396</v>
      </c>
      <c r="P981" s="110" t="s">
        <v>590</v>
      </c>
      <c r="Q981" s="118" t="n">
        <v>0.23</v>
      </c>
      <c r="R981" s="110" t="n">
        <v>1</v>
      </c>
      <c r="S981" s="110" t="s">
        <v>632</v>
      </c>
      <c r="T981" s="110" t="s">
        <v>530</v>
      </c>
      <c r="U981" s="110" t="s">
        <v>2913</v>
      </c>
      <c r="V981" s="119" t="n">
        <v>7.1</v>
      </c>
      <c r="W981" s="119"/>
      <c r="X981" s="110" t="s">
        <v>2063</v>
      </c>
      <c r="Y981" s="110" t="s">
        <v>2064</v>
      </c>
      <c r="Z981" s="110" t="s">
        <v>3268</v>
      </c>
      <c r="AA981" s="110" t="s">
        <v>537</v>
      </c>
      <c r="AB981" s="110" t="s">
        <v>244</v>
      </c>
      <c r="AC981" s="110" t="s">
        <v>538</v>
      </c>
      <c r="AD981" s="110" t="n">
        <f aca="false">IF(OR(F981="",Q981="",R981=""),"",ROUND(IF(P981="incl.",F981/(1+Q981),F981)/IF(S981="per pack",R981,1),2))</f>
        <v>7.1</v>
      </c>
      <c r="AE981" s="110" t="str">
        <f aca="false">IF(AND(AC981="yes",ISNUMBER(F981),IF(Compare!$H$5="All mapped",TRUE(),IF(Compare!$H$5="EXACT only",J981="EXACT",OR(J981="EXACT",J981="CLOSE")))),"yes","no")</f>
        <v>yes</v>
      </c>
      <c r="AF981" s="110" t="n">
        <f aca="false">IF(ISNUMBER(H981),COUNTIFS($B$7:$B$3000,B981,$C$7:$C$3000,C981,$H$7:$H$3000,"&lt;"&amp;H981,$AH$7:$AH$3000,"yes")+COUNTIFS($B$7:B981,B981,$C$7:C981,C981,$H$7:H981,H981,$AH$7:AH981,"yes"),"")</f>
        <v>4</v>
      </c>
      <c r="AG981" s="110" t="n">
        <f aca="false">IF(ISNUMBER(I981),COUNTIFS($B$7:$B$3000,B981,$C$7:$C$3000,C981,$I$7:$I$3000,"&lt;"&amp;I981,$AI$7:$AI$3000,"yes")+COUNTIFS($B$7:B981,B981,$C$7:C981,C981,$I$7:I981,I981,$AI$7:AI981,"yes"),"")</f>
        <v>4</v>
      </c>
      <c r="AH981" s="110" t="str">
        <f aca="false">IF(ISNUMBER(H981),"yes","no")</f>
        <v>yes</v>
      </c>
      <c r="AI981" s="110" t="str">
        <f aca="false">IF(ISNUMBER(I981),"yes","no")</f>
        <v>yes</v>
      </c>
      <c r="AJ981" s="120" t="n">
        <v>46297</v>
      </c>
      <c r="AK981" s="110"/>
    </row>
    <row r="982" customFormat="false" ht="23.85" hidden="false" customHeight="false" outlineLevel="0" collapsed="false">
      <c r="B982" s="36" t="s">
        <v>69</v>
      </c>
      <c r="C982" s="98" t="s">
        <v>18</v>
      </c>
      <c r="D982" s="98" t="s">
        <v>3007</v>
      </c>
      <c r="E982" s="110" t="s">
        <v>3269</v>
      </c>
      <c r="F982" s="99" t="n">
        <v>6.75</v>
      </c>
      <c r="G982" s="98" t="s">
        <v>244</v>
      </c>
      <c r="H982" s="112" t="n">
        <f aca="false">IF(AND(AE982="yes",ISNUMBER(AD982)),AD982,"")</f>
        <v>6.75</v>
      </c>
      <c r="I982" s="95" t="n">
        <f aca="false">IF(AND(AE982="yes",ISNUMBER(AD982),ISNUMBER(INDEX(Sources!$G$7:$G$10,MATCH(AB982,Sources!$B$7:$B$10,0)))),ROUND(AD982/INDEX(Sources!$G$7:$G$10,MATCH(AB982,Sources!$B$7:$B$10,0)),6),"")</f>
        <v>6.75</v>
      </c>
      <c r="J982" s="98" t="s">
        <v>530</v>
      </c>
      <c r="K982" s="98" t="s">
        <v>2059</v>
      </c>
      <c r="L982" s="96"/>
      <c r="M982" s="110" t="s">
        <v>3270</v>
      </c>
      <c r="N982" s="117" t="s">
        <v>3010</v>
      </c>
      <c r="O982" s="110" t="s">
        <v>3011</v>
      </c>
      <c r="P982" s="110" t="s">
        <v>590</v>
      </c>
      <c r="Q982" s="118" t="n">
        <v>0.23</v>
      </c>
      <c r="R982" s="110" t="n">
        <v>1</v>
      </c>
      <c r="S982" s="110" t="s">
        <v>632</v>
      </c>
      <c r="T982" s="110" t="s">
        <v>530</v>
      </c>
      <c r="U982" s="110" t="s">
        <v>2913</v>
      </c>
      <c r="V982" s="119" t="n">
        <v>6.75</v>
      </c>
      <c r="W982" s="119"/>
      <c r="X982" s="110" t="s">
        <v>2063</v>
      </c>
      <c r="Y982" s="110" t="s">
        <v>2064</v>
      </c>
      <c r="Z982" s="110" t="s">
        <v>3012</v>
      </c>
      <c r="AA982" s="110" t="s">
        <v>537</v>
      </c>
      <c r="AB982" s="110" t="s">
        <v>244</v>
      </c>
      <c r="AC982" s="110" t="s">
        <v>538</v>
      </c>
      <c r="AD982" s="110" t="n">
        <f aca="false">IF(OR(F982="",Q982="",R982=""),"",ROUND(IF(P982="incl.",F982/(1+Q982),F982)/IF(S982="per pack",R982,1),2))</f>
        <v>6.75</v>
      </c>
      <c r="AE982" s="110" t="str">
        <f aca="false">IF(AND(AC982="yes",ISNUMBER(F982),IF(Compare!$H$5="All mapped",TRUE(),IF(Compare!$H$5="EXACT only",J982="EXACT",OR(J982="EXACT",J982="CLOSE")))),"yes","no")</f>
        <v>yes</v>
      </c>
      <c r="AF982" s="110" t="n">
        <f aca="false">IF(ISNUMBER(H982),COUNTIFS($B$7:$B$3000,B982,$C$7:$C$3000,C982,$H$7:$H$3000,"&lt;"&amp;H982,$AH$7:$AH$3000,"yes")+COUNTIFS($B$7:B982,B982,$C$7:C982,C982,$H$7:H982,H982,$AH$7:AH982,"yes"),"")</f>
        <v>3</v>
      </c>
      <c r="AG982" s="110" t="n">
        <f aca="false">IF(ISNUMBER(I982),COUNTIFS($B$7:$B$3000,B982,$C$7:$C$3000,C982,$I$7:$I$3000,"&lt;"&amp;I982,$AI$7:$AI$3000,"yes")+COUNTIFS($B$7:B982,B982,$C$7:C982,C982,$I$7:I982,I982,$AI$7:AI982,"yes"),"")</f>
        <v>3</v>
      </c>
      <c r="AH982" s="110" t="str">
        <f aca="false">IF(ISNUMBER(H982),"yes","no")</f>
        <v>yes</v>
      </c>
      <c r="AI982" s="110" t="str">
        <f aca="false">IF(ISNUMBER(I982),"yes","no")</f>
        <v>yes</v>
      </c>
      <c r="AJ982" s="120" t="n">
        <v>46297</v>
      </c>
      <c r="AK982" s="110"/>
    </row>
    <row r="983" customFormat="false" ht="35.05" hidden="false" customHeight="false" outlineLevel="0" collapsed="false">
      <c r="B983" s="36" t="s">
        <v>69</v>
      </c>
      <c r="C983" s="98" t="s">
        <v>18</v>
      </c>
      <c r="D983" s="98" t="s">
        <v>365</v>
      </c>
      <c r="E983" s="110" t="s">
        <v>3253</v>
      </c>
      <c r="F983" s="99" t="n">
        <v>7.06</v>
      </c>
      <c r="G983" s="98" t="s">
        <v>244</v>
      </c>
      <c r="H983" s="112" t="n">
        <f aca="false">IF(AND(AE983="yes",ISNUMBER(AD983)),AD983,"")</f>
        <v>5.74</v>
      </c>
      <c r="I983" s="95" t="n">
        <f aca="false">IF(AND(AE983="yes",ISNUMBER(AD983),ISNUMBER(INDEX(Sources!$G$7:$G$10,MATCH(AB983,Sources!$B$7:$B$10,0)))),ROUND(AD983/INDEX(Sources!$G$7:$G$10,MATCH(AB983,Sources!$B$7:$B$10,0)),6),"")</f>
        <v>5.74</v>
      </c>
      <c r="J983" s="98" t="s">
        <v>530</v>
      </c>
      <c r="K983" s="98" t="s">
        <v>2059</v>
      </c>
      <c r="L983" s="96"/>
      <c r="M983" s="110" t="s">
        <v>3271</v>
      </c>
      <c r="N983" s="117" t="s">
        <v>3272</v>
      </c>
      <c r="O983" s="110" t="s">
        <v>3015</v>
      </c>
      <c r="P983" s="110" t="s">
        <v>265</v>
      </c>
      <c r="Q983" s="118" t="n">
        <v>0.23</v>
      </c>
      <c r="R983" s="110" t="n">
        <v>1</v>
      </c>
      <c r="S983" s="110" t="s">
        <v>632</v>
      </c>
      <c r="T983" s="110" t="s">
        <v>530</v>
      </c>
      <c r="U983" s="110" t="s">
        <v>2918</v>
      </c>
      <c r="V983" s="119" t="n">
        <v>5.74</v>
      </c>
      <c r="W983" s="119"/>
      <c r="X983" s="110" t="s">
        <v>2063</v>
      </c>
      <c r="Y983" s="110" t="s">
        <v>2064</v>
      </c>
      <c r="Z983" s="110" t="s">
        <v>3016</v>
      </c>
      <c r="AA983" s="110" t="s">
        <v>537</v>
      </c>
      <c r="AB983" s="110" t="s">
        <v>244</v>
      </c>
      <c r="AC983" s="110" t="s">
        <v>538</v>
      </c>
      <c r="AD983" s="110" t="n">
        <f aca="false">IF(OR(F983="",Q983="",R983=""),"",ROUND(IF(P983="incl.",F983/(1+Q983),F983)/IF(S983="per pack",R983,1),2))</f>
        <v>5.74</v>
      </c>
      <c r="AE983" s="110" t="str">
        <f aca="false">IF(AND(AC983="yes",ISNUMBER(F983),IF(Compare!$H$5="All mapped",TRUE(),IF(Compare!$H$5="EXACT only",J983="EXACT",OR(J983="EXACT",J983="CLOSE")))),"yes","no")</f>
        <v>yes</v>
      </c>
      <c r="AF983" s="110" t="n">
        <f aca="false">IF(ISNUMBER(H983),COUNTIFS($B$7:$B$3000,B983,$C$7:$C$3000,C983,$H$7:$H$3000,"&lt;"&amp;H983,$AH$7:$AH$3000,"yes")+COUNTIFS($B$7:B983,B983,$C$7:C983,C983,$H$7:H983,H983,$AH$7:AH983,"yes"),"")</f>
        <v>1</v>
      </c>
      <c r="AG983" s="110" t="n">
        <f aca="false">IF(ISNUMBER(I983),COUNTIFS($B$7:$B$3000,B983,$C$7:$C$3000,C983,$I$7:$I$3000,"&lt;"&amp;I983,$AI$7:$AI$3000,"yes")+COUNTIFS($B$7:B983,B983,$C$7:C983,C983,$I$7:I983,I983,$AI$7:AI983,"yes"),"")</f>
        <v>1</v>
      </c>
      <c r="AH983" s="110" t="str">
        <f aca="false">IF(ISNUMBER(H983),"yes","no")</f>
        <v>yes</v>
      </c>
      <c r="AI983" s="110" t="str">
        <f aca="false">IF(ISNUMBER(I983),"yes","no")</f>
        <v>yes</v>
      </c>
      <c r="AJ983" s="120" t="n">
        <v>46297</v>
      </c>
      <c r="AK983" s="110"/>
    </row>
    <row r="984" customFormat="false" ht="46.25" hidden="false" customHeight="false" outlineLevel="0" collapsed="false">
      <c r="B984" s="36" t="s">
        <v>69</v>
      </c>
      <c r="C984" s="98" t="s">
        <v>18</v>
      </c>
      <c r="D984" s="98" t="s">
        <v>369</v>
      </c>
      <c r="E984" s="110" t="s">
        <v>3273</v>
      </c>
      <c r="F984" s="99" t="n">
        <v>18.6</v>
      </c>
      <c r="G984" s="98" t="s">
        <v>244</v>
      </c>
      <c r="H984" s="112" t="n">
        <f aca="false">IF(AND(AE984="yes",ISNUMBER(AD984)),AD984,"")</f>
        <v>15.12</v>
      </c>
      <c r="I984" s="95" t="n">
        <f aca="false">IF(AND(AE984="yes",ISNUMBER(AD984),ISNUMBER(INDEX(Sources!$G$7:$G$10,MATCH(AB984,Sources!$B$7:$B$10,0)))),ROUND(AD984/INDEX(Sources!$G$7:$G$10,MATCH(AB984,Sources!$B$7:$B$10,0)),6),"")</f>
        <v>15.12</v>
      </c>
      <c r="J984" s="98" t="s">
        <v>530</v>
      </c>
      <c r="K984" s="98" t="s">
        <v>2059</v>
      </c>
      <c r="L984" s="96"/>
      <c r="M984" s="110" t="s">
        <v>3274</v>
      </c>
      <c r="N984" s="117" t="s">
        <v>3275</v>
      </c>
      <c r="O984" s="110" t="s">
        <v>565</v>
      </c>
      <c r="P984" s="110" t="s">
        <v>265</v>
      </c>
      <c r="Q984" s="118" t="n">
        <v>0.23</v>
      </c>
      <c r="R984" s="110" t="n">
        <v>1</v>
      </c>
      <c r="S984" s="110" t="s">
        <v>632</v>
      </c>
      <c r="T984" s="110" t="s">
        <v>530</v>
      </c>
      <c r="U984" s="110" t="s">
        <v>2918</v>
      </c>
      <c r="V984" s="119" t="n">
        <v>15.12</v>
      </c>
      <c r="W984" s="119"/>
      <c r="X984" s="110" t="s">
        <v>2063</v>
      </c>
      <c r="Y984" s="110" t="s">
        <v>2064</v>
      </c>
      <c r="Z984" s="110" t="s">
        <v>3107</v>
      </c>
      <c r="AA984" s="110" t="s">
        <v>537</v>
      </c>
      <c r="AB984" s="110" t="s">
        <v>244</v>
      </c>
      <c r="AC984" s="110" t="s">
        <v>538</v>
      </c>
      <c r="AD984" s="110" t="n">
        <f aca="false">IF(OR(F984="",Q984="",R984=""),"",ROUND(IF(P984="incl.",F984/(1+Q984),F984)/IF(S984="per pack",R984,1),2))</f>
        <v>15.12</v>
      </c>
      <c r="AE984" s="110" t="str">
        <f aca="false">IF(AND(AC984="yes",ISNUMBER(F984),IF(Compare!$H$5="All mapped",TRUE(),IF(Compare!$H$5="EXACT only",J984="EXACT",OR(J984="EXACT",J984="CLOSE")))),"yes","no")</f>
        <v>yes</v>
      </c>
      <c r="AF984" s="110" t="n">
        <f aca="false">IF(ISNUMBER(H984),COUNTIFS($B$7:$B$3000,B984,$C$7:$C$3000,C984,$H$7:$H$3000,"&lt;"&amp;H984,$AH$7:$AH$3000,"yes")+COUNTIFS($B$7:B984,B984,$C$7:C984,C984,$H$7:H984,H984,$AH$7:AH984,"yes"),"")</f>
        <v>5</v>
      </c>
      <c r="AG984" s="110" t="n">
        <f aca="false">IF(ISNUMBER(I984),COUNTIFS($B$7:$B$3000,B984,$C$7:$C$3000,C984,$I$7:$I$3000,"&lt;"&amp;I984,$AI$7:$AI$3000,"yes")+COUNTIFS($B$7:B984,B984,$C$7:C984,C984,$I$7:I984,I984,$AI$7:AI984,"yes"),"")</f>
        <v>5</v>
      </c>
      <c r="AH984" s="110" t="str">
        <f aca="false">IF(ISNUMBER(H984),"yes","no")</f>
        <v>yes</v>
      </c>
      <c r="AI984" s="110" t="str">
        <f aca="false">IF(ISNUMBER(I984),"yes","no")</f>
        <v>yes</v>
      </c>
      <c r="AJ984" s="120" t="n">
        <v>46297</v>
      </c>
      <c r="AK984" s="110"/>
    </row>
    <row r="985" customFormat="false" ht="35.05" hidden="false" customHeight="false" outlineLevel="0" collapsed="false">
      <c r="B985" s="36" t="s">
        <v>69</v>
      </c>
      <c r="C985" s="98" t="s">
        <v>18</v>
      </c>
      <c r="D985" s="98" t="s">
        <v>3021</v>
      </c>
      <c r="E985" s="110" t="s">
        <v>3262</v>
      </c>
      <c r="F985" s="99" t="n">
        <v>6.33</v>
      </c>
      <c r="G985" s="98" t="s">
        <v>244</v>
      </c>
      <c r="H985" s="112" t="n">
        <f aca="false">IF(AND(AE985="yes",ISNUMBER(AD985)),AD985,"")</f>
        <v>6.33</v>
      </c>
      <c r="I985" s="95" t="n">
        <f aca="false">IF(AND(AE985="yes",ISNUMBER(AD985),ISNUMBER(INDEX(Sources!$G$7:$G$10,MATCH(AB985,Sources!$B$7:$B$10,0)))),ROUND(AD985/INDEX(Sources!$G$7:$G$10,MATCH(AB985,Sources!$B$7:$B$10,0)),6),"")</f>
        <v>6.33</v>
      </c>
      <c r="J985" s="98" t="s">
        <v>530</v>
      </c>
      <c r="K985" s="98" t="s">
        <v>2059</v>
      </c>
      <c r="L985" s="96"/>
      <c r="M985" s="110" t="s">
        <v>3276</v>
      </c>
      <c r="N985" s="117" t="s">
        <v>3023</v>
      </c>
      <c r="O985" s="110" t="s">
        <v>3024</v>
      </c>
      <c r="P985" s="110" t="s">
        <v>590</v>
      </c>
      <c r="Q985" s="118" t="n">
        <v>0.23</v>
      </c>
      <c r="R985" s="110" t="n">
        <v>1</v>
      </c>
      <c r="S985" s="110" t="s">
        <v>632</v>
      </c>
      <c r="T985" s="110" t="s">
        <v>530</v>
      </c>
      <c r="U985" s="110" t="s">
        <v>2913</v>
      </c>
      <c r="V985" s="119" t="n">
        <v>6.33</v>
      </c>
      <c r="W985" s="119"/>
      <c r="X985" s="110" t="s">
        <v>2063</v>
      </c>
      <c r="Y985" s="110" t="s">
        <v>2064</v>
      </c>
      <c r="Z985" s="110" t="s">
        <v>3025</v>
      </c>
      <c r="AA985" s="110" t="s">
        <v>537</v>
      </c>
      <c r="AB985" s="110" t="s">
        <v>244</v>
      </c>
      <c r="AC985" s="110" t="s">
        <v>538</v>
      </c>
      <c r="AD985" s="110" t="n">
        <f aca="false">IF(OR(F985="",Q985="",R985=""),"",ROUND(IF(P985="incl.",F985/(1+Q985),F985)/IF(S985="per pack",R985,1),2))</f>
        <v>6.33</v>
      </c>
      <c r="AE985" s="110" t="str">
        <f aca="false">IF(AND(AC985="yes",ISNUMBER(F985),IF(Compare!$H$5="All mapped",TRUE(),IF(Compare!$H$5="EXACT only",J985="EXACT",OR(J985="EXACT",J985="CLOSE")))),"yes","no")</f>
        <v>yes</v>
      </c>
      <c r="AF985" s="110" t="n">
        <f aca="false">IF(ISNUMBER(H985),COUNTIFS($B$7:$B$3000,B985,$C$7:$C$3000,C985,$H$7:$H$3000,"&lt;"&amp;H985,$AH$7:$AH$3000,"yes")+COUNTIFS($B$7:B985,B985,$C$7:C985,C985,$H$7:H985,H985,$AH$7:AH985,"yes"),"")</f>
        <v>2</v>
      </c>
      <c r="AG985" s="110" t="n">
        <f aca="false">IF(ISNUMBER(I985),COUNTIFS($B$7:$B$3000,B985,$C$7:$C$3000,C985,$I$7:$I$3000,"&lt;"&amp;I985,$AI$7:$AI$3000,"yes")+COUNTIFS($B$7:B985,B985,$C$7:C985,C985,$I$7:I985,I985,$AI$7:AI985,"yes"),"")</f>
        <v>2</v>
      </c>
      <c r="AH985" s="110" t="str">
        <f aca="false">IF(ISNUMBER(H985),"yes","no")</f>
        <v>yes</v>
      </c>
      <c r="AI985" s="110" t="str">
        <f aca="false">IF(ISNUMBER(I985),"yes","no")</f>
        <v>yes</v>
      </c>
      <c r="AJ985" s="120" t="n">
        <v>46297</v>
      </c>
      <c r="AK985" s="110"/>
    </row>
    <row r="986" customFormat="false" ht="35.05" hidden="false" customHeight="false" outlineLevel="0" collapsed="false">
      <c r="B986" s="36" t="s">
        <v>70</v>
      </c>
      <c r="C986" s="98" t="s">
        <v>14</v>
      </c>
      <c r="D986" s="98" t="s">
        <v>373</v>
      </c>
      <c r="E986" s="110" t="s">
        <v>3277</v>
      </c>
      <c r="F986" s="99" t="n">
        <v>56.6</v>
      </c>
      <c r="G986" s="98" t="s">
        <v>374</v>
      </c>
      <c r="H986" s="112" t="n">
        <f aca="false">IF(AND(AE986="yes",ISNUMBER(AD986)),AD986,"")</f>
        <v>56.6</v>
      </c>
      <c r="I986" s="95" t="n">
        <f aca="false">IF(AND(AE986="yes",ISNUMBER(AD986),ISNUMBER(INDEX(Sources!$G$7:$G$10,MATCH(AB986,Sources!$B$7:$B$10,0)))),ROUND(AD986/INDEX(Sources!$G$7:$G$10,MATCH(AB986,Sources!$B$7:$B$10,0)),6),"")</f>
        <v>10.724487</v>
      </c>
      <c r="J986" s="98" t="s">
        <v>530</v>
      </c>
      <c r="K986" s="98" t="s">
        <v>2059</v>
      </c>
      <c r="L986" s="96"/>
      <c r="M986" s="110" t="s">
        <v>3278</v>
      </c>
      <c r="N986" s="117" t="s">
        <v>3112</v>
      </c>
      <c r="O986" s="110" t="s">
        <v>2912</v>
      </c>
      <c r="P986" s="110" t="s">
        <v>590</v>
      </c>
      <c r="Q986" s="118" t="n">
        <v>0.21</v>
      </c>
      <c r="R986" s="110" t="n">
        <v>1</v>
      </c>
      <c r="S986" s="110" t="s">
        <v>632</v>
      </c>
      <c r="T986" s="110" t="s">
        <v>530</v>
      </c>
      <c r="U986" s="110" t="s">
        <v>2913</v>
      </c>
      <c r="V986" s="119" t="n">
        <v>56.6</v>
      </c>
      <c r="W986" s="119"/>
      <c r="X986" s="110" t="s">
        <v>2063</v>
      </c>
      <c r="Y986" s="110" t="s">
        <v>2064</v>
      </c>
      <c r="Z986" s="110"/>
      <c r="AA986" s="110" t="s">
        <v>537</v>
      </c>
      <c r="AB986" s="110" t="s">
        <v>374</v>
      </c>
      <c r="AC986" s="110" t="s">
        <v>538</v>
      </c>
      <c r="AD986" s="110" t="n">
        <f aca="false">IF(OR(F986="",Q986="",R986=""),"",ROUND(IF(P986="incl.",F986/(1+Q986),F986)/IF(S986="per pack",R986,1),2))</f>
        <v>56.6</v>
      </c>
      <c r="AE986" s="110" t="str">
        <f aca="false">IF(AND(AC986="yes",ISNUMBER(F986),IF(Compare!$H$5="All mapped",TRUE(),IF(Compare!$H$5="EXACT only",J986="EXACT",OR(J986="EXACT",J986="CLOSE")))),"yes","no")</f>
        <v>yes</v>
      </c>
      <c r="AF986" s="110" t="n">
        <f aca="false">IF(ISNUMBER(H986),COUNTIFS($B$7:$B$3000,B986,$C$7:$C$3000,C986,$H$7:$H$3000,"&lt;"&amp;H986,$AH$7:$AH$3000,"yes")+COUNTIFS($B$7:B986,B986,$C$7:C986,C986,$H$7:H986,H986,$AH$7:AH986,"yes"),"")</f>
        <v>3</v>
      </c>
      <c r="AG986" s="110" t="n">
        <f aca="false">IF(ISNUMBER(I986),COUNTIFS($B$7:$B$3000,B986,$C$7:$C$3000,C986,$I$7:$I$3000,"&lt;"&amp;I986,$AI$7:$AI$3000,"yes")+COUNTIFS($B$7:B986,B986,$C$7:C986,C986,$I$7:I986,I986,$AI$7:AI986,"yes"),"")</f>
        <v>3</v>
      </c>
      <c r="AH986" s="110" t="str">
        <f aca="false">IF(ISNUMBER(H986),"yes","no")</f>
        <v>yes</v>
      </c>
      <c r="AI986" s="110" t="str">
        <f aca="false">IF(ISNUMBER(I986),"yes","no")</f>
        <v>yes</v>
      </c>
      <c r="AJ986" s="120" t="n">
        <v>46297</v>
      </c>
      <c r="AK986" s="110"/>
    </row>
    <row r="987" customFormat="false" ht="23.85" hidden="false" customHeight="false" outlineLevel="0" collapsed="false">
      <c r="B987" s="36" t="s">
        <v>70</v>
      </c>
      <c r="C987" s="98" t="s">
        <v>14</v>
      </c>
      <c r="D987" s="98" t="s">
        <v>378</v>
      </c>
      <c r="E987" s="110" t="s">
        <v>3279</v>
      </c>
      <c r="F987" s="99" t="n">
        <v>82.53</v>
      </c>
      <c r="G987" s="98" t="s">
        <v>374</v>
      </c>
      <c r="H987" s="112" t="n">
        <f aca="false">IF(AND(AE987="yes",ISNUMBER(AD987)),AD987,"")</f>
        <v>68.21</v>
      </c>
      <c r="I987" s="95" t="n">
        <f aca="false">IF(AND(AE987="yes",ISNUMBER(AD987),ISNUMBER(INDEX(Sources!$G$7:$G$10,MATCH(AB987,Sources!$B$7:$B$10,0)))),ROUND(AD987/INDEX(Sources!$G$7:$G$10,MATCH(AB987,Sources!$B$7:$B$10,0)),6),"")</f>
        <v>12.924333</v>
      </c>
      <c r="J987" s="98" t="s">
        <v>530</v>
      </c>
      <c r="K987" s="98" t="s">
        <v>2059</v>
      </c>
      <c r="L987" s="96"/>
      <c r="M987" s="110" t="s">
        <v>3280</v>
      </c>
      <c r="N987" s="117" t="s">
        <v>3281</v>
      </c>
      <c r="O987" s="110" t="s">
        <v>2917</v>
      </c>
      <c r="P987" s="110" t="s">
        <v>265</v>
      </c>
      <c r="Q987" s="118" t="n">
        <v>0.21</v>
      </c>
      <c r="R987" s="110" t="n">
        <v>1</v>
      </c>
      <c r="S987" s="110" t="s">
        <v>632</v>
      </c>
      <c r="T987" s="110" t="s">
        <v>530</v>
      </c>
      <c r="U987" s="110" t="s">
        <v>2918</v>
      </c>
      <c r="V987" s="119" t="n">
        <v>68.21</v>
      </c>
      <c r="W987" s="119"/>
      <c r="X987" s="110" t="s">
        <v>2063</v>
      </c>
      <c r="Y987" s="110" t="s">
        <v>2064</v>
      </c>
      <c r="Z987" s="110"/>
      <c r="AA987" s="110" t="s">
        <v>537</v>
      </c>
      <c r="AB987" s="110" t="s">
        <v>374</v>
      </c>
      <c r="AC987" s="110" t="s">
        <v>538</v>
      </c>
      <c r="AD987" s="110" t="n">
        <f aca="false">IF(OR(F987="",Q987="",R987=""),"",ROUND(IF(P987="incl.",F987/(1+Q987),F987)/IF(S987="per pack",R987,1),2))</f>
        <v>68.21</v>
      </c>
      <c r="AE987" s="110" t="str">
        <f aca="false">IF(AND(AC987="yes",ISNUMBER(F987),IF(Compare!$H$5="All mapped",TRUE(),IF(Compare!$H$5="EXACT only",J987="EXACT",OR(J987="EXACT",J987="CLOSE")))),"yes","no")</f>
        <v>yes</v>
      </c>
      <c r="AF987" s="110" t="n">
        <f aca="false">IF(ISNUMBER(H987),COUNTIFS($B$7:$B$3000,B987,$C$7:$C$3000,C987,$H$7:$H$3000,"&lt;"&amp;H987,$AH$7:$AH$3000,"yes")+COUNTIFS($B$7:B987,B987,$C$7:C987,C987,$H$7:H987,H987,$AH$7:AH987,"yes"),"")</f>
        <v>4</v>
      </c>
      <c r="AG987" s="110" t="n">
        <f aca="false">IF(ISNUMBER(I987),COUNTIFS($B$7:$B$3000,B987,$C$7:$C$3000,C987,$I$7:$I$3000,"&lt;"&amp;I987,$AI$7:$AI$3000,"yes")+COUNTIFS($B$7:B987,B987,$C$7:C987,C987,$I$7:I987,I987,$AI$7:AI987,"yes"),"")</f>
        <v>4</v>
      </c>
      <c r="AH987" s="110" t="str">
        <f aca="false">IF(ISNUMBER(H987),"yes","no")</f>
        <v>yes</v>
      </c>
      <c r="AI987" s="110" t="str">
        <f aca="false">IF(ISNUMBER(I987),"yes","no")</f>
        <v>yes</v>
      </c>
      <c r="AJ987" s="120" t="n">
        <v>46297</v>
      </c>
      <c r="AK987" s="110"/>
    </row>
    <row r="988" customFormat="false" ht="35.05" hidden="false" customHeight="false" outlineLevel="0" collapsed="false">
      <c r="B988" s="36" t="s">
        <v>70</v>
      </c>
      <c r="C988" s="98" t="s">
        <v>14</v>
      </c>
      <c r="D988" s="98" t="s">
        <v>346</v>
      </c>
      <c r="E988" s="110" t="s">
        <v>3282</v>
      </c>
      <c r="F988" s="99" t="n">
        <v>124.06</v>
      </c>
      <c r="G988" s="98" t="s">
        <v>374</v>
      </c>
      <c r="H988" s="112" t="n">
        <f aca="false">IF(AND(AE988="yes",ISNUMBER(AD988)),AD988,"")</f>
        <v>102.53</v>
      </c>
      <c r="I988" s="95" t="n">
        <f aca="false">IF(AND(AE988="yes",ISNUMBER(AD988),ISNUMBER(INDEX(Sources!$G$7:$G$10,MATCH(AB988,Sources!$B$7:$B$10,0)))),ROUND(AD988/INDEX(Sources!$G$7:$G$10,MATCH(AB988,Sources!$B$7:$B$10,0)),6),"")</f>
        <v>19.427238</v>
      </c>
      <c r="J988" s="98" t="s">
        <v>530</v>
      </c>
      <c r="K988" s="98" t="s">
        <v>2059</v>
      </c>
      <c r="L988" s="96"/>
      <c r="M988" s="110" t="s">
        <v>3283</v>
      </c>
      <c r="N988" s="117" t="s">
        <v>3284</v>
      </c>
      <c r="O988" s="110" t="s">
        <v>565</v>
      </c>
      <c r="P988" s="110" t="s">
        <v>265</v>
      </c>
      <c r="Q988" s="118" t="n">
        <v>0.21</v>
      </c>
      <c r="R988" s="110" t="n">
        <v>1</v>
      </c>
      <c r="S988" s="110" t="s">
        <v>632</v>
      </c>
      <c r="T988" s="110" t="s">
        <v>530</v>
      </c>
      <c r="U988" s="110" t="s">
        <v>2918</v>
      </c>
      <c r="V988" s="119" t="n">
        <v>102.53</v>
      </c>
      <c r="W988" s="119"/>
      <c r="X988" s="110" t="s">
        <v>2063</v>
      </c>
      <c r="Y988" s="110" t="s">
        <v>2064</v>
      </c>
      <c r="Z988" s="110"/>
      <c r="AA988" s="110" t="s">
        <v>537</v>
      </c>
      <c r="AB988" s="110" t="s">
        <v>374</v>
      </c>
      <c r="AC988" s="110" t="s">
        <v>538</v>
      </c>
      <c r="AD988" s="110" t="n">
        <f aca="false">IF(OR(F988="",Q988="",R988=""),"",ROUND(IF(P988="incl.",F988/(1+Q988),F988)/IF(S988="per pack",R988,1),2))</f>
        <v>102.53</v>
      </c>
      <c r="AE988" s="110" t="str">
        <f aca="false">IF(AND(AC988="yes",ISNUMBER(F988),IF(Compare!$H$5="All mapped",TRUE(),IF(Compare!$H$5="EXACT only",J988="EXACT",OR(J988="EXACT",J988="CLOSE")))),"yes","no")</f>
        <v>yes</v>
      </c>
      <c r="AF988" s="110" t="n">
        <f aca="false">IF(ISNUMBER(H988),COUNTIFS($B$7:$B$3000,B988,$C$7:$C$3000,C988,$H$7:$H$3000,"&lt;"&amp;H988,$AH$7:$AH$3000,"yes")+COUNTIFS($B$7:B988,B988,$C$7:C988,C988,$H$7:H988,H988,$AH$7:AH988,"yes"),"")</f>
        <v>5</v>
      </c>
      <c r="AG988" s="110" t="n">
        <f aca="false">IF(ISNUMBER(I988),COUNTIFS($B$7:$B$3000,B988,$C$7:$C$3000,C988,$I$7:$I$3000,"&lt;"&amp;I988,$AI$7:$AI$3000,"yes")+COUNTIFS($B$7:B988,B988,$C$7:C988,C988,$I$7:I988,I988,$AI$7:AI988,"yes"),"")</f>
        <v>5</v>
      </c>
      <c r="AH988" s="110" t="str">
        <f aca="false">IF(ISNUMBER(H988),"yes","no")</f>
        <v>yes</v>
      </c>
      <c r="AI988" s="110" t="str">
        <f aca="false">IF(ISNUMBER(I988),"yes","no")</f>
        <v>yes</v>
      </c>
      <c r="AJ988" s="120" t="n">
        <v>46297</v>
      </c>
      <c r="AK988" s="110"/>
    </row>
    <row r="989" customFormat="false" ht="35.05" hidden="false" customHeight="false" outlineLevel="0" collapsed="false">
      <c r="B989" s="36" t="s">
        <v>70</v>
      </c>
      <c r="C989" s="98" t="s">
        <v>14</v>
      </c>
      <c r="D989" s="98" t="s">
        <v>395</v>
      </c>
      <c r="E989" s="110" t="s">
        <v>3285</v>
      </c>
      <c r="F989" s="99" t="n">
        <v>5.9</v>
      </c>
      <c r="G989" s="98" t="s">
        <v>244</v>
      </c>
      <c r="H989" s="112" t="n">
        <f aca="false">IF(AND(AE989="yes",ISNUMBER(AD989)),AD989,"")</f>
        <v>5.9</v>
      </c>
      <c r="I989" s="95" t="n">
        <f aca="false">IF(AND(AE989="yes",ISNUMBER(AD989),ISNUMBER(INDEX(Sources!$G$7:$G$10,MATCH(AB989,Sources!$B$7:$B$10,0)))),ROUND(AD989/INDEX(Sources!$G$7:$G$10,MATCH(AB989,Sources!$B$7:$B$10,0)),6),"")</f>
        <v>5.9</v>
      </c>
      <c r="J989" s="98" t="s">
        <v>530</v>
      </c>
      <c r="K989" s="98" t="s">
        <v>2059</v>
      </c>
      <c r="L989" s="96"/>
      <c r="M989" s="110" t="s">
        <v>3286</v>
      </c>
      <c r="N989" s="117" t="s">
        <v>3287</v>
      </c>
      <c r="O989" s="110" t="s">
        <v>572</v>
      </c>
      <c r="P989" s="110" t="s">
        <v>590</v>
      </c>
      <c r="Q989" s="118" t="n">
        <v>0.21</v>
      </c>
      <c r="R989" s="110" t="n">
        <v>1</v>
      </c>
      <c r="S989" s="110" t="s">
        <v>632</v>
      </c>
      <c r="T989" s="110" t="s">
        <v>530</v>
      </c>
      <c r="U989" s="110" t="s">
        <v>2913</v>
      </c>
      <c r="V989" s="119" t="n">
        <v>5.9</v>
      </c>
      <c r="W989" s="119"/>
      <c r="X989" s="110" t="s">
        <v>2063</v>
      </c>
      <c r="Y989" s="110" t="s">
        <v>2064</v>
      </c>
      <c r="Z989" s="110" t="s">
        <v>2925</v>
      </c>
      <c r="AA989" s="110" t="s">
        <v>537</v>
      </c>
      <c r="AB989" s="110" t="s">
        <v>244</v>
      </c>
      <c r="AC989" s="110" t="s">
        <v>538</v>
      </c>
      <c r="AD989" s="110" t="n">
        <f aca="false">IF(OR(F989="",Q989="",R989=""),"",ROUND(IF(P989="incl.",F989/(1+Q989),F989)/IF(S989="per pack",R989,1),2))</f>
        <v>5.9</v>
      </c>
      <c r="AE989" s="110" t="str">
        <f aca="false">IF(AND(AC989="yes",ISNUMBER(F989),IF(Compare!$H$5="All mapped",TRUE(),IF(Compare!$H$5="EXACT only",J989="EXACT",OR(J989="EXACT",J989="CLOSE")))),"yes","no")</f>
        <v>yes</v>
      </c>
      <c r="AF989" s="110" t="n">
        <f aca="false">IF(ISNUMBER(H989),COUNTIFS($B$7:$B$3000,B989,$C$7:$C$3000,C989,$H$7:$H$3000,"&lt;"&amp;H989,$AH$7:$AH$3000,"yes")+COUNTIFS($B$7:B989,B989,$C$7:C989,C989,$H$7:H989,H989,$AH$7:AH989,"yes"),"")</f>
        <v>1</v>
      </c>
      <c r="AG989" s="110" t="n">
        <f aca="false">IF(ISNUMBER(I989),COUNTIFS($B$7:$B$3000,B989,$C$7:$C$3000,C989,$I$7:$I$3000,"&lt;"&amp;I989,$AI$7:$AI$3000,"yes")+COUNTIFS($B$7:B989,B989,$C$7:C989,C989,$I$7:I989,I989,$AI$7:AI989,"yes"),"")</f>
        <v>1</v>
      </c>
      <c r="AH989" s="110" t="str">
        <f aca="false">IF(ISNUMBER(H989),"yes","no")</f>
        <v>yes</v>
      </c>
      <c r="AI989" s="110" t="str">
        <f aca="false">IF(ISNUMBER(I989),"yes","no")</f>
        <v>yes</v>
      </c>
      <c r="AJ989" s="120" t="n">
        <v>46297</v>
      </c>
      <c r="AK989" s="110"/>
    </row>
    <row r="990" customFormat="false" ht="23.85" hidden="false" customHeight="false" outlineLevel="0" collapsed="false">
      <c r="B990" s="36" t="s">
        <v>70</v>
      </c>
      <c r="C990" s="98" t="s">
        <v>14</v>
      </c>
      <c r="D990" s="98" t="s">
        <v>403</v>
      </c>
      <c r="E990" s="110" t="s">
        <v>3288</v>
      </c>
      <c r="F990" s="99" t="n">
        <v>39.75</v>
      </c>
      <c r="G990" s="98" t="s">
        <v>374</v>
      </c>
      <c r="H990" s="112" t="n">
        <f aca="false">IF(AND(AE990="yes",ISNUMBER(AD990)),AD990,"")</f>
        <v>39.75</v>
      </c>
      <c r="I990" s="95" t="n">
        <f aca="false">IF(AND(AE990="yes",ISNUMBER(AD990),ISNUMBER(INDEX(Sources!$G$7:$G$10,MATCH(AB990,Sources!$B$7:$B$10,0)))),ROUND(AD990/INDEX(Sources!$G$7:$G$10,MATCH(AB990,Sources!$B$7:$B$10,0)),6),"")</f>
        <v>7.531773</v>
      </c>
      <c r="J990" s="98" t="s">
        <v>530</v>
      </c>
      <c r="K990" s="98" t="s">
        <v>2059</v>
      </c>
      <c r="L990" s="96"/>
      <c r="M990" s="110" t="s">
        <v>3289</v>
      </c>
      <c r="N990" s="117" t="s">
        <v>3290</v>
      </c>
      <c r="O990" s="110" t="s">
        <v>1138</v>
      </c>
      <c r="P990" s="110" t="s">
        <v>590</v>
      </c>
      <c r="Q990" s="118" t="n">
        <v>0.21</v>
      </c>
      <c r="R990" s="110" t="n">
        <v>1</v>
      </c>
      <c r="S990" s="110" t="s">
        <v>632</v>
      </c>
      <c r="T990" s="110" t="s">
        <v>530</v>
      </c>
      <c r="U990" s="110" t="s">
        <v>2913</v>
      </c>
      <c r="V990" s="119" t="n">
        <v>39.75</v>
      </c>
      <c r="W990" s="119"/>
      <c r="X990" s="110" t="s">
        <v>2063</v>
      </c>
      <c r="Y990" s="110" t="s">
        <v>2064</v>
      </c>
      <c r="Z990" s="110"/>
      <c r="AA990" s="110" t="s">
        <v>537</v>
      </c>
      <c r="AB990" s="110" t="s">
        <v>374</v>
      </c>
      <c r="AC990" s="110" t="s">
        <v>538</v>
      </c>
      <c r="AD990" s="110" t="n">
        <f aca="false">IF(OR(F990="",Q990="",R990=""),"",ROUND(IF(P990="incl.",F990/(1+Q990),F990)/IF(S990="per pack",R990,1),2))</f>
        <v>39.75</v>
      </c>
      <c r="AE990" s="110" t="str">
        <f aca="false">IF(AND(AC990="yes",ISNUMBER(F990),IF(Compare!$H$5="All mapped",TRUE(),IF(Compare!$H$5="EXACT only",J990="EXACT",OR(J990="EXACT",J990="CLOSE")))),"yes","no")</f>
        <v>yes</v>
      </c>
      <c r="AF990" s="110" t="n">
        <f aca="false">IF(ISNUMBER(H990),COUNTIFS($B$7:$B$3000,B990,$C$7:$C$3000,C990,$H$7:$H$3000,"&lt;"&amp;H990,$AH$7:$AH$3000,"yes")+COUNTIFS($B$7:B990,B990,$C$7:C990,C990,$H$7:H990,H990,$AH$7:AH990,"yes"),"")</f>
        <v>2</v>
      </c>
      <c r="AG990" s="110" t="n">
        <f aca="false">IF(ISNUMBER(I990),COUNTIFS($B$7:$B$3000,B990,$C$7:$C$3000,C990,$I$7:$I$3000,"&lt;"&amp;I990,$AI$7:$AI$3000,"yes")+COUNTIFS($B$7:B990,B990,$C$7:C990,C990,$I$7:I990,I990,$AI$7:AI990,"yes"),"")</f>
        <v>2</v>
      </c>
      <c r="AH990" s="110" t="str">
        <f aca="false">IF(ISNUMBER(H990),"yes","no")</f>
        <v>yes</v>
      </c>
      <c r="AI990" s="110" t="str">
        <f aca="false">IF(ISNUMBER(I990),"yes","no")</f>
        <v>yes</v>
      </c>
      <c r="AJ990" s="120" t="n">
        <v>46297</v>
      </c>
      <c r="AK990" s="110"/>
    </row>
    <row r="991" customFormat="false" ht="35.05" hidden="false" customHeight="false" outlineLevel="0" collapsed="false">
      <c r="B991" s="36" t="s">
        <v>70</v>
      </c>
      <c r="C991" s="98" t="s">
        <v>15</v>
      </c>
      <c r="D991" s="98" t="s">
        <v>243</v>
      </c>
      <c r="E991" s="110" t="s">
        <v>3291</v>
      </c>
      <c r="F991" s="99" t="n">
        <v>10.35</v>
      </c>
      <c r="G991" s="98" t="s">
        <v>244</v>
      </c>
      <c r="H991" s="112" t="n">
        <f aca="false">IF(AND(AE991="yes",ISNUMBER(AD991)),AD991,"")</f>
        <v>10.35</v>
      </c>
      <c r="I991" s="95" t="n">
        <f aca="false">IF(AND(AE991="yes",ISNUMBER(AD991),ISNUMBER(INDEX(Sources!$G$7:$G$10,MATCH(AB991,Sources!$B$7:$B$10,0)))),ROUND(AD991/INDEX(Sources!$G$7:$G$10,MATCH(AB991,Sources!$B$7:$B$10,0)),6),"")</f>
        <v>10.35</v>
      </c>
      <c r="J991" s="98" t="s">
        <v>530</v>
      </c>
      <c r="K991" s="98" t="s">
        <v>2059</v>
      </c>
      <c r="L991" s="96"/>
      <c r="M991" s="110" t="s">
        <v>3292</v>
      </c>
      <c r="N991" s="117" t="s">
        <v>3293</v>
      </c>
      <c r="O991" s="110" t="s">
        <v>2932</v>
      </c>
      <c r="P991" s="110" t="s">
        <v>590</v>
      </c>
      <c r="Q991" s="118" t="n">
        <v>0.2</v>
      </c>
      <c r="R991" s="110" t="n">
        <v>1</v>
      </c>
      <c r="S991" s="110" t="s">
        <v>632</v>
      </c>
      <c r="T991" s="110" t="s">
        <v>530</v>
      </c>
      <c r="U991" s="110" t="s">
        <v>2913</v>
      </c>
      <c r="V991" s="119" t="n">
        <v>10.35</v>
      </c>
      <c r="W991" s="119"/>
      <c r="X991" s="110" t="s">
        <v>2063</v>
      </c>
      <c r="Y991" s="110" t="s">
        <v>2064</v>
      </c>
      <c r="Z991" s="110" t="s">
        <v>2164</v>
      </c>
      <c r="AA991" s="110" t="s">
        <v>537</v>
      </c>
      <c r="AB991" s="110" t="s">
        <v>244</v>
      </c>
      <c r="AC991" s="110" t="s">
        <v>538</v>
      </c>
      <c r="AD991" s="110" t="n">
        <f aca="false">IF(OR(F991="",Q991="",R991=""),"",ROUND(IF(P991="incl.",F991/(1+Q991),F991)/IF(S991="per pack",R991,1),2))</f>
        <v>10.35</v>
      </c>
      <c r="AE991" s="110" t="str">
        <f aca="false">IF(AND(AC991="yes",ISNUMBER(F991),IF(Compare!$H$5="All mapped",TRUE(),IF(Compare!$H$5="EXACT only",J991="EXACT",OR(J991="EXACT",J991="CLOSE")))),"yes","no")</f>
        <v>yes</v>
      </c>
      <c r="AF991" s="110" t="n">
        <f aca="false">IF(ISNUMBER(H991),COUNTIFS($B$7:$B$3000,B991,$C$7:$C$3000,C991,$H$7:$H$3000,"&lt;"&amp;H991,$AH$7:$AH$3000,"yes")+COUNTIFS($B$7:B991,B991,$C$7:C991,C991,$H$7:H991,H991,$AH$7:AH991,"yes"),"")</f>
        <v>2</v>
      </c>
      <c r="AG991" s="110" t="n">
        <f aca="false">IF(ISNUMBER(I991),COUNTIFS($B$7:$B$3000,B991,$C$7:$C$3000,C991,$I$7:$I$3000,"&lt;"&amp;I991,$AI$7:$AI$3000,"yes")+COUNTIFS($B$7:B991,B991,$C$7:C991,C991,$I$7:I991,I991,$AI$7:AI991,"yes"),"")</f>
        <v>2</v>
      </c>
      <c r="AH991" s="110" t="str">
        <f aca="false">IF(ISNUMBER(H991),"yes","no")</f>
        <v>yes</v>
      </c>
      <c r="AI991" s="110" t="str">
        <f aca="false">IF(ISNUMBER(I991),"yes","no")</f>
        <v>yes</v>
      </c>
      <c r="AJ991" s="120" t="n">
        <v>46297</v>
      </c>
      <c r="AK991" s="110"/>
    </row>
    <row r="992" customFormat="false" ht="35.05" hidden="false" customHeight="false" outlineLevel="0" collapsed="false">
      <c r="B992" s="36" t="s">
        <v>70</v>
      </c>
      <c r="C992" s="98" t="s">
        <v>15</v>
      </c>
      <c r="D992" s="98" t="s">
        <v>257</v>
      </c>
      <c r="E992" s="110" t="s">
        <v>3294</v>
      </c>
      <c r="F992" s="99" t="n">
        <v>25</v>
      </c>
      <c r="G992" s="98" t="s">
        <v>244</v>
      </c>
      <c r="H992" s="112" t="n">
        <f aca="false">IF(AND(AE992="yes",ISNUMBER(AD992)),AD992,"")</f>
        <v>25</v>
      </c>
      <c r="I992" s="95" t="n">
        <f aca="false">IF(AND(AE992="yes",ISNUMBER(AD992),ISNUMBER(INDEX(Sources!$G$7:$G$10,MATCH(AB992,Sources!$B$7:$B$10,0)))),ROUND(AD992/INDEX(Sources!$G$7:$G$10,MATCH(AB992,Sources!$B$7:$B$10,0)),6),"")</f>
        <v>25</v>
      </c>
      <c r="J992" s="98" t="s">
        <v>530</v>
      </c>
      <c r="K992" s="98" t="s">
        <v>2059</v>
      </c>
      <c r="L992" s="96"/>
      <c r="M992" s="110" t="s">
        <v>3295</v>
      </c>
      <c r="N992" s="117" t="s">
        <v>3296</v>
      </c>
      <c r="O992" s="110" t="s">
        <v>1576</v>
      </c>
      <c r="P992" s="110" t="s">
        <v>590</v>
      </c>
      <c r="Q992" s="118" t="n">
        <v>0.2</v>
      </c>
      <c r="R992" s="110" t="n">
        <v>1</v>
      </c>
      <c r="S992" s="110" t="s">
        <v>632</v>
      </c>
      <c r="T992" s="110" t="s">
        <v>530</v>
      </c>
      <c r="U992" s="110" t="s">
        <v>2913</v>
      </c>
      <c r="V992" s="119" t="n">
        <v>25</v>
      </c>
      <c r="W992" s="119"/>
      <c r="X992" s="110" t="s">
        <v>2063</v>
      </c>
      <c r="Y992" s="110" t="s">
        <v>2064</v>
      </c>
      <c r="Z992" s="110" t="s">
        <v>2936</v>
      </c>
      <c r="AA992" s="110" t="s">
        <v>537</v>
      </c>
      <c r="AB992" s="110" t="s">
        <v>244</v>
      </c>
      <c r="AC992" s="110" t="s">
        <v>538</v>
      </c>
      <c r="AD992" s="110" t="n">
        <f aca="false">IF(OR(F992="",Q992="",R992=""),"",ROUND(IF(P992="incl.",F992/(1+Q992),F992)/IF(S992="per pack",R992,1),2))</f>
        <v>25</v>
      </c>
      <c r="AE992" s="110" t="str">
        <f aca="false">IF(AND(AC992="yes",ISNUMBER(F992),IF(Compare!$H$5="All mapped",TRUE(),IF(Compare!$H$5="EXACT only",J992="EXACT",OR(J992="EXACT",J992="CLOSE")))),"yes","no")</f>
        <v>yes</v>
      </c>
      <c r="AF992" s="110" t="n">
        <f aca="false">IF(ISNUMBER(H992),COUNTIFS($B$7:$B$3000,B992,$C$7:$C$3000,C992,$H$7:$H$3000,"&lt;"&amp;H992,$AH$7:$AH$3000,"yes")+COUNTIFS($B$7:B992,B992,$C$7:C992,C992,$H$7:H992,H992,$AH$7:AH992,"yes"),"")</f>
        <v>7</v>
      </c>
      <c r="AG992" s="110" t="n">
        <f aca="false">IF(ISNUMBER(I992),COUNTIFS($B$7:$B$3000,B992,$C$7:$C$3000,C992,$I$7:$I$3000,"&lt;"&amp;I992,$AI$7:$AI$3000,"yes")+COUNTIFS($B$7:B992,B992,$C$7:C992,C992,$I$7:I992,I992,$AI$7:AI992,"yes"),"")</f>
        <v>7</v>
      </c>
      <c r="AH992" s="110" t="str">
        <f aca="false">IF(ISNUMBER(H992),"yes","no")</f>
        <v>yes</v>
      </c>
      <c r="AI992" s="110" t="str">
        <f aca="false">IF(ISNUMBER(I992),"yes","no")</f>
        <v>yes</v>
      </c>
      <c r="AJ992" s="120" t="n">
        <v>46297</v>
      </c>
      <c r="AK992" s="110"/>
    </row>
    <row r="993" customFormat="false" ht="35.05" hidden="false" customHeight="false" outlineLevel="0" collapsed="false">
      <c r="B993" s="36" t="s">
        <v>70</v>
      </c>
      <c r="C993" s="98" t="s">
        <v>15</v>
      </c>
      <c r="D993" s="98" t="s">
        <v>269</v>
      </c>
      <c r="E993" s="110" t="s">
        <v>3297</v>
      </c>
      <c r="F993" s="99" t="n">
        <v>11.69</v>
      </c>
      <c r="G993" s="98" t="s">
        <v>244</v>
      </c>
      <c r="H993" s="112" t="n">
        <f aca="false">IF(AND(AE993="yes",ISNUMBER(AD993)),AD993,"")</f>
        <v>11.69</v>
      </c>
      <c r="I993" s="95" t="n">
        <f aca="false">IF(AND(AE993="yes",ISNUMBER(AD993),ISNUMBER(INDEX(Sources!$G$7:$G$10,MATCH(AB993,Sources!$B$7:$B$10,0)))),ROUND(AD993/INDEX(Sources!$G$7:$G$10,MATCH(AB993,Sources!$B$7:$B$10,0)),6),"")</f>
        <v>11.69</v>
      </c>
      <c r="J993" s="98" t="s">
        <v>530</v>
      </c>
      <c r="K993" s="98" t="s">
        <v>2059</v>
      </c>
      <c r="L993" s="96"/>
      <c r="M993" s="110" t="s">
        <v>3298</v>
      </c>
      <c r="N993" s="117" t="s">
        <v>3299</v>
      </c>
      <c r="O993" s="110" t="s">
        <v>598</v>
      </c>
      <c r="P993" s="110" t="s">
        <v>590</v>
      </c>
      <c r="Q993" s="118" t="n">
        <v>0.2</v>
      </c>
      <c r="R993" s="110" t="n">
        <v>1</v>
      </c>
      <c r="S993" s="110" t="s">
        <v>632</v>
      </c>
      <c r="T993" s="110" t="s">
        <v>530</v>
      </c>
      <c r="U993" s="110" t="s">
        <v>2913</v>
      </c>
      <c r="V993" s="119" t="n">
        <v>11.69</v>
      </c>
      <c r="W993" s="119"/>
      <c r="X993" s="110" t="s">
        <v>2063</v>
      </c>
      <c r="Y993" s="110" t="s">
        <v>2064</v>
      </c>
      <c r="Z993" s="110" t="s">
        <v>3216</v>
      </c>
      <c r="AA993" s="110" t="s">
        <v>537</v>
      </c>
      <c r="AB993" s="110" t="s">
        <v>244</v>
      </c>
      <c r="AC993" s="110" t="s">
        <v>538</v>
      </c>
      <c r="AD993" s="110" t="n">
        <f aca="false">IF(OR(F993="",Q993="",R993=""),"",ROUND(IF(P993="incl.",F993/(1+Q993),F993)/IF(S993="per pack",R993,1),2))</f>
        <v>11.69</v>
      </c>
      <c r="AE993" s="110" t="str">
        <f aca="false">IF(AND(AC993="yes",ISNUMBER(F993),IF(Compare!$H$5="All mapped",TRUE(),IF(Compare!$H$5="EXACT only",J993="EXACT",OR(J993="EXACT",J993="CLOSE")))),"yes","no")</f>
        <v>yes</v>
      </c>
      <c r="AF993" s="110" t="n">
        <f aca="false">IF(ISNUMBER(H993),COUNTIFS($B$7:$B$3000,B993,$C$7:$C$3000,C993,$H$7:$H$3000,"&lt;"&amp;H993,$AH$7:$AH$3000,"yes")+COUNTIFS($B$7:B993,B993,$C$7:C993,C993,$H$7:H993,H993,$AH$7:AH993,"yes"),"")</f>
        <v>4</v>
      </c>
      <c r="AG993" s="110" t="n">
        <f aca="false">IF(ISNUMBER(I993),COUNTIFS($B$7:$B$3000,B993,$C$7:$C$3000,C993,$I$7:$I$3000,"&lt;"&amp;I993,$AI$7:$AI$3000,"yes")+COUNTIFS($B$7:B993,B993,$C$7:C993,C993,$I$7:I993,I993,$AI$7:AI993,"yes"),"")</f>
        <v>4</v>
      </c>
      <c r="AH993" s="110" t="str">
        <f aca="false">IF(ISNUMBER(H993),"yes","no")</f>
        <v>yes</v>
      </c>
      <c r="AI993" s="110" t="str">
        <f aca="false">IF(ISNUMBER(I993),"yes","no")</f>
        <v>yes</v>
      </c>
      <c r="AJ993" s="120" t="n">
        <v>46297</v>
      </c>
      <c r="AK993" s="110"/>
    </row>
    <row r="994" customFormat="false" ht="23.85" hidden="false" customHeight="false" outlineLevel="0" collapsed="false">
      <c r="B994" s="36" t="s">
        <v>70</v>
      </c>
      <c r="C994" s="98" t="s">
        <v>15</v>
      </c>
      <c r="D994" s="98" t="s">
        <v>264</v>
      </c>
      <c r="E994" s="110" t="s">
        <v>3300</v>
      </c>
      <c r="F994" s="99" t="n">
        <v>22.43</v>
      </c>
      <c r="G994" s="98" t="s">
        <v>244</v>
      </c>
      <c r="H994" s="112" t="n">
        <f aca="false">IF(AND(AE994="yes",ISNUMBER(AD994)),AD994,"")</f>
        <v>22.43</v>
      </c>
      <c r="I994" s="95" t="n">
        <f aca="false">IF(AND(AE994="yes",ISNUMBER(AD994),ISNUMBER(INDEX(Sources!$G$7:$G$10,MATCH(AB994,Sources!$B$7:$B$10,0)))),ROUND(AD994/INDEX(Sources!$G$7:$G$10,MATCH(AB994,Sources!$B$7:$B$10,0)),6),"")</f>
        <v>22.43</v>
      </c>
      <c r="J994" s="98" t="s">
        <v>530</v>
      </c>
      <c r="K994" s="98" t="s">
        <v>2059</v>
      </c>
      <c r="L994" s="96"/>
      <c r="M994" s="110" t="s">
        <v>3301</v>
      </c>
      <c r="N994" s="117" t="s">
        <v>3302</v>
      </c>
      <c r="O994" s="110" t="s">
        <v>388</v>
      </c>
      <c r="P994" s="110" t="s">
        <v>590</v>
      </c>
      <c r="Q994" s="118" t="n">
        <v>0.2</v>
      </c>
      <c r="R994" s="110" t="n">
        <v>1</v>
      </c>
      <c r="S994" s="110" t="s">
        <v>632</v>
      </c>
      <c r="T994" s="110" t="s">
        <v>530</v>
      </c>
      <c r="U994" s="110" t="s">
        <v>2913</v>
      </c>
      <c r="V994" s="119" t="n">
        <v>22.43</v>
      </c>
      <c r="W994" s="119"/>
      <c r="X994" s="110" t="s">
        <v>2063</v>
      </c>
      <c r="Y994" s="110" t="s">
        <v>2064</v>
      </c>
      <c r="Z994" s="110"/>
      <c r="AA994" s="110" t="s">
        <v>537</v>
      </c>
      <c r="AB994" s="110" t="s">
        <v>244</v>
      </c>
      <c r="AC994" s="110" t="s">
        <v>538</v>
      </c>
      <c r="AD994" s="110" t="n">
        <f aca="false">IF(OR(F994="",Q994="",R994=""),"",ROUND(IF(P994="incl.",F994/(1+Q994),F994)/IF(S994="per pack",R994,1),2))</f>
        <v>22.43</v>
      </c>
      <c r="AE994" s="110" t="str">
        <f aca="false">IF(AND(AC994="yes",ISNUMBER(F994),IF(Compare!$H$5="All mapped",TRUE(),IF(Compare!$H$5="EXACT only",J994="EXACT",OR(J994="EXACT",J994="CLOSE")))),"yes","no")</f>
        <v>yes</v>
      </c>
      <c r="AF994" s="110" t="n">
        <f aca="false">IF(ISNUMBER(H994),COUNTIFS($B$7:$B$3000,B994,$C$7:$C$3000,C994,$H$7:$H$3000,"&lt;"&amp;H994,$AH$7:$AH$3000,"yes")+COUNTIFS($B$7:B994,B994,$C$7:C994,C994,$H$7:H994,H994,$AH$7:AH994,"yes"),"")</f>
        <v>6</v>
      </c>
      <c r="AG994" s="110" t="n">
        <f aca="false">IF(ISNUMBER(I994),COUNTIFS($B$7:$B$3000,B994,$C$7:$C$3000,C994,$I$7:$I$3000,"&lt;"&amp;I994,$AI$7:$AI$3000,"yes")+COUNTIFS($B$7:B994,B994,$C$7:C994,C994,$I$7:I994,I994,$AI$7:AI994,"yes"),"")</f>
        <v>6</v>
      </c>
      <c r="AH994" s="110" t="str">
        <f aca="false">IF(ISNUMBER(H994),"yes","no")</f>
        <v>yes</v>
      </c>
      <c r="AI994" s="110" t="str">
        <f aca="false">IF(ISNUMBER(I994),"yes","no")</f>
        <v>yes</v>
      </c>
      <c r="AJ994" s="120" t="n">
        <v>46297</v>
      </c>
      <c r="AK994" s="110"/>
    </row>
    <row r="995" customFormat="false" ht="23.85" hidden="false" customHeight="false" outlineLevel="0" collapsed="false">
      <c r="B995" s="36" t="s">
        <v>70</v>
      </c>
      <c r="C995" s="98" t="s">
        <v>15</v>
      </c>
      <c r="D995" s="98" t="s">
        <v>273</v>
      </c>
      <c r="E995" s="110" t="s">
        <v>3303</v>
      </c>
      <c r="F995" s="99" t="n">
        <v>11.79</v>
      </c>
      <c r="G995" s="98" t="s">
        <v>244</v>
      </c>
      <c r="H995" s="112" t="n">
        <f aca="false">IF(AND(AE995="yes",ISNUMBER(AD995)),AD995,"")</f>
        <v>9.83</v>
      </c>
      <c r="I995" s="95" t="n">
        <f aca="false">IF(AND(AE995="yes",ISNUMBER(AD995),ISNUMBER(INDEX(Sources!$G$7:$G$10,MATCH(AB995,Sources!$B$7:$B$10,0)))),ROUND(AD995/INDEX(Sources!$G$7:$G$10,MATCH(AB995,Sources!$B$7:$B$10,0)),6),"")</f>
        <v>9.83</v>
      </c>
      <c r="J995" s="98" t="s">
        <v>530</v>
      </c>
      <c r="K995" s="98" t="s">
        <v>2059</v>
      </c>
      <c r="L995" s="96"/>
      <c r="M995" s="110" t="s">
        <v>3304</v>
      </c>
      <c r="N995" s="117" t="s">
        <v>3305</v>
      </c>
      <c r="O995" s="110" t="s">
        <v>598</v>
      </c>
      <c r="P995" s="110" t="s">
        <v>265</v>
      </c>
      <c r="Q995" s="118" t="n">
        <v>0.2</v>
      </c>
      <c r="R995" s="110" t="n">
        <v>1</v>
      </c>
      <c r="S995" s="110" t="s">
        <v>632</v>
      </c>
      <c r="T995" s="110" t="s">
        <v>530</v>
      </c>
      <c r="U995" s="110" t="s">
        <v>2918</v>
      </c>
      <c r="V995" s="119" t="n">
        <v>9.82</v>
      </c>
      <c r="W995" s="119"/>
      <c r="X995" s="110" t="s">
        <v>2063</v>
      </c>
      <c r="Y995" s="110" t="s">
        <v>2064</v>
      </c>
      <c r="Z995" s="110" t="s">
        <v>2130</v>
      </c>
      <c r="AA995" s="110" t="s">
        <v>537</v>
      </c>
      <c r="AB995" s="110" t="s">
        <v>244</v>
      </c>
      <c r="AC995" s="110" t="s">
        <v>538</v>
      </c>
      <c r="AD995" s="110" t="n">
        <f aca="false">IF(OR(F995="",Q995="",R995=""),"",ROUND(IF(P995="incl.",F995/(1+Q995),F995)/IF(S995="per pack",R995,1),2))</f>
        <v>9.83</v>
      </c>
      <c r="AE995" s="110" t="str">
        <f aca="false">IF(AND(AC995="yes",ISNUMBER(F995),IF(Compare!$H$5="All mapped",TRUE(),IF(Compare!$H$5="EXACT only",J995="EXACT",OR(J995="EXACT",J995="CLOSE")))),"yes","no")</f>
        <v>yes</v>
      </c>
      <c r="AF995" s="110" t="n">
        <f aca="false">IF(ISNUMBER(H995),COUNTIFS($B$7:$B$3000,B995,$C$7:$C$3000,C995,$H$7:$H$3000,"&lt;"&amp;H995,$AH$7:$AH$3000,"yes")+COUNTIFS($B$7:B995,B995,$C$7:C995,C995,$H$7:H995,H995,$AH$7:AH995,"yes"),"")</f>
        <v>1</v>
      </c>
      <c r="AG995" s="110" t="n">
        <f aca="false">IF(ISNUMBER(I995),COUNTIFS($B$7:$B$3000,B995,$C$7:$C$3000,C995,$I$7:$I$3000,"&lt;"&amp;I995,$AI$7:$AI$3000,"yes")+COUNTIFS($B$7:B995,B995,$C$7:C995,C995,$I$7:I995,I995,$AI$7:AI995,"yes"),"")</f>
        <v>1</v>
      </c>
      <c r="AH995" s="110" t="str">
        <f aca="false">IF(ISNUMBER(H995),"yes","no")</f>
        <v>yes</v>
      </c>
      <c r="AI995" s="110" t="str">
        <f aca="false">IF(ISNUMBER(I995),"yes","no")</f>
        <v>yes</v>
      </c>
      <c r="AJ995" s="120" t="n">
        <v>46297</v>
      </c>
      <c r="AK995" s="110"/>
    </row>
    <row r="996" customFormat="false" ht="46.25" hidden="false" customHeight="false" outlineLevel="0" collapsed="false">
      <c r="B996" s="36" t="s">
        <v>70</v>
      </c>
      <c r="C996" s="98" t="s">
        <v>15</v>
      </c>
      <c r="D996" s="98" t="s">
        <v>281</v>
      </c>
      <c r="E996" s="110" t="s">
        <v>3306</v>
      </c>
      <c r="F996" s="99" t="n">
        <v>14.7</v>
      </c>
      <c r="G996" s="98" t="s">
        <v>244</v>
      </c>
      <c r="H996" s="112" t="n">
        <f aca="false">IF(AND(AE996="yes",ISNUMBER(AD996)),AD996,"")</f>
        <v>14.7</v>
      </c>
      <c r="I996" s="95" t="n">
        <f aca="false">IF(AND(AE996="yes",ISNUMBER(AD996),ISNUMBER(INDEX(Sources!$G$7:$G$10,MATCH(AB996,Sources!$B$7:$B$10,0)))),ROUND(AD996/INDEX(Sources!$G$7:$G$10,MATCH(AB996,Sources!$B$7:$B$10,0)),6),"")</f>
        <v>14.7</v>
      </c>
      <c r="J996" s="98" t="s">
        <v>530</v>
      </c>
      <c r="K996" s="98" t="s">
        <v>2059</v>
      </c>
      <c r="L996" s="96"/>
      <c r="M996" s="110" t="s">
        <v>3307</v>
      </c>
      <c r="N996" s="117" t="s">
        <v>3308</v>
      </c>
      <c r="O996" s="110" t="s">
        <v>2952</v>
      </c>
      <c r="P996" s="110" t="s">
        <v>590</v>
      </c>
      <c r="Q996" s="118" t="n">
        <v>0.2</v>
      </c>
      <c r="R996" s="110" t="n">
        <v>1</v>
      </c>
      <c r="S996" s="110" t="s">
        <v>632</v>
      </c>
      <c r="T996" s="110" t="s">
        <v>530</v>
      </c>
      <c r="U996" s="110" t="s">
        <v>2913</v>
      </c>
      <c r="V996" s="119" t="n">
        <v>14.7</v>
      </c>
      <c r="W996" s="119"/>
      <c r="X996" s="110" t="s">
        <v>2063</v>
      </c>
      <c r="Y996" s="110" t="s">
        <v>2064</v>
      </c>
      <c r="Z996" s="110" t="s">
        <v>2953</v>
      </c>
      <c r="AA996" s="110" t="s">
        <v>537</v>
      </c>
      <c r="AB996" s="110" t="s">
        <v>244</v>
      </c>
      <c r="AC996" s="110" t="s">
        <v>538</v>
      </c>
      <c r="AD996" s="110" t="n">
        <f aca="false">IF(OR(F996="",Q996="",R996=""),"",ROUND(IF(P996="incl.",F996/(1+Q996),F996)/IF(S996="per pack",R996,1),2))</f>
        <v>14.7</v>
      </c>
      <c r="AE996" s="110" t="str">
        <f aca="false">IF(AND(AC996="yes",ISNUMBER(F996),IF(Compare!$H$5="All mapped",TRUE(),IF(Compare!$H$5="EXACT only",J996="EXACT",OR(J996="EXACT",J996="CLOSE")))),"yes","no")</f>
        <v>yes</v>
      </c>
      <c r="AF996" s="110" t="n">
        <f aca="false">IF(ISNUMBER(H996),COUNTIFS($B$7:$B$3000,B996,$C$7:$C$3000,C996,$H$7:$H$3000,"&lt;"&amp;H996,$AH$7:$AH$3000,"yes")+COUNTIFS($B$7:B996,B996,$C$7:C996,C996,$H$7:H996,H996,$AH$7:AH996,"yes"),"")</f>
        <v>5</v>
      </c>
      <c r="AG996" s="110" t="n">
        <f aca="false">IF(ISNUMBER(I996),COUNTIFS($B$7:$B$3000,B996,$C$7:$C$3000,C996,$I$7:$I$3000,"&lt;"&amp;I996,$AI$7:$AI$3000,"yes")+COUNTIFS($B$7:B996,B996,$C$7:C996,C996,$I$7:I996,I996,$AI$7:AI996,"yes"),"")</f>
        <v>5</v>
      </c>
      <c r="AH996" s="110" t="str">
        <f aca="false">IF(ISNUMBER(H996),"yes","no")</f>
        <v>yes</v>
      </c>
      <c r="AI996" s="110" t="str">
        <f aca="false">IF(ISNUMBER(I996),"yes","no")</f>
        <v>yes</v>
      </c>
      <c r="AJ996" s="120" t="n">
        <v>46297</v>
      </c>
      <c r="AK996" s="110"/>
    </row>
    <row r="997" customFormat="false" ht="35.05" hidden="false" customHeight="false" outlineLevel="0" collapsed="false">
      <c r="B997" s="36" t="s">
        <v>70</v>
      </c>
      <c r="C997" s="98" t="s">
        <v>15</v>
      </c>
      <c r="D997" s="98" t="s">
        <v>293</v>
      </c>
      <c r="E997" s="110" t="s">
        <v>3309</v>
      </c>
      <c r="F997" s="99" t="n">
        <v>11.5</v>
      </c>
      <c r="G997" s="98" t="s">
        <v>244</v>
      </c>
      <c r="H997" s="112" t="n">
        <f aca="false">IF(AND(AE997="yes",ISNUMBER(AD997)),AD997,"")</f>
        <v>11.5</v>
      </c>
      <c r="I997" s="95" t="n">
        <f aca="false">IF(AND(AE997="yes",ISNUMBER(AD997),ISNUMBER(INDEX(Sources!$G$7:$G$10,MATCH(AB997,Sources!$B$7:$B$10,0)))),ROUND(AD997/INDEX(Sources!$G$7:$G$10,MATCH(AB997,Sources!$B$7:$B$10,0)),6),"")</f>
        <v>11.5</v>
      </c>
      <c r="J997" s="98" t="s">
        <v>530</v>
      </c>
      <c r="K997" s="98" t="s">
        <v>2059</v>
      </c>
      <c r="L997" s="96"/>
      <c r="M997" s="110" t="s">
        <v>3310</v>
      </c>
      <c r="N997" s="117" t="s">
        <v>3311</v>
      </c>
      <c r="O997" s="110" t="s">
        <v>2957</v>
      </c>
      <c r="P997" s="110" t="s">
        <v>590</v>
      </c>
      <c r="Q997" s="118" t="n">
        <v>0.2</v>
      </c>
      <c r="R997" s="110" t="n">
        <v>1</v>
      </c>
      <c r="S997" s="110" t="s">
        <v>632</v>
      </c>
      <c r="T997" s="110" t="s">
        <v>530</v>
      </c>
      <c r="U997" s="110" t="s">
        <v>2913</v>
      </c>
      <c r="V997" s="119" t="n">
        <v>11.5</v>
      </c>
      <c r="W997" s="119"/>
      <c r="X997" s="110" t="s">
        <v>2063</v>
      </c>
      <c r="Y997" s="110" t="s">
        <v>2064</v>
      </c>
      <c r="Z997" s="110" t="s">
        <v>2958</v>
      </c>
      <c r="AA997" s="110" t="s">
        <v>537</v>
      </c>
      <c r="AB997" s="110" t="s">
        <v>244</v>
      </c>
      <c r="AC997" s="110" t="s">
        <v>538</v>
      </c>
      <c r="AD997" s="110" t="n">
        <f aca="false">IF(OR(F997="",Q997="",R997=""),"",ROUND(IF(P997="incl.",F997/(1+Q997),F997)/IF(S997="per pack",R997,1),2))</f>
        <v>11.5</v>
      </c>
      <c r="AE997" s="110" t="str">
        <f aca="false">IF(AND(AC997="yes",ISNUMBER(F997),IF(Compare!$H$5="All mapped",TRUE(),IF(Compare!$H$5="EXACT only",J997="EXACT",OR(J997="EXACT",J997="CLOSE")))),"yes","no")</f>
        <v>yes</v>
      </c>
      <c r="AF997" s="110" t="n">
        <f aca="false">IF(ISNUMBER(H997),COUNTIFS($B$7:$B$3000,B997,$C$7:$C$3000,C997,$H$7:$H$3000,"&lt;"&amp;H997,$AH$7:$AH$3000,"yes")+COUNTIFS($B$7:B997,B997,$C$7:C997,C997,$H$7:H997,H997,$AH$7:AH997,"yes"),"")</f>
        <v>3</v>
      </c>
      <c r="AG997" s="110" t="n">
        <f aca="false">IF(ISNUMBER(I997),COUNTIFS($B$7:$B$3000,B997,$C$7:$C$3000,C997,$I$7:$I$3000,"&lt;"&amp;I997,$AI$7:$AI$3000,"yes")+COUNTIFS($B$7:B997,B997,$C$7:C997,C997,$I$7:I997,I997,$AI$7:AI997,"yes"),"")</f>
        <v>3</v>
      </c>
      <c r="AH997" s="110" t="str">
        <f aca="false">IF(ISNUMBER(H997),"yes","no")</f>
        <v>yes</v>
      </c>
      <c r="AI997" s="110" t="str">
        <f aca="false">IF(ISNUMBER(I997),"yes","no")</f>
        <v>yes</v>
      </c>
      <c r="AJ997" s="120" t="n">
        <v>46297</v>
      </c>
      <c r="AK997" s="110"/>
    </row>
    <row r="998" customFormat="false" ht="35.05" hidden="false" customHeight="false" outlineLevel="0" collapsed="false">
      <c r="B998" s="36" t="s">
        <v>70</v>
      </c>
      <c r="C998" s="98" t="s">
        <v>16</v>
      </c>
      <c r="D998" s="98" t="s">
        <v>296</v>
      </c>
      <c r="E998" s="110" t="s">
        <v>3291</v>
      </c>
      <c r="F998" s="99" t="n">
        <v>10.35</v>
      </c>
      <c r="G998" s="98" t="s">
        <v>244</v>
      </c>
      <c r="H998" s="112" t="n">
        <f aca="false">IF(AND(AE998="yes",ISNUMBER(AD998)),AD998,"")</f>
        <v>10.35</v>
      </c>
      <c r="I998" s="95" t="n">
        <f aca="false">IF(AND(AE998="yes",ISNUMBER(AD998),ISNUMBER(INDEX(Sources!$G$7:$G$10,MATCH(AB998,Sources!$B$7:$B$10,0)))),ROUND(AD998/INDEX(Sources!$G$7:$G$10,MATCH(AB998,Sources!$B$7:$B$10,0)),6),"")</f>
        <v>10.35</v>
      </c>
      <c r="J998" s="98" t="s">
        <v>530</v>
      </c>
      <c r="K998" s="98" t="s">
        <v>2059</v>
      </c>
      <c r="L998" s="96"/>
      <c r="M998" s="110" t="s">
        <v>3312</v>
      </c>
      <c r="N998" s="117" t="s">
        <v>3313</v>
      </c>
      <c r="O998" s="110" t="s">
        <v>3149</v>
      </c>
      <c r="P998" s="110" t="s">
        <v>590</v>
      </c>
      <c r="Q998" s="118" t="n">
        <v>0.19</v>
      </c>
      <c r="R998" s="110" t="n">
        <v>1</v>
      </c>
      <c r="S998" s="110" t="s">
        <v>632</v>
      </c>
      <c r="T998" s="110" t="s">
        <v>530</v>
      </c>
      <c r="U998" s="110" t="s">
        <v>2913</v>
      </c>
      <c r="V998" s="119" t="n">
        <v>10.35</v>
      </c>
      <c r="W998" s="119"/>
      <c r="X998" s="110" t="s">
        <v>2063</v>
      </c>
      <c r="Y998" s="110" t="s">
        <v>2064</v>
      </c>
      <c r="Z998" s="110" t="s">
        <v>2164</v>
      </c>
      <c r="AA998" s="110" t="s">
        <v>537</v>
      </c>
      <c r="AB998" s="110" t="s">
        <v>244</v>
      </c>
      <c r="AC998" s="110" t="s">
        <v>538</v>
      </c>
      <c r="AD998" s="110" t="n">
        <f aca="false">IF(OR(F998="",Q998="",R998=""),"",ROUND(IF(P998="incl.",F998/(1+Q998),F998)/IF(S998="per pack",R998,1),2))</f>
        <v>10.35</v>
      </c>
      <c r="AE998" s="110" t="str">
        <f aca="false">IF(AND(AC998="yes",ISNUMBER(F998),IF(Compare!$H$5="All mapped",TRUE(),IF(Compare!$H$5="EXACT only",J998="EXACT",OR(J998="EXACT",J998="CLOSE")))),"yes","no")</f>
        <v>yes</v>
      </c>
      <c r="AF998" s="110" t="n">
        <f aca="false">IF(ISNUMBER(H998),COUNTIFS($B$7:$B$3000,B998,$C$7:$C$3000,C998,$H$7:$H$3000,"&lt;"&amp;H998,$AH$7:$AH$3000,"yes")+COUNTIFS($B$7:B998,B998,$C$7:C998,C998,$H$7:H998,H998,$AH$7:AH998,"yes"),"")</f>
        <v>3</v>
      </c>
      <c r="AG998" s="110" t="n">
        <f aca="false">IF(ISNUMBER(I998),COUNTIFS($B$7:$B$3000,B998,$C$7:$C$3000,C998,$I$7:$I$3000,"&lt;"&amp;I998,$AI$7:$AI$3000,"yes")+COUNTIFS($B$7:B998,B998,$C$7:C998,C998,$I$7:I998,I998,$AI$7:AI998,"yes"),"")</f>
        <v>3</v>
      </c>
      <c r="AH998" s="110" t="str">
        <f aca="false">IF(ISNUMBER(H998),"yes","no")</f>
        <v>yes</v>
      </c>
      <c r="AI998" s="110" t="str">
        <f aca="false">IF(ISNUMBER(I998),"yes","no")</f>
        <v>yes</v>
      </c>
      <c r="AJ998" s="120" t="n">
        <v>46297</v>
      </c>
      <c r="AK998" s="110"/>
    </row>
    <row r="999" customFormat="false" ht="35.05" hidden="false" customHeight="false" outlineLevel="0" collapsed="false">
      <c r="B999" s="36" t="s">
        <v>70</v>
      </c>
      <c r="C999" s="98" t="s">
        <v>16</v>
      </c>
      <c r="D999" s="98" t="s">
        <v>305</v>
      </c>
      <c r="E999" s="110" t="s">
        <v>3314</v>
      </c>
      <c r="F999" s="99" t="n">
        <v>14.03</v>
      </c>
      <c r="G999" s="98" t="s">
        <v>244</v>
      </c>
      <c r="H999" s="112" t="n">
        <f aca="false">IF(AND(AE999="yes",ISNUMBER(AD999)),AD999,"")</f>
        <v>11.79</v>
      </c>
      <c r="I999" s="95" t="n">
        <f aca="false">IF(AND(AE999="yes",ISNUMBER(AD999),ISNUMBER(INDEX(Sources!$G$7:$G$10,MATCH(AB999,Sources!$B$7:$B$10,0)))),ROUND(AD999/INDEX(Sources!$G$7:$G$10,MATCH(AB999,Sources!$B$7:$B$10,0)),6),"")</f>
        <v>11.79</v>
      </c>
      <c r="J999" s="98" t="s">
        <v>530</v>
      </c>
      <c r="K999" s="98" t="s">
        <v>2059</v>
      </c>
      <c r="L999" s="96"/>
      <c r="M999" s="110" t="s">
        <v>3315</v>
      </c>
      <c r="N999" s="117" t="s">
        <v>3316</v>
      </c>
      <c r="O999" s="110" t="s">
        <v>2965</v>
      </c>
      <c r="P999" s="110" t="s">
        <v>265</v>
      </c>
      <c r="Q999" s="118" t="n">
        <v>0.19</v>
      </c>
      <c r="R999" s="110" t="n">
        <v>1</v>
      </c>
      <c r="S999" s="110" t="s">
        <v>632</v>
      </c>
      <c r="T999" s="110" t="s">
        <v>530</v>
      </c>
      <c r="U999" s="110" t="s">
        <v>2918</v>
      </c>
      <c r="V999" s="119" t="n">
        <v>11.79</v>
      </c>
      <c r="W999" s="119"/>
      <c r="X999" s="110" t="s">
        <v>2063</v>
      </c>
      <c r="Y999" s="110" t="s">
        <v>2064</v>
      </c>
      <c r="Z999" s="110" t="s">
        <v>2156</v>
      </c>
      <c r="AA999" s="110" t="s">
        <v>537</v>
      </c>
      <c r="AB999" s="110" t="s">
        <v>244</v>
      </c>
      <c r="AC999" s="110" t="s">
        <v>538</v>
      </c>
      <c r="AD999" s="110" t="n">
        <f aca="false">IF(OR(F999="",Q999="",R999=""),"",ROUND(IF(P999="incl.",F999/(1+Q999),F999)/IF(S999="per pack",R999,1),2))</f>
        <v>11.79</v>
      </c>
      <c r="AE999" s="110" t="str">
        <f aca="false">IF(AND(AC999="yes",ISNUMBER(F999),IF(Compare!$H$5="All mapped",TRUE(),IF(Compare!$H$5="EXACT only",J999="EXACT",OR(J999="EXACT",J999="CLOSE")))),"yes","no")</f>
        <v>yes</v>
      </c>
      <c r="AF999" s="110" t="n">
        <f aca="false">IF(ISNUMBER(H999),COUNTIFS($B$7:$B$3000,B999,$C$7:$C$3000,C999,$H$7:$H$3000,"&lt;"&amp;H999,$AH$7:$AH$3000,"yes")+COUNTIFS($B$7:B999,B999,$C$7:C999,C999,$H$7:H999,H999,$AH$7:AH999,"yes"),"")</f>
        <v>5</v>
      </c>
      <c r="AG999" s="110" t="n">
        <f aca="false">IF(ISNUMBER(I999),COUNTIFS($B$7:$B$3000,B999,$C$7:$C$3000,C999,$I$7:$I$3000,"&lt;"&amp;I999,$AI$7:$AI$3000,"yes")+COUNTIFS($B$7:B999,B999,$C$7:C999,C999,$I$7:I999,I999,$AI$7:AI999,"yes"),"")</f>
        <v>5</v>
      </c>
      <c r="AH999" s="110" t="str">
        <f aca="false">IF(ISNUMBER(H999),"yes","no")</f>
        <v>yes</v>
      </c>
      <c r="AI999" s="110" t="str">
        <f aca="false">IF(ISNUMBER(I999),"yes","no")</f>
        <v>yes</v>
      </c>
      <c r="AJ999" s="120" t="n">
        <v>46297</v>
      </c>
      <c r="AK999" s="110"/>
    </row>
    <row r="1000" customFormat="false" ht="35.05" hidden="false" customHeight="false" outlineLevel="0" collapsed="false">
      <c r="B1000" s="36" t="s">
        <v>70</v>
      </c>
      <c r="C1000" s="98" t="s">
        <v>16</v>
      </c>
      <c r="D1000" s="98" t="s">
        <v>311</v>
      </c>
      <c r="E1000" s="110" t="s">
        <v>3297</v>
      </c>
      <c r="F1000" s="99" t="n">
        <v>11.19</v>
      </c>
      <c r="G1000" s="98" t="s">
        <v>244</v>
      </c>
      <c r="H1000" s="112" t="n">
        <f aca="false">IF(AND(AE1000="yes",ISNUMBER(AD1000)),AD1000,"")</f>
        <v>11.19</v>
      </c>
      <c r="I1000" s="95" t="n">
        <f aca="false">IF(AND(AE1000="yes",ISNUMBER(AD1000),ISNUMBER(INDEX(Sources!$G$7:$G$10,MATCH(AB1000,Sources!$B$7:$B$10,0)))),ROUND(AD1000/INDEX(Sources!$G$7:$G$10,MATCH(AB1000,Sources!$B$7:$B$10,0)),6),"")</f>
        <v>11.19</v>
      </c>
      <c r="J1000" s="98" t="s">
        <v>530</v>
      </c>
      <c r="K1000" s="98" t="s">
        <v>2059</v>
      </c>
      <c r="L1000" s="96"/>
      <c r="M1000" s="110" t="s">
        <v>3317</v>
      </c>
      <c r="N1000" s="117" t="s">
        <v>3318</v>
      </c>
      <c r="O1000" s="110" t="s">
        <v>598</v>
      </c>
      <c r="P1000" s="110" t="s">
        <v>590</v>
      </c>
      <c r="Q1000" s="118" t="n">
        <v>0.19</v>
      </c>
      <c r="R1000" s="110" t="n">
        <v>1</v>
      </c>
      <c r="S1000" s="110" t="s">
        <v>632</v>
      </c>
      <c r="T1000" s="110" t="s">
        <v>530</v>
      </c>
      <c r="U1000" s="110" t="s">
        <v>2913</v>
      </c>
      <c r="V1000" s="119" t="n">
        <v>11.19</v>
      </c>
      <c r="W1000" s="119"/>
      <c r="X1000" s="110" t="s">
        <v>2063</v>
      </c>
      <c r="Y1000" s="110" t="s">
        <v>2064</v>
      </c>
      <c r="Z1000" s="110" t="s">
        <v>3236</v>
      </c>
      <c r="AA1000" s="110" t="s">
        <v>537</v>
      </c>
      <c r="AB1000" s="110" t="s">
        <v>244</v>
      </c>
      <c r="AC1000" s="110" t="s">
        <v>538</v>
      </c>
      <c r="AD1000" s="110" t="n">
        <f aca="false">IF(OR(F1000="",Q1000="",R1000=""),"",ROUND(IF(P1000="incl.",F1000/(1+Q1000),F1000)/IF(S1000="per pack",R1000,1),2))</f>
        <v>11.19</v>
      </c>
      <c r="AE1000" s="110" t="str">
        <f aca="false">IF(AND(AC1000="yes",ISNUMBER(F1000),IF(Compare!$H$5="All mapped",TRUE(),IF(Compare!$H$5="EXACT only",J1000="EXACT",OR(J1000="EXACT",J1000="CLOSE")))),"yes","no")</f>
        <v>yes</v>
      </c>
      <c r="AF1000" s="110" t="n">
        <f aca="false">IF(ISNUMBER(H1000),COUNTIFS($B$7:$B$3000,B1000,$C$7:$C$3000,C1000,$H$7:$H$3000,"&lt;"&amp;H1000,$AH$7:$AH$3000,"yes")+COUNTIFS($B$7:B1000,B1000,$C$7:C1000,C1000,$H$7:H1000,H1000,$AH$7:AH1000,"yes"),"")</f>
        <v>4</v>
      </c>
      <c r="AG1000" s="110" t="n">
        <f aca="false">IF(ISNUMBER(I1000),COUNTIFS($B$7:$B$3000,B1000,$C$7:$C$3000,C1000,$I$7:$I$3000,"&lt;"&amp;I1000,$AI$7:$AI$3000,"yes")+COUNTIFS($B$7:B1000,B1000,$C$7:C1000,C1000,$I$7:I1000,I1000,$AI$7:AI1000,"yes"),"")</f>
        <v>4</v>
      </c>
      <c r="AH1000" s="110" t="str">
        <f aca="false">IF(ISNUMBER(H1000),"yes","no")</f>
        <v>yes</v>
      </c>
      <c r="AI1000" s="110" t="str">
        <f aca="false">IF(ISNUMBER(I1000),"yes","no")</f>
        <v>yes</v>
      </c>
      <c r="AJ1000" s="120" t="n">
        <v>46297</v>
      </c>
      <c r="AK1000" s="110"/>
    </row>
    <row r="1001" customFormat="false" ht="23.85" hidden="false" customHeight="false" outlineLevel="0" collapsed="false">
      <c r="B1001" s="36" t="s">
        <v>70</v>
      </c>
      <c r="C1001" s="98" t="s">
        <v>16</v>
      </c>
      <c r="D1001" s="98" t="s">
        <v>309</v>
      </c>
      <c r="E1001" s="110" t="s">
        <v>3300</v>
      </c>
      <c r="F1001" s="99" t="n">
        <v>22.43</v>
      </c>
      <c r="G1001" s="98" t="s">
        <v>244</v>
      </c>
      <c r="H1001" s="112" t="n">
        <f aca="false">IF(AND(AE1001="yes",ISNUMBER(AD1001)),AD1001,"")</f>
        <v>22.43</v>
      </c>
      <c r="I1001" s="95" t="n">
        <f aca="false">IF(AND(AE1001="yes",ISNUMBER(AD1001),ISNUMBER(INDEX(Sources!$G$7:$G$10,MATCH(AB1001,Sources!$B$7:$B$10,0)))),ROUND(AD1001/INDEX(Sources!$G$7:$G$10,MATCH(AB1001,Sources!$B$7:$B$10,0)),6),"")</f>
        <v>22.43</v>
      </c>
      <c r="J1001" s="98" t="s">
        <v>530</v>
      </c>
      <c r="K1001" s="98" t="s">
        <v>2059</v>
      </c>
      <c r="L1001" s="96"/>
      <c r="M1001" s="110" t="s">
        <v>3319</v>
      </c>
      <c r="N1001" s="117" t="s">
        <v>3302</v>
      </c>
      <c r="O1001" s="110" t="s">
        <v>388</v>
      </c>
      <c r="P1001" s="110" t="s">
        <v>590</v>
      </c>
      <c r="Q1001" s="118" t="n">
        <v>0.19</v>
      </c>
      <c r="R1001" s="110" t="n">
        <v>1</v>
      </c>
      <c r="S1001" s="110" t="s">
        <v>632</v>
      </c>
      <c r="T1001" s="110" t="s">
        <v>530</v>
      </c>
      <c r="U1001" s="110" t="s">
        <v>2913</v>
      </c>
      <c r="V1001" s="119" t="n">
        <v>22.43</v>
      </c>
      <c r="W1001" s="119"/>
      <c r="X1001" s="110" t="s">
        <v>2063</v>
      </c>
      <c r="Y1001" s="110" t="s">
        <v>2064</v>
      </c>
      <c r="Z1001" s="110" t="s">
        <v>3240</v>
      </c>
      <c r="AA1001" s="110" t="s">
        <v>537</v>
      </c>
      <c r="AB1001" s="110" t="s">
        <v>244</v>
      </c>
      <c r="AC1001" s="110" t="s">
        <v>538</v>
      </c>
      <c r="AD1001" s="110" t="n">
        <f aca="false">IF(OR(F1001="",Q1001="",R1001=""),"",ROUND(IF(P1001="incl.",F1001/(1+Q1001),F1001)/IF(S1001="per pack",R1001,1),2))</f>
        <v>22.43</v>
      </c>
      <c r="AE1001" s="110" t="str">
        <f aca="false">IF(AND(AC1001="yes",ISNUMBER(F1001),IF(Compare!$H$5="All mapped",TRUE(),IF(Compare!$H$5="EXACT only",J1001="EXACT",OR(J1001="EXACT",J1001="CLOSE")))),"yes","no")</f>
        <v>yes</v>
      </c>
      <c r="AF1001" s="110" t="n">
        <f aca="false">IF(ISNUMBER(H1001),COUNTIFS($B$7:$B$3000,B1001,$C$7:$C$3000,C1001,$H$7:$H$3000,"&lt;"&amp;H1001,$AH$7:$AH$3000,"yes")+COUNTIFS($B$7:B1001,B1001,$C$7:C1001,C1001,$H$7:H1001,H1001,$AH$7:AH1001,"yes"),"")</f>
        <v>7</v>
      </c>
      <c r="AG1001" s="110" t="n">
        <f aca="false">IF(ISNUMBER(I1001),COUNTIFS($B$7:$B$3000,B1001,$C$7:$C$3000,C1001,$I$7:$I$3000,"&lt;"&amp;I1001,$AI$7:$AI$3000,"yes")+COUNTIFS($B$7:B1001,B1001,$C$7:C1001,C1001,$I$7:I1001,I1001,$AI$7:AI1001,"yes"),"")</f>
        <v>7</v>
      </c>
      <c r="AH1001" s="110" t="str">
        <f aca="false">IF(ISNUMBER(H1001),"yes","no")</f>
        <v>yes</v>
      </c>
      <c r="AI1001" s="110" t="str">
        <f aca="false">IF(ISNUMBER(I1001),"yes","no")</f>
        <v>yes</v>
      </c>
      <c r="AJ1001" s="120" t="n">
        <v>46297</v>
      </c>
      <c r="AK1001" s="110"/>
    </row>
    <row r="1002" customFormat="false" ht="23.85" hidden="false" customHeight="false" outlineLevel="0" collapsed="false">
      <c r="B1002" s="36" t="s">
        <v>70</v>
      </c>
      <c r="C1002" s="98" t="s">
        <v>16</v>
      </c>
      <c r="D1002" s="98" t="s">
        <v>313</v>
      </c>
      <c r="E1002" s="110" t="s">
        <v>3303</v>
      </c>
      <c r="F1002" s="99" t="n">
        <v>11.69</v>
      </c>
      <c r="G1002" s="98" t="s">
        <v>244</v>
      </c>
      <c r="H1002" s="112" t="n">
        <f aca="false">IF(AND(AE1002="yes",ISNUMBER(AD1002)),AD1002,"")</f>
        <v>9.82</v>
      </c>
      <c r="I1002" s="95" t="n">
        <f aca="false">IF(AND(AE1002="yes",ISNUMBER(AD1002),ISNUMBER(INDEX(Sources!$G$7:$G$10,MATCH(AB1002,Sources!$B$7:$B$10,0)))),ROUND(AD1002/INDEX(Sources!$G$7:$G$10,MATCH(AB1002,Sources!$B$7:$B$10,0)),6),"")</f>
        <v>9.82</v>
      </c>
      <c r="J1002" s="98" t="s">
        <v>530</v>
      </c>
      <c r="K1002" s="98" t="s">
        <v>2059</v>
      </c>
      <c r="L1002" s="96"/>
      <c r="M1002" s="110" t="s">
        <v>3320</v>
      </c>
      <c r="N1002" s="117" t="s">
        <v>3321</v>
      </c>
      <c r="O1002" s="110" t="s">
        <v>598</v>
      </c>
      <c r="P1002" s="110" t="s">
        <v>265</v>
      </c>
      <c r="Q1002" s="118" t="n">
        <v>0.19</v>
      </c>
      <c r="R1002" s="110" t="n">
        <v>1</v>
      </c>
      <c r="S1002" s="110" t="s">
        <v>632</v>
      </c>
      <c r="T1002" s="110" t="s">
        <v>530</v>
      </c>
      <c r="U1002" s="110" t="s">
        <v>2918</v>
      </c>
      <c r="V1002" s="119" t="n">
        <v>9.82</v>
      </c>
      <c r="W1002" s="119"/>
      <c r="X1002" s="110" t="s">
        <v>2063</v>
      </c>
      <c r="Y1002" s="110" t="s">
        <v>2064</v>
      </c>
      <c r="Z1002" s="110" t="s">
        <v>3243</v>
      </c>
      <c r="AA1002" s="110" t="s">
        <v>537</v>
      </c>
      <c r="AB1002" s="110" t="s">
        <v>244</v>
      </c>
      <c r="AC1002" s="110" t="s">
        <v>538</v>
      </c>
      <c r="AD1002" s="110" t="n">
        <f aca="false">IF(OR(F1002="",Q1002="",R1002=""),"",ROUND(IF(P1002="incl.",F1002/(1+Q1002),F1002)/IF(S1002="per pack",R1002,1),2))</f>
        <v>9.82</v>
      </c>
      <c r="AE1002" s="110" t="str">
        <f aca="false">IF(AND(AC1002="yes",ISNUMBER(F1002),IF(Compare!$H$5="All mapped",TRUE(),IF(Compare!$H$5="EXACT only",J1002="EXACT",OR(J1002="EXACT",J1002="CLOSE")))),"yes","no")</f>
        <v>yes</v>
      </c>
      <c r="AF1002" s="110" t="n">
        <f aca="false">IF(ISNUMBER(H1002),COUNTIFS($B$7:$B$3000,B1002,$C$7:$C$3000,C1002,$H$7:$H$3000,"&lt;"&amp;H1002,$AH$7:$AH$3000,"yes")+COUNTIFS($B$7:B1002,B1002,$C$7:C1002,C1002,$H$7:H1002,H1002,$AH$7:AH1002,"yes"),"")</f>
        <v>2</v>
      </c>
      <c r="AG1002" s="110" t="n">
        <f aca="false">IF(ISNUMBER(I1002),COUNTIFS($B$7:$B$3000,B1002,$C$7:$C$3000,C1002,$I$7:$I$3000,"&lt;"&amp;I1002,$AI$7:$AI$3000,"yes")+COUNTIFS($B$7:B1002,B1002,$C$7:C1002,C1002,$I$7:I1002,I1002,$AI$7:AI1002,"yes"),"")</f>
        <v>2</v>
      </c>
      <c r="AH1002" s="110" t="str">
        <f aca="false">IF(ISNUMBER(H1002),"yes","no")</f>
        <v>yes</v>
      </c>
      <c r="AI1002" s="110" t="str">
        <f aca="false">IF(ISNUMBER(I1002),"yes","no")</f>
        <v>yes</v>
      </c>
      <c r="AJ1002" s="120" t="n">
        <v>46297</v>
      </c>
      <c r="AK1002" s="110"/>
    </row>
    <row r="1003" customFormat="false" ht="35.05" hidden="false" customHeight="false" outlineLevel="0" collapsed="false">
      <c r="B1003" s="36" t="s">
        <v>70</v>
      </c>
      <c r="C1003" s="98" t="s">
        <v>16</v>
      </c>
      <c r="D1003" s="98" t="s">
        <v>321</v>
      </c>
      <c r="E1003" s="110" t="s">
        <v>3322</v>
      </c>
      <c r="F1003" s="99" t="n">
        <v>13.64</v>
      </c>
      <c r="G1003" s="98" t="s">
        <v>244</v>
      </c>
      <c r="H1003" s="112" t="n">
        <f aca="false">IF(AND(AE1003="yes",ISNUMBER(AD1003)),AD1003,"")</f>
        <v>13.64</v>
      </c>
      <c r="I1003" s="95" t="n">
        <f aca="false">IF(AND(AE1003="yes",ISNUMBER(AD1003),ISNUMBER(INDEX(Sources!$G$7:$G$10,MATCH(AB1003,Sources!$B$7:$B$10,0)))),ROUND(AD1003/INDEX(Sources!$G$7:$G$10,MATCH(AB1003,Sources!$B$7:$B$10,0)),6),"")</f>
        <v>13.64</v>
      </c>
      <c r="J1003" s="98" t="s">
        <v>530</v>
      </c>
      <c r="K1003" s="98" t="s">
        <v>2059</v>
      </c>
      <c r="L1003" s="96"/>
      <c r="M1003" s="110" t="s">
        <v>3323</v>
      </c>
      <c r="N1003" s="117" t="s">
        <v>3324</v>
      </c>
      <c r="O1003" s="110" t="s">
        <v>2944</v>
      </c>
      <c r="P1003" s="110" t="s">
        <v>590</v>
      </c>
      <c r="Q1003" s="118" t="n">
        <v>0.19</v>
      </c>
      <c r="R1003" s="110" t="n">
        <v>1</v>
      </c>
      <c r="S1003" s="110" t="s">
        <v>632</v>
      </c>
      <c r="T1003" s="110" t="s">
        <v>530</v>
      </c>
      <c r="U1003" s="110" t="s">
        <v>2913</v>
      </c>
      <c r="V1003" s="119" t="n">
        <v>13.64</v>
      </c>
      <c r="W1003" s="119"/>
      <c r="X1003" s="110" t="s">
        <v>2063</v>
      </c>
      <c r="Y1003" s="110" t="s">
        <v>2064</v>
      </c>
      <c r="Z1003" s="110" t="s">
        <v>2978</v>
      </c>
      <c r="AA1003" s="110" t="s">
        <v>537</v>
      </c>
      <c r="AB1003" s="110" t="s">
        <v>244</v>
      </c>
      <c r="AC1003" s="110" t="s">
        <v>538</v>
      </c>
      <c r="AD1003" s="110" t="n">
        <f aca="false">IF(OR(F1003="",Q1003="",R1003=""),"",ROUND(IF(P1003="incl.",F1003/(1+Q1003),F1003)/IF(S1003="per pack",R1003,1),2))</f>
        <v>13.64</v>
      </c>
      <c r="AE1003" s="110" t="str">
        <f aca="false">IF(AND(AC1003="yes",ISNUMBER(F1003),IF(Compare!$H$5="All mapped",TRUE(),IF(Compare!$H$5="EXACT only",J1003="EXACT",OR(J1003="EXACT",J1003="CLOSE")))),"yes","no")</f>
        <v>yes</v>
      </c>
      <c r="AF1003" s="110" t="n">
        <f aca="false">IF(ISNUMBER(H1003),COUNTIFS($B$7:$B$3000,B1003,$C$7:$C$3000,C1003,$H$7:$H$3000,"&lt;"&amp;H1003,$AH$7:$AH$3000,"yes")+COUNTIFS($B$7:B1003,B1003,$C$7:C1003,C1003,$H$7:H1003,H1003,$AH$7:AH1003,"yes"),"")</f>
        <v>6</v>
      </c>
      <c r="AG1003" s="110" t="n">
        <f aca="false">IF(ISNUMBER(I1003),COUNTIFS($B$7:$B$3000,B1003,$C$7:$C$3000,C1003,$I$7:$I$3000,"&lt;"&amp;I1003,$AI$7:$AI$3000,"yes")+COUNTIFS($B$7:B1003,B1003,$C$7:C1003,C1003,$I$7:I1003,I1003,$AI$7:AI1003,"yes"),"")</f>
        <v>6</v>
      </c>
      <c r="AH1003" s="110" t="str">
        <f aca="false">IF(ISNUMBER(H1003),"yes","no")</f>
        <v>yes</v>
      </c>
      <c r="AI1003" s="110" t="str">
        <f aca="false">IF(ISNUMBER(I1003),"yes","no")</f>
        <v>yes</v>
      </c>
      <c r="AJ1003" s="120" t="n">
        <v>46297</v>
      </c>
      <c r="AK1003" s="110"/>
    </row>
    <row r="1004" customFormat="false" ht="35.05" hidden="false" customHeight="false" outlineLevel="0" collapsed="false">
      <c r="B1004" s="36" t="s">
        <v>70</v>
      </c>
      <c r="C1004" s="98" t="s">
        <v>16</v>
      </c>
      <c r="D1004" s="98" t="s">
        <v>329</v>
      </c>
      <c r="E1004" s="110" t="s">
        <v>3303</v>
      </c>
      <c r="F1004" s="99" t="n">
        <v>6.84</v>
      </c>
      <c r="G1004" s="98" t="s">
        <v>244</v>
      </c>
      <c r="H1004" s="112" t="n">
        <f aca="false">IF(AND(AE1004="yes",ISNUMBER(AD1004)),AD1004,"")</f>
        <v>6.84</v>
      </c>
      <c r="I1004" s="95" t="n">
        <f aca="false">IF(AND(AE1004="yes",ISNUMBER(AD1004),ISNUMBER(INDEX(Sources!$G$7:$G$10,MATCH(AB1004,Sources!$B$7:$B$10,0)))),ROUND(AD1004/INDEX(Sources!$G$7:$G$10,MATCH(AB1004,Sources!$B$7:$B$10,0)),6),"")</f>
        <v>6.84</v>
      </c>
      <c r="J1004" s="98" t="s">
        <v>530</v>
      </c>
      <c r="K1004" s="98" t="s">
        <v>2059</v>
      </c>
      <c r="L1004" s="96"/>
      <c r="M1004" s="110" t="s">
        <v>3325</v>
      </c>
      <c r="N1004" s="117" t="s">
        <v>3326</v>
      </c>
      <c r="O1004" s="110" t="s">
        <v>598</v>
      </c>
      <c r="P1004" s="110" t="s">
        <v>590</v>
      </c>
      <c r="Q1004" s="118" t="n">
        <v>0.19</v>
      </c>
      <c r="R1004" s="110" t="n">
        <v>1</v>
      </c>
      <c r="S1004" s="110" t="s">
        <v>632</v>
      </c>
      <c r="T1004" s="110" t="s">
        <v>530</v>
      </c>
      <c r="U1004" s="110" t="s">
        <v>2913</v>
      </c>
      <c r="V1004" s="119" t="n">
        <v>6.84</v>
      </c>
      <c r="W1004" s="119"/>
      <c r="X1004" s="110" t="s">
        <v>2063</v>
      </c>
      <c r="Y1004" s="110" t="s">
        <v>2064</v>
      </c>
      <c r="Z1004" s="110" t="s">
        <v>2624</v>
      </c>
      <c r="AA1004" s="110" t="s">
        <v>537</v>
      </c>
      <c r="AB1004" s="110" t="s">
        <v>244</v>
      </c>
      <c r="AC1004" s="110" t="s">
        <v>538</v>
      </c>
      <c r="AD1004" s="110" t="n">
        <f aca="false">IF(OR(F1004="",Q1004="",R1004=""),"",ROUND(IF(P1004="incl.",F1004/(1+Q1004),F1004)/IF(S1004="per pack",R1004,1),2))</f>
        <v>6.84</v>
      </c>
      <c r="AE1004" s="110" t="str">
        <f aca="false">IF(AND(AC1004="yes",ISNUMBER(F1004),IF(Compare!$H$5="All mapped",TRUE(),IF(Compare!$H$5="EXACT only",J1004="EXACT",OR(J1004="EXACT",J1004="CLOSE")))),"yes","no")</f>
        <v>yes</v>
      </c>
      <c r="AF1004" s="110" t="n">
        <f aca="false">IF(ISNUMBER(H1004),COUNTIFS($B$7:$B$3000,B1004,$C$7:$C$3000,C1004,$H$7:$H$3000,"&lt;"&amp;H1004,$AH$7:$AH$3000,"yes")+COUNTIFS($B$7:B1004,B1004,$C$7:C1004,C1004,$H$7:H1004,H1004,$AH$7:AH1004,"yes"),"")</f>
        <v>1</v>
      </c>
      <c r="AG1004" s="110" t="n">
        <f aca="false">IF(ISNUMBER(I1004),COUNTIFS($B$7:$B$3000,B1004,$C$7:$C$3000,C1004,$I$7:$I$3000,"&lt;"&amp;I1004,$AI$7:$AI$3000,"yes")+COUNTIFS($B$7:B1004,B1004,$C$7:C1004,C1004,$I$7:I1004,I1004,$AI$7:AI1004,"yes"),"")</f>
        <v>1</v>
      </c>
      <c r="AH1004" s="110" t="str">
        <f aca="false">IF(ISNUMBER(H1004),"yes","no")</f>
        <v>yes</v>
      </c>
      <c r="AI1004" s="110" t="str">
        <f aca="false">IF(ISNUMBER(I1004),"yes","no")</f>
        <v>yes</v>
      </c>
      <c r="AJ1004" s="120" t="n">
        <v>46297</v>
      </c>
      <c r="AK1004" s="110"/>
    </row>
    <row r="1005" customFormat="false" ht="35.05" hidden="false" customHeight="false" outlineLevel="0" collapsed="false">
      <c r="B1005" s="36" t="s">
        <v>70</v>
      </c>
      <c r="C1005" s="98" t="s">
        <v>17</v>
      </c>
      <c r="D1005" s="98" t="s">
        <v>338</v>
      </c>
      <c r="E1005" s="110" t="s">
        <v>3327</v>
      </c>
      <c r="F1005" s="99" t="n">
        <v>250</v>
      </c>
      <c r="G1005" s="98" t="s">
        <v>333</v>
      </c>
      <c r="H1005" s="112" t="n">
        <f aca="false">IF(AND(AE1005="yes",ISNUMBER(AD1005)),AD1005,"")</f>
        <v>250</v>
      </c>
      <c r="I1005" s="95" t="n">
        <f aca="false">IF(AND(AE1005="yes",ISNUMBER(AD1005),ISNUMBER(INDEX(Sources!$G$7:$G$10,MATCH(AB1005,Sources!$B$7:$B$10,0)))),ROUND(AD1005/INDEX(Sources!$G$7:$G$10,MATCH(AB1005,Sources!$B$7:$B$10,0)),6),"")</f>
        <v>10.235995</v>
      </c>
      <c r="J1005" s="98" t="s">
        <v>530</v>
      </c>
      <c r="K1005" s="98" t="s">
        <v>2059</v>
      </c>
      <c r="L1005" s="96"/>
      <c r="M1005" s="110" t="s">
        <v>3328</v>
      </c>
      <c r="N1005" s="117" t="s">
        <v>3329</v>
      </c>
      <c r="O1005" s="110" t="s">
        <v>388</v>
      </c>
      <c r="P1005" s="110" t="s">
        <v>590</v>
      </c>
      <c r="Q1005" s="118" t="n">
        <v>0.21</v>
      </c>
      <c r="R1005" s="110" t="n">
        <v>1</v>
      </c>
      <c r="S1005" s="110" t="s">
        <v>632</v>
      </c>
      <c r="T1005" s="110" t="s">
        <v>530</v>
      </c>
      <c r="U1005" s="110" t="s">
        <v>2913</v>
      </c>
      <c r="V1005" s="119" t="n">
        <v>250</v>
      </c>
      <c r="W1005" s="119"/>
      <c r="X1005" s="110" t="s">
        <v>2063</v>
      </c>
      <c r="Y1005" s="110" t="s">
        <v>2064</v>
      </c>
      <c r="Z1005" s="110" t="s">
        <v>3330</v>
      </c>
      <c r="AA1005" s="110" t="s">
        <v>537</v>
      </c>
      <c r="AB1005" s="110" t="s">
        <v>333</v>
      </c>
      <c r="AC1005" s="110" t="s">
        <v>538</v>
      </c>
      <c r="AD1005" s="110" t="n">
        <f aca="false">IF(OR(F1005="",Q1005="",R1005=""),"",ROUND(IF(P1005="incl.",F1005/(1+Q1005),F1005)/IF(S1005="per pack",R1005,1),2))</f>
        <v>250</v>
      </c>
      <c r="AE1005" s="110" t="str">
        <f aca="false">IF(AND(AC1005="yes",ISNUMBER(F1005),IF(Compare!$H$5="All mapped",TRUE(),IF(Compare!$H$5="EXACT only",J1005="EXACT",OR(J1005="EXACT",J1005="CLOSE")))),"yes","no")</f>
        <v>yes</v>
      </c>
      <c r="AF1005" s="110" t="n">
        <f aca="false">IF(ISNUMBER(H1005),COUNTIFS($B$7:$B$3000,B1005,$C$7:$C$3000,C1005,$H$7:$H$3000,"&lt;"&amp;H1005,$AH$7:$AH$3000,"yes")+COUNTIFS($B$7:B1005,B1005,$C$7:C1005,C1005,$H$7:H1005,H1005,$AH$7:AH1005,"yes"),"")</f>
        <v>3</v>
      </c>
      <c r="AG1005" s="110" t="n">
        <f aca="false">IF(ISNUMBER(I1005),COUNTIFS($B$7:$B$3000,B1005,$C$7:$C$3000,C1005,$I$7:$I$3000,"&lt;"&amp;I1005,$AI$7:$AI$3000,"yes")+COUNTIFS($B$7:B1005,B1005,$C$7:C1005,C1005,$I$7:I1005,I1005,$AI$7:AI1005,"yes"),"")</f>
        <v>3</v>
      </c>
      <c r="AH1005" s="110" t="str">
        <f aca="false">IF(ISNUMBER(H1005),"yes","no")</f>
        <v>yes</v>
      </c>
      <c r="AI1005" s="110" t="str">
        <f aca="false">IF(ISNUMBER(I1005),"yes","no")</f>
        <v>yes</v>
      </c>
      <c r="AJ1005" s="120" t="n">
        <v>46297</v>
      </c>
      <c r="AK1005" s="110"/>
    </row>
    <row r="1006" customFormat="false" ht="35.05" hidden="false" customHeight="false" outlineLevel="0" collapsed="false">
      <c r="B1006" s="36" t="s">
        <v>70</v>
      </c>
      <c r="C1006" s="98" t="s">
        <v>17</v>
      </c>
      <c r="D1006" s="98" t="s">
        <v>342</v>
      </c>
      <c r="E1006" s="110" t="s">
        <v>3331</v>
      </c>
      <c r="F1006" s="99" t="n">
        <v>248</v>
      </c>
      <c r="G1006" s="98" t="s">
        <v>333</v>
      </c>
      <c r="H1006" s="112" t="n">
        <f aca="false">IF(AND(AE1006="yes",ISNUMBER(AD1006)),AD1006,"")</f>
        <v>248</v>
      </c>
      <c r="I1006" s="95" t="n">
        <f aca="false">IF(AND(AE1006="yes",ISNUMBER(AD1006),ISNUMBER(INDEX(Sources!$G$7:$G$10,MATCH(AB1006,Sources!$B$7:$B$10,0)))),ROUND(AD1006/INDEX(Sources!$G$7:$G$10,MATCH(AB1006,Sources!$B$7:$B$10,0)),6),"")</f>
        <v>10.154107</v>
      </c>
      <c r="J1006" s="98" t="s">
        <v>530</v>
      </c>
      <c r="K1006" s="98" t="s">
        <v>2059</v>
      </c>
      <c r="L1006" s="96"/>
      <c r="M1006" s="110" t="s">
        <v>3332</v>
      </c>
      <c r="N1006" s="117" t="s">
        <v>3333</v>
      </c>
      <c r="O1006" s="110" t="s">
        <v>1138</v>
      </c>
      <c r="P1006" s="110" t="s">
        <v>590</v>
      </c>
      <c r="Q1006" s="118" t="n">
        <v>0.21</v>
      </c>
      <c r="R1006" s="110" t="n">
        <v>1</v>
      </c>
      <c r="S1006" s="110" t="s">
        <v>632</v>
      </c>
      <c r="T1006" s="110" t="s">
        <v>530</v>
      </c>
      <c r="U1006" s="110" t="s">
        <v>2913</v>
      </c>
      <c r="V1006" s="119" t="n">
        <v>248</v>
      </c>
      <c r="W1006" s="119"/>
      <c r="X1006" s="110" t="s">
        <v>2063</v>
      </c>
      <c r="Y1006" s="110" t="s">
        <v>2064</v>
      </c>
      <c r="Z1006" s="110" t="s">
        <v>2989</v>
      </c>
      <c r="AA1006" s="110" t="s">
        <v>537</v>
      </c>
      <c r="AB1006" s="110" t="s">
        <v>333</v>
      </c>
      <c r="AC1006" s="110" t="s">
        <v>538</v>
      </c>
      <c r="AD1006" s="110" t="n">
        <f aca="false">IF(OR(F1006="",Q1006="",R1006=""),"",ROUND(IF(P1006="incl.",F1006/(1+Q1006),F1006)/IF(S1006="per pack",R1006,1),2))</f>
        <v>248</v>
      </c>
      <c r="AE1006" s="110" t="str">
        <f aca="false">IF(AND(AC1006="yes",ISNUMBER(F1006),IF(Compare!$H$5="All mapped",TRUE(),IF(Compare!$H$5="EXACT only",J1006="EXACT",OR(J1006="EXACT",J1006="CLOSE")))),"yes","no")</f>
        <v>yes</v>
      </c>
      <c r="AF1006" s="110" t="n">
        <f aca="false">IF(ISNUMBER(H1006),COUNTIFS($B$7:$B$3000,B1006,$C$7:$C$3000,C1006,$H$7:$H$3000,"&lt;"&amp;H1006,$AH$7:$AH$3000,"yes")+COUNTIFS($B$7:B1006,B1006,$C$7:C1006,C1006,$H$7:H1006,H1006,$AH$7:AH1006,"yes"),"")</f>
        <v>2</v>
      </c>
      <c r="AG1006" s="110" t="n">
        <f aca="false">IF(ISNUMBER(I1006),COUNTIFS($B$7:$B$3000,B1006,$C$7:$C$3000,C1006,$I$7:$I$3000,"&lt;"&amp;I1006,$AI$7:$AI$3000,"yes")+COUNTIFS($B$7:B1006,B1006,$C$7:C1006,C1006,$I$7:I1006,I1006,$AI$7:AI1006,"yes"),"")</f>
        <v>2</v>
      </c>
      <c r="AH1006" s="110" t="str">
        <f aca="false">IF(ISNUMBER(H1006),"yes","no")</f>
        <v>yes</v>
      </c>
      <c r="AI1006" s="110" t="str">
        <f aca="false">IF(ISNUMBER(I1006),"yes","no")</f>
        <v>yes</v>
      </c>
      <c r="AJ1006" s="120" t="n">
        <v>46297</v>
      </c>
      <c r="AK1006" s="110"/>
    </row>
    <row r="1007" customFormat="false" ht="46.25" hidden="false" customHeight="false" outlineLevel="0" collapsed="false">
      <c r="B1007" s="36" t="s">
        <v>70</v>
      </c>
      <c r="C1007" s="98" t="s">
        <v>17</v>
      </c>
      <c r="D1007" s="98" t="s">
        <v>346</v>
      </c>
      <c r="E1007" s="110" t="s">
        <v>3334</v>
      </c>
      <c r="F1007" s="99" t="n">
        <v>465</v>
      </c>
      <c r="G1007" s="98" t="s">
        <v>333</v>
      </c>
      <c r="H1007" s="112" t="n">
        <f aca="false">IF(AND(AE1007="yes",ISNUMBER(AD1007)),AD1007,"")</f>
        <v>465</v>
      </c>
      <c r="I1007" s="95" t="n">
        <f aca="false">IF(AND(AE1007="yes",ISNUMBER(AD1007),ISNUMBER(INDEX(Sources!$G$7:$G$10,MATCH(AB1007,Sources!$B$7:$B$10,0)))),ROUND(AD1007/INDEX(Sources!$G$7:$G$10,MATCH(AB1007,Sources!$B$7:$B$10,0)),6),"")</f>
        <v>19.03895</v>
      </c>
      <c r="J1007" s="98" t="s">
        <v>530</v>
      </c>
      <c r="K1007" s="98" t="s">
        <v>2059</v>
      </c>
      <c r="L1007" s="96"/>
      <c r="M1007" s="110" t="s">
        <v>3335</v>
      </c>
      <c r="N1007" s="117" t="s">
        <v>3336</v>
      </c>
      <c r="O1007" s="110" t="s">
        <v>565</v>
      </c>
      <c r="P1007" s="110" t="s">
        <v>590</v>
      </c>
      <c r="Q1007" s="118" t="n">
        <v>0.21</v>
      </c>
      <c r="R1007" s="110" t="n">
        <v>1</v>
      </c>
      <c r="S1007" s="110" t="s">
        <v>632</v>
      </c>
      <c r="T1007" s="110" t="s">
        <v>530</v>
      </c>
      <c r="U1007" s="110" t="s">
        <v>2913</v>
      </c>
      <c r="V1007" s="119" t="n">
        <v>465</v>
      </c>
      <c r="W1007" s="119"/>
      <c r="X1007" s="110" t="s">
        <v>2063</v>
      </c>
      <c r="Y1007" s="110" t="s">
        <v>2064</v>
      </c>
      <c r="Z1007" s="110" t="s">
        <v>2993</v>
      </c>
      <c r="AA1007" s="110" t="s">
        <v>537</v>
      </c>
      <c r="AB1007" s="110" t="s">
        <v>333</v>
      </c>
      <c r="AC1007" s="110" t="s">
        <v>538</v>
      </c>
      <c r="AD1007" s="110" t="n">
        <f aca="false">IF(OR(F1007="",Q1007="",R1007=""),"",ROUND(IF(P1007="incl.",F1007/(1+Q1007),F1007)/IF(S1007="per pack",R1007,1),2))</f>
        <v>465</v>
      </c>
      <c r="AE1007" s="110" t="str">
        <f aca="false">IF(AND(AC1007="yes",ISNUMBER(F1007),IF(Compare!$H$5="All mapped",TRUE(),IF(Compare!$H$5="EXACT only",J1007="EXACT",OR(J1007="EXACT",J1007="CLOSE")))),"yes","no")</f>
        <v>yes</v>
      </c>
      <c r="AF1007" s="110" t="n">
        <f aca="false">IF(ISNUMBER(H1007),COUNTIFS($B$7:$B$3000,B1007,$C$7:$C$3000,C1007,$H$7:$H$3000,"&lt;"&amp;H1007,$AH$7:$AH$3000,"yes")+COUNTIFS($B$7:B1007,B1007,$C$7:C1007,C1007,$H$7:H1007,H1007,$AH$7:AH1007,"yes"),"")</f>
        <v>5</v>
      </c>
      <c r="AG1007" s="110" t="n">
        <f aca="false">IF(ISNUMBER(I1007),COUNTIFS($B$7:$B$3000,B1007,$C$7:$C$3000,C1007,$I$7:$I$3000,"&lt;"&amp;I1007,$AI$7:$AI$3000,"yes")+COUNTIFS($B$7:B1007,B1007,$C$7:C1007,C1007,$I$7:I1007,I1007,$AI$7:AI1007,"yes"),"")</f>
        <v>5</v>
      </c>
      <c r="AH1007" s="110" t="str">
        <f aca="false">IF(ISNUMBER(H1007),"yes","no")</f>
        <v>yes</v>
      </c>
      <c r="AI1007" s="110" t="str">
        <f aca="false">IF(ISNUMBER(I1007),"yes","no")</f>
        <v>yes</v>
      </c>
      <c r="AJ1007" s="120" t="n">
        <v>46297</v>
      </c>
      <c r="AK1007" s="110"/>
    </row>
    <row r="1008" customFormat="false" ht="35.05" hidden="false" customHeight="false" outlineLevel="0" collapsed="false">
      <c r="B1008" s="36" t="s">
        <v>70</v>
      </c>
      <c r="C1008" s="98" t="s">
        <v>17</v>
      </c>
      <c r="D1008" s="98" t="s">
        <v>350</v>
      </c>
      <c r="E1008" s="110" t="s">
        <v>3337</v>
      </c>
      <c r="F1008" s="99" t="n">
        <v>234</v>
      </c>
      <c r="G1008" s="98" t="s">
        <v>333</v>
      </c>
      <c r="H1008" s="112" t="n">
        <f aca="false">IF(AND(AE1008="yes",ISNUMBER(AD1008)),AD1008,"")</f>
        <v>193.39</v>
      </c>
      <c r="I1008" s="95" t="n">
        <f aca="false">IF(AND(AE1008="yes",ISNUMBER(AD1008),ISNUMBER(INDEX(Sources!$G$7:$G$10,MATCH(AB1008,Sources!$B$7:$B$10,0)))),ROUND(AD1008/INDEX(Sources!$G$7:$G$10,MATCH(AB1008,Sources!$B$7:$B$10,0)),6),"")</f>
        <v>7.918156</v>
      </c>
      <c r="J1008" s="98" t="s">
        <v>530</v>
      </c>
      <c r="K1008" s="98" t="s">
        <v>2059</v>
      </c>
      <c r="L1008" s="96"/>
      <c r="M1008" s="110" t="s">
        <v>3338</v>
      </c>
      <c r="N1008" s="117" t="s">
        <v>3339</v>
      </c>
      <c r="O1008" s="110" t="s">
        <v>2997</v>
      </c>
      <c r="P1008" s="110" t="s">
        <v>265</v>
      </c>
      <c r="Q1008" s="118" t="n">
        <v>0.21</v>
      </c>
      <c r="R1008" s="110" t="n">
        <v>1</v>
      </c>
      <c r="S1008" s="110" t="s">
        <v>632</v>
      </c>
      <c r="T1008" s="110" t="s">
        <v>530</v>
      </c>
      <c r="U1008" s="110" t="s">
        <v>2918</v>
      </c>
      <c r="V1008" s="119" t="n">
        <v>193.39</v>
      </c>
      <c r="W1008" s="119"/>
      <c r="X1008" s="110" t="s">
        <v>2063</v>
      </c>
      <c r="Y1008" s="110" t="s">
        <v>2064</v>
      </c>
      <c r="Z1008" s="110" t="s">
        <v>2344</v>
      </c>
      <c r="AA1008" s="110" t="s">
        <v>537</v>
      </c>
      <c r="AB1008" s="110" t="s">
        <v>333</v>
      </c>
      <c r="AC1008" s="110" t="s">
        <v>538</v>
      </c>
      <c r="AD1008" s="110" t="n">
        <f aca="false">IF(OR(F1008="",Q1008="",R1008=""),"",ROUND(IF(P1008="incl.",F1008/(1+Q1008),F1008)/IF(S1008="per pack",R1008,1),2))</f>
        <v>193.39</v>
      </c>
      <c r="AE1008" s="110" t="str">
        <f aca="false">IF(AND(AC1008="yes",ISNUMBER(F1008),IF(Compare!$H$5="All mapped",TRUE(),IF(Compare!$H$5="EXACT only",J1008="EXACT",OR(J1008="EXACT",J1008="CLOSE")))),"yes","no")</f>
        <v>yes</v>
      </c>
      <c r="AF1008" s="110" t="n">
        <f aca="false">IF(ISNUMBER(H1008),COUNTIFS($B$7:$B$3000,B1008,$C$7:$C$3000,C1008,$H$7:$H$3000,"&lt;"&amp;H1008,$AH$7:$AH$3000,"yes")+COUNTIFS($B$7:B1008,B1008,$C$7:C1008,C1008,$H$7:H1008,H1008,$AH$7:AH1008,"yes"),"")</f>
        <v>1</v>
      </c>
      <c r="AG1008" s="110" t="n">
        <f aca="false">IF(ISNUMBER(I1008),COUNTIFS($B$7:$B$3000,B1008,$C$7:$C$3000,C1008,$I$7:$I$3000,"&lt;"&amp;I1008,$AI$7:$AI$3000,"yes")+COUNTIFS($B$7:B1008,B1008,$C$7:C1008,C1008,$I$7:I1008,I1008,$AI$7:AI1008,"yes"),"")</f>
        <v>1</v>
      </c>
      <c r="AH1008" s="110" t="str">
        <f aca="false">IF(ISNUMBER(H1008),"yes","no")</f>
        <v>yes</v>
      </c>
      <c r="AI1008" s="110" t="str">
        <f aca="false">IF(ISNUMBER(I1008),"yes","no")</f>
        <v>yes</v>
      </c>
      <c r="AJ1008" s="120" t="n">
        <v>46297</v>
      </c>
      <c r="AK1008" s="110"/>
    </row>
    <row r="1009" customFormat="false" ht="23.85" hidden="false" customHeight="false" outlineLevel="0" collapsed="false">
      <c r="B1009" s="36" t="s">
        <v>70</v>
      </c>
      <c r="C1009" s="98" t="s">
        <v>17</v>
      </c>
      <c r="D1009" s="98" t="s">
        <v>361</v>
      </c>
      <c r="E1009" s="110" t="s">
        <v>3340</v>
      </c>
      <c r="F1009" s="99" t="n">
        <v>374</v>
      </c>
      <c r="G1009" s="98" t="s">
        <v>333</v>
      </c>
      <c r="H1009" s="112" t="n">
        <f aca="false">IF(AND(AE1009="yes",ISNUMBER(AD1009)),AD1009,"")</f>
        <v>374</v>
      </c>
      <c r="I1009" s="95" t="n">
        <f aca="false">IF(AND(AE1009="yes",ISNUMBER(AD1009),ISNUMBER(INDEX(Sources!$G$7:$G$10,MATCH(AB1009,Sources!$B$7:$B$10,0)))),ROUND(AD1009/INDEX(Sources!$G$7:$G$10,MATCH(AB1009,Sources!$B$7:$B$10,0)),6),"")</f>
        <v>15.313048</v>
      </c>
      <c r="J1009" s="98" t="s">
        <v>530</v>
      </c>
      <c r="K1009" s="98" t="s">
        <v>2059</v>
      </c>
      <c r="L1009" s="96"/>
      <c r="M1009" s="110" t="s">
        <v>3341</v>
      </c>
      <c r="N1009" s="117" t="s">
        <v>3342</v>
      </c>
      <c r="O1009" s="110" t="s">
        <v>642</v>
      </c>
      <c r="P1009" s="110" t="s">
        <v>590</v>
      </c>
      <c r="Q1009" s="118" t="n">
        <v>0.21</v>
      </c>
      <c r="R1009" s="110" t="n">
        <v>1</v>
      </c>
      <c r="S1009" s="110" t="s">
        <v>632</v>
      </c>
      <c r="T1009" s="110" t="s">
        <v>530</v>
      </c>
      <c r="U1009" s="110" t="s">
        <v>2913</v>
      </c>
      <c r="V1009" s="119" t="n">
        <v>374</v>
      </c>
      <c r="W1009" s="119"/>
      <c r="X1009" s="110" t="s">
        <v>2063</v>
      </c>
      <c r="Y1009" s="110" t="s">
        <v>2064</v>
      </c>
      <c r="Z1009" s="110" t="s">
        <v>3343</v>
      </c>
      <c r="AA1009" s="110" t="s">
        <v>537</v>
      </c>
      <c r="AB1009" s="110" t="s">
        <v>333</v>
      </c>
      <c r="AC1009" s="110" t="s">
        <v>538</v>
      </c>
      <c r="AD1009" s="110" t="n">
        <f aca="false">IF(OR(F1009="",Q1009="",R1009=""),"",ROUND(IF(P1009="incl.",F1009/(1+Q1009),F1009)/IF(S1009="per pack",R1009,1),2))</f>
        <v>374</v>
      </c>
      <c r="AE1009" s="110" t="str">
        <f aca="false">IF(AND(AC1009="yes",ISNUMBER(F1009),IF(Compare!$H$5="All mapped",TRUE(),IF(Compare!$H$5="EXACT only",J1009="EXACT",OR(J1009="EXACT",J1009="CLOSE")))),"yes","no")</f>
        <v>yes</v>
      </c>
      <c r="AF1009" s="110" t="n">
        <f aca="false">IF(ISNUMBER(H1009),COUNTIFS($B$7:$B$3000,B1009,$C$7:$C$3000,C1009,$H$7:$H$3000,"&lt;"&amp;H1009,$AH$7:$AH$3000,"yes")+COUNTIFS($B$7:B1009,B1009,$C$7:C1009,C1009,$H$7:H1009,H1009,$AH$7:AH1009,"yes"),"")</f>
        <v>4</v>
      </c>
      <c r="AG1009" s="110" t="n">
        <f aca="false">IF(ISNUMBER(I1009),COUNTIFS($B$7:$B$3000,B1009,$C$7:$C$3000,C1009,$I$7:$I$3000,"&lt;"&amp;I1009,$AI$7:$AI$3000,"yes")+COUNTIFS($B$7:B1009,B1009,$C$7:C1009,C1009,$I$7:I1009,I1009,$AI$7:AI1009,"yes"),"")</f>
        <v>4</v>
      </c>
      <c r="AH1009" s="110" t="str">
        <f aca="false">IF(ISNUMBER(H1009),"yes","no")</f>
        <v>yes</v>
      </c>
      <c r="AI1009" s="110" t="str">
        <f aca="false">IF(ISNUMBER(I1009),"yes","no")</f>
        <v>yes</v>
      </c>
      <c r="AJ1009" s="120" t="n">
        <v>46297</v>
      </c>
      <c r="AK1009" s="110"/>
    </row>
    <row r="1010" customFormat="false" ht="23.85" hidden="false" customHeight="false" outlineLevel="0" collapsed="false">
      <c r="B1010" s="36" t="s">
        <v>70</v>
      </c>
      <c r="C1010" s="98" t="s">
        <v>18</v>
      </c>
      <c r="D1010" s="98" t="s">
        <v>3002</v>
      </c>
      <c r="E1010" s="110" t="s">
        <v>3344</v>
      </c>
      <c r="F1010" s="99" t="n">
        <v>12</v>
      </c>
      <c r="G1010" s="98" t="s">
        <v>244</v>
      </c>
      <c r="H1010" s="112" t="n">
        <f aca="false">IF(AND(AE1010="yes",ISNUMBER(AD1010)),AD1010,"")</f>
        <v>12</v>
      </c>
      <c r="I1010" s="95" t="n">
        <f aca="false">IF(AND(AE1010="yes",ISNUMBER(AD1010),ISNUMBER(INDEX(Sources!$G$7:$G$10,MATCH(AB1010,Sources!$B$7:$B$10,0)))),ROUND(AD1010/INDEX(Sources!$G$7:$G$10,MATCH(AB1010,Sources!$B$7:$B$10,0)),6),"")</f>
        <v>12</v>
      </c>
      <c r="J1010" s="98" t="s">
        <v>530</v>
      </c>
      <c r="K1010" s="98" t="s">
        <v>2059</v>
      </c>
      <c r="L1010" s="96"/>
      <c r="M1010" s="110" t="s">
        <v>3345</v>
      </c>
      <c r="N1010" s="117" t="s">
        <v>3005</v>
      </c>
      <c r="O1010" s="110" t="s">
        <v>2396</v>
      </c>
      <c r="P1010" s="110" t="s">
        <v>590</v>
      </c>
      <c r="Q1010" s="118" t="n">
        <v>0.23</v>
      </c>
      <c r="R1010" s="110" t="n">
        <v>1</v>
      </c>
      <c r="S1010" s="110" t="s">
        <v>632</v>
      </c>
      <c r="T1010" s="110" t="s">
        <v>530</v>
      </c>
      <c r="U1010" s="110" t="s">
        <v>2913</v>
      </c>
      <c r="V1010" s="119" t="n">
        <v>12</v>
      </c>
      <c r="W1010" s="119"/>
      <c r="X1010" s="110" t="s">
        <v>2063</v>
      </c>
      <c r="Y1010" s="110" t="s">
        <v>2064</v>
      </c>
      <c r="Z1010" s="110" t="s">
        <v>3346</v>
      </c>
      <c r="AA1010" s="110" t="s">
        <v>537</v>
      </c>
      <c r="AB1010" s="110" t="s">
        <v>244</v>
      </c>
      <c r="AC1010" s="110" t="s">
        <v>538</v>
      </c>
      <c r="AD1010" s="110" t="n">
        <f aca="false">IF(OR(F1010="",Q1010="",R1010=""),"",ROUND(IF(P1010="incl.",F1010/(1+Q1010),F1010)/IF(S1010="per pack",R1010,1),2))</f>
        <v>12</v>
      </c>
      <c r="AE1010" s="110" t="str">
        <f aca="false">IF(AND(AC1010="yes",ISNUMBER(F1010),IF(Compare!$H$5="All mapped",TRUE(),IF(Compare!$H$5="EXACT only",J1010="EXACT",OR(J1010="EXACT",J1010="CLOSE")))),"yes","no")</f>
        <v>yes</v>
      </c>
      <c r="AF1010" s="110" t="n">
        <f aca="false">IF(ISNUMBER(H1010),COUNTIFS($B$7:$B$3000,B1010,$C$7:$C$3000,C1010,$H$7:$H$3000,"&lt;"&amp;H1010,$AH$7:$AH$3000,"yes")+COUNTIFS($B$7:B1010,B1010,$C$7:C1010,C1010,$H$7:H1010,H1010,$AH$7:AH1010,"yes"),"")</f>
        <v>4</v>
      </c>
      <c r="AG1010" s="110" t="n">
        <f aca="false">IF(ISNUMBER(I1010),COUNTIFS($B$7:$B$3000,B1010,$C$7:$C$3000,C1010,$I$7:$I$3000,"&lt;"&amp;I1010,$AI$7:$AI$3000,"yes")+COUNTIFS($B$7:B1010,B1010,$C$7:C1010,C1010,$I$7:I1010,I1010,$AI$7:AI1010,"yes"),"")</f>
        <v>4</v>
      </c>
      <c r="AH1010" s="110" t="str">
        <f aca="false">IF(ISNUMBER(H1010),"yes","no")</f>
        <v>yes</v>
      </c>
      <c r="AI1010" s="110" t="str">
        <f aca="false">IF(ISNUMBER(I1010),"yes","no")</f>
        <v>yes</v>
      </c>
      <c r="AJ1010" s="120" t="n">
        <v>46297</v>
      </c>
      <c r="AK1010" s="110"/>
    </row>
    <row r="1011" customFormat="false" ht="23.85" hidden="false" customHeight="false" outlineLevel="0" collapsed="false">
      <c r="B1011" s="36" t="s">
        <v>70</v>
      </c>
      <c r="C1011" s="98" t="s">
        <v>18</v>
      </c>
      <c r="D1011" s="98" t="s">
        <v>3007</v>
      </c>
      <c r="E1011" s="110" t="s">
        <v>3347</v>
      </c>
      <c r="F1011" s="99" t="n">
        <v>10.68</v>
      </c>
      <c r="G1011" s="98" t="s">
        <v>244</v>
      </c>
      <c r="H1011" s="112" t="n">
        <f aca="false">IF(AND(AE1011="yes",ISNUMBER(AD1011)),AD1011,"")</f>
        <v>10.68</v>
      </c>
      <c r="I1011" s="95" t="n">
        <f aca="false">IF(AND(AE1011="yes",ISNUMBER(AD1011),ISNUMBER(INDEX(Sources!$G$7:$G$10,MATCH(AB1011,Sources!$B$7:$B$10,0)))),ROUND(AD1011/INDEX(Sources!$G$7:$G$10,MATCH(AB1011,Sources!$B$7:$B$10,0)),6),"")</f>
        <v>10.68</v>
      </c>
      <c r="J1011" s="98" t="s">
        <v>530</v>
      </c>
      <c r="K1011" s="98" t="s">
        <v>2059</v>
      </c>
      <c r="L1011" s="96"/>
      <c r="M1011" s="110" t="s">
        <v>3348</v>
      </c>
      <c r="N1011" s="117" t="s">
        <v>3010</v>
      </c>
      <c r="O1011" s="110" t="s">
        <v>3011</v>
      </c>
      <c r="P1011" s="110" t="s">
        <v>590</v>
      </c>
      <c r="Q1011" s="118" t="n">
        <v>0.23</v>
      </c>
      <c r="R1011" s="110" t="n">
        <v>1</v>
      </c>
      <c r="S1011" s="110" t="s">
        <v>632</v>
      </c>
      <c r="T1011" s="110" t="s">
        <v>530</v>
      </c>
      <c r="U1011" s="110" t="s">
        <v>2913</v>
      </c>
      <c r="V1011" s="119" t="n">
        <v>10.68</v>
      </c>
      <c r="W1011" s="119"/>
      <c r="X1011" s="110" t="s">
        <v>2063</v>
      </c>
      <c r="Y1011" s="110" t="s">
        <v>2064</v>
      </c>
      <c r="Z1011" s="110" t="s">
        <v>3012</v>
      </c>
      <c r="AA1011" s="110" t="s">
        <v>537</v>
      </c>
      <c r="AB1011" s="110" t="s">
        <v>244</v>
      </c>
      <c r="AC1011" s="110" t="s">
        <v>538</v>
      </c>
      <c r="AD1011" s="110" t="n">
        <f aca="false">IF(OR(F1011="",Q1011="",R1011=""),"",ROUND(IF(P1011="incl.",F1011/(1+Q1011),F1011)/IF(S1011="per pack",R1011,1),2))</f>
        <v>10.68</v>
      </c>
      <c r="AE1011" s="110" t="str">
        <f aca="false">IF(AND(AC1011="yes",ISNUMBER(F1011),IF(Compare!$H$5="All mapped",TRUE(),IF(Compare!$H$5="EXACT only",J1011="EXACT",OR(J1011="EXACT",J1011="CLOSE")))),"yes","no")</f>
        <v>yes</v>
      </c>
      <c r="AF1011" s="110" t="n">
        <f aca="false">IF(ISNUMBER(H1011),COUNTIFS($B$7:$B$3000,B1011,$C$7:$C$3000,C1011,$H$7:$H$3000,"&lt;"&amp;H1011,$AH$7:$AH$3000,"yes")+COUNTIFS($B$7:B1011,B1011,$C$7:C1011,C1011,$H$7:H1011,H1011,$AH$7:AH1011,"yes"),"")</f>
        <v>3</v>
      </c>
      <c r="AG1011" s="110" t="n">
        <f aca="false">IF(ISNUMBER(I1011),COUNTIFS($B$7:$B$3000,B1011,$C$7:$C$3000,C1011,$I$7:$I$3000,"&lt;"&amp;I1011,$AI$7:$AI$3000,"yes")+COUNTIFS($B$7:B1011,B1011,$C$7:C1011,C1011,$I$7:I1011,I1011,$AI$7:AI1011,"yes"),"")</f>
        <v>3</v>
      </c>
      <c r="AH1011" s="110" t="str">
        <f aca="false">IF(ISNUMBER(H1011),"yes","no")</f>
        <v>yes</v>
      </c>
      <c r="AI1011" s="110" t="str">
        <f aca="false">IF(ISNUMBER(I1011),"yes","no")</f>
        <v>yes</v>
      </c>
      <c r="AJ1011" s="120" t="n">
        <v>46297</v>
      </c>
      <c r="AK1011" s="110"/>
    </row>
    <row r="1012" customFormat="false" ht="35.05" hidden="false" customHeight="false" outlineLevel="0" collapsed="false">
      <c r="B1012" s="36" t="s">
        <v>70</v>
      </c>
      <c r="C1012" s="98" t="s">
        <v>18</v>
      </c>
      <c r="D1012" s="98" t="s">
        <v>365</v>
      </c>
      <c r="E1012" s="110" t="s">
        <v>3331</v>
      </c>
      <c r="F1012" s="99" t="n">
        <v>11.9</v>
      </c>
      <c r="G1012" s="98" t="s">
        <v>244</v>
      </c>
      <c r="H1012" s="112" t="n">
        <f aca="false">IF(AND(AE1012="yes",ISNUMBER(AD1012)),AD1012,"")</f>
        <v>9.67</v>
      </c>
      <c r="I1012" s="95" t="n">
        <f aca="false">IF(AND(AE1012="yes",ISNUMBER(AD1012),ISNUMBER(INDEX(Sources!$G$7:$G$10,MATCH(AB1012,Sources!$B$7:$B$10,0)))),ROUND(AD1012/INDEX(Sources!$G$7:$G$10,MATCH(AB1012,Sources!$B$7:$B$10,0)),6),"")</f>
        <v>9.67</v>
      </c>
      <c r="J1012" s="98" t="s">
        <v>530</v>
      </c>
      <c r="K1012" s="98" t="s">
        <v>2059</v>
      </c>
      <c r="L1012" s="96"/>
      <c r="M1012" s="110" t="s">
        <v>3349</v>
      </c>
      <c r="N1012" s="117" t="s">
        <v>3350</v>
      </c>
      <c r="O1012" s="110" t="s">
        <v>3015</v>
      </c>
      <c r="P1012" s="110" t="s">
        <v>265</v>
      </c>
      <c r="Q1012" s="118" t="n">
        <v>0.23</v>
      </c>
      <c r="R1012" s="110" t="n">
        <v>1</v>
      </c>
      <c r="S1012" s="110" t="s">
        <v>632</v>
      </c>
      <c r="T1012" s="110" t="s">
        <v>530</v>
      </c>
      <c r="U1012" s="110" t="s">
        <v>2918</v>
      </c>
      <c r="V1012" s="119" t="n">
        <v>9.67</v>
      </c>
      <c r="W1012" s="119"/>
      <c r="X1012" s="110" t="s">
        <v>2063</v>
      </c>
      <c r="Y1012" s="110" t="s">
        <v>2064</v>
      </c>
      <c r="Z1012" s="110" t="s">
        <v>3016</v>
      </c>
      <c r="AA1012" s="110" t="s">
        <v>537</v>
      </c>
      <c r="AB1012" s="110" t="s">
        <v>244</v>
      </c>
      <c r="AC1012" s="110" t="s">
        <v>538</v>
      </c>
      <c r="AD1012" s="110" t="n">
        <f aca="false">IF(OR(F1012="",Q1012="",R1012=""),"",ROUND(IF(P1012="incl.",F1012/(1+Q1012),F1012)/IF(S1012="per pack",R1012,1),2))</f>
        <v>9.67</v>
      </c>
      <c r="AE1012" s="110" t="str">
        <f aca="false">IF(AND(AC1012="yes",ISNUMBER(F1012),IF(Compare!$H$5="All mapped",TRUE(),IF(Compare!$H$5="EXACT only",J1012="EXACT",OR(J1012="EXACT",J1012="CLOSE")))),"yes","no")</f>
        <v>yes</v>
      </c>
      <c r="AF1012" s="110" t="n">
        <f aca="false">IF(ISNUMBER(H1012),COUNTIFS($B$7:$B$3000,B1012,$C$7:$C$3000,C1012,$H$7:$H$3000,"&lt;"&amp;H1012,$AH$7:$AH$3000,"yes")+COUNTIFS($B$7:B1012,B1012,$C$7:C1012,C1012,$H$7:H1012,H1012,$AH$7:AH1012,"yes"),"")</f>
        <v>2</v>
      </c>
      <c r="AG1012" s="110" t="n">
        <f aca="false">IF(ISNUMBER(I1012),COUNTIFS($B$7:$B$3000,B1012,$C$7:$C$3000,C1012,$I$7:$I$3000,"&lt;"&amp;I1012,$AI$7:$AI$3000,"yes")+COUNTIFS($B$7:B1012,B1012,$C$7:C1012,C1012,$I$7:I1012,I1012,$AI$7:AI1012,"yes"),"")</f>
        <v>2</v>
      </c>
      <c r="AH1012" s="110" t="str">
        <f aca="false">IF(ISNUMBER(H1012),"yes","no")</f>
        <v>yes</v>
      </c>
      <c r="AI1012" s="110" t="str">
        <f aca="false">IF(ISNUMBER(I1012),"yes","no")</f>
        <v>yes</v>
      </c>
      <c r="AJ1012" s="120" t="n">
        <v>46297</v>
      </c>
      <c r="AK1012" s="110"/>
    </row>
    <row r="1013" customFormat="false" ht="35.05" hidden="false" customHeight="false" outlineLevel="0" collapsed="false">
      <c r="B1013" s="36" t="s">
        <v>70</v>
      </c>
      <c r="C1013" s="98" t="s">
        <v>18</v>
      </c>
      <c r="D1013" s="98" t="s">
        <v>369</v>
      </c>
      <c r="E1013" s="110" t="s">
        <v>3351</v>
      </c>
      <c r="F1013" s="99" t="n">
        <v>26.29</v>
      </c>
      <c r="G1013" s="98" t="s">
        <v>244</v>
      </c>
      <c r="H1013" s="112" t="n">
        <f aca="false">IF(AND(AE1013="yes",ISNUMBER(AD1013)),AD1013,"")</f>
        <v>21.37</v>
      </c>
      <c r="I1013" s="95" t="n">
        <f aca="false">IF(AND(AE1013="yes",ISNUMBER(AD1013),ISNUMBER(INDEX(Sources!$G$7:$G$10,MATCH(AB1013,Sources!$B$7:$B$10,0)))),ROUND(AD1013/INDEX(Sources!$G$7:$G$10,MATCH(AB1013,Sources!$B$7:$B$10,0)),6),"")</f>
        <v>21.37</v>
      </c>
      <c r="J1013" s="98" t="s">
        <v>530</v>
      </c>
      <c r="K1013" s="98" t="s">
        <v>2059</v>
      </c>
      <c r="L1013" s="96"/>
      <c r="M1013" s="110" t="s">
        <v>3352</v>
      </c>
      <c r="N1013" s="117" t="s">
        <v>3353</v>
      </c>
      <c r="O1013" s="110" t="s">
        <v>565</v>
      </c>
      <c r="P1013" s="110" t="s">
        <v>265</v>
      </c>
      <c r="Q1013" s="118" t="n">
        <v>0.23</v>
      </c>
      <c r="R1013" s="110" t="n">
        <v>1</v>
      </c>
      <c r="S1013" s="110" t="s">
        <v>632</v>
      </c>
      <c r="T1013" s="110" t="s">
        <v>530</v>
      </c>
      <c r="U1013" s="110" t="s">
        <v>2918</v>
      </c>
      <c r="V1013" s="119" t="n">
        <v>21.37</v>
      </c>
      <c r="W1013" s="119"/>
      <c r="X1013" s="110" t="s">
        <v>2063</v>
      </c>
      <c r="Y1013" s="110" t="s">
        <v>2064</v>
      </c>
      <c r="Z1013" s="110" t="s">
        <v>3354</v>
      </c>
      <c r="AA1013" s="110" t="s">
        <v>537</v>
      </c>
      <c r="AB1013" s="110" t="s">
        <v>244</v>
      </c>
      <c r="AC1013" s="110" t="s">
        <v>538</v>
      </c>
      <c r="AD1013" s="110" t="n">
        <f aca="false">IF(OR(F1013="",Q1013="",R1013=""),"",ROUND(IF(P1013="incl.",F1013/(1+Q1013),F1013)/IF(S1013="per pack",R1013,1),2))</f>
        <v>21.37</v>
      </c>
      <c r="AE1013" s="110" t="str">
        <f aca="false">IF(AND(AC1013="yes",ISNUMBER(F1013),IF(Compare!$H$5="All mapped",TRUE(),IF(Compare!$H$5="EXACT only",J1013="EXACT",OR(J1013="EXACT",J1013="CLOSE")))),"yes","no")</f>
        <v>yes</v>
      </c>
      <c r="AF1013" s="110" t="n">
        <f aca="false">IF(ISNUMBER(H1013),COUNTIFS($B$7:$B$3000,B1013,$C$7:$C$3000,C1013,$H$7:$H$3000,"&lt;"&amp;H1013,$AH$7:$AH$3000,"yes")+COUNTIFS($B$7:B1013,B1013,$C$7:C1013,C1013,$H$7:H1013,H1013,$AH$7:AH1013,"yes"),"")</f>
        <v>5</v>
      </c>
      <c r="AG1013" s="110" t="n">
        <f aca="false">IF(ISNUMBER(I1013),COUNTIFS($B$7:$B$3000,B1013,$C$7:$C$3000,C1013,$I$7:$I$3000,"&lt;"&amp;I1013,$AI$7:$AI$3000,"yes")+COUNTIFS($B$7:B1013,B1013,$C$7:C1013,C1013,$I$7:I1013,I1013,$AI$7:AI1013,"yes"),"")</f>
        <v>5</v>
      </c>
      <c r="AH1013" s="110" t="str">
        <f aca="false">IF(ISNUMBER(H1013),"yes","no")</f>
        <v>yes</v>
      </c>
      <c r="AI1013" s="110" t="str">
        <f aca="false">IF(ISNUMBER(I1013),"yes","no")</f>
        <v>yes</v>
      </c>
      <c r="AJ1013" s="120" t="n">
        <v>46297</v>
      </c>
      <c r="AK1013" s="110"/>
    </row>
    <row r="1014" customFormat="false" ht="35.05" hidden="false" customHeight="false" outlineLevel="0" collapsed="false">
      <c r="B1014" s="36" t="s">
        <v>70</v>
      </c>
      <c r="C1014" s="98" t="s">
        <v>18</v>
      </c>
      <c r="D1014" s="98" t="s">
        <v>3021</v>
      </c>
      <c r="E1014" s="110" t="s">
        <v>3340</v>
      </c>
      <c r="F1014" s="99" t="n">
        <v>7.51</v>
      </c>
      <c r="G1014" s="98" t="s">
        <v>244</v>
      </c>
      <c r="H1014" s="112" t="n">
        <f aca="false">IF(AND(AE1014="yes",ISNUMBER(AD1014)),AD1014,"")</f>
        <v>7.51</v>
      </c>
      <c r="I1014" s="95" t="n">
        <f aca="false">IF(AND(AE1014="yes",ISNUMBER(AD1014),ISNUMBER(INDEX(Sources!$G$7:$G$10,MATCH(AB1014,Sources!$B$7:$B$10,0)))),ROUND(AD1014/INDEX(Sources!$G$7:$G$10,MATCH(AB1014,Sources!$B$7:$B$10,0)),6),"")</f>
        <v>7.51</v>
      </c>
      <c r="J1014" s="98" t="s">
        <v>530</v>
      </c>
      <c r="K1014" s="98" t="s">
        <v>2059</v>
      </c>
      <c r="L1014" s="96"/>
      <c r="M1014" s="110" t="s">
        <v>3355</v>
      </c>
      <c r="N1014" s="117" t="s">
        <v>3023</v>
      </c>
      <c r="O1014" s="110" t="s">
        <v>3024</v>
      </c>
      <c r="P1014" s="110" t="s">
        <v>590</v>
      </c>
      <c r="Q1014" s="118" t="n">
        <v>0.23</v>
      </c>
      <c r="R1014" s="110" t="n">
        <v>1</v>
      </c>
      <c r="S1014" s="110" t="s">
        <v>632</v>
      </c>
      <c r="T1014" s="110" t="s">
        <v>530</v>
      </c>
      <c r="U1014" s="110" t="s">
        <v>2913</v>
      </c>
      <c r="V1014" s="119" t="n">
        <v>7.51</v>
      </c>
      <c r="W1014" s="119"/>
      <c r="X1014" s="110" t="s">
        <v>2063</v>
      </c>
      <c r="Y1014" s="110" t="s">
        <v>2064</v>
      </c>
      <c r="Z1014" s="110" t="s">
        <v>3109</v>
      </c>
      <c r="AA1014" s="110" t="s">
        <v>537</v>
      </c>
      <c r="AB1014" s="110" t="s">
        <v>244</v>
      </c>
      <c r="AC1014" s="110" t="s">
        <v>538</v>
      </c>
      <c r="AD1014" s="110" t="n">
        <f aca="false">IF(OR(F1014="",Q1014="",R1014=""),"",ROUND(IF(P1014="incl.",F1014/(1+Q1014),F1014)/IF(S1014="per pack",R1014,1),2))</f>
        <v>7.51</v>
      </c>
      <c r="AE1014" s="110" t="str">
        <f aca="false">IF(AND(AC1014="yes",ISNUMBER(F1014),IF(Compare!$H$5="All mapped",TRUE(),IF(Compare!$H$5="EXACT only",J1014="EXACT",OR(J1014="EXACT",J1014="CLOSE")))),"yes","no")</f>
        <v>yes</v>
      </c>
      <c r="AF1014" s="110" t="n">
        <f aca="false">IF(ISNUMBER(H1014),COUNTIFS($B$7:$B$3000,B1014,$C$7:$C$3000,C1014,$H$7:$H$3000,"&lt;"&amp;H1014,$AH$7:$AH$3000,"yes")+COUNTIFS($B$7:B1014,B1014,$C$7:C1014,C1014,$H$7:H1014,H1014,$AH$7:AH1014,"yes"),"")</f>
        <v>1</v>
      </c>
      <c r="AG1014" s="110" t="n">
        <f aca="false">IF(ISNUMBER(I1014),COUNTIFS($B$7:$B$3000,B1014,$C$7:$C$3000,C1014,$I$7:$I$3000,"&lt;"&amp;I1014,$AI$7:$AI$3000,"yes")+COUNTIFS($B$7:B1014,B1014,$C$7:C1014,C1014,$I$7:I1014,I1014,$AI$7:AI1014,"yes"),"")</f>
        <v>1</v>
      </c>
      <c r="AH1014" s="110" t="str">
        <f aca="false">IF(ISNUMBER(H1014),"yes","no")</f>
        <v>yes</v>
      </c>
      <c r="AI1014" s="110" t="str">
        <f aca="false">IF(ISNUMBER(I1014),"yes","no")</f>
        <v>yes</v>
      </c>
      <c r="AJ1014" s="120" t="n">
        <v>46297</v>
      </c>
      <c r="AK1014" s="110"/>
    </row>
    <row r="1015" customFormat="false" ht="35.05" hidden="false" customHeight="false" outlineLevel="0" collapsed="false">
      <c r="B1015" s="36" t="s">
        <v>71</v>
      </c>
      <c r="C1015" s="98" t="s">
        <v>14</v>
      </c>
      <c r="D1015" s="98" t="s">
        <v>373</v>
      </c>
      <c r="E1015" s="110" t="s">
        <v>3356</v>
      </c>
      <c r="F1015" s="99" t="n">
        <v>25.1</v>
      </c>
      <c r="G1015" s="98" t="s">
        <v>374</v>
      </c>
      <c r="H1015" s="112" t="n">
        <f aca="false">IF(AND(AE1015="yes",ISNUMBER(AD1015)),AD1015,"")</f>
        <v>25.1</v>
      </c>
      <c r="I1015" s="95" t="n">
        <f aca="false">IF(AND(AE1015="yes",ISNUMBER(AD1015),ISNUMBER(INDEX(Sources!$G$7:$G$10,MATCH(AB1015,Sources!$B$7:$B$10,0)))),ROUND(AD1015/INDEX(Sources!$G$7:$G$10,MATCH(AB1015,Sources!$B$7:$B$10,0)),6),"")</f>
        <v>4.755912</v>
      </c>
      <c r="J1015" s="98" t="s">
        <v>530</v>
      </c>
      <c r="K1015" s="98" t="s">
        <v>2059</v>
      </c>
      <c r="L1015" s="96"/>
      <c r="M1015" s="110" t="s">
        <v>3357</v>
      </c>
      <c r="N1015" s="117" t="s">
        <v>3358</v>
      </c>
      <c r="O1015" s="110" t="s">
        <v>2912</v>
      </c>
      <c r="P1015" s="110" t="s">
        <v>590</v>
      </c>
      <c r="Q1015" s="118" t="n">
        <v>0.21</v>
      </c>
      <c r="R1015" s="110" t="n">
        <v>1</v>
      </c>
      <c r="S1015" s="110" t="s">
        <v>632</v>
      </c>
      <c r="T1015" s="110" t="s">
        <v>530</v>
      </c>
      <c r="U1015" s="110" t="s">
        <v>2913</v>
      </c>
      <c r="V1015" s="119" t="n">
        <v>25.1</v>
      </c>
      <c r="W1015" s="119"/>
      <c r="X1015" s="110" t="s">
        <v>2063</v>
      </c>
      <c r="Y1015" s="110" t="s">
        <v>2064</v>
      </c>
      <c r="Z1015" s="110"/>
      <c r="AA1015" s="110" t="s">
        <v>537</v>
      </c>
      <c r="AB1015" s="110" t="s">
        <v>374</v>
      </c>
      <c r="AC1015" s="110" t="s">
        <v>538</v>
      </c>
      <c r="AD1015" s="110" t="n">
        <f aca="false">IF(OR(F1015="",Q1015="",R1015=""),"",ROUND(IF(P1015="incl.",F1015/(1+Q1015),F1015)/IF(S1015="per pack",R1015,1),2))</f>
        <v>25.1</v>
      </c>
      <c r="AE1015" s="110" t="str">
        <f aca="false">IF(AND(AC1015="yes",ISNUMBER(F1015),IF(Compare!$H$5="All mapped",TRUE(),IF(Compare!$H$5="EXACT only",J1015="EXACT",OR(J1015="EXACT",J1015="CLOSE")))),"yes","no")</f>
        <v>yes</v>
      </c>
      <c r="AF1015" s="110" t="n">
        <f aca="false">IF(ISNUMBER(H1015),COUNTIFS($B$7:$B$3000,B1015,$C$7:$C$3000,C1015,$H$7:$H$3000,"&lt;"&amp;H1015,$AH$7:$AH$3000,"yes")+COUNTIFS($B$7:B1015,B1015,$C$7:C1015,C1015,$H$7:H1015,H1015,$AH$7:AH1015,"yes"),"")</f>
        <v>3</v>
      </c>
      <c r="AG1015" s="110" t="n">
        <f aca="false">IF(ISNUMBER(I1015),COUNTIFS($B$7:$B$3000,B1015,$C$7:$C$3000,C1015,$I$7:$I$3000,"&lt;"&amp;I1015,$AI$7:$AI$3000,"yes")+COUNTIFS($B$7:B1015,B1015,$C$7:C1015,C1015,$I$7:I1015,I1015,$AI$7:AI1015,"yes"),"")</f>
        <v>3</v>
      </c>
      <c r="AH1015" s="110" t="str">
        <f aca="false">IF(ISNUMBER(H1015),"yes","no")</f>
        <v>yes</v>
      </c>
      <c r="AI1015" s="110" t="str">
        <f aca="false">IF(ISNUMBER(I1015),"yes","no")</f>
        <v>yes</v>
      </c>
      <c r="AJ1015" s="120" t="n">
        <v>46297</v>
      </c>
      <c r="AK1015" s="110"/>
    </row>
    <row r="1016" customFormat="false" ht="23.85" hidden="false" customHeight="false" outlineLevel="0" collapsed="false">
      <c r="B1016" s="36" t="s">
        <v>71</v>
      </c>
      <c r="C1016" s="98" t="s">
        <v>14</v>
      </c>
      <c r="D1016" s="98" t="s">
        <v>378</v>
      </c>
      <c r="E1016" s="110" t="s">
        <v>3359</v>
      </c>
      <c r="F1016" s="99" t="n">
        <v>30.61</v>
      </c>
      <c r="G1016" s="98" t="s">
        <v>374</v>
      </c>
      <c r="H1016" s="112" t="n">
        <f aca="false">IF(AND(AE1016="yes",ISNUMBER(AD1016)),AD1016,"")</f>
        <v>25.3</v>
      </c>
      <c r="I1016" s="95" t="n">
        <f aca="false">IF(AND(AE1016="yes",ISNUMBER(AD1016),ISNUMBER(INDEX(Sources!$G$7:$G$10,MATCH(AB1016,Sources!$B$7:$B$10,0)))),ROUND(AD1016/INDEX(Sources!$G$7:$G$10,MATCH(AB1016,Sources!$B$7:$B$10,0)),6),"")</f>
        <v>4.793808</v>
      </c>
      <c r="J1016" s="98" t="s">
        <v>530</v>
      </c>
      <c r="K1016" s="98" t="s">
        <v>2059</v>
      </c>
      <c r="L1016" s="96"/>
      <c r="M1016" s="110" t="s">
        <v>3360</v>
      </c>
      <c r="N1016" s="117" t="s">
        <v>3361</v>
      </c>
      <c r="O1016" s="110" t="s">
        <v>2917</v>
      </c>
      <c r="P1016" s="110" t="s">
        <v>265</v>
      </c>
      <c r="Q1016" s="118" t="n">
        <v>0.21</v>
      </c>
      <c r="R1016" s="110" t="n">
        <v>1</v>
      </c>
      <c r="S1016" s="110" t="s">
        <v>632</v>
      </c>
      <c r="T1016" s="110" t="s">
        <v>530</v>
      </c>
      <c r="U1016" s="110" t="s">
        <v>2918</v>
      </c>
      <c r="V1016" s="119" t="n">
        <v>25.3</v>
      </c>
      <c r="W1016" s="119"/>
      <c r="X1016" s="110" t="s">
        <v>2063</v>
      </c>
      <c r="Y1016" s="110" t="s">
        <v>2064</v>
      </c>
      <c r="Z1016" s="110"/>
      <c r="AA1016" s="110" t="s">
        <v>537</v>
      </c>
      <c r="AB1016" s="110" t="s">
        <v>374</v>
      </c>
      <c r="AC1016" s="110" t="s">
        <v>538</v>
      </c>
      <c r="AD1016" s="110" t="n">
        <f aca="false">IF(OR(F1016="",Q1016="",R1016=""),"",ROUND(IF(P1016="incl.",F1016/(1+Q1016),F1016)/IF(S1016="per pack",R1016,1),2))</f>
        <v>25.3</v>
      </c>
      <c r="AE1016" s="110" t="str">
        <f aca="false">IF(AND(AC1016="yes",ISNUMBER(F1016),IF(Compare!$H$5="All mapped",TRUE(),IF(Compare!$H$5="EXACT only",J1016="EXACT",OR(J1016="EXACT",J1016="CLOSE")))),"yes","no")</f>
        <v>yes</v>
      </c>
      <c r="AF1016" s="110" t="n">
        <f aca="false">IF(ISNUMBER(H1016),COUNTIFS($B$7:$B$3000,B1016,$C$7:$C$3000,C1016,$H$7:$H$3000,"&lt;"&amp;H1016,$AH$7:$AH$3000,"yes")+COUNTIFS($B$7:B1016,B1016,$C$7:C1016,C1016,$H$7:H1016,H1016,$AH$7:AH1016,"yes"),"")</f>
        <v>4</v>
      </c>
      <c r="AG1016" s="110" t="n">
        <f aca="false">IF(ISNUMBER(I1016),COUNTIFS($B$7:$B$3000,B1016,$C$7:$C$3000,C1016,$I$7:$I$3000,"&lt;"&amp;I1016,$AI$7:$AI$3000,"yes")+COUNTIFS($B$7:B1016,B1016,$C$7:C1016,C1016,$I$7:I1016,I1016,$AI$7:AI1016,"yes"),"")</f>
        <v>4</v>
      </c>
      <c r="AH1016" s="110" t="str">
        <f aca="false">IF(ISNUMBER(H1016),"yes","no")</f>
        <v>yes</v>
      </c>
      <c r="AI1016" s="110" t="str">
        <f aca="false">IF(ISNUMBER(I1016),"yes","no")</f>
        <v>yes</v>
      </c>
      <c r="AJ1016" s="120" t="n">
        <v>46297</v>
      </c>
      <c r="AK1016" s="110"/>
    </row>
    <row r="1017" customFormat="false" ht="35.05" hidden="false" customHeight="false" outlineLevel="0" collapsed="false">
      <c r="B1017" s="36" t="s">
        <v>71</v>
      </c>
      <c r="C1017" s="98" t="s">
        <v>14</v>
      </c>
      <c r="D1017" s="98" t="s">
        <v>346</v>
      </c>
      <c r="E1017" s="110" t="s">
        <v>3362</v>
      </c>
      <c r="F1017" s="99" t="n">
        <v>48.24</v>
      </c>
      <c r="G1017" s="98" t="s">
        <v>374</v>
      </c>
      <c r="H1017" s="112" t="n">
        <f aca="false">IF(AND(AE1017="yes",ISNUMBER(AD1017)),AD1017,"")</f>
        <v>39.87</v>
      </c>
      <c r="I1017" s="95" t="n">
        <f aca="false">IF(AND(AE1017="yes",ISNUMBER(AD1017),ISNUMBER(INDEX(Sources!$G$7:$G$10,MATCH(AB1017,Sources!$B$7:$B$10,0)))),ROUND(AD1017/INDEX(Sources!$G$7:$G$10,MATCH(AB1017,Sources!$B$7:$B$10,0)),6),"")</f>
        <v>7.554511</v>
      </c>
      <c r="J1017" s="98" t="s">
        <v>530</v>
      </c>
      <c r="K1017" s="98" t="s">
        <v>2059</v>
      </c>
      <c r="L1017" s="96"/>
      <c r="M1017" s="110" t="s">
        <v>3363</v>
      </c>
      <c r="N1017" s="117" t="s">
        <v>3364</v>
      </c>
      <c r="O1017" s="110" t="s">
        <v>565</v>
      </c>
      <c r="P1017" s="110" t="s">
        <v>265</v>
      </c>
      <c r="Q1017" s="118" t="n">
        <v>0.21</v>
      </c>
      <c r="R1017" s="110" t="n">
        <v>1</v>
      </c>
      <c r="S1017" s="110" t="s">
        <v>632</v>
      </c>
      <c r="T1017" s="110" t="s">
        <v>530</v>
      </c>
      <c r="U1017" s="110" t="s">
        <v>2918</v>
      </c>
      <c r="V1017" s="119" t="n">
        <v>39.87</v>
      </c>
      <c r="W1017" s="119"/>
      <c r="X1017" s="110" t="s">
        <v>2063</v>
      </c>
      <c r="Y1017" s="110" t="s">
        <v>2064</v>
      </c>
      <c r="Z1017" s="110"/>
      <c r="AA1017" s="110" t="s">
        <v>537</v>
      </c>
      <c r="AB1017" s="110" t="s">
        <v>374</v>
      </c>
      <c r="AC1017" s="110" t="s">
        <v>538</v>
      </c>
      <c r="AD1017" s="110" t="n">
        <f aca="false">IF(OR(F1017="",Q1017="",R1017=""),"",ROUND(IF(P1017="incl.",F1017/(1+Q1017),F1017)/IF(S1017="per pack",R1017,1),2))</f>
        <v>39.87</v>
      </c>
      <c r="AE1017" s="110" t="str">
        <f aca="false">IF(AND(AC1017="yes",ISNUMBER(F1017),IF(Compare!$H$5="All mapped",TRUE(),IF(Compare!$H$5="EXACT only",J1017="EXACT",OR(J1017="EXACT",J1017="CLOSE")))),"yes","no")</f>
        <v>yes</v>
      </c>
      <c r="AF1017" s="110" t="n">
        <f aca="false">IF(ISNUMBER(H1017),COUNTIFS($B$7:$B$3000,B1017,$C$7:$C$3000,C1017,$H$7:$H$3000,"&lt;"&amp;H1017,$AH$7:$AH$3000,"yes")+COUNTIFS($B$7:B1017,B1017,$C$7:C1017,C1017,$H$7:H1017,H1017,$AH$7:AH1017,"yes"),"")</f>
        <v>5</v>
      </c>
      <c r="AG1017" s="110" t="n">
        <f aca="false">IF(ISNUMBER(I1017),COUNTIFS($B$7:$B$3000,B1017,$C$7:$C$3000,C1017,$I$7:$I$3000,"&lt;"&amp;I1017,$AI$7:$AI$3000,"yes")+COUNTIFS($B$7:B1017,B1017,$C$7:C1017,C1017,$I$7:I1017,I1017,$AI$7:AI1017,"yes"),"")</f>
        <v>5</v>
      </c>
      <c r="AH1017" s="110" t="str">
        <f aca="false">IF(ISNUMBER(H1017),"yes","no")</f>
        <v>yes</v>
      </c>
      <c r="AI1017" s="110" t="str">
        <f aca="false">IF(ISNUMBER(I1017),"yes","no")</f>
        <v>yes</v>
      </c>
      <c r="AJ1017" s="120" t="n">
        <v>46297</v>
      </c>
      <c r="AK1017" s="110"/>
    </row>
    <row r="1018" customFormat="false" ht="35.05" hidden="false" customHeight="false" outlineLevel="0" collapsed="false">
      <c r="B1018" s="36" t="s">
        <v>71</v>
      </c>
      <c r="C1018" s="98" t="s">
        <v>14</v>
      </c>
      <c r="D1018" s="98" t="s">
        <v>395</v>
      </c>
      <c r="E1018" s="110" t="s">
        <v>3365</v>
      </c>
      <c r="F1018" s="99" t="n">
        <v>2.4</v>
      </c>
      <c r="G1018" s="98" t="s">
        <v>244</v>
      </c>
      <c r="H1018" s="112" t="n">
        <f aca="false">IF(AND(AE1018="yes",ISNUMBER(AD1018)),AD1018,"")</f>
        <v>2.4</v>
      </c>
      <c r="I1018" s="95" t="n">
        <f aca="false">IF(AND(AE1018="yes",ISNUMBER(AD1018),ISNUMBER(INDEX(Sources!$G$7:$G$10,MATCH(AB1018,Sources!$B$7:$B$10,0)))),ROUND(AD1018/INDEX(Sources!$G$7:$G$10,MATCH(AB1018,Sources!$B$7:$B$10,0)),6),"")</f>
        <v>2.4</v>
      </c>
      <c r="J1018" s="98" t="s">
        <v>530</v>
      </c>
      <c r="K1018" s="98" t="s">
        <v>2059</v>
      </c>
      <c r="L1018" s="96"/>
      <c r="M1018" s="110" t="s">
        <v>3366</v>
      </c>
      <c r="N1018" s="117" t="s">
        <v>3367</v>
      </c>
      <c r="O1018" s="110" t="s">
        <v>572</v>
      </c>
      <c r="P1018" s="110" t="s">
        <v>590</v>
      </c>
      <c r="Q1018" s="118" t="n">
        <v>0.21</v>
      </c>
      <c r="R1018" s="110" t="n">
        <v>1</v>
      </c>
      <c r="S1018" s="110" t="s">
        <v>632</v>
      </c>
      <c r="T1018" s="110" t="s">
        <v>530</v>
      </c>
      <c r="U1018" s="110" t="s">
        <v>2913</v>
      </c>
      <c r="V1018" s="119" t="n">
        <v>2.4</v>
      </c>
      <c r="W1018" s="119"/>
      <c r="X1018" s="110" t="s">
        <v>2063</v>
      </c>
      <c r="Y1018" s="110" t="s">
        <v>2064</v>
      </c>
      <c r="Z1018" s="110" t="s">
        <v>2925</v>
      </c>
      <c r="AA1018" s="110" t="s">
        <v>537</v>
      </c>
      <c r="AB1018" s="110" t="s">
        <v>244</v>
      </c>
      <c r="AC1018" s="110" t="s">
        <v>538</v>
      </c>
      <c r="AD1018" s="110" t="n">
        <f aca="false">IF(OR(F1018="",Q1018="",R1018=""),"",ROUND(IF(P1018="incl.",F1018/(1+Q1018),F1018)/IF(S1018="per pack",R1018,1),2))</f>
        <v>2.4</v>
      </c>
      <c r="AE1018" s="110" t="str">
        <f aca="false">IF(AND(AC1018="yes",ISNUMBER(F1018),IF(Compare!$H$5="All mapped",TRUE(),IF(Compare!$H$5="EXACT only",J1018="EXACT",OR(J1018="EXACT",J1018="CLOSE")))),"yes","no")</f>
        <v>yes</v>
      </c>
      <c r="AF1018" s="110" t="n">
        <f aca="false">IF(ISNUMBER(H1018),COUNTIFS($B$7:$B$3000,B1018,$C$7:$C$3000,C1018,$H$7:$H$3000,"&lt;"&amp;H1018,$AH$7:$AH$3000,"yes")+COUNTIFS($B$7:B1018,B1018,$C$7:C1018,C1018,$H$7:H1018,H1018,$AH$7:AH1018,"yes"),"")</f>
        <v>1</v>
      </c>
      <c r="AG1018" s="110" t="n">
        <f aca="false">IF(ISNUMBER(I1018),COUNTIFS($B$7:$B$3000,B1018,$C$7:$C$3000,C1018,$I$7:$I$3000,"&lt;"&amp;I1018,$AI$7:$AI$3000,"yes")+COUNTIFS($B$7:B1018,B1018,$C$7:C1018,C1018,$I$7:I1018,I1018,$AI$7:AI1018,"yes"),"")</f>
        <v>1</v>
      </c>
      <c r="AH1018" s="110" t="str">
        <f aca="false">IF(ISNUMBER(H1018),"yes","no")</f>
        <v>yes</v>
      </c>
      <c r="AI1018" s="110" t="str">
        <f aca="false">IF(ISNUMBER(I1018),"yes","no")</f>
        <v>yes</v>
      </c>
      <c r="AJ1018" s="120" t="n">
        <v>46297</v>
      </c>
      <c r="AK1018" s="110"/>
    </row>
    <row r="1019" customFormat="false" ht="23.85" hidden="false" customHeight="false" outlineLevel="0" collapsed="false">
      <c r="B1019" s="36" t="s">
        <v>71</v>
      </c>
      <c r="C1019" s="98" t="s">
        <v>14</v>
      </c>
      <c r="D1019" s="98" t="s">
        <v>403</v>
      </c>
      <c r="E1019" s="110" t="s">
        <v>3368</v>
      </c>
      <c r="F1019" s="99" t="n">
        <v>13.49</v>
      </c>
      <c r="G1019" s="98" t="s">
        <v>374</v>
      </c>
      <c r="H1019" s="112" t="n">
        <f aca="false">IF(AND(AE1019="yes",ISNUMBER(AD1019)),AD1019,"")</f>
        <v>13.49</v>
      </c>
      <c r="I1019" s="95" t="n">
        <f aca="false">IF(AND(AE1019="yes",ISNUMBER(AD1019),ISNUMBER(INDEX(Sources!$G$7:$G$10,MATCH(AB1019,Sources!$B$7:$B$10,0)))),ROUND(AD1019/INDEX(Sources!$G$7:$G$10,MATCH(AB1019,Sources!$B$7:$B$10,0)),6),"")</f>
        <v>2.556066</v>
      </c>
      <c r="J1019" s="98" t="s">
        <v>530</v>
      </c>
      <c r="K1019" s="98" t="s">
        <v>2059</v>
      </c>
      <c r="L1019" s="96"/>
      <c r="M1019" s="110" t="s">
        <v>3369</v>
      </c>
      <c r="N1019" s="117" t="s">
        <v>3370</v>
      </c>
      <c r="O1019" s="110" t="s">
        <v>1138</v>
      </c>
      <c r="P1019" s="110" t="s">
        <v>590</v>
      </c>
      <c r="Q1019" s="118" t="n">
        <v>0.21</v>
      </c>
      <c r="R1019" s="110" t="n">
        <v>1</v>
      </c>
      <c r="S1019" s="110" t="s">
        <v>632</v>
      </c>
      <c r="T1019" s="110" t="s">
        <v>530</v>
      </c>
      <c r="U1019" s="110" t="s">
        <v>2913</v>
      </c>
      <c r="V1019" s="119" t="n">
        <v>13.49</v>
      </c>
      <c r="W1019" s="119"/>
      <c r="X1019" s="110" t="s">
        <v>2063</v>
      </c>
      <c r="Y1019" s="110" t="s">
        <v>2064</v>
      </c>
      <c r="Z1019" s="110" t="s">
        <v>3371</v>
      </c>
      <c r="AA1019" s="110" t="s">
        <v>537</v>
      </c>
      <c r="AB1019" s="110" t="s">
        <v>374</v>
      </c>
      <c r="AC1019" s="110" t="s">
        <v>538</v>
      </c>
      <c r="AD1019" s="110" t="n">
        <f aca="false">IF(OR(F1019="",Q1019="",R1019=""),"",ROUND(IF(P1019="incl.",F1019/(1+Q1019),F1019)/IF(S1019="per pack",R1019,1),2))</f>
        <v>13.49</v>
      </c>
      <c r="AE1019" s="110" t="str">
        <f aca="false">IF(AND(AC1019="yes",ISNUMBER(F1019),IF(Compare!$H$5="All mapped",TRUE(),IF(Compare!$H$5="EXACT only",J1019="EXACT",OR(J1019="EXACT",J1019="CLOSE")))),"yes","no")</f>
        <v>yes</v>
      </c>
      <c r="AF1019" s="110" t="n">
        <f aca="false">IF(ISNUMBER(H1019),COUNTIFS($B$7:$B$3000,B1019,$C$7:$C$3000,C1019,$H$7:$H$3000,"&lt;"&amp;H1019,$AH$7:$AH$3000,"yes")+COUNTIFS($B$7:B1019,B1019,$C$7:C1019,C1019,$H$7:H1019,H1019,$AH$7:AH1019,"yes"),"")</f>
        <v>2</v>
      </c>
      <c r="AG1019" s="110" t="n">
        <f aca="false">IF(ISNUMBER(I1019),COUNTIFS($B$7:$B$3000,B1019,$C$7:$C$3000,C1019,$I$7:$I$3000,"&lt;"&amp;I1019,$AI$7:$AI$3000,"yes")+COUNTIFS($B$7:B1019,B1019,$C$7:C1019,C1019,$I$7:I1019,I1019,$AI$7:AI1019,"yes"),"")</f>
        <v>2</v>
      </c>
      <c r="AH1019" s="110" t="str">
        <f aca="false">IF(ISNUMBER(H1019),"yes","no")</f>
        <v>yes</v>
      </c>
      <c r="AI1019" s="110" t="str">
        <f aca="false">IF(ISNUMBER(I1019),"yes","no")</f>
        <v>yes</v>
      </c>
      <c r="AJ1019" s="120" t="n">
        <v>46297</v>
      </c>
      <c r="AK1019" s="110"/>
    </row>
    <row r="1020" customFormat="false" ht="35.05" hidden="false" customHeight="false" outlineLevel="0" collapsed="false">
      <c r="B1020" s="36" t="s">
        <v>71</v>
      </c>
      <c r="C1020" s="98" t="s">
        <v>15</v>
      </c>
      <c r="D1020" s="98" t="s">
        <v>243</v>
      </c>
      <c r="E1020" s="110" t="s">
        <v>3372</v>
      </c>
      <c r="F1020" s="99" t="n">
        <v>3.89</v>
      </c>
      <c r="G1020" s="98" t="s">
        <v>244</v>
      </c>
      <c r="H1020" s="112" t="n">
        <f aca="false">IF(AND(AE1020="yes",ISNUMBER(AD1020)),AD1020,"")</f>
        <v>3.89</v>
      </c>
      <c r="I1020" s="95" t="n">
        <f aca="false">IF(AND(AE1020="yes",ISNUMBER(AD1020),ISNUMBER(INDEX(Sources!$G$7:$G$10,MATCH(AB1020,Sources!$B$7:$B$10,0)))),ROUND(AD1020/INDEX(Sources!$G$7:$G$10,MATCH(AB1020,Sources!$B$7:$B$10,0)),6),"")</f>
        <v>3.89</v>
      </c>
      <c r="J1020" s="98" t="s">
        <v>530</v>
      </c>
      <c r="K1020" s="98" t="s">
        <v>2059</v>
      </c>
      <c r="L1020" s="96"/>
      <c r="M1020" s="110" t="s">
        <v>3373</v>
      </c>
      <c r="N1020" s="117" t="s">
        <v>3374</v>
      </c>
      <c r="O1020" s="110" t="s">
        <v>2932</v>
      </c>
      <c r="P1020" s="110" t="s">
        <v>590</v>
      </c>
      <c r="Q1020" s="118" t="n">
        <v>0.2</v>
      </c>
      <c r="R1020" s="110" t="n">
        <v>1</v>
      </c>
      <c r="S1020" s="110" t="s">
        <v>632</v>
      </c>
      <c r="T1020" s="110" t="s">
        <v>530</v>
      </c>
      <c r="U1020" s="110" t="s">
        <v>2913</v>
      </c>
      <c r="V1020" s="119" t="n">
        <v>3.89</v>
      </c>
      <c r="W1020" s="119"/>
      <c r="X1020" s="110" t="s">
        <v>2063</v>
      </c>
      <c r="Y1020" s="110" t="s">
        <v>2064</v>
      </c>
      <c r="Z1020" s="110" t="s">
        <v>2164</v>
      </c>
      <c r="AA1020" s="110" t="s">
        <v>537</v>
      </c>
      <c r="AB1020" s="110" t="s">
        <v>244</v>
      </c>
      <c r="AC1020" s="110" t="s">
        <v>538</v>
      </c>
      <c r="AD1020" s="110" t="n">
        <f aca="false">IF(OR(F1020="",Q1020="",R1020=""),"",ROUND(IF(P1020="incl.",F1020/(1+Q1020),F1020)/IF(S1020="per pack",R1020,1),2))</f>
        <v>3.89</v>
      </c>
      <c r="AE1020" s="110" t="str">
        <f aca="false">IF(AND(AC1020="yes",ISNUMBER(F1020),IF(Compare!$H$5="All mapped",TRUE(),IF(Compare!$H$5="EXACT only",J1020="EXACT",OR(J1020="EXACT",J1020="CLOSE")))),"yes","no")</f>
        <v>yes</v>
      </c>
      <c r="AF1020" s="110" t="n">
        <f aca="false">IF(ISNUMBER(H1020),COUNTIFS($B$7:$B$3000,B1020,$C$7:$C$3000,C1020,$H$7:$H$3000,"&lt;"&amp;H1020,$AH$7:$AH$3000,"yes")+COUNTIFS($B$7:B1020,B1020,$C$7:C1020,C1020,$H$7:H1020,H1020,$AH$7:AH1020,"yes"),"")</f>
        <v>2</v>
      </c>
      <c r="AG1020" s="110" t="n">
        <f aca="false">IF(ISNUMBER(I1020),COUNTIFS($B$7:$B$3000,B1020,$C$7:$C$3000,C1020,$I$7:$I$3000,"&lt;"&amp;I1020,$AI$7:$AI$3000,"yes")+COUNTIFS($B$7:B1020,B1020,$C$7:C1020,C1020,$I$7:I1020,I1020,$AI$7:AI1020,"yes"),"")</f>
        <v>2</v>
      </c>
      <c r="AH1020" s="110" t="str">
        <f aca="false">IF(ISNUMBER(H1020),"yes","no")</f>
        <v>yes</v>
      </c>
      <c r="AI1020" s="110" t="str">
        <f aca="false">IF(ISNUMBER(I1020),"yes","no")</f>
        <v>yes</v>
      </c>
      <c r="AJ1020" s="120" t="n">
        <v>46297</v>
      </c>
      <c r="AK1020" s="110"/>
    </row>
    <row r="1021" customFormat="false" ht="35.05" hidden="false" customHeight="false" outlineLevel="0" collapsed="false">
      <c r="B1021" s="36" t="s">
        <v>71</v>
      </c>
      <c r="C1021" s="98" t="s">
        <v>15</v>
      </c>
      <c r="D1021" s="98" t="s">
        <v>257</v>
      </c>
      <c r="E1021" s="110" t="s">
        <v>3375</v>
      </c>
      <c r="F1021" s="99" t="n">
        <v>12</v>
      </c>
      <c r="G1021" s="98" t="s">
        <v>244</v>
      </c>
      <c r="H1021" s="112" t="n">
        <f aca="false">IF(AND(AE1021="yes",ISNUMBER(AD1021)),AD1021,"")</f>
        <v>12</v>
      </c>
      <c r="I1021" s="95" t="n">
        <f aca="false">IF(AND(AE1021="yes",ISNUMBER(AD1021),ISNUMBER(INDEX(Sources!$G$7:$G$10,MATCH(AB1021,Sources!$B$7:$B$10,0)))),ROUND(AD1021/INDEX(Sources!$G$7:$G$10,MATCH(AB1021,Sources!$B$7:$B$10,0)),6),"")</f>
        <v>12</v>
      </c>
      <c r="J1021" s="98" t="s">
        <v>530</v>
      </c>
      <c r="K1021" s="98" t="s">
        <v>2059</v>
      </c>
      <c r="L1021" s="96"/>
      <c r="M1021" s="110" t="s">
        <v>3376</v>
      </c>
      <c r="N1021" s="117" t="s">
        <v>3377</v>
      </c>
      <c r="O1021" s="110" t="s">
        <v>1576</v>
      </c>
      <c r="P1021" s="110" t="s">
        <v>590</v>
      </c>
      <c r="Q1021" s="118" t="n">
        <v>0.2</v>
      </c>
      <c r="R1021" s="110" t="n">
        <v>1</v>
      </c>
      <c r="S1021" s="110" t="s">
        <v>632</v>
      </c>
      <c r="T1021" s="110" t="s">
        <v>530</v>
      </c>
      <c r="U1021" s="110" t="s">
        <v>2913</v>
      </c>
      <c r="V1021" s="119" t="n">
        <v>12</v>
      </c>
      <c r="W1021" s="119"/>
      <c r="X1021" s="110" t="s">
        <v>2063</v>
      </c>
      <c r="Y1021" s="110" t="s">
        <v>2064</v>
      </c>
      <c r="Z1021" s="110" t="s">
        <v>2936</v>
      </c>
      <c r="AA1021" s="110" t="s">
        <v>537</v>
      </c>
      <c r="AB1021" s="110" t="s">
        <v>244</v>
      </c>
      <c r="AC1021" s="110" t="s">
        <v>538</v>
      </c>
      <c r="AD1021" s="110" t="n">
        <f aca="false">IF(OR(F1021="",Q1021="",R1021=""),"",ROUND(IF(P1021="incl.",F1021/(1+Q1021),F1021)/IF(S1021="per pack",R1021,1),2))</f>
        <v>12</v>
      </c>
      <c r="AE1021" s="110" t="str">
        <f aca="false">IF(AND(AC1021="yes",ISNUMBER(F1021),IF(Compare!$H$5="All mapped",TRUE(),IF(Compare!$H$5="EXACT only",J1021="EXACT",OR(J1021="EXACT",J1021="CLOSE")))),"yes","no")</f>
        <v>yes</v>
      </c>
      <c r="AF1021" s="110" t="n">
        <f aca="false">IF(ISNUMBER(H1021),COUNTIFS($B$7:$B$3000,B1021,$C$7:$C$3000,C1021,$H$7:$H$3000,"&lt;"&amp;H1021,$AH$7:$AH$3000,"yes")+COUNTIFS($B$7:B1021,B1021,$C$7:C1021,C1021,$H$7:H1021,H1021,$AH$7:AH1021,"yes"),"")</f>
        <v>6</v>
      </c>
      <c r="AG1021" s="110" t="n">
        <f aca="false">IF(ISNUMBER(I1021),COUNTIFS($B$7:$B$3000,B1021,$C$7:$C$3000,C1021,$I$7:$I$3000,"&lt;"&amp;I1021,$AI$7:$AI$3000,"yes")+COUNTIFS($B$7:B1021,B1021,$C$7:C1021,C1021,$I$7:I1021,I1021,$AI$7:AI1021,"yes"),"")</f>
        <v>6</v>
      </c>
      <c r="AH1021" s="110" t="str">
        <f aca="false">IF(ISNUMBER(H1021),"yes","no")</f>
        <v>yes</v>
      </c>
      <c r="AI1021" s="110" t="str">
        <f aca="false">IF(ISNUMBER(I1021),"yes","no")</f>
        <v>yes</v>
      </c>
      <c r="AJ1021" s="120" t="n">
        <v>46297</v>
      </c>
      <c r="AK1021" s="110"/>
    </row>
    <row r="1022" customFormat="false" ht="23.85" hidden="false" customHeight="false" outlineLevel="0" collapsed="false">
      <c r="B1022" s="36" t="s">
        <v>71</v>
      </c>
      <c r="C1022" s="98" t="s">
        <v>15</v>
      </c>
      <c r="D1022" s="98" t="s">
        <v>269</v>
      </c>
      <c r="E1022" s="110" t="s">
        <v>3378</v>
      </c>
      <c r="F1022" s="99" t="n">
        <v>9.29</v>
      </c>
      <c r="G1022" s="98" t="s">
        <v>244</v>
      </c>
      <c r="H1022" s="112" t="n">
        <f aca="false">IF(AND(AE1022="yes",ISNUMBER(AD1022)),AD1022,"")</f>
        <v>9.29</v>
      </c>
      <c r="I1022" s="95" t="n">
        <f aca="false">IF(AND(AE1022="yes",ISNUMBER(AD1022),ISNUMBER(INDEX(Sources!$G$7:$G$10,MATCH(AB1022,Sources!$B$7:$B$10,0)))),ROUND(AD1022/INDEX(Sources!$G$7:$G$10,MATCH(AB1022,Sources!$B$7:$B$10,0)),6),"")</f>
        <v>9.29</v>
      </c>
      <c r="J1022" s="98" t="s">
        <v>530</v>
      </c>
      <c r="K1022" s="98" t="s">
        <v>2059</v>
      </c>
      <c r="L1022" s="96"/>
      <c r="M1022" s="110" t="s">
        <v>3379</v>
      </c>
      <c r="N1022" s="117" t="s">
        <v>3380</v>
      </c>
      <c r="O1022" s="110" t="s">
        <v>589</v>
      </c>
      <c r="P1022" s="110" t="s">
        <v>590</v>
      </c>
      <c r="Q1022" s="118" t="n">
        <v>0.2</v>
      </c>
      <c r="R1022" s="110" t="n">
        <v>1</v>
      </c>
      <c r="S1022" s="110" t="s">
        <v>632</v>
      </c>
      <c r="T1022" s="110" t="s">
        <v>530</v>
      </c>
      <c r="U1022" s="110" t="s">
        <v>2913</v>
      </c>
      <c r="V1022" s="119" t="n">
        <v>9.29</v>
      </c>
      <c r="W1022" s="119"/>
      <c r="X1022" s="110" t="s">
        <v>2063</v>
      </c>
      <c r="Y1022" s="110" t="s">
        <v>2064</v>
      </c>
      <c r="Z1022" s="110" t="s">
        <v>3216</v>
      </c>
      <c r="AA1022" s="110" t="s">
        <v>537</v>
      </c>
      <c r="AB1022" s="110" t="s">
        <v>244</v>
      </c>
      <c r="AC1022" s="110" t="s">
        <v>538</v>
      </c>
      <c r="AD1022" s="110" t="n">
        <f aca="false">IF(OR(F1022="",Q1022="",R1022=""),"",ROUND(IF(P1022="incl.",F1022/(1+Q1022),F1022)/IF(S1022="per pack",R1022,1),2))</f>
        <v>9.29</v>
      </c>
      <c r="AE1022" s="110" t="str">
        <f aca="false">IF(AND(AC1022="yes",ISNUMBER(F1022),IF(Compare!$H$5="All mapped",TRUE(),IF(Compare!$H$5="EXACT only",J1022="EXACT",OR(J1022="EXACT",J1022="CLOSE")))),"yes","no")</f>
        <v>yes</v>
      </c>
      <c r="AF1022" s="110" t="n">
        <f aca="false">IF(ISNUMBER(H1022),COUNTIFS($B$7:$B$3000,B1022,$C$7:$C$3000,C1022,$H$7:$H$3000,"&lt;"&amp;H1022,$AH$7:$AH$3000,"yes")+COUNTIFS($B$7:B1022,B1022,$C$7:C1022,C1022,$H$7:H1022,H1022,$AH$7:AH1022,"yes"),"")</f>
        <v>5</v>
      </c>
      <c r="AG1022" s="110" t="n">
        <f aca="false">IF(ISNUMBER(I1022),COUNTIFS($B$7:$B$3000,B1022,$C$7:$C$3000,C1022,$I$7:$I$3000,"&lt;"&amp;I1022,$AI$7:$AI$3000,"yes")+COUNTIFS($B$7:B1022,B1022,$C$7:C1022,C1022,$I$7:I1022,I1022,$AI$7:AI1022,"yes"),"")</f>
        <v>5</v>
      </c>
      <c r="AH1022" s="110" t="str">
        <f aca="false">IF(ISNUMBER(H1022),"yes","no")</f>
        <v>yes</v>
      </c>
      <c r="AI1022" s="110" t="str">
        <f aca="false">IF(ISNUMBER(I1022),"yes","no")</f>
        <v>yes</v>
      </c>
      <c r="AJ1022" s="120" t="n">
        <v>46297</v>
      </c>
      <c r="AK1022" s="110"/>
    </row>
    <row r="1023" customFormat="false" ht="23.85" hidden="false" customHeight="false" outlineLevel="0" collapsed="false">
      <c r="B1023" s="36" t="s">
        <v>71</v>
      </c>
      <c r="C1023" s="98" t="s">
        <v>15</v>
      </c>
      <c r="D1023" s="98" t="s">
        <v>264</v>
      </c>
      <c r="E1023" s="110" t="s">
        <v>3381</v>
      </c>
      <c r="F1023" s="99" t="n">
        <v>13</v>
      </c>
      <c r="G1023" s="98" t="s">
        <v>244</v>
      </c>
      <c r="H1023" s="112" t="n">
        <f aca="false">IF(AND(AE1023="yes",ISNUMBER(AD1023)),AD1023,"")</f>
        <v>13</v>
      </c>
      <c r="I1023" s="95" t="n">
        <f aca="false">IF(AND(AE1023="yes",ISNUMBER(AD1023),ISNUMBER(INDEX(Sources!$G$7:$G$10,MATCH(AB1023,Sources!$B$7:$B$10,0)))),ROUND(AD1023/INDEX(Sources!$G$7:$G$10,MATCH(AB1023,Sources!$B$7:$B$10,0)),6),"")</f>
        <v>13</v>
      </c>
      <c r="J1023" s="98" t="s">
        <v>530</v>
      </c>
      <c r="K1023" s="98" t="s">
        <v>2059</v>
      </c>
      <c r="L1023" s="96"/>
      <c r="M1023" s="110" t="s">
        <v>3382</v>
      </c>
      <c r="N1023" s="117" t="s">
        <v>3383</v>
      </c>
      <c r="O1023" s="110" t="s">
        <v>2944</v>
      </c>
      <c r="P1023" s="110" t="s">
        <v>590</v>
      </c>
      <c r="Q1023" s="118" t="n">
        <v>0.2</v>
      </c>
      <c r="R1023" s="110" t="n">
        <v>1</v>
      </c>
      <c r="S1023" s="110" t="s">
        <v>632</v>
      </c>
      <c r="T1023" s="110" t="s">
        <v>530</v>
      </c>
      <c r="U1023" s="110" t="s">
        <v>2913</v>
      </c>
      <c r="V1023" s="119" t="n">
        <v>13</v>
      </c>
      <c r="W1023" s="119"/>
      <c r="X1023" s="110" t="s">
        <v>2063</v>
      </c>
      <c r="Y1023" s="110" t="s">
        <v>2064</v>
      </c>
      <c r="Z1023" s="110"/>
      <c r="AA1023" s="110" t="s">
        <v>537</v>
      </c>
      <c r="AB1023" s="110" t="s">
        <v>244</v>
      </c>
      <c r="AC1023" s="110" t="s">
        <v>538</v>
      </c>
      <c r="AD1023" s="110" t="n">
        <f aca="false">IF(OR(F1023="",Q1023="",R1023=""),"",ROUND(IF(P1023="incl.",F1023/(1+Q1023),F1023)/IF(S1023="per pack",R1023,1),2))</f>
        <v>13</v>
      </c>
      <c r="AE1023" s="110" t="str">
        <f aca="false">IF(AND(AC1023="yes",ISNUMBER(F1023),IF(Compare!$H$5="All mapped",TRUE(),IF(Compare!$H$5="EXACT only",J1023="EXACT",OR(J1023="EXACT",J1023="CLOSE")))),"yes","no")</f>
        <v>yes</v>
      </c>
      <c r="AF1023" s="110" t="n">
        <f aca="false">IF(ISNUMBER(H1023),COUNTIFS($B$7:$B$3000,B1023,$C$7:$C$3000,C1023,$H$7:$H$3000,"&lt;"&amp;H1023,$AH$7:$AH$3000,"yes")+COUNTIFS($B$7:B1023,B1023,$C$7:C1023,C1023,$H$7:H1023,H1023,$AH$7:AH1023,"yes"),"")</f>
        <v>7</v>
      </c>
      <c r="AG1023" s="110" t="n">
        <f aca="false">IF(ISNUMBER(I1023),COUNTIFS($B$7:$B$3000,B1023,$C$7:$C$3000,C1023,$I$7:$I$3000,"&lt;"&amp;I1023,$AI$7:$AI$3000,"yes")+COUNTIFS($B$7:B1023,B1023,$C$7:C1023,C1023,$I$7:I1023,I1023,$AI$7:AI1023,"yes"),"")</f>
        <v>7</v>
      </c>
      <c r="AH1023" s="110" t="str">
        <f aca="false">IF(ISNUMBER(H1023),"yes","no")</f>
        <v>yes</v>
      </c>
      <c r="AI1023" s="110" t="str">
        <f aca="false">IF(ISNUMBER(I1023),"yes","no")</f>
        <v>yes</v>
      </c>
      <c r="AJ1023" s="120" t="n">
        <v>46297</v>
      </c>
      <c r="AK1023" s="110"/>
    </row>
    <row r="1024" customFormat="false" ht="23.85" hidden="false" customHeight="false" outlineLevel="0" collapsed="false">
      <c r="B1024" s="36" t="s">
        <v>71</v>
      </c>
      <c r="C1024" s="98" t="s">
        <v>15</v>
      </c>
      <c r="D1024" s="98" t="s">
        <v>273</v>
      </c>
      <c r="E1024" s="110" t="s">
        <v>3384</v>
      </c>
      <c r="F1024" s="99" t="n">
        <v>3.49</v>
      </c>
      <c r="G1024" s="98" t="s">
        <v>244</v>
      </c>
      <c r="H1024" s="112" t="n">
        <f aca="false">IF(AND(AE1024="yes",ISNUMBER(AD1024)),AD1024,"")</f>
        <v>2.91</v>
      </c>
      <c r="I1024" s="95" t="n">
        <f aca="false">IF(AND(AE1024="yes",ISNUMBER(AD1024),ISNUMBER(INDEX(Sources!$G$7:$G$10,MATCH(AB1024,Sources!$B$7:$B$10,0)))),ROUND(AD1024/INDEX(Sources!$G$7:$G$10,MATCH(AB1024,Sources!$B$7:$B$10,0)),6),"")</f>
        <v>2.91</v>
      </c>
      <c r="J1024" s="98" t="s">
        <v>530</v>
      </c>
      <c r="K1024" s="98" t="s">
        <v>2059</v>
      </c>
      <c r="L1024" s="96"/>
      <c r="M1024" s="110" t="s">
        <v>3385</v>
      </c>
      <c r="N1024" s="117" t="s">
        <v>3386</v>
      </c>
      <c r="O1024" s="110" t="s">
        <v>598</v>
      </c>
      <c r="P1024" s="110" t="s">
        <v>265</v>
      </c>
      <c r="Q1024" s="118" t="n">
        <v>0.2</v>
      </c>
      <c r="R1024" s="110" t="n">
        <v>1</v>
      </c>
      <c r="S1024" s="110" t="s">
        <v>632</v>
      </c>
      <c r="T1024" s="110" t="s">
        <v>530</v>
      </c>
      <c r="U1024" s="110" t="s">
        <v>2918</v>
      </c>
      <c r="V1024" s="119" t="n">
        <v>2.91</v>
      </c>
      <c r="W1024" s="119"/>
      <c r="X1024" s="110" t="s">
        <v>2063</v>
      </c>
      <c r="Y1024" s="110" t="s">
        <v>2064</v>
      </c>
      <c r="Z1024" s="110" t="s">
        <v>2130</v>
      </c>
      <c r="AA1024" s="110" t="s">
        <v>537</v>
      </c>
      <c r="AB1024" s="110" t="s">
        <v>244</v>
      </c>
      <c r="AC1024" s="110" t="s">
        <v>538</v>
      </c>
      <c r="AD1024" s="110" t="n">
        <f aca="false">IF(OR(F1024="",Q1024="",R1024=""),"",ROUND(IF(P1024="incl.",F1024/(1+Q1024),F1024)/IF(S1024="per pack",R1024,1),2))</f>
        <v>2.91</v>
      </c>
      <c r="AE1024" s="110" t="str">
        <f aca="false">IF(AND(AC1024="yes",ISNUMBER(F1024),IF(Compare!$H$5="All mapped",TRUE(),IF(Compare!$H$5="EXACT only",J1024="EXACT",OR(J1024="EXACT",J1024="CLOSE")))),"yes","no")</f>
        <v>yes</v>
      </c>
      <c r="AF1024" s="110" t="n">
        <f aca="false">IF(ISNUMBER(H1024),COUNTIFS($B$7:$B$3000,B1024,$C$7:$C$3000,C1024,$H$7:$H$3000,"&lt;"&amp;H1024,$AH$7:$AH$3000,"yes")+COUNTIFS($B$7:B1024,B1024,$C$7:C1024,C1024,$H$7:H1024,H1024,$AH$7:AH1024,"yes"),"")</f>
        <v>1</v>
      </c>
      <c r="AG1024" s="110" t="n">
        <f aca="false">IF(ISNUMBER(I1024),COUNTIFS($B$7:$B$3000,B1024,$C$7:$C$3000,C1024,$I$7:$I$3000,"&lt;"&amp;I1024,$AI$7:$AI$3000,"yes")+COUNTIFS($B$7:B1024,B1024,$C$7:C1024,C1024,$I$7:I1024,I1024,$AI$7:AI1024,"yes"),"")</f>
        <v>1</v>
      </c>
      <c r="AH1024" s="110" t="str">
        <f aca="false">IF(ISNUMBER(H1024),"yes","no")</f>
        <v>yes</v>
      </c>
      <c r="AI1024" s="110" t="str">
        <f aca="false">IF(ISNUMBER(I1024),"yes","no")</f>
        <v>yes</v>
      </c>
      <c r="AJ1024" s="120" t="n">
        <v>46297</v>
      </c>
      <c r="AK1024" s="110"/>
    </row>
    <row r="1025" customFormat="false" ht="46.25" hidden="false" customHeight="false" outlineLevel="0" collapsed="false">
      <c r="B1025" s="36" t="s">
        <v>71</v>
      </c>
      <c r="C1025" s="98" t="s">
        <v>15</v>
      </c>
      <c r="D1025" s="98" t="s">
        <v>281</v>
      </c>
      <c r="E1025" s="110" t="s">
        <v>3387</v>
      </c>
      <c r="F1025" s="99" t="n">
        <v>5.66</v>
      </c>
      <c r="G1025" s="98" t="s">
        <v>244</v>
      </c>
      <c r="H1025" s="112" t="n">
        <f aca="false">IF(AND(AE1025="yes",ISNUMBER(AD1025)),AD1025,"")</f>
        <v>5.66</v>
      </c>
      <c r="I1025" s="95" t="n">
        <f aca="false">IF(AND(AE1025="yes",ISNUMBER(AD1025),ISNUMBER(INDEX(Sources!$G$7:$G$10,MATCH(AB1025,Sources!$B$7:$B$10,0)))),ROUND(AD1025/INDEX(Sources!$G$7:$G$10,MATCH(AB1025,Sources!$B$7:$B$10,0)),6),"")</f>
        <v>5.66</v>
      </c>
      <c r="J1025" s="98" t="s">
        <v>530</v>
      </c>
      <c r="K1025" s="98" t="s">
        <v>2059</v>
      </c>
      <c r="L1025" s="96"/>
      <c r="M1025" s="110" t="s">
        <v>3388</v>
      </c>
      <c r="N1025" s="117" t="s">
        <v>3389</v>
      </c>
      <c r="O1025" s="110" t="s">
        <v>2944</v>
      </c>
      <c r="P1025" s="110" t="s">
        <v>590</v>
      </c>
      <c r="Q1025" s="118" t="n">
        <v>0.2</v>
      </c>
      <c r="R1025" s="110" t="n">
        <v>1</v>
      </c>
      <c r="S1025" s="110" t="s">
        <v>632</v>
      </c>
      <c r="T1025" s="110" t="s">
        <v>530</v>
      </c>
      <c r="U1025" s="110" t="s">
        <v>2913</v>
      </c>
      <c r="V1025" s="119" t="n">
        <v>5.66</v>
      </c>
      <c r="W1025" s="119"/>
      <c r="X1025" s="110" t="s">
        <v>2063</v>
      </c>
      <c r="Y1025" s="110" t="s">
        <v>2064</v>
      </c>
      <c r="Z1025" s="110" t="s">
        <v>2953</v>
      </c>
      <c r="AA1025" s="110" t="s">
        <v>537</v>
      </c>
      <c r="AB1025" s="110" t="s">
        <v>244</v>
      </c>
      <c r="AC1025" s="110" t="s">
        <v>538</v>
      </c>
      <c r="AD1025" s="110" t="n">
        <f aca="false">IF(OR(F1025="",Q1025="",R1025=""),"",ROUND(IF(P1025="incl.",F1025/(1+Q1025),F1025)/IF(S1025="per pack",R1025,1),2))</f>
        <v>5.66</v>
      </c>
      <c r="AE1025" s="110" t="str">
        <f aca="false">IF(AND(AC1025="yes",ISNUMBER(F1025),IF(Compare!$H$5="All mapped",TRUE(),IF(Compare!$H$5="EXACT only",J1025="EXACT",OR(J1025="EXACT",J1025="CLOSE")))),"yes","no")</f>
        <v>yes</v>
      </c>
      <c r="AF1025" s="110" t="n">
        <f aca="false">IF(ISNUMBER(H1025),COUNTIFS($B$7:$B$3000,B1025,$C$7:$C$3000,C1025,$H$7:$H$3000,"&lt;"&amp;H1025,$AH$7:$AH$3000,"yes")+COUNTIFS($B$7:B1025,B1025,$C$7:C1025,C1025,$H$7:H1025,H1025,$AH$7:AH1025,"yes"),"")</f>
        <v>4</v>
      </c>
      <c r="AG1025" s="110" t="n">
        <f aca="false">IF(ISNUMBER(I1025),COUNTIFS($B$7:$B$3000,B1025,$C$7:$C$3000,C1025,$I$7:$I$3000,"&lt;"&amp;I1025,$AI$7:$AI$3000,"yes")+COUNTIFS($B$7:B1025,B1025,$C$7:C1025,C1025,$I$7:I1025,I1025,$AI$7:AI1025,"yes"),"")</f>
        <v>4</v>
      </c>
      <c r="AH1025" s="110" t="str">
        <f aca="false">IF(ISNUMBER(H1025),"yes","no")</f>
        <v>yes</v>
      </c>
      <c r="AI1025" s="110" t="str">
        <f aca="false">IF(ISNUMBER(I1025),"yes","no")</f>
        <v>yes</v>
      </c>
      <c r="AJ1025" s="120" t="n">
        <v>46297</v>
      </c>
      <c r="AK1025" s="110"/>
    </row>
    <row r="1026" customFormat="false" ht="35.05" hidden="false" customHeight="false" outlineLevel="0" collapsed="false">
      <c r="B1026" s="36" t="s">
        <v>71</v>
      </c>
      <c r="C1026" s="98" t="s">
        <v>15</v>
      </c>
      <c r="D1026" s="98" t="s">
        <v>293</v>
      </c>
      <c r="E1026" s="110" t="s">
        <v>3390</v>
      </c>
      <c r="F1026" s="99" t="n">
        <v>4.8</v>
      </c>
      <c r="G1026" s="98" t="s">
        <v>244</v>
      </c>
      <c r="H1026" s="112" t="n">
        <f aca="false">IF(AND(AE1026="yes",ISNUMBER(AD1026)),AD1026,"")</f>
        <v>4.8</v>
      </c>
      <c r="I1026" s="95" t="n">
        <f aca="false">IF(AND(AE1026="yes",ISNUMBER(AD1026),ISNUMBER(INDEX(Sources!$G$7:$G$10,MATCH(AB1026,Sources!$B$7:$B$10,0)))),ROUND(AD1026/INDEX(Sources!$G$7:$G$10,MATCH(AB1026,Sources!$B$7:$B$10,0)),6),"")</f>
        <v>4.8</v>
      </c>
      <c r="J1026" s="98" t="s">
        <v>530</v>
      </c>
      <c r="K1026" s="98" t="s">
        <v>2059</v>
      </c>
      <c r="L1026" s="96"/>
      <c r="M1026" s="110" t="s">
        <v>3391</v>
      </c>
      <c r="N1026" s="117" t="s">
        <v>3392</v>
      </c>
      <c r="O1026" s="110" t="s">
        <v>2957</v>
      </c>
      <c r="P1026" s="110" t="s">
        <v>590</v>
      </c>
      <c r="Q1026" s="118" t="n">
        <v>0.2</v>
      </c>
      <c r="R1026" s="110" t="n">
        <v>1</v>
      </c>
      <c r="S1026" s="110" t="s">
        <v>632</v>
      </c>
      <c r="T1026" s="110" t="s">
        <v>530</v>
      </c>
      <c r="U1026" s="110" t="s">
        <v>2913</v>
      </c>
      <c r="V1026" s="119" t="n">
        <v>4.8</v>
      </c>
      <c r="W1026" s="119"/>
      <c r="X1026" s="110" t="s">
        <v>2063</v>
      </c>
      <c r="Y1026" s="110" t="s">
        <v>2064</v>
      </c>
      <c r="Z1026" s="110" t="s">
        <v>2958</v>
      </c>
      <c r="AA1026" s="110" t="s">
        <v>537</v>
      </c>
      <c r="AB1026" s="110" t="s">
        <v>244</v>
      </c>
      <c r="AC1026" s="110" t="s">
        <v>538</v>
      </c>
      <c r="AD1026" s="110" t="n">
        <f aca="false">IF(OR(F1026="",Q1026="",R1026=""),"",ROUND(IF(P1026="incl.",F1026/(1+Q1026),F1026)/IF(S1026="per pack",R1026,1),2))</f>
        <v>4.8</v>
      </c>
      <c r="AE1026" s="110" t="str">
        <f aca="false">IF(AND(AC1026="yes",ISNUMBER(F1026),IF(Compare!$H$5="All mapped",TRUE(),IF(Compare!$H$5="EXACT only",J1026="EXACT",OR(J1026="EXACT",J1026="CLOSE")))),"yes","no")</f>
        <v>yes</v>
      </c>
      <c r="AF1026" s="110" t="n">
        <f aca="false">IF(ISNUMBER(H1026),COUNTIFS($B$7:$B$3000,B1026,$C$7:$C$3000,C1026,$H$7:$H$3000,"&lt;"&amp;H1026,$AH$7:$AH$3000,"yes")+COUNTIFS($B$7:B1026,B1026,$C$7:C1026,C1026,$H$7:H1026,H1026,$AH$7:AH1026,"yes"),"")</f>
        <v>3</v>
      </c>
      <c r="AG1026" s="110" t="n">
        <f aca="false">IF(ISNUMBER(I1026),COUNTIFS($B$7:$B$3000,B1026,$C$7:$C$3000,C1026,$I$7:$I$3000,"&lt;"&amp;I1026,$AI$7:$AI$3000,"yes")+COUNTIFS($B$7:B1026,B1026,$C$7:C1026,C1026,$I$7:I1026,I1026,$AI$7:AI1026,"yes"),"")</f>
        <v>3</v>
      </c>
      <c r="AH1026" s="110" t="str">
        <f aca="false">IF(ISNUMBER(H1026),"yes","no")</f>
        <v>yes</v>
      </c>
      <c r="AI1026" s="110" t="str">
        <f aca="false">IF(ISNUMBER(I1026),"yes","no")</f>
        <v>yes</v>
      </c>
      <c r="AJ1026" s="120" t="n">
        <v>46297</v>
      </c>
      <c r="AK1026" s="110"/>
    </row>
    <row r="1027" customFormat="false" ht="23.85" hidden="false" customHeight="false" outlineLevel="0" collapsed="false">
      <c r="B1027" s="36" t="s">
        <v>71</v>
      </c>
      <c r="C1027" s="98" t="s">
        <v>16</v>
      </c>
      <c r="D1027" s="98" t="s">
        <v>296</v>
      </c>
      <c r="E1027" s="110" t="s">
        <v>3372</v>
      </c>
      <c r="F1027" s="99" t="n">
        <v>3.89</v>
      </c>
      <c r="G1027" s="98" t="s">
        <v>244</v>
      </c>
      <c r="H1027" s="112" t="n">
        <f aca="false">IF(AND(AE1027="yes",ISNUMBER(AD1027)),AD1027,"")</f>
        <v>3.89</v>
      </c>
      <c r="I1027" s="95" t="n">
        <f aca="false">IF(AND(AE1027="yes",ISNUMBER(AD1027),ISNUMBER(INDEX(Sources!$G$7:$G$10,MATCH(AB1027,Sources!$B$7:$B$10,0)))),ROUND(AD1027/INDEX(Sources!$G$7:$G$10,MATCH(AB1027,Sources!$B$7:$B$10,0)),6),"")</f>
        <v>3.89</v>
      </c>
      <c r="J1027" s="98" t="s">
        <v>530</v>
      </c>
      <c r="K1027" s="98" t="s">
        <v>2059</v>
      </c>
      <c r="L1027" s="96"/>
      <c r="M1027" s="110" t="s">
        <v>3393</v>
      </c>
      <c r="N1027" s="117" t="s">
        <v>3394</v>
      </c>
      <c r="O1027" s="110" t="s">
        <v>296</v>
      </c>
      <c r="P1027" s="110" t="s">
        <v>590</v>
      </c>
      <c r="Q1027" s="118" t="n">
        <v>0.19</v>
      </c>
      <c r="R1027" s="110" t="n">
        <v>1</v>
      </c>
      <c r="S1027" s="110" t="s">
        <v>632</v>
      </c>
      <c r="T1027" s="110" t="s">
        <v>530</v>
      </c>
      <c r="U1027" s="110" t="s">
        <v>2913</v>
      </c>
      <c r="V1027" s="119" t="n">
        <v>3.89</v>
      </c>
      <c r="W1027" s="119"/>
      <c r="X1027" s="110" t="s">
        <v>2063</v>
      </c>
      <c r="Y1027" s="110" t="s">
        <v>2064</v>
      </c>
      <c r="Z1027" s="110" t="s">
        <v>2164</v>
      </c>
      <c r="AA1027" s="110" t="s">
        <v>537</v>
      </c>
      <c r="AB1027" s="110" t="s">
        <v>244</v>
      </c>
      <c r="AC1027" s="110" t="s">
        <v>538</v>
      </c>
      <c r="AD1027" s="110" t="n">
        <f aca="false">IF(OR(F1027="",Q1027="",R1027=""),"",ROUND(IF(P1027="incl.",F1027/(1+Q1027),F1027)/IF(S1027="per pack",R1027,1),2))</f>
        <v>3.89</v>
      </c>
      <c r="AE1027" s="110" t="str">
        <f aca="false">IF(AND(AC1027="yes",ISNUMBER(F1027),IF(Compare!$H$5="All mapped",TRUE(),IF(Compare!$H$5="EXACT only",J1027="EXACT",OR(J1027="EXACT",J1027="CLOSE")))),"yes","no")</f>
        <v>yes</v>
      </c>
      <c r="AF1027" s="110" t="n">
        <f aca="false">IF(ISNUMBER(H1027),COUNTIFS($B$7:$B$3000,B1027,$C$7:$C$3000,C1027,$H$7:$H$3000,"&lt;"&amp;H1027,$AH$7:$AH$3000,"yes")+COUNTIFS($B$7:B1027,B1027,$C$7:C1027,C1027,$H$7:H1027,H1027,$AH$7:AH1027,"yes"),"")</f>
        <v>3</v>
      </c>
      <c r="AG1027" s="110" t="n">
        <f aca="false">IF(ISNUMBER(I1027),COUNTIFS($B$7:$B$3000,B1027,$C$7:$C$3000,C1027,$I$7:$I$3000,"&lt;"&amp;I1027,$AI$7:$AI$3000,"yes")+COUNTIFS($B$7:B1027,B1027,$C$7:C1027,C1027,$I$7:I1027,I1027,$AI$7:AI1027,"yes"),"")</f>
        <v>3</v>
      </c>
      <c r="AH1027" s="110" t="str">
        <f aca="false">IF(ISNUMBER(H1027),"yes","no")</f>
        <v>yes</v>
      </c>
      <c r="AI1027" s="110" t="str">
        <f aca="false">IF(ISNUMBER(I1027),"yes","no")</f>
        <v>yes</v>
      </c>
      <c r="AJ1027" s="120" t="n">
        <v>46297</v>
      </c>
      <c r="AK1027" s="110"/>
    </row>
    <row r="1028" customFormat="false" ht="35.05" hidden="false" customHeight="false" outlineLevel="0" collapsed="false">
      <c r="B1028" s="36" t="s">
        <v>71</v>
      </c>
      <c r="C1028" s="98" t="s">
        <v>16</v>
      </c>
      <c r="D1028" s="98" t="s">
        <v>305</v>
      </c>
      <c r="E1028" s="110" t="s">
        <v>3395</v>
      </c>
      <c r="F1028" s="99" t="n">
        <v>5.85</v>
      </c>
      <c r="G1028" s="98" t="s">
        <v>244</v>
      </c>
      <c r="H1028" s="112" t="n">
        <f aca="false">IF(AND(AE1028="yes",ISNUMBER(AD1028)),AD1028,"")</f>
        <v>4.92</v>
      </c>
      <c r="I1028" s="95" t="n">
        <f aca="false">IF(AND(AE1028="yes",ISNUMBER(AD1028),ISNUMBER(INDEX(Sources!$G$7:$G$10,MATCH(AB1028,Sources!$B$7:$B$10,0)))),ROUND(AD1028/INDEX(Sources!$G$7:$G$10,MATCH(AB1028,Sources!$B$7:$B$10,0)),6),"")</f>
        <v>4.92</v>
      </c>
      <c r="J1028" s="98" t="s">
        <v>530</v>
      </c>
      <c r="K1028" s="98" t="s">
        <v>2059</v>
      </c>
      <c r="L1028" s="96"/>
      <c r="M1028" s="110" t="s">
        <v>3396</v>
      </c>
      <c r="N1028" s="117" t="s">
        <v>3397</v>
      </c>
      <c r="O1028" s="110" t="s">
        <v>2965</v>
      </c>
      <c r="P1028" s="110" t="s">
        <v>265</v>
      </c>
      <c r="Q1028" s="118" t="n">
        <v>0.19</v>
      </c>
      <c r="R1028" s="110" t="n">
        <v>1</v>
      </c>
      <c r="S1028" s="110" t="s">
        <v>632</v>
      </c>
      <c r="T1028" s="110" t="s">
        <v>530</v>
      </c>
      <c r="U1028" s="110" t="s">
        <v>2918</v>
      </c>
      <c r="V1028" s="119" t="n">
        <v>4.92</v>
      </c>
      <c r="W1028" s="119"/>
      <c r="X1028" s="110" t="s">
        <v>2063</v>
      </c>
      <c r="Y1028" s="110" t="s">
        <v>2064</v>
      </c>
      <c r="Z1028" s="110" t="s">
        <v>2156</v>
      </c>
      <c r="AA1028" s="110" t="s">
        <v>537</v>
      </c>
      <c r="AB1028" s="110" t="s">
        <v>244</v>
      </c>
      <c r="AC1028" s="110" t="s">
        <v>538</v>
      </c>
      <c r="AD1028" s="110" t="n">
        <f aca="false">IF(OR(F1028="",Q1028="",R1028=""),"",ROUND(IF(P1028="incl.",F1028/(1+Q1028),F1028)/IF(S1028="per pack",R1028,1),2))</f>
        <v>4.92</v>
      </c>
      <c r="AE1028" s="110" t="str">
        <f aca="false">IF(AND(AC1028="yes",ISNUMBER(F1028),IF(Compare!$H$5="All mapped",TRUE(),IF(Compare!$H$5="EXACT only",J1028="EXACT",OR(J1028="EXACT",J1028="CLOSE")))),"yes","no")</f>
        <v>yes</v>
      </c>
      <c r="AF1028" s="110" t="n">
        <f aca="false">IF(ISNUMBER(H1028),COUNTIFS($B$7:$B$3000,B1028,$C$7:$C$3000,C1028,$H$7:$H$3000,"&lt;"&amp;H1028,$AH$7:$AH$3000,"yes")+COUNTIFS($B$7:B1028,B1028,$C$7:C1028,C1028,$H$7:H1028,H1028,$AH$7:AH1028,"yes"),"")</f>
        <v>4</v>
      </c>
      <c r="AG1028" s="110" t="n">
        <f aca="false">IF(ISNUMBER(I1028),COUNTIFS($B$7:$B$3000,B1028,$C$7:$C$3000,C1028,$I$7:$I$3000,"&lt;"&amp;I1028,$AI$7:$AI$3000,"yes")+COUNTIFS($B$7:B1028,B1028,$C$7:C1028,C1028,$I$7:I1028,I1028,$AI$7:AI1028,"yes"),"")</f>
        <v>4</v>
      </c>
      <c r="AH1028" s="110" t="str">
        <f aca="false">IF(ISNUMBER(H1028),"yes","no")</f>
        <v>yes</v>
      </c>
      <c r="AI1028" s="110" t="str">
        <f aca="false">IF(ISNUMBER(I1028),"yes","no")</f>
        <v>yes</v>
      </c>
      <c r="AJ1028" s="120" t="n">
        <v>46297</v>
      </c>
      <c r="AK1028" s="110"/>
    </row>
    <row r="1029" customFormat="false" ht="35.05" hidden="false" customHeight="false" outlineLevel="0" collapsed="false">
      <c r="B1029" s="36" t="s">
        <v>71</v>
      </c>
      <c r="C1029" s="98" t="s">
        <v>16</v>
      </c>
      <c r="D1029" s="98" t="s">
        <v>311</v>
      </c>
      <c r="E1029" s="110" t="s">
        <v>3378</v>
      </c>
      <c r="F1029" s="99" t="n">
        <v>5.89</v>
      </c>
      <c r="G1029" s="98" t="s">
        <v>244</v>
      </c>
      <c r="H1029" s="112" t="n">
        <f aca="false">IF(AND(AE1029="yes",ISNUMBER(AD1029)),AD1029,"")</f>
        <v>5.89</v>
      </c>
      <c r="I1029" s="95" t="n">
        <f aca="false">IF(AND(AE1029="yes",ISNUMBER(AD1029),ISNUMBER(INDEX(Sources!$G$7:$G$10,MATCH(AB1029,Sources!$B$7:$B$10,0)))),ROUND(AD1029/INDEX(Sources!$G$7:$G$10,MATCH(AB1029,Sources!$B$7:$B$10,0)),6),"")</f>
        <v>5.89</v>
      </c>
      <c r="J1029" s="98" t="s">
        <v>530</v>
      </c>
      <c r="K1029" s="98" t="s">
        <v>2059</v>
      </c>
      <c r="L1029" s="96"/>
      <c r="M1029" s="110" t="s">
        <v>3398</v>
      </c>
      <c r="N1029" s="117" t="s">
        <v>3399</v>
      </c>
      <c r="O1029" s="110" t="s">
        <v>589</v>
      </c>
      <c r="P1029" s="110" t="s">
        <v>590</v>
      </c>
      <c r="Q1029" s="118" t="n">
        <v>0.19</v>
      </c>
      <c r="R1029" s="110" t="n">
        <v>1</v>
      </c>
      <c r="S1029" s="110" t="s">
        <v>632</v>
      </c>
      <c r="T1029" s="110" t="s">
        <v>530</v>
      </c>
      <c r="U1029" s="110" t="s">
        <v>2913</v>
      </c>
      <c r="V1029" s="119" t="n">
        <v>5.89</v>
      </c>
      <c r="W1029" s="119"/>
      <c r="X1029" s="110" t="s">
        <v>2063</v>
      </c>
      <c r="Y1029" s="110" t="s">
        <v>2064</v>
      </c>
      <c r="Z1029" s="110" t="s">
        <v>3236</v>
      </c>
      <c r="AA1029" s="110" t="s">
        <v>537</v>
      </c>
      <c r="AB1029" s="110" t="s">
        <v>244</v>
      </c>
      <c r="AC1029" s="110" t="s">
        <v>538</v>
      </c>
      <c r="AD1029" s="110" t="n">
        <f aca="false">IF(OR(F1029="",Q1029="",R1029=""),"",ROUND(IF(P1029="incl.",F1029/(1+Q1029),F1029)/IF(S1029="per pack",R1029,1),2))</f>
        <v>5.89</v>
      </c>
      <c r="AE1029" s="110" t="str">
        <f aca="false">IF(AND(AC1029="yes",ISNUMBER(F1029),IF(Compare!$H$5="All mapped",TRUE(),IF(Compare!$H$5="EXACT only",J1029="EXACT",OR(J1029="EXACT",J1029="CLOSE")))),"yes","no")</f>
        <v>yes</v>
      </c>
      <c r="AF1029" s="110" t="n">
        <f aca="false">IF(ISNUMBER(H1029),COUNTIFS($B$7:$B$3000,B1029,$C$7:$C$3000,C1029,$H$7:$H$3000,"&lt;"&amp;H1029,$AH$7:$AH$3000,"yes")+COUNTIFS($B$7:B1029,B1029,$C$7:C1029,C1029,$H$7:H1029,H1029,$AH$7:AH1029,"yes"),"")</f>
        <v>6</v>
      </c>
      <c r="AG1029" s="110" t="n">
        <f aca="false">IF(ISNUMBER(I1029),COUNTIFS($B$7:$B$3000,B1029,$C$7:$C$3000,C1029,$I$7:$I$3000,"&lt;"&amp;I1029,$AI$7:$AI$3000,"yes")+COUNTIFS($B$7:B1029,B1029,$C$7:C1029,C1029,$I$7:I1029,I1029,$AI$7:AI1029,"yes"),"")</f>
        <v>6</v>
      </c>
      <c r="AH1029" s="110" t="str">
        <f aca="false">IF(ISNUMBER(H1029),"yes","no")</f>
        <v>yes</v>
      </c>
      <c r="AI1029" s="110" t="str">
        <f aca="false">IF(ISNUMBER(I1029),"yes","no")</f>
        <v>yes</v>
      </c>
      <c r="AJ1029" s="120" t="n">
        <v>46297</v>
      </c>
      <c r="AK1029" s="110"/>
    </row>
    <row r="1030" customFormat="false" ht="23.85" hidden="false" customHeight="false" outlineLevel="0" collapsed="false">
      <c r="B1030" s="36" t="s">
        <v>71</v>
      </c>
      <c r="C1030" s="98" t="s">
        <v>16</v>
      </c>
      <c r="D1030" s="98" t="s">
        <v>309</v>
      </c>
      <c r="E1030" s="110" t="s">
        <v>3381</v>
      </c>
      <c r="F1030" s="99" t="n">
        <v>13</v>
      </c>
      <c r="G1030" s="98" t="s">
        <v>244</v>
      </c>
      <c r="H1030" s="112" t="n">
        <f aca="false">IF(AND(AE1030="yes",ISNUMBER(AD1030)),AD1030,"")</f>
        <v>13</v>
      </c>
      <c r="I1030" s="95" t="n">
        <f aca="false">IF(AND(AE1030="yes",ISNUMBER(AD1030),ISNUMBER(INDEX(Sources!$G$7:$G$10,MATCH(AB1030,Sources!$B$7:$B$10,0)))),ROUND(AD1030/INDEX(Sources!$G$7:$G$10,MATCH(AB1030,Sources!$B$7:$B$10,0)),6),"")</f>
        <v>13</v>
      </c>
      <c r="J1030" s="98" t="s">
        <v>530</v>
      </c>
      <c r="K1030" s="98" t="s">
        <v>2059</v>
      </c>
      <c r="L1030" s="96"/>
      <c r="M1030" s="110" t="s">
        <v>3400</v>
      </c>
      <c r="N1030" s="117" t="s">
        <v>3383</v>
      </c>
      <c r="O1030" s="110" t="s">
        <v>2944</v>
      </c>
      <c r="P1030" s="110" t="s">
        <v>590</v>
      </c>
      <c r="Q1030" s="118" t="n">
        <v>0.19</v>
      </c>
      <c r="R1030" s="110" t="n">
        <v>1</v>
      </c>
      <c r="S1030" s="110" t="s">
        <v>632</v>
      </c>
      <c r="T1030" s="110" t="s">
        <v>530</v>
      </c>
      <c r="U1030" s="110" t="s">
        <v>2913</v>
      </c>
      <c r="V1030" s="119" t="n">
        <v>13</v>
      </c>
      <c r="W1030" s="119"/>
      <c r="X1030" s="110" t="s">
        <v>2063</v>
      </c>
      <c r="Y1030" s="110" t="s">
        <v>2064</v>
      </c>
      <c r="Z1030" s="110" t="s">
        <v>2970</v>
      </c>
      <c r="AA1030" s="110" t="s">
        <v>537</v>
      </c>
      <c r="AB1030" s="110" t="s">
        <v>244</v>
      </c>
      <c r="AC1030" s="110" t="s">
        <v>538</v>
      </c>
      <c r="AD1030" s="110" t="n">
        <f aca="false">IF(OR(F1030="",Q1030="",R1030=""),"",ROUND(IF(P1030="incl.",F1030/(1+Q1030),F1030)/IF(S1030="per pack",R1030,1),2))</f>
        <v>13</v>
      </c>
      <c r="AE1030" s="110" t="str">
        <f aca="false">IF(AND(AC1030="yes",ISNUMBER(F1030),IF(Compare!$H$5="All mapped",TRUE(),IF(Compare!$H$5="EXACT only",J1030="EXACT",OR(J1030="EXACT",J1030="CLOSE")))),"yes","no")</f>
        <v>yes</v>
      </c>
      <c r="AF1030" s="110" t="n">
        <f aca="false">IF(ISNUMBER(H1030),COUNTIFS($B$7:$B$3000,B1030,$C$7:$C$3000,C1030,$H$7:$H$3000,"&lt;"&amp;H1030,$AH$7:$AH$3000,"yes")+COUNTIFS($B$7:B1030,B1030,$C$7:C1030,C1030,$H$7:H1030,H1030,$AH$7:AH1030,"yes"),"")</f>
        <v>7</v>
      </c>
      <c r="AG1030" s="110" t="n">
        <f aca="false">IF(ISNUMBER(I1030),COUNTIFS($B$7:$B$3000,B1030,$C$7:$C$3000,C1030,$I$7:$I$3000,"&lt;"&amp;I1030,$AI$7:$AI$3000,"yes")+COUNTIFS($B$7:B1030,B1030,$C$7:C1030,C1030,$I$7:I1030,I1030,$AI$7:AI1030,"yes"),"")</f>
        <v>7</v>
      </c>
      <c r="AH1030" s="110" t="str">
        <f aca="false">IF(ISNUMBER(H1030),"yes","no")</f>
        <v>yes</v>
      </c>
      <c r="AI1030" s="110" t="str">
        <f aca="false">IF(ISNUMBER(I1030),"yes","no")</f>
        <v>yes</v>
      </c>
      <c r="AJ1030" s="120" t="n">
        <v>46297</v>
      </c>
      <c r="AK1030" s="110"/>
    </row>
    <row r="1031" customFormat="false" ht="23.85" hidden="false" customHeight="false" outlineLevel="0" collapsed="false">
      <c r="B1031" s="36" t="s">
        <v>71</v>
      </c>
      <c r="C1031" s="98" t="s">
        <v>16</v>
      </c>
      <c r="D1031" s="98" t="s">
        <v>313</v>
      </c>
      <c r="E1031" s="110" t="s">
        <v>3384</v>
      </c>
      <c r="F1031" s="99" t="n">
        <v>3.49</v>
      </c>
      <c r="G1031" s="98" t="s">
        <v>244</v>
      </c>
      <c r="H1031" s="112" t="n">
        <f aca="false">IF(AND(AE1031="yes",ISNUMBER(AD1031)),AD1031,"")</f>
        <v>2.93</v>
      </c>
      <c r="I1031" s="95" t="n">
        <f aca="false">IF(AND(AE1031="yes",ISNUMBER(AD1031),ISNUMBER(INDEX(Sources!$G$7:$G$10,MATCH(AB1031,Sources!$B$7:$B$10,0)))),ROUND(AD1031/INDEX(Sources!$G$7:$G$10,MATCH(AB1031,Sources!$B$7:$B$10,0)),6),"")</f>
        <v>2.93</v>
      </c>
      <c r="J1031" s="98" t="s">
        <v>530</v>
      </c>
      <c r="K1031" s="98" t="s">
        <v>2059</v>
      </c>
      <c r="L1031" s="96"/>
      <c r="M1031" s="110" t="s">
        <v>3401</v>
      </c>
      <c r="N1031" s="117" t="s">
        <v>3402</v>
      </c>
      <c r="O1031" s="110" t="s">
        <v>598</v>
      </c>
      <c r="P1031" s="110" t="s">
        <v>265</v>
      </c>
      <c r="Q1031" s="118" t="n">
        <v>0.19</v>
      </c>
      <c r="R1031" s="110" t="n">
        <v>1</v>
      </c>
      <c r="S1031" s="110" t="s">
        <v>632</v>
      </c>
      <c r="T1031" s="110" t="s">
        <v>530</v>
      </c>
      <c r="U1031" s="110" t="s">
        <v>2918</v>
      </c>
      <c r="V1031" s="119" t="n">
        <v>2.93</v>
      </c>
      <c r="W1031" s="119"/>
      <c r="X1031" s="110" t="s">
        <v>2063</v>
      </c>
      <c r="Y1031" s="110" t="s">
        <v>2064</v>
      </c>
      <c r="Z1031" s="110" t="s">
        <v>3243</v>
      </c>
      <c r="AA1031" s="110" t="s">
        <v>537</v>
      </c>
      <c r="AB1031" s="110" t="s">
        <v>244</v>
      </c>
      <c r="AC1031" s="110" t="s">
        <v>538</v>
      </c>
      <c r="AD1031" s="110" t="n">
        <f aca="false">IF(OR(F1031="",Q1031="",R1031=""),"",ROUND(IF(P1031="incl.",F1031/(1+Q1031),F1031)/IF(S1031="per pack",R1031,1),2))</f>
        <v>2.93</v>
      </c>
      <c r="AE1031" s="110" t="str">
        <f aca="false">IF(AND(AC1031="yes",ISNUMBER(F1031),IF(Compare!$H$5="All mapped",TRUE(),IF(Compare!$H$5="EXACT only",J1031="EXACT",OR(J1031="EXACT",J1031="CLOSE")))),"yes","no")</f>
        <v>yes</v>
      </c>
      <c r="AF1031" s="110" t="n">
        <f aca="false">IF(ISNUMBER(H1031),COUNTIFS($B$7:$B$3000,B1031,$C$7:$C$3000,C1031,$H$7:$H$3000,"&lt;"&amp;H1031,$AH$7:$AH$3000,"yes")+COUNTIFS($B$7:B1031,B1031,$C$7:C1031,C1031,$H$7:H1031,H1031,$AH$7:AH1031,"yes"),"")</f>
        <v>2</v>
      </c>
      <c r="AG1031" s="110" t="n">
        <f aca="false">IF(ISNUMBER(I1031),COUNTIFS($B$7:$B$3000,B1031,$C$7:$C$3000,C1031,$I$7:$I$3000,"&lt;"&amp;I1031,$AI$7:$AI$3000,"yes")+COUNTIFS($B$7:B1031,B1031,$C$7:C1031,C1031,$I$7:I1031,I1031,$AI$7:AI1031,"yes"),"")</f>
        <v>2</v>
      </c>
      <c r="AH1031" s="110" t="str">
        <f aca="false">IF(ISNUMBER(H1031),"yes","no")</f>
        <v>yes</v>
      </c>
      <c r="AI1031" s="110" t="str">
        <f aca="false">IF(ISNUMBER(I1031),"yes","no")</f>
        <v>yes</v>
      </c>
      <c r="AJ1031" s="120" t="n">
        <v>46297</v>
      </c>
      <c r="AK1031" s="110"/>
    </row>
    <row r="1032" customFormat="false" ht="35.05" hidden="false" customHeight="false" outlineLevel="0" collapsed="false">
      <c r="B1032" s="36" t="s">
        <v>71</v>
      </c>
      <c r="C1032" s="98" t="s">
        <v>16</v>
      </c>
      <c r="D1032" s="98" t="s">
        <v>321</v>
      </c>
      <c r="E1032" s="110" t="s">
        <v>3403</v>
      </c>
      <c r="F1032" s="99" t="n">
        <v>5.66</v>
      </c>
      <c r="G1032" s="98" t="s">
        <v>244</v>
      </c>
      <c r="H1032" s="112" t="n">
        <f aca="false">IF(AND(AE1032="yes",ISNUMBER(AD1032)),AD1032,"")</f>
        <v>5.66</v>
      </c>
      <c r="I1032" s="95" t="n">
        <f aca="false">IF(AND(AE1032="yes",ISNUMBER(AD1032),ISNUMBER(INDEX(Sources!$G$7:$G$10,MATCH(AB1032,Sources!$B$7:$B$10,0)))),ROUND(AD1032/INDEX(Sources!$G$7:$G$10,MATCH(AB1032,Sources!$B$7:$B$10,0)),6),"")</f>
        <v>5.66</v>
      </c>
      <c r="J1032" s="98" t="s">
        <v>530</v>
      </c>
      <c r="K1032" s="98" t="s">
        <v>2059</v>
      </c>
      <c r="L1032" s="96"/>
      <c r="M1032" s="110" t="s">
        <v>3404</v>
      </c>
      <c r="N1032" s="117" t="s">
        <v>3405</v>
      </c>
      <c r="O1032" s="110" t="s">
        <v>2944</v>
      </c>
      <c r="P1032" s="110" t="s">
        <v>590</v>
      </c>
      <c r="Q1032" s="118" t="n">
        <v>0.19</v>
      </c>
      <c r="R1032" s="110" t="n">
        <v>1</v>
      </c>
      <c r="S1032" s="110" t="s">
        <v>632</v>
      </c>
      <c r="T1032" s="110" t="s">
        <v>530</v>
      </c>
      <c r="U1032" s="110" t="s">
        <v>2913</v>
      </c>
      <c r="V1032" s="119" t="n">
        <v>5.66</v>
      </c>
      <c r="W1032" s="119"/>
      <c r="X1032" s="110" t="s">
        <v>2063</v>
      </c>
      <c r="Y1032" s="110" t="s">
        <v>2064</v>
      </c>
      <c r="Z1032" s="110" t="s">
        <v>2978</v>
      </c>
      <c r="AA1032" s="110" t="s">
        <v>537</v>
      </c>
      <c r="AB1032" s="110" t="s">
        <v>244</v>
      </c>
      <c r="AC1032" s="110" t="s">
        <v>538</v>
      </c>
      <c r="AD1032" s="110" t="n">
        <f aca="false">IF(OR(F1032="",Q1032="",R1032=""),"",ROUND(IF(P1032="incl.",F1032/(1+Q1032),F1032)/IF(S1032="per pack",R1032,1),2))</f>
        <v>5.66</v>
      </c>
      <c r="AE1032" s="110" t="str">
        <f aca="false">IF(AND(AC1032="yes",ISNUMBER(F1032),IF(Compare!$H$5="All mapped",TRUE(),IF(Compare!$H$5="EXACT only",J1032="EXACT",OR(J1032="EXACT",J1032="CLOSE")))),"yes","no")</f>
        <v>yes</v>
      </c>
      <c r="AF1032" s="110" t="n">
        <f aca="false">IF(ISNUMBER(H1032),COUNTIFS($B$7:$B$3000,B1032,$C$7:$C$3000,C1032,$H$7:$H$3000,"&lt;"&amp;H1032,$AH$7:$AH$3000,"yes")+COUNTIFS($B$7:B1032,B1032,$C$7:C1032,C1032,$H$7:H1032,H1032,$AH$7:AH1032,"yes"),"")</f>
        <v>5</v>
      </c>
      <c r="AG1032" s="110" t="n">
        <f aca="false">IF(ISNUMBER(I1032),COUNTIFS($B$7:$B$3000,B1032,$C$7:$C$3000,C1032,$I$7:$I$3000,"&lt;"&amp;I1032,$AI$7:$AI$3000,"yes")+COUNTIFS($B$7:B1032,B1032,$C$7:C1032,C1032,$I$7:I1032,I1032,$AI$7:AI1032,"yes"),"")</f>
        <v>5</v>
      </c>
      <c r="AH1032" s="110" t="str">
        <f aca="false">IF(ISNUMBER(H1032),"yes","no")</f>
        <v>yes</v>
      </c>
      <c r="AI1032" s="110" t="str">
        <f aca="false">IF(ISNUMBER(I1032),"yes","no")</f>
        <v>yes</v>
      </c>
      <c r="AJ1032" s="120" t="n">
        <v>46297</v>
      </c>
      <c r="AK1032" s="110"/>
    </row>
    <row r="1033" customFormat="false" ht="35.05" hidden="false" customHeight="false" outlineLevel="0" collapsed="false">
      <c r="B1033" s="36" t="s">
        <v>71</v>
      </c>
      <c r="C1033" s="98" t="s">
        <v>16</v>
      </c>
      <c r="D1033" s="98" t="s">
        <v>329</v>
      </c>
      <c r="E1033" s="110" t="s">
        <v>3384</v>
      </c>
      <c r="F1033" s="99" t="n">
        <v>1.6</v>
      </c>
      <c r="G1033" s="98" t="s">
        <v>244</v>
      </c>
      <c r="H1033" s="112" t="n">
        <f aca="false">IF(AND(AE1033="yes",ISNUMBER(AD1033)),AD1033,"")</f>
        <v>1.6</v>
      </c>
      <c r="I1033" s="95" t="n">
        <f aca="false">IF(AND(AE1033="yes",ISNUMBER(AD1033),ISNUMBER(INDEX(Sources!$G$7:$G$10,MATCH(AB1033,Sources!$B$7:$B$10,0)))),ROUND(AD1033/INDEX(Sources!$G$7:$G$10,MATCH(AB1033,Sources!$B$7:$B$10,0)),6),"")</f>
        <v>1.6</v>
      </c>
      <c r="J1033" s="98" t="s">
        <v>530</v>
      </c>
      <c r="K1033" s="98" t="s">
        <v>2059</v>
      </c>
      <c r="L1033" s="96"/>
      <c r="M1033" s="110" t="s">
        <v>3406</v>
      </c>
      <c r="N1033" s="117" t="s">
        <v>3407</v>
      </c>
      <c r="O1033" s="110" t="s">
        <v>598</v>
      </c>
      <c r="P1033" s="110" t="s">
        <v>590</v>
      </c>
      <c r="Q1033" s="118" t="n">
        <v>0.19</v>
      </c>
      <c r="R1033" s="110" t="n">
        <v>1</v>
      </c>
      <c r="S1033" s="110" t="s">
        <v>632</v>
      </c>
      <c r="T1033" s="110" t="s">
        <v>530</v>
      </c>
      <c r="U1033" s="110" t="s">
        <v>2913</v>
      </c>
      <c r="V1033" s="119" t="n">
        <v>1.6</v>
      </c>
      <c r="W1033" s="119"/>
      <c r="X1033" s="110" t="s">
        <v>2063</v>
      </c>
      <c r="Y1033" s="110" t="s">
        <v>2064</v>
      </c>
      <c r="Z1033" s="110" t="s">
        <v>2624</v>
      </c>
      <c r="AA1033" s="110" t="s">
        <v>537</v>
      </c>
      <c r="AB1033" s="110" t="s">
        <v>244</v>
      </c>
      <c r="AC1033" s="110" t="s">
        <v>538</v>
      </c>
      <c r="AD1033" s="110" t="n">
        <f aca="false">IF(OR(F1033="",Q1033="",R1033=""),"",ROUND(IF(P1033="incl.",F1033/(1+Q1033),F1033)/IF(S1033="per pack",R1033,1),2))</f>
        <v>1.6</v>
      </c>
      <c r="AE1033" s="110" t="str">
        <f aca="false">IF(AND(AC1033="yes",ISNUMBER(F1033),IF(Compare!$H$5="All mapped",TRUE(),IF(Compare!$H$5="EXACT only",J1033="EXACT",OR(J1033="EXACT",J1033="CLOSE")))),"yes","no")</f>
        <v>yes</v>
      </c>
      <c r="AF1033" s="110" t="n">
        <f aca="false">IF(ISNUMBER(H1033),COUNTIFS($B$7:$B$3000,B1033,$C$7:$C$3000,C1033,$H$7:$H$3000,"&lt;"&amp;H1033,$AH$7:$AH$3000,"yes")+COUNTIFS($B$7:B1033,B1033,$C$7:C1033,C1033,$H$7:H1033,H1033,$AH$7:AH1033,"yes"),"")</f>
        <v>1</v>
      </c>
      <c r="AG1033" s="110" t="n">
        <f aca="false">IF(ISNUMBER(I1033),COUNTIFS($B$7:$B$3000,B1033,$C$7:$C$3000,C1033,$I$7:$I$3000,"&lt;"&amp;I1033,$AI$7:$AI$3000,"yes")+COUNTIFS($B$7:B1033,B1033,$C$7:C1033,C1033,$I$7:I1033,I1033,$AI$7:AI1033,"yes"),"")</f>
        <v>1</v>
      </c>
      <c r="AH1033" s="110" t="str">
        <f aca="false">IF(ISNUMBER(H1033),"yes","no")</f>
        <v>yes</v>
      </c>
      <c r="AI1033" s="110" t="str">
        <f aca="false">IF(ISNUMBER(I1033),"yes","no")</f>
        <v>yes</v>
      </c>
      <c r="AJ1033" s="120" t="n">
        <v>46297</v>
      </c>
      <c r="AK1033" s="110"/>
    </row>
    <row r="1034" customFormat="false" ht="35.05" hidden="false" customHeight="false" outlineLevel="0" collapsed="false">
      <c r="B1034" s="36" t="s">
        <v>71</v>
      </c>
      <c r="C1034" s="98" t="s">
        <v>17</v>
      </c>
      <c r="D1034" s="98" t="s">
        <v>338</v>
      </c>
      <c r="E1034" s="110" t="s">
        <v>3408</v>
      </c>
      <c r="F1034" s="99" t="n">
        <v>112</v>
      </c>
      <c r="G1034" s="98" t="s">
        <v>333</v>
      </c>
      <c r="H1034" s="112" t="n">
        <f aca="false">IF(AND(AE1034="yes",ISNUMBER(AD1034)),AD1034,"")</f>
        <v>112</v>
      </c>
      <c r="I1034" s="95" t="n">
        <f aca="false">IF(AND(AE1034="yes",ISNUMBER(AD1034),ISNUMBER(INDEX(Sources!$G$7:$G$10,MATCH(AB1034,Sources!$B$7:$B$10,0)))),ROUND(AD1034/INDEX(Sources!$G$7:$G$10,MATCH(AB1034,Sources!$B$7:$B$10,0)),6),"")</f>
        <v>4.585726</v>
      </c>
      <c r="J1034" s="98" t="s">
        <v>530</v>
      </c>
      <c r="K1034" s="98" t="s">
        <v>2059</v>
      </c>
      <c r="L1034" s="96"/>
      <c r="M1034" s="110" t="s">
        <v>3409</v>
      </c>
      <c r="N1034" s="117" t="s">
        <v>3410</v>
      </c>
      <c r="O1034" s="110" t="s">
        <v>388</v>
      </c>
      <c r="P1034" s="110" t="s">
        <v>590</v>
      </c>
      <c r="Q1034" s="118" t="n">
        <v>0.21</v>
      </c>
      <c r="R1034" s="110" t="n">
        <v>1</v>
      </c>
      <c r="S1034" s="110" t="s">
        <v>632</v>
      </c>
      <c r="T1034" s="110" t="s">
        <v>530</v>
      </c>
      <c r="U1034" s="110" t="s">
        <v>2913</v>
      </c>
      <c r="V1034" s="119" t="n">
        <v>112</v>
      </c>
      <c r="W1034" s="119"/>
      <c r="X1034" s="110" t="s">
        <v>2063</v>
      </c>
      <c r="Y1034" s="110" t="s">
        <v>2064</v>
      </c>
      <c r="Z1034" s="110" t="s">
        <v>3167</v>
      </c>
      <c r="AA1034" s="110" t="s">
        <v>537</v>
      </c>
      <c r="AB1034" s="110" t="s">
        <v>333</v>
      </c>
      <c r="AC1034" s="110" t="s">
        <v>538</v>
      </c>
      <c r="AD1034" s="110" t="n">
        <f aca="false">IF(OR(F1034="",Q1034="",R1034=""),"",ROUND(IF(P1034="incl.",F1034/(1+Q1034),F1034)/IF(S1034="per pack",R1034,1),2))</f>
        <v>112</v>
      </c>
      <c r="AE1034" s="110" t="str">
        <f aca="false">IF(AND(AC1034="yes",ISNUMBER(F1034),IF(Compare!$H$5="All mapped",TRUE(),IF(Compare!$H$5="EXACT only",J1034="EXACT",OR(J1034="EXACT",J1034="CLOSE")))),"yes","no")</f>
        <v>yes</v>
      </c>
      <c r="AF1034" s="110" t="n">
        <f aca="false">IF(ISNUMBER(H1034),COUNTIFS($B$7:$B$3000,B1034,$C$7:$C$3000,C1034,$H$7:$H$3000,"&lt;"&amp;H1034,$AH$7:$AH$3000,"yes")+COUNTIFS($B$7:B1034,B1034,$C$7:C1034,C1034,$H$7:H1034,H1034,$AH$7:AH1034,"yes"),"")</f>
        <v>3</v>
      </c>
      <c r="AG1034" s="110" t="n">
        <f aca="false">IF(ISNUMBER(I1034),COUNTIFS($B$7:$B$3000,B1034,$C$7:$C$3000,C1034,$I$7:$I$3000,"&lt;"&amp;I1034,$AI$7:$AI$3000,"yes")+COUNTIFS($B$7:B1034,B1034,$C$7:C1034,C1034,$I$7:I1034,I1034,$AI$7:AI1034,"yes"),"")</f>
        <v>3</v>
      </c>
      <c r="AH1034" s="110" t="str">
        <f aca="false">IF(ISNUMBER(H1034),"yes","no")</f>
        <v>yes</v>
      </c>
      <c r="AI1034" s="110" t="str">
        <f aca="false">IF(ISNUMBER(I1034),"yes","no")</f>
        <v>yes</v>
      </c>
      <c r="AJ1034" s="120" t="n">
        <v>46297</v>
      </c>
      <c r="AK1034" s="110"/>
    </row>
    <row r="1035" customFormat="false" ht="35.05" hidden="false" customHeight="false" outlineLevel="0" collapsed="false">
      <c r="B1035" s="36" t="s">
        <v>71</v>
      </c>
      <c r="C1035" s="98" t="s">
        <v>17</v>
      </c>
      <c r="D1035" s="98" t="s">
        <v>342</v>
      </c>
      <c r="E1035" s="110" t="s">
        <v>3411</v>
      </c>
      <c r="F1035" s="99" t="n">
        <v>84</v>
      </c>
      <c r="G1035" s="98" t="s">
        <v>333</v>
      </c>
      <c r="H1035" s="112" t="n">
        <f aca="false">IF(AND(AE1035="yes",ISNUMBER(AD1035)),AD1035,"")</f>
        <v>84</v>
      </c>
      <c r="I1035" s="95" t="n">
        <f aca="false">IF(AND(AE1035="yes",ISNUMBER(AD1035),ISNUMBER(INDEX(Sources!$G$7:$G$10,MATCH(AB1035,Sources!$B$7:$B$10,0)))),ROUND(AD1035/INDEX(Sources!$G$7:$G$10,MATCH(AB1035,Sources!$B$7:$B$10,0)),6),"")</f>
        <v>3.439294</v>
      </c>
      <c r="J1035" s="98" t="s">
        <v>530</v>
      </c>
      <c r="K1035" s="98" t="s">
        <v>2059</v>
      </c>
      <c r="L1035" s="96"/>
      <c r="M1035" s="110" t="s">
        <v>3412</v>
      </c>
      <c r="N1035" s="117" t="s">
        <v>3413</v>
      </c>
      <c r="O1035" s="110" t="s">
        <v>1138</v>
      </c>
      <c r="P1035" s="110" t="s">
        <v>590</v>
      </c>
      <c r="Q1035" s="118" t="n">
        <v>0.21</v>
      </c>
      <c r="R1035" s="110" t="n">
        <v>1</v>
      </c>
      <c r="S1035" s="110" t="s">
        <v>632</v>
      </c>
      <c r="T1035" s="110" t="s">
        <v>530</v>
      </c>
      <c r="U1035" s="110" t="s">
        <v>2913</v>
      </c>
      <c r="V1035" s="119" t="n">
        <v>84</v>
      </c>
      <c r="W1035" s="119"/>
      <c r="X1035" s="110" t="s">
        <v>2063</v>
      </c>
      <c r="Y1035" s="110" t="s">
        <v>2064</v>
      </c>
      <c r="Z1035" s="110" t="s">
        <v>2989</v>
      </c>
      <c r="AA1035" s="110" t="s">
        <v>537</v>
      </c>
      <c r="AB1035" s="110" t="s">
        <v>333</v>
      </c>
      <c r="AC1035" s="110" t="s">
        <v>538</v>
      </c>
      <c r="AD1035" s="110" t="n">
        <f aca="false">IF(OR(F1035="",Q1035="",R1035=""),"",ROUND(IF(P1035="incl.",F1035/(1+Q1035),F1035)/IF(S1035="per pack",R1035,1),2))</f>
        <v>84</v>
      </c>
      <c r="AE1035" s="110" t="str">
        <f aca="false">IF(AND(AC1035="yes",ISNUMBER(F1035),IF(Compare!$H$5="All mapped",TRUE(),IF(Compare!$H$5="EXACT only",J1035="EXACT",OR(J1035="EXACT",J1035="CLOSE")))),"yes","no")</f>
        <v>yes</v>
      </c>
      <c r="AF1035" s="110" t="n">
        <f aca="false">IF(ISNUMBER(H1035),COUNTIFS($B$7:$B$3000,B1035,$C$7:$C$3000,C1035,$H$7:$H$3000,"&lt;"&amp;H1035,$AH$7:$AH$3000,"yes")+COUNTIFS($B$7:B1035,B1035,$C$7:C1035,C1035,$H$7:H1035,H1035,$AH$7:AH1035,"yes"),"")</f>
        <v>2</v>
      </c>
      <c r="AG1035" s="110" t="n">
        <f aca="false">IF(ISNUMBER(I1035),COUNTIFS($B$7:$B$3000,B1035,$C$7:$C$3000,C1035,$I$7:$I$3000,"&lt;"&amp;I1035,$AI$7:$AI$3000,"yes")+COUNTIFS($B$7:B1035,B1035,$C$7:C1035,C1035,$I$7:I1035,I1035,$AI$7:AI1035,"yes"),"")</f>
        <v>2</v>
      </c>
      <c r="AH1035" s="110" t="str">
        <f aca="false">IF(ISNUMBER(H1035),"yes","no")</f>
        <v>yes</v>
      </c>
      <c r="AI1035" s="110" t="str">
        <f aca="false">IF(ISNUMBER(I1035),"yes","no")</f>
        <v>yes</v>
      </c>
      <c r="AJ1035" s="120" t="n">
        <v>46297</v>
      </c>
      <c r="AK1035" s="110"/>
    </row>
    <row r="1036" customFormat="false" ht="46.25" hidden="false" customHeight="false" outlineLevel="0" collapsed="false">
      <c r="B1036" s="36" t="s">
        <v>71</v>
      </c>
      <c r="C1036" s="98" t="s">
        <v>17</v>
      </c>
      <c r="D1036" s="98" t="s">
        <v>346</v>
      </c>
      <c r="E1036" s="110" t="s">
        <v>3414</v>
      </c>
      <c r="F1036" s="99" t="n">
        <v>181</v>
      </c>
      <c r="G1036" s="98" t="s">
        <v>333</v>
      </c>
      <c r="H1036" s="112" t="n">
        <f aca="false">IF(AND(AE1036="yes",ISNUMBER(AD1036)),AD1036,"")</f>
        <v>181</v>
      </c>
      <c r="I1036" s="95" t="n">
        <f aca="false">IF(AND(AE1036="yes",ISNUMBER(AD1036),ISNUMBER(INDEX(Sources!$G$7:$G$10,MATCH(AB1036,Sources!$B$7:$B$10,0)))),ROUND(AD1036/INDEX(Sources!$G$7:$G$10,MATCH(AB1036,Sources!$B$7:$B$10,0)),6),"")</f>
        <v>7.41086</v>
      </c>
      <c r="J1036" s="98" t="s">
        <v>530</v>
      </c>
      <c r="K1036" s="98" t="s">
        <v>2059</v>
      </c>
      <c r="L1036" s="96"/>
      <c r="M1036" s="110" t="s">
        <v>3415</v>
      </c>
      <c r="N1036" s="117" t="s">
        <v>3416</v>
      </c>
      <c r="O1036" s="110" t="s">
        <v>565</v>
      </c>
      <c r="P1036" s="110" t="s">
        <v>590</v>
      </c>
      <c r="Q1036" s="118" t="n">
        <v>0.21</v>
      </c>
      <c r="R1036" s="110" t="n">
        <v>1</v>
      </c>
      <c r="S1036" s="110" t="s">
        <v>632</v>
      </c>
      <c r="T1036" s="110" t="s">
        <v>530</v>
      </c>
      <c r="U1036" s="110" t="s">
        <v>2913</v>
      </c>
      <c r="V1036" s="119" t="n">
        <v>181</v>
      </c>
      <c r="W1036" s="119"/>
      <c r="X1036" s="110" t="s">
        <v>2063</v>
      </c>
      <c r="Y1036" s="110" t="s">
        <v>2064</v>
      </c>
      <c r="Z1036" s="110" t="s">
        <v>2993</v>
      </c>
      <c r="AA1036" s="110" t="s">
        <v>537</v>
      </c>
      <c r="AB1036" s="110" t="s">
        <v>333</v>
      </c>
      <c r="AC1036" s="110" t="s">
        <v>538</v>
      </c>
      <c r="AD1036" s="110" t="n">
        <f aca="false">IF(OR(F1036="",Q1036="",R1036=""),"",ROUND(IF(P1036="incl.",F1036/(1+Q1036),F1036)/IF(S1036="per pack",R1036,1),2))</f>
        <v>181</v>
      </c>
      <c r="AE1036" s="110" t="str">
        <f aca="false">IF(AND(AC1036="yes",ISNUMBER(F1036),IF(Compare!$H$5="All mapped",TRUE(),IF(Compare!$H$5="EXACT only",J1036="EXACT",OR(J1036="EXACT",J1036="CLOSE")))),"yes","no")</f>
        <v>yes</v>
      </c>
      <c r="AF1036" s="110" t="n">
        <f aca="false">IF(ISNUMBER(H1036),COUNTIFS($B$7:$B$3000,B1036,$C$7:$C$3000,C1036,$H$7:$H$3000,"&lt;"&amp;H1036,$AH$7:$AH$3000,"yes")+COUNTIFS($B$7:B1036,B1036,$C$7:C1036,C1036,$H$7:H1036,H1036,$AH$7:AH1036,"yes"),"")</f>
        <v>5</v>
      </c>
      <c r="AG1036" s="110" t="n">
        <f aca="false">IF(ISNUMBER(I1036),COUNTIFS($B$7:$B$3000,B1036,$C$7:$C$3000,C1036,$I$7:$I$3000,"&lt;"&amp;I1036,$AI$7:$AI$3000,"yes")+COUNTIFS($B$7:B1036,B1036,$C$7:C1036,C1036,$I$7:I1036,I1036,$AI$7:AI1036,"yes"),"")</f>
        <v>5</v>
      </c>
      <c r="AH1036" s="110" t="str">
        <f aca="false">IF(ISNUMBER(H1036),"yes","no")</f>
        <v>yes</v>
      </c>
      <c r="AI1036" s="110" t="str">
        <f aca="false">IF(ISNUMBER(I1036),"yes","no")</f>
        <v>yes</v>
      </c>
      <c r="AJ1036" s="120" t="n">
        <v>46297</v>
      </c>
      <c r="AK1036" s="110"/>
    </row>
    <row r="1037" customFormat="false" ht="35.05" hidden="false" customHeight="false" outlineLevel="0" collapsed="false">
      <c r="B1037" s="36" t="s">
        <v>71</v>
      </c>
      <c r="C1037" s="98" t="s">
        <v>17</v>
      </c>
      <c r="D1037" s="98" t="s">
        <v>350</v>
      </c>
      <c r="E1037" s="110" t="s">
        <v>3417</v>
      </c>
      <c r="F1037" s="99" t="n">
        <v>97</v>
      </c>
      <c r="G1037" s="98" t="s">
        <v>333</v>
      </c>
      <c r="H1037" s="112" t="n">
        <f aca="false">IF(AND(AE1037="yes",ISNUMBER(AD1037)),AD1037,"")</f>
        <v>80.17</v>
      </c>
      <c r="I1037" s="95" t="n">
        <f aca="false">IF(AND(AE1037="yes",ISNUMBER(AD1037),ISNUMBER(INDEX(Sources!$G$7:$G$10,MATCH(AB1037,Sources!$B$7:$B$10,0)))),ROUND(AD1037/INDEX(Sources!$G$7:$G$10,MATCH(AB1037,Sources!$B$7:$B$10,0)),6),"")</f>
        <v>3.282479</v>
      </c>
      <c r="J1037" s="98" t="s">
        <v>530</v>
      </c>
      <c r="K1037" s="98" t="s">
        <v>2059</v>
      </c>
      <c r="L1037" s="96"/>
      <c r="M1037" s="110" t="s">
        <v>3418</v>
      </c>
      <c r="N1037" s="117" t="s">
        <v>3419</v>
      </c>
      <c r="O1037" s="110" t="s">
        <v>2997</v>
      </c>
      <c r="P1037" s="110" t="s">
        <v>265</v>
      </c>
      <c r="Q1037" s="118" t="n">
        <v>0.21</v>
      </c>
      <c r="R1037" s="110" t="n">
        <v>1</v>
      </c>
      <c r="S1037" s="110" t="s">
        <v>632</v>
      </c>
      <c r="T1037" s="110" t="s">
        <v>530</v>
      </c>
      <c r="U1037" s="110" t="s">
        <v>2918</v>
      </c>
      <c r="V1037" s="119" t="n">
        <v>80.17</v>
      </c>
      <c r="W1037" s="119"/>
      <c r="X1037" s="110" t="s">
        <v>2063</v>
      </c>
      <c r="Y1037" s="110" t="s">
        <v>2064</v>
      </c>
      <c r="Z1037" s="110" t="s">
        <v>2349</v>
      </c>
      <c r="AA1037" s="110" t="s">
        <v>537</v>
      </c>
      <c r="AB1037" s="110" t="s">
        <v>333</v>
      </c>
      <c r="AC1037" s="110" t="s">
        <v>538</v>
      </c>
      <c r="AD1037" s="110" t="n">
        <f aca="false">IF(OR(F1037="",Q1037="",R1037=""),"",ROUND(IF(P1037="incl.",F1037/(1+Q1037),F1037)/IF(S1037="per pack",R1037,1),2))</f>
        <v>80.17</v>
      </c>
      <c r="AE1037" s="110" t="str">
        <f aca="false">IF(AND(AC1037="yes",ISNUMBER(F1037),IF(Compare!$H$5="All mapped",TRUE(),IF(Compare!$H$5="EXACT only",J1037="EXACT",OR(J1037="EXACT",J1037="CLOSE")))),"yes","no")</f>
        <v>yes</v>
      </c>
      <c r="AF1037" s="110" t="n">
        <f aca="false">IF(ISNUMBER(H1037),COUNTIFS($B$7:$B$3000,B1037,$C$7:$C$3000,C1037,$H$7:$H$3000,"&lt;"&amp;H1037,$AH$7:$AH$3000,"yes")+COUNTIFS($B$7:B1037,B1037,$C$7:C1037,C1037,$H$7:H1037,H1037,$AH$7:AH1037,"yes"),"")</f>
        <v>1</v>
      </c>
      <c r="AG1037" s="110" t="n">
        <f aca="false">IF(ISNUMBER(I1037),COUNTIFS($B$7:$B$3000,B1037,$C$7:$C$3000,C1037,$I$7:$I$3000,"&lt;"&amp;I1037,$AI$7:$AI$3000,"yes")+COUNTIFS($B$7:B1037,B1037,$C$7:C1037,C1037,$I$7:I1037,I1037,$AI$7:AI1037,"yes"),"")</f>
        <v>1</v>
      </c>
      <c r="AH1037" s="110" t="str">
        <f aca="false">IF(ISNUMBER(H1037),"yes","no")</f>
        <v>yes</v>
      </c>
      <c r="AI1037" s="110" t="str">
        <f aca="false">IF(ISNUMBER(I1037),"yes","no")</f>
        <v>yes</v>
      </c>
      <c r="AJ1037" s="120" t="n">
        <v>46297</v>
      </c>
      <c r="AK1037" s="110"/>
    </row>
    <row r="1038" customFormat="false" ht="23.85" hidden="false" customHeight="false" outlineLevel="0" collapsed="false">
      <c r="B1038" s="36" t="s">
        <v>71</v>
      </c>
      <c r="C1038" s="98" t="s">
        <v>17</v>
      </c>
      <c r="D1038" s="98" t="s">
        <v>361</v>
      </c>
      <c r="E1038" s="110" t="s">
        <v>3420</v>
      </c>
      <c r="F1038" s="99" t="n">
        <v>139</v>
      </c>
      <c r="G1038" s="98" t="s">
        <v>333</v>
      </c>
      <c r="H1038" s="112" t="n">
        <f aca="false">IF(AND(AE1038="yes",ISNUMBER(AD1038)),AD1038,"")</f>
        <v>139</v>
      </c>
      <c r="I1038" s="95" t="n">
        <f aca="false">IF(AND(AE1038="yes",ISNUMBER(AD1038),ISNUMBER(INDEX(Sources!$G$7:$G$10,MATCH(AB1038,Sources!$B$7:$B$10,0)))),ROUND(AD1038/INDEX(Sources!$G$7:$G$10,MATCH(AB1038,Sources!$B$7:$B$10,0)),6),"")</f>
        <v>5.691213</v>
      </c>
      <c r="J1038" s="98" t="s">
        <v>530</v>
      </c>
      <c r="K1038" s="98" t="s">
        <v>2059</v>
      </c>
      <c r="L1038" s="96"/>
      <c r="M1038" s="110" t="s">
        <v>3421</v>
      </c>
      <c r="N1038" s="117" t="s">
        <v>3422</v>
      </c>
      <c r="O1038" s="110" t="s">
        <v>642</v>
      </c>
      <c r="P1038" s="110" t="s">
        <v>590</v>
      </c>
      <c r="Q1038" s="118" t="n">
        <v>0.21</v>
      </c>
      <c r="R1038" s="110" t="n">
        <v>1</v>
      </c>
      <c r="S1038" s="110" t="s">
        <v>632</v>
      </c>
      <c r="T1038" s="110" t="s">
        <v>530</v>
      </c>
      <c r="U1038" s="110" t="s">
        <v>2913</v>
      </c>
      <c r="V1038" s="119" t="n">
        <v>139</v>
      </c>
      <c r="W1038" s="119"/>
      <c r="X1038" s="110" t="s">
        <v>2063</v>
      </c>
      <c r="Y1038" s="110" t="s">
        <v>2064</v>
      </c>
      <c r="Z1038" s="110" t="s">
        <v>3423</v>
      </c>
      <c r="AA1038" s="110" t="s">
        <v>537</v>
      </c>
      <c r="AB1038" s="110" t="s">
        <v>333</v>
      </c>
      <c r="AC1038" s="110" t="s">
        <v>538</v>
      </c>
      <c r="AD1038" s="110" t="n">
        <f aca="false">IF(OR(F1038="",Q1038="",R1038=""),"",ROUND(IF(P1038="incl.",F1038/(1+Q1038),F1038)/IF(S1038="per pack",R1038,1),2))</f>
        <v>139</v>
      </c>
      <c r="AE1038" s="110" t="str">
        <f aca="false">IF(AND(AC1038="yes",ISNUMBER(F1038),IF(Compare!$H$5="All mapped",TRUE(),IF(Compare!$H$5="EXACT only",J1038="EXACT",OR(J1038="EXACT",J1038="CLOSE")))),"yes","no")</f>
        <v>yes</v>
      </c>
      <c r="AF1038" s="110" t="n">
        <f aca="false">IF(ISNUMBER(H1038),COUNTIFS($B$7:$B$3000,B1038,$C$7:$C$3000,C1038,$H$7:$H$3000,"&lt;"&amp;H1038,$AH$7:$AH$3000,"yes")+COUNTIFS($B$7:B1038,B1038,$C$7:C1038,C1038,$H$7:H1038,H1038,$AH$7:AH1038,"yes"),"")</f>
        <v>4</v>
      </c>
      <c r="AG1038" s="110" t="n">
        <f aca="false">IF(ISNUMBER(I1038),COUNTIFS($B$7:$B$3000,B1038,$C$7:$C$3000,C1038,$I$7:$I$3000,"&lt;"&amp;I1038,$AI$7:$AI$3000,"yes")+COUNTIFS($B$7:B1038,B1038,$C$7:C1038,C1038,$I$7:I1038,I1038,$AI$7:AI1038,"yes"),"")</f>
        <v>4</v>
      </c>
      <c r="AH1038" s="110" t="str">
        <f aca="false">IF(ISNUMBER(H1038),"yes","no")</f>
        <v>yes</v>
      </c>
      <c r="AI1038" s="110" t="str">
        <f aca="false">IF(ISNUMBER(I1038),"yes","no")</f>
        <v>yes</v>
      </c>
      <c r="AJ1038" s="120" t="n">
        <v>46297</v>
      </c>
      <c r="AK1038" s="110"/>
    </row>
    <row r="1039" customFormat="false" ht="23.85" hidden="false" customHeight="false" outlineLevel="0" collapsed="false">
      <c r="B1039" s="36" t="s">
        <v>71</v>
      </c>
      <c r="C1039" s="98" t="s">
        <v>18</v>
      </c>
      <c r="D1039" s="98" t="s">
        <v>3002</v>
      </c>
      <c r="E1039" s="110" t="s">
        <v>3424</v>
      </c>
      <c r="F1039" s="99" t="n">
        <v>5.35</v>
      </c>
      <c r="G1039" s="98" t="s">
        <v>244</v>
      </c>
      <c r="H1039" s="112" t="n">
        <f aca="false">IF(AND(AE1039="yes",ISNUMBER(AD1039)),AD1039,"")</f>
        <v>5.35</v>
      </c>
      <c r="I1039" s="95" t="n">
        <f aca="false">IF(AND(AE1039="yes",ISNUMBER(AD1039),ISNUMBER(INDEX(Sources!$G$7:$G$10,MATCH(AB1039,Sources!$B$7:$B$10,0)))),ROUND(AD1039/INDEX(Sources!$G$7:$G$10,MATCH(AB1039,Sources!$B$7:$B$10,0)),6),"")</f>
        <v>5.35</v>
      </c>
      <c r="J1039" s="98" t="s">
        <v>530</v>
      </c>
      <c r="K1039" s="98" t="s">
        <v>2059</v>
      </c>
      <c r="L1039" s="96"/>
      <c r="M1039" s="110" t="s">
        <v>3425</v>
      </c>
      <c r="N1039" s="117" t="s">
        <v>3005</v>
      </c>
      <c r="O1039" s="110" t="s">
        <v>2396</v>
      </c>
      <c r="P1039" s="110" t="s">
        <v>590</v>
      </c>
      <c r="Q1039" s="118" t="n">
        <v>0.23</v>
      </c>
      <c r="R1039" s="110" t="n">
        <v>1</v>
      </c>
      <c r="S1039" s="110" t="s">
        <v>632</v>
      </c>
      <c r="T1039" s="110" t="s">
        <v>530</v>
      </c>
      <c r="U1039" s="110" t="s">
        <v>2913</v>
      </c>
      <c r="V1039" s="119" t="n">
        <v>5.35</v>
      </c>
      <c r="W1039" s="119"/>
      <c r="X1039" s="110" t="s">
        <v>2063</v>
      </c>
      <c r="Y1039" s="110" t="s">
        <v>2064</v>
      </c>
      <c r="Z1039" s="110" t="s">
        <v>3006</v>
      </c>
      <c r="AA1039" s="110" t="s">
        <v>537</v>
      </c>
      <c r="AB1039" s="110" t="s">
        <v>244</v>
      </c>
      <c r="AC1039" s="110" t="s">
        <v>538</v>
      </c>
      <c r="AD1039" s="110" t="n">
        <f aca="false">IF(OR(F1039="",Q1039="",R1039=""),"",ROUND(IF(P1039="incl.",F1039/(1+Q1039),F1039)/IF(S1039="per pack",R1039,1),2))</f>
        <v>5.35</v>
      </c>
      <c r="AE1039" s="110" t="str">
        <f aca="false">IF(AND(AC1039="yes",ISNUMBER(F1039),IF(Compare!$H$5="All mapped",TRUE(),IF(Compare!$H$5="EXACT only",J1039="EXACT",OR(J1039="EXACT",J1039="CLOSE")))),"yes","no")</f>
        <v>yes</v>
      </c>
      <c r="AF1039" s="110" t="n">
        <f aca="false">IF(ISNUMBER(H1039),COUNTIFS($B$7:$B$3000,B1039,$C$7:$C$3000,C1039,$H$7:$H$3000,"&lt;"&amp;H1039,$AH$7:$AH$3000,"yes")+COUNTIFS($B$7:B1039,B1039,$C$7:C1039,C1039,$H$7:H1039,H1039,$AH$7:AH1039,"yes"),"")</f>
        <v>4</v>
      </c>
      <c r="AG1039" s="110" t="n">
        <f aca="false">IF(ISNUMBER(I1039),COUNTIFS($B$7:$B$3000,B1039,$C$7:$C$3000,C1039,$I$7:$I$3000,"&lt;"&amp;I1039,$AI$7:$AI$3000,"yes")+COUNTIFS($B$7:B1039,B1039,$C$7:C1039,C1039,$I$7:I1039,I1039,$AI$7:AI1039,"yes"),"")</f>
        <v>4</v>
      </c>
      <c r="AH1039" s="110" t="str">
        <f aca="false">IF(ISNUMBER(H1039),"yes","no")</f>
        <v>yes</v>
      </c>
      <c r="AI1039" s="110" t="str">
        <f aca="false">IF(ISNUMBER(I1039),"yes","no")</f>
        <v>yes</v>
      </c>
      <c r="AJ1039" s="120" t="n">
        <v>46297</v>
      </c>
      <c r="AK1039" s="110"/>
    </row>
    <row r="1040" customFormat="false" ht="23.85" hidden="false" customHeight="false" outlineLevel="0" collapsed="false">
      <c r="B1040" s="36" t="s">
        <v>71</v>
      </c>
      <c r="C1040" s="98" t="s">
        <v>18</v>
      </c>
      <c r="D1040" s="98" t="s">
        <v>3007</v>
      </c>
      <c r="E1040" s="110" t="s">
        <v>3426</v>
      </c>
      <c r="F1040" s="99" t="n">
        <v>4.43</v>
      </c>
      <c r="G1040" s="98" t="s">
        <v>244</v>
      </c>
      <c r="H1040" s="112" t="n">
        <f aca="false">IF(AND(AE1040="yes",ISNUMBER(AD1040)),AD1040,"")</f>
        <v>4.43</v>
      </c>
      <c r="I1040" s="95" t="n">
        <f aca="false">IF(AND(AE1040="yes",ISNUMBER(AD1040),ISNUMBER(INDEX(Sources!$G$7:$G$10,MATCH(AB1040,Sources!$B$7:$B$10,0)))),ROUND(AD1040/INDEX(Sources!$G$7:$G$10,MATCH(AB1040,Sources!$B$7:$B$10,0)),6),"")</f>
        <v>4.43</v>
      </c>
      <c r="J1040" s="98" t="s">
        <v>530</v>
      </c>
      <c r="K1040" s="98" t="s">
        <v>2059</v>
      </c>
      <c r="L1040" s="96"/>
      <c r="M1040" s="110" t="s">
        <v>3427</v>
      </c>
      <c r="N1040" s="117" t="s">
        <v>3010</v>
      </c>
      <c r="O1040" s="110" t="s">
        <v>3011</v>
      </c>
      <c r="P1040" s="110" t="s">
        <v>590</v>
      </c>
      <c r="Q1040" s="118" t="n">
        <v>0.23</v>
      </c>
      <c r="R1040" s="110" t="n">
        <v>1</v>
      </c>
      <c r="S1040" s="110" t="s">
        <v>632</v>
      </c>
      <c r="T1040" s="110" t="s">
        <v>530</v>
      </c>
      <c r="U1040" s="110" t="s">
        <v>2913</v>
      </c>
      <c r="V1040" s="119" t="n">
        <v>4.43</v>
      </c>
      <c r="W1040" s="119"/>
      <c r="X1040" s="110" t="s">
        <v>2063</v>
      </c>
      <c r="Y1040" s="110" t="s">
        <v>2064</v>
      </c>
      <c r="Z1040" s="110" t="s">
        <v>3012</v>
      </c>
      <c r="AA1040" s="110" t="s">
        <v>537</v>
      </c>
      <c r="AB1040" s="110" t="s">
        <v>244</v>
      </c>
      <c r="AC1040" s="110" t="s">
        <v>538</v>
      </c>
      <c r="AD1040" s="110" t="n">
        <f aca="false">IF(OR(F1040="",Q1040="",R1040=""),"",ROUND(IF(P1040="incl.",F1040/(1+Q1040),F1040)/IF(S1040="per pack",R1040,1),2))</f>
        <v>4.43</v>
      </c>
      <c r="AE1040" s="110" t="str">
        <f aca="false">IF(AND(AC1040="yes",ISNUMBER(F1040),IF(Compare!$H$5="All mapped",TRUE(),IF(Compare!$H$5="EXACT only",J1040="EXACT",OR(J1040="EXACT",J1040="CLOSE")))),"yes","no")</f>
        <v>yes</v>
      </c>
      <c r="AF1040" s="110" t="n">
        <f aca="false">IF(ISNUMBER(H1040),COUNTIFS($B$7:$B$3000,B1040,$C$7:$C$3000,C1040,$H$7:$H$3000,"&lt;"&amp;H1040,$AH$7:$AH$3000,"yes")+COUNTIFS($B$7:B1040,B1040,$C$7:C1040,C1040,$H$7:H1040,H1040,$AH$7:AH1040,"yes"),"")</f>
        <v>1</v>
      </c>
      <c r="AG1040" s="110" t="n">
        <f aca="false">IF(ISNUMBER(I1040),COUNTIFS($B$7:$B$3000,B1040,$C$7:$C$3000,C1040,$I$7:$I$3000,"&lt;"&amp;I1040,$AI$7:$AI$3000,"yes")+COUNTIFS($B$7:B1040,B1040,$C$7:C1040,C1040,$I$7:I1040,I1040,$AI$7:AI1040,"yes"),"")</f>
        <v>1</v>
      </c>
      <c r="AH1040" s="110" t="str">
        <f aca="false">IF(ISNUMBER(H1040),"yes","no")</f>
        <v>yes</v>
      </c>
      <c r="AI1040" s="110" t="str">
        <f aca="false">IF(ISNUMBER(I1040),"yes","no")</f>
        <v>yes</v>
      </c>
      <c r="AJ1040" s="120" t="n">
        <v>46297</v>
      </c>
      <c r="AK1040" s="110"/>
    </row>
    <row r="1041" customFormat="false" ht="35.05" hidden="false" customHeight="false" outlineLevel="0" collapsed="false">
      <c r="B1041" s="36" t="s">
        <v>71</v>
      </c>
      <c r="C1041" s="98" t="s">
        <v>18</v>
      </c>
      <c r="D1041" s="98" t="s">
        <v>365</v>
      </c>
      <c r="E1041" s="110" t="s">
        <v>3428</v>
      </c>
      <c r="F1041" s="99" t="n">
        <v>5.79</v>
      </c>
      <c r="G1041" s="98" t="s">
        <v>244</v>
      </c>
      <c r="H1041" s="112" t="n">
        <f aca="false">IF(AND(AE1041="yes",ISNUMBER(AD1041)),AD1041,"")</f>
        <v>4.71</v>
      </c>
      <c r="I1041" s="95" t="n">
        <f aca="false">IF(AND(AE1041="yes",ISNUMBER(AD1041),ISNUMBER(INDEX(Sources!$G$7:$G$10,MATCH(AB1041,Sources!$B$7:$B$10,0)))),ROUND(AD1041/INDEX(Sources!$G$7:$G$10,MATCH(AB1041,Sources!$B$7:$B$10,0)),6),"")</f>
        <v>4.71</v>
      </c>
      <c r="J1041" s="98" t="s">
        <v>530</v>
      </c>
      <c r="K1041" s="98" t="s">
        <v>2059</v>
      </c>
      <c r="L1041" s="96"/>
      <c r="M1041" s="110" t="s">
        <v>3429</v>
      </c>
      <c r="N1041" s="117" t="s">
        <v>3430</v>
      </c>
      <c r="O1041" s="110" t="s">
        <v>3076</v>
      </c>
      <c r="P1041" s="110" t="s">
        <v>265</v>
      </c>
      <c r="Q1041" s="118" t="n">
        <v>0.23</v>
      </c>
      <c r="R1041" s="110" t="n">
        <v>1</v>
      </c>
      <c r="S1041" s="110" t="s">
        <v>632</v>
      </c>
      <c r="T1041" s="110" t="s">
        <v>530</v>
      </c>
      <c r="U1041" s="110" t="s">
        <v>2918</v>
      </c>
      <c r="V1041" s="119" t="n">
        <v>4.71</v>
      </c>
      <c r="W1041" s="119"/>
      <c r="X1041" s="110" t="s">
        <v>2063</v>
      </c>
      <c r="Y1041" s="110" t="s">
        <v>2064</v>
      </c>
      <c r="Z1041" s="110" t="s">
        <v>3016</v>
      </c>
      <c r="AA1041" s="110" t="s">
        <v>537</v>
      </c>
      <c r="AB1041" s="110" t="s">
        <v>244</v>
      </c>
      <c r="AC1041" s="110" t="s">
        <v>538</v>
      </c>
      <c r="AD1041" s="110" t="n">
        <f aca="false">IF(OR(F1041="",Q1041="",R1041=""),"",ROUND(IF(P1041="incl.",F1041/(1+Q1041),F1041)/IF(S1041="per pack",R1041,1),2))</f>
        <v>4.71</v>
      </c>
      <c r="AE1041" s="110" t="str">
        <f aca="false">IF(AND(AC1041="yes",ISNUMBER(F1041),IF(Compare!$H$5="All mapped",TRUE(),IF(Compare!$H$5="EXACT only",J1041="EXACT",OR(J1041="EXACT",J1041="CLOSE")))),"yes","no")</f>
        <v>yes</v>
      </c>
      <c r="AF1041" s="110" t="n">
        <f aca="false">IF(ISNUMBER(H1041),COUNTIFS($B$7:$B$3000,B1041,$C$7:$C$3000,C1041,$H$7:$H$3000,"&lt;"&amp;H1041,$AH$7:$AH$3000,"yes")+COUNTIFS($B$7:B1041,B1041,$C$7:C1041,C1041,$H$7:H1041,H1041,$AH$7:AH1041,"yes"),"")</f>
        <v>3</v>
      </c>
      <c r="AG1041" s="110" t="n">
        <f aca="false">IF(ISNUMBER(I1041),COUNTIFS($B$7:$B$3000,B1041,$C$7:$C$3000,C1041,$I$7:$I$3000,"&lt;"&amp;I1041,$AI$7:$AI$3000,"yes")+COUNTIFS($B$7:B1041,B1041,$C$7:C1041,C1041,$I$7:I1041,I1041,$AI$7:AI1041,"yes"),"")</f>
        <v>3</v>
      </c>
      <c r="AH1041" s="110" t="str">
        <f aca="false">IF(ISNUMBER(H1041),"yes","no")</f>
        <v>yes</v>
      </c>
      <c r="AI1041" s="110" t="str">
        <f aca="false">IF(ISNUMBER(I1041),"yes","no")</f>
        <v>yes</v>
      </c>
      <c r="AJ1041" s="120" t="n">
        <v>46297</v>
      </c>
      <c r="AK1041" s="110"/>
    </row>
    <row r="1042" customFormat="false" ht="35.05" hidden="false" customHeight="false" outlineLevel="0" collapsed="false">
      <c r="B1042" s="36" t="s">
        <v>71</v>
      </c>
      <c r="C1042" s="98" t="s">
        <v>18</v>
      </c>
      <c r="D1042" s="98" t="s">
        <v>369</v>
      </c>
      <c r="E1042" s="110" t="s">
        <v>3431</v>
      </c>
      <c r="F1042" s="99" t="n">
        <v>16.36</v>
      </c>
      <c r="G1042" s="98" t="s">
        <v>244</v>
      </c>
      <c r="H1042" s="112" t="n">
        <f aca="false">IF(AND(AE1042="yes",ISNUMBER(AD1042)),AD1042,"")</f>
        <v>13.3</v>
      </c>
      <c r="I1042" s="95" t="n">
        <f aca="false">IF(AND(AE1042="yes",ISNUMBER(AD1042),ISNUMBER(INDEX(Sources!$G$7:$G$10,MATCH(AB1042,Sources!$B$7:$B$10,0)))),ROUND(AD1042/INDEX(Sources!$G$7:$G$10,MATCH(AB1042,Sources!$B$7:$B$10,0)),6),"")</f>
        <v>13.3</v>
      </c>
      <c r="J1042" s="98" t="s">
        <v>530</v>
      </c>
      <c r="K1042" s="98" t="s">
        <v>2059</v>
      </c>
      <c r="L1042" s="96"/>
      <c r="M1042" s="110" t="s">
        <v>3432</v>
      </c>
      <c r="N1042" s="117" t="s">
        <v>3433</v>
      </c>
      <c r="O1042" s="110" t="s">
        <v>565</v>
      </c>
      <c r="P1042" s="110" t="s">
        <v>265</v>
      </c>
      <c r="Q1042" s="118" t="n">
        <v>0.23</v>
      </c>
      <c r="R1042" s="110" t="n">
        <v>1</v>
      </c>
      <c r="S1042" s="110" t="s">
        <v>632</v>
      </c>
      <c r="T1042" s="110" t="s">
        <v>530</v>
      </c>
      <c r="U1042" s="110" t="s">
        <v>2918</v>
      </c>
      <c r="V1042" s="119" t="n">
        <v>13.3</v>
      </c>
      <c r="W1042" s="119"/>
      <c r="X1042" s="110" t="s">
        <v>2063</v>
      </c>
      <c r="Y1042" s="110" t="s">
        <v>2064</v>
      </c>
      <c r="Z1042" s="110" t="s">
        <v>3354</v>
      </c>
      <c r="AA1042" s="110" t="s">
        <v>537</v>
      </c>
      <c r="AB1042" s="110" t="s">
        <v>244</v>
      </c>
      <c r="AC1042" s="110" t="s">
        <v>538</v>
      </c>
      <c r="AD1042" s="110" t="n">
        <f aca="false">IF(OR(F1042="",Q1042="",R1042=""),"",ROUND(IF(P1042="incl.",F1042/(1+Q1042),F1042)/IF(S1042="per pack",R1042,1),2))</f>
        <v>13.3</v>
      </c>
      <c r="AE1042" s="110" t="str">
        <f aca="false">IF(AND(AC1042="yes",ISNUMBER(F1042),IF(Compare!$H$5="All mapped",TRUE(),IF(Compare!$H$5="EXACT only",J1042="EXACT",OR(J1042="EXACT",J1042="CLOSE")))),"yes","no")</f>
        <v>yes</v>
      </c>
      <c r="AF1042" s="110" t="n">
        <f aca="false">IF(ISNUMBER(H1042),COUNTIFS($B$7:$B$3000,B1042,$C$7:$C$3000,C1042,$H$7:$H$3000,"&lt;"&amp;H1042,$AH$7:$AH$3000,"yes")+COUNTIFS($B$7:B1042,B1042,$C$7:C1042,C1042,$H$7:H1042,H1042,$AH$7:AH1042,"yes"),"")</f>
        <v>5</v>
      </c>
      <c r="AG1042" s="110" t="n">
        <f aca="false">IF(ISNUMBER(I1042),COUNTIFS($B$7:$B$3000,B1042,$C$7:$C$3000,C1042,$I$7:$I$3000,"&lt;"&amp;I1042,$AI$7:$AI$3000,"yes")+COUNTIFS($B$7:B1042,B1042,$C$7:C1042,C1042,$I$7:I1042,I1042,$AI$7:AI1042,"yes"),"")</f>
        <v>5</v>
      </c>
      <c r="AH1042" s="110" t="str">
        <f aca="false">IF(ISNUMBER(H1042),"yes","no")</f>
        <v>yes</v>
      </c>
      <c r="AI1042" s="110" t="str">
        <f aca="false">IF(ISNUMBER(I1042),"yes","no")</f>
        <v>yes</v>
      </c>
      <c r="AJ1042" s="120" t="n">
        <v>46297</v>
      </c>
      <c r="AK1042" s="110"/>
    </row>
    <row r="1043" customFormat="false" ht="35.05" hidden="false" customHeight="false" outlineLevel="0" collapsed="false">
      <c r="B1043" s="36" t="s">
        <v>71</v>
      </c>
      <c r="C1043" s="98" t="s">
        <v>18</v>
      </c>
      <c r="D1043" s="98" t="s">
        <v>3021</v>
      </c>
      <c r="E1043" s="110" t="s">
        <v>3434</v>
      </c>
      <c r="F1043" s="99" t="n">
        <v>4.53</v>
      </c>
      <c r="G1043" s="98" t="s">
        <v>244</v>
      </c>
      <c r="H1043" s="112" t="n">
        <f aca="false">IF(AND(AE1043="yes",ISNUMBER(AD1043)),AD1043,"")</f>
        <v>4.53</v>
      </c>
      <c r="I1043" s="95" t="n">
        <f aca="false">IF(AND(AE1043="yes",ISNUMBER(AD1043),ISNUMBER(INDEX(Sources!$G$7:$G$10,MATCH(AB1043,Sources!$B$7:$B$10,0)))),ROUND(AD1043/INDEX(Sources!$G$7:$G$10,MATCH(AB1043,Sources!$B$7:$B$10,0)),6),"")</f>
        <v>4.53</v>
      </c>
      <c r="J1043" s="98" t="s">
        <v>530</v>
      </c>
      <c r="K1043" s="98" t="s">
        <v>2059</v>
      </c>
      <c r="L1043" s="96"/>
      <c r="M1043" s="110" t="s">
        <v>3435</v>
      </c>
      <c r="N1043" s="117" t="s">
        <v>3023</v>
      </c>
      <c r="O1043" s="110" t="s">
        <v>3024</v>
      </c>
      <c r="P1043" s="110" t="s">
        <v>590</v>
      </c>
      <c r="Q1043" s="118" t="n">
        <v>0.23</v>
      </c>
      <c r="R1043" s="110" t="n">
        <v>1</v>
      </c>
      <c r="S1043" s="110" t="s">
        <v>632</v>
      </c>
      <c r="T1043" s="110" t="s">
        <v>530</v>
      </c>
      <c r="U1043" s="110" t="s">
        <v>2913</v>
      </c>
      <c r="V1043" s="119" t="n">
        <v>4.53</v>
      </c>
      <c r="W1043" s="119"/>
      <c r="X1043" s="110" t="s">
        <v>2063</v>
      </c>
      <c r="Y1043" s="110" t="s">
        <v>2064</v>
      </c>
      <c r="Z1043" s="110" t="s">
        <v>3025</v>
      </c>
      <c r="AA1043" s="110" t="s">
        <v>537</v>
      </c>
      <c r="AB1043" s="110" t="s">
        <v>244</v>
      </c>
      <c r="AC1043" s="110" t="s">
        <v>538</v>
      </c>
      <c r="AD1043" s="110" t="n">
        <f aca="false">IF(OR(F1043="",Q1043="",R1043=""),"",ROUND(IF(P1043="incl.",F1043/(1+Q1043),F1043)/IF(S1043="per pack",R1043,1),2))</f>
        <v>4.53</v>
      </c>
      <c r="AE1043" s="110" t="str">
        <f aca="false">IF(AND(AC1043="yes",ISNUMBER(F1043),IF(Compare!$H$5="All mapped",TRUE(),IF(Compare!$H$5="EXACT only",J1043="EXACT",OR(J1043="EXACT",J1043="CLOSE")))),"yes","no")</f>
        <v>yes</v>
      </c>
      <c r="AF1043" s="110" t="n">
        <f aca="false">IF(ISNUMBER(H1043),COUNTIFS($B$7:$B$3000,B1043,$C$7:$C$3000,C1043,$H$7:$H$3000,"&lt;"&amp;H1043,$AH$7:$AH$3000,"yes")+COUNTIFS($B$7:B1043,B1043,$C$7:C1043,C1043,$H$7:H1043,H1043,$AH$7:AH1043,"yes"),"")</f>
        <v>2</v>
      </c>
      <c r="AG1043" s="110" t="n">
        <f aca="false">IF(ISNUMBER(I1043),COUNTIFS($B$7:$B$3000,B1043,$C$7:$C$3000,C1043,$I$7:$I$3000,"&lt;"&amp;I1043,$AI$7:$AI$3000,"yes")+COUNTIFS($B$7:B1043,B1043,$C$7:C1043,C1043,$I$7:I1043,I1043,$AI$7:AI1043,"yes"),"")</f>
        <v>2</v>
      </c>
      <c r="AH1043" s="110" t="str">
        <f aca="false">IF(ISNUMBER(H1043),"yes","no")</f>
        <v>yes</v>
      </c>
      <c r="AI1043" s="110" t="str">
        <f aca="false">IF(ISNUMBER(I1043),"yes","no")</f>
        <v>yes</v>
      </c>
      <c r="AJ1043" s="120" t="n">
        <v>46297</v>
      </c>
      <c r="AK1043" s="110"/>
    </row>
    <row r="1044" customFormat="false" ht="23.85" hidden="false" customHeight="false" outlineLevel="0" collapsed="false">
      <c r="B1044" s="36" t="s">
        <v>72</v>
      </c>
      <c r="C1044" s="98" t="s">
        <v>14</v>
      </c>
      <c r="D1044" s="98" t="s">
        <v>373</v>
      </c>
      <c r="E1044" s="110" t="s">
        <v>3436</v>
      </c>
      <c r="F1044" s="99" t="n">
        <v>38.45</v>
      </c>
      <c r="G1044" s="98" t="s">
        <v>374</v>
      </c>
      <c r="H1044" s="112" t="n">
        <f aca="false">IF(AND(AE1044="yes",ISNUMBER(AD1044)),AD1044,"")</f>
        <v>38.45</v>
      </c>
      <c r="I1044" s="95" t="n">
        <f aca="false">IF(AND(AE1044="yes",ISNUMBER(AD1044),ISNUMBER(INDEX(Sources!$G$7:$G$10,MATCH(AB1044,Sources!$B$7:$B$10,0)))),ROUND(AD1044/INDEX(Sources!$G$7:$G$10,MATCH(AB1044,Sources!$B$7:$B$10,0)),6),"")</f>
        <v>7.285451</v>
      </c>
      <c r="J1044" s="98" t="s">
        <v>530</v>
      </c>
      <c r="K1044" s="98" t="s">
        <v>2059</v>
      </c>
      <c r="L1044" s="96"/>
      <c r="M1044" s="110" t="s">
        <v>3437</v>
      </c>
      <c r="N1044" s="117" t="s">
        <v>3438</v>
      </c>
      <c r="O1044" s="110" t="s">
        <v>3029</v>
      </c>
      <c r="P1044" s="110" t="s">
        <v>590</v>
      </c>
      <c r="Q1044" s="118" t="n">
        <v>0.21</v>
      </c>
      <c r="R1044" s="110" t="n">
        <v>1</v>
      </c>
      <c r="S1044" s="110" t="s">
        <v>632</v>
      </c>
      <c r="T1044" s="110" t="s">
        <v>530</v>
      </c>
      <c r="U1044" s="110" t="s">
        <v>2913</v>
      </c>
      <c r="V1044" s="119" t="n">
        <v>38.45</v>
      </c>
      <c r="W1044" s="119"/>
      <c r="X1044" s="110" t="s">
        <v>2063</v>
      </c>
      <c r="Y1044" s="110" t="s">
        <v>2064</v>
      </c>
      <c r="Z1044" s="110"/>
      <c r="AA1044" s="110" t="s">
        <v>537</v>
      </c>
      <c r="AB1044" s="110" t="s">
        <v>374</v>
      </c>
      <c r="AC1044" s="110" t="s">
        <v>538</v>
      </c>
      <c r="AD1044" s="110" t="n">
        <f aca="false">IF(OR(F1044="",Q1044="",R1044=""),"",ROUND(IF(P1044="incl.",F1044/(1+Q1044),F1044)/IF(S1044="per pack",R1044,1),2))</f>
        <v>38.45</v>
      </c>
      <c r="AE1044" s="110" t="str">
        <f aca="false">IF(AND(AC1044="yes",ISNUMBER(F1044),IF(Compare!$H$5="All mapped",TRUE(),IF(Compare!$H$5="EXACT only",J1044="EXACT",OR(J1044="EXACT",J1044="CLOSE")))),"yes","no")</f>
        <v>yes</v>
      </c>
      <c r="AF1044" s="110" t="n">
        <f aca="false">IF(ISNUMBER(H1044),COUNTIFS($B$7:$B$3000,B1044,$C$7:$C$3000,C1044,$H$7:$H$3000,"&lt;"&amp;H1044,$AH$7:$AH$3000,"yes")+COUNTIFS($B$7:B1044,B1044,$C$7:C1044,C1044,$H$7:H1044,H1044,$AH$7:AH1044,"yes"),"")</f>
        <v>3</v>
      </c>
      <c r="AG1044" s="110" t="n">
        <f aca="false">IF(ISNUMBER(I1044),COUNTIFS($B$7:$B$3000,B1044,$C$7:$C$3000,C1044,$I$7:$I$3000,"&lt;"&amp;I1044,$AI$7:$AI$3000,"yes")+COUNTIFS($B$7:B1044,B1044,$C$7:C1044,C1044,$I$7:I1044,I1044,$AI$7:AI1044,"yes"),"")</f>
        <v>3</v>
      </c>
      <c r="AH1044" s="110" t="str">
        <f aca="false">IF(ISNUMBER(H1044),"yes","no")</f>
        <v>yes</v>
      </c>
      <c r="AI1044" s="110" t="str">
        <f aca="false">IF(ISNUMBER(I1044),"yes","no")</f>
        <v>yes</v>
      </c>
      <c r="AJ1044" s="120" t="n">
        <v>46297</v>
      </c>
      <c r="AK1044" s="110"/>
    </row>
    <row r="1045" customFormat="false" ht="23.85" hidden="false" customHeight="false" outlineLevel="0" collapsed="false">
      <c r="B1045" s="36" t="s">
        <v>72</v>
      </c>
      <c r="C1045" s="98" t="s">
        <v>14</v>
      </c>
      <c r="D1045" s="98" t="s">
        <v>378</v>
      </c>
      <c r="E1045" s="110" t="s">
        <v>3439</v>
      </c>
      <c r="F1045" s="99" t="n">
        <v>54.95</v>
      </c>
      <c r="G1045" s="98" t="s">
        <v>374</v>
      </c>
      <c r="H1045" s="112" t="n">
        <f aca="false">IF(AND(AE1045="yes",ISNUMBER(AD1045)),AD1045,"")</f>
        <v>45.41</v>
      </c>
      <c r="I1045" s="95" t="n">
        <f aca="false">IF(AND(AE1045="yes",ISNUMBER(AD1045),ISNUMBER(INDEX(Sources!$G$7:$G$10,MATCH(AB1045,Sources!$B$7:$B$10,0)))),ROUND(AD1045/INDEX(Sources!$G$7:$G$10,MATCH(AB1045,Sources!$B$7:$B$10,0)),6),"")</f>
        <v>8.604222</v>
      </c>
      <c r="J1045" s="98" t="s">
        <v>530</v>
      </c>
      <c r="K1045" s="98" t="s">
        <v>2059</v>
      </c>
      <c r="L1045" s="96"/>
      <c r="M1045" s="110" t="s">
        <v>3440</v>
      </c>
      <c r="N1045" s="117" t="s">
        <v>3441</v>
      </c>
      <c r="O1045" s="110" t="s">
        <v>2917</v>
      </c>
      <c r="P1045" s="110" t="s">
        <v>265</v>
      </c>
      <c r="Q1045" s="118" t="n">
        <v>0.21</v>
      </c>
      <c r="R1045" s="110" t="n">
        <v>1</v>
      </c>
      <c r="S1045" s="110" t="s">
        <v>632</v>
      </c>
      <c r="T1045" s="110" t="s">
        <v>530</v>
      </c>
      <c r="U1045" s="110" t="s">
        <v>2918</v>
      </c>
      <c r="V1045" s="119" t="n">
        <v>45.41</v>
      </c>
      <c r="W1045" s="119"/>
      <c r="X1045" s="110" t="s">
        <v>2063</v>
      </c>
      <c r="Y1045" s="110" t="s">
        <v>2064</v>
      </c>
      <c r="Z1045" s="110"/>
      <c r="AA1045" s="110" t="s">
        <v>537</v>
      </c>
      <c r="AB1045" s="110" t="s">
        <v>374</v>
      </c>
      <c r="AC1045" s="110" t="s">
        <v>538</v>
      </c>
      <c r="AD1045" s="110" t="n">
        <f aca="false">IF(OR(F1045="",Q1045="",R1045=""),"",ROUND(IF(P1045="incl.",F1045/(1+Q1045),F1045)/IF(S1045="per pack",R1045,1),2))</f>
        <v>45.41</v>
      </c>
      <c r="AE1045" s="110" t="str">
        <f aca="false">IF(AND(AC1045="yes",ISNUMBER(F1045),IF(Compare!$H$5="All mapped",TRUE(),IF(Compare!$H$5="EXACT only",J1045="EXACT",OR(J1045="EXACT",J1045="CLOSE")))),"yes","no")</f>
        <v>yes</v>
      </c>
      <c r="AF1045" s="110" t="n">
        <f aca="false">IF(ISNUMBER(H1045),COUNTIFS($B$7:$B$3000,B1045,$C$7:$C$3000,C1045,$H$7:$H$3000,"&lt;"&amp;H1045,$AH$7:$AH$3000,"yes")+COUNTIFS($B$7:B1045,B1045,$C$7:C1045,C1045,$H$7:H1045,H1045,$AH$7:AH1045,"yes"),"")</f>
        <v>4</v>
      </c>
      <c r="AG1045" s="110" t="n">
        <f aca="false">IF(ISNUMBER(I1045),COUNTIFS($B$7:$B$3000,B1045,$C$7:$C$3000,C1045,$I$7:$I$3000,"&lt;"&amp;I1045,$AI$7:$AI$3000,"yes")+COUNTIFS($B$7:B1045,B1045,$C$7:C1045,C1045,$I$7:I1045,I1045,$AI$7:AI1045,"yes"),"")</f>
        <v>4</v>
      </c>
      <c r="AH1045" s="110" t="str">
        <f aca="false">IF(ISNUMBER(H1045),"yes","no")</f>
        <v>yes</v>
      </c>
      <c r="AI1045" s="110" t="str">
        <f aca="false">IF(ISNUMBER(I1045),"yes","no")</f>
        <v>yes</v>
      </c>
      <c r="AJ1045" s="120" t="n">
        <v>46297</v>
      </c>
      <c r="AK1045" s="110"/>
    </row>
    <row r="1046" customFormat="false" ht="35.05" hidden="false" customHeight="false" outlineLevel="0" collapsed="false">
      <c r="B1046" s="36" t="s">
        <v>72</v>
      </c>
      <c r="C1046" s="98" t="s">
        <v>14</v>
      </c>
      <c r="D1046" s="98" t="s">
        <v>346</v>
      </c>
      <c r="E1046" s="110" t="s">
        <v>3442</v>
      </c>
      <c r="F1046" s="99" t="n">
        <v>77.63</v>
      </c>
      <c r="G1046" s="98" t="s">
        <v>374</v>
      </c>
      <c r="H1046" s="112" t="n">
        <f aca="false">IF(AND(AE1046="yes",ISNUMBER(AD1046)),AD1046,"")</f>
        <v>64.16</v>
      </c>
      <c r="I1046" s="95" t="n">
        <f aca="false">IF(AND(AE1046="yes",ISNUMBER(AD1046),ISNUMBER(INDEX(Sources!$G$7:$G$10,MATCH(AB1046,Sources!$B$7:$B$10,0)))),ROUND(AD1046/INDEX(Sources!$G$7:$G$10,MATCH(AB1046,Sources!$B$7:$B$10,0)),6),"")</f>
        <v>12.156945</v>
      </c>
      <c r="J1046" s="98" t="s">
        <v>530</v>
      </c>
      <c r="K1046" s="98" t="s">
        <v>2059</v>
      </c>
      <c r="L1046" s="96"/>
      <c r="M1046" s="110" t="s">
        <v>3443</v>
      </c>
      <c r="N1046" s="117" t="s">
        <v>3444</v>
      </c>
      <c r="O1046" s="110" t="s">
        <v>565</v>
      </c>
      <c r="P1046" s="110" t="s">
        <v>265</v>
      </c>
      <c r="Q1046" s="118" t="n">
        <v>0.21</v>
      </c>
      <c r="R1046" s="110" t="n">
        <v>1</v>
      </c>
      <c r="S1046" s="110" t="s">
        <v>632</v>
      </c>
      <c r="T1046" s="110" t="s">
        <v>530</v>
      </c>
      <c r="U1046" s="110" t="s">
        <v>2918</v>
      </c>
      <c r="V1046" s="119" t="n">
        <v>64.16</v>
      </c>
      <c r="W1046" s="119"/>
      <c r="X1046" s="110" t="s">
        <v>2063</v>
      </c>
      <c r="Y1046" s="110" t="s">
        <v>2064</v>
      </c>
      <c r="Z1046" s="110"/>
      <c r="AA1046" s="110" t="s">
        <v>537</v>
      </c>
      <c r="AB1046" s="110" t="s">
        <v>374</v>
      </c>
      <c r="AC1046" s="110" t="s">
        <v>538</v>
      </c>
      <c r="AD1046" s="110" t="n">
        <f aca="false">IF(OR(F1046="",Q1046="",R1046=""),"",ROUND(IF(P1046="incl.",F1046/(1+Q1046),F1046)/IF(S1046="per pack",R1046,1),2))</f>
        <v>64.16</v>
      </c>
      <c r="AE1046" s="110" t="str">
        <f aca="false">IF(AND(AC1046="yes",ISNUMBER(F1046),IF(Compare!$H$5="All mapped",TRUE(),IF(Compare!$H$5="EXACT only",J1046="EXACT",OR(J1046="EXACT",J1046="CLOSE")))),"yes","no")</f>
        <v>yes</v>
      </c>
      <c r="AF1046" s="110" t="n">
        <f aca="false">IF(ISNUMBER(H1046),COUNTIFS($B$7:$B$3000,B1046,$C$7:$C$3000,C1046,$H$7:$H$3000,"&lt;"&amp;H1046,$AH$7:$AH$3000,"yes")+COUNTIFS($B$7:B1046,B1046,$C$7:C1046,C1046,$H$7:H1046,H1046,$AH$7:AH1046,"yes"),"")</f>
        <v>5</v>
      </c>
      <c r="AG1046" s="110" t="n">
        <f aca="false">IF(ISNUMBER(I1046),COUNTIFS($B$7:$B$3000,B1046,$C$7:$C$3000,C1046,$I$7:$I$3000,"&lt;"&amp;I1046,$AI$7:$AI$3000,"yes")+COUNTIFS($B$7:B1046,B1046,$C$7:C1046,C1046,$I$7:I1046,I1046,$AI$7:AI1046,"yes"),"")</f>
        <v>5</v>
      </c>
      <c r="AH1046" s="110" t="str">
        <f aca="false">IF(ISNUMBER(H1046),"yes","no")</f>
        <v>yes</v>
      </c>
      <c r="AI1046" s="110" t="str">
        <f aca="false">IF(ISNUMBER(I1046),"yes","no")</f>
        <v>yes</v>
      </c>
      <c r="AJ1046" s="120" t="n">
        <v>46297</v>
      </c>
      <c r="AK1046" s="110"/>
    </row>
    <row r="1047" customFormat="false" ht="23.85" hidden="false" customHeight="false" outlineLevel="0" collapsed="false">
      <c r="B1047" s="36" t="s">
        <v>72</v>
      </c>
      <c r="C1047" s="98" t="s">
        <v>14</v>
      </c>
      <c r="D1047" s="98" t="s">
        <v>395</v>
      </c>
      <c r="E1047" s="110" t="s">
        <v>3445</v>
      </c>
      <c r="F1047" s="99" t="n">
        <v>4.57</v>
      </c>
      <c r="G1047" s="98" t="s">
        <v>244</v>
      </c>
      <c r="H1047" s="112" t="n">
        <f aca="false">IF(AND(AE1047="yes",ISNUMBER(AD1047)),AD1047,"")</f>
        <v>4.57</v>
      </c>
      <c r="I1047" s="95" t="n">
        <f aca="false">IF(AND(AE1047="yes",ISNUMBER(AD1047),ISNUMBER(INDEX(Sources!$G$7:$G$10,MATCH(AB1047,Sources!$B$7:$B$10,0)))),ROUND(AD1047/INDEX(Sources!$G$7:$G$10,MATCH(AB1047,Sources!$B$7:$B$10,0)),6),"")</f>
        <v>4.57</v>
      </c>
      <c r="J1047" s="98" t="s">
        <v>530</v>
      </c>
      <c r="K1047" s="98" t="s">
        <v>2059</v>
      </c>
      <c r="L1047" s="96"/>
      <c r="M1047" s="110" t="s">
        <v>3446</v>
      </c>
      <c r="N1047" s="117" t="s">
        <v>3447</v>
      </c>
      <c r="O1047" s="110" t="s">
        <v>572</v>
      </c>
      <c r="P1047" s="110" t="s">
        <v>590</v>
      </c>
      <c r="Q1047" s="118" t="n">
        <v>0.21</v>
      </c>
      <c r="R1047" s="110" t="n">
        <v>1</v>
      </c>
      <c r="S1047" s="110" t="s">
        <v>632</v>
      </c>
      <c r="T1047" s="110" t="s">
        <v>530</v>
      </c>
      <c r="U1047" s="110" t="s">
        <v>2913</v>
      </c>
      <c r="V1047" s="119" t="n">
        <v>4.57</v>
      </c>
      <c r="W1047" s="119"/>
      <c r="X1047" s="110" t="s">
        <v>2063</v>
      </c>
      <c r="Y1047" s="110" t="s">
        <v>2064</v>
      </c>
      <c r="Z1047" s="110" t="s">
        <v>2925</v>
      </c>
      <c r="AA1047" s="110" t="s">
        <v>537</v>
      </c>
      <c r="AB1047" s="110" t="s">
        <v>244</v>
      </c>
      <c r="AC1047" s="110" t="s">
        <v>538</v>
      </c>
      <c r="AD1047" s="110" t="n">
        <f aca="false">IF(OR(F1047="",Q1047="",R1047=""),"",ROUND(IF(P1047="incl.",F1047/(1+Q1047),F1047)/IF(S1047="per pack",R1047,1),2))</f>
        <v>4.57</v>
      </c>
      <c r="AE1047" s="110" t="str">
        <f aca="false">IF(AND(AC1047="yes",ISNUMBER(F1047),IF(Compare!$H$5="All mapped",TRUE(),IF(Compare!$H$5="EXACT only",J1047="EXACT",OR(J1047="EXACT",J1047="CLOSE")))),"yes","no")</f>
        <v>yes</v>
      </c>
      <c r="AF1047" s="110" t="n">
        <f aca="false">IF(ISNUMBER(H1047),COUNTIFS($B$7:$B$3000,B1047,$C$7:$C$3000,C1047,$H$7:$H$3000,"&lt;"&amp;H1047,$AH$7:$AH$3000,"yes")+COUNTIFS($B$7:B1047,B1047,$C$7:C1047,C1047,$H$7:H1047,H1047,$AH$7:AH1047,"yes"),"")</f>
        <v>1</v>
      </c>
      <c r="AG1047" s="110" t="n">
        <f aca="false">IF(ISNUMBER(I1047),COUNTIFS($B$7:$B$3000,B1047,$C$7:$C$3000,C1047,$I$7:$I$3000,"&lt;"&amp;I1047,$AI$7:$AI$3000,"yes")+COUNTIFS($B$7:B1047,B1047,$C$7:C1047,C1047,$I$7:I1047,I1047,$AI$7:AI1047,"yes"),"")</f>
        <v>1</v>
      </c>
      <c r="AH1047" s="110" t="str">
        <f aca="false">IF(ISNUMBER(H1047),"yes","no")</f>
        <v>yes</v>
      </c>
      <c r="AI1047" s="110" t="str">
        <f aca="false">IF(ISNUMBER(I1047),"yes","no")</f>
        <v>yes</v>
      </c>
      <c r="AJ1047" s="120" t="n">
        <v>46297</v>
      </c>
      <c r="AK1047" s="110"/>
    </row>
    <row r="1048" customFormat="false" ht="23.85" hidden="false" customHeight="false" outlineLevel="0" collapsed="false">
      <c r="B1048" s="36" t="s">
        <v>72</v>
      </c>
      <c r="C1048" s="98" t="s">
        <v>14</v>
      </c>
      <c r="D1048" s="98" t="s">
        <v>403</v>
      </c>
      <c r="E1048" s="110" t="s">
        <v>3448</v>
      </c>
      <c r="F1048" s="99" t="n">
        <v>26.71</v>
      </c>
      <c r="G1048" s="98" t="s">
        <v>374</v>
      </c>
      <c r="H1048" s="112" t="n">
        <f aca="false">IF(AND(AE1048="yes",ISNUMBER(AD1048)),AD1048,"")</f>
        <v>26.71</v>
      </c>
      <c r="I1048" s="95" t="n">
        <f aca="false">IF(AND(AE1048="yes",ISNUMBER(AD1048),ISNUMBER(INDEX(Sources!$G$7:$G$10,MATCH(AB1048,Sources!$B$7:$B$10,0)))),ROUND(AD1048/INDEX(Sources!$G$7:$G$10,MATCH(AB1048,Sources!$B$7:$B$10,0)),6),"")</f>
        <v>5.060973</v>
      </c>
      <c r="J1048" s="98" t="s">
        <v>530</v>
      </c>
      <c r="K1048" s="98" t="s">
        <v>2059</v>
      </c>
      <c r="L1048" s="96"/>
      <c r="M1048" s="110" t="s">
        <v>3449</v>
      </c>
      <c r="N1048" s="117" t="s">
        <v>3450</v>
      </c>
      <c r="O1048" s="110" t="s">
        <v>668</v>
      </c>
      <c r="P1048" s="110" t="s">
        <v>590</v>
      </c>
      <c r="Q1048" s="118" t="n">
        <v>0.21</v>
      </c>
      <c r="R1048" s="110" t="n">
        <v>1</v>
      </c>
      <c r="S1048" s="110" t="s">
        <v>632</v>
      </c>
      <c r="T1048" s="110" t="s">
        <v>530</v>
      </c>
      <c r="U1048" s="110" t="s">
        <v>2913</v>
      </c>
      <c r="V1048" s="119" t="n">
        <v>26.71</v>
      </c>
      <c r="W1048" s="119"/>
      <c r="X1048" s="110" t="s">
        <v>2063</v>
      </c>
      <c r="Y1048" s="110" t="s">
        <v>2064</v>
      </c>
      <c r="Z1048" s="110"/>
      <c r="AA1048" s="110" t="s">
        <v>537</v>
      </c>
      <c r="AB1048" s="110" t="s">
        <v>374</v>
      </c>
      <c r="AC1048" s="110" t="s">
        <v>538</v>
      </c>
      <c r="AD1048" s="110" t="n">
        <f aca="false">IF(OR(F1048="",Q1048="",R1048=""),"",ROUND(IF(P1048="incl.",F1048/(1+Q1048),F1048)/IF(S1048="per pack",R1048,1),2))</f>
        <v>26.71</v>
      </c>
      <c r="AE1048" s="110" t="str">
        <f aca="false">IF(AND(AC1048="yes",ISNUMBER(F1048),IF(Compare!$H$5="All mapped",TRUE(),IF(Compare!$H$5="EXACT only",J1048="EXACT",OR(J1048="EXACT",J1048="CLOSE")))),"yes","no")</f>
        <v>yes</v>
      </c>
      <c r="AF1048" s="110" t="n">
        <f aca="false">IF(ISNUMBER(H1048),COUNTIFS($B$7:$B$3000,B1048,$C$7:$C$3000,C1048,$H$7:$H$3000,"&lt;"&amp;H1048,$AH$7:$AH$3000,"yes")+COUNTIFS($B$7:B1048,B1048,$C$7:C1048,C1048,$H$7:H1048,H1048,$AH$7:AH1048,"yes"),"")</f>
        <v>2</v>
      </c>
      <c r="AG1048" s="110" t="n">
        <f aca="false">IF(ISNUMBER(I1048),COUNTIFS($B$7:$B$3000,B1048,$C$7:$C$3000,C1048,$I$7:$I$3000,"&lt;"&amp;I1048,$AI$7:$AI$3000,"yes")+COUNTIFS($B$7:B1048,B1048,$C$7:C1048,C1048,$I$7:I1048,I1048,$AI$7:AI1048,"yes"),"")</f>
        <v>2</v>
      </c>
      <c r="AH1048" s="110" t="str">
        <f aca="false">IF(ISNUMBER(H1048),"yes","no")</f>
        <v>yes</v>
      </c>
      <c r="AI1048" s="110" t="str">
        <f aca="false">IF(ISNUMBER(I1048),"yes","no")</f>
        <v>yes</v>
      </c>
      <c r="AJ1048" s="120" t="n">
        <v>46297</v>
      </c>
      <c r="AK1048" s="110"/>
    </row>
    <row r="1049" customFormat="false" ht="35.05" hidden="false" customHeight="false" outlineLevel="0" collapsed="false">
      <c r="B1049" s="36" t="s">
        <v>72</v>
      </c>
      <c r="C1049" s="98" t="s">
        <v>15</v>
      </c>
      <c r="D1049" s="98" t="s">
        <v>243</v>
      </c>
      <c r="E1049" s="110" t="s">
        <v>3451</v>
      </c>
      <c r="F1049" s="99" t="n">
        <v>5.49</v>
      </c>
      <c r="G1049" s="98" t="s">
        <v>244</v>
      </c>
      <c r="H1049" s="112" t="n">
        <f aca="false">IF(AND(AE1049="yes",ISNUMBER(AD1049)),AD1049,"")</f>
        <v>5.49</v>
      </c>
      <c r="I1049" s="95" t="n">
        <f aca="false">IF(AND(AE1049="yes",ISNUMBER(AD1049),ISNUMBER(INDEX(Sources!$G$7:$G$10,MATCH(AB1049,Sources!$B$7:$B$10,0)))),ROUND(AD1049/INDEX(Sources!$G$7:$G$10,MATCH(AB1049,Sources!$B$7:$B$10,0)),6),"")</f>
        <v>5.49</v>
      </c>
      <c r="J1049" s="98" t="s">
        <v>530</v>
      </c>
      <c r="K1049" s="98" t="s">
        <v>2059</v>
      </c>
      <c r="L1049" s="96"/>
      <c r="M1049" s="110" t="s">
        <v>3452</v>
      </c>
      <c r="N1049" s="117" t="s">
        <v>3453</v>
      </c>
      <c r="O1049" s="110" t="s">
        <v>2932</v>
      </c>
      <c r="P1049" s="110" t="s">
        <v>590</v>
      </c>
      <c r="Q1049" s="118" t="n">
        <v>0.2</v>
      </c>
      <c r="R1049" s="110" t="n">
        <v>1</v>
      </c>
      <c r="S1049" s="110" t="s">
        <v>632</v>
      </c>
      <c r="T1049" s="110" t="s">
        <v>530</v>
      </c>
      <c r="U1049" s="110" t="s">
        <v>2913</v>
      </c>
      <c r="V1049" s="119" t="n">
        <v>5.49</v>
      </c>
      <c r="W1049" s="119"/>
      <c r="X1049" s="110" t="s">
        <v>2063</v>
      </c>
      <c r="Y1049" s="110" t="s">
        <v>2064</v>
      </c>
      <c r="Z1049" s="110" t="s">
        <v>2164</v>
      </c>
      <c r="AA1049" s="110" t="s">
        <v>537</v>
      </c>
      <c r="AB1049" s="110" t="s">
        <v>244</v>
      </c>
      <c r="AC1049" s="110" t="s">
        <v>538</v>
      </c>
      <c r="AD1049" s="110" t="n">
        <f aca="false">IF(OR(F1049="",Q1049="",R1049=""),"",ROUND(IF(P1049="incl.",F1049/(1+Q1049),F1049)/IF(S1049="per pack",R1049,1),2))</f>
        <v>5.49</v>
      </c>
      <c r="AE1049" s="110" t="str">
        <f aca="false">IF(AND(AC1049="yes",ISNUMBER(F1049),IF(Compare!$H$5="All mapped",TRUE(),IF(Compare!$H$5="EXACT only",J1049="EXACT",OR(J1049="EXACT",J1049="CLOSE")))),"yes","no")</f>
        <v>yes</v>
      </c>
      <c r="AF1049" s="110" t="n">
        <f aca="false">IF(ISNUMBER(H1049),COUNTIFS($B$7:$B$3000,B1049,$C$7:$C$3000,C1049,$H$7:$H$3000,"&lt;"&amp;H1049,$AH$7:$AH$3000,"yes")+COUNTIFS($B$7:B1049,B1049,$C$7:C1049,C1049,$H$7:H1049,H1049,$AH$7:AH1049,"yes"),"")</f>
        <v>1</v>
      </c>
      <c r="AG1049" s="110" t="n">
        <f aca="false">IF(ISNUMBER(I1049),COUNTIFS($B$7:$B$3000,B1049,$C$7:$C$3000,C1049,$I$7:$I$3000,"&lt;"&amp;I1049,$AI$7:$AI$3000,"yes")+COUNTIFS($B$7:B1049,B1049,$C$7:C1049,C1049,$I$7:I1049,I1049,$AI$7:AI1049,"yes"),"")</f>
        <v>1</v>
      </c>
      <c r="AH1049" s="110" t="str">
        <f aca="false">IF(ISNUMBER(H1049),"yes","no")</f>
        <v>yes</v>
      </c>
      <c r="AI1049" s="110" t="str">
        <f aca="false">IF(ISNUMBER(I1049),"yes","no")</f>
        <v>yes</v>
      </c>
      <c r="AJ1049" s="120" t="n">
        <v>46297</v>
      </c>
      <c r="AK1049" s="110"/>
    </row>
    <row r="1050" customFormat="false" ht="35.05" hidden="false" customHeight="false" outlineLevel="0" collapsed="false">
      <c r="B1050" s="36" t="s">
        <v>72</v>
      </c>
      <c r="C1050" s="98" t="s">
        <v>15</v>
      </c>
      <c r="D1050" s="98" t="s">
        <v>257</v>
      </c>
      <c r="E1050" s="110" t="s">
        <v>3454</v>
      </c>
      <c r="F1050" s="99" t="n">
        <v>14</v>
      </c>
      <c r="G1050" s="98" t="s">
        <v>244</v>
      </c>
      <c r="H1050" s="112" t="n">
        <f aca="false">IF(AND(AE1050="yes",ISNUMBER(AD1050)),AD1050,"")</f>
        <v>14</v>
      </c>
      <c r="I1050" s="95" t="n">
        <f aca="false">IF(AND(AE1050="yes",ISNUMBER(AD1050),ISNUMBER(INDEX(Sources!$G$7:$G$10,MATCH(AB1050,Sources!$B$7:$B$10,0)))),ROUND(AD1050/INDEX(Sources!$G$7:$G$10,MATCH(AB1050,Sources!$B$7:$B$10,0)),6),"")</f>
        <v>14</v>
      </c>
      <c r="J1050" s="98" t="s">
        <v>530</v>
      </c>
      <c r="K1050" s="98" t="s">
        <v>2059</v>
      </c>
      <c r="L1050" s="96"/>
      <c r="M1050" s="110" t="s">
        <v>3455</v>
      </c>
      <c r="N1050" s="117" t="s">
        <v>3456</v>
      </c>
      <c r="O1050" s="110" t="s">
        <v>1576</v>
      </c>
      <c r="P1050" s="110" t="s">
        <v>590</v>
      </c>
      <c r="Q1050" s="118" t="n">
        <v>0.2</v>
      </c>
      <c r="R1050" s="110" t="n">
        <v>1</v>
      </c>
      <c r="S1050" s="110" t="s">
        <v>632</v>
      </c>
      <c r="T1050" s="110" t="s">
        <v>530</v>
      </c>
      <c r="U1050" s="110" t="s">
        <v>2913</v>
      </c>
      <c r="V1050" s="119" t="n">
        <v>14</v>
      </c>
      <c r="W1050" s="119"/>
      <c r="X1050" s="110" t="s">
        <v>2063</v>
      </c>
      <c r="Y1050" s="110" t="s">
        <v>2064</v>
      </c>
      <c r="Z1050" s="110" t="s">
        <v>2936</v>
      </c>
      <c r="AA1050" s="110" t="s">
        <v>537</v>
      </c>
      <c r="AB1050" s="110" t="s">
        <v>244</v>
      </c>
      <c r="AC1050" s="110" t="s">
        <v>538</v>
      </c>
      <c r="AD1050" s="110" t="n">
        <f aca="false">IF(OR(F1050="",Q1050="",R1050=""),"",ROUND(IF(P1050="incl.",F1050/(1+Q1050),F1050)/IF(S1050="per pack",R1050,1),2))</f>
        <v>14</v>
      </c>
      <c r="AE1050" s="110" t="str">
        <f aca="false">IF(AND(AC1050="yes",ISNUMBER(F1050),IF(Compare!$H$5="All mapped",TRUE(),IF(Compare!$H$5="EXACT only",J1050="EXACT",OR(J1050="EXACT",J1050="CLOSE")))),"yes","no")</f>
        <v>yes</v>
      </c>
      <c r="AF1050" s="110" t="n">
        <f aca="false">IF(ISNUMBER(H1050),COUNTIFS($B$7:$B$3000,B1050,$C$7:$C$3000,C1050,$H$7:$H$3000,"&lt;"&amp;H1050,$AH$7:$AH$3000,"yes")+COUNTIFS($B$7:B1050,B1050,$C$7:C1050,C1050,$H$7:H1050,H1050,$AH$7:AH1050,"yes"),"")</f>
        <v>6</v>
      </c>
      <c r="AG1050" s="110" t="n">
        <f aca="false">IF(ISNUMBER(I1050),COUNTIFS($B$7:$B$3000,B1050,$C$7:$C$3000,C1050,$I$7:$I$3000,"&lt;"&amp;I1050,$AI$7:$AI$3000,"yes")+COUNTIFS($B$7:B1050,B1050,$C$7:C1050,C1050,$I$7:I1050,I1050,$AI$7:AI1050,"yes"),"")</f>
        <v>6</v>
      </c>
      <c r="AH1050" s="110" t="str">
        <f aca="false">IF(ISNUMBER(H1050),"yes","no")</f>
        <v>yes</v>
      </c>
      <c r="AI1050" s="110" t="str">
        <f aca="false">IF(ISNUMBER(I1050),"yes","no")</f>
        <v>yes</v>
      </c>
      <c r="AJ1050" s="120" t="n">
        <v>46297</v>
      </c>
      <c r="AK1050" s="110"/>
    </row>
    <row r="1051" customFormat="false" ht="35.05" hidden="false" customHeight="false" outlineLevel="0" collapsed="false">
      <c r="B1051" s="36" t="s">
        <v>72</v>
      </c>
      <c r="C1051" s="98" t="s">
        <v>15</v>
      </c>
      <c r="D1051" s="98" t="s">
        <v>269</v>
      </c>
      <c r="E1051" s="110" t="s">
        <v>3457</v>
      </c>
      <c r="F1051" s="99" t="n">
        <v>7.49</v>
      </c>
      <c r="G1051" s="98" t="s">
        <v>244</v>
      </c>
      <c r="H1051" s="112" t="n">
        <f aca="false">IF(AND(AE1051="yes",ISNUMBER(AD1051)),AD1051,"")</f>
        <v>7.49</v>
      </c>
      <c r="I1051" s="95" t="n">
        <f aca="false">IF(AND(AE1051="yes",ISNUMBER(AD1051),ISNUMBER(INDEX(Sources!$G$7:$G$10,MATCH(AB1051,Sources!$B$7:$B$10,0)))),ROUND(AD1051/INDEX(Sources!$G$7:$G$10,MATCH(AB1051,Sources!$B$7:$B$10,0)),6),"")</f>
        <v>7.49</v>
      </c>
      <c r="J1051" s="98" t="s">
        <v>530</v>
      </c>
      <c r="K1051" s="98" t="s">
        <v>2059</v>
      </c>
      <c r="L1051" s="96"/>
      <c r="M1051" s="110" t="s">
        <v>3458</v>
      </c>
      <c r="N1051" s="117" t="s">
        <v>3459</v>
      </c>
      <c r="O1051" s="110" t="s">
        <v>598</v>
      </c>
      <c r="P1051" s="110" t="s">
        <v>590</v>
      </c>
      <c r="Q1051" s="118" t="n">
        <v>0.2</v>
      </c>
      <c r="R1051" s="110" t="n">
        <v>1</v>
      </c>
      <c r="S1051" s="110" t="s">
        <v>632</v>
      </c>
      <c r="T1051" s="110" t="s">
        <v>530</v>
      </c>
      <c r="U1051" s="110" t="s">
        <v>2913</v>
      </c>
      <c r="V1051" s="119" t="n">
        <v>7.49</v>
      </c>
      <c r="W1051" s="119"/>
      <c r="X1051" s="110" t="s">
        <v>2063</v>
      </c>
      <c r="Y1051" s="110" t="s">
        <v>2064</v>
      </c>
      <c r="Z1051" s="110" t="s">
        <v>2940</v>
      </c>
      <c r="AA1051" s="110" t="s">
        <v>537</v>
      </c>
      <c r="AB1051" s="110" t="s">
        <v>244</v>
      </c>
      <c r="AC1051" s="110" t="s">
        <v>538</v>
      </c>
      <c r="AD1051" s="110" t="n">
        <f aca="false">IF(OR(F1051="",Q1051="",R1051=""),"",ROUND(IF(P1051="incl.",F1051/(1+Q1051),F1051)/IF(S1051="per pack",R1051,1),2))</f>
        <v>7.49</v>
      </c>
      <c r="AE1051" s="110" t="str">
        <f aca="false">IF(AND(AC1051="yes",ISNUMBER(F1051),IF(Compare!$H$5="All mapped",TRUE(),IF(Compare!$H$5="EXACT only",J1051="EXACT",OR(J1051="EXACT",J1051="CLOSE")))),"yes","no")</f>
        <v>yes</v>
      </c>
      <c r="AF1051" s="110" t="n">
        <f aca="false">IF(ISNUMBER(H1051),COUNTIFS($B$7:$B$3000,B1051,$C$7:$C$3000,C1051,$H$7:$H$3000,"&lt;"&amp;H1051,$AH$7:$AH$3000,"yes")+COUNTIFS($B$7:B1051,B1051,$C$7:C1051,C1051,$H$7:H1051,H1051,$AH$7:AH1051,"yes"),"")</f>
        <v>3</v>
      </c>
      <c r="AG1051" s="110" t="n">
        <f aca="false">IF(ISNUMBER(I1051),COUNTIFS($B$7:$B$3000,B1051,$C$7:$C$3000,C1051,$I$7:$I$3000,"&lt;"&amp;I1051,$AI$7:$AI$3000,"yes")+COUNTIFS($B$7:B1051,B1051,$C$7:C1051,C1051,$I$7:I1051,I1051,$AI$7:AI1051,"yes"),"")</f>
        <v>3</v>
      </c>
      <c r="AH1051" s="110" t="str">
        <f aca="false">IF(ISNUMBER(H1051),"yes","no")</f>
        <v>yes</v>
      </c>
      <c r="AI1051" s="110" t="str">
        <f aca="false">IF(ISNUMBER(I1051),"yes","no")</f>
        <v>yes</v>
      </c>
      <c r="AJ1051" s="120" t="n">
        <v>46297</v>
      </c>
      <c r="AK1051" s="110"/>
    </row>
    <row r="1052" customFormat="false" ht="23.85" hidden="false" customHeight="false" outlineLevel="0" collapsed="false">
      <c r="B1052" s="36" t="s">
        <v>72</v>
      </c>
      <c r="C1052" s="98" t="s">
        <v>15</v>
      </c>
      <c r="D1052" s="98" t="s">
        <v>264</v>
      </c>
      <c r="E1052" s="110" t="s">
        <v>3460</v>
      </c>
      <c r="F1052" s="99" t="n">
        <v>14.63</v>
      </c>
      <c r="G1052" s="98" t="s">
        <v>244</v>
      </c>
      <c r="H1052" s="112" t="n">
        <f aca="false">IF(AND(AE1052="yes",ISNUMBER(AD1052)),AD1052,"")</f>
        <v>14.63</v>
      </c>
      <c r="I1052" s="95" t="n">
        <f aca="false">IF(AND(AE1052="yes",ISNUMBER(AD1052),ISNUMBER(INDEX(Sources!$G$7:$G$10,MATCH(AB1052,Sources!$B$7:$B$10,0)))),ROUND(AD1052/INDEX(Sources!$G$7:$G$10,MATCH(AB1052,Sources!$B$7:$B$10,0)),6),"")</f>
        <v>14.63</v>
      </c>
      <c r="J1052" s="98" t="s">
        <v>530</v>
      </c>
      <c r="K1052" s="98" t="s">
        <v>2059</v>
      </c>
      <c r="L1052" s="96"/>
      <c r="M1052" s="110" t="s">
        <v>3461</v>
      </c>
      <c r="N1052" s="117" t="s">
        <v>3462</v>
      </c>
      <c r="O1052" s="110" t="s">
        <v>388</v>
      </c>
      <c r="P1052" s="110" t="s">
        <v>590</v>
      </c>
      <c r="Q1052" s="118" t="n">
        <v>0.2</v>
      </c>
      <c r="R1052" s="110" t="n">
        <v>1</v>
      </c>
      <c r="S1052" s="110" t="s">
        <v>632</v>
      </c>
      <c r="T1052" s="110" t="s">
        <v>530</v>
      </c>
      <c r="U1052" s="110" t="s">
        <v>2913</v>
      </c>
      <c r="V1052" s="119" t="n">
        <v>14.63</v>
      </c>
      <c r="W1052" s="119"/>
      <c r="X1052" s="110" t="s">
        <v>2063</v>
      </c>
      <c r="Y1052" s="110" t="s">
        <v>2064</v>
      </c>
      <c r="Z1052" s="110"/>
      <c r="AA1052" s="110" t="s">
        <v>537</v>
      </c>
      <c r="AB1052" s="110" t="s">
        <v>244</v>
      </c>
      <c r="AC1052" s="110" t="s">
        <v>538</v>
      </c>
      <c r="AD1052" s="110" t="n">
        <f aca="false">IF(OR(F1052="",Q1052="",R1052=""),"",ROUND(IF(P1052="incl.",F1052/(1+Q1052),F1052)/IF(S1052="per pack",R1052,1),2))</f>
        <v>14.63</v>
      </c>
      <c r="AE1052" s="110" t="str">
        <f aca="false">IF(AND(AC1052="yes",ISNUMBER(F1052),IF(Compare!$H$5="All mapped",TRUE(),IF(Compare!$H$5="EXACT only",J1052="EXACT",OR(J1052="EXACT",J1052="CLOSE")))),"yes","no")</f>
        <v>yes</v>
      </c>
      <c r="AF1052" s="110" t="n">
        <f aca="false">IF(ISNUMBER(H1052),COUNTIFS($B$7:$B$3000,B1052,$C$7:$C$3000,C1052,$H$7:$H$3000,"&lt;"&amp;H1052,$AH$7:$AH$3000,"yes")+COUNTIFS($B$7:B1052,B1052,$C$7:C1052,C1052,$H$7:H1052,H1052,$AH$7:AH1052,"yes"),"")</f>
        <v>7</v>
      </c>
      <c r="AG1052" s="110" t="n">
        <f aca="false">IF(ISNUMBER(I1052),COUNTIFS($B$7:$B$3000,B1052,$C$7:$C$3000,C1052,$I$7:$I$3000,"&lt;"&amp;I1052,$AI$7:$AI$3000,"yes")+COUNTIFS($B$7:B1052,B1052,$C$7:C1052,C1052,$I$7:I1052,I1052,$AI$7:AI1052,"yes"),"")</f>
        <v>7</v>
      </c>
      <c r="AH1052" s="110" t="str">
        <f aca="false">IF(ISNUMBER(H1052),"yes","no")</f>
        <v>yes</v>
      </c>
      <c r="AI1052" s="110" t="str">
        <f aca="false">IF(ISNUMBER(I1052),"yes","no")</f>
        <v>yes</v>
      </c>
      <c r="AJ1052" s="120" t="n">
        <v>46297</v>
      </c>
      <c r="AK1052" s="110"/>
    </row>
    <row r="1053" customFormat="false" ht="23.85" hidden="false" customHeight="false" outlineLevel="0" collapsed="false">
      <c r="B1053" s="36" t="s">
        <v>72</v>
      </c>
      <c r="C1053" s="98" t="s">
        <v>15</v>
      </c>
      <c r="D1053" s="98" t="s">
        <v>273</v>
      </c>
      <c r="E1053" s="110" t="s">
        <v>3463</v>
      </c>
      <c r="F1053" s="99" t="n">
        <v>7.89</v>
      </c>
      <c r="G1053" s="98" t="s">
        <v>244</v>
      </c>
      <c r="H1053" s="112" t="n">
        <f aca="false">IF(AND(AE1053="yes",ISNUMBER(AD1053)),AD1053,"")</f>
        <v>6.58</v>
      </c>
      <c r="I1053" s="95" t="n">
        <f aca="false">IF(AND(AE1053="yes",ISNUMBER(AD1053),ISNUMBER(INDEX(Sources!$G$7:$G$10,MATCH(AB1053,Sources!$B$7:$B$10,0)))),ROUND(AD1053/INDEX(Sources!$G$7:$G$10,MATCH(AB1053,Sources!$B$7:$B$10,0)),6),"")</f>
        <v>6.58</v>
      </c>
      <c r="J1053" s="98" t="s">
        <v>530</v>
      </c>
      <c r="K1053" s="98" t="s">
        <v>2059</v>
      </c>
      <c r="L1053" s="96"/>
      <c r="M1053" s="110" t="s">
        <v>3464</v>
      </c>
      <c r="N1053" s="117" t="s">
        <v>3465</v>
      </c>
      <c r="O1053" s="110" t="s">
        <v>598</v>
      </c>
      <c r="P1053" s="110" t="s">
        <v>265</v>
      </c>
      <c r="Q1053" s="118" t="n">
        <v>0.2</v>
      </c>
      <c r="R1053" s="110" t="n">
        <v>1</v>
      </c>
      <c r="S1053" s="110" t="s">
        <v>632</v>
      </c>
      <c r="T1053" s="110" t="s">
        <v>530</v>
      </c>
      <c r="U1053" s="110" t="s">
        <v>2918</v>
      </c>
      <c r="V1053" s="119" t="n">
        <v>6.58</v>
      </c>
      <c r="W1053" s="119"/>
      <c r="X1053" s="110" t="s">
        <v>2063</v>
      </c>
      <c r="Y1053" s="110" t="s">
        <v>2064</v>
      </c>
      <c r="Z1053" s="110" t="s">
        <v>2948</v>
      </c>
      <c r="AA1053" s="110" t="s">
        <v>537</v>
      </c>
      <c r="AB1053" s="110" t="s">
        <v>244</v>
      </c>
      <c r="AC1053" s="110" t="s">
        <v>538</v>
      </c>
      <c r="AD1053" s="110" t="n">
        <f aca="false">IF(OR(F1053="",Q1053="",R1053=""),"",ROUND(IF(P1053="incl.",F1053/(1+Q1053),F1053)/IF(S1053="per pack",R1053,1),2))</f>
        <v>6.58</v>
      </c>
      <c r="AE1053" s="110" t="str">
        <f aca="false">IF(AND(AC1053="yes",ISNUMBER(F1053),IF(Compare!$H$5="All mapped",TRUE(),IF(Compare!$H$5="EXACT only",J1053="EXACT",OR(J1053="EXACT",J1053="CLOSE")))),"yes","no")</f>
        <v>yes</v>
      </c>
      <c r="AF1053" s="110" t="n">
        <f aca="false">IF(ISNUMBER(H1053),COUNTIFS($B$7:$B$3000,B1053,$C$7:$C$3000,C1053,$H$7:$H$3000,"&lt;"&amp;H1053,$AH$7:$AH$3000,"yes")+COUNTIFS($B$7:B1053,B1053,$C$7:C1053,C1053,$H$7:H1053,H1053,$AH$7:AH1053,"yes"),"")</f>
        <v>2</v>
      </c>
      <c r="AG1053" s="110" t="n">
        <f aca="false">IF(ISNUMBER(I1053),COUNTIFS($B$7:$B$3000,B1053,$C$7:$C$3000,C1053,$I$7:$I$3000,"&lt;"&amp;I1053,$AI$7:$AI$3000,"yes")+COUNTIFS($B$7:B1053,B1053,$C$7:C1053,C1053,$I$7:I1053,I1053,$AI$7:AI1053,"yes"),"")</f>
        <v>2</v>
      </c>
      <c r="AH1053" s="110" t="str">
        <f aca="false">IF(ISNUMBER(H1053),"yes","no")</f>
        <v>yes</v>
      </c>
      <c r="AI1053" s="110" t="str">
        <f aca="false">IF(ISNUMBER(I1053),"yes","no")</f>
        <v>yes</v>
      </c>
      <c r="AJ1053" s="120" t="n">
        <v>46297</v>
      </c>
      <c r="AK1053" s="110"/>
    </row>
    <row r="1054" customFormat="false" ht="46.25" hidden="false" customHeight="false" outlineLevel="0" collapsed="false">
      <c r="B1054" s="36" t="s">
        <v>72</v>
      </c>
      <c r="C1054" s="98" t="s">
        <v>15</v>
      </c>
      <c r="D1054" s="98" t="s">
        <v>281</v>
      </c>
      <c r="E1054" s="110" t="s">
        <v>3466</v>
      </c>
      <c r="F1054" s="99" t="n">
        <v>8.34</v>
      </c>
      <c r="G1054" s="98" t="s">
        <v>244</v>
      </c>
      <c r="H1054" s="112" t="n">
        <f aca="false">IF(AND(AE1054="yes",ISNUMBER(AD1054)),AD1054,"")</f>
        <v>8.34</v>
      </c>
      <c r="I1054" s="95" t="n">
        <f aca="false">IF(AND(AE1054="yes",ISNUMBER(AD1054),ISNUMBER(INDEX(Sources!$G$7:$G$10,MATCH(AB1054,Sources!$B$7:$B$10,0)))),ROUND(AD1054/INDEX(Sources!$G$7:$G$10,MATCH(AB1054,Sources!$B$7:$B$10,0)),6),"")</f>
        <v>8.34</v>
      </c>
      <c r="J1054" s="98" t="s">
        <v>530</v>
      </c>
      <c r="K1054" s="98" t="s">
        <v>2059</v>
      </c>
      <c r="L1054" s="96"/>
      <c r="M1054" s="110" t="s">
        <v>3467</v>
      </c>
      <c r="N1054" s="117" t="s">
        <v>3468</v>
      </c>
      <c r="O1054" s="110" t="s">
        <v>2952</v>
      </c>
      <c r="P1054" s="110" t="s">
        <v>590</v>
      </c>
      <c r="Q1054" s="118" t="n">
        <v>0.2</v>
      </c>
      <c r="R1054" s="110" t="n">
        <v>1</v>
      </c>
      <c r="S1054" s="110" t="s">
        <v>632</v>
      </c>
      <c r="T1054" s="110" t="s">
        <v>530</v>
      </c>
      <c r="U1054" s="110" t="s">
        <v>2913</v>
      </c>
      <c r="V1054" s="119" t="n">
        <v>8.34</v>
      </c>
      <c r="W1054" s="119"/>
      <c r="X1054" s="110" t="s">
        <v>2063</v>
      </c>
      <c r="Y1054" s="110" t="s">
        <v>2064</v>
      </c>
      <c r="Z1054" s="110" t="s">
        <v>2953</v>
      </c>
      <c r="AA1054" s="110" t="s">
        <v>537</v>
      </c>
      <c r="AB1054" s="110" t="s">
        <v>244</v>
      </c>
      <c r="AC1054" s="110" t="s">
        <v>538</v>
      </c>
      <c r="AD1054" s="110" t="n">
        <f aca="false">IF(OR(F1054="",Q1054="",R1054=""),"",ROUND(IF(P1054="incl.",F1054/(1+Q1054),F1054)/IF(S1054="per pack",R1054,1),2))</f>
        <v>8.34</v>
      </c>
      <c r="AE1054" s="110" t="str">
        <f aca="false">IF(AND(AC1054="yes",ISNUMBER(F1054),IF(Compare!$H$5="All mapped",TRUE(),IF(Compare!$H$5="EXACT only",J1054="EXACT",OR(J1054="EXACT",J1054="CLOSE")))),"yes","no")</f>
        <v>yes</v>
      </c>
      <c r="AF1054" s="110" t="n">
        <f aca="false">IF(ISNUMBER(H1054),COUNTIFS($B$7:$B$3000,B1054,$C$7:$C$3000,C1054,$H$7:$H$3000,"&lt;"&amp;H1054,$AH$7:$AH$3000,"yes")+COUNTIFS($B$7:B1054,B1054,$C$7:C1054,C1054,$H$7:H1054,H1054,$AH$7:AH1054,"yes"),"")</f>
        <v>5</v>
      </c>
      <c r="AG1054" s="110" t="n">
        <f aca="false">IF(ISNUMBER(I1054),COUNTIFS($B$7:$B$3000,B1054,$C$7:$C$3000,C1054,$I$7:$I$3000,"&lt;"&amp;I1054,$AI$7:$AI$3000,"yes")+COUNTIFS($B$7:B1054,B1054,$C$7:C1054,C1054,$I$7:I1054,I1054,$AI$7:AI1054,"yes"),"")</f>
        <v>5</v>
      </c>
      <c r="AH1054" s="110" t="str">
        <f aca="false">IF(ISNUMBER(H1054),"yes","no")</f>
        <v>yes</v>
      </c>
      <c r="AI1054" s="110" t="str">
        <f aca="false">IF(ISNUMBER(I1054),"yes","no")</f>
        <v>yes</v>
      </c>
      <c r="AJ1054" s="120" t="n">
        <v>46297</v>
      </c>
      <c r="AK1054" s="110"/>
    </row>
    <row r="1055" customFormat="false" ht="35.05" hidden="false" customHeight="false" outlineLevel="0" collapsed="false">
      <c r="B1055" s="36" t="s">
        <v>72</v>
      </c>
      <c r="C1055" s="98" t="s">
        <v>15</v>
      </c>
      <c r="D1055" s="98" t="s">
        <v>293</v>
      </c>
      <c r="E1055" s="110" t="s">
        <v>3469</v>
      </c>
      <c r="F1055" s="99" t="n">
        <v>8.1</v>
      </c>
      <c r="G1055" s="98" t="s">
        <v>244</v>
      </c>
      <c r="H1055" s="112" t="n">
        <f aca="false">IF(AND(AE1055="yes",ISNUMBER(AD1055)),AD1055,"")</f>
        <v>8.1</v>
      </c>
      <c r="I1055" s="95" t="n">
        <f aca="false">IF(AND(AE1055="yes",ISNUMBER(AD1055),ISNUMBER(INDEX(Sources!$G$7:$G$10,MATCH(AB1055,Sources!$B$7:$B$10,0)))),ROUND(AD1055/INDEX(Sources!$G$7:$G$10,MATCH(AB1055,Sources!$B$7:$B$10,0)),6),"")</f>
        <v>8.1</v>
      </c>
      <c r="J1055" s="98" t="s">
        <v>530</v>
      </c>
      <c r="K1055" s="98" t="s">
        <v>2059</v>
      </c>
      <c r="L1055" s="96"/>
      <c r="M1055" s="110" t="s">
        <v>3470</v>
      </c>
      <c r="N1055" s="117" t="s">
        <v>3471</v>
      </c>
      <c r="O1055" s="110" t="s">
        <v>3063</v>
      </c>
      <c r="P1055" s="110" t="s">
        <v>590</v>
      </c>
      <c r="Q1055" s="118" t="n">
        <v>0.2</v>
      </c>
      <c r="R1055" s="110" t="n">
        <v>1</v>
      </c>
      <c r="S1055" s="110" t="s">
        <v>632</v>
      </c>
      <c r="T1055" s="110" t="s">
        <v>530</v>
      </c>
      <c r="U1055" s="110" t="s">
        <v>2913</v>
      </c>
      <c r="V1055" s="119" t="n">
        <v>8.1</v>
      </c>
      <c r="W1055" s="119"/>
      <c r="X1055" s="110" t="s">
        <v>2063</v>
      </c>
      <c r="Y1055" s="110" t="s">
        <v>2064</v>
      </c>
      <c r="Z1055" s="110" t="s">
        <v>3064</v>
      </c>
      <c r="AA1055" s="110" t="s">
        <v>537</v>
      </c>
      <c r="AB1055" s="110" t="s">
        <v>244</v>
      </c>
      <c r="AC1055" s="110" t="s">
        <v>538</v>
      </c>
      <c r="AD1055" s="110" t="n">
        <f aca="false">IF(OR(F1055="",Q1055="",R1055=""),"",ROUND(IF(P1055="incl.",F1055/(1+Q1055),F1055)/IF(S1055="per pack",R1055,1),2))</f>
        <v>8.1</v>
      </c>
      <c r="AE1055" s="110" t="str">
        <f aca="false">IF(AND(AC1055="yes",ISNUMBER(F1055),IF(Compare!$H$5="All mapped",TRUE(),IF(Compare!$H$5="EXACT only",J1055="EXACT",OR(J1055="EXACT",J1055="CLOSE")))),"yes","no")</f>
        <v>yes</v>
      </c>
      <c r="AF1055" s="110" t="n">
        <f aca="false">IF(ISNUMBER(H1055),COUNTIFS($B$7:$B$3000,B1055,$C$7:$C$3000,C1055,$H$7:$H$3000,"&lt;"&amp;H1055,$AH$7:$AH$3000,"yes")+COUNTIFS($B$7:B1055,B1055,$C$7:C1055,C1055,$H$7:H1055,H1055,$AH$7:AH1055,"yes"),"")</f>
        <v>4</v>
      </c>
      <c r="AG1055" s="110" t="n">
        <f aca="false">IF(ISNUMBER(I1055),COUNTIFS($B$7:$B$3000,B1055,$C$7:$C$3000,C1055,$I$7:$I$3000,"&lt;"&amp;I1055,$AI$7:$AI$3000,"yes")+COUNTIFS($B$7:B1055,B1055,$C$7:C1055,C1055,$I$7:I1055,I1055,$AI$7:AI1055,"yes"),"")</f>
        <v>4</v>
      </c>
      <c r="AH1055" s="110" t="str">
        <f aca="false">IF(ISNUMBER(H1055),"yes","no")</f>
        <v>yes</v>
      </c>
      <c r="AI1055" s="110" t="str">
        <f aca="false">IF(ISNUMBER(I1055),"yes","no")</f>
        <v>yes</v>
      </c>
      <c r="AJ1055" s="120" t="n">
        <v>46297</v>
      </c>
      <c r="AK1055" s="110"/>
    </row>
    <row r="1056" customFormat="false" ht="35.05" hidden="false" customHeight="false" outlineLevel="0" collapsed="false">
      <c r="B1056" s="36" t="s">
        <v>72</v>
      </c>
      <c r="C1056" s="98" t="s">
        <v>16</v>
      </c>
      <c r="D1056" s="98" t="s">
        <v>296</v>
      </c>
      <c r="E1056" s="110" t="s">
        <v>3451</v>
      </c>
      <c r="F1056" s="99" t="n">
        <v>5.49</v>
      </c>
      <c r="G1056" s="98" t="s">
        <v>244</v>
      </c>
      <c r="H1056" s="112" t="n">
        <f aca="false">IF(AND(AE1056="yes",ISNUMBER(AD1056)),AD1056,"")</f>
        <v>5.49</v>
      </c>
      <c r="I1056" s="95" t="n">
        <f aca="false">IF(AND(AE1056="yes",ISNUMBER(AD1056),ISNUMBER(INDEX(Sources!$G$7:$G$10,MATCH(AB1056,Sources!$B$7:$B$10,0)))),ROUND(AD1056/INDEX(Sources!$G$7:$G$10,MATCH(AB1056,Sources!$B$7:$B$10,0)),6),"")</f>
        <v>5.49</v>
      </c>
      <c r="J1056" s="98" t="s">
        <v>530</v>
      </c>
      <c r="K1056" s="98" t="s">
        <v>2059</v>
      </c>
      <c r="L1056" s="96"/>
      <c r="M1056" s="110" t="s">
        <v>3472</v>
      </c>
      <c r="N1056" s="117" t="s">
        <v>3473</v>
      </c>
      <c r="O1056" s="110" t="s">
        <v>296</v>
      </c>
      <c r="P1056" s="110" t="s">
        <v>590</v>
      </c>
      <c r="Q1056" s="118" t="n">
        <v>0.19</v>
      </c>
      <c r="R1056" s="110" t="n">
        <v>1</v>
      </c>
      <c r="S1056" s="110" t="s">
        <v>632</v>
      </c>
      <c r="T1056" s="110" t="s">
        <v>530</v>
      </c>
      <c r="U1056" s="110" t="s">
        <v>2913</v>
      </c>
      <c r="V1056" s="119" t="n">
        <v>5.49</v>
      </c>
      <c r="W1056" s="119"/>
      <c r="X1056" s="110" t="s">
        <v>2063</v>
      </c>
      <c r="Y1056" s="110" t="s">
        <v>2064</v>
      </c>
      <c r="Z1056" s="110" t="s">
        <v>2164</v>
      </c>
      <c r="AA1056" s="110" t="s">
        <v>537</v>
      </c>
      <c r="AB1056" s="110" t="s">
        <v>244</v>
      </c>
      <c r="AC1056" s="110" t="s">
        <v>538</v>
      </c>
      <c r="AD1056" s="110" t="n">
        <f aca="false">IF(OR(F1056="",Q1056="",R1056=""),"",ROUND(IF(P1056="incl.",F1056/(1+Q1056),F1056)/IF(S1056="per pack",R1056,1),2))</f>
        <v>5.49</v>
      </c>
      <c r="AE1056" s="110" t="str">
        <f aca="false">IF(AND(AC1056="yes",ISNUMBER(F1056),IF(Compare!$H$5="All mapped",TRUE(),IF(Compare!$H$5="EXACT only",J1056="EXACT",OR(J1056="EXACT",J1056="CLOSE")))),"yes","no")</f>
        <v>yes</v>
      </c>
      <c r="AF1056" s="110" t="n">
        <f aca="false">IF(ISNUMBER(H1056),COUNTIFS($B$7:$B$3000,B1056,$C$7:$C$3000,C1056,$H$7:$H$3000,"&lt;"&amp;H1056,$AH$7:$AH$3000,"yes")+COUNTIFS($B$7:B1056,B1056,$C$7:C1056,C1056,$H$7:H1056,H1056,$AH$7:AH1056,"yes"),"")</f>
        <v>2</v>
      </c>
      <c r="AG1056" s="110" t="n">
        <f aca="false">IF(ISNUMBER(I1056),COUNTIFS($B$7:$B$3000,B1056,$C$7:$C$3000,C1056,$I$7:$I$3000,"&lt;"&amp;I1056,$AI$7:$AI$3000,"yes")+COUNTIFS($B$7:B1056,B1056,$C$7:C1056,C1056,$I$7:I1056,I1056,$AI$7:AI1056,"yes"),"")</f>
        <v>2</v>
      </c>
      <c r="AH1056" s="110" t="str">
        <f aca="false">IF(ISNUMBER(H1056),"yes","no")</f>
        <v>yes</v>
      </c>
      <c r="AI1056" s="110" t="str">
        <f aca="false">IF(ISNUMBER(I1056),"yes","no")</f>
        <v>yes</v>
      </c>
      <c r="AJ1056" s="120" t="n">
        <v>46297</v>
      </c>
      <c r="AK1056" s="110"/>
    </row>
    <row r="1057" customFormat="false" ht="35.05" hidden="false" customHeight="false" outlineLevel="0" collapsed="false">
      <c r="B1057" s="36" t="s">
        <v>72</v>
      </c>
      <c r="C1057" s="98" t="s">
        <v>16</v>
      </c>
      <c r="D1057" s="98" t="s">
        <v>305</v>
      </c>
      <c r="E1057" s="110" t="s">
        <v>3474</v>
      </c>
      <c r="F1057" s="99" t="n">
        <v>8.18</v>
      </c>
      <c r="G1057" s="98" t="s">
        <v>244</v>
      </c>
      <c r="H1057" s="112" t="n">
        <f aca="false">IF(AND(AE1057="yes",ISNUMBER(AD1057)),AD1057,"")</f>
        <v>6.87</v>
      </c>
      <c r="I1057" s="95" t="n">
        <f aca="false">IF(AND(AE1057="yes",ISNUMBER(AD1057),ISNUMBER(INDEX(Sources!$G$7:$G$10,MATCH(AB1057,Sources!$B$7:$B$10,0)))),ROUND(AD1057/INDEX(Sources!$G$7:$G$10,MATCH(AB1057,Sources!$B$7:$B$10,0)),6),"")</f>
        <v>6.87</v>
      </c>
      <c r="J1057" s="98" t="s">
        <v>530</v>
      </c>
      <c r="K1057" s="98" t="s">
        <v>2059</v>
      </c>
      <c r="L1057" s="96"/>
      <c r="M1057" s="110" t="s">
        <v>3475</v>
      </c>
      <c r="N1057" s="117" t="s">
        <v>3476</v>
      </c>
      <c r="O1057" s="110" t="s">
        <v>2965</v>
      </c>
      <c r="P1057" s="110" t="s">
        <v>265</v>
      </c>
      <c r="Q1057" s="118" t="n">
        <v>0.19</v>
      </c>
      <c r="R1057" s="110" t="n">
        <v>1</v>
      </c>
      <c r="S1057" s="110" t="s">
        <v>632</v>
      </c>
      <c r="T1057" s="110" t="s">
        <v>530</v>
      </c>
      <c r="U1057" s="110" t="s">
        <v>2918</v>
      </c>
      <c r="V1057" s="119" t="n">
        <v>6.87</v>
      </c>
      <c r="W1057" s="119"/>
      <c r="X1057" s="110" t="s">
        <v>2063</v>
      </c>
      <c r="Y1057" s="110" t="s">
        <v>2064</v>
      </c>
      <c r="Z1057" s="110" t="s">
        <v>2156</v>
      </c>
      <c r="AA1057" s="110" t="s">
        <v>537</v>
      </c>
      <c r="AB1057" s="110" t="s">
        <v>244</v>
      </c>
      <c r="AC1057" s="110" t="s">
        <v>538</v>
      </c>
      <c r="AD1057" s="110" t="n">
        <f aca="false">IF(OR(F1057="",Q1057="",R1057=""),"",ROUND(IF(P1057="incl.",F1057/(1+Q1057),F1057)/IF(S1057="per pack",R1057,1),2))</f>
        <v>6.87</v>
      </c>
      <c r="AE1057" s="110" t="str">
        <f aca="false">IF(AND(AC1057="yes",ISNUMBER(F1057),IF(Compare!$H$5="All mapped",TRUE(),IF(Compare!$H$5="EXACT only",J1057="EXACT",OR(J1057="EXACT",J1057="CLOSE")))),"yes","no")</f>
        <v>yes</v>
      </c>
      <c r="AF1057" s="110" t="n">
        <f aca="false">IF(ISNUMBER(H1057),COUNTIFS($B$7:$B$3000,B1057,$C$7:$C$3000,C1057,$H$7:$H$3000,"&lt;"&amp;H1057,$AH$7:$AH$3000,"yes")+COUNTIFS($B$7:B1057,B1057,$C$7:C1057,C1057,$H$7:H1057,H1057,$AH$7:AH1057,"yes"),"")</f>
        <v>4</v>
      </c>
      <c r="AG1057" s="110" t="n">
        <f aca="false">IF(ISNUMBER(I1057),COUNTIFS($B$7:$B$3000,B1057,$C$7:$C$3000,C1057,$I$7:$I$3000,"&lt;"&amp;I1057,$AI$7:$AI$3000,"yes")+COUNTIFS($B$7:B1057,B1057,$C$7:C1057,C1057,$I$7:I1057,I1057,$AI$7:AI1057,"yes"),"")</f>
        <v>4</v>
      </c>
      <c r="AH1057" s="110" t="str">
        <f aca="false">IF(ISNUMBER(H1057),"yes","no")</f>
        <v>yes</v>
      </c>
      <c r="AI1057" s="110" t="str">
        <f aca="false">IF(ISNUMBER(I1057),"yes","no")</f>
        <v>yes</v>
      </c>
      <c r="AJ1057" s="120" t="n">
        <v>46297</v>
      </c>
      <c r="AK1057" s="110"/>
    </row>
    <row r="1058" customFormat="false" ht="35.05" hidden="false" customHeight="false" outlineLevel="0" collapsed="false">
      <c r="B1058" s="36" t="s">
        <v>72</v>
      </c>
      <c r="C1058" s="98" t="s">
        <v>16</v>
      </c>
      <c r="D1058" s="98" t="s">
        <v>311</v>
      </c>
      <c r="E1058" s="110" t="s">
        <v>3457</v>
      </c>
      <c r="F1058" s="99" t="n">
        <v>7.09</v>
      </c>
      <c r="G1058" s="98" t="s">
        <v>244</v>
      </c>
      <c r="H1058" s="112" t="n">
        <f aca="false">IF(AND(AE1058="yes",ISNUMBER(AD1058)),AD1058,"")</f>
        <v>7.09</v>
      </c>
      <c r="I1058" s="95" t="n">
        <f aca="false">IF(AND(AE1058="yes",ISNUMBER(AD1058),ISNUMBER(INDEX(Sources!$G$7:$G$10,MATCH(AB1058,Sources!$B$7:$B$10,0)))),ROUND(AD1058/INDEX(Sources!$G$7:$G$10,MATCH(AB1058,Sources!$B$7:$B$10,0)),6),"")</f>
        <v>7.09</v>
      </c>
      <c r="J1058" s="98" t="s">
        <v>530</v>
      </c>
      <c r="K1058" s="98" t="s">
        <v>2059</v>
      </c>
      <c r="L1058" s="96"/>
      <c r="M1058" s="110" t="s">
        <v>3477</v>
      </c>
      <c r="N1058" s="117" t="s">
        <v>3478</v>
      </c>
      <c r="O1058" s="110" t="s">
        <v>598</v>
      </c>
      <c r="P1058" s="110" t="s">
        <v>590</v>
      </c>
      <c r="Q1058" s="118" t="n">
        <v>0.19</v>
      </c>
      <c r="R1058" s="110" t="n">
        <v>1</v>
      </c>
      <c r="S1058" s="110" t="s">
        <v>632</v>
      </c>
      <c r="T1058" s="110" t="s">
        <v>530</v>
      </c>
      <c r="U1058" s="110" t="s">
        <v>2913</v>
      </c>
      <c r="V1058" s="119" t="n">
        <v>7.09</v>
      </c>
      <c r="W1058" s="119"/>
      <c r="X1058" s="110" t="s">
        <v>2063</v>
      </c>
      <c r="Y1058" s="110" t="s">
        <v>2064</v>
      </c>
      <c r="Z1058" s="110" t="s">
        <v>2968</v>
      </c>
      <c r="AA1058" s="110" t="s">
        <v>537</v>
      </c>
      <c r="AB1058" s="110" t="s">
        <v>244</v>
      </c>
      <c r="AC1058" s="110" t="s">
        <v>538</v>
      </c>
      <c r="AD1058" s="110" t="n">
        <f aca="false">IF(OR(F1058="",Q1058="",R1058=""),"",ROUND(IF(P1058="incl.",F1058/(1+Q1058),F1058)/IF(S1058="per pack",R1058,1),2))</f>
        <v>7.09</v>
      </c>
      <c r="AE1058" s="110" t="str">
        <f aca="false">IF(AND(AC1058="yes",ISNUMBER(F1058),IF(Compare!$H$5="All mapped",TRUE(),IF(Compare!$H$5="EXACT only",J1058="EXACT",OR(J1058="EXACT",J1058="CLOSE")))),"yes","no")</f>
        <v>yes</v>
      </c>
      <c r="AF1058" s="110" t="n">
        <f aca="false">IF(ISNUMBER(H1058),COUNTIFS($B$7:$B$3000,B1058,$C$7:$C$3000,C1058,$H$7:$H$3000,"&lt;"&amp;H1058,$AH$7:$AH$3000,"yes")+COUNTIFS($B$7:B1058,B1058,$C$7:C1058,C1058,$H$7:H1058,H1058,$AH$7:AH1058,"yes"),"")</f>
        <v>5</v>
      </c>
      <c r="AG1058" s="110" t="n">
        <f aca="false">IF(ISNUMBER(I1058),COUNTIFS($B$7:$B$3000,B1058,$C$7:$C$3000,C1058,$I$7:$I$3000,"&lt;"&amp;I1058,$AI$7:$AI$3000,"yes")+COUNTIFS($B$7:B1058,B1058,$C$7:C1058,C1058,$I$7:I1058,I1058,$AI$7:AI1058,"yes"),"")</f>
        <v>5</v>
      </c>
      <c r="AH1058" s="110" t="str">
        <f aca="false">IF(ISNUMBER(H1058),"yes","no")</f>
        <v>yes</v>
      </c>
      <c r="AI1058" s="110" t="str">
        <f aca="false">IF(ISNUMBER(I1058),"yes","no")</f>
        <v>yes</v>
      </c>
      <c r="AJ1058" s="120" t="n">
        <v>46297</v>
      </c>
      <c r="AK1058" s="110"/>
    </row>
    <row r="1059" customFormat="false" ht="23.85" hidden="false" customHeight="false" outlineLevel="0" collapsed="false">
      <c r="B1059" s="36" t="s">
        <v>72</v>
      </c>
      <c r="C1059" s="98" t="s">
        <v>16</v>
      </c>
      <c r="D1059" s="98" t="s">
        <v>309</v>
      </c>
      <c r="E1059" s="110" t="s">
        <v>3460</v>
      </c>
      <c r="F1059" s="99" t="n">
        <v>14.63</v>
      </c>
      <c r="G1059" s="98" t="s">
        <v>244</v>
      </c>
      <c r="H1059" s="112" t="n">
        <f aca="false">IF(AND(AE1059="yes",ISNUMBER(AD1059)),AD1059,"")</f>
        <v>14.63</v>
      </c>
      <c r="I1059" s="95" t="n">
        <f aca="false">IF(AND(AE1059="yes",ISNUMBER(AD1059),ISNUMBER(INDEX(Sources!$G$7:$G$10,MATCH(AB1059,Sources!$B$7:$B$10,0)))),ROUND(AD1059/INDEX(Sources!$G$7:$G$10,MATCH(AB1059,Sources!$B$7:$B$10,0)),6),"")</f>
        <v>14.63</v>
      </c>
      <c r="J1059" s="98" t="s">
        <v>530</v>
      </c>
      <c r="K1059" s="98" t="s">
        <v>2059</v>
      </c>
      <c r="L1059" s="96"/>
      <c r="M1059" s="110" t="s">
        <v>3479</v>
      </c>
      <c r="N1059" s="117" t="s">
        <v>3462</v>
      </c>
      <c r="O1059" s="110" t="s">
        <v>388</v>
      </c>
      <c r="P1059" s="110" t="s">
        <v>590</v>
      </c>
      <c r="Q1059" s="118" t="n">
        <v>0.19</v>
      </c>
      <c r="R1059" s="110" t="n">
        <v>1</v>
      </c>
      <c r="S1059" s="110" t="s">
        <v>632</v>
      </c>
      <c r="T1059" s="110" t="s">
        <v>530</v>
      </c>
      <c r="U1059" s="110" t="s">
        <v>2913</v>
      </c>
      <c r="V1059" s="119" t="n">
        <v>14.63</v>
      </c>
      <c r="W1059" s="119"/>
      <c r="X1059" s="110" t="s">
        <v>2063</v>
      </c>
      <c r="Y1059" s="110" t="s">
        <v>2064</v>
      </c>
      <c r="Z1059" s="110" t="s">
        <v>3240</v>
      </c>
      <c r="AA1059" s="110" t="s">
        <v>537</v>
      </c>
      <c r="AB1059" s="110" t="s">
        <v>244</v>
      </c>
      <c r="AC1059" s="110" t="s">
        <v>538</v>
      </c>
      <c r="AD1059" s="110" t="n">
        <f aca="false">IF(OR(F1059="",Q1059="",R1059=""),"",ROUND(IF(P1059="incl.",F1059/(1+Q1059),F1059)/IF(S1059="per pack",R1059,1),2))</f>
        <v>14.63</v>
      </c>
      <c r="AE1059" s="110" t="str">
        <f aca="false">IF(AND(AC1059="yes",ISNUMBER(F1059),IF(Compare!$H$5="All mapped",TRUE(),IF(Compare!$H$5="EXACT only",J1059="EXACT",OR(J1059="EXACT",J1059="CLOSE")))),"yes","no")</f>
        <v>yes</v>
      </c>
      <c r="AF1059" s="110" t="n">
        <f aca="false">IF(ISNUMBER(H1059),COUNTIFS($B$7:$B$3000,B1059,$C$7:$C$3000,C1059,$H$7:$H$3000,"&lt;"&amp;H1059,$AH$7:$AH$3000,"yes")+COUNTIFS($B$7:B1059,B1059,$C$7:C1059,C1059,$H$7:H1059,H1059,$AH$7:AH1059,"yes"),"")</f>
        <v>7</v>
      </c>
      <c r="AG1059" s="110" t="n">
        <f aca="false">IF(ISNUMBER(I1059),COUNTIFS($B$7:$B$3000,B1059,$C$7:$C$3000,C1059,$I$7:$I$3000,"&lt;"&amp;I1059,$AI$7:$AI$3000,"yes")+COUNTIFS($B$7:B1059,B1059,$C$7:C1059,C1059,$I$7:I1059,I1059,$AI$7:AI1059,"yes"),"")</f>
        <v>7</v>
      </c>
      <c r="AH1059" s="110" t="str">
        <f aca="false">IF(ISNUMBER(H1059),"yes","no")</f>
        <v>yes</v>
      </c>
      <c r="AI1059" s="110" t="str">
        <f aca="false">IF(ISNUMBER(I1059),"yes","no")</f>
        <v>yes</v>
      </c>
      <c r="AJ1059" s="120" t="n">
        <v>46297</v>
      </c>
      <c r="AK1059" s="110"/>
    </row>
    <row r="1060" customFormat="false" ht="23.85" hidden="false" customHeight="false" outlineLevel="0" collapsed="false">
      <c r="B1060" s="36" t="s">
        <v>72</v>
      </c>
      <c r="C1060" s="98" t="s">
        <v>16</v>
      </c>
      <c r="D1060" s="98" t="s">
        <v>313</v>
      </c>
      <c r="E1060" s="110" t="s">
        <v>3463</v>
      </c>
      <c r="F1060" s="99" t="n">
        <v>7.79</v>
      </c>
      <c r="G1060" s="98" t="s">
        <v>244</v>
      </c>
      <c r="H1060" s="112" t="n">
        <f aca="false">IF(AND(AE1060="yes",ISNUMBER(AD1060)),AD1060,"")</f>
        <v>6.55</v>
      </c>
      <c r="I1060" s="95" t="n">
        <f aca="false">IF(AND(AE1060="yes",ISNUMBER(AD1060),ISNUMBER(INDEX(Sources!$G$7:$G$10,MATCH(AB1060,Sources!$B$7:$B$10,0)))),ROUND(AD1060/INDEX(Sources!$G$7:$G$10,MATCH(AB1060,Sources!$B$7:$B$10,0)),6),"")</f>
        <v>6.55</v>
      </c>
      <c r="J1060" s="98" t="s">
        <v>530</v>
      </c>
      <c r="K1060" s="98" t="s">
        <v>2059</v>
      </c>
      <c r="L1060" s="96"/>
      <c r="M1060" s="110" t="s">
        <v>3480</v>
      </c>
      <c r="N1060" s="117" t="s">
        <v>3481</v>
      </c>
      <c r="O1060" s="110" t="s">
        <v>598</v>
      </c>
      <c r="P1060" s="110" t="s">
        <v>265</v>
      </c>
      <c r="Q1060" s="118" t="n">
        <v>0.19</v>
      </c>
      <c r="R1060" s="110" t="n">
        <v>1</v>
      </c>
      <c r="S1060" s="110" t="s">
        <v>632</v>
      </c>
      <c r="T1060" s="110" t="s">
        <v>530</v>
      </c>
      <c r="U1060" s="110" t="s">
        <v>2918</v>
      </c>
      <c r="V1060" s="119" t="n">
        <v>6.55</v>
      </c>
      <c r="W1060" s="119"/>
      <c r="X1060" s="110" t="s">
        <v>2063</v>
      </c>
      <c r="Y1060" s="110" t="s">
        <v>2064</v>
      </c>
      <c r="Z1060" s="110" t="s">
        <v>2973</v>
      </c>
      <c r="AA1060" s="110" t="s">
        <v>537</v>
      </c>
      <c r="AB1060" s="110" t="s">
        <v>244</v>
      </c>
      <c r="AC1060" s="110" t="s">
        <v>538</v>
      </c>
      <c r="AD1060" s="110" t="n">
        <f aca="false">IF(OR(F1060="",Q1060="",R1060=""),"",ROUND(IF(P1060="incl.",F1060/(1+Q1060),F1060)/IF(S1060="per pack",R1060,1),2))</f>
        <v>6.55</v>
      </c>
      <c r="AE1060" s="110" t="str">
        <f aca="false">IF(AND(AC1060="yes",ISNUMBER(F1060),IF(Compare!$H$5="All mapped",TRUE(),IF(Compare!$H$5="EXACT only",J1060="EXACT",OR(J1060="EXACT",J1060="CLOSE")))),"yes","no")</f>
        <v>yes</v>
      </c>
      <c r="AF1060" s="110" t="n">
        <f aca="false">IF(ISNUMBER(H1060),COUNTIFS($B$7:$B$3000,B1060,$C$7:$C$3000,C1060,$H$7:$H$3000,"&lt;"&amp;H1060,$AH$7:$AH$3000,"yes")+COUNTIFS($B$7:B1060,B1060,$C$7:C1060,C1060,$H$7:H1060,H1060,$AH$7:AH1060,"yes"),"")</f>
        <v>3</v>
      </c>
      <c r="AG1060" s="110" t="n">
        <f aca="false">IF(ISNUMBER(I1060),COUNTIFS($B$7:$B$3000,B1060,$C$7:$C$3000,C1060,$I$7:$I$3000,"&lt;"&amp;I1060,$AI$7:$AI$3000,"yes")+COUNTIFS($B$7:B1060,B1060,$C$7:C1060,C1060,$I$7:I1060,I1060,$AI$7:AI1060,"yes"),"")</f>
        <v>3</v>
      </c>
      <c r="AH1060" s="110" t="str">
        <f aca="false">IF(ISNUMBER(H1060),"yes","no")</f>
        <v>yes</v>
      </c>
      <c r="AI1060" s="110" t="str">
        <f aca="false">IF(ISNUMBER(I1060),"yes","no")</f>
        <v>yes</v>
      </c>
      <c r="AJ1060" s="120" t="n">
        <v>46297</v>
      </c>
      <c r="AK1060" s="110"/>
    </row>
    <row r="1061" customFormat="false" ht="35.05" hidden="false" customHeight="false" outlineLevel="0" collapsed="false">
      <c r="B1061" s="36" t="s">
        <v>72</v>
      </c>
      <c r="C1061" s="98" t="s">
        <v>16</v>
      </c>
      <c r="D1061" s="98" t="s">
        <v>321</v>
      </c>
      <c r="E1061" s="110" t="s">
        <v>3482</v>
      </c>
      <c r="F1061" s="99" t="n">
        <v>7.45</v>
      </c>
      <c r="G1061" s="98" t="s">
        <v>244</v>
      </c>
      <c r="H1061" s="112" t="n">
        <f aca="false">IF(AND(AE1061="yes",ISNUMBER(AD1061)),AD1061,"")</f>
        <v>7.45</v>
      </c>
      <c r="I1061" s="95" t="n">
        <f aca="false">IF(AND(AE1061="yes",ISNUMBER(AD1061),ISNUMBER(INDEX(Sources!$G$7:$G$10,MATCH(AB1061,Sources!$B$7:$B$10,0)))),ROUND(AD1061/INDEX(Sources!$G$7:$G$10,MATCH(AB1061,Sources!$B$7:$B$10,0)),6),"")</f>
        <v>7.45</v>
      </c>
      <c r="J1061" s="98" t="s">
        <v>530</v>
      </c>
      <c r="K1061" s="98" t="s">
        <v>2059</v>
      </c>
      <c r="L1061" s="96"/>
      <c r="M1061" s="110" t="s">
        <v>3483</v>
      </c>
      <c r="N1061" s="117" t="s">
        <v>3484</v>
      </c>
      <c r="O1061" s="110" t="s">
        <v>2977</v>
      </c>
      <c r="P1061" s="110" t="s">
        <v>590</v>
      </c>
      <c r="Q1061" s="118" t="n">
        <v>0.19</v>
      </c>
      <c r="R1061" s="110" t="n">
        <v>1</v>
      </c>
      <c r="S1061" s="110" t="s">
        <v>632</v>
      </c>
      <c r="T1061" s="110" t="s">
        <v>530</v>
      </c>
      <c r="U1061" s="110" t="s">
        <v>2913</v>
      </c>
      <c r="V1061" s="119" t="n">
        <v>7.45</v>
      </c>
      <c r="W1061" s="119"/>
      <c r="X1061" s="110" t="s">
        <v>2063</v>
      </c>
      <c r="Y1061" s="110" t="s">
        <v>2064</v>
      </c>
      <c r="Z1061" s="110" t="s">
        <v>2978</v>
      </c>
      <c r="AA1061" s="110" t="s">
        <v>537</v>
      </c>
      <c r="AB1061" s="110" t="s">
        <v>244</v>
      </c>
      <c r="AC1061" s="110" t="s">
        <v>538</v>
      </c>
      <c r="AD1061" s="110" t="n">
        <f aca="false">IF(OR(F1061="",Q1061="",R1061=""),"",ROUND(IF(P1061="incl.",F1061/(1+Q1061),F1061)/IF(S1061="per pack",R1061,1),2))</f>
        <v>7.45</v>
      </c>
      <c r="AE1061" s="110" t="str">
        <f aca="false">IF(AND(AC1061="yes",ISNUMBER(F1061),IF(Compare!$H$5="All mapped",TRUE(),IF(Compare!$H$5="EXACT only",J1061="EXACT",OR(J1061="EXACT",J1061="CLOSE")))),"yes","no")</f>
        <v>yes</v>
      </c>
      <c r="AF1061" s="110" t="n">
        <f aca="false">IF(ISNUMBER(H1061),COUNTIFS($B$7:$B$3000,B1061,$C$7:$C$3000,C1061,$H$7:$H$3000,"&lt;"&amp;H1061,$AH$7:$AH$3000,"yes")+COUNTIFS($B$7:B1061,B1061,$C$7:C1061,C1061,$H$7:H1061,H1061,$AH$7:AH1061,"yes"),"")</f>
        <v>6</v>
      </c>
      <c r="AG1061" s="110" t="n">
        <f aca="false">IF(ISNUMBER(I1061),COUNTIFS($B$7:$B$3000,B1061,$C$7:$C$3000,C1061,$I$7:$I$3000,"&lt;"&amp;I1061,$AI$7:$AI$3000,"yes")+COUNTIFS($B$7:B1061,B1061,$C$7:C1061,C1061,$I$7:I1061,I1061,$AI$7:AI1061,"yes"),"")</f>
        <v>6</v>
      </c>
      <c r="AH1061" s="110" t="str">
        <f aca="false">IF(ISNUMBER(H1061),"yes","no")</f>
        <v>yes</v>
      </c>
      <c r="AI1061" s="110" t="str">
        <f aca="false">IF(ISNUMBER(I1061),"yes","no")</f>
        <v>yes</v>
      </c>
      <c r="AJ1061" s="120" t="n">
        <v>46297</v>
      </c>
      <c r="AK1061" s="110"/>
    </row>
    <row r="1062" customFormat="false" ht="35.05" hidden="false" customHeight="false" outlineLevel="0" collapsed="false">
      <c r="B1062" s="36" t="s">
        <v>72</v>
      </c>
      <c r="C1062" s="98" t="s">
        <v>16</v>
      </c>
      <c r="D1062" s="98" t="s">
        <v>329</v>
      </c>
      <c r="E1062" s="110" t="s">
        <v>3485</v>
      </c>
      <c r="F1062" s="99" t="n">
        <v>4.43</v>
      </c>
      <c r="G1062" s="98" t="s">
        <v>244</v>
      </c>
      <c r="H1062" s="112" t="n">
        <f aca="false">IF(AND(AE1062="yes",ISNUMBER(AD1062)),AD1062,"")</f>
        <v>4.43</v>
      </c>
      <c r="I1062" s="95" t="n">
        <f aca="false">IF(AND(AE1062="yes",ISNUMBER(AD1062),ISNUMBER(INDEX(Sources!$G$7:$G$10,MATCH(AB1062,Sources!$B$7:$B$10,0)))),ROUND(AD1062/INDEX(Sources!$G$7:$G$10,MATCH(AB1062,Sources!$B$7:$B$10,0)),6),"")</f>
        <v>4.43</v>
      </c>
      <c r="J1062" s="98" t="s">
        <v>530</v>
      </c>
      <c r="K1062" s="98" t="s">
        <v>2059</v>
      </c>
      <c r="L1062" s="96"/>
      <c r="M1062" s="110" t="s">
        <v>3486</v>
      </c>
      <c r="N1062" s="117" t="s">
        <v>3487</v>
      </c>
      <c r="O1062" s="110" t="s">
        <v>598</v>
      </c>
      <c r="P1062" s="110" t="s">
        <v>590</v>
      </c>
      <c r="Q1062" s="118" t="n">
        <v>0.19</v>
      </c>
      <c r="R1062" s="110" t="n">
        <v>1</v>
      </c>
      <c r="S1062" s="110" t="s">
        <v>632</v>
      </c>
      <c r="T1062" s="110" t="s">
        <v>530</v>
      </c>
      <c r="U1062" s="110" t="s">
        <v>2913</v>
      </c>
      <c r="V1062" s="119" t="n">
        <v>4.43</v>
      </c>
      <c r="W1062" s="119"/>
      <c r="X1062" s="110" t="s">
        <v>2063</v>
      </c>
      <c r="Y1062" s="110" t="s">
        <v>2064</v>
      </c>
      <c r="Z1062" s="110" t="s">
        <v>2777</v>
      </c>
      <c r="AA1062" s="110" t="s">
        <v>537</v>
      </c>
      <c r="AB1062" s="110" t="s">
        <v>244</v>
      </c>
      <c r="AC1062" s="110" t="s">
        <v>538</v>
      </c>
      <c r="AD1062" s="110" t="n">
        <f aca="false">IF(OR(F1062="",Q1062="",R1062=""),"",ROUND(IF(P1062="incl.",F1062/(1+Q1062),F1062)/IF(S1062="per pack",R1062,1),2))</f>
        <v>4.43</v>
      </c>
      <c r="AE1062" s="110" t="str">
        <f aca="false">IF(AND(AC1062="yes",ISNUMBER(F1062),IF(Compare!$H$5="All mapped",TRUE(),IF(Compare!$H$5="EXACT only",J1062="EXACT",OR(J1062="EXACT",J1062="CLOSE")))),"yes","no")</f>
        <v>yes</v>
      </c>
      <c r="AF1062" s="110" t="n">
        <f aca="false">IF(ISNUMBER(H1062),COUNTIFS($B$7:$B$3000,B1062,$C$7:$C$3000,C1062,$H$7:$H$3000,"&lt;"&amp;H1062,$AH$7:$AH$3000,"yes")+COUNTIFS($B$7:B1062,B1062,$C$7:C1062,C1062,$H$7:H1062,H1062,$AH$7:AH1062,"yes"),"")</f>
        <v>1</v>
      </c>
      <c r="AG1062" s="110" t="n">
        <f aca="false">IF(ISNUMBER(I1062),COUNTIFS($B$7:$B$3000,B1062,$C$7:$C$3000,C1062,$I$7:$I$3000,"&lt;"&amp;I1062,$AI$7:$AI$3000,"yes")+COUNTIFS($B$7:B1062,B1062,$C$7:C1062,C1062,$I$7:I1062,I1062,$AI$7:AI1062,"yes"),"")</f>
        <v>1</v>
      </c>
      <c r="AH1062" s="110" t="str">
        <f aca="false">IF(ISNUMBER(H1062),"yes","no")</f>
        <v>yes</v>
      </c>
      <c r="AI1062" s="110" t="str">
        <f aca="false">IF(ISNUMBER(I1062),"yes","no")</f>
        <v>yes</v>
      </c>
      <c r="AJ1062" s="120" t="n">
        <v>46297</v>
      </c>
      <c r="AK1062" s="110"/>
    </row>
    <row r="1063" customFormat="false" ht="35.05" hidden="false" customHeight="false" outlineLevel="0" collapsed="false">
      <c r="B1063" s="36" t="s">
        <v>72</v>
      </c>
      <c r="C1063" s="98" t="s">
        <v>17</v>
      </c>
      <c r="D1063" s="98" t="s">
        <v>338</v>
      </c>
      <c r="E1063" s="110" t="s">
        <v>3488</v>
      </c>
      <c r="F1063" s="99" t="n">
        <v>170</v>
      </c>
      <c r="G1063" s="98" t="s">
        <v>333</v>
      </c>
      <c r="H1063" s="112" t="n">
        <f aca="false">IF(AND(AE1063="yes",ISNUMBER(AD1063)),AD1063,"")</f>
        <v>170</v>
      </c>
      <c r="I1063" s="95" t="n">
        <f aca="false">IF(AND(AE1063="yes",ISNUMBER(AD1063),ISNUMBER(INDEX(Sources!$G$7:$G$10,MATCH(AB1063,Sources!$B$7:$B$10,0)))),ROUND(AD1063/INDEX(Sources!$G$7:$G$10,MATCH(AB1063,Sources!$B$7:$B$10,0)),6),"")</f>
        <v>6.960476</v>
      </c>
      <c r="J1063" s="98" t="s">
        <v>530</v>
      </c>
      <c r="K1063" s="98" t="s">
        <v>2059</v>
      </c>
      <c r="L1063" s="96"/>
      <c r="M1063" s="110" t="s">
        <v>3489</v>
      </c>
      <c r="N1063" s="117" t="s">
        <v>3490</v>
      </c>
      <c r="O1063" s="110" t="s">
        <v>388</v>
      </c>
      <c r="P1063" s="110" t="s">
        <v>590</v>
      </c>
      <c r="Q1063" s="118" t="n">
        <v>0.21</v>
      </c>
      <c r="R1063" s="110" t="n">
        <v>1</v>
      </c>
      <c r="S1063" s="110" t="s">
        <v>632</v>
      </c>
      <c r="T1063" s="110" t="s">
        <v>530</v>
      </c>
      <c r="U1063" s="110" t="s">
        <v>2913</v>
      </c>
      <c r="V1063" s="119" t="n">
        <v>170</v>
      </c>
      <c r="W1063" s="119"/>
      <c r="X1063" s="110" t="s">
        <v>2063</v>
      </c>
      <c r="Y1063" s="110" t="s">
        <v>2064</v>
      </c>
      <c r="Z1063" s="110" t="s">
        <v>3167</v>
      </c>
      <c r="AA1063" s="110" t="s">
        <v>537</v>
      </c>
      <c r="AB1063" s="110" t="s">
        <v>333</v>
      </c>
      <c r="AC1063" s="110" t="s">
        <v>538</v>
      </c>
      <c r="AD1063" s="110" t="n">
        <f aca="false">IF(OR(F1063="",Q1063="",R1063=""),"",ROUND(IF(P1063="incl.",F1063/(1+Q1063),F1063)/IF(S1063="per pack",R1063,1),2))</f>
        <v>170</v>
      </c>
      <c r="AE1063" s="110" t="str">
        <f aca="false">IF(AND(AC1063="yes",ISNUMBER(F1063),IF(Compare!$H$5="All mapped",TRUE(),IF(Compare!$H$5="EXACT only",J1063="EXACT",OR(J1063="EXACT",J1063="CLOSE")))),"yes","no")</f>
        <v>yes</v>
      </c>
      <c r="AF1063" s="110" t="n">
        <f aca="false">IF(ISNUMBER(H1063),COUNTIFS($B$7:$B$3000,B1063,$C$7:$C$3000,C1063,$H$7:$H$3000,"&lt;"&amp;H1063,$AH$7:$AH$3000,"yes")+COUNTIFS($B$7:B1063,B1063,$C$7:C1063,C1063,$H$7:H1063,H1063,$AH$7:AH1063,"yes"),"")</f>
        <v>2</v>
      </c>
      <c r="AG1063" s="110" t="n">
        <f aca="false">IF(ISNUMBER(I1063),COUNTIFS($B$7:$B$3000,B1063,$C$7:$C$3000,C1063,$I$7:$I$3000,"&lt;"&amp;I1063,$AI$7:$AI$3000,"yes")+COUNTIFS($B$7:B1063,B1063,$C$7:C1063,C1063,$I$7:I1063,I1063,$AI$7:AI1063,"yes"),"")</f>
        <v>2</v>
      </c>
      <c r="AH1063" s="110" t="str">
        <f aca="false">IF(ISNUMBER(H1063),"yes","no")</f>
        <v>yes</v>
      </c>
      <c r="AI1063" s="110" t="str">
        <f aca="false">IF(ISNUMBER(I1063),"yes","no")</f>
        <v>yes</v>
      </c>
      <c r="AJ1063" s="120" t="n">
        <v>46297</v>
      </c>
      <c r="AK1063" s="110"/>
    </row>
    <row r="1064" customFormat="false" ht="35.05" hidden="false" customHeight="false" outlineLevel="0" collapsed="false">
      <c r="B1064" s="36" t="s">
        <v>72</v>
      </c>
      <c r="C1064" s="98" t="s">
        <v>17</v>
      </c>
      <c r="D1064" s="98" t="s">
        <v>342</v>
      </c>
      <c r="E1064" s="110" t="s">
        <v>3491</v>
      </c>
      <c r="F1064" s="99" t="n">
        <v>213</v>
      </c>
      <c r="G1064" s="98" t="s">
        <v>333</v>
      </c>
      <c r="H1064" s="112" t="n">
        <f aca="false">IF(AND(AE1064="yes",ISNUMBER(AD1064)),AD1064,"")</f>
        <v>213</v>
      </c>
      <c r="I1064" s="95" t="n">
        <f aca="false">IF(AND(AE1064="yes",ISNUMBER(AD1064),ISNUMBER(INDEX(Sources!$G$7:$G$10,MATCH(AB1064,Sources!$B$7:$B$10,0)))),ROUND(AD1064/INDEX(Sources!$G$7:$G$10,MATCH(AB1064,Sources!$B$7:$B$10,0)),6),"")</f>
        <v>8.721067</v>
      </c>
      <c r="J1064" s="98" t="s">
        <v>530</v>
      </c>
      <c r="K1064" s="98" t="s">
        <v>2059</v>
      </c>
      <c r="L1064" s="96"/>
      <c r="M1064" s="110" t="s">
        <v>3492</v>
      </c>
      <c r="N1064" s="117" t="s">
        <v>3493</v>
      </c>
      <c r="O1064" s="110" t="s">
        <v>733</v>
      </c>
      <c r="P1064" s="110" t="s">
        <v>590</v>
      </c>
      <c r="Q1064" s="118" t="n">
        <v>0.21</v>
      </c>
      <c r="R1064" s="110" t="n">
        <v>1</v>
      </c>
      <c r="S1064" s="110" t="s">
        <v>632</v>
      </c>
      <c r="T1064" s="110" t="s">
        <v>530</v>
      </c>
      <c r="U1064" s="110" t="s">
        <v>2913</v>
      </c>
      <c r="V1064" s="119" t="n">
        <v>213</v>
      </c>
      <c r="W1064" s="119"/>
      <c r="X1064" s="110" t="s">
        <v>2063</v>
      </c>
      <c r="Y1064" s="110" t="s">
        <v>2064</v>
      </c>
      <c r="Z1064" s="110" t="s">
        <v>2400</v>
      </c>
      <c r="AA1064" s="110" t="s">
        <v>537</v>
      </c>
      <c r="AB1064" s="110" t="s">
        <v>333</v>
      </c>
      <c r="AC1064" s="110" t="s">
        <v>538</v>
      </c>
      <c r="AD1064" s="110" t="n">
        <f aca="false">IF(OR(F1064="",Q1064="",R1064=""),"",ROUND(IF(P1064="incl.",F1064/(1+Q1064),F1064)/IF(S1064="per pack",R1064,1),2))</f>
        <v>213</v>
      </c>
      <c r="AE1064" s="110" t="str">
        <f aca="false">IF(AND(AC1064="yes",ISNUMBER(F1064),IF(Compare!$H$5="All mapped",TRUE(),IF(Compare!$H$5="EXACT only",J1064="EXACT",OR(J1064="EXACT",J1064="CLOSE")))),"yes","no")</f>
        <v>yes</v>
      </c>
      <c r="AF1064" s="110" t="n">
        <f aca="false">IF(ISNUMBER(H1064),COUNTIFS($B$7:$B$3000,B1064,$C$7:$C$3000,C1064,$H$7:$H$3000,"&lt;"&amp;H1064,$AH$7:$AH$3000,"yes")+COUNTIFS($B$7:B1064,B1064,$C$7:C1064,C1064,$H$7:H1064,H1064,$AH$7:AH1064,"yes"),"")</f>
        <v>3</v>
      </c>
      <c r="AG1064" s="110" t="n">
        <f aca="false">IF(ISNUMBER(I1064),COUNTIFS($B$7:$B$3000,B1064,$C$7:$C$3000,C1064,$I$7:$I$3000,"&lt;"&amp;I1064,$AI$7:$AI$3000,"yes")+COUNTIFS($B$7:B1064,B1064,$C$7:C1064,C1064,$I$7:I1064,I1064,$AI$7:AI1064,"yes"),"")</f>
        <v>3</v>
      </c>
      <c r="AH1064" s="110" t="str">
        <f aca="false">IF(ISNUMBER(H1064),"yes","no")</f>
        <v>yes</v>
      </c>
      <c r="AI1064" s="110" t="str">
        <f aca="false">IF(ISNUMBER(I1064),"yes","no")</f>
        <v>yes</v>
      </c>
      <c r="AJ1064" s="120" t="n">
        <v>46297</v>
      </c>
      <c r="AK1064" s="110"/>
    </row>
    <row r="1065" customFormat="false" ht="46.25" hidden="false" customHeight="false" outlineLevel="0" collapsed="false">
      <c r="B1065" s="36" t="s">
        <v>72</v>
      </c>
      <c r="C1065" s="98" t="s">
        <v>17</v>
      </c>
      <c r="D1065" s="98" t="s">
        <v>346</v>
      </c>
      <c r="E1065" s="110" t="s">
        <v>3494</v>
      </c>
      <c r="F1065" s="99" t="n">
        <v>294</v>
      </c>
      <c r="G1065" s="98" t="s">
        <v>333</v>
      </c>
      <c r="H1065" s="112" t="n">
        <f aca="false">IF(AND(AE1065="yes",ISNUMBER(AD1065)),AD1065,"")</f>
        <v>294</v>
      </c>
      <c r="I1065" s="95" t="n">
        <f aca="false">IF(AND(AE1065="yes",ISNUMBER(AD1065),ISNUMBER(INDEX(Sources!$G$7:$G$10,MATCH(AB1065,Sources!$B$7:$B$10,0)))),ROUND(AD1065/INDEX(Sources!$G$7:$G$10,MATCH(AB1065,Sources!$B$7:$B$10,0)),6),"")</f>
        <v>12.03753</v>
      </c>
      <c r="J1065" s="98" t="s">
        <v>530</v>
      </c>
      <c r="K1065" s="98" t="s">
        <v>2059</v>
      </c>
      <c r="L1065" s="96"/>
      <c r="M1065" s="110" t="s">
        <v>3495</v>
      </c>
      <c r="N1065" s="117" t="s">
        <v>3496</v>
      </c>
      <c r="O1065" s="110" t="s">
        <v>565</v>
      </c>
      <c r="P1065" s="110" t="s">
        <v>590</v>
      </c>
      <c r="Q1065" s="118" t="n">
        <v>0.21</v>
      </c>
      <c r="R1065" s="110" t="n">
        <v>1</v>
      </c>
      <c r="S1065" s="110" t="s">
        <v>632</v>
      </c>
      <c r="T1065" s="110" t="s">
        <v>530</v>
      </c>
      <c r="U1065" s="110" t="s">
        <v>2913</v>
      </c>
      <c r="V1065" s="119" t="n">
        <v>294</v>
      </c>
      <c r="W1065" s="119"/>
      <c r="X1065" s="110" t="s">
        <v>2063</v>
      </c>
      <c r="Y1065" s="110" t="s">
        <v>2064</v>
      </c>
      <c r="Z1065" s="110" t="s">
        <v>2993</v>
      </c>
      <c r="AA1065" s="110" t="s">
        <v>537</v>
      </c>
      <c r="AB1065" s="110" t="s">
        <v>333</v>
      </c>
      <c r="AC1065" s="110" t="s">
        <v>538</v>
      </c>
      <c r="AD1065" s="110" t="n">
        <f aca="false">IF(OR(F1065="",Q1065="",R1065=""),"",ROUND(IF(P1065="incl.",F1065/(1+Q1065),F1065)/IF(S1065="per pack",R1065,1),2))</f>
        <v>294</v>
      </c>
      <c r="AE1065" s="110" t="str">
        <f aca="false">IF(AND(AC1065="yes",ISNUMBER(F1065),IF(Compare!$H$5="All mapped",TRUE(),IF(Compare!$H$5="EXACT only",J1065="EXACT",OR(J1065="EXACT",J1065="CLOSE")))),"yes","no")</f>
        <v>yes</v>
      </c>
      <c r="AF1065" s="110" t="n">
        <f aca="false">IF(ISNUMBER(H1065),COUNTIFS($B$7:$B$3000,B1065,$C$7:$C$3000,C1065,$H$7:$H$3000,"&lt;"&amp;H1065,$AH$7:$AH$3000,"yes")+COUNTIFS($B$7:B1065,B1065,$C$7:C1065,C1065,$H$7:H1065,H1065,$AH$7:AH1065,"yes"),"")</f>
        <v>5</v>
      </c>
      <c r="AG1065" s="110" t="n">
        <f aca="false">IF(ISNUMBER(I1065),COUNTIFS($B$7:$B$3000,B1065,$C$7:$C$3000,C1065,$I$7:$I$3000,"&lt;"&amp;I1065,$AI$7:$AI$3000,"yes")+COUNTIFS($B$7:B1065,B1065,$C$7:C1065,C1065,$I$7:I1065,I1065,$AI$7:AI1065,"yes"),"")</f>
        <v>5</v>
      </c>
      <c r="AH1065" s="110" t="str">
        <f aca="false">IF(ISNUMBER(H1065),"yes","no")</f>
        <v>yes</v>
      </c>
      <c r="AI1065" s="110" t="str">
        <f aca="false">IF(ISNUMBER(I1065),"yes","no")</f>
        <v>yes</v>
      </c>
      <c r="AJ1065" s="120" t="n">
        <v>46297</v>
      </c>
      <c r="AK1065" s="110"/>
    </row>
    <row r="1066" customFormat="false" ht="35.05" hidden="false" customHeight="false" outlineLevel="0" collapsed="false">
      <c r="B1066" s="36" t="s">
        <v>72</v>
      </c>
      <c r="C1066" s="98" t="s">
        <v>17</v>
      </c>
      <c r="D1066" s="98" t="s">
        <v>350</v>
      </c>
      <c r="E1066" s="110" t="s">
        <v>3497</v>
      </c>
      <c r="F1066" s="99" t="n">
        <v>165</v>
      </c>
      <c r="G1066" s="98" t="s">
        <v>333</v>
      </c>
      <c r="H1066" s="112" t="n">
        <f aca="false">IF(AND(AE1066="yes",ISNUMBER(AD1066)),AD1066,"")</f>
        <v>136.36</v>
      </c>
      <c r="I1066" s="95" t="n">
        <f aca="false">IF(AND(AE1066="yes",ISNUMBER(AD1066),ISNUMBER(INDEX(Sources!$G$7:$G$10,MATCH(AB1066,Sources!$B$7:$B$10,0)))),ROUND(AD1066/INDEX(Sources!$G$7:$G$10,MATCH(AB1066,Sources!$B$7:$B$10,0)),6),"")</f>
        <v>5.583121</v>
      </c>
      <c r="J1066" s="98" t="s">
        <v>530</v>
      </c>
      <c r="K1066" s="98" t="s">
        <v>2059</v>
      </c>
      <c r="L1066" s="96"/>
      <c r="M1066" s="110" t="s">
        <v>3498</v>
      </c>
      <c r="N1066" s="117" t="s">
        <v>3499</v>
      </c>
      <c r="O1066" s="110" t="s">
        <v>2997</v>
      </c>
      <c r="P1066" s="110" t="s">
        <v>265</v>
      </c>
      <c r="Q1066" s="118" t="n">
        <v>0.21</v>
      </c>
      <c r="R1066" s="110" t="n">
        <v>1</v>
      </c>
      <c r="S1066" s="110" t="s">
        <v>632</v>
      </c>
      <c r="T1066" s="110" t="s">
        <v>530</v>
      </c>
      <c r="U1066" s="110" t="s">
        <v>2918</v>
      </c>
      <c r="V1066" s="119" t="n">
        <v>136.36</v>
      </c>
      <c r="W1066" s="119"/>
      <c r="X1066" s="110" t="s">
        <v>2063</v>
      </c>
      <c r="Y1066" s="110" t="s">
        <v>2064</v>
      </c>
      <c r="Z1066" s="110" t="s">
        <v>2344</v>
      </c>
      <c r="AA1066" s="110" t="s">
        <v>537</v>
      </c>
      <c r="AB1066" s="110" t="s">
        <v>333</v>
      </c>
      <c r="AC1066" s="110" t="s">
        <v>538</v>
      </c>
      <c r="AD1066" s="110" t="n">
        <f aca="false">IF(OR(F1066="",Q1066="",R1066=""),"",ROUND(IF(P1066="incl.",F1066/(1+Q1066),F1066)/IF(S1066="per pack",R1066,1),2))</f>
        <v>136.36</v>
      </c>
      <c r="AE1066" s="110" t="str">
        <f aca="false">IF(AND(AC1066="yes",ISNUMBER(F1066),IF(Compare!$H$5="All mapped",TRUE(),IF(Compare!$H$5="EXACT only",J1066="EXACT",OR(J1066="EXACT",J1066="CLOSE")))),"yes","no")</f>
        <v>yes</v>
      </c>
      <c r="AF1066" s="110" t="n">
        <f aca="false">IF(ISNUMBER(H1066),COUNTIFS($B$7:$B$3000,B1066,$C$7:$C$3000,C1066,$H$7:$H$3000,"&lt;"&amp;H1066,$AH$7:$AH$3000,"yes")+COUNTIFS($B$7:B1066,B1066,$C$7:C1066,C1066,$H$7:H1066,H1066,$AH$7:AH1066,"yes"),"")</f>
        <v>1</v>
      </c>
      <c r="AG1066" s="110" t="n">
        <f aca="false">IF(ISNUMBER(I1066),COUNTIFS($B$7:$B$3000,B1066,$C$7:$C$3000,C1066,$I$7:$I$3000,"&lt;"&amp;I1066,$AI$7:$AI$3000,"yes")+COUNTIFS($B$7:B1066,B1066,$C$7:C1066,C1066,$I$7:I1066,I1066,$AI$7:AI1066,"yes"),"")</f>
        <v>1</v>
      </c>
      <c r="AH1066" s="110" t="str">
        <f aca="false">IF(ISNUMBER(H1066),"yes","no")</f>
        <v>yes</v>
      </c>
      <c r="AI1066" s="110" t="str">
        <f aca="false">IF(ISNUMBER(I1066),"yes","no")</f>
        <v>yes</v>
      </c>
      <c r="AJ1066" s="120" t="n">
        <v>46297</v>
      </c>
      <c r="AK1066" s="110"/>
    </row>
    <row r="1067" customFormat="false" ht="23.85" hidden="false" customHeight="false" outlineLevel="0" collapsed="false">
      <c r="B1067" s="36" t="s">
        <v>72</v>
      </c>
      <c r="C1067" s="98" t="s">
        <v>17</v>
      </c>
      <c r="D1067" s="98" t="s">
        <v>361</v>
      </c>
      <c r="E1067" s="110" t="s">
        <v>3500</v>
      </c>
      <c r="F1067" s="99" t="n">
        <v>220</v>
      </c>
      <c r="G1067" s="98" t="s">
        <v>333</v>
      </c>
      <c r="H1067" s="112" t="n">
        <f aca="false">IF(AND(AE1067="yes",ISNUMBER(AD1067)),AD1067,"")</f>
        <v>220</v>
      </c>
      <c r="I1067" s="95" t="n">
        <f aca="false">IF(AND(AE1067="yes",ISNUMBER(AD1067),ISNUMBER(INDEX(Sources!$G$7:$G$10,MATCH(AB1067,Sources!$B$7:$B$10,0)))),ROUND(AD1067/INDEX(Sources!$G$7:$G$10,MATCH(AB1067,Sources!$B$7:$B$10,0)),6),"")</f>
        <v>9.007675</v>
      </c>
      <c r="J1067" s="98" t="s">
        <v>530</v>
      </c>
      <c r="K1067" s="98" t="s">
        <v>2059</v>
      </c>
      <c r="L1067" s="96"/>
      <c r="M1067" s="110" t="s">
        <v>3501</v>
      </c>
      <c r="N1067" s="117" t="s">
        <v>3502</v>
      </c>
      <c r="O1067" s="110" t="s">
        <v>642</v>
      </c>
      <c r="P1067" s="110" t="s">
        <v>590</v>
      </c>
      <c r="Q1067" s="118" t="n">
        <v>0.21</v>
      </c>
      <c r="R1067" s="110" t="n">
        <v>1</v>
      </c>
      <c r="S1067" s="110" t="s">
        <v>632</v>
      </c>
      <c r="T1067" s="110" t="s">
        <v>530</v>
      </c>
      <c r="U1067" s="110" t="s">
        <v>2913</v>
      </c>
      <c r="V1067" s="119" t="n">
        <v>220</v>
      </c>
      <c r="W1067" s="119"/>
      <c r="X1067" s="110" t="s">
        <v>2063</v>
      </c>
      <c r="Y1067" s="110" t="s">
        <v>2064</v>
      </c>
      <c r="Z1067" s="110" t="s">
        <v>3503</v>
      </c>
      <c r="AA1067" s="110" t="s">
        <v>537</v>
      </c>
      <c r="AB1067" s="110" t="s">
        <v>333</v>
      </c>
      <c r="AC1067" s="110" t="s">
        <v>538</v>
      </c>
      <c r="AD1067" s="110" t="n">
        <f aca="false">IF(OR(F1067="",Q1067="",R1067=""),"",ROUND(IF(P1067="incl.",F1067/(1+Q1067),F1067)/IF(S1067="per pack",R1067,1),2))</f>
        <v>220</v>
      </c>
      <c r="AE1067" s="110" t="str">
        <f aca="false">IF(AND(AC1067="yes",ISNUMBER(F1067),IF(Compare!$H$5="All mapped",TRUE(),IF(Compare!$H$5="EXACT only",J1067="EXACT",OR(J1067="EXACT",J1067="CLOSE")))),"yes","no")</f>
        <v>yes</v>
      </c>
      <c r="AF1067" s="110" t="n">
        <f aca="false">IF(ISNUMBER(H1067),COUNTIFS($B$7:$B$3000,B1067,$C$7:$C$3000,C1067,$H$7:$H$3000,"&lt;"&amp;H1067,$AH$7:$AH$3000,"yes")+COUNTIFS($B$7:B1067,B1067,$C$7:C1067,C1067,$H$7:H1067,H1067,$AH$7:AH1067,"yes"),"")</f>
        <v>4</v>
      </c>
      <c r="AG1067" s="110" t="n">
        <f aca="false">IF(ISNUMBER(I1067),COUNTIFS($B$7:$B$3000,B1067,$C$7:$C$3000,C1067,$I$7:$I$3000,"&lt;"&amp;I1067,$AI$7:$AI$3000,"yes")+COUNTIFS($B$7:B1067,B1067,$C$7:C1067,C1067,$I$7:I1067,I1067,$AI$7:AI1067,"yes"),"")</f>
        <v>4</v>
      </c>
      <c r="AH1067" s="110" t="str">
        <f aca="false">IF(ISNUMBER(H1067),"yes","no")</f>
        <v>yes</v>
      </c>
      <c r="AI1067" s="110" t="str">
        <f aca="false">IF(ISNUMBER(I1067),"yes","no")</f>
        <v>yes</v>
      </c>
      <c r="AJ1067" s="120" t="n">
        <v>46297</v>
      </c>
      <c r="AK1067" s="110"/>
    </row>
    <row r="1068" customFormat="false" ht="23.85" hidden="false" customHeight="false" outlineLevel="0" collapsed="false">
      <c r="B1068" s="36" t="s">
        <v>72</v>
      </c>
      <c r="C1068" s="98" t="s">
        <v>18</v>
      </c>
      <c r="D1068" s="98" t="s">
        <v>3002</v>
      </c>
      <c r="E1068" s="110" t="s">
        <v>3504</v>
      </c>
      <c r="F1068" s="99" t="n">
        <v>8.15</v>
      </c>
      <c r="G1068" s="98" t="s">
        <v>244</v>
      </c>
      <c r="H1068" s="112" t="n">
        <f aca="false">IF(AND(AE1068="yes",ISNUMBER(AD1068)),AD1068,"")</f>
        <v>8.15</v>
      </c>
      <c r="I1068" s="95" t="n">
        <f aca="false">IF(AND(AE1068="yes",ISNUMBER(AD1068),ISNUMBER(INDEX(Sources!$G$7:$G$10,MATCH(AB1068,Sources!$B$7:$B$10,0)))),ROUND(AD1068/INDEX(Sources!$G$7:$G$10,MATCH(AB1068,Sources!$B$7:$B$10,0)),6),"")</f>
        <v>8.15</v>
      </c>
      <c r="J1068" s="98" t="s">
        <v>530</v>
      </c>
      <c r="K1068" s="98" t="s">
        <v>2059</v>
      </c>
      <c r="L1068" s="96"/>
      <c r="M1068" s="110" t="s">
        <v>3505</v>
      </c>
      <c r="N1068" s="117" t="s">
        <v>3005</v>
      </c>
      <c r="O1068" s="110" t="s">
        <v>2396</v>
      </c>
      <c r="P1068" s="110" t="s">
        <v>590</v>
      </c>
      <c r="Q1068" s="118" t="n">
        <v>0.23</v>
      </c>
      <c r="R1068" s="110" t="n">
        <v>1</v>
      </c>
      <c r="S1068" s="110" t="s">
        <v>632</v>
      </c>
      <c r="T1068" s="110" t="s">
        <v>530</v>
      </c>
      <c r="U1068" s="110" t="s">
        <v>2913</v>
      </c>
      <c r="V1068" s="119" t="n">
        <v>8.15</v>
      </c>
      <c r="W1068" s="119"/>
      <c r="X1068" s="110" t="s">
        <v>2063</v>
      </c>
      <c r="Y1068" s="110" t="s">
        <v>2064</v>
      </c>
      <c r="Z1068" s="110" t="s">
        <v>3006</v>
      </c>
      <c r="AA1068" s="110" t="s">
        <v>537</v>
      </c>
      <c r="AB1068" s="110" t="s">
        <v>244</v>
      </c>
      <c r="AC1068" s="110" t="s">
        <v>538</v>
      </c>
      <c r="AD1068" s="110" t="n">
        <f aca="false">IF(OR(F1068="",Q1068="",R1068=""),"",ROUND(IF(P1068="incl.",F1068/(1+Q1068),F1068)/IF(S1068="per pack",R1068,1),2))</f>
        <v>8.15</v>
      </c>
      <c r="AE1068" s="110" t="str">
        <f aca="false">IF(AND(AC1068="yes",ISNUMBER(F1068),IF(Compare!$H$5="All mapped",TRUE(),IF(Compare!$H$5="EXACT only",J1068="EXACT",OR(J1068="EXACT",J1068="CLOSE")))),"yes","no")</f>
        <v>yes</v>
      </c>
      <c r="AF1068" s="110" t="n">
        <f aca="false">IF(ISNUMBER(H1068),COUNTIFS($B$7:$B$3000,B1068,$C$7:$C$3000,C1068,$H$7:$H$3000,"&lt;"&amp;H1068,$AH$7:$AH$3000,"yes")+COUNTIFS($B$7:B1068,B1068,$C$7:C1068,C1068,$H$7:H1068,H1068,$AH$7:AH1068,"yes"),"")</f>
        <v>4</v>
      </c>
      <c r="AG1068" s="110" t="n">
        <f aca="false">IF(ISNUMBER(I1068),COUNTIFS($B$7:$B$3000,B1068,$C$7:$C$3000,C1068,$I$7:$I$3000,"&lt;"&amp;I1068,$AI$7:$AI$3000,"yes")+COUNTIFS($B$7:B1068,B1068,$C$7:C1068,C1068,$I$7:I1068,I1068,$AI$7:AI1068,"yes"),"")</f>
        <v>4</v>
      </c>
      <c r="AH1068" s="110" t="str">
        <f aca="false">IF(ISNUMBER(H1068),"yes","no")</f>
        <v>yes</v>
      </c>
      <c r="AI1068" s="110" t="str">
        <f aca="false">IF(ISNUMBER(I1068),"yes","no")</f>
        <v>yes</v>
      </c>
      <c r="AJ1068" s="120" t="n">
        <v>46297</v>
      </c>
      <c r="AK1068" s="110"/>
    </row>
    <row r="1069" customFormat="false" ht="23.85" hidden="false" customHeight="false" outlineLevel="0" collapsed="false">
      <c r="B1069" s="36" t="s">
        <v>72</v>
      </c>
      <c r="C1069" s="98" t="s">
        <v>18</v>
      </c>
      <c r="D1069" s="98" t="s">
        <v>3007</v>
      </c>
      <c r="E1069" s="110" t="s">
        <v>3506</v>
      </c>
      <c r="F1069" s="99" t="n">
        <v>6.75</v>
      </c>
      <c r="G1069" s="98" t="s">
        <v>244</v>
      </c>
      <c r="H1069" s="112" t="n">
        <f aca="false">IF(AND(AE1069="yes",ISNUMBER(AD1069)),AD1069,"")</f>
        <v>6.75</v>
      </c>
      <c r="I1069" s="95" t="n">
        <f aca="false">IF(AND(AE1069="yes",ISNUMBER(AD1069),ISNUMBER(INDEX(Sources!$G$7:$G$10,MATCH(AB1069,Sources!$B$7:$B$10,0)))),ROUND(AD1069/INDEX(Sources!$G$7:$G$10,MATCH(AB1069,Sources!$B$7:$B$10,0)),6),"")</f>
        <v>6.75</v>
      </c>
      <c r="J1069" s="98" t="s">
        <v>530</v>
      </c>
      <c r="K1069" s="98" t="s">
        <v>2059</v>
      </c>
      <c r="L1069" s="96"/>
      <c r="M1069" s="110" t="s">
        <v>3507</v>
      </c>
      <c r="N1069" s="117" t="s">
        <v>3010</v>
      </c>
      <c r="O1069" s="110" t="s">
        <v>3011</v>
      </c>
      <c r="P1069" s="110" t="s">
        <v>590</v>
      </c>
      <c r="Q1069" s="118" t="n">
        <v>0.23</v>
      </c>
      <c r="R1069" s="110" t="n">
        <v>1</v>
      </c>
      <c r="S1069" s="110" t="s">
        <v>632</v>
      </c>
      <c r="T1069" s="110" t="s">
        <v>530</v>
      </c>
      <c r="U1069" s="110" t="s">
        <v>2913</v>
      </c>
      <c r="V1069" s="119" t="n">
        <v>6.75</v>
      </c>
      <c r="W1069" s="119"/>
      <c r="X1069" s="110" t="s">
        <v>2063</v>
      </c>
      <c r="Y1069" s="110" t="s">
        <v>2064</v>
      </c>
      <c r="Z1069" s="110" t="s">
        <v>3012</v>
      </c>
      <c r="AA1069" s="110" t="s">
        <v>537</v>
      </c>
      <c r="AB1069" s="110" t="s">
        <v>244</v>
      </c>
      <c r="AC1069" s="110" t="s">
        <v>538</v>
      </c>
      <c r="AD1069" s="110" t="n">
        <f aca="false">IF(OR(F1069="",Q1069="",R1069=""),"",ROUND(IF(P1069="incl.",F1069/(1+Q1069),F1069)/IF(S1069="per pack",R1069,1),2))</f>
        <v>6.75</v>
      </c>
      <c r="AE1069" s="110" t="str">
        <f aca="false">IF(AND(AC1069="yes",ISNUMBER(F1069),IF(Compare!$H$5="All mapped",TRUE(),IF(Compare!$H$5="EXACT only",J1069="EXACT",OR(J1069="EXACT",J1069="CLOSE")))),"yes","no")</f>
        <v>yes</v>
      </c>
      <c r="AF1069" s="110" t="n">
        <f aca="false">IF(ISNUMBER(H1069),COUNTIFS($B$7:$B$3000,B1069,$C$7:$C$3000,C1069,$H$7:$H$3000,"&lt;"&amp;H1069,$AH$7:$AH$3000,"yes")+COUNTIFS($B$7:B1069,B1069,$C$7:C1069,C1069,$H$7:H1069,H1069,$AH$7:AH1069,"yes"),"")</f>
        <v>3</v>
      </c>
      <c r="AG1069" s="110" t="n">
        <f aca="false">IF(ISNUMBER(I1069),COUNTIFS($B$7:$B$3000,B1069,$C$7:$C$3000,C1069,$I$7:$I$3000,"&lt;"&amp;I1069,$AI$7:$AI$3000,"yes")+COUNTIFS($B$7:B1069,B1069,$C$7:C1069,C1069,$I$7:I1069,I1069,$AI$7:AI1069,"yes"),"")</f>
        <v>3</v>
      </c>
      <c r="AH1069" s="110" t="str">
        <f aca="false">IF(ISNUMBER(H1069),"yes","no")</f>
        <v>yes</v>
      </c>
      <c r="AI1069" s="110" t="str">
        <f aca="false">IF(ISNUMBER(I1069),"yes","no")</f>
        <v>yes</v>
      </c>
      <c r="AJ1069" s="120" t="n">
        <v>46297</v>
      </c>
      <c r="AK1069" s="110"/>
    </row>
    <row r="1070" customFormat="false" ht="35.05" hidden="false" customHeight="false" outlineLevel="0" collapsed="false">
      <c r="B1070" s="36" t="s">
        <v>72</v>
      </c>
      <c r="C1070" s="98" t="s">
        <v>18</v>
      </c>
      <c r="D1070" s="98" t="s">
        <v>365</v>
      </c>
      <c r="E1070" s="110" t="s">
        <v>3508</v>
      </c>
      <c r="F1070" s="99" t="n">
        <v>5.45</v>
      </c>
      <c r="G1070" s="98" t="s">
        <v>244</v>
      </c>
      <c r="H1070" s="112" t="n">
        <f aca="false">IF(AND(AE1070="yes",ISNUMBER(AD1070)),AD1070,"")</f>
        <v>4.43</v>
      </c>
      <c r="I1070" s="95" t="n">
        <f aca="false">IF(AND(AE1070="yes",ISNUMBER(AD1070),ISNUMBER(INDEX(Sources!$G$7:$G$10,MATCH(AB1070,Sources!$B$7:$B$10,0)))),ROUND(AD1070/INDEX(Sources!$G$7:$G$10,MATCH(AB1070,Sources!$B$7:$B$10,0)),6),"")</f>
        <v>4.43</v>
      </c>
      <c r="J1070" s="98" t="s">
        <v>530</v>
      </c>
      <c r="K1070" s="98" t="s">
        <v>2059</v>
      </c>
      <c r="L1070" s="96"/>
      <c r="M1070" s="110" t="s">
        <v>3509</v>
      </c>
      <c r="N1070" s="117" t="s">
        <v>3510</v>
      </c>
      <c r="O1070" s="110" t="s">
        <v>662</v>
      </c>
      <c r="P1070" s="110" t="s">
        <v>265</v>
      </c>
      <c r="Q1070" s="118" t="n">
        <v>0.23</v>
      </c>
      <c r="R1070" s="110" t="n">
        <v>1</v>
      </c>
      <c r="S1070" s="110" t="s">
        <v>632</v>
      </c>
      <c r="T1070" s="110" t="s">
        <v>530</v>
      </c>
      <c r="U1070" s="110" t="s">
        <v>2918</v>
      </c>
      <c r="V1070" s="119" t="n">
        <v>4.43</v>
      </c>
      <c r="W1070" s="119"/>
      <c r="X1070" s="110" t="s">
        <v>2063</v>
      </c>
      <c r="Y1070" s="110" t="s">
        <v>2064</v>
      </c>
      <c r="Z1070" s="110" t="s">
        <v>3016</v>
      </c>
      <c r="AA1070" s="110" t="s">
        <v>537</v>
      </c>
      <c r="AB1070" s="110" t="s">
        <v>244</v>
      </c>
      <c r="AC1070" s="110" t="s">
        <v>538</v>
      </c>
      <c r="AD1070" s="110" t="n">
        <f aca="false">IF(OR(F1070="",Q1070="",R1070=""),"",ROUND(IF(P1070="incl.",F1070/(1+Q1070),F1070)/IF(S1070="per pack",R1070,1),2))</f>
        <v>4.43</v>
      </c>
      <c r="AE1070" s="110" t="str">
        <f aca="false">IF(AND(AC1070="yes",ISNUMBER(F1070),IF(Compare!$H$5="All mapped",TRUE(),IF(Compare!$H$5="EXACT only",J1070="EXACT",OR(J1070="EXACT",J1070="CLOSE")))),"yes","no")</f>
        <v>yes</v>
      </c>
      <c r="AF1070" s="110" t="n">
        <f aca="false">IF(ISNUMBER(H1070),COUNTIFS($B$7:$B$3000,B1070,$C$7:$C$3000,C1070,$H$7:$H$3000,"&lt;"&amp;H1070,$AH$7:$AH$3000,"yes")+COUNTIFS($B$7:B1070,B1070,$C$7:C1070,C1070,$H$7:H1070,H1070,$AH$7:AH1070,"yes"),"")</f>
        <v>1</v>
      </c>
      <c r="AG1070" s="110" t="n">
        <f aca="false">IF(ISNUMBER(I1070),COUNTIFS($B$7:$B$3000,B1070,$C$7:$C$3000,C1070,$I$7:$I$3000,"&lt;"&amp;I1070,$AI$7:$AI$3000,"yes")+COUNTIFS($B$7:B1070,B1070,$C$7:C1070,C1070,$I$7:I1070,I1070,$AI$7:AI1070,"yes"),"")</f>
        <v>1</v>
      </c>
      <c r="AH1070" s="110" t="str">
        <f aca="false">IF(ISNUMBER(H1070),"yes","no")</f>
        <v>yes</v>
      </c>
      <c r="AI1070" s="110" t="str">
        <f aca="false">IF(ISNUMBER(I1070),"yes","no")</f>
        <v>yes</v>
      </c>
      <c r="AJ1070" s="120" t="n">
        <v>46297</v>
      </c>
      <c r="AK1070" s="110"/>
    </row>
    <row r="1071" customFormat="false" ht="35.05" hidden="false" customHeight="false" outlineLevel="0" collapsed="false">
      <c r="B1071" s="36" t="s">
        <v>72</v>
      </c>
      <c r="C1071" s="98" t="s">
        <v>18</v>
      </c>
      <c r="D1071" s="98" t="s">
        <v>369</v>
      </c>
      <c r="E1071" s="110" t="s">
        <v>3511</v>
      </c>
      <c r="F1071" s="99" t="n">
        <v>19.14</v>
      </c>
      <c r="G1071" s="98" t="s">
        <v>244</v>
      </c>
      <c r="H1071" s="112" t="n">
        <f aca="false">IF(AND(AE1071="yes",ISNUMBER(AD1071)),AD1071,"")</f>
        <v>15.56</v>
      </c>
      <c r="I1071" s="95" t="n">
        <f aca="false">IF(AND(AE1071="yes",ISNUMBER(AD1071),ISNUMBER(INDEX(Sources!$G$7:$G$10,MATCH(AB1071,Sources!$B$7:$B$10,0)))),ROUND(AD1071/INDEX(Sources!$G$7:$G$10,MATCH(AB1071,Sources!$B$7:$B$10,0)),6),"")</f>
        <v>15.56</v>
      </c>
      <c r="J1071" s="98" t="s">
        <v>530</v>
      </c>
      <c r="K1071" s="98" t="s">
        <v>2059</v>
      </c>
      <c r="L1071" s="96"/>
      <c r="M1071" s="110" t="s">
        <v>3512</v>
      </c>
      <c r="N1071" s="117" t="s">
        <v>3513</v>
      </c>
      <c r="O1071" s="110" t="s">
        <v>783</v>
      </c>
      <c r="P1071" s="110" t="s">
        <v>265</v>
      </c>
      <c r="Q1071" s="118" t="n">
        <v>0.23</v>
      </c>
      <c r="R1071" s="110" t="n">
        <v>1</v>
      </c>
      <c r="S1071" s="110" t="s">
        <v>632</v>
      </c>
      <c r="T1071" s="110" t="s">
        <v>530</v>
      </c>
      <c r="U1071" s="110" t="s">
        <v>2918</v>
      </c>
      <c r="V1071" s="119" t="n">
        <v>15.56</v>
      </c>
      <c r="W1071" s="119"/>
      <c r="X1071" s="110" t="s">
        <v>2063</v>
      </c>
      <c r="Y1071" s="110" t="s">
        <v>2064</v>
      </c>
      <c r="Z1071" s="110" t="s">
        <v>3514</v>
      </c>
      <c r="AA1071" s="110" t="s">
        <v>537</v>
      </c>
      <c r="AB1071" s="110" t="s">
        <v>244</v>
      </c>
      <c r="AC1071" s="110" t="s">
        <v>538</v>
      </c>
      <c r="AD1071" s="110" t="n">
        <f aca="false">IF(OR(F1071="",Q1071="",R1071=""),"",ROUND(IF(P1071="incl.",F1071/(1+Q1071),F1071)/IF(S1071="per pack",R1071,1),2))</f>
        <v>15.56</v>
      </c>
      <c r="AE1071" s="110" t="str">
        <f aca="false">IF(AND(AC1071="yes",ISNUMBER(F1071),IF(Compare!$H$5="All mapped",TRUE(),IF(Compare!$H$5="EXACT only",J1071="EXACT",OR(J1071="EXACT",J1071="CLOSE")))),"yes","no")</f>
        <v>yes</v>
      </c>
      <c r="AF1071" s="110" t="n">
        <f aca="false">IF(ISNUMBER(H1071),COUNTIFS($B$7:$B$3000,B1071,$C$7:$C$3000,C1071,$H$7:$H$3000,"&lt;"&amp;H1071,$AH$7:$AH$3000,"yes")+COUNTIFS($B$7:B1071,B1071,$C$7:C1071,C1071,$H$7:H1071,H1071,$AH$7:AH1071,"yes"),"")</f>
        <v>5</v>
      </c>
      <c r="AG1071" s="110" t="n">
        <f aca="false">IF(ISNUMBER(I1071),COUNTIFS($B$7:$B$3000,B1071,$C$7:$C$3000,C1071,$I$7:$I$3000,"&lt;"&amp;I1071,$AI$7:$AI$3000,"yes")+COUNTIFS($B$7:B1071,B1071,$C$7:C1071,C1071,$I$7:I1071,I1071,$AI$7:AI1071,"yes"),"")</f>
        <v>5</v>
      </c>
      <c r="AH1071" s="110" t="str">
        <f aca="false">IF(ISNUMBER(H1071),"yes","no")</f>
        <v>yes</v>
      </c>
      <c r="AI1071" s="110" t="str">
        <f aca="false">IF(ISNUMBER(I1071),"yes","no")</f>
        <v>yes</v>
      </c>
      <c r="AJ1071" s="120" t="n">
        <v>46297</v>
      </c>
      <c r="AK1071" s="110"/>
    </row>
    <row r="1072" customFormat="false" ht="35.05" hidden="false" customHeight="false" outlineLevel="0" collapsed="false">
      <c r="B1072" s="36" t="s">
        <v>72</v>
      </c>
      <c r="C1072" s="98" t="s">
        <v>18</v>
      </c>
      <c r="D1072" s="98" t="s">
        <v>3021</v>
      </c>
      <c r="E1072" s="110" t="s">
        <v>3500</v>
      </c>
      <c r="F1072" s="99" t="n">
        <v>5.31</v>
      </c>
      <c r="G1072" s="98" t="s">
        <v>244</v>
      </c>
      <c r="H1072" s="112" t="n">
        <f aca="false">IF(AND(AE1072="yes",ISNUMBER(AD1072)),AD1072,"")</f>
        <v>5.31</v>
      </c>
      <c r="I1072" s="95" t="n">
        <f aca="false">IF(AND(AE1072="yes",ISNUMBER(AD1072),ISNUMBER(INDEX(Sources!$G$7:$G$10,MATCH(AB1072,Sources!$B$7:$B$10,0)))),ROUND(AD1072/INDEX(Sources!$G$7:$G$10,MATCH(AB1072,Sources!$B$7:$B$10,0)),6),"")</f>
        <v>5.31</v>
      </c>
      <c r="J1072" s="98" t="s">
        <v>530</v>
      </c>
      <c r="K1072" s="98" t="s">
        <v>2059</v>
      </c>
      <c r="L1072" s="96"/>
      <c r="M1072" s="110" t="s">
        <v>3515</v>
      </c>
      <c r="N1072" s="117" t="s">
        <v>3023</v>
      </c>
      <c r="O1072" s="110" t="s">
        <v>3024</v>
      </c>
      <c r="P1072" s="110" t="s">
        <v>590</v>
      </c>
      <c r="Q1072" s="118" t="n">
        <v>0.23</v>
      </c>
      <c r="R1072" s="110" t="n">
        <v>1</v>
      </c>
      <c r="S1072" s="110" t="s">
        <v>632</v>
      </c>
      <c r="T1072" s="110" t="s">
        <v>530</v>
      </c>
      <c r="U1072" s="110" t="s">
        <v>2913</v>
      </c>
      <c r="V1072" s="119" t="n">
        <v>5.31</v>
      </c>
      <c r="W1072" s="119"/>
      <c r="X1072" s="110" t="s">
        <v>2063</v>
      </c>
      <c r="Y1072" s="110" t="s">
        <v>2064</v>
      </c>
      <c r="Z1072" s="110" t="s">
        <v>3109</v>
      </c>
      <c r="AA1072" s="110" t="s">
        <v>537</v>
      </c>
      <c r="AB1072" s="110" t="s">
        <v>244</v>
      </c>
      <c r="AC1072" s="110" t="s">
        <v>538</v>
      </c>
      <c r="AD1072" s="110" t="n">
        <f aca="false">IF(OR(F1072="",Q1072="",R1072=""),"",ROUND(IF(P1072="incl.",F1072/(1+Q1072),F1072)/IF(S1072="per pack",R1072,1),2))</f>
        <v>5.31</v>
      </c>
      <c r="AE1072" s="110" t="str">
        <f aca="false">IF(AND(AC1072="yes",ISNUMBER(F1072),IF(Compare!$H$5="All mapped",TRUE(),IF(Compare!$H$5="EXACT only",J1072="EXACT",OR(J1072="EXACT",J1072="CLOSE")))),"yes","no")</f>
        <v>yes</v>
      </c>
      <c r="AF1072" s="110" t="n">
        <f aca="false">IF(ISNUMBER(H1072),COUNTIFS($B$7:$B$3000,B1072,$C$7:$C$3000,C1072,$H$7:$H$3000,"&lt;"&amp;H1072,$AH$7:$AH$3000,"yes")+COUNTIFS($B$7:B1072,B1072,$C$7:C1072,C1072,$H$7:H1072,H1072,$AH$7:AH1072,"yes"),"")</f>
        <v>2</v>
      </c>
      <c r="AG1072" s="110" t="n">
        <f aca="false">IF(ISNUMBER(I1072),COUNTIFS($B$7:$B$3000,B1072,$C$7:$C$3000,C1072,$I$7:$I$3000,"&lt;"&amp;I1072,$AI$7:$AI$3000,"yes")+COUNTIFS($B$7:B1072,B1072,$C$7:C1072,C1072,$I$7:I1072,I1072,$AI$7:AI1072,"yes"),"")</f>
        <v>2</v>
      </c>
      <c r="AH1072" s="110" t="str">
        <f aca="false">IF(ISNUMBER(H1072),"yes","no")</f>
        <v>yes</v>
      </c>
      <c r="AI1072" s="110" t="str">
        <f aca="false">IF(ISNUMBER(I1072),"yes","no")</f>
        <v>yes</v>
      </c>
      <c r="AJ1072" s="120" t="n">
        <v>46297</v>
      </c>
      <c r="AK1072" s="110"/>
    </row>
    <row r="1073" customFormat="false" ht="23.85" hidden="false" customHeight="false" outlineLevel="0" collapsed="false">
      <c r="B1073" s="36" t="s">
        <v>73</v>
      </c>
      <c r="C1073" s="98" t="s">
        <v>14</v>
      </c>
      <c r="D1073" s="98" t="s">
        <v>373</v>
      </c>
      <c r="E1073" s="110" t="s">
        <v>3516</v>
      </c>
      <c r="F1073" s="99" t="n">
        <v>45.68</v>
      </c>
      <c r="G1073" s="98" t="s">
        <v>374</v>
      </c>
      <c r="H1073" s="112" t="n">
        <f aca="false">IF(AND(AE1073="yes",ISNUMBER(AD1073)),AD1073,"")</f>
        <v>45.68</v>
      </c>
      <c r="I1073" s="95" t="n">
        <f aca="false">IF(AND(AE1073="yes",ISNUMBER(AD1073),ISNUMBER(INDEX(Sources!$G$7:$G$10,MATCH(AB1073,Sources!$B$7:$B$10,0)))),ROUND(AD1073/INDEX(Sources!$G$7:$G$10,MATCH(AB1073,Sources!$B$7:$B$10,0)),6),"")</f>
        <v>8.655381</v>
      </c>
      <c r="J1073" s="98" t="s">
        <v>530</v>
      </c>
      <c r="K1073" s="98" t="s">
        <v>2059</v>
      </c>
      <c r="L1073" s="96"/>
      <c r="M1073" s="110" t="s">
        <v>3517</v>
      </c>
      <c r="N1073" s="117" t="s">
        <v>3518</v>
      </c>
      <c r="O1073" s="110" t="s">
        <v>3029</v>
      </c>
      <c r="P1073" s="110" t="s">
        <v>590</v>
      </c>
      <c r="Q1073" s="118" t="n">
        <v>0.21</v>
      </c>
      <c r="R1073" s="110" t="n">
        <v>1</v>
      </c>
      <c r="S1073" s="110" t="s">
        <v>632</v>
      </c>
      <c r="T1073" s="110" t="s">
        <v>530</v>
      </c>
      <c r="U1073" s="110" t="s">
        <v>2913</v>
      </c>
      <c r="V1073" s="119" t="n">
        <v>45.68</v>
      </c>
      <c r="W1073" s="119"/>
      <c r="X1073" s="110" t="s">
        <v>2063</v>
      </c>
      <c r="Y1073" s="110" t="s">
        <v>2064</v>
      </c>
      <c r="Z1073" s="110"/>
      <c r="AA1073" s="110" t="s">
        <v>537</v>
      </c>
      <c r="AB1073" s="110" t="s">
        <v>374</v>
      </c>
      <c r="AC1073" s="110" t="s">
        <v>538</v>
      </c>
      <c r="AD1073" s="110" t="n">
        <f aca="false">IF(OR(F1073="",Q1073="",R1073=""),"",ROUND(IF(P1073="incl.",F1073/(1+Q1073),F1073)/IF(S1073="per pack",R1073,1),2))</f>
        <v>45.68</v>
      </c>
      <c r="AE1073" s="110" t="str">
        <f aca="false">IF(AND(AC1073="yes",ISNUMBER(F1073),IF(Compare!$H$5="All mapped",TRUE(),IF(Compare!$H$5="EXACT only",J1073="EXACT",OR(J1073="EXACT",J1073="CLOSE")))),"yes","no")</f>
        <v>yes</v>
      </c>
      <c r="AF1073" s="110" t="n">
        <f aca="false">IF(ISNUMBER(H1073),COUNTIFS($B$7:$B$3000,B1073,$C$7:$C$3000,C1073,$H$7:$H$3000,"&lt;"&amp;H1073,$AH$7:$AH$3000,"yes")+COUNTIFS($B$7:B1073,B1073,$C$7:C1073,C1073,$H$7:H1073,H1073,$AH$7:AH1073,"yes"),"")</f>
        <v>3</v>
      </c>
      <c r="AG1073" s="110" t="n">
        <f aca="false">IF(ISNUMBER(I1073),COUNTIFS($B$7:$B$3000,B1073,$C$7:$C$3000,C1073,$I$7:$I$3000,"&lt;"&amp;I1073,$AI$7:$AI$3000,"yes")+COUNTIFS($B$7:B1073,B1073,$C$7:C1073,C1073,$I$7:I1073,I1073,$AI$7:AI1073,"yes"),"")</f>
        <v>3</v>
      </c>
      <c r="AH1073" s="110" t="str">
        <f aca="false">IF(ISNUMBER(H1073),"yes","no")</f>
        <v>yes</v>
      </c>
      <c r="AI1073" s="110" t="str">
        <f aca="false">IF(ISNUMBER(I1073),"yes","no")</f>
        <v>yes</v>
      </c>
      <c r="AJ1073" s="120" t="n">
        <v>46297</v>
      </c>
      <c r="AK1073" s="110"/>
    </row>
    <row r="1074" customFormat="false" ht="23.85" hidden="false" customHeight="false" outlineLevel="0" collapsed="false">
      <c r="B1074" s="36" t="s">
        <v>73</v>
      </c>
      <c r="C1074" s="98" t="s">
        <v>14</v>
      </c>
      <c r="D1074" s="98" t="s">
        <v>378</v>
      </c>
      <c r="E1074" s="110" t="s">
        <v>3519</v>
      </c>
      <c r="F1074" s="99" t="n">
        <v>66.14</v>
      </c>
      <c r="G1074" s="98" t="s">
        <v>374</v>
      </c>
      <c r="H1074" s="112" t="n">
        <f aca="false">IF(AND(AE1074="yes",ISNUMBER(AD1074)),AD1074,"")</f>
        <v>54.66</v>
      </c>
      <c r="I1074" s="95" t="n">
        <f aca="false">IF(AND(AE1074="yes",ISNUMBER(AD1074),ISNUMBER(INDEX(Sources!$G$7:$G$10,MATCH(AB1074,Sources!$B$7:$B$10,0)))),ROUND(AD1074/INDEX(Sources!$G$7:$G$10,MATCH(AB1074,Sources!$B$7:$B$10,0)),6),"")</f>
        <v>10.356899</v>
      </c>
      <c r="J1074" s="98" t="s">
        <v>530</v>
      </c>
      <c r="K1074" s="98" t="s">
        <v>2059</v>
      </c>
      <c r="L1074" s="96"/>
      <c r="M1074" s="110" t="s">
        <v>3520</v>
      </c>
      <c r="N1074" s="117" t="s">
        <v>3521</v>
      </c>
      <c r="O1074" s="110" t="s">
        <v>2917</v>
      </c>
      <c r="P1074" s="110" t="s">
        <v>265</v>
      </c>
      <c r="Q1074" s="118" t="n">
        <v>0.21</v>
      </c>
      <c r="R1074" s="110" t="n">
        <v>1</v>
      </c>
      <c r="S1074" s="110" t="s">
        <v>632</v>
      </c>
      <c r="T1074" s="110" t="s">
        <v>530</v>
      </c>
      <c r="U1074" s="110" t="s">
        <v>2918</v>
      </c>
      <c r="V1074" s="119" t="n">
        <v>54.66</v>
      </c>
      <c r="W1074" s="119"/>
      <c r="X1074" s="110" t="s">
        <v>2063</v>
      </c>
      <c r="Y1074" s="110" t="s">
        <v>2064</v>
      </c>
      <c r="Z1074" s="110"/>
      <c r="AA1074" s="110" t="s">
        <v>537</v>
      </c>
      <c r="AB1074" s="110" t="s">
        <v>374</v>
      </c>
      <c r="AC1074" s="110" t="s">
        <v>538</v>
      </c>
      <c r="AD1074" s="110" t="n">
        <f aca="false">IF(OR(F1074="",Q1074="",R1074=""),"",ROUND(IF(P1074="incl.",F1074/(1+Q1074),F1074)/IF(S1074="per pack",R1074,1),2))</f>
        <v>54.66</v>
      </c>
      <c r="AE1074" s="110" t="str">
        <f aca="false">IF(AND(AC1074="yes",ISNUMBER(F1074),IF(Compare!$H$5="All mapped",TRUE(),IF(Compare!$H$5="EXACT only",J1074="EXACT",OR(J1074="EXACT",J1074="CLOSE")))),"yes","no")</f>
        <v>yes</v>
      </c>
      <c r="AF1074" s="110" t="n">
        <f aca="false">IF(ISNUMBER(H1074),COUNTIFS($B$7:$B$3000,B1074,$C$7:$C$3000,C1074,$H$7:$H$3000,"&lt;"&amp;H1074,$AH$7:$AH$3000,"yes")+COUNTIFS($B$7:B1074,B1074,$C$7:C1074,C1074,$H$7:H1074,H1074,$AH$7:AH1074,"yes"),"")</f>
        <v>4</v>
      </c>
      <c r="AG1074" s="110" t="n">
        <f aca="false">IF(ISNUMBER(I1074),COUNTIFS($B$7:$B$3000,B1074,$C$7:$C$3000,C1074,$I$7:$I$3000,"&lt;"&amp;I1074,$AI$7:$AI$3000,"yes")+COUNTIFS($B$7:B1074,B1074,$C$7:C1074,C1074,$I$7:I1074,I1074,$AI$7:AI1074,"yes"),"")</f>
        <v>4</v>
      </c>
      <c r="AH1074" s="110" t="str">
        <f aca="false">IF(ISNUMBER(H1074),"yes","no")</f>
        <v>yes</v>
      </c>
      <c r="AI1074" s="110" t="str">
        <f aca="false">IF(ISNUMBER(I1074),"yes","no")</f>
        <v>yes</v>
      </c>
      <c r="AJ1074" s="120" t="n">
        <v>46297</v>
      </c>
      <c r="AK1074" s="110"/>
    </row>
    <row r="1075" customFormat="false" ht="35.05" hidden="false" customHeight="false" outlineLevel="0" collapsed="false">
      <c r="B1075" s="36" t="s">
        <v>73</v>
      </c>
      <c r="C1075" s="98" t="s">
        <v>14</v>
      </c>
      <c r="D1075" s="98" t="s">
        <v>346</v>
      </c>
      <c r="E1075" s="110" t="s">
        <v>3522</v>
      </c>
      <c r="F1075" s="99" t="n">
        <v>119.69</v>
      </c>
      <c r="G1075" s="98" t="s">
        <v>374</v>
      </c>
      <c r="H1075" s="112" t="n">
        <f aca="false">IF(AND(AE1075="yes",ISNUMBER(AD1075)),AD1075,"")</f>
        <v>98.92</v>
      </c>
      <c r="I1075" s="95" t="n">
        <f aca="false">IF(AND(AE1075="yes",ISNUMBER(AD1075),ISNUMBER(INDEX(Sources!$G$7:$G$10,MATCH(AB1075,Sources!$B$7:$B$10,0)))),ROUND(AD1075/INDEX(Sources!$G$7:$G$10,MATCH(AB1075,Sources!$B$7:$B$10,0)),6),"")</f>
        <v>18.74322</v>
      </c>
      <c r="J1075" s="98" t="s">
        <v>530</v>
      </c>
      <c r="K1075" s="98" t="s">
        <v>2059</v>
      </c>
      <c r="L1075" s="96"/>
      <c r="M1075" s="110" t="s">
        <v>3523</v>
      </c>
      <c r="N1075" s="117" t="s">
        <v>3524</v>
      </c>
      <c r="O1075" s="110" t="s">
        <v>783</v>
      </c>
      <c r="P1075" s="110" t="s">
        <v>265</v>
      </c>
      <c r="Q1075" s="118" t="n">
        <v>0.21</v>
      </c>
      <c r="R1075" s="110" t="n">
        <v>1</v>
      </c>
      <c r="S1075" s="110" t="s">
        <v>632</v>
      </c>
      <c r="T1075" s="110" t="s">
        <v>530</v>
      </c>
      <c r="U1075" s="110" t="s">
        <v>2918</v>
      </c>
      <c r="V1075" s="119" t="n">
        <v>98.92</v>
      </c>
      <c r="W1075" s="119"/>
      <c r="X1075" s="110" t="s">
        <v>2063</v>
      </c>
      <c r="Y1075" s="110" t="s">
        <v>2064</v>
      </c>
      <c r="Z1075" s="110"/>
      <c r="AA1075" s="110" t="s">
        <v>537</v>
      </c>
      <c r="AB1075" s="110" t="s">
        <v>374</v>
      </c>
      <c r="AC1075" s="110" t="s">
        <v>538</v>
      </c>
      <c r="AD1075" s="110" t="n">
        <f aca="false">IF(OR(F1075="",Q1075="",R1075=""),"",ROUND(IF(P1075="incl.",F1075/(1+Q1075),F1075)/IF(S1075="per pack",R1075,1),2))</f>
        <v>98.92</v>
      </c>
      <c r="AE1075" s="110" t="str">
        <f aca="false">IF(AND(AC1075="yes",ISNUMBER(F1075),IF(Compare!$H$5="All mapped",TRUE(),IF(Compare!$H$5="EXACT only",J1075="EXACT",OR(J1075="EXACT",J1075="CLOSE")))),"yes","no")</f>
        <v>yes</v>
      </c>
      <c r="AF1075" s="110" t="n">
        <f aca="false">IF(ISNUMBER(H1075),COUNTIFS($B$7:$B$3000,B1075,$C$7:$C$3000,C1075,$H$7:$H$3000,"&lt;"&amp;H1075,$AH$7:$AH$3000,"yes")+COUNTIFS($B$7:B1075,B1075,$C$7:C1075,C1075,$H$7:H1075,H1075,$AH$7:AH1075,"yes"),"")</f>
        <v>5</v>
      </c>
      <c r="AG1075" s="110" t="n">
        <f aca="false">IF(ISNUMBER(I1075),COUNTIFS($B$7:$B$3000,B1075,$C$7:$C$3000,C1075,$I$7:$I$3000,"&lt;"&amp;I1075,$AI$7:$AI$3000,"yes")+COUNTIFS($B$7:B1075,B1075,$C$7:C1075,C1075,$I$7:I1075,I1075,$AI$7:AI1075,"yes"),"")</f>
        <v>5</v>
      </c>
      <c r="AH1075" s="110" t="str">
        <f aca="false">IF(ISNUMBER(H1075),"yes","no")</f>
        <v>yes</v>
      </c>
      <c r="AI1075" s="110" t="str">
        <f aca="false">IF(ISNUMBER(I1075),"yes","no")</f>
        <v>yes</v>
      </c>
      <c r="AJ1075" s="120" t="n">
        <v>46297</v>
      </c>
      <c r="AK1075" s="110"/>
    </row>
    <row r="1076" customFormat="false" ht="35.05" hidden="false" customHeight="false" outlineLevel="0" collapsed="false">
      <c r="B1076" s="36" t="s">
        <v>73</v>
      </c>
      <c r="C1076" s="98" t="s">
        <v>14</v>
      </c>
      <c r="D1076" s="98" t="s">
        <v>395</v>
      </c>
      <c r="E1076" s="110" t="s">
        <v>3525</v>
      </c>
      <c r="F1076" s="99" t="n">
        <v>3.8</v>
      </c>
      <c r="G1076" s="98" t="s">
        <v>244</v>
      </c>
      <c r="H1076" s="112" t="n">
        <f aca="false">IF(AND(AE1076="yes",ISNUMBER(AD1076)),AD1076,"")</f>
        <v>3.8</v>
      </c>
      <c r="I1076" s="95" t="n">
        <f aca="false">IF(AND(AE1076="yes",ISNUMBER(AD1076),ISNUMBER(INDEX(Sources!$G$7:$G$10,MATCH(AB1076,Sources!$B$7:$B$10,0)))),ROUND(AD1076/INDEX(Sources!$G$7:$G$10,MATCH(AB1076,Sources!$B$7:$B$10,0)),6),"")</f>
        <v>3.8</v>
      </c>
      <c r="J1076" s="98" t="s">
        <v>530</v>
      </c>
      <c r="K1076" s="98" t="s">
        <v>2059</v>
      </c>
      <c r="L1076" s="96"/>
      <c r="M1076" s="110" t="s">
        <v>3526</v>
      </c>
      <c r="N1076" s="117" t="s">
        <v>3527</v>
      </c>
      <c r="O1076" s="110" t="s">
        <v>572</v>
      </c>
      <c r="P1076" s="110" t="s">
        <v>590</v>
      </c>
      <c r="Q1076" s="118" t="n">
        <v>0.21</v>
      </c>
      <c r="R1076" s="110" t="n">
        <v>1</v>
      </c>
      <c r="S1076" s="110" t="s">
        <v>632</v>
      </c>
      <c r="T1076" s="110" t="s">
        <v>530</v>
      </c>
      <c r="U1076" s="110" t="s">
        <v>2913</v>
      </c>
      <c r="V1076" s="119" t="n">
        <v>3.8</v>
      </c>
      <c r="W1076" s="119"/>
      <c r="X1076" s="110" t="s">
        <v>2063</v>
      </c>
      <c r="Y1076" s="110" t="s">
        <v>2064</v>
      </c>
      <c r="Z1076" s="110" t="s">
        <v>2925</v>
      </c>
      <c r="AA1076" s="110" t="s">
        <v>537</v>
      </c>
      <c r="AB1076" s="110" t="s">
        <v>244</v>
      </c>
      <c r="AC1076" s="110" t="s">
        <v>538</v>
      </c>
      <c r="AD1076" s="110" t="n">
        <f aca="false">IF(OR(F1076="",Q1076="",R1076=""),"",ROUND(IF(P1076="incl.",F1076/(1+Q1076),F1076)/IF(S1076="per pack",R1076,1),2))</f>
        <v>3.8</v>
      </c>
      <c r="AE1076" s="110" t="str">
        <f aca="false">IF(AND(AC1076="yes",ISNUMBER(F1076),IF(Compare!$H$5="All mapped",TRUE(),IF(Compare!$H$5="EXACT only",J1076="EXACT",OR(J1076="EXACT",J1076="CLOSE")))),"yes","no")</f>
        <v>yes</v>
      </c>
      <c r="AF1076" s="110" t="n">
        <f aca="false">IF(ISNUMBER(H1076),COUNTIFS($B$7:$B$3000,B1076,$C$7:$C$3000,C1076,$H$7:$H$3000,"&lt;"&amp;H1076,$AH$7:$AH$3000,"yes")+COUNTIFS($B$7:B1076,B1076,$C$7:C1076,C1076,$H$7:H1076,H1076,$AH$7:AH1076,"yes"),"")</f>
        <v>1</v>
      </c>
      <c r="AG1076" s="110" t="n">
        <f aca="false">IF(ISNUMBER(I1076),COUNTIFS($B$7:$B$3000,B1076,$C$7:$C$3000,C1076,$I$7:$I$3000,"&lt;"&amp;I1076,$AI$7:$AI$3000,"yes")+COUNTIFS($B$7:B1076,B1076,$C$7:C1076,C1076,$I$7:I1076,I1076,$AI$7:AI1076,"yes"),"")</f>
        <v>1</v>
      </c>
      <c r="AH1076" s="110" t="str">
        <f aca="false">IF(ISNUMBER(H1076),"yes","no")</f>
        <v>yes</v>
      </c>
      <c r="AI1076" s="110" t="str">
        <f aca="false">IF(ISNUMBER(I1076),"yes","no")</f>
        <v>yes</v>
      </c>
      <c r="AJ1076" s="120" t="n">
        <v>46297</v>
      </c>
      <c r="AK1076" s="110"/>
    </row>
    <row r="1077" customFormat="false" ht="23.85" hidden="false" customHeight="false" outlineLevel="0" collapsed="false">
      <c r="B1077" s="36" t="s">
        <v>73</v>
      </c>
      <c r="C1077" s="98" t="s">
        <v>14</v>
      </c>
      <c r="D1077" s="98" t="s">
        <v>403</v>
      </c>
      <c r="E1077" s="110" t="s">
        <v>3528</v>
      </c>
      <c r="F1077" s="99" t="n">
        <v>29.43</v>
      </c>
      <c r="G1077" s="98" t="s">
        <v>374</v>
      </c>
      <c r="H1077" s="112" t="n">
        <f aca="false">IF(AND(AE1077="yes",ISNUMBER(AD1077)),AD1077,"")</f>
        <v>29.43</v>
      </c>
      <c r="I1077" s="95" t="n">
        <f aca="false">IF(AND(AE1077="yes",ISNUMBER(AD1077),ISNUMBER(INDEX(Sources!$G$7:$G$10,MATCH(AB1077,Sources!$B$7:$B$10,0)))),ROUND(AD1077/INDEX(Sources!$G$7:$G$10,MATCH(AB1077,Sources!$B$7:$B$10,0)),6),"")</f>
        <v>5.576354</v>
      </c>
      <c r="J1077" s="98" t="s">
        <v>530</v>
      </c>
      <c r="K1077" s="98" t="s">
        <v>2059</v>
      </c>
      <c r="L1077" s="96"/>
      <c r="M1077" s="110" t="s">
        <v>3529</v>
      </c>
      <c r="N1077" s="117" t="s">
        <v>3530</v>
      </c>
      <c r="O1077" s="110" t="s">
        <v>1138</v>
      </c>
      <c r="P1077" s="110" t="s">
        <v>590</v>
      </c>
      <c r="Q1077" s="118" t="n">
        <v>0.21</v>
      </c>
      <c r="R1077" s="110" t="n">
        <v>1</v>
      </c>
      <c r="S1077" s="110" t="s">
        <v>632</v>
      </c>
      <c r="T1077" s="110" t="s">
        <v>530</v>
      </c>
      <c r="U1077" s="110" t="s">
        <v>2913</v>
      </c>
      <c r="V1077" s="119" t="n">
        <v>29.43</v>
      </c>
      <c r="W1077" s="119"/>
      <c r="X1077" s="110" t="s">
        <v>2063</v>
      </c>
      <c r="Y1077" s="110" t="s">
        <v>2064</v>
      </c>
      <c r="Z1077" s="110"/>
      <c r="AA1077" s="110" t="s">
        <v>537</v>
      </c>
      <c r="AB1077" s="110" t="s">
        <v>374</v>
      </c>
      <c r="AC1077" s="110" t="s">
        <v>538</v>
      </c>
      <c r="AD1077" s="110" t="n">
        <f aca="false">IF(OR(F1077="",Q1077="",R1077=""),"",ROUND(IF(P1077="incl.",F1077/(1+Q1077),F1077)/IF(S1077="per pack",R1077,1),2))</f>
        <v>29.43</v>
      </c>
      <c r="AE1077" s="110" t="str">
        <f aca="false">IF(AND(AC1077="yes",ISNUMBER(F1077),IF(Compare!$H$5="All mapped",TRUE(),IF(Compare!$H$5="EXACT only",J1077="EXACT",OR(J1077="EXACT",J1077="CLOSE")))),"yes","no")</f>
        <v>yes</v>
      </c>
      <c r="AF1077" s="110" t="n">
        <f aca="false">IF(ISNUMBER(H1077),COUNTIFS($B$7:$B$3000,B1077,$C$7:$C$3000,C1077,$H$7:$H$3000,"&lt;"&amp;H1077,$AH$7:$AH$3000,"yes")+COUNTIFS($B$7:B1077,B1077,$C$7:C1077,C1077,$H$7:H1077,H1077,$AH$7:AH1077,"yes"),"")</f>
        <v>2</v>
      </c>
      <c r="AG1077" s="110" t="n">
        <f aca="false">IF(ISNUMBER(I1077),COUNTIFS($B$7:$B$3000,B1077,$C$7:$C$3000,C1077,$I$7:$I$3000,"&lt;"&amp;I1077,$AI$7:$AI$3000,"yes")+COUNTIFS($B$7:B1077,B1077,$C$7:C1077,C1077,$I$7:I1077,I1077,$AI$7:AI1077,"yes"),"")</f>
        <v>2</v>
      </c>
      <c r="AH1077" s="110" t="str">
        <f aca="false">IF(ISNUMBER(H1077),"yes","no")</f>
        <v>yes</v>
      </c>
      <c r="AI1077" s="110" t="str">
        <f aca="false">IF(ISNUMBER(I1077),"yes","no")</f>
        <v>yes</v>
      </c>
      <c r="AJ1077" s="120" t="n">
        <v>46297</v>
      </c>
      <c r="AK1077" s="110"/>
    </row>
    <row r="1078" customFormat="false" ht="35.05" hidden="false" customHeight="false" outlineLevel="0" collapsed="false">
      <c r="B1078" s="36" t="s">
        <v>73</v>
      </c>
      <c r="C1078" s="98" t="s">
        <v>15</v>
      </c>
      <c r="D1078" s="98" t="s">
        <v>243</v>
      </c>
      <c r="E1078" s="110" t="s">
        <v>3531</v>
      </c>
      <c r="F1078" s="99" t="n">
        <v>8.39</v>
      </c>
      <c r="G1078" s="98" t="s">
        <v>244</v>
      </c>
      <c r="H1078" s="112" t="n">
        <f aca="false">IF(AND(AE1078="yes",ISNUMBER(AD1078)),AD1078,"")</f>
        <v>8.39</v>
      </c>
      <c r="I1078" s="95" t="n">
        <f aca="false">IF(AND(AE1078="yes",ISNUMBER(AD1078),ISNUMBER(INDEX(Sources!$G$7:$G$10,MATCH(AB1078,Sources!$B$7:$B$10,0)))),ROUND(AD1078/INDEX(Sources!$G$7:$G$10,MATCH(AB1078,Sources!$B$7:$B$10,0)),6),"")</f>
        <v>8.39</v>
      </c>
      <c r="J1078" s="98" t="s">
        <v>530</v>
      </c>
      <c r="K1078" s="98" t="s">
        <v>2059</v>
      </c>
      <c r="L1078" s="96"/>
      <c r="M1078" s="110" t="s">
        <v>3532</v>
      </c>
      <c r="N1078" s="117" t="s">
        <v>3533</v>
      </c>
      <c r="O1078" s="110" t="s">
        <v>2932</v>
      </c>
      <c r="P1078" s="110" t="s">
        <v>590</v>
      </c>
      <c r="Q1078" s="118" t="n">
        <v>0.2</v>
      </c>
      <c r="R1078" s="110" t="n">
        <v>1</v>
      </c>
      <c r="S1078" s="110" t="s">
        <v>632</v>
      </c>
      <c r="T1078" s="110" t="s">
        <v>530</v>
      </c>
      <c r="U1078" s="110" t="s">
        <v>2913</v>
      </c>
      <c r="V1078" s="119" t="n">
        <v>8.39</v>
      </c>
      <c r="W1078" s="119"/>
      <c r="X1078" s="110" t="s">
        <v>2063</v>
      </c>
      <c r="Y1078" s="110" t="s">
        <v>2064</v>
      </c>
      <c r="Z1078" s="110" t="s">
        <v>2164</v>
      </c>
      <c r="AA1078" s="110" t="s">
        <v>537</v>
      </c>
      <c r="AB1078" s="110" t="s">
        <v>244</v>
      </c>
      <c r="AC1078" s="110" t="s">
        <v>538</v>
      </c>
      <c r="AD1078" s="110" t="n">
        <f aca="false">IF(OR(F1078="",Q1078="",R1078=""),"",ROUND(IF(P1078="incl.",F1078/(1+Q1078),F1078)/IF(S1078="per pack",R1078,1),2))</f>
        <v>8.39</v>
      </c>
      <c r="AE1078" s="110" t="str">
        <f aca="false">IF(AND(AC1078="yes",ISNUMBER(F1078),IF(Compare!$H$5="All mapped",TRUE(),IF(Compare!$H$5="EXACT only",J1078="EXACT",OR(J1078="EXACT",J1078="CLOSE")))),"yes","no")</f>
        <v>yes</v>
      </c>
      <c r="AF1078" s="110" t="n">
        <f aca="false">IF(ISNUMBER(H1078),COUNTIFS($B$7:$B$3000,B1078,$C$7:$C$3000,C1078,$H$7:$H$3000,"&lt;"&amp;H1078,$AH$7:$AH$3000,"yes")+COUNTIFS($B$7:B1078,B1078,$C$7:C1078,C1078,$H$7:H1078,H1078,$AH$7:AH1078,"yes"),"")</f>
        <v>1</v>
      </c>
      <c r="AG1078" s="110" t="n">
        <f aca="false">IF(ISNUMBER(I1078),COUNTIFS($B$7:$B$3000,B1078,$C$7:$C$3000,C1078,$I$7:$I$3000,"&lt;"&amp;I1078,$AI$7:$AI$3000,"yes")+COUNTIFS($B$7:B1078,B1078,$C$7:C1078,C1078,$I$7:I1078,I1078,$AI$7:AI1078,"yes"),"")</f>
        <v>1</v>
      </c>
      <c r="AH1078" s="110" t="str">
        <f aca="false">IF(ISNUMBER(H1078),"yes","no")</f>
        <v>yes</v>
      </c>
      <c r="AI1078" s="110" t="str">
        <f aca="false">IF(ISNUMBER(I1078),"yes","no")</f>
        <v>yes</v>
      </c>
      <c r="AJ1078" s="120" t="n">
        <v>46297</v>
      </c>
      <c r="AK1078" s="110"/>
    </row>
    <row r="1079" customFormat="false" ht="35.05" hidden="false" customHeight="false" outlineLevel="0" collapsed="false">
      <c r="B1079" s="36" t="s">
        <v>73</v>
      </c>
      <c r="C1079" s="98" t="s">
        <v>15</v>
      </c>
      <c r="D1079" s="98" t="s">
        <v>257</v>
      </c>
      <c r="E1079" s="110" t="s">
        <v>3534</v>
      </c>
      <c r="F1079" s="99" t="n">
        <v>19</v>
      </c>
      <c r="G1079" s="98" t="s">
        <v>244</v>
      </c>
      <c r="H1079" s="112" t="n">
        <f aca="false">IF(AND(AE1079="yes",ISNUMBER(AD1079)),AD1079,"")</f>
        <v>19</v>
      </c>
      <c r="I1079" s="95" t="n">
        <f aca="false">IF(AND(AE1079="yes",ISNUMBER(AD1079),ISNUMBER(INDEX(Sources!$G$7:$G$10,MATCH(AB1079,Sources!$B$7:$B$10,0)))),ROUND(AD1079/INDEX(Sources!$G$7:$G$10,MATCH(AB1079,Sources!$B$7:$B$10,0)),6),"")</f>
        <v>19</v>
      </c>
      <c r="J1079" s="98" t="s">
        <v>530</v>
      </c>
      <c r="K1079" s="98" t="s">
        <v>2059</v>
      </c>
      <c r="L1079" s="96"/>
      <c r="M1079" s="110" t="s">
        <v>3535</v>
      </c>
      <c r="N1079" s="117" t="s">
        <v>3536</v>
      </c>
      <c r="O1079" s="110" t="s">
        <v>1576</v>
      </c>
      <c r="P1079" s="110" t="s">
        <v>590</v>
      </c>
      <c r="Q1079" s="118" t="n">
        <v>0.2</v>
      </c>
      <c r="R1079" s="110" t="n">
        <v>1</v>
      </c>
      <c r="S1079" s="110" t="s">
        <v>632</v>
      </c>
      <c r="T1079" s="110" t="s">
        <v>530</v>
      </c>
      <c r="U1079" s="110" t="s">
        <v>2913</v>
      </c>
      <c r="V1079" s="119" t="n">
        <v>19</v>
      </c>
      <c r="W1079" s="119"/>
      <c r="X1079" s="110" t="s">
        <v>2063</v>
      </c>
      <c r="Y1079" s="110" t="s">
        <v>2064</v>
      </c>
      <c r="Z1079" s="110" t="s">
        <v>2936</v>
      </c>
      <c r="AA1079" s="110" t="s">
        <v>537</v>
      </c>
      <c r="AB1079" s="110" t="s">
        <v>244</v>
      </c>
      <c r="AC1079" s="110" t="s">
        <v>538</v>
      </c>
      <c r="AD1079" s="110" t="n">
        <f aca="false">IF(OR(F1079="",Q1079="",R1079=""),"",ROUND(IF(P1079="incl.",F1079/(1+Q1079),F1079)/IF(S1079="per pack",R1079,1),2))</f>
        <v>19</v>
      </c>
      <c r="AE1079" s="110" t="str">
        <f aca="false">IF(AND(AC1079="yes",ISNUMBER(F1079),IF(Compare!$H$5="All mapped",TRUE(),IF(Compare!$H$5="EXACT only",J1079="EXACT",OR(J1079="EXACT",J1079="CLOSE")))),"yes","no")</f>
        <v>yes</v>
      </c>
      <c r="AF1079" s="110" t="n">
        <f aca="false">IF(ISNUMBER(H1079),COUNTIFS($B$7:$B$3000,B1079,$C$7:$C$3000,C1079,$H$7:$H$3000,"&lt;"&amp;H1079,$AH$7:$AH$3000,"yes")+COUNTIFS($B$7:B1079,B1079,$C$7:C1079,C1079,$H$7:H1079,H1079,$AH$7:AH1079,"yes"),"")</f>
        <v>6</v>
      </c>
      <c r="AG1079" s="110" t="n">
        <f aca="false">IF(ISNUMBER(I1079),COUNTIFS($B$7:$B$3000,B1079,$C$7:$C$3000,C1079,$I$7:$I$3000,"&lt;"&amp;I1079,$AI$7:$AI$3000,"yes")+COUNTIFS($B$7:B1079,B1079,$C$7:C1079,C1079,$I$7:I1079,I1079,$AI$7:AI1079,"yes"),"")</f>
        <v>6</v>
      </c>
      <c r="AH1079" s="110" t="str">
        <f aca="false">IF(ISNUMBER(H1079),"yes","no")</f>
        <v>yes</v>
      </c>
      <c r="AI1079" s="110" t="str">
        <f aca="false">IF(ISNUMBER(I1079),"yes","no")</f>
        <v>yes</v>
      </c>
      <c r="AJ1079" s="120" t="n">
        <v>46297</v>
      </c>
      <c r="AK1079" s="110"/>
    </row>
    <row r="1080" customFormat="false" ht="35.05" hidden="false" customHeight="false" outlineLevel="0" collapsed="false">
      <c r="B1080" s="36" t="s">
        <v>73</v>
      </c>
      <c r="C1080" s="98" t="s">
        <v>15</v>
      </c>
      <c r="D1080" s="98" t="s">
        <v>269</v>
      </c>
      <c r="E1080" s="110" t="s">
        <v>3537</v>
      </c>
      <c r="F1080" s="99" t="n">
        <v>9.99</v>
      </c>
      <c r="G1080" s="98" t="s">
        <v>244</v>
      </c>
      <c r="H1080" s="112" t="n">
        <f aca="false">IF(AND(AE1080="yes",ISNUMBER(AD1080)),AD1080,"")</f>
        <v>9.99</v>
      </c>
      <c r="I1080" s="95" t="n">
        <f aca="false">IF(AND(AE1080="yes",ISNUMBER(AD1080),ISNUMBER(INDEX(Sources!$G$7:$G$10,MATCH(AB1080,Sources!$B$7:$B$10,0)))),ROUND(AD1080/INDEX(Sources!$G$7:$G$10,MATCH(AB1080,Sources!$B$7:$B$10,0)),6),"")</f>
        <v>9.99</v>
      </c>
      <c r="J1080" s="98" t="s">
        <v>530</v>
      </c>
      <c r="K1080" s="98" t="s">
        <v>2059</v>
      </c>
      <c r="L1080" s="96"/>
      <c r="M1080" s="110" t="s">
        <v>3538</v>
      </c>
      <c r="N1080" s="117" t="s">
        <v>3539</v>
      </c>
      <c r="O1080" s="110" t="s">
        <v>598</v>
      </c>
      <c r="P1080" s="110" t="s">
        <v>590</v>
      </c>
      <c r="Q1080" s="118" t="n">
        <v>0.2</v>
      </c>
      <c r="R1080" s="110" t="n">
        <v>1</v>
      </c>
      <c r="S1080" s="110" t="s">
        <v>632</v>
      </c>
      <c r="T1080" s="110" t="s">
        <v>530</v>
      </c>
      <c r="U1080" s="110" t="s">
        <v>2913</v>
      </c>
      <c r="V1080" s="119" t="n">
        <v>9.99</v>
      </c>
      <c r="W1080" s="119"/>
      <c r="X1080" s="110" t="s">
        <v>2063</v>
      </c>
      <c r="Y1080" s="110" t="s">
        <v>2064</v>
      </c>
      <c r="Z1080" s="110" t="s">
        <v>3216</v>
      </c>
      <c r="AA1080" s="110" t="s">
        <v>537</v>
      </c>
      <c r="AB1080" s="110" t="s">
        <v>244</v>
      </c>
      <c r="AC1080" s="110" t="s">
        <v>538</v>
      </c>
      <c r="AD1080" s="110" t="n">
        <f aca="false">IF(OR(F1080="",Q1080="",R1080=""),"",ROUND(IF(P1080="incl.",F1080/(1+Q1080),F1080)/IF(S1080="per pack",R1080,1),2))</f>
        <v>9.99</v>
      </c>
      <c r="AE1080" s="110" t="str">
        <f aca="false">IF(AND(AC1080="yes",ISNUMBER(F1080),IF(Compare!$H$5="All mapped",TRUE(),IF(Compare!$H$5="EXACT only",J1080="EXACT",OR(J1080="EXACT",J1080="CLOSE")))),"yes","no")</f>
        <v>yes</v>
      </c>
      <c r="AF1080" s="110" t="n">
        <f aca="false">IF(ISNUMBER(H1080),COUNTIFS($B$7:$B$3000,B1080,$C$7:$C$3000,C1080,$H$7:$H$3000,"&lt;"&amp;H1080,$AH$7:$AH$3000,"yes")+COUNTIFS($B$7:B1080,B1080,$C$7:C1080,C1080,$H$7:H1080,H1080,$AH$7:AH1080,"yes"),"")</f>
        <v>4</v>
      </c>
      <c r="AG1080" s="110" t="n">
        <f aca="false">IF(ISNUMBER(I1080),COUNTIFS($B$7:$B$3000,B1080,$C$7:$C$3000,C1080,$I$7:$I$3000,"&lt;"&amp;I1080,$AI$7:$AI$3000,"yes")+COUNTIFS($B$7:B1080,B1080,$C$7:C1080,C1080,$I$7:I1080,I1080,$AI$7:AI1080,"yes"),"")</f>
        <v>4</v>
      </c>
      <c r="AH1080" s="110" t="str">
        <f aca="false">IF(ISNUMBER(H1080),"yes","no")</f>
        <v>yes</v>
      </c>
      <c r="AI1080" s="110" t="str">
        <f aca="false">IF(ISNUMBER(I1080),"yes","no")</f>
        <v>yes</v>
      </c>
      <c r="AJ1080" s="120" t="n">
        <v>46297</v>
      </c>
      <c r="AK1080" s="110"/>
    </row>
    <row r="1081" customFormat="false" ht="23.85" hidden="false" customHeight="false" outlineLevel="0" collapsed="false">
      <c r="B1081" s="36" t="s">
        <v>73</v>
      </c>
      <c r="C1081" s="98" t="s">
        <v>15</v>
      </c>
      <c r="D1081" s="98" t="s">
        <v>264</v>
      </c>
      <c r="E1081" s="110" t="s">
        <v>3540</v>
      </c>
      <c r="F1081" s="99" t="n">
        <v>23.2</v>
      </c>
      <c r="G1081" s="98" t="s">
        <v>244</v>
      </c>
      <c r="H1081" s="112" t="n">
        <f aca="false">IF(AND(AE1081="yes",ISNUMBER(AD1081)),AD1081,"")</f>
        <v>23.2</v>
      </c>
      <c r="I1081" s="95" t="n">
        <f aca="false">IF(AND(AE1081="yes",ISNUMBER(AD1081),ISNUMBER(INDEX(Sources!$G$7:$G$10,MATCH(AB1081,Sources!$B$7:$B$10,0)))),ROUND(AD1081/INDEX(Sources!$G$7:$G$10,MATCH(AB1081,Sources!$B$7:$B$10,0)),6),"")</f>
        <v>23.2</v>
      </c>
      <c r="J1081" s="98" t="s">
        <v>530</v>
      </c>
      <c r="K1081" s="98" t="s">
        <v>2059</v>
      </c>
      <c r="L1081" s="96"/>
      <c r="M1081" s="110" t="s">
        <v>3541</v>
      </c>
      <c r="N1081" s="117" t="s">
        <v>3542</v>
      </c>
      <c r="O1081" s="110" t="s">
        <v>2944</v>
      </c>
      <c r="P1081" s="110" t="s">
        <v>590</v>
      </c>
      <c r="Q1081" s="118" t="n">
        <v>0.2</v>
      </c>
      <c r="R1081" s="110" t="n">
        <v>1</v>
      </c>
      <c r="S1081" s="110" t="s">
        <v>632</v>
      </c>
      <c r="T1081" s="110" t="s">
        <v>530</v>
      </c>
      <c r="U1081" s="110" t="s">
        <v>2913</v>
      </c>
      <c r="V1081" s="119" t="n">
        <v>23.2</v>
      </c>
      <c r="W1081" s="119"/>
      <c r="X1081" s="110" t="s">
        <v>2063</v>
      </c>
      <c r="Y1081" s="110" t="s">
        <v>2064</v>
      </c>
      <c r="Z1081" s="110"/>
      <c r="AA1081" s="110" t="s">
        <v>537</v>
      </c>
      <c r="AB1081" s="110" t="s">
        <v>244</v>
      </c>
      <c r="AC1081" s="110" t="s">
        <v>538</v>
      </c>
      <c r="AD1081" s="110" t="n">
        <f aca="false">IF(OR(F1081="",Q1081="",R1081=""),"",ROUND(IF(P1081="incl.",F1081/(1+Q1081),F1081)/IF(S1081="per pack",R1081,1),2))</f>
        <v>23.2</v>
      </c>
      <c r="AE1081" s="110" t="str">
        <f aca="false">IF(AND(AC1081="yes",ISNUMBER(F1081),IF(Compare!$H$5="All mapped",TRUE(),IF(Compare!$H$5="EXACT only",J1081="EXACT",OR(J1081="EXACT",J1081="CLOSE")))),"yes","no")</f>
        <v>yes</v>
      </c>
      <c r="AF1081" s="110" t="n">
        <f aca="false">IF(ISNUMBER(H1081),COUNTIFS($B$7:$B$3000,B1081,$C$7:$C$3000,C1081,$H$7:$H$3000,"&lt;"&amp;H1081,$AH$7:$AH$3000,"yes")+COUNTIFS($B$7:B1081,B1081,$C$7:C1081,C1081,$H$7:H1081,H1081,$AH$7:AH1081,"yes"),"")</f>
        <v>7</v>
      </c>
      <c r="AG1081" s="110" t="n">
        <f aca="false">IF(ISNUMBER(I1081),COUNTIFS($B$7:$B$3000,B1081,$C$7:$C$3000,C1081,$I$7:$I$3000,"&lt;"&amp;I1081,$AI$7:$AI$3000,"yes")+COUNTIFS($B$7:B1081,B1081,$C$7:C1081,C1081,$I$7:I1081,I1081,$AI$7:AI1081,"yes"),"")</f>
        <v>7</v>
      </c>
      <c r="AH1081" s="110" t="str">
        <f aca="false">IF(ISNUMBER(H1081),"yes","no")</f>
        <v>yes</v>
      </c>
      <c r="AI1081" s="110" t="str">
        <f aca="false">IF(ISNUMBER(I1081),"yes","no")</f>
        <v>yes</v>
      </c>
      <c r="AJ1081" s="120" t="n">
        <v>46297</v>
      </c>
      <c r="AK1081" s="110"/>
    </row>
    <row r="1082" customFormat="false" ht="23.85" hidden="false" customHeight="false" outlineLevel="0" collapsed="false">
      <c r="B1082" s="36" t="s">
        <v>73</v>
      </c>
      <c r="C1082" s="98" t="s">
        <v>15</v>
      </c>
      <c r="D1082" s="98" t="s">
        <v>273</v>
      </c>
      <c r="E1082" s="110" t="s">
        <v>3543</v>
      </c>
      <c r="F1082" s="99" t="n">
        <v>10.09</v>
      </c>
      <c r="G1082" s="98" t="s">
        <v>244</v>
      </c>
      <c r="H1082" s="112" t="n">
        <f aca="false">IF(AND(AE1082="yes",ISNUMBER(AD1082)),AD1082,"")</f>
        <v>8.41</v>
      </c>
      <c r="I1082" s="95" t="n">
        <f aca="false">IF(AND(AE1082="yes",ISNUMBER(AD1082),ISNUMBER(INDEX(Sources!$G$7:$G$10,MATCH(AB1082,Sources!$B$7:$B$10,0)))),ROUND(AD1082/INDEX(Sources!$G$7:$G$10,MATCH(AB1082,Sources!$B$7:$B$10,0)),6),"")</f>
        <v>8.41</v>
      </c>
      <c r="J1082" s="98" t="s">
        <v>530</v>
      </c>
      <c r="K1082" s="98" t="s">
        <v>2059</v>
      </c>
      <c r="L1082" s="96"/>
      <c r="M1082" s="110" t="s">
        <v>3544</v>
      </c>
      <c r="N1082" s="117" t="s">
        <v>3545</v>
      </c>
      <c r="O1082" s="110" t="s">
        <v>598</v>
      </c>
      <c r="P1082" s="110" t="s">
        <v>265</v>
      </c>
      <c r="Q1082" s="118" t="n">
        <v>0.2</v>
      </c>
      <c r="R1082" s="110" t="n">
        <v>1</v>
      </c>
      <c r="S1082" s="110" t="s">
        <v>632</v>
      </c>
      <c r="T1082" s="110" t="s">
        <v>530</v>
      </c>
      <c r="U1082" s="110" t="s">
        <v>2918</v>
      </c>
      <c r="V1082" s="119" t="n">
        <v>8.41</v>
      </c>
      <c r="W1082" s="119"/>
      <c r="X1082" s="110" t="s">
        <v>2063</v>
      </c>
      <c r="Y1082" s="110" t="s">
        <v>2064</v>
      </c>
      <c r="Z1082" s="110" t="s">
        <v>2130</v>
      </c>
      <c r="AA1082" s="110" t="s">
        <v>537</v>
      </c>
      <c r="AB1082" s="110" t="s">
        <v>244</v>
      </c>
      <c r="AC1082" s="110" t="s">
        <v>538</v>
      </c>
      <c r="AD1082" s="110" t="n">
        <f aca="false">IF(OR(F1082="",Q1082="",R1082=""),"",ROUND(IF(P1082="incl.",F1082/(1+Q1082),F1082)/IF(S1082="per pack",R1082,1),2))</f>
        <v>8.41</v>
      </c>
      <c r="AE1082" s="110" t="str">
        <f aca="false">IF(AND(AC1082="yes",ISNUMBER(F1082),IF(Compare!$H$5="All mapped",TRUE(),IF(Compare!$H$5="EXACT only",J1082="EXACT",OR(J1082="EXACT",J1082="CLOSE")))),"yes","no")</f>
        <v>yes</v>
      </c>
      <c r="AF1082" s="110" t="n">
        <f aca="false">IF(ISNUMBER(H1082),COUNTIFS($B$7:$B$3000,B1082,$C$7:$C$3000,C1082,$H$7:$H$3000,"&lt;"&amp;H1082,$AH$7:$AH$3000,"yes")+COUNTIFS($B$7:B1082,B1082,$C$7:C1082,C1082,$H$7:H1082,H1082,$AH$7:AH1082,"yes"),"")</f>
        <v>2</v>
      </c>
      <c r="AG1082" s="110" t="n">
        <f aca="false">IF(ISNUMBER(I1082),COUNTIFS($B$7:$B$3000,B1082,$C$7:$C$3000,C1082,$I$7:$I$3000,"&lt;"&amp;I1082,$AI$7:$AI$3000,"yes")+COUNTIFS($B$7:B1082,B1082,$C$7:C1082,C1082,$I$7:I1082,I1082,$AI$7:AI1082,"yes"),"")</f>
        <v>2</v>
      </c>
      <c r="AH1082" s="110" t="str">
        <f aca="false">IF(ISNUMBER(H1082),"yes","no")</f>
        <v>yes</v>
      </c>
      <c r="AI1082" s="110" t="str">
        <f aca="false">IF(ISNUMBER(I1082),"yes","no")</f>
        <v>yes</v>
      </c>
      <c r="AJ1082" s="120" t="n">
        <v>46297</v>
      </c>
      <c r="AK1082" s="110"/>
    </row>
    <row r="1083" customFormat="false" ht="46.25" hidden="false" customHeight="false" outlineLevel="0" collapsed="false">
      <c r="B1083" s="36" t="s">
        <v>73</v>
      </c>
      <c r="C1083" s="98" t="s">
        <v>15</v>
      </c>
      <c r="D1083" s="98" t="s">
        <v>281</v>
      </c>
      <c r="E1083" s="110" t="s">
        <v>3546</v>
      </c>
      <c r="F1083" s="99" t="n">
        <v>11.91</v>
      </c>
      <c r="G1083" s="98" t="s">
        <v>244</v>
      </c>
      <c r="H1083" s="112" t="n">
        <f aca="false">IF(AND(AE1083="yes",ISNUMBER(AD1083)),AD1083,"")</f>
        <v>11.91</v>
      </c>
      <c r="I1083" s="95" t="n">
        <f aca="false">IF(AND(AE1083="yes",ISNUMBER(AD1083),ISNUMBER(INDEX(Sources!$G$7:$G$10,MATCH(AB1083,Sources!$B$7:$B$10,0)))),ROUND(AD1083/INDEX(Sources!$G$7:$G$10,MATCH(AB1083,Sources!$B$7:$B$10,0)),6),"")</f>
        <v>11.91</v>
      </c>
      <c r="J1083" s="98" t="s">
        <v>530</v>
      </c>
      <c r="K1083" s="98" t="s">
        <v>2059</v>
      </c>
      <c r="L1083" s="96"/>
      <c r="M1083" s="110" t="s">
        <v>3547</v>
      </c>
      <c r="N1083" s="117" t="s">
        <v>3548</v>
      </c>
      <c r="O1083" s="110" t="s">
        <v>2952</v>
      </c>
      <c r="P1083" s="110" t="s">
        <v>590</v>
      </c>
      <c r="Q1083" s="118" t="n">
        <v>0.2</v>
      </c>
      <c r="R1083" s="110" t="n">
        <v>1</v>
      </c>
      <c r="S1083" s="110" t="s">
        <v>632</v>
      </c>
      <c r="T1083" s="110" t="s">
        <v>530</v>
      </c>
      <c r="U1083" s="110" t="s">
        <v>2913</v>
      </c>
      <c r="V1083" s="119" t="n">
        <v>11.91</v>
      </c>
      <c r="W1083" s="119"/>
      <c r="X1083" s="110" t="s">
        <v>2063</v>
      </c>
      <c r="Y1083" s="110" t="s">
        <v>2064</v>
      </c>
      <c r="Z1083" s="110" t="s">
        <v>2953</v>
      </c>
      <c r="AA1083" s="110" t="s">
        <v>537</v>
      </c>
      <c r="AB1083" s="110" t="s">
        <v>244</v>
      </c>
      <c r="AC1083" s="110" t="s">
        <v>538</v>
      </c>
      <c r="AD1083" s="110" t="n">
        <f aca="false">IF(OR(F1083="",Q1083="",R1083=""),"",ROUND(IF(P1083="incl.",F1083/(1+Q1083),F1083)/IF(S1083="per pack",R1083,1),2))</f>
        <v>11.91</v>
      </c>
      <c r="AE1083" s="110" t="str">
        <f aca="false">IF(AND(AC1083="yes",ISNUMBER(F1083),IF(Compare!$H$5="All mapped",TRUE(),IF(Compare!$H$5="EXACT only",J1083="EXACT",OR(J1083="EXACT",J1083="CLOSE")))),"yes","no")</f>
        <v>yes</v>
      </c>
      <c r="AF1083" s="110" t="n">
        <f aca="false">IF(ISNUMBER(H1083),COUNTIFS($B$7:$B$3000,B1083,$C$7:$C$3000,C1083,$H$7:$H$3000,"&lt;"&amp;H1083,$AH$7:$AH$3000,"yes")+COUNTIFS($B$7:B1083,B1083,$C$7:C1083,C1083,$H$7:H1083,H1083,$AH$7:AH1083,"yes"),"")</f>
        <v>5</v>
      </c>
      <c r="AG1083" s="110" t="n">
        <f aca="false">IF(ISNUMBER(I1083),COUNTIFS($B$7:$B$3000,B1083,$C$7:$C$3000,C1083,$I$7:$I$3000,"&lt;"&amp;I1083,$AI$7:$AI$3000,"yes")+COUNTIFS($B$7:B1083,B1083,$C$7:C1083,C1083,$I$7:I1083,I1083,$AI$7:AI1083,"yes"),"")</f>
        <v>5</v>
      </c>
      <c r="AH1083" s="110" t="str">
        <f aca="false">IF(ISNUMBER(H1083),"yes","no")</f>
        <v>yes</v>
      </c>
      <c r="AI1083" s="110" t="str">
        <f aca="false">IF(ISNUMBER(I1083),"yes","no")</f>
        <v>yes</v>
      </c>
      <c r="AJ1083" s="120" t="n">
        <v>46297</v>
      </c>
      <c r="AK1083" s="110"/>
    </row>
    <row r="1084" customFormat="false" ht="35.05" hidden="false" customHeight="false" outlineLevel="0" collapsed="false">
      <c r="B1084" s="36" t="s">
        <v>73</v>
      </c>
      <c r="C1084" s="98" t="s">
        <v>15</v>
      </c>
      <c r="D1084" s="98" t="s">
        <v>293</v>
      </c>
      <c r="E1084" s="110" t="s">
        <v>3549</v>
      </c>
      <c r="F1084" s="99" t="n">
        <v>8.5</v>
      </c>
      <c r="G1084" s="98" t="s">
        <v>244</v>
      </c>
      <c r="H1084" s="112" t="n">
        <f aca="false">IF(AND(AE1084="yes",ISNUMBER(AD1084)),AD1084,"")</f>
        <v>8.5</v>
      </c>
      <c r="I1084" s="95" t="n">
        <f aca="false">IF(AND(AE1084="yes",ISNUMBER(AD1084),ISNUMBER(INDEX(Sources!$G$7:$G$10,MATCH(AB1084,Sources!$B$7:$B$10,0)))),ROUND(AD1084/INDEX(Sources!$G$7:$G$10,MATCH(AB1084,Sources!$B$7:$B$10,0)),6),"")</f>
        <v>8.5</v>
      </c>
      <c r="J1084" s="98" t="s">
        <v>530</v>
      </c>
      <c r="K1084" s="98" t="s">
        <v>2059</v>
      </c>
      <c r="L1084" s="96"/>
      <c r="M1084" s="110" t="s">
        <v>3550</v>
      </c>
      <c r="N1084" s="117" t="s">
        <v>3551</v>
      </c>
      <c r="O1084" s="110" t="s">
        <v>2957</v>
      </c>
      <c r="P1084" s="110" t="s">
        <v>590</v>
      </c>
      <c r="Q1084" s="118" t="n">
        <v>0.2</v>
      </c>
      <c r="R1084" s="110" t="n">
        <v>1</v>
      </c>
      <c r="S1084" s="110" t="s">
        <v>632</v>
      </c>
      <c r="T1084" s="110" t="s">
        <v>530</v>
      </c>
      <c r="U1084" s="110" t="s">
        <v>2913</v>
      </c>
      <c r="V1084" s="119" t="n">
        <v>8.5</v>
      </c>
      <c r="W1084" s="119"/>
      <c r="X1084" s="110" t="s">
        <v>2063</v>
      </c>
      <c r="Y1084" s="110" t="s">
        <v>2064</v>
      </c>
      <c r="Z1084" s="110" t="s">
        <v>2958</v>
      </c>
      <c r="AA1084" s="110" t="s">
        <v>537</v>
      </c>
      <c r="AB1084" s="110" t="s">
        <v>244</v>
      </c>
      <c r="AC1084" s="110" t="s">
        <v>538</v>
      </c>
      <c r="AD1084" s="110" t="n">
        <f aca="false">IF(OR(F1084="",Q1084="",R1084=""),"",ROUND(IF(P1084="incl.",F1084/(1+Q1084),F1084)/IF(S1084="per pack",R1084,1),2))</f>
        <v>8.5</v>
      </c>
      <c r="AE1084" s="110" t="str">
        <f aca="false">IF(AND(AC1084="yes",ISNUMBER(F1084),IF(Compare!$H$5="All mapped",TRUE(),IF(Compare!$H$5="EXACT only",J1084="EXACT",OR(J1084="EXACT",J1084="CLOSE")))),"yes","no")</f>
        <v>yes</v>
      </c>
      <c r="AF1084" s="110" t="n">
        <f aca="false">IF(ISNUMBER(H1084),COUNTIFS($B$7:$B$3000,B1084,$C$7:$C$3000,C1084,$H$7:$H$3000,"&lt;"&amp;H1084,$AH$7:$AH$3000,"yes")+COUNTIFS($B$7:B1084,B1084,$C$7:C1084,C1084,$H$7:H1084,H1084,$AH$7:AH1084,"yes"),"")</f>
        <v>3</v>
      </c>
      <c r="AG1084" s="110" t="n">
        <f aca="false">IF(ISNUMBER(I1084),COUNTIFS($B$7:$B$3000,B1084,$C$7:$C$3000,C1084,$I$7:$I$3000,"&lt;"&amp;I1084,$AI$7:$AI$3000,"yes")+COUNTIFS($B$7:B1084,B1084,$C$7:C1084,C1084,$I$7:I1084,I1084,$AI$7:AI1084,"yes"),"")</f>
        <v>3</v>
      </c>
      <c r="AH1084" s="110" t="str">
        <f aca="false">IF(ISNUMBER(H1084),"yes","no")</f>
        <v>yes</v>
      </c>
      <c r="AI1084" s="110" t="str">
        <f aca="false">IF(ISNUMBER(I1084),"yes","no")</f>
        <v>yes</v>
      </c>
      <c r="AJ1084" s="120" t="n">
        <v>46297</v>
      </c>
      <c r="AK1084" s="110"/>
    </row>
    <row r="1085" customFormat="false" ht="23.85" hidden="false" customHeight="false" outlineLevel="0" collapsed="false">
      <c r="B1085" s="36" t="s">
        <v>73</v>
      </c>
      <c r="C1085" s="98" t="s">
        <v>16</v>
      </c>
      <c r="D1085" s="98" t="s">
        <v>296</v>
      </c>
      <c r="E1085" s="110" t="s">
        <v>3531</v>
      </c>
      <c r="F1085" s="99" t="n">
        <v>8.39</v>
      </c>
      <c r="G1085" s="98" t="s">
        <v>244</v>
      </c>
      <c r="H1085" s="112" t="n">
        <f aca="false">IF(AND(AE1085="yes",ISNUMBER(AD1085)),AD1085,"")</f>
        <v>8.39</v>
      </c>
      <c r="I1085" s="95" t="n">
        <f aca="false">IF(AND(AE1085="yes",ISNUMBER(AD1085),ISNUMBER(INDEX(Sources!$G$7:$G$10,MATCH(AB1085,Sources!$B$7:$B$10,0)))),ROUND(AD1085/INDEX(Sources!$G$7:$G$10,MATCH(AB1085,Sources!$B$7:$B$10,0)),6),"")</f>
        <v>8.39</v>
      </c>
      <c r="J1085" s="98" t="s">
        <v>530</v>
      </c>
      <c r="K1085" s="98" t="s">
        <v>2059</v>
      </c>
      <c r="L1085" s="96"/>
      <c r="M1085" s="110" t="s">
        <v>3552</v>
      </c>
      <c r="N1085" s="117" t="s">
        <v>3553</v>
      </c>
      <c r="O1085" s="110" t="s">
        <v>296</v>
      </c>
      <c r="P1085" s="110" t="s">
        <v>590</v>
      </c>
      <c r="Q1085" s="118" t="n">
        <v>0.19</v>
      </c>
      <c r="R1085" s="110" t="n">
        <v>1</v>
      </c>
      <c r="S1085" s="110" t="s">
        <v>632</v>
      </c>
      <c r="T1085" s="110" t="s">
        <v>530</v>
      </c>
      <c r="U1085" s="110" t="s">
        <v>2913</v>
      </c>
      <c r="V1085" s="119" t="n">
        <v>8.39</v>
      </c>
      <c r="W1085" s="119"/>
      <c r="X1085" s="110" t="s">
        <v>2063</v>
      </c>
      <c r="Y1085" s="110" t="s">
        <v>2064</v>
      </c>
      <c r="Z1085" s="110" t="s">
        <v>2164</v>
      </c>
      <c r="AA1085" s="110" t="s">
        <v>537</v>
      </c>
      <c r="AB1085" s="110" t="s">
        <v>244</v>
      </c>
      <c r="AC1085" s="110" t="s">
        <v>538</v>
      </c>
      <c r="AD1085" s="110" t="n">
        <f aca="false">IF(OR(F1085="",Q1085="",R1085=""),"",ROUND(IF(P1085="incl.",F1085/(1+Q1085),F1085)/IF(S1085="per pack",R1085,1),2))</f>
        <v>8.39</v>
      </c>
      <c r="AE1085" s="110" t="str">
        <f aca="false">IF(AND(AC1085="yes",ISNUMBER(F1085),IF(Compare!$H$5="All mapped",TRUE(),IF(Compare!$H$5="EXACT only",J1085="EXACT",OR(J1085="EXACT",J1085="CLOSE")))),"yes","no")</f>
        <v>yes</v>
      </c>
      <c r="AF1085" s="110" t="n">
        <f aca="false">IF(ISNUMBER(H1085),COUNTIFS($B$7:$B$3000,B1085,$C$7:$C$3000,C1085,$H$7:$H$3000,"&lt;"&amp;H1085,$AH$7:$AH$3000,"yes")+COUNTIFS($B$7:B1085,B1085,$C$7:C1085,C1085,$H$7:H1085,H1085,$AH$7:AH1085,"yes"),"")</f>
        <v>2</v>
      </c>
      <c r="AG1085" s="110" t="n">
        <f aca="false">IF(ISNUMBER(I1085),COUNTIFS($B$7:$B$3000,B1085,$C$7:$C$3000,C1085,$I$7:$I$3000,"&lt;"&amp;I1085,$AI$7:$AI$3000,"yes")+COUNTIFS($B$7:B1085,B1085,$C$7:C1085,C1085,$I$7:I1085,I1085,$AI$7:AI1085,"yes"),"")</f>
        <v>2</v>
      </c>
      <c r="AH1085" s="110" t="str">
        <f aca="false">IF(ISNUMBER(H1085),"yes","no")</f>
        <v>yes</v>
      </c>
      <c r="AI1085" s="110" t="str">
        <f aca="false">IF(ISNUMBER(I1085),"yes","no")</f>
        <v>yes</v>
      </c>
      <c r="AJ1085" s="120" t="n">
        <v>46297</v>
      </c>
      <c r="AK1085" s="110"/>
    </row>
    <row r="1086" customFormat="false" ht="35.05" hidden="false" customHeight="false" outlineLevel="0" collapsed="false">
      <c r="B1086" s="36" t="s">
        <v>73</v>
      </c>
      <c r="C1086" s="98" t="s">
        <v>16</v>
      </c>
      <c r="D1086" s="98" t="s">
        <v>305</v>
      </c>
      <c r="E1086" s="110" t="s">
        <v>3554</v>
      </c>
      <c r="F1086" s="99" t="n">
        <v>10.51</v>
      </c>
      <c r="G1086" s="98" t="s">
        <v>244</v>
      </c>
      <c r="H1086" s="112" t="n">
        <f aca="false">IF(AND(AE1086="yes",ISNUMBER(AD1086)),AD1086,"")</f>
        <v>8.83</v>
      </c>
      <c r="I1086" s="95" t="n">
        <f aca="false">IF(AND(AE1086="yes",ISNUMBER(AD1086),ISNUMBER(INDEX(Sources!$G$7:$G$10,MATCH(AB1086,Sources!$B$7:$B$10,0)))),ROUND(AD1086/INDEX(Sources!$G$7:$G$10,MATCH(AB1086,Sources!$B$7:$B$10,0)),6),"")</f>
        <v>8.83</v>
      </c>
      <c r="J1086" s="98" t="s">
        <v>530</v>
      </c>
      <c r="K1086" s="98" t="s">
        <v>2059</v>
      </c>
      <c r="L1086" s="96"/>
      <c r="M1086" s="110" t="s">
        <v>3555</v>
      </c>
      <c r="N1086" s="117" t="s">
        <v>3556</v>
      </c>
      <c r="O1086" s="110" t="s">
        <v>2965</v>
      </c>
      <c r="P1086" s="110" t="s">
        <v>265</v>
      </c>
      <c r="Q1086" s="118" t="n">
        <v>0.19</v>
      </c>
      <c r="R1086" s="110" t="n">
        <v>1</v>
      </c>
      <c r="S1086" s="110" t="s">
        <v>632</v>
      </c>
      <c r="T1086" s="110" t="s">
        <v>530</v>
      </c>
      <c r="U1086" s="110" t="s">
        <v>2918</v>
      </c>
      <c r="V1086" s="119" t="n">
        <v>8.83</v>
      </c>
      <c r="W1086" s="119"/>
      <c r="X1086" s="110" t="s">
        <v>2063</v>
      </c>
      <c r="Y1086" s="110" t="s">
        <v>2064</v>
      </c>
      <c r="Z1086" s="110" t="s">
        <v>2156</v>
      </c>
      <c r="AA1086" s="110" t="s">
        <v>537</v>
      </c>
      <c r="AB1086" s="110" t="s">
        <v>244</v>
      </c>
      <c r="AC1086" s="110" t="s">
        <v>538</v>
      </c>
      <c r="AD1086" s="110" t="n">
        <f aca="false">IF(OR(F1086="",Q1086="",R1086=""),"",ROUND(IF(P1086="incl.",F1086/(1+Q1086),F1086)/IF(S1086="per pack",R1086,1),2))</f>
        <v>8.83</v>
      </c>
      <c r="AE1086" s="110" t="str">
        <f aca="false">IF(AND(AC1086="yes",ISNUMBER(F1086),IF(Compare!$H$5="All mapped",TRUE(),IF(Compare!$H$5="EXACT only",J1086="EXACT",OR(J1086="EXACT",J1086="CLOSE")))),"yes","no")</f>
        <v>yes</v>
      </c>
      <c r="AF1086" s="110" t="n">
        <f aca="false">IF(ISNUMBER(H1086),COUNTIFS($B$7:$B$3000,B1086,$C$7:$C$3000,C1086,$H$7:$H$3000,"&lt;"&amp;H1086,$AH$7:$AH$3000,"yes")+COUNTIFS($B$7:B1086,B1086,$C$7:C1086,C1086,$H$7:H1086,H1086,$AH$7:AH1086,"yes"),"")</f>
        <v>4</v>
      </c>
      <c r="AG1086" s="110" t="n">
        <f aca="false">IF(ISNUMBER(I1086),COUNTIFS($B$7:$B$3000,B1086,$C$7:$C$3000,C1086,$I$7:$I$3000,"&lt;"&amp;I1086,$AI$7:$AI$3000,"yes")+COUNTIFS($B$7:B1086,B1086,$C$7:C1086,C1086,$I$7:I1086,I1086,$AI$7:AI1086,"yes"),"")</f>
        <v>4</v>
      </c>
      <c r="AH1086" s="110" t="str">
        <f aca="false">IF(ISNUMBER(H1086),"yes","no")</f>
        <v>yes</v>
      </c>
      <c r="AI1086" s="110" t="str">
        <f aca="false">IF(ISNUMBER(I1086),"yes","no")</f>
        <v>yes</v>
      </c>
      <c r="AJ1086" s="120" t="n">
        <v>46297</v>
      </c>
      <c r="AK1086" s="110"/>
    </row>
    <row r="1087" customFormat="false" ht="35.05" hidden="false" customHeight="false" outlineLevel="0" collapsed="false">
      <c r="B1087" s="36" t="s">
        <v>73</v>
      </c>
      <c r="C1087" s="98" t="s">
        <v>16</v>
      </c>
      <c r="D1087" s="98" t="s">
        <v>311</v>
      </c>
      <c r="E1087" s="110" t="s">
        <v>3537</v>
      </c>
      <c r="F1087" s="99" t="n">
        <v>9.59</v>
      </c>
      <c r="G1087" s="98" t="s">
        <v>244</v>
      </c>
      <c r="H1087" s="112" t="n">
        <f aca="false">IF(AND(AE1087="yes",ISNUMBER(AD1087)),AD1087,"")</f>
        <v>9.59</v>
      </c>
      <c r="I1087" s="95" t="n">
        <f aca="false">IF(AND(AE1087="yes",ISNUMBER(AD1087),ISNUMBER(INDEX(Sources!$G$7:$G$10,MATCH(AB1087,Sources!$B$7:$B$10,0)))),ROUND(AD1087/INDEX(Sources!$G$7:$G$10,MATCH(AB1087,Sources!$B$7:$B$10,0)),6),"")</f>
        <v>9.59</v>
      </c>
      <c r="J1087" s="98" t="s">
        <v>530</v>
      </c>
      <c r="K1087" s="98" t="s">
        <v>2059</v>
      </c>
      <c r="L1087" s="96"/>
      <c r="M1087" s="110" t="s">
        <v>3557</v>
      </c>
      <c r="N1087" s="117" t="s">
        <v>3558</v>
      </c>
      <c r="O1087" s="110" t="s">
        <v>598</v>
      </c>
      <c r="P1087" s="110" t="s">
        <v>590</v>
      </c>
      <c r="Q1087" s="118" t="n">
        <v>0.19</v>
      </c>
      <c r="R1087" s="110" t="n">
        <v>1</v>
      </c>
      <c r="S1087" s="110" t="s">
        <v>632</v>
      </c>
      <c r="T1087" s="110" t="s">
        <v>530</v>
      </c>
      <c r="U1087" s="110" t="s">
        <v>2913</v>
      </c>
      <c r="V1087" s="119" t="n">
        <v>9.59</v>
      </c>
      <c r="W1087" s="119"/>
      <c r="X1087" s="110" t="s">
        <v>2063</v>
      </c>
      <c r="Y1087" s="110" t="s">
        <v>2064</v>
      </c>
      <c r="Z1087" s="110" t="s">
        <v>3236</v>
      </c>
      <c r="AA1087" s="110" t="s">
        <v>537</v>
      </c>
      <c r="AB1087" s="110" t="s">
        <v>244</v>
      </c>
      <c r="AC1087" s="110" t="s">
        <v>538</v>
      </c>
      <c r="AD1087" s="110" t="n">
        <f aca="false">IF(OR(F1087="",Q1087="",R1087=""),"",ROUND(IF(P1087="incl.",F1087/(1+Q1087),F1087)/IF(S1087="per pack",R1087,1),2))</f>
        <v>9.59</v>
      </c>
      <c r="AE1087" s="110" t="str">
        <f aca="false">IF(AND(AC1087="yes",ISNUMBER(F1087),IF(Compare!$H$5="All mapped",TRUE(),IF(Compare!$H$5="EXACT only",J1087="EXACT",OR(J1087="EXACT",J1087="CLOSE")))),"yes","no")</f>
        <v>yes</v>
      </c>
      <c r="AF1087" s="110" t="n">
        <f aca="false">IF(ISNUMBER(H1087),COUNTIFS($B$7:$B$3000,B1087,$C$7:$C$3000,C1087,$H$7:$H$3000,"&lt;"&amp;H1087,$AH$7:$AH$3000,"yes")+COUNTIFS($B$7:B1087,B1087,$C$7:C1087,C1087,$H$7:H1087,H1087,$AH$7:AH1087,"yes"),"")</f>
        <v>5</v>
      </c>
      <c r="AG1087" s="110" t="n">
        <f aca="false">IF(ISNUMBER(I1087),COUNTIFS($B$7:$B$3000,B1087,$C$7:$C$3000,C1087,$I$7:$I$3000,"&lt;"&amp;I1087,$AI$7:$AI$3000,"yes")+COUNTIFS($B$7:B1087,B1087,$C$7:C1087,C1087,$I$7:I1087,I1087,$AI$7:AI1087,"yes"),"")</f>
        <v>5</v>
      </c>
      <c r="AH1087" s="110" t="str">
        <f aca="false">IF(ISNUMBER(H1087),"yes","no")</f>
        <v>yes</v>
      </c>
      <c r="AI1087" s="110" t="str">
        <f aca="false">IF(ISNUMBER(I1087),"yes","no")</f>
        <v>yes</v>
      </c>
      <c r="AJ1087" s="120" t="n">
        <v>46297</v>
      </c>
      <c r="AK1087" s="110"/>
    </row>
    <row r="1088" customFormat="false" ht="23.85" hidden="false" customHeight="false" outlineLevel="0" collapsed="false">
      <c r="B1088" s="36" t="s">
        <v>73</v>
      </c>
      <c r="C1088" s="98" t="s">
        <v>16</v>
      </c>
      <c r="D1088" s="98" t="s">
        <v>309</v>
      </c>
      <c r="E1088" s="110" t="s">
        <v>3559</v>
      </c>
      <c r="F1088" s="99" t="n">
        <v>17.93</v>
      </c>
      <c r="G1088" s="98" t="s">
        <v>244</v>
      </c>
      <c r="H1088" s="112" t="n">
        <f aca="false">IF(AND(AE1088="yes",ISNUMBER(AD1088)),AD1088,"")</f>
        <v>17.93</v>
      </c>
      <c r="I1088" s="95" t="n">
        <f aca="false">IF(AND(AE1088="yes",ISNUMBER(AD1088),ISNUMBER(INDEX(Sources!$G$7:$G$10,MATCH(AB1088,Sources!$B$7:$B$10,0)))),ROUND(AD1088/INDEX(Sources!$G$7:$G$10,MATCH(AB1088,Sources!$B$7:$B$10,0)),6),"")</f>
        <v>17.93</v>
      </c>
      <c r="J1088" s="98" t="s">
        <v>530</v>
      </c>
      <c r="K1088" s="98" t="s">
        <v>2059</v>
      </c>
      <c r="L1088" s="96"/>
      <c r="M1088" s="110" t="s">
        <v>3560</v>
      </c>
      <c r="N1088" s="117" t="s">
        <v>3561</v>
      </c>
      <c r="O1088" s="110" t="s">
        <v>388</v>
      </c>
      <c r="P1088" s="110" t="s">
        <v>590</v>
      </c>
      <c r="Q1088" s="118" t="n">
        <v>0.19</v>
      </c>
      <c r="R1088" s="110" t="n">
        <v>1</v>
      </c>
      <c r="S1088" s="110" t="s">
        <v>632</v>
      </c>
      <c r="T1088" s="110" t="s">
        <v>530</v>
      </c>
      <c r="U1088" s="110" t="s">
        <v>2913</v>
      </c>
      <c r="V1088" s="119" t="n">
        <v>17.93</v>
      </c>
      <c r="W1088" s="119"/>
      <c r="X1088" s="110" t="s">
        <v>2063</v>
      </c>
      <c r="Y1088" s="110" t="s">
        <v>2064</v>
      </c>
      <c r="Z1088" s="110" t="s">
        <v>3240</v>
      </c>
      <c r="AA1088" s="110" t="s">
        <v>537</v>
      </c>
      <c r="AB1088" s="110" t="s">
        <v>244</v>
      </c>
      <c r="AC1088" s="110" t="s">
        <v>538</v>
      </c>
      <c r="AD1088" s="110" t="n">
        <f aca="false">IF(OR(F1088="",Q1088="",R1088=""),"",ROUND(IF(P1088="incl.",F1088/(1+Q1088),F1088)/IF(S1088="per pack",R1088,1),2))</f>
        <v>17.93</v>
      </c>
      <c r="AE1088" s="110" t="str">
        <f aca="false">IF(AND(AC1088="yes",ISNUMBER(F1088),IF(Compare!$H$5="All mapped",TRUE(),IF(Compare!$H$5="EXACT only",J1088="EXACT",OR(J1088="EXACT",J1088="CLOSE")))),"yes","no")</f>
        <v>yes</v>
      </c>
      <c r="AF1088" s="110" t="n">
        <f aca="false">IF(ISNUMBER(H1088),COUNTIFS($B$7:$B$3000,B1088,$C$7:$C$3000,C1088,$H$7:$H$3000,"&lt;"&amp;H1088,$AH$7:$AH$3000,"yes")+COUNTIFS($B$7:B1088,B1088,$C$7:C1088,C1088,$H$7:H1088,H1088,$AH$7:AH1088,"yes"),"")</f>
        <v>7</v>
      </c>
      <c r="AG1088" s="110" t="n">
        <f aca="false">IF(ISNUMBER(I1088),COUNTIFS($B$7:$B$3000,B1088,$C$7:$C$3000,C1088,$I$7:$I$3000,"&lt;"&amp;I1088,$AI$7:$AI$3000,"yes")+COUNTIFS($B$7:B1088,B1088,$C$7:C1088,C1088,$I$7:I1088,I1088,$AI$7:AI1088,"yes"),"")</f>
        <v>7</v>
      </c>
      <c r="AH1088" s="110" t="str">
        <f aca="false">IF(ISNUMBER(H1088),"yes","no")</f>
        <v>yes</v>
      </c>
      <c r="AI1088" s="110" t="str">
        <f aca="false">IF(ISNUMBER(I1088),"yes","no")</f>
        <v>yes</v>
      </c>
      <c r="AJ1088" s="120" t="n">
        <v>46297</v>
      </c>
      <c r="AK1088" s="110"/>
    </row>
    <row r="1089" customFormat="false" ht="23.85" hidden="false" customHeight="false" outlineLevel="0" collapsed="false">
      <c r="B1089" s="36" t="s">
        <v>73</v>
      </c>
      <c r="C1089" s="98" t="s">
        <v>16</v>
      </c>
      <c r="D1089" s="98" t="s">
        <v>313</v>
      </c>
      <c r="E1089" s="110" t="s">
        <v>3543</v>
      </c>
      <c r="F1089" s="99" t="n">
        <v>9.98</v>
      </c>
      <c r="G1089" s="98" t="s">
        <v>244</v>
      </c>
      <c r="H1089" s="112" t="n">
        <f aca="false">IF(AND(AE1089="yes",ISNUMBER(AD1089)),AD1089,"")</f>
        <v>8.39</v>
      </c>
      <c r="I1089" s="95" t="n">
        <f aca="false">IF(AND(AE1089="yes",ISNUMBER(AD1089),ISNUMBER(INDEX(Sources!$G$7:$G$10,MATCH(AB1089,Sources!$B$7:$B$10,0)))),ROUND(AD1089/INDEX(Sources!$G$7:$G$10,MATCH(AB1089,Sources!$B$7:$B$10,0)),6),"")</f>
        <v>8.39</v>
      </c>
      <c r="J1089" s="98" t="s">
        <v>530</v>
      </c>
      <c r="K1089" s="98" t="s">
        <v>2059</v>
      </c>
      <c r="L1089" s="96"/>
      <c r="M1089" s="110" t="s">
        <v>3562</v>
      </c>
      <c r="N1089" s="117" t="s">
        <v>3563</v>
      </c>
      <c r="O1089" s="110" t="s">
        <v>598</v>
      </c>
      <c r="P1089" s="110" t="s">
        <v>265</v>
      </c>
      <c r="Q1089" s="118" t="n">
        <v>0.19</v>
      </c>
      <c r="R1089" s="110" t="n">
        <v>1</v>
      </c>
      <c r="S1089" s="110" t="s">
        <v>632</v>
      </c>
      <c r="T1089" s="110" t="s">
        <v>530</v>
      </c>
      <c r="U1089" s="110" t="s">
        <v>2918</v>
      </c>
      <c r="V1089" s="119" t="n">
        <v>8.39</v>
      </c>
      <c r="W1089" s="119"/>
      <c r="X1089" s="110" t="s">
        <v>2063</v>
      </c>
      <c r="Y1089" s="110" t="s">
        <v>2064</v>
      </c>
      <c r="Z1089" s="110" t="s">
        <v>3243</v>
      </c>
      <c r="AA1089" s="110" t="s">
        <v>537</v>
      </c>
      <c r="AB1089" s="110" t="s">
        <v>244</v>
      </c>
      <c r="AC1089" s="110" t="s">
        <v>538</v>
      </c>
      <c r="AD1089" s="110" t="n">
        <f aca="false">IF(OR(F1089="",Q1089="",R1089=""),"",ROUND(IF(P1089="incl.",F1089/(1+Q1089),F1089)/IF(S1089="per pack",R1089,1),2))</f>
        <v>8.39</v>
      </c>
      <c r="AE1089" s="110" t="str">
        <f aca="false">IF(AND(AC1089="yes",ISNUMBER(F1089),IF(Compare!$H$5="All mapped",TRUE(),IF(Compare!$H$5="EXACT only",J1089="EXACT",OR(J1089="EXACT",J1089="CLOSE")))),"yes","no")</f>
        <v>yes</v>
      </c>
      <c r="AF1089" s="110" t="n">
        <f aca="false">IF(ISNUMBER(H1089),COUNTIFS($B$7:$B$3000,B1089,$C$7:$C$3000,C1089,$H$7:$H$3000,"&lt;"&amp;H1089,$AH$7:$AH$3000,"yes")+COUNTIFS($B$7:B1089,B1089,$C$7:C1089,C1089,$H$7:H1089,H1089,$AH$7:AH1089,"yes"),"")</f>
        <v>3</v>
      </c>
      <c r="AG1089" s="110" t="n">
        <f aca="false">IF(ISNUMBER(I1089),COUNTIFS($B$7:$B$3000,B1089,$C$7:$C$3000,C1089,$I$7:$I$3000,"&lt;"&amp;I1089,$AI$7:$AI$3000,"yes")+COUNTIFS($B$7:B1089,B1089,$C$7:C1089,C1089,$I$7:I1089,I1089,$AI$7:AI1089,"yes"),"")</f>
        <v>3</v>
      </c>
      <c r="AH1089" s="110" t="str">
        <f aca="false">IF(ISNUMBER(H1089),"yes","no")</f>
        <v>yes</v>
      </c>
      <c r="AI1089" s="110" t="str">
        <f aca="false">IF(ISNUMBER(I1089),"yes","no")</f>
        <v>yes</v>
      </c>
      <c r="AJ1089" s="120" t="n">
        <v>46297</v>
      </c>
      <c r="AK1089" s="110"/>
    </row>
    <row r="1090" customFormat="false" ht="35.05" hidden="false" customHeight="false" outlineLevel="0" collapsed="false">
      <c r="B1090" s="36" t="s">
        <v>73</v>
      </c>
      <c r="C1090" s="98" t="s">
        <v>16</v>
      </c>
      <c r="D1090" s="98" t="s">
        <v>321</v>
      </c>
      <c r="E1090" s="110" t="s">
        <v>3564</v>
      </c>
      <c r="F1090" s="99" t="n">
        <v>10.19</v>
      </c>
      <c r="G1090" s="98" t="s">
        <v>244</v>
      </c>
      <c r="H1090" s="112" t="n">
        <f aca="false">IF(AND(AE1090="yes",ISNUMBER(AD1090)),AD1090,"")</f>
        <v>10.19</v>
      </c>
      <c r="I1090" s="95" t="n">
        <f aca="false">IF(AND(AE1090="yes",ISNUMBER(AD1090),ISNUMBER(INDEX(Sources!$G$7:$G$10,MATCH(AB1090,Sources!$B$7:$B$10,0)))),ROUND(AD1090/INDEX(Sources!$G$7:$G$10,MATCH(AB1090,Sources!$B$7:$B$10,0)),6),"")</f>
        <v>10.19</v>
      </c>
      <c r="J1090" s="98" t="s">
        <v>530</v>
      </c>
      <c r="K1090" s="98" t="s">
        <v>2059</v>
      </c>
      <c r="L1090" s="96"/>
      <c r="M1090" s="110" t="s">
        <v>3565</v>
      </c>
      <c r="N1090" s="117" t="s">
        <v>3566</v>
      </c>
      <c r="O1090" s="110" t="s">
        <v>2944</v>
      </c>
      <c r="P1090" s="110" t="s">
        <v>590</v>
      </c>
      <c r="Q1090" s="118" t="n">
        <v>0.19</v>
      </c>
      <c r="R1090" s="110" t="n">
        <v>1</v>
      </c>
      <c r="S1090" s="110" t="s">
        <v>632</v>
      </c>
      <c r="T1090" s="110" t="s">
        <v>530</v>
      </c>
      <c r="U1090" s="110" t="s">
        <v>2913</v>
      </c>
      <c r="V1090" s="119" t="n">
        <v>10.19</v>
      </c>
      <c r="W1090" s="119"/>
      <c r="X1090" s="110" t="s">
        <v>2063</v>
      </c>
      <c r="Y1090" s="110" t="s">
        <v>2064</v>
      </c>
      <c r="Z1090" s="110" t="s">
        <v>2978</v>
      </c>
      <c r="AA1090" s="110" t="s">
        <v>537</v>
      </c>
      <c r="AB1090" s="110" t="s">
        <v>244</v>
      </c>
      <c r="AC1090" s="110" t="s">
        <v>538</v>
      </c>
      <c r="AD1090" s="110" t="n">
        <f aca="false">IF(OR(F1090="",Q1090="",R1090=""),"",ROUND(IF(P1090="incl.",F1090/(1+Q1090),F1090)/IF(S1090="per pack",R1090,1),2))</f>
        <v>10.19</v>
      </c>
      <c r="AE1090" s="110" t="str">
        <f aca="false">IF(AND(AC1090="yes",ISNUMBER(F1090),IF(Compare!$H$5="All mapped",TRUE(),IF(Compare!$H$5="EXACT only",J1090="EXACT",OR(J1090="EXACT",J1090="CLOSE")))),"yes","no")</f>
        <v>yes</v>
      </c>
      <c r="AF1090" s="110" t="n">
        <f aca="false">IF(ISNUMBER(H1090),COUNTIFS($B$7:$B$3000,B1090,$C$7:$C$3000,C1090,$H$7:$H$3000,"&lt;"&amp;H1090,$AH$7:$AH$3000,"yes")+COUNTIFS($B$7:B1090,B1090,$C$7:C1090,C1090,$H$7:H1090,H1090,$AH$7:AH1090,"yes"),"")</f>
        <v>6</v>
      </c>
      <c r="AG1090" s="110" t="n">
        <f aca="false">IF(ISNUMBER(I1090),COUNTIFS($B$7:$B$3000,B1090,$C$7:$C$3000,C1090,$I$7:$I$3000,"&lt;"&amp;I1090,$AI$7:$AI$3000,"yes")+COUNTIFS($B$7:B1090,B1090,$C$7:C1090,C1090,$I$7:I1090,I1090,$AI$7:AI1090,"yes"),"")</f>
        <v>6</v>
      </c>
      <c r="AH1090" s="110" t="str">
        <f aca="false">IF(ISNUMBER(H1090),"yes","no")</f>
        <v>yes</v>
      </c>
      <c r="AI1090" s="110" t="str">
        <f aca="false">IF(ISNUMBER(I1090),"yes","no")</f>
        <v>yes</v>
      </c>
      <c r="AJ1090" s="120" t="n">
        <v>46297</v>
      </c>
      <c r="AK1090" s="110"/>
    </row>
    <row r="1091" customFormat="false" ht="35.05" hidden="false" customHeight="false" outlineLevel="0" collapsed="false">
      <c r="B1091" s="36" t="s">
        <v>73</v>
      </c>
      <c r="C1091" s="98" t="s">
        <v>16</v>
      </c>
      <c r="D1091" s="98" t="s">
        <v>329</v>
      </c>
      <c r="E1091" s="110" t="s">
        <v>3543</v>
      </c>
      <c r="F1091" s="99" t="n">
        <v>5.78</v>
      </c>
      <c r="G1091" s="98" t="s">
        <v>244</v>
      </c>
      <c r="H1091" s="112" t="n">
        <f aca="false">IF(AND(AE1091="yes",ISNUMBER(AD1091)),AD1091,"")</f>
        <v>5.78</v>
      </c>
      <c r="I1091" s="95" t="n">
        <f aca="false">IF(AND(AE1091="yes",ISNUMBER(AD1091),ISNUMBER(INDEX(Sources!$G$7:$G$10,MATCH(AB1091,Sources!$B$7:$B$10,0)))),ROUND(AD1091/INDEX(Sources!$G$7:$G$10,MATCH(AB1091,Sources!$B$7:$B$10,0)),6),"")</f>
        <v>5.78</v>
      </c>
      <c r="J1091" s="98" t="s">
        <v>530</v>
      </c>
      <c r="K1091" s="98" t="s">
        <v>2059</v>
      </c>
      <c r="L1091" s="96"/>
      <c r="M1091" s="110" t="s">
        <v>3567</v>
      </c>
      <c r="N1091" s="117" t="s">
        <v>3568</v>
      </c>
      <c r="O1091" s="110" t="s">
        <v>598</v>
      </c>
      <c r="P1091" s="110" t="s">
        <v>590</v>
      </c>
      <c r="Q1091" s="118" t="n">
        <v>0.19</v>
      </c>
      <c r="R1091" s="110" t="n">
        <v>1</v>
      </c>
      <c r="S1091" s="110" t="s">
        <v>632</v>
      </c>
      <c r="T1091" s="110" t="s">
        <v>530</v>
      </c>
      <c r="U1091" s="110" t="s">
        <v>2913</v>
      </c>
      <c r="V1091" s="119" t="n">
        <v>5.78</v>
      </c>
      <c r="W1091" s="119"/>
      <c r="X1091" s="110" t="s">
        <v>2063</v>
      </c>
      <c r="Y1091" s="110" t="s">
        <v>2064</v>
      </c>
      <c r="Z1091" s="110" t="s">
        <v>2624</v>
      </c>
      <c r="AA1091" s="110" t="s">
        <v>537</v>
      </c>
      <c r="AB1091" s="110" t="s">
        <v>244</v>
      </c>
      <c r="AC1091" s="110" t="s">
        <v>538</v>
      </c>
      <c r="AD1091" s="110" t="n">
        <f aca="false">IF(OR(F1091="",Q1091="",R1091=""),"",ROUND(IF(P1091="incl.",F1091/(1+Q1091),F1091)/IF(S1091="per pack",R1091,1),2))</f>
        <v>5.78</v>
      </c>
      <c r="AE1091" s="110" t="str">
        <f aca="false">IF(AND(AC1091="yes",ISNUMBER(F1091),IF(Compare!$H$5="All mapped",TRUE(),IF(Compare!$H$5="EXACT only",J1091="EXACT",OR(J1091="EXACT",J1091="CLOSE")))),"yes","no")</f>
        <v>yes</v>
      </c>
      <c r="AF1091" s="110" t="n">
        <f aca="false">IF(ISNUMBER(H1091),COUNTIFS($B$7:$B$3000,B1091,$C$7:$C$3000,C1091,$H$7:$H$3000,"&lt;"&amp;H1091,$AH$7:$AH$3000,"yes")+COUNTIFS($B$7:B1091,B1091,$C$7:C1091,C1091,$H$7:H1091,H1091,$AH$7:AH1091,"yes"),"")</f>
        <v>1</v>
      </c>
      <c r="AG1091" s="110" t="n">
        <f aca="false">IF(ISNUMBER(I1091),COUNTIFS($B$7:$B$3000,B1091,$C$7:$C$3000,C1091,$I$7:$I$3000,"&lt;"&amp;I1091,$AI$7:$AI$3000,"yes")+COUNTIFS($B$7:B1091,B1091,$C$7:C1091,C1091,$I$7:I1091,I1091,$AI$7:AI1091,"yes"),"")</f>
        <v>1</v>
      </c>
      <c r="AH1091" s="110" t="str">
        <f aca="false">IF(ISNUMBER(H1091),"yes","no")</f>
        <v>yes</v>
      </c>
      <c r="AI1091" s="110" t="str">
        <f aca="false">IF(ISNUMBER(I1091),"yes","no")</f>
        <v>yes</v>
      </c>
      <c r="AJ1091" s="120" t="n">
        <v>46297</v>
      </c>
      <c r="AK1091" s="110"/>
    </row>
    <row r="1092" customFormat="false" ht="35.05" hidden="false" customHeight="false" outlineLevel="0" collapsed="false">
      <c r="B1092" s="36" t="s">
        <v>73</v>
      </c>
      <c r="C1092" s="98" t="s">
        <v>17</v>
      </c>
      <c r="D1092" s="98" t="s">
        <v>332</v>
      </c>
      <c r="E1092" s="110" t="s">
        <v>3569</v>
      </c>
      <c r="F1092" s="99" t="n">
        <v>302.5</v>
      </c>
      <c r="G1092" s="98" t="s">
        <v>333</v>
      </c>
      <c r="H1092" s="112" t="n">
        <f aca="false">IF(AND(AE1092="yes",ISNUMBER(AD1092)),AD1092,"")</f>
        <v>250</v>
      </c>
      <c r="I1092" s="95" t="n">
        <f aca="false">IF(AND(AE1092="yes",ISNUMBER(AD1092),ISNUMBER(INDEX(Sources!$G$7:$G$10,MATCH(AB1092,Sources!$B$7:$B$10,0)))),ROUND(AD1092/INDEX(Sources!$G$7:$G$10,MATCH(AB1092,Sources!$B$7:$B$10,0)),6),"")</f>
        <v>10.235995</v>
      </c>
      <c r="J1092" s="98" t="s">
        <v>530</v>
      </c>
      <c r="K1092" s="98" t="s">
        <v>2059</v>
      </c>
      <c r="L1092" s="96"/>
      <c r="M1092" s="110" t="s">
        <v>3570</v>
      </c>
      <c r="N1092" s="117" t="s">
        <v>3571</v>
      </c>
      <c r="O1092" s="110" t="s">
        <v>246</v>
      </c>
      <c r="P1092" s="110" t="s">
        <v>265</v>
      </c>
      <c r="Q1092" s="118" t="n">
        <v>0.21</v>
      </c>
      <c r="R1092" s="110" t="n">
        <v>1</v>
      </c>
      <c r="S1092" s="110" t="s">
        <v>632</v>
      </c>
      <c r="T1092" s="110" t="s">
        <v>530</v>
      </c>
      <c r="U1092" s="110" t="s">
        <v>2918</v>
      </c>
      <c r="V1092" s="119" t="n">
        <v>250</v>
      </c>
      <c r="W1092" s="119"/>
      <c r="X1092" s="110" t="s">
        <v>2063</v>
      </c>
      <c r="Y1092" s="110" t="s">
        <v>2064</v>
      </c>
      <c r="Z1092" s="110" t="s">
        <v>2282</v>
      </c>
      <c r="AA1092" s="110" t="s">
        <v>537</v>
      </c>
      <c r="AB1092" s="110" t="s">
        <v>333</v>
      </c>
      <c r="AC1092" s="110" t="s">
        <v>538</v>
      </c>
      <c r="AD1092" s="110" t="n">
        <f aca="false">IF(OR(F1092="",Q1092="",R1092=""),"",ROUND(IF(P1092="incl.",F1092/(1+Q1092),F1092)/IF(S1092="per pack",R1092,1),2))</f>
        <v>250</v>
      </c>
      <c r="AE1092" s="110" t="str">
        <f aca="false">IF(AND(AC1092="yes",ISNUMBER(F1092),IF(Compare!$H$5="All mapped",TRUE(),IF(Compare!$H$5="EXACT only",J1092="EXACT",OR(J1092="EXACT",J1092="CLOSE")))),"yes","no")</f>
        <v>yes</v>
      </c>
      <c r="AF1092" s="110" t="n">
        <f aca="false">IF(ISNUMBER(H1092),COUNTIFS($B$7:$B$3000,B1092,$C$7:$C$3000,C1092,$H$7:$H$3000,"&lt;"&amp;H1092,$AH$7:$AH$3000,"yes")+COUNTIFS($B$7:B1092,B1092,$C$7:C1092,C1092,$H$7:H1092,H1092,$AH$7:AH1092,"yes"),"")</f>
        <v>3</v>
      </c>
      <c r="AG1092" s="110" t="n">
        <f aca="false">IF(ISNUMBER(I1092),COUNTIFS($B$7:$B$3000,B1092,$C$7:$C$3000,C1092,$I$7:$I$3000,"&lt;"&amp;I1092,$AI$7:$AI$3000,"yes")+COUNTIFS($B$7:B1092,B1092,$C$7:C1092,C1092,$I$7:I1092,I1092,$AI$7:AI1092,"yes"),"")</f>
        <v>3</v>
      </c>
      <c r="AH1092" s="110" t="str">
        <f aca="false">IF(ISNUMBER(H1092),"yes","no")</f>
        <v>yes</v>
      </c>
      <c r="AI1092" s="110" t="str">
        <f aca="false">IF(ISNUMBER(I1092),"yes","no")</f>
        <v>yes</v>
      </c>
      <c r="AJ1092" s="120" t="n">
        <v>46297</v>
      </c>
      <c r="AK1092" s="110"/>
    </row>
    <row r="1093" customFormat="false" ht="35.05" hidden="false" customHeight="false" outlineLevel="0" collapsed="false">
      <c r="B1093" s="36" t="s">
        <v>73</v>
      </c>
      <c r="C1093" s="98" t="s">
        <v>17</v>
      </c>
      <c r="D1093" s="98" t="s">
        <v>338</v>
      </c>
      <c r="E1093" s="110" t="s">
        <v>3572</v>
      </c>
      <c r="F1093" s="99" t="n">
        <v>209</v>
      </c>
      <c r="G1093" s="98" t="s">
        <v>333</v>
      </c>
      <c r="H1093" s="112" t="n">
        <f aca="false">IF(AND(AE1093="yes",ISNUMBER(AD1093)),AD1093,"")</f>
        <v>209</v>
      </c>
      <c r="I1093" s="95" t="n">
        <f aca="false">IF(AND(AE1093="yes",ISNUMBER(AD1093),ISNUMBER(INDEX(Sources!$G$7:$G$10,MATCH(AB1093,Sources!$B$7:$B$10,0)))),ROUND(AD1093/INDEX(Sources!$G$7:$G$10,MATCH(AB1093,Sources!$B$7:$B$10,0)),6),"")</f>
        <v>8.557292</v>
      </c>
      <c r="J1093" s="98" t="s">
        <v>530</v>
      </c>
      <c r="K1093" s="98" t="s">
        <v>2059</v>
      </c>
      <c r="L1093" s="96"/>
      <c r="M1093" s="110" t="s">
        <v>3573</v>
      </c>
      <c r="N1093" s="117" t="s">
        <v>3574</v>
      </c>
      <c r="O1093" s="110" t="s">
        <v>388</v>
      </c>
      <c r="P1093" s="110" t="s">
        <v>590</v>
      </c>
      <c r="Q1093" s="118" t="n">
        <v>0.21</v>
      </c>
      <c r="R1093" s="110" t="n">
        <v>1</v>
      </c>
      <c r="S1093" s="110" t="s">
        <v>632</v>
      </c>
      <c r="T1093" s="110" t="s">
        <v>530</v>
      </c>
      <c r="U1093" s="110" t="s">
        <v>2913</v>
      </c>
      <c r="V1093" s="119" t="n">
        <v>209</v>
      </c>
      <c r="W1093" s="119"/>
      <c r="X1093" s="110" t="s">
        <v>2063</v>
      </c>
      <c r="Y1093" s="110" t="s">
        <v>2064</v>
      </c>
      <c r="Z1093" s="110" t="s">
        <v>2408</v>
      </c>
      <c r="AA1093" s="110" t="s">
        <v>537</v>
      </c>
      <c r="AB1093" s="110" t="s">
        <v>333</v>
      </c>
      <c r="AC1093" s="110" t="s">
        <v>538</v>
      </c>
      <c r="AD1093" s="110" t="n">
        <f aca="false">IF(OR(F1093="",Q1093="",R1093=""),"",ROUND(IF(P1093="incl.",F1093/(1+Q1093),F1093)/IF(S1093="per pack",R1093,1),2))</f>
        <v>209</v>
      </c>
      <c r="AE1093" s="110" t="str">
        <f aca="false">IF(AND(AC1093="yes",ISNUMBER(F1093),IF(Compare!$H$5="All mapped",TRUE(),IF(Compare!$H$5="EXACT only",J1093="EXACT",OR(J1093="EXACT",J1093="CLOSE")))),"yes","no")</f>
        <v>yes</v>
      </c>
      <c r="AF1093" s="110" t="n">
        <f aca="false">IF(ISNUMBER(H1093),COUNTIFS($B$7:$B$3000,B1093,$C$7:$C$3000,C1093,$H$7:$H$3000,"&lt;"&amp;H1093,$AH$7:$AH$3000,"yes")+COUNTIFS($B$7:B1093,B1093,$C$7:C1093,C1093,$H$7:H1093,H1093,$AH$7:AH1093,"yes"),"")</f>
        <v>2</v>
      </c>
      <c r="AG1093" s="110" t="n">
        <f aca="false">IF(ISNUMBER(I1093),COUNTIFS($B$7:$B$3000,B1093,$C$7:$C$3000,C1093,$I$7:$I$3000,"&lt;"&amp;I1093,$AI$7:$AI$3000,"yes")+COUNTIFS($B$7:B1093,B1093,$C$7:C1093,C1093,$I$7:I1093,I1093,$AI$7:AI1093,"yes"),"")</f>
        <v>2</v>
      </c>
      <c r="AH1093" s="110" t="str">
        <f aca="false">IF(ISNUMBER(H1093),"yes","no")</f>
        <v>yes</v>
      </c>
      <c r="AI1093" s="110" t="str">
        <f aca="false">IF(ISNUMBER(I1093),"yes","no")</f>
        <v>yes</v>
      </c>
      <c r="AJ1093" s="120" t="n">
        <v>46297</v>
      </c>
      <c r="AK1093" s="110"/>
    </row>
    <row r="1094" customFormat="false" ht="35.05" hidden="false" customHeight="false" outlineLevel="0" collapsed="false">
      <c r="B1094" s="36" t="s">
        <v>73</v>
      </c>
      <c r="C1094" s="98" t="s">
        <v>17</v>
      </c>
      <c r="D1094" s="98" t="s">
        <v>342</v>
      </c>
      <c r="E1094" s="110" t="s">
        <v>3575</v>
      </c>
      <c r="F1094" s="99" t="n">
        <v>183</v>
      </c>
      <c r="G1094" s="98" t="s">
        <v>333</v>
      </c>
      <c r="H1094" s="112" t="n">
        <f aca="false">IF(AND(AE1094="yes",ISNUMBER(AD1094)),AD1094,"")</f>
        <v>183</v>
      </c>
      <c r="I1094" s="95" t="n">
        <f aca="false">IF(AND(AE1094="yes",ISNUMBER(AD1094),ISNUMBER(INDEX(Sources!$G$7:$G$10,MATCH(AB1094,Sources!$B$7:$B$10,0)))),ROUND(AD1094/INDEX(Sources!$G$7:$G$10,MATCH(AB1094,Sources!$B$7:$B$10,0)),6),"")</f>
        <v>7.492748</v>
      </c>
      <c r="J1094" s="98" t="s">
        <v>530</v>
      </c>
      <c r="K1094" s="98" t="s">
        <v>2059</v>
      </c>
      <c r="L1094" s="96"/>
      <c r="M1094" s="110" t="s">
        <v>3576</v>
      </c>
      <c r="N1094" s="117" t="s">
        <v>3577</v>
      </c>
      <c r="O1094" s="110" t="s">
        <v>1138</v>
      </c>
      <c r="P1094" s="110" t="s">
        <v>590</v>
      </c>
      <c r="Q1094" s="118" t="n">
        <v>0.21</v>
      </c>
      <c r="R1094" s="110" t="n">
        <v>1</v>
      </c>
      <c r="S1094" s="110" t="s">
        <v>632</v>
      </c>
      <c r="T1094" s="110" t="s">
        <v>530</v>
      </c>
      <c r="U1094" s="110" t="s">
        <v>2913</v>
      </c>
      <c r="V1094" s="119" t="n">
        <v>183</v>
      </c>
      <c r="W1094" s="119"/>
      <c r="X1094" s="110" t="s">
        <v>2063</v>
      </c>
      <c r="Y1094" s="110" t="s">
        <v>2064</v>
      </c>
      <c r="Z1094" s="110" t="s">
        <v>2989</v>
      </c>
      <c r="AA1094" s="110" t="s">
        <v>537</v>
      </c>
      <c r="AB1094" s="110" t="s">
        <v>333</v>
      </c>
      <c r="AC1094" s="110" t="s">
        <v>538</v>
      </c>
      <c r="AD1094" s="110" t="n">
        <f aca="false">IF(OR(F1094="",Q1094="",R1094=""),"",ROUND(IF(P1094="incl.",F1094/(1+Q1094),F1094)/IF(S1094="per pack",R1094,1),2))</f>
        <v>183</v>
      </c>
      <c r="AE1094" s="110" t="str">
        <f aca="false">IF(AND(AC1094="yes",ISNUMBER(F1094),IF(Compare!$H$5="All mapped",TRUE(),IF(Compare!$H$5="EXACT only",J1094="EXACT",OR(J1094="EXACT",J1094="CLOSE")))),"yes","no")</f>
        <v>yes</v>
      </c>
      <c r="AF1094" s="110" t="n">
        <f aca="false">IF(ISNUMBER(H1094),COUNTIFS($B$7:$B$3000,B1094,$C$7:$C$3000,C1094,$H$7:$H$3000,"&lt;"&amp;H1094,$AH$7:$AH$3000,"yes")+COUNTIFS($B$7:B1094,B1094,$C$7:C1094,C1094,$H$7:H1094,H1094,$AH$7:AH1094,"yes"),"")</f>
        <v>1</v>
      </c>
      <c r="AG1094" s="110" t="n">
        <f aca="false">IF(ISNUMBER(I1094),COUNTIFS($B$7:$B$3000,B1094,$C$7:$C$3000,C1094,$I$7:$I$3000,"&lt;"&amp;I1094,$AI$7:$AI$3000,"yes")+COUNTIFS($B$7:B1094,B1094,$C$7:C1094,C1094,$I$7:I1094,I1094,$AI$7:AI1094,"yes"),"")</f>
        <v>1</v>
      </c>
      <c r="AH1094" s="110" t="str">
        <f aca="false">IF(ISNUMBER(H1094),"yes","no")</f>
        <v>yes</v>
      </c>
      <c r="AI1094" s="110" t="str">
        <f aca="false">IF(ISNUMBER(I1094),"yes","no")</f>
        <v>yes</v>
      </c>
      <c r="AJ1094" s="120" t="n">
        <v>46297</v>
      </c>
      <c r="AK1094" s="110"/>
    </row>
    <row r="1095" customFormat="false" ht="35.05" hidden="false" customHeight="false" outlineLevel="0" collapsed="false">
      <c r="B1095" s="36" t="s">
        <v>73</v>
      </c>
      <c r="C1095" s="98" t="s">
        <v>17</v>
      </c>
      <c r="D1095" s="98" t="s">
        <v>357</v>
      </c>
      <c r="E1095" s="110" t="s">
        <v>3578</v>
      </c>
      <c r="F1095" s="99" t="n">
        <v>259.44</v>
      </c>
      <c r="G1095" s="98" t="s">
        <v>333</v>
      </c>
      <c r="H1095" s="112" t="n">
        <f aca="false">IF(AND(AE1095="yes",ISNUMBER(AD1095)),AD1095,"")</f>
        <v>259.44</v>
      </c>
      <c r="I1095" s="95" t="n">
        <f aca="false">IF(AND(AE1095="yes",ISNUMBER(AD1095),ISNUMBER(INDEX(Sources!$G$7:$G$10,MATCH(AB1095,Sources!$B$7:$B$10,0)))),ROUND(AD1095/INDEX(Sources!$G$7:$G$10,MATCH(AB1095,Sources!$B$7:$B$10,0)),6),"")</f>
        <v>10.622506</v>
      </c>
      <c r="J1095" s="98" t="s">
        <v>530</v>
      </c>
      <c r="K1095" s="98" t="s">
        <v>2059</v>
      </c>
      <c r="L1095" s="96"/>
      <c r="M1095" s="110" t="s">
        <v>3579</v>
      </c>
      <c r="N1095" s="117" t="s">
        <v>3580</v>
      </c>
      <c r="O1095" s="110" t="s">
        <v>3581</v>
      </c>
      <c r="P1095" s="110" t="s">
        <v>590</v>
      </c>
      <c r="Q1095" s="118" t="n">
        <v>0.21</v>
      </c>
      <c r="R1095" s="110" t="n">
        <v>1</v>
      </c>
      <c r="S1095" s="110" t="s">
        <v>632</v>
      </c>
      <c r="T1095" s="110" t="s">
        <v>530</v>
      </c>
      <c r="U1095" s="110" t="s">
        <v>2913</v>
      </c>
      <c r="V1095" s="119" t="n">
        <v>259.44</v>
      </c>
      <c r="W1095" s="119"/>
      <c r="X1095" s="110" t="s">
        <v>2063</v>
      </c>
      <c r="Y1095" s="110" t="s">
        <v>2064</v>
      </c>
      <c r="Z1095" s="110" t="s">
        <v>3582</v>
      </c>
      <c r="AA1095" s="110" t="s">
        <v>537</v>
      </c>
      <c r="AB1095" s="110" t="s">
        <v>333</v>
      </c>
      <c r="AC1095" s="110" t="s">
        <v>538</v>
      </c>
      <c r="AD1095" s="110" t="n">
        <f aca="false">IF(OR(F1095="",Q1095="",R1095=""),"",ROUND(IF(P1095="incl.",F1095/(1+Q1095),F1095)/IF(S1095="per pack",R1095,1),2))</f>
        <v>259.44</v>
      </c>
      <c r="AE1095" s="110" t="str">
        <f aca="false">IF(AND(AC1095="yes",ISNUMBER(F1095),IF(Compare!$H$5="All mapped",TRUE(),IF(Compare!$H$5="EXACT only",J1095="EXACT",OR(J1095="EXACT",J1095="CLOSE")))),"yes","no")</f>
        <v>yes</v>
      </c>
      <c r="AF1095" s="110" t="n">
        <f aca="false">IF(ISNUMBER(H1095),COUNTIFS($B$7:$B$3000,B1095,$C$7:$C$3000,C1095,$H$7:$H$3000,"&lt;"&amp;H1095,$AH$7:$AH$3000,"yes")+COUNTIFS($B$7:B1095,B1095,$C$7:C1095,C1095,$H$7:H1095,H1095,$AH$7:AH1095,"yes"),"")</f>
        <v>4</v>
      </c>
      <c r="AG1095" s="110" t="n">
        <f aca="false">IF(ISNUMBER(I1095),COUNTIFS($B$7:$B$3000,B1095,$C$7:$C$3000,C1095,$I$7:$I$3000,"&lt;"&amp;I1095,$AI$7:$AI$3000,"yes")+COUNTIFS($B$7:B1095,B1095,$C$7:C1095,C1095,$I$7:I1095,I1095,$AI$7:AI1095,"yes"),"")</f>
        <v>4</v>
      </c>
      <c r="AH1095" s="110" t="str">
        <f aca="false">IF(ISNUMBER(H1095),"yes","no")</f>
        <v>yes</v>
      </c>
      <c r="AI1095" s="110" t="str">
        <f aca="false">IF(ISNUMBER(I1095),"yes","no")</f>
        <v>yes</v>
      </c>
      <c r="AJ1095" s="120" t="n">
        <v>46297</v>
      </c>
      <c r="AK1095" s="110"/>
    </row>
    <row r="1096" customFormat="false" ht="23.85" hidden="false" customHeight="false" outlineLevel="0" collapsed="false">
      <c r="B1096" s="36" t="s">
        <v>73</v>
      </c>
      <c r="C1096" s="98" t="s">
        <v>17</v>
      </c>
      <c r="D1096" s="98" t="s">
        <v>361</v>
      </c>
      <c r="E1096" s="110" t="s">
        <v>3578</v>
      </c>
      <c r="F1096" s="99" t="n">
        <v>270</v>
      </c>
      <c r="G1096" s="98" t="s">
        <v>333</v>
      </c>
      <c r="H1096" s="112" t="n">
        <f aca="false">IF(AND(AE1096="yes",ISNUMBER(AD1096)),AD1096,"")</f>
        <v>270</v>
      </c>
      <c r="I1096" s="95" t="n">
        <f aca="false">IF(AND(AE1096="yes",ISNUMBER(AD1096),ISNUMBER(INDEX(Sources!$G$7:$G$10,MATCH(AB1096,Sources!$B$7:$B$10,0)))),ROUND(AD1096/INDEX(Sources!$G$7:$G$10,MATCH(AB1096,Sources!$B$7:$B$10,0)),6),"")</f>
        <v>11.054874</v>
      </c>
      <c r="J1096" s="98" t="s">
        <v>530</v>
      </c>
      <c r="K1096" s="98" t="s">
        <v>2059</v>
      </c>
      <c r="L1096" s="96"/>
      <c r="M1096" s="110" t="s">
        <v>3583</v>
      </c>
      <c r="N1096" s="117" t="s">
        <v>3584</v>
      </c>
      <c r="O1096" s="110" t="s">
        <v>361</v>
      </c>
      <c r="P1096" s="110" t="s">
        <v>590</v>
      </c>
      <c r="Q1096" s="118" t="n">
        <v>0.21</v>
      </c>
      <c r="R1096" s="110" t="n">
        <v>1</v>
      </c>
      <c r="S1096" s="110" t="s">
        <v>632</v>
      </c>
      <c r="T1096" s="110" t="s">
        <v>530</v>
      </c>
      <c r="U1096" s="110" t="s">
        <v>2913</v>
      </c>
      <c r="V1096" s="119" t="n">
        <v>270</v>
      </c>
      <c r="W1096" s="119"/>
      <c r="X1096" s="110" t="s">
        <v>2063</v>
      </c>
      <c r="Y1096" s="110" t="s">
        <v>2064</v>
      </c>
      <c r="Z1096" s="110" t="s">
        <v>3585</v>
      </c>
      <c r="AA1096" s="110" t="s">
        <v>537</v>
      </c>
      <c r="AB1096" s="110" t="s">
        <v>333</v>
      </c>
      <c r="AC1096" s="110" t="s">
        <v>538</v>
      </c>
      <c r="AD1096" s="110" t="n">
        <f aca="false">IF(OR(F1096="",Q1096="",R1096=""),"",ROUND(IF(P1096="incl.",F1096/(1+Q1096),F1096)/IF(S1096="per pack",R1096,1),2))</f>
        <v>270</v>
      </c>
      <c r="AE1096" s="110" t="str">
        <f aca="false">IF(AND(AC1096="yes",ISNUMBER(F1096),IF(Compare!$H$5="All mapped",TRUE(),IF(Compare!$H$5="EXACT only",J1096="EXACT",OR(J1096="EXACT",J1096="CLOSE")))),"yes","no")</f>
        <v>yes</v>
      </c>
      <c r="AF1096" s="110" t="n">
        <f aca="false">IF(ISNUMBER(H1096),COUNTIFS($B$7:$B$3000,B1096,$C$7:$C$3000,C1096,$H$7:$H$3000,"&lt;"&amp;H1096,$AH$7:$AH$3000,"yes")+COUNTIFS($B$7:B1096,B1096,$C$7:C1096,C1096,$H$7:H1096,H1096,$AH$7:AH1096,"yes"),"")</f>
        <v>5</v>
      </c>
      <c r="AG1096" s="110" t="n">
        <f aca="false">IF(ISNUMBER(I1096),COUNTIFS($B$7:$B$3000,B1096,$C$7:$C$3000,C1096,$I$7:$I$3000,"&lt;"&amp;I1096,$AI$7:$AI$3000,"yes")+COUNTIFS($B$7:B1096,B1096,$C$7:C1096,C1096,$I$7:I1096,I1096,$AI$7:AI1096,"yes"),"")</f>
        <v>5</v>
      </c>
      <c r="AH1096" s="110" t="str">
        <f aca="false">IF(ISNUMBER(H1096),"yes","no")</f>
        <v>yes</v>
      </c>
      <c r="AI1096" s="110" t="str">
        <f aca="false">IF(ISNUMBER(I1096),"yes","no")</f>
        <v>yes</v>
      </c>
      <c r="AJ1096" s="120" t="n">
        <v>46297</v>
      </c>
      <c r="AK1096" s="110"/>
    </row>
    <row r="1097" customFormat="false" ht="23.85" hidden="false" customHeight="false" outlineLevel="0" collapsed="false">
      <c r="B1097" s="36" t="s">
        <v>73</v>
      </c>
      <c r="C1097" s="98" t="s">
        <v>18</v>
      </c>
      <c r="D1097" s="98" t="s">
        <v>3002</v>
      </c>
      <c r="E1097" s="110" t="s">
        <v>3586</v>
      </c>
      <c r="F1097" s="99" t="n">
        <v>10</v>
      </c>
      <c r="G1097" s="98" t="s">
        <v>244</v>
      </c>
      <c r="H1097" s="112" t="n">
        <f aca="false">IF(AND(AE1097="yes",ISNUMBER(AD1097)),AD1097,"")</f>
        <v>10</v>
      </c>
      <c r="I1097" s="95" t="n">
        <f aca="false">IF(AND(AE1097="yes",ISNUMBER(AD1097),ISNUMBER(INDEX(Sources!$G$7:$G$10,MATCH(AB1097,Sources!$B$7:$B$10,0)))),ROUND(AD1097/INDEX(Sources!$G$7:$G$10,MATCH(AB1097,Sources!$B$7:$B$10,0)),6),"")</f>
        <v>10</v>
      </c>
      <c r="J1097" s="98" t="s">
        <v>530</v>
      </c>
      <c r="K1097" s="98" t="s">
        <v>2059</v>
      </c>
      <c r="L1097" s="96"/>
      <c r="M1097" s="110" t="s">
        <v>3587</v>
      </c>
      <c r="N1097" s="117" t="s">
        <v>3005</v>
      </c>
      <c r="O1097" s="110" t="s">
        <v>2396</v>
      </c>
      <c r="P1097" s="110" t="s">
        <v>590</v>
      </c>
      <c r="Q1097" s="118" t="n">
        <v>0.23</v>
      </c>
      <c r="R1097" s="110" t="n">
        <v>1</v>
      </c>
      <c r="S1097" s="110" t="s">
        <v>632</v>
      </c>
      <c r="T1097" s="110" t="s">
        <v>530</v>
      </c>
      <c r="U1097" s="110" t="s">
        <v>2913</v>
      </c>
      <c r="V1097" s="119" t="n">
        <v>10</v>
      </c>
      <c r="W1097" s="119"/>
      <c r="X1097" s="110" t="s">
        <v>2063</v>
      </c>
      <c r="Y1097" s="110" t="s">
        <v>2064</v>
      </c>
      <c r="Z1097" s="110" t="s">
        <v>3006</v>
      </c>
      <c r="AA1097" s="110" t="s">
        <v>537</v>
      </c>
      <c r="AB1097" s="110" t="s">
        <v>244</v>
      </c>
      <c r="AC1097" s="110" t="s">
        <v>538</v>
      </c>
      <c r="AD1097" s="110" t="n">
        <f aca="false">IF(OR(F1097="",Q1097="",R1097=""),"",ROUND(IF(P1097="incl.",F1097/(1+Q1097),F1097)/IF(S1097="per pack",R1097,1),2))</f>
        <v>10</v>
      </c>
      <c r="AE1097" s="110" t="str">
        <f aca="false">IF(AND(AC1097="yes",ISNUMBER(F1097),IF(Compare!$H$5="All mapped",TRUE(),IF(Compare!$H$5="EXACT only",J1097="EXACT",OR(J1097="EXACT",J1097="CLOSE")))),"yes","no")</f>
        <v>yes</v>
      </c>
      <c r="AF1097" s="110" t="n">
        <f aca="false">IF(ISNUMBER(H1097),COUNTIFS($B$7:$B$3000,B1097,$C$7:$C$3000,C1097,$H$7:$H$3000,"&lt;"&amp;H1097,$AH$7:$AH$3000,"yes")+COUNTIFS($B$7:B1097,B1097,$C$7:C1097,C1097,$H$7:H1097,H1097,$AH$7:AH1097,"yes"),"")</f>
        <v>3</v>
      </c>
      <c r="AG1097" s="110" t="n">
        <f aca="false">IF(ISNUMBER(I1097),COUNTIFS($B$7:$B$3000,B1097,$C$7:$C$3000,C1097,$I$7:$I$3000,"&lt;"&amp;I1097,$AI$7:$AI$3000,"yes")+COUNTIFS($B$7:B1097,B1097,$C$7:C1097,C1097,$I$7:I1097,I1097,$AI$7:AI1097,"yes"),"")</f>
        <v>3</v>
      </c>
      <c r="AH1097" s="110" t="str">
        <f aca="false">IF(ISNUMBER(H1097),"yes","no")</f>
        <v>yes</v>
      </c>
      <c r="AI1097" s="110" t="str">
        <f aca="false">IF(ISNUMBER(I1097),"yes","no")</f>
        <v>yes</v>
      </c>
      <c r="AJ1097" s="120" t="n">
        <v>46297</v>
      </c>
      <c r="AK1097" s="110"/>
    </row>
    <row r="1098" customFormat="false" ht="23.85" hidden="false" customHeight="false" outlineLevel="0" collapsed="false">
      <c r="B1098" s="36" t="s">
        <v>73</v>
      </c>
      <c r="C1098" s="98" t="s">
        <v>18</v>
      </c>
      <c r="D1098" s="98" t="s">
        <v>3007</v>
      </c>
      <c r="E1098" s="110" t="s">
        <v>3588</v>
      </c>
      <c r="F1098" s="99" t="n">
        <v>8.44</v>
      </c>
      <c r="G1098" s="98" t="s">
        <v>244</v>
      </c>
      <c r="H1098" s="112" t="n">
        <f aca="false">IF(AND(AE1098="yes",ISNUMBER(AD1098)),AD1098,"")</f>
        <v>8.44</v>
      </c>
      <c r="I1098" s="95" t="n">
        <f aca="false">IF(AND(AE1098="yes",ISNUMBER(AD1098),ISNUMBER(INDEX(Sources!$G$7:$G$10,MATCH(AB1098,Sources!$B$7:$B$10,0)))),ROUND(AD1098/INDEX(Sources!$G$7:$G$10,MATCH(AB1098,Sources!$B$7:$B$10,0)),6),"")</f>
        <v>8.44</v>
      </c>
      <c r="J1098" s="98" t="s">
        <v>530</v>
      </c>
      <c r="K1098" s="98" t="s">
        <v>2059</v>
      </c>
      <c r="L1098" s="96"/>
      <c r="M1098" s="110" t="s">
        <v>3589</v>
      </c>
      <c r="N1098" s="117" t="s">
        <v>3010</v>
      </c>
      <c r="O1098" s="110" t="s">
        <v>3011</v>
      </c>
      <c r="P1098" s="110" t="s">
        <v>590</v>
      </c>
      <c r="Q1098" s="118" t="n">
        <v>0.23</v>
      </c>
      <c r="R1098" s="110" t="n">
        <v>1</v>
      </c>
      <c r="S1098" s="110" t="s">
        <v>632</v>
      </c>
      <c r="T1098" s="110" t="s">
        <v>530</v>
      </c>
      <c r="U1098" s="110" t="s">
        <v>2913</v>
      </c>
      <c r="V1098" s="119" t="n">
        <v>8.44</v>
      </c>
      <c r="W1098" s="119"/>
      <c r="X1098" s="110" t="s">
        <v>2063</v>
      </c>
      <c r="Y1098" s="110" t="s">
        <v>2064</v>
      </c>
      <c r="Z1098" s="110" t="s">
        <v>3012</v>
      </c>
      <c r="AA1098" s="110" t="s">
        <v>537</v>
      </c>
      <c r="AB1098" s="110" t="s">
        <v>244</v>
      </c>
      <c r="AC1098" s="110" t="s">
        <v>538</v>
      </c>
      <c r="AD1098" s="110" t="n">
        <f aca="false">IF(OR(F1098="",Q1098="",R1098=""),"",ROUND(IF(P1098="incl.",F1098/(1+Q1098),F1098)/IF(S1098="per pack",R1098,1),2))</f>
        <v>8.44</v>
      </c>
      <c r="AE1098" s="110" t="str">
        <f aca="false">IF(AND(AC1098="yes",ISNUMBER(F1098),IF(Compare!$H$5="All mapped",TRUE(),IF(Compare!$H$5="EXACT only",J1098="EXACT",OR(J1098="EXACT",J1098="CLOSE")))),"yes","no")</f>
        <v>yes</v>
      </c>
      <c r="AF1098" s="110" t="n">
        <f aca="false">IF(ISNUMBER(H1098),COUNTIFS($B$7:$B$3000,B1098,$C$7:$C$3000,C1098,$H$7:$H$3000,"&lt;"&amp;H1098,$AH$7:$AH$3000,"yes")+COUNTIFS($B$7:B1098,B1098,$C$7:C1098,C1098,$H$7:H1098,H1098,$AH$7:AH1098,"yes"),"")</f>
        <v>2</v>
      </c>
      <c r="AG1098" s="110" t="n">
        <f aca="false">IF(ISNUMBER(I1098),COUNTIFS($B$7:$B$3000,B1098,$C$7:$C$3000,C1098,$I$7:$I$3000,"&lt;"&amp;I1098,$AI$7:$AI$3000,"yes")+COUNTIFS($B$7:B1098,B1098,$C$7:C1098,C1098,$I$7:I1098,I1098,$AI$7:AI1098,"yes"),"")</f>
        <v>2</v>
      </c>
      <c r="AH1098" s="110" t="str">
        <f aca="false">IF(ISNUMBER(H1098),"yes","no")</f>
        <v>yes</v>
      </c>
      <c r="AI1098" s="110" t="str">
        <f aca="false">IF(ISNUMBER(I1098),"yes","no")</f>
        <v>yes</v>
      </c>
      <c r="AJ1098" s="120" t="n">
        <v>46297</v>
      </c>
      <c r="AK1098" s="110"/>
    </row>
    <row r="1099" customFormat="false" ht="35.05" hidden="false" customHeight="false" outlineLevel="0" collapsed="false">
      <c r="B1099" s="36" t="s">
        <v>73</v>
      </c>
      <c r="C1099" s="98" t="s">
        <v>18</v>
      </c>
      <c r="D1099" s="98" t="s">
        <v>365</v>
      </c>
      <c r="E1099" s="110" t="s">
        <v>3575</v>
      </c>
      <c r="F1099" s="99" t="n">
        <v>8.81</v>
      </c>
      <c r="G1099" s="98" t="s">
        <v>244</v>
      </c>
      <c r="H1099" s="112" t="n">
        <f aca="false">IF(AND(AE1099="yes",ISNUMBER(AD1099)),AD1099,"")</f>
        <v>7.16</v>
      </c>
      <c r="I1099" s="95" t="n">
        <f aca="false">IF(AND(AE1099="yes",ISNUMBER(AD1099),ISNUMBER(INDEX(Sources!$G$7:$G$10,MATCH(AB1099,Sources!$B$7:$B$10,0)))),ROUND(AD1099/INDEX(Sources!$G$7:$G$10,MATCH(AB1099,Sources!$B$7:$B$10,0)),6),"")</f>
        <v>7.16</v>
      </c>
      <c r="J1099" s="98" t="s">
        <v>530</v>
      </c>
      <c r="K1099" s="98" t="s">
        <v>2059</v>
      </c>
      <c r="L1099" s="96"/>
      <c r="M1099" s="110" t="s">
        <v>3590</v>
      </c>
      <c r="N1099" s="117" t="s">
        <v>3591</v>
      </c>
      <c r="O1099" s="110" t="s">
        <v>3015</v>
      </c>
      <c r="P1099" s="110" t="s">
        <v>265</v>
      </c>
      <c r="Q1099" s="118" t="n">
        <v>0.23</v>
      </c>
      <c r="R1099" s="110" t="n">
        <v>1</v>
      </c>
      <c r="S1099" s="110" t="s">
        <v>632</v>
      </c>
      <c r="T1099" s="110" t="s">
        <v>530</v>
      </c>
      <c r="U1099" s="110" t="s">
        <v>2918</v>
      </c>
      <c r="V1099" s="119" t="n">
        <v>7.16</v>
      </c>
      <c r="W1099" s="119"/>
      <c r="X1099" s="110" t="s">
        <v>2063</v>
      </c>
      <c r="Y1099" s="110" t="s">
        <v>2064</v>
      </c>
      <c r="Z1099" s="110" t="s">
        <v>3016</v>
      </c>
      <c r="AA1099" s="110" t="s">
        <v>537</v>
      </c>
      <c r="AB1099" s="110" t="s">
        <v>244</v>
      </c>
      <c r="AC1099" s="110" t="s">
        <v>538</v>
      </c>
      <c r="AD1099" s="110" t="n">
        <f aca="false">IF(OR(F1099="",Q1099="",R1099=""),"",ROUND(IF(P1099="incl.",F1099/(1+Q1099),F1099)/IF(S1099="per pack",R1099,1),2))</f>
        <v>7.16</v>
      </c>
      <c r="AE1099" s="110" t="str">
        <f aca="false">IF(AND(AC1099="yes",ISNUMBER(F1099),IF(Compare!$H$5="All mapped",TRUE(),IF(Compare!$H$5="EXACT only",J1099="EXACT",OR(J1099="EXACT",J1099="CLOSE")))),"yes","no")</f>
        <v>yes</v>
      </c>
      <c r="AF1099" s="110" t="n">
        <f aca="false">IF(ISNUMBER(H1099),COUNTIFS($B$7:$B$3000,B1099,$C$7:$C$3000,C1099,$H$7:$H$3000,"&lt;"&amp;H1099,$AH$7:$AH$3000,"yes")+COUNTIFS($B$7:B1099,B1099,$C$7:C1099,C1099,$H$7:H1099,H1099,$AH$7:AH1099,"yes"),"")</f>
        <v>1</v>
      </c>
      <c r="AG1099" s="110" t="n">
        <f aca="false">IF(ISNUMBER(I1099),COUNTIFS($B$7:$B$3000,B1099,$C$7:$C$3000,C1099,$I$7:$I$3000,"&lt;"&amp;I1099,$AI$7:$AI$3000,"yes")+COUNTIFS($B$7:B1099,B1099,$C$7:C1099,C1099,$I$7:I1099,I1099,$AI$7:AI1099,"yes"),"")</f>
        <v>1</v>
      </c>
      <c r="AH1099" s="110" t="str">
        <f aca="false">IF(ISNUMBER(H1099),"yes","no")</f>
        <v>yes</v>
      </c>
      <c r="AI1099" s="110" t="str">
        <f aca="false">IF(ISNUMBER(I1099),"yes","no")</f>
        <v>yes</v>
      </c>
      <c r="AJ1099" s="120" t="n">
        <v>46297</v>
      </c>
      <c r="AK1099" s="110"/>
    </row>
    <row r="1100" customFormat="false" ht="35.05" hidden="false" customHeight="false" outlineLevel="0" collapsed="false">
      <c r="B1100" s="36" t="s">
        <v>73</v>
      </c>
      <c r="C1100" s="98" t="s">
        <v>18</v>
      </c>
      <c r="D1100" s="98" t="s">
        <v>369</v>
      </c>
      <c r="E1100" s="110" t="s">
        <v>3592</v>
      </c>
      <c r="F1100" s="99" t="n">
        <v>21.91</v>
      </c>
      <c r="G1100" s="98" t="s">
        <v>244</v>
      </c>
      <c r="H1100" s="112" t="n">
        <f aca="false">IF(AND(AE1100="yes",ISNUMBER(AD1100)),AD1100,"")</f>
        <v>17.81</v>
      </c>
      <c r="I1100" s="95" t="n">
        <f aca="false">IF(AND(AE1100="yes",ISNUMBER(AD1100),ISNUMBER(INDEX(Sources!$G$7:$G$10,MATCH(AB1100,Sources!$B$7:$B$10,0)))),ROUND(AD1100/INDEX(Sources!$G$7:$G$10,MATCH(AB1100,Sources!$B$7:$B$10,0)),6),"")</f>
        <v>17.81</v>
      </c>
      <c r="J1100" s="98" t="s">
        <v>530</v>
      </c>
      <c r="K1100" s="98" t="s">
        <v>2059</v>
      </c>
      <c r="L1100" s="96"/>
      <c r="M1100" s="110" t="s">
        <v>3593</v>
      </c>
      <c r="N1100" s="117" t="s">
        <v>3594</v>
      </c>
      <c r="O1100" s="110" t="s">
        <v>783</v>
      </c>
      <c r="P1100" s="110" t="s">
        <v>265</v>
      </c>
      <c r="Q1100" s="118" t="n">
        <v>0.23</v>
      </c>
      <c r="R1100" s="110" t="n">
        <v>1</v>
      </c>
      <c r="S1100" s="110" t="s">
        <v>632</v>
      </c>
      <c r="T1100" s="110" t="s">
        <v>530</v>
      </c>
      <c r="U1100" s="110" t="s">
        <v>2918</v>
      </c>
      <c r="V1100" s="119" t="n">
        <v>17.81</v>
      </c>
      <c r="W1100" s="119"/>
      <c r="X1100" s="110" t="s">
        <v>2063</v>
      </c>
      <c r="Y1100" s="110" t="s">
        <v>2064</v>
      </c>
      <c r="Z1100" s="110" t="s">
        <v>3354</v>
      </c>
      <c r="AA1100" s="110" t="s">
        <v>537</v>
      </c>
      <c r="AB1100" s="110" t="s">
        <v>244</v>
      </c>
      <c r="AC1100" s="110" t="s">
        <v>538</v>
      </c>
      <c r="AD1100" s="110" t="n">
        <f aca="false">IF(OR(F1100="",Q1100="",R1100=""),"",ROUND(IF(P1100="incl.",F1100/(1+Q1100),F1100)/IF(S1100="per pack",R1100,1),2))</f>
        <v>17.81</v>
      </c>
      <c r="AE1100" s="110" t="str">
        <f aca="false">IF(AND(AC1100="yes",ISNUMBER(F1100),IF(Compare!$H$5="All mapped",TRUE(),IF(Compare!$H$5="EXACT only",J1100="EXACT",OR(J1100="EXACT",J1100="CLOSE")))),"yes","no")</f>
        <v>yes</v>
      </c>
      <c r="AF1100" s="110" t="n">
        <f aca="false">IF(ISNUMBER(H1100),COUNTIFS($B$7:$B$3000,B1100,$C$7:$C$3000,C1100,$H$7:$H$3000,"&lt;"&amp;H1100,$AH$7:$AH$3000,"yes")+COUNTIFS($B$7:B1100,B1100,$C$7:C1100,C1100,$H$7:H1100,H1100,$AH$7:AH1100,"yes"),"")</f>
        <v>5</v>
      </c>
      <c r="AG1100" s="110" t="n">
        <f aca="false">IF(ISNUMBER(I1100),COUNTIFS($B$7:$B$3000,B1100,$C$7:$C$3000,C1100,$I$7:$I$3000,"&lt;"&amp;I1100,$AI$7:$AI$3000,"yes")+COUNTIFS($B$7:B1100,B1100,$C$7:C1100,C1100,$I$7:I1100,I1100,$AI$7:AI1100,"yes"),"")</f>
        <v>5</v>
      </c>
      <c r="AH1100" s="110" t="str">
        <f aca="false">IF(ISNUMBER(H1100),"yes","no")</f>
        <v>yes</v>
      </c>
      <c r="AI1100" s="110" t="str">
        <f aca="false">IF(ISNUMBER(I1100),"yes","no")</f>
        <v>yes</v>
      </c>
      <c r="AJ1100" s="120" t="n">
        <v>46297</v>
      </c>
      <c r="AK1100" s="110"/>
    </row>
    <row r="1101" customFormat="false" ht="35.05" hidden="false" customHeight="false" outlineLevel="0" collapsed="false">
      <c r="B1101" s="36" t="s">
        <v>73</v>
      </c>
      <c r="C1101" s="98" t="s">
        <v>18</v>
      </c>
      <c r="D1101" s="98" t="s">
        <v>3021</v>
      </c>
      <c r="E1101" s="110" t="s">
        <v>3578</v>
      </c>
      <c r="F1101" s="99" t="n">
        <v>10.35</v>
      </c>
      <c r="G1101" s="98" t="s">
        <v>244</v>
      </c>
      <c r="H1101" s="112" t="n">
        <f aca="false">IF(AND(AE1101="yes",ISNUMBER(AD1101)),AD1101,"")</f>
        <v>10.35</v>
      </c>
      <c r="I1101" s="95" t="n">
        <f aca="false">IF(AND(AE1101="yes",ISNUMBER(AD1101),ISNUMBER(INDEX(Sources!$G$7:$G$10,MATCH(AB1101,Sources!$B$7:$B$10,0)))),ROUND(AD1101/INDEX(Sources!$G$7:$G$10,MATCH(AB1101,Sources!$B$7:$B$10,0)),6),"")</f>
        <v>10.35</v>
      </c>
      <c r="J1101" s="98" t="s">
        <v>530</v>
      </c>
      <c r="K1101" s="98" t="s">
        <v>2059</v>
      </c>
      <c r="L1101" s="96"/>
      <c r="M1101" s="110" t="s">
        <v>3595</v>
      </c>
      <c r="N1101" s="117" t="s">
        <v>3023</v>
      </c>
      <c r="O1101" s="110" t="s">
        <v>3024</v>
      </c>
      <c r="P1101" s="110" t="s">
        <v>590</v>
      </c>
      <c r="Q1101" s="118" t="n">
        <v>0.23</v>
      </c>
      <c r="R1101" s="110" t="n">
        <v>1</v>
      </c>
      <c r="S1101" s="110" t="s">
        <v>632</v>
      </c>
      <c r="T1101" s="110" t="s">
        <v>530</v>
      </c>
      <c r="U1101" s="110" t="s">
        <v>2913</v>
      </c>
      <c r="V1101" s="119" t="n">
        <v>10.35</v>
      </c>
      <c r="W1101" s="119"/>
      <c r="X1101" s="110" t="s">
        <v>2063</v>
      </c>
      <c r="Y1101" s="110" t="s">
        <v>2064</v>
      </c>
      <c r="Z1101" s="110" t="s">
        <v>3025</v>
      </c>
      <c r="AA1101" s="110" t="s">
        <v>537</v>
      </c>
      <c r="AB1101" s="110" t="s">
        <v>244</v>
      </c>
      <c r="AC1101" s="110" t="s">
        <v>538</v>
      </c>
      <c r="AD1101" s="110" t="n">
        <f aca="false">IF(OR(F1101="",Q1101="",R1101=""),"",ROUND(IF(P1101="incl.",F1101/(1+Q1101),F1101)/IF(S1101="per pack",R1101,1),2))</f>
        <v>10.35</v>
      </c>
      <c r="AE1101" s="110" t="str">
        <f aca="false">IF(AND(AC1101="yes",ISNUMBER(F1101),IF(Compare!$H$5="All mapped",TRUE(),IF(Compare!$H$5="EXACT only",J1101="EXACT",OR(J1101="EXACT",J1101="CLOSE")))),"yes","no")</f>
        <v>yes</v>
      </c>
      <c r="AF1101" s="110" t="n">
        <f aca="false">IF(ISNUMBER(H1101),COUNTIFS($B$7:$B$3000,B1101,$C$7:$C$3000,C1101,$H$7:$H$3000,"&lt;"&amp;H1101,$AH$7:$AH$3000,"yes")+COUNTIFS($B$7:B1101,B1101,$C$7:C1101,C1101,$H$7:H1101,H1101,$AH$7:AH1101,"yes"),"")</f>
        <v>4</v>
      </c>
      <c r="AG1101" s="110" t="n">
        <f aca="false">IF(ISNUMBER(I1101),COUNTIFS($B$7:$B$3000,B1101,$C$7:$C$3000,C1101,$I$7:$I$3000,"&lt;"&amp;I1101,$AI$7:$AI$3000,"yes")+COUNTIFS($B$7:B1101,B1101,$C$7:C1101,C1101,$I$7:I1101,I1101,$AI$7:AI1101,"yes"),"")</f>
        <v>4</v>
      </c>
      <c r="AH1101" s="110" t="str">
        <f aca="false">IF(ISNUMBER(H1101),"yes","no")</f>
        <v>yes</v>
      </c>
      <c r="AI1101" s="110" t="str">
        <f aca="false">IF(ISNUMBER(I1101),"yes","no")</f>
        <v>yes</v>
      </c>
      <c r="AJ1101" s="120" t="n">
        <v>46297</v>
      </c>
      <c r="AK1101" s="110"/>
    </row>
    <row r="1102" customFormat="false" ht="23.85" hidden="false" customHeight="false" outlineLevel="0" collapsed="false">
      <c r="B1102" s="36" t="s">
        <v>74</v>
      </c>
      <c r="C1102" s="98" t="s">
        <v>14</v>
      </c>
      <c r="D1102" s="98" t="s">
        <v>373</v>
      </c>
      <c r="E1102" s="110" t="s">
        <v>3596</v>
      </c>
      <c r="F1102" s="99" t="n">
        <v>20.77</v>
      </c>
      <c r="G1102" s="98" t="s">
        <v>374</v>
      </c>
      <c r="H1102" s="112" t="n">
        <f aca="false">IF(AND(AE1102="yes",ISNUMBER(AD1102)),AD1102,"")</f>
        <v>20.77</v>
      </c>
      <c r="I1102" s="95" t="n">
        <f aca="false">IF(AND(AE1102="yes",ISNUMBER(AD1102),ISNUMBER(INDEX(Sources!$G$7:$G$10,MATCH(AB1102,Sources!$B$7:$B$10,0)))),ROUND(AD1102/INDEX(Sources!$G$7:$G$10,MATCH(AB1102,Sources!$B$7:$B$10,0)),6),"")</f>
        <v>3.93547</v>
      </c>
      <c r="J1102" s="98" t="s">
        <v>530</v>
      </c>
      <c r="K1102" s="98" t="s">
        <v>2059</v>
      </c>
      <c r="L1102" s="96"/>
      <c r="M1102" s="110" t="s">
        <v>3597</v>
      </c>
      <c r="N1102" s="117" t="s">
        <v>3598</v>
      </c>
      <c r="O1102" s="110" t="s">
        <v>3029</v>
      </c>
      <c r="P1102" s="110" t="s">
        <v>590</v>
      </c>
      <c r="Q1102" s="118" t="n">
        <v>0.21</v>
      </c>
      <c r="R1102" s="110" t="n">
        <v>1</v>
      </c>
      <c r="S1102" s="110" t="s">
        <v>632</v>
      </c>
      <c r="T1102" s="110" t="s">
        <v>530</v>
      </c>
      <c r="U1102" s="110" t="s">
        <v>2913</v>
      </c>
      <c r="V1102" s="119" t="n">
        <v>20.77</v>
      </c>
      <c r="W1102" s="119"/>
      <c r="X1102" s="110" t="s">
        <v>2063</v>
      </c>
      <c r="Y1102" s="110" t="s">
        <v>2064</v>
      </c>
      <c r="Z1102" s="110"/>
      <c r="AA1102" s="110" t="s">
        <v>537</v>
      </c>
      <c r="AB1102" s="110" t="s">
        <v>374</v>
      </c>
      <c r="AC1102" s="110" t="s">
        <v>538</v>
      </c>
      <c r="AD1102" s="110" t="n">
        <f aca="false">IF(OR(F1102="",Q1102="",R1102=""),"",ROUND(IF(P1102="incl.",F1102/(1+Q1102),F1102)/IF(S1102="per pack",R1102,1),2))</f>
        <v>20.77</v>
      </c>
      <c r="AE1102" s="110" t="str">
        <f aca="false">IF(AND(AC1102="yes",ISNUMBER(F1102),IF(Compare!$H$5="All mapped",TRUE(),IF(Compare!$H$5="EXACT only",J1102="EXACT",OR(J1102="EXACT",J1102="CLOSE")))),"yes","no")</f>
        <v>yes</v>
      </c>
      <c r="AF1102" s="110" t="n">
        <f aca="false">IF(ISNUMBER(H1102),COUNTIFS($B$7:$B$3000,B1102,$C$7:$C$3000,C1102,$H$7:$H$3000,"&lt;"&amp;H1102,$AH$7:$AH$3000,"yes")+COUNTIFS($B$7:B1102,B1102,$C$7:C1102,C1102,$H$7:H1102,H1102,$AH$7:AH1102,"yes"),"")</f>
        <v>4</v>
      </c>
      <c r="AG1102" s="110" t="n">
        <f aca="false">IF(ISNUMBER(I1102),COUNTIFS($B$7:$B$3000,B1102,$C$7:$C$3000,C1102,$I$7:$I$3000,"&lt;"&amp;I1102,$AI$7:$AI$3000,"yes")+COUNTIFS($B$7:B1102,B1102,$C$7:C1102,C1102,$I$7:I1102,I1102,$AI$7:AI1102,"yes"),"")</f>
        <v>4</v>
      </c>
      <c r="AH1102" s="110" t="str">
        <f aca="false">IF(ISNUMBER(H1102),"yes","no")</f>
        <v>yes</v>
      </c>
      <c r="AI1102" s="110" t="str">
        <f aca="false">IF(ISNUMBER(I1102),"yes","no")</f>
        <v>yes</v>
      </c>
      <c r="AJ1102" s="120" t="n">
        <v>46297</v>
      </c>
      <c r="AK1102" s="110"/>
    </row>
    <row r="1103" customFormat="false" ht="23.85" hidden="false" customHeight="false" outlineLevel="0" collapsed="false">
      <c r="B1103" s="36" t="s">
        <v>74</v>
      </c>
      <c r="C1103" s="98" t="s">
        <v>14</v>
      </c>
      <c r="D1103" s="98" t="s">
        <v>378</v>
      </c>
      <c r="E1103" s="110" t="s">
        <v>3599</v>
      </c>
      <c r="F1103" s="99" t="n">
        <v>24.7</v>
      </c>
      <c r="G1103" s="98" t="s">
        <v>374</v>
      </c>
      <c r="H1103" s="112" t="n">
        <f aca="false">IF(AND(AE1103="yes",ISNUMBER(AD1103)),AD1103,"")</f>
        <v>20.41</v>
      </c>
      <c r="I1103" s="95" t="n">
        <f aca="false">IF(AND(AE1103="yes",ISNUMBER(AD1103),ISNUMBER(INDEX(Sources!$G$7:$G$10,MATCH(AB1103,Sources!$B$7:$B$10,0)))),ROUND(AD1103/INDEX(Sources!$G$7:$G$10,MATCH(AB1103,Sources!$B$7:$B$10,0)),6),"")</f>
        <v>3.867258</v>
      </c>
      <c r="J1103" s="98" t="s">
        <v>530</v>
      </c>
      <c r="K1103" s="98" t="s">
        <v>2059</v>
      </c>
      <c r="L1103" s="96"/>
      <c r="M1103" s="110" t="s">
        <v>3600</v>
      </c>
      <c r="N1103" s="117" t="s">
        <v>3601</v>
      </c>
      <c r="O1103" s="110" t="s">
        <v>2917</v>
      </c>
      <c r="P1103" s="110" t="s">
        <v>265</v>
      </c>
      <c r="Q1103" s="118" t="n">
        <v>0.21</v>
      </c>
      <c r="R1103" s="110" t="n">
        <v>1</v>
      </c>
      <c r="S1103" s="110" t="s">
        <v>632</v>
      </c>
      <c r="T1103" s="110" t="s">
        <v>530</v>
      </c>
      <c r="U1103" s="110" t="s">
        <v>2918</v>
      </c>
      <c r="V1103" s="119" t="n">
        <v>20.41</v>
      </c>
      <c r="W1103" s="119"/>
      <c r="X1103" s="110" t="s">
        <v>2063</v>
      </c>
      <c r="Y1103" s="110" t="s">
        <v>2064</v>
      </c>
      <c r="Z1103" s="110"/>
      <c r="AA1103" s="110" t="s">
        <v>537</v>
      </c>
      <c r="AB1103" s="110" t="s">
        <v>374</v>
      </c>
      <c r="AC1103" s="110" t="s">
        <v>538</v>
      </c>
      <c r="AD1103" s="110" t="n">
        <f aca="false">IF(OR(F1103="",Q1103="",R1103=""),"",ROUND(IF(P1103="incl.",F1103/(1+Q1103),F1103)/IF(S1103="per pack",R1103,1),2))</f>
        <v>20.41</v>
      </c>
      <c r="AE1103" s="110" t="str">
        <f aca="false">IF(AND(AC1103="yes",ISNUMBER(F1103),IF(Compare!$H$5="All mapped",TRUE(),IF(Compare!$H$5="EXACT only",J1103="EXACT",OR(J1103="EXACT",J1103="CLOSE")))),"yes","no")</f>
        <v>yes</v>
      </c>
      <c r="AF1103" s="110" t="n">
        <f aca="false">IF(ISNUMBER(H1103),COUNTIFS($B$7:$B$3000,B1103,$C$7:$C$3000,C1103,$H$7:$H$3000,"&lt;"&amp;H1103,$AH$7:$AH$3000,"yes")+COUNTIFS($B$7:B1103,B1103,$C$7:C1103,C1103,$H$7:H1103,H1103,$AH$7:AH1103,"yes"),"")</f>
        <v>3</v>
      </c>
      <c r="AG1103" s="110" t="n">
        <f aca="false">IF(ISNUMBER(I1103),COUNTIFS($B$7:$B$3000,B1103,$C$7:$C$3000,C1103,$I$7:$I$3000,"&lt;"&amp;I1103,$AI$7:$AI$3000,"yes")+COUNTIFS($B$7:B1103,B1103,$C$7:C1103,C1103,$I$7:I1103,I1103,$AI$7:AI1103,"yes"),"")</f>
        <v>3</v>
      </c>
      <c r="AH1103" s="110" t="str">
        <f aca="false">IF(ISNUMBER(H1103),"yes","no")</f>
        <v>yes</v>
      </c>
      <c r="AI1103" s="110" t="str">
        <f aca="false">IF(ISNUMBER(I1103),"yes","no")</f>
        <v>yes</v>
      </c>
      <c r="AJ1103" s="120" t="n">
        <v>46297</v>
      </c>
      <c r="AK1103" s="110"/>
    </row>
    <row r="1104" customFormat="false" ht="35.05" hidden="false" customHeight="false" outlineLevel="0" collapsed="false">
      <c r="B1104" s="36" t="s">
        <v>74</v>
      </c>
      <c r="C1104" s="98" t="s">
        <v>14</v>
      </c>
      <c r="D1104" s="98" t="s">
        <v>346</v>
      </c>
      <c r="E1104" s="110" t="s">
        <v>3602</v>
      </c>
      <c r="F1104" s="99" t="n">
        <v>48.84</v>
      </c>
      <c r="G1104" s="98" t="s">
        <v>374</v>
      </c>
      <c r="H1104" s="112" t="n">
        <f aca="false">IF(AND(AE1104="yes",ISNUMBER(AD1104)),AD1104,"")</f>
        <v>40.36</v>
      </c>
      <c r="I1104" s="95" t="n">
        <f aca="false">IF(AND(AE1104="yes",ISNUMBER(AD1104),ISNUMBER(INDEX(Sources!$G$7:$G$10,MATCH(AB1104,Sources!$B$7:$B$10,0)))),ROUND(AD1104/INDEX(Sources!$G$7:$G$10,MATCH(AB1104,Sources!$B$7:$B$10,0)),6),"")</f>
        <v>7.647355</v>
      </c>
      <c r="J1104" s="98" t="s">
        <v>530</v>
      </c>
      <c r="K1104" s="98" t="s">
        <v>2059</v>
      </c>
      <c r="L1104" s="96"/>
      <c r="M1104" s="110" t="s">
        <v>3603</v>
      </c>
      <c r="N1104" s="117" t="s">
        <v>3604</v>
      </c>
      <c r="O1104" s="110" t="s">
        <v>565</v>
      </c>
      <c r="P1104" s="110" t="s">
        <v>265</v>
      </c>
      <c r="Q1104" s="118" t="n">
        <v>0.21</v>
      </c>
      <c r="R1104" s="110" t="n">
        <v>1</v>
      </c>
      <c r="S1104" s="110" t="s">
        <v>632</v>
      </c>
      <c r="T1104" s="110" t="s">
        <v>530</v>
      </c>
      <c r="U1104" s="110" t="s">
        <v>2918</v>
      </c>
      <c r="V1104" s="119" t="n">
        <v>40.36</v>
      </c>
      <c r="W1104" s="119"/>
      <c r="X1104" s="110" t="s">
        <v>2063</v>
      </c>
      <c r="Y1104" s="110" t="s">
        <v>2064</v>
      </c>
      <c r="Z1104" s="110"/>
      <c r="AA1104" s="110" t="s">
        <v>537</v>
      </c>
      <c r="AB1104" s="110" t="s">
        <v>374</v>
      </c>
      <c r="AC1104" s="110" t="s">
        <v>538</v>
      </c>
      <c r="AD1104" s="110" t="n">
        <f aca="false">IF(OR(F1104="",Q1104="",R1104=""),"",ROUND(IF(P1104="incl.",F1104/(1+Q1104),F1104)/IF(S1104="per pack",R1104,1),2))</f>
        <v>40.36</v>
      </c>
      <c r="AE1104" s="110" t="str">
        <f aca="false">IF(AND(AC1104="yes",ISNUMBER(F1104),IF(Compare!$H$5="All mapped",TRUE(),IF(Compare!$H$5="EXACT only",J1104="EXACT",OR(J1104="EXACT",J1104="CLOSE")))),"yes","no")</f>
        <v>yes</v>
      </c>
      <c r="AF1104" s="110" t="n">
        <f aca="false">IF(ISNUMBER(H1104),COUNTIFS($B$7:$B$3000,B1104,$C$7:$C$3000,C1104,$H$7:$H$3000,"&lt;"&amp;H1104,$AH$7:$AH$3000,"yes")+COUNTIFS($B$7:B1104,B1104,$C$7:C1104,C1104,$H$7:H1104,H1104,$AH$7:AH1104,"yes"),"")</f>
        <v>5</v>
      </c>
      <c r="AG1104" s="110" t="n">
        <f aca="false">IF(ISNUMBER(I1104),COUNTIFS($B$7:$B$3000,B1104,$C$7:$C$3000,C1104,$I$7:$I$3000,"&lt;"&amp;I1104,$AI$7:$AI$3000,"yes")+COUNTIFS($B$7:B1104,B1104,$C$7:C1104,C1104,$I$7:I1104,I1104,$AI$7:AI1104,"yes"),"")</f>
        <v>5</v>
      </c>
      <c r="AH1104" s="110" t="str">
        <f aca="false">IF(ISNUMBER(H1104),"yes","no")</f>
        <v>yes</v>
      </c>
      <c r="AI1104" s="110" t="str">
        <f aca="false">IF(ISNUMBER(I1104),"yes","no")</f>
        <v>yes</v>
      </c>
      <c r="AJ1104" s="120" t="n">
        <v>46297</v>
      </c>
      <c r="AK1104" s="110"/>
    </row>
    <row r="1105" customFormat="false" ht="35.05" hidden="false" customHeight="false" outlineLevel="0" collapsed="false">
      <c r="B1105" s="36" t="s">
        <v>74</v>
      </c>
      <c r="C1105" s="98" t="s">
        <v>14</v>
      </c>
      <c r="D1105" s="98" t="s">
        <v>395</v>
      </c>
      <c r="E1105" s="110" t="s">
        <v>3605</v>
      </c>
      <c r="F1105" s="99" t="n">
        <v>1.9</v>
      </c>
      <c r="G1105" s="98" t="s">
        <v>244</v>
      </c>
      <c r="H1105" s="112" t="n">
        <f aca="false">IF(AND(AE1105="yes",ISNUMBER(AD1105)),AD1105,"")</f>
        <v>1.9</v>
      </c>
      <c r="I1105" s="95" t="n">
        <f aca="false">IF(AND(AE1105="yes",ISNUMBER(AD1105),ISNUMBER(INDEX(Sources!$G$7:$G$10,MATCH(AB1105,Sources!$B$7:$B$10,0)))),ROUND(AD1105/INDEX(Sources!$G$7:$G$10,MATCH(AB1105,Sources!$B$7:$B$10,0)),6),"")</f>
        <v>1.9</v>
      </c>
      <c r="J1105" s="98" t="s">
        <v>530</v>
      </c>
      <c r="K1105" s="98" t="s">
        <v>2059</v>
      </c>
      <c r="L1105" s="96"/>
      <c r="M1105" s="110" t="s">
        <v>3606</v>
      </c>
      <c r="N1105" s="117" t="s">
        <v>3607</v>
      </c>
      <c r="O1105" s="110" t="s">
        <v>572</v>
      </c>
      <c r="P1105" s="110" t="s">
        <v>590</v>
      </c>
      <c r="Q1105" s="118" t="n">
        <v>0.21</v>
      </c>
      <c r="R1105" s="110" t="n">
        <v>1</v>
      </c>
      <c r="S1105" s="110" t="s">
        <v>632</v>
      </c>
      <c r="T1105" s="110" t="s">
        <v>530</v>
      </c>
      <c r="U1105" s="110" t="s">
        <v>2913</v>
      </c>
      <c r="V1105" s="119" t="n">
        <v>1.9</v>
      </c>
      <c r="W1105" s="119"/>
      <c r="X1105" s="110" t="s">
        <v>2063</v>
      </c>
      <c r="Y1105" s="110" t="s">
        <v>2064</v>
      </c>
      <c r="Z1105" s="110" t="s">
        <v>2925</v>
      </c>
      <c r="AA1105" s="110" t="s">
        <v>537</v>
      </c>
      <c r="AB1105" s="110" t="s">
        <v>244</v>
      </c>
      <c r="AC1105" s="110" t="s">
        <v>538</v>
      </c>
      <c r="AD1105" s="110" t="n">
        <f aca="false">IF(OR(F1105="",Q1105="",R1105=""),"",ROUND(IF(P1105="incl.",F1105/(1+Q1105),F1105)/IF(S1105="per pack",R1105,1),2))</f>
        <v>1.9</v>
      </c>
      <c r="AE1105" s="110" t="str">
        <f aca="false">IF(AND(AC1105="yes",ISNUMBER(F1105),IF(Compare!$H$5="All mapped",TRUE(),IF(Compare!$H$5="EXACT only",J1105="EXACT",OR(J1105="EXACT",J1105="CLOSE")))),"yes","no")</f>
        <v>yes</v>
      </c>
      <c r="AF1105" s="110" t="n">
        <f aca="false">IF(ISNUMBER(H1105),COUNTIFS($B$7:$B$3000,B1105,$C$7:$C$3000,C1105,$H$7:$H$3000,"&lt;"&amp;H1105,$AH$7:$AH$3000,"yes")+COUNTIFS($B$7:B1105,B1105,$C$7:C1105,C1105,$H$7:H1105,H1105,$AH$7:AH1105,"yes"),"")</f>
        <v>1</v>
      </c>
      <c r="AG1105" s="110" t="n">
        <f aca="false">IF(ISNUMBER(I1105),COUNTIFS($B$7:$B$3000,B1105,$C$7:$C$3000,C1105,$I$7:$I$3000,"&lt;"&amp;I1105,$AI$7:$AI$3000,"yes")+COUNTIFS($B$7:B1105,B1105,$C$7:C1105,C1105,$I$7:I1105,I1105,$AI$7:AI1105,"yes"),"")</f>
        <v>1</v>
      </c>
      <c r="AH1105" s="110" t="str">
        <f aca="false">IF(ISNUMBER(H1105),"yes","no")</f>
        <v>yes</v>
      </c>
      <c r="AI1105" s="110" t="str">
        <f aca="false">IF(ISNUMBER(I1105),"yes","no")</f>
        <v>yes</v>
      </c>
      <c r="AJ1105" s="120" t="n">
        <v>46297</v>
      </c>
      <c r="AK1105" s="110"/>
    </row>
    <row r="1106" customFormat="false" ht="23.85" hidden="false" customHeight="false" outlineLevel="0" collapsed="false">
      <c r="B1106" s="36" t="s">
        <v>74</v>
      </c>
      <c r="C1106" s="98" t="s">
        <v>14</v>
      </c>
      <c r="D1106" s="98" t="s">
        <v>403</v>
      </c>
      <c r="E1106" s="110" t="s">
        <v>3608</v>
      </c>
      <c r="F1106" s="99" t="n">
        <v>14.52</v>
      </c>
      <c r="G1106" s="98" t="s">
        <v>374</v>
      </c>
      <c r="H1106" s="112" t="n">
        <f aca="false">IF(AND(AE1106="yes",ISNUMBER(AD1106)),AD1106,"")</f>
        <v>14.52</v>
      </c>
      <c r="I1106" s="95" t="n">
        <f aca="false">IF(AND(AE1106="yes",ISNUMBER(AD1106),ISNUMBER(INDEX(Sources!$G$7:$G$10,MATCH(AB1106,Sources!$B$7:$B$10,0)))),ROUND(AD1106/INDEX(Sources!$G$7:$G$10,MATCH(AB1106,Sources!$B$7:$B$10,0)),6),"")</f>
        <v>2.751229</v>
      </c>
      <c r="J1106" s="98" t="s">
        <v>530</v>
      </c>
      <c r="K1106" s="98" t="s">
        <v>2059</v>
      </c>
      <c r="L1106" s="96"/>
      <c r="M1106" s="110" t="s">
        <v>3609</v>
      </c>
      <c r="N1106" s="117" t="s">
        <v>3610</v>
      </c>
      <c r="O1106" s="110" t="s">
        <v>1138</v>
      </c>
      <c r="P1106" s="110" t="s">
        <v>590</v>
      </c>
      <c r="Q1106" s="118" t="n">
        <v>0.21</v>
      </c>
      <c r="R1106" s="110" t="n">
        <v>1</v>
      </c>
      <c r="S1106" s="110" t="s">
        <v>632</v>
      </c>
      <c r="T1106" s="110" t="s">
        <v>530</v>
      </c>
      <c r="U1106" s="110" t="s">
        <v>2913</v>
      </c>
      <c r="V1106" s="119" t="n">
        <v>14.52</v>
      </c>
      <c r="W1106" s="119"/>
      <c r="X1106" s="110" t="s">
        <v>2063</v>
      </c>
      <c r="Y1106" s="110" t="s">
        <v>2064</v>
      </c>
      <c r="Z1106" s="110"/>
      <c r="AA1106" s="110" t="s">
        <v>537</v>
      </c>
      <c r="AB1106" s="110" t="s">
        <v>374</v>
      </c>
      <c r="AC1106" s="110" t="s">
        <v>538</v>
      </c>
      <c r="AD1106" s="110" t="n">
        <f aca="false">IF(OR(F1106="",Q1106="",R1106=""),"",ROUND(IF(P1106="incl.",F1106/(1+Q1106),F1106)/IF(S1106="per pack",R1106,1),2))</f>
        <v>14.52</v>
      </c>
      <c r="AE1106" s="110" t="str">
        <f aca="false">IF(AND(AC1106="yes",ISNUMBER(F1106),IF(Compare!$H$5="All mapped",TRUE(),IF(Compare!$H$5="EXACT only",J1106="EXACT",OR(J1106="EXACT",J1106="CLOSE")))),"yes","no")</f>
        <v>yes</v>
      </c>
      <c r="AF1106" s="110" t="n">
        <f aca="false">IF(ISNUMBER(H1106),COUNTIFS($B$7:$B$3000,B1106,$C$7:$C$3000,C1106,$H$7:$H$3000,"&lt;"&amp;H1106,$AH$7:$AH$3000,"yes")+COUNTIFS($B$7:B1106,B1106,$C$7:C1106,C1106,$H$7:H1106,H1106,$AH$7:AH1106,"yes"),"")</f>
        <v>2</v>
      </c>
      <c r="AG1106" s="110" t="n">
        <f aca="false">IF(ISNUMBER(I1106),COUNTIFS($B$7:$B$3000,B1106,$C$7:$C$3000,C1106,$I$7:$I$3000,"&lt;"&amp;I1106,$AI$7:$AI$3000,"yes")+COUNTIFS($B$7:B1106,B1106,$C$7:C1106,C1106,$I$7:I1106,I1106,$AI$7:AI1106,"yes"),"")</f>
        <v>2</v>
      </c>
      <c r="AH1106" s="110" t="str">
        <f aca="false">IF(ISNUMBER(H1106),"yes","no")</f>
        <v>yes</v>
      </c>
      <c r="AI1106" s="110" t="str">
        <f aca="false">IF(ISNUMBER(I1106),"yes","no")</f>
        <v>yes</v>
      </c>
      <c r="AJ1106" s="120" t="n">
        <v>46297</v>
      </c>
      <c r="AK1106" s="110"/>
    </row>
    <row r="1107" customFormat="false" ht="35.05" hidden="false" customHeight="false" outlineLevel="0" collapsed="false">
      <c r="B1107" s="36" t="s">
        <v>74</v>
      </c>
      <c r="C1107" s="98" t="s">
        <v>15</v>
      </c>
      <c r="D1107" s="98" t="s">
        <v>243</v>
      </c>
      <c r="E1107" s="110" t="s">
        <v>3611</v>
      </c>
      <c r="F1107" s="99" t="n">
        <v>1.6</v>
      </c>
      <c r="G1107" s="98" t="s">
        <v>244</v>
      </c>
      <c r="H1107" s="112" t="n">
        <f aca="false">IF(AND(AE1107="yes",ISNUMBER(AD1107)),AD1107,"")</f>
        <v>1.6</v>
      </c>
      <c r="I1107" s="95" t="n">
        <f aca="false">IF(AND(AE1107="yes",ISNUMBER(AD1107),ISNUMBER(INDEX(Sources!$G$7:$G$10,MATCH(AB1107,Sources!$B$7:$B$10,0)))),ROUND(AD1107/INDEX(Sources!$G$7:$G$10,MATCH(AB1107,Sources!$B$7:$B$10,0)),6),"")</f>
        <v>1.6</v>
      </c>
      <c r="J1107" s="98" t="s">
        <v>530</v>
      </c>
      <c r="K1107" s="98" t="s">
        <v>2059</v>
      </c>
      <c r="L1107" s="96"/>
      <c r="M1107" s="110" t="s">
        <v>3612</v>
      </c>
      <c r="N1107" s="117" t="s">
        <v>3613</v>
      </c>
      <c r="O1107" s="110" t="s">
        <v>2932</v>
      </c>
      <c r="P1107" s="110" t="s">
        <v>590</v>
      </c>
      <c r="Q1107" s="118" t="n">
        <v>0.2</v>
      </c>
      <c r="R1107" s="110" t="n">
        <v>1</v>
      </c>
      <c r="S1107" s="110" t="s">
        <v>632</v>
      </c>
      <c r="T1107" s="110" t="s">
        <v>530</v>
      </c>
      <c r="U1107" s="110" t="s">
        <v>2913</v>
      </c>
      <c r="V1107" s="119" t="n">
        <v>1.6</v>
      </c>
      <c r="W1107" s="119"/>
      <c r="X1107" s="110" t="s">
        <v>2063</v>
      </c>
      <c r="Y1107" s="110" t="s">
        <v>2064</v>
      </c>
      <c r="Z1107" s="110" t="s">
        <v>3614</v>
      </c>
      <c r="AA1107" s="110" t="s">
        <v>537</v>
      </c>
      <c r="AB1107" s="110" t="s">
        <v>244</v>
      </c>
      <c r="AC1107" s="110" t="s">
        <v>538</v>
      </c>
      <c r="AD1107" s="110" t="n">
        <f aca="false">IF(OR(F1107="",Q1107="",R1107=""),"",ROUND(IF(P1107="incl.",F1107/(1+Q1107),F1107)/IF(S1107="per pack",R1107,1),2))</f>
        <v>1.6</v>
      </c>
      <c r="AE1107" s="110" t="str">
        <f aca="false">IF(AND(AC1107="yes",ISNUMBER(F1107),IF(Compare!$H$5="All mapped",TRUE(),IF(Compare!$H$5="EXACT only",J1107="EXACT",OR(J1107="EXACT",J1107="CLOSE")))),"yes","no")</f>
        <v>yes</v>
      </c>
      <c r="AF1107" s="110" t="n">
        <f aca="false">IF(ISNUMBER(H1107),COUNTIFS($B$7:$B$3000,B1107,$C$7:$C$3000,C1107,$H$7:$H$3000,"&lt;"&amp;H1107,$AH$7:$AH$3000,"yes")+COUNTIFS($B$7:B1107,B1107,$C$7:C1107,C1107,$H$7:H1107,H1107,$AH$7:AH1107,"yes"),"")</f>
        <v>1</v>
      </c>
      <c r="AG1107" s="110" t="n">
        <f aca="false">IF(ISNUMBER(I1107),COUNTIFS($B$7:$B$3000,B1107,$C$7:$C$3000,C1107,$I$7:$I$3000,"&lt;"&amp;I1107,$AI$7:$AI$3000,"yes")+COUNTIFS($B$7:B1107,B1107,$C$7:C1107,C1107,$I$7:I1107,I1107,$AI$7:AI1107,"yes"),"")</f>
        <v>1</v>
      </c>
      <c r="AH1107" s="110" t="str">
        <f aca="false">IF(ISNUMBER(H1107),"yes","no")</f>
        <v>yes</v>
      </c>
      <c r="AI1107" s="110" t="str">
        <f aca="false">IF(ISNUMBER(I1107),"yes","no")</f>
        <v>yes</v>
      </c>
      <c r="AJ1107" s="120" t="n">
        <v>46297</v>
      </c>
      <c r="AK1107" s="110"/>
    </row>
    <row r="1108" customFormat="false" ht="35.05" hidden="false" customHeight="false" outlineLevel="0" collapsed="false">
      <c r="B1108" s="36" t="s">
        <v>74</v>
      </c>
      <c r="C1108" s="98" t="s">
        <v>15</v>
      </c>
      <c r="D1108" s="98" t="s">
        <v>257</v>
      </c>
      <c r="E1108" s="110" t="s">
        <v>3615</v>
      </c>
      <c r="F1108" s="99" t="n">
        <v>9</v>
      </c>
      <c r="G1108" s="98" t="s">
        <v>244</v>
      </c>
      <c r="H1108" s="112" t="n">
        <f aca="false">IF(AND(AE1108="yes",ISNUMBER(AD1108)),AD1108,"")</f>
        <v>9</v>
      </c>
      <c r="I1108" s="95" t="n">
        <f aca="false">IF(AND(AE1108="yes",ISNUMBER(AD1108),ISNUMBER(INDEX(Sources!$G$7:$G$10,MATCH(AB1108,Sources!$B$7:$B$10,0)))),ROUND(AD1108/INDEX(Sources!$G$7:$G$10,MATCH(AB1108,Sources!$B$7:$B$10,0)),6),"")</f>
        <v>9</v>
      </c>
      <c r="J1108" s="98" t="s">
        <v>530</v>
      </c>
      <c r="K1108" s="98" t="s">
        <v>2059</v>
      </c>
      <c r="L1108" s="96"/>
      <c r="M1108" s="110" t="s">
        <v>3616</v>
      </c>
      <c r="N1108" s="117" t="s">
        <v>3617</v>
      </c>
      <c r="O1108" s="110" t="s">
        <v>1576</v>
      </c>
      <c r="P1108" s="110" t="s">
        <v>590</v>
      </c>
      <c r="Q1108" s="118" t="n">
        <v>0.2</v>
      </c>
      <c r="R1108" s="110" t="n">
        <v>1</v>
      </c>
      <c r="S1108" s="110" t="s">
        <v>632</v>
      </c>
      <c r="T1108" s="110" t="s">
        <v>530</v>
      </c>
      <c r="U1108" s="110" t="s">
        <v>2913</v>
      </c>
      <c r="V1108" s="119" t="n">
        <v>9</v>
      </c>
      <c r="W1108" s="119"/>
      <c r="X1108" s="110" t="s">
        <v>2063</v>
      </c>
      <c r="Y1108" s="110" t="s">
        <v>2064</v>
      </c>
      <c r="Z1108" s="110" t="s">
        <v>2936</v>
      </c>
      <c r="AA1108" s="110" t="s">
        <v>537</v>
      </c>
      <c r="AB1108" s="110" t="s">
        <v>244</v>
      </c>
      <c r="AC1108" s="110" t="s">
        <v>538</v>
      </c>
      <c r="AD1108" s="110" t="n">
        <f aca="false">IF(OR(F1108="",Q1108="",R1108=""),"",ROUND(IF(P1108="incl.",F1108/(1+Q1108),F1108)/IF(S1108="per pack",R1108,1),2))</f>
        <v>9</v>
      </c>
      <c r="AE1108" s="110" t="str">
        <f aca="false">IF(AND(AC1108="yes",ISNUMBER(F1108),IF(Compare!$H$5="All mapped",TRUE(),IF(Compare!$H$5="EXACT only",J1108="EXACT",OR(J1108="EXACT",J1108="CLOSE")))),"yes","no")</f>
        <v>yes</v>
      </c>
      <c r="AF1108" s="110" t="n">
        <f aca="false">IF(ISNUMBER(H1108),COUNTIFS($B$7:$B$3000,B1108,$C$7:$C$3000,C1108,$H$7:$H$3000,"&lt;"&amp;H1108,$AH$7:$AH$3000,"yes")+COUNTIFS($B$7:B1108,B1108,$C$7:C1108,C1108,$H$7:H1108,H1108,$AH$7:AH1108,"yes"),"")</f>
        <v>6</v>
      </c>
      <c r="AG1108" s="110" t="n">
        <f aca="false">IF(ISNUMBER(I1108),COUNTIFS($B$7:$B$3000,B1108,$C$7:$C$3000,C1108,$I$7:$I$3000,"&lt;"&amp;I1108,$AI$7:$AI$3000,"yes")+COUNTIFS($B$7:B1108,B1108,$C$7:C1108,C1108,$I$7:I1108,I1108,$AI$7:AI1108,"yes"),"")</f>
        <v>6</v>
      </c>
      <c r="AH1108" s="110" t="str">
        <f aca="false">IF(ISNUMBER(H1108),"yes","no")</f>
        <v>yes</v>
      </c>
      <c r="AI1108" s="110" t="str">
        <f aca="false">IF(ISNUMBER(I1108),"yes","no")</f>
        <v>yes</v>
      </c>
      <c r="AJ1108" s="120" t="n">
        <v>46297</v>
      </c>
      <c r="AK1108" s="110"/>
    </row>
    <row r="1109" customFormat="false" ht="23.85" hidden="false" customHeight="false" outlineLevel="0" collapsed="false">
      <c r="B1109" s="36" t="s">
        <v>74</v>
      </c>
      <c r="C1109" s="98" t="s">
        <v>15</v>
      </c>
      <c r="D1109" s="98" t="s">
        <v>269</v>
      </c>
      <c r="E1109" s="110" t="s">
        <v>3618</v>
      </c>
      <c r="F1109" s="99" t="n">
        <v>7.49</v>
      </c>
      <c r="G1109" s="98" t="s">
        <v>244</v>
      </c>
      <c r="H1109" s="112" t="n">
        <f aca="false">IF(AND(AE1109="yes",ISNUMBER(AD1109)),AD1109,"")</f>
        <v>7.49</v>
      </c>
      <c r="I1109" s="95" t="n">
        <f aca="false">IF(AND(AE1109="yes",ISNUMBER(AD1109),ISNUMBER(INDEX(Sources!$G$7:$G$10,MATCH(AB1109,Sources!$B$7:$B$10,0)))),ROUND(AD1109/INDEX(Sources!$G$7:$G$10,MATCH(AB1109,Sources!$B$7:$B$10,0)),6),"")</f>
        <v>7.49</v>
      </c>
      <c r="J1109" s="98" t="s">
        <v>530</v>
      </c>
      <c r="K1109" s="98" t="s">
        <v>2059</v>
      </c>
      <c r="L1109" s="96"/>
      <c r="M1109" s="110" t="s">
        <v>3619</v>
      </c>
      <c r="N1109" s="117" t="s">
        <v>3620</v>
      </c>
      <c r="O1109" s="110" t="s">
        <v>589</v>
      </c>
      <c r="P1109" s="110" t="s">
        <v>590</v>
      </c>
      <c r="Q1109" s="118" t="n">
        <v>0.2</v>
      </c>
      <c r="R1109" s="110" t="n">
        <v>1</v>
      </c>
      <c r="S1109" s="110" t="s">
        <v>632</v>
      </c>
      <c r="T1109" s="110" t="s">
        <v>530</v>
      </c>
      <c r="U1109" s="110" t="s">
        <v>2913</v>
      </c>
      <c r="V1109" s="119" t="n">
        <v>7.49</v>
      </c>
      <c r="W1109" s="119"/>
      <c r="X1109" s="110" t="s">
        <v>2063</v>
      </c>
      <c r="Y1109" s="110" t="s">
        <v>2064</v>
      </c>
      <c r="Z1109" s="110" t="s">
        <v>3216</v>
      </c>
      <c r="AA1109" s="110" t="s">
        <v>537</v>
      </c>
      <c r="AB1109" s="110" t="s">
        <v>244</v>
      </c>
      <c r="AC1109" s="110" t="s">
        <v>538</v>
      </c>
      <c r="AD1109" s="110" t="n">
        <f aca="false">IF(OR(F1109="",Q1109="",R1109=""),"",ROUND(IF(P1109="incl.",F1109/(1+Q1109),F1109)/IF(S1109="per pack",R1109,1),2))</f>
        <v>7.49</v>
      </c>
      <c r="AE1109" s="110" t="str">
        <f aca="false">IF(AND(AC1109="yes",ISNUMBER(F1109),IF(Compare!$H$5="All mapped",TRUE(),IF(Compare!$H$5="EXACT only",J1109="EXACT",OR(J1109="EXACT",J1109="CLOSE")))),"yes","no")</f>
        <v>yes</v>
      </c>
      <c r="AF1109" s="110" t="n">
        <f aca="false">IF(ISNUMBER(H1109),COUNTIFS($B$7:$B$3000,B1109,$C$7:$C$3000,C1109,$H$7:$H$3000,"&lt;"&amp;H1109,$AH$7:$AH$3000,"yes")+COUNTIFS($B$7:B1109,B1109,$C$7:C1109,C1109,$H$7:H1109,H1109,$AH$7:AH1109,"yes"),"")</f>
        <v>5</v>
      </c>
      <c r="AG1109" s="110" t="n">
        <f aca="false">IF(ISNUMBER(I1109),COUNTIFS($B$7:$B$3000,B1109,$C$7:$C$3000,C1109,$I$7:$I$3000,"&lt;"&amp;I1109,$AI$7:$AI$3000,"yes")+COUNTIFS($B$7:B1109,B1109,$C$7:C1109,C1109,$I$7:I1109,I1109,$AI$7:AI1109,"yes"),"")</f>
        <v>5</v>
      </c>
      <c r="AH1109" s="110" t="str">
        <f aca="false">IF(ISNUMBER(H1109),"yes","no")</f>
        <v>yes</v>
      </c>
      <c r="AI1109" s="110" t="str">
        <f aca="false">IF(ISNUMBER(I1109),"yes","no")</f>
        <v>yes</v>
      </c>
      <c r="AJ1109" s="120" t="n">
        <v>46297</v>
      </c>
      <c r="AK1109" s="110"/>
    </row>
    <row r="1110" customFormat="false" ht="23.85" hidden="false" customHeight="false" outlineLevel="0" collapsed="false">
      <c r="B1110" s="36" t="s">
        <v>74</v>
      </c>
      <c r="C1110" s="98" t="s">
        <v>15</v>
      </c>
      <c r="D1110" s="98" t="s">
        <v>264</v>
      </c>
      <c r="E1110" s="110" t="s">
        <v>3621</v>
      </c>
      <c r="F1110" s="99" t="n">
        <v>15.6</v>
      </c>
      <c r="G1110" s="98" t="s">
        <v>244</v>
      </c>
      <c r="H1110" s="112" t="n">
        <f aca="false">IF(AND(AE1110="yes",ISNUMBER(AD1110)),AD1110,"")</f>
        <v>15.6</v>
      </c>
      <c r="I1110" s="95" t="n">
        <f aca="false">IF(AND(AE1110="yes",ISNUMBER(AD1110),ISNUMBER(INDEX(Sources!$G$7:$G$10,MATCH(AB1110,Sources!$B$7:$B$10,0)))),ROUND(AD1110/INDEX(Sources!$G$7:$G$10,MATCH(AB1110,Sources!$B$7:$B$10,0)),6),"")</f>
        <v>15.6</v>
      </c>
      <c r="J1110" s="98" t="s">
        <v>530</v>
      </c>
      <c r="K1110" s="98" t="s">
        <v>2059</v>
      </c>
      <c r="L1110" s="96"/>
      <c r="M1110" s="110" t="s">
        <v>3622</v>
      </c>
      <c r="N1110" s="117" t="s">
        <v>3623</v>
      </c>
      <c r="O1110" s="110" t="s">
        <v>2944</v>
      </c>
      <c r="P1110" s="110" t="s">
        <v>590</v>
      </c>
      <c r="Q1110" s="118" t="n">
        <v>0.2</v>
      </c>
      <c r="R1110" s="110" t="n">
        <v>1</v>
      </c>
      <c r="S1110" s="110" t="s">
        <v>632</v>
      </c>
      <c r="T1110" s="110" t="s">
        <v>530</v>
      </c>
      <c r="U1110" s="110" t="s">
        <v>2913</v>
      </c>
      <c r="V1110" s="119" t="n">
        <v>15.6</v>
      </c>
      <c r="W1110" s="119"/>
      <c r="X1110" s="110" t="s">
        <v>2063</v>
      </c>
      <c r="Y1110" s="110" t="s">
        <v>2064</v>
      </c>
      <c r="Z1110" s="110"/>
      <c r="AA1110" s="110" t="s">
        <v>537</v>
      </c>
      <c r="AB1110" s="110" t="s">
        <v>244</v>
      </c>
      <c r="AC1110" s="110" t="s">
        <v>538</v>
      </c>
      <c r="AD1110" s="110" t="n">
        <f aca="false">IF(OR(F1110="",Q1110="",R1110=""),"",ROUND(IF(P1110="incl.",F1110/(1+Q1110),F1110)/IF(S1110="per pack",R1110,1),2))</f>
        <v>15.6</v>
      </c>
      <c r="AE1110" s="110" t="str">
        <f aca="false">IF(AND(AC1110="yes",ISNUMBER(F1110),IF(Compare!$H$5="All mapped",TRUE(),IF(Compare!$H$5="EXACT only",J1110="EXACT",OR(J1110="EXACT",J1110="CLOSE")))),"yes","no")</f>
        <v>yes</v>
      </c>
      <c r="AF1110" s="110" t="n">
        <f aca="false">IF(ISNUMBER(H1110),COUNTIFS($B$7:$B$3000,B1110,$C$7:$C$3000,C1110,$H$7:$H$3000,"&lt;"&amp;H1110,$AH$7:$AH$3000,"yes")+COUNTIFS($B$7:B1110,B1110,$C$7:C1110,C1110,$H$7:H1110,H1110,$AH$7:AH1110,"yes"),"")</f>
        <v>7</v>
      </c>
      <c r="AG1110" s="110" t="n">
        <f aca="false">IF(ISNUMBER(I1110),COUNTIFS($B$7:$B$3000,B1110,$C$7:$C$3000,C1110,$I$7:$I$3000,"&lt;"&amp;I1110,$AI$7:$AI$3000,"yes")+COUNTIFS($B$7:B1110,B1110,$C$7:C1110,C1110,$I$7:I1110,I1110,$AI$7:AI1110,"yes"),"")</f>
        <v>7</v>
      </c>
      <c r="AH1110" s="110" t="str">
        <f aca="false">IF(ISNUMBER(H1110),"yes","no")</f>
        <v>yes</v>
      </c>
      <c r="AI1110" s="110" t="str">
        <f aca="false">IF(ISNUMBER(I1110),"yes","no")</f>
        <v>yes</v>
      </c>
      <c r="AJ1110" s="120" t="n">
        <v>46297</v>
      </c>
      <c r="AK1110" s="110"/>
    </row>
    <row r="1111" customFormat="false" ht="23.85" hidden="false" customHeight="false" outlineLevel="0" collapsed="false">
      <c r="B1111" s="36" t="s">
        <v>74</v>
      </c>
      <c r="C1111" s="98" t="s">
        <v>15</v>
      </c>
      <c r="D1111" s="98" t="s">
        <v>273</v>
      </c>
      <c r="E1111" s="110" t="s">
        <v>3624</v>
      </c>
      <c r="F1111" s="99" t="n">
        <v>6.79</v>
      </c>
      <c r="G1111" s="98" t="s">
        <v>244</v>
      </c>
      <c r="H1111" s="112" t="n">
        <f aca="false">IF(AND(AE1111="yes",ISNUMBER(AD1111)),AD1111,"")</f>
        <v>5.66</v>
      </c>
      <c r="I1111" s="95" t="n">
        <f aca="false">IF(AND(AE1111="yes",ISNUMBER(AD1111),ISNUMBER(INDEX(Sources!$G$7:$G$10,MATCH(AB1111,Sources!$B$7:$B$10,0)))),ROUND(AD1111/INDEX(Sources!$G$7:$G$10,MATCH(AB1111,Sources!$B$7:$B$10,0)),6),"")</f>
        <v>5.66</v>
      </c>
      <c r="J1111" s="98" t="s">
        <v>530</v>
      </c>
      <c r="K1111" s="98" t="s">
        <v>2059</v>
      </c>
      <c r="L1111" s="96"/>
      <c r="M1111" s="110" t="s">
        <v>3625</v>
      </c>
      <c r="N1111" s="117" t="s">
        <v>3626</v>
      </c>
      <c r="O1111" s="110" t="s">
        <v>598</v>
      </c>
      <c r="P1111" s="110" t="s">
        <v>265</v>
      </c>
      <c r="Q1111" s="118" t="n">
        <v>0.2</v>
      </c>
      <c r="R1111" s="110" t="n">
        <v>1</v>
      </c>
      <c r="S1111" s="110" t="s">
        <v>632</v>
      </c>
      <c r="T1111" s="110" t="s">
        <v>530</v>
      </c>
      <c r="U1111" s="110" t="s">
        <v>2918</v>
      </c>
      <c r="V1111" s="119" t="n">
        <v>5.66</v>
      </c>
      <c r="W1111" s="119"/>
      <c r="X1111" s="110" t="s">
        <v>2063</v>
      </c>
      <c r="Y1111" s="110" t="s">
        <v>2064</v>
      </c>
      <c r="Z1111" s="110" t="s">
        <v>2130</v>
      </c>
      <c r="AA1111" s="110" t="s">
        <v>537</v>
      </c>
      <c r="AB1111" s="110" t="s">
        <v>244</v>
      </c>
      <c r="AC1111" s="110" t="s">
        <v>538</v>
      </c>
      <c r="AD1111" s="110" t="n">
        <f aca="false">IF(OR(F1111="",Q1111="",R1111=""),"",ROUND(IF(P1111="incl.",F1111/(1+Q1111),F1111)/IF(S1111="per pack",R1111,1),2))</f>
        <v>5.66</v>
      </c>
      <c r="AE1111" s="110" t="str">
        <f aca="false">IF(AND(AC1111="yes",ISNUMBER(F1111),IF(Compare!$H$5="All mapped",TRUE(),IF(Compare!$H$5="EXACT only",J1111="EXACT",OR(J1111="EXACT",J1111="CLOSE")))),"yes","no")</f>
        <v>yes</v>
      </c>
      <c r="AF1111" s="110" t="n">
        <f aca="false">IF(ISNUMBER(H1111),COUNTIFS($B$7:$B$3000,B1111,$C$7:$C$3000,C1111,$H$7:$H$3000,"&lt;"&amp;H1111,$AH$7:$AH$3000,"yes")+COUNTIFS($B$7:B1111,B1111,$C$7:C1111,C1111,$H$7:H1111,H1111,$AH$7:AH1111,"yes"),"")</f>
        <v>4</v>
      </c>
      <c r="AG1111" s="110" t="n">
        <f aca="false">IF(ISNUMBER(I1111),COUNTIFS($B$7:$B$3000,B1111,$C$7:$C$3000,C1111,$I$7:$I$3000,"&lt;"&amp;I1111,$AI$7:$AI$3000,"yes")+COUNTIFS($B$7:B1111,B1111,$C$7:C1111,C1111,$I$7:I1111,I1111,$AI$7:AI1111,"yes"),"")</f>
        <v>4</v>
      </c>
      <c r="AH1111" s="110" t="str">
        <f aca="false">IF(ISNUMBER(H1111),"yes","no")</f>
        <v>yes</v>
      </c>
      <c r="AI1111" s="110" t="str">
        <f aca="false">IF(ISNUMBER(I1111),"yes","no")</f>
        <v>yes</v>
      </c>
      <c r="AJ1111" s="120" t="n">
        <v>46297</v>
      </c>
      <c r="AK1111" s="110"/>
    </row>
    <row r="1112" customFormat="false" ht="46.25" hidden="false" customHeight="false" outlineLevel="0" collapsed="false">
      <c r="B1112" s="36" t="s">
        <v>74</v>
      </c>
      <c r="C1112" s="98" t="s">
        <v>15</v>
      </c>
      <c r="D1112" s="98" t="s">
        <v>281</v>
      </c>
      <c r="E1112" s="110" t="s">
        <v>3627</v>
      </c>
      <c r="F1112" s="99" t="n">
        <v>4.4</v>
      </c>
      <c r="G1112" s="98" t="s">
        <v>244</v>
      </c>
      <c r="H1112" s="112" t="n">
        <f aca="false">IF(AND(AE1112="yes",ISNUMBER(AD1112)),AD1112,"")</f>
        <v>4.4</v>
      </c>
      <c r="I1112" s="95" t="n">
        <f aca="false">IF(AND(AE1112="yes",ISNUMBER(AD1112),ISNUMBER(INDEX(Sources!$G$7:$G$10,MATCH(AB1112,Sources!$B$7:$B$10,0)))),ROUND(AD1112/INDEX(Sources!$G$7:$G$10,MATCH(AB1112,Sources!$B$7:$B$10,0)),6),"")</f>
        <v>4.4</v>
      </c>
      <c r="J1112" s="98" t="s">
        <v>530</v>
      </c>
      <c r="K1112" s="98" t="s">
        <v>2059</v>
      </c>
      <c r="L1112" s="96"/>
      <c r="M1112" s="110" t="s">
        <v>3628</v>
      </c>
      <c r="N1112" s="117" t="s">
        <v>3629</v>
      </c>
      <c r="O1112" s="110" t="s">
        <v>2944</v>
      </c>
      <c r="P1112" s="110" t="s">
        <v>590</v>
      </c>
      <c r="Q1112" s="118" t="n">
        <v>0.2</v>
      </c>
      <c r="R1112" s="110" t="n">
        <v>1</v>
      </c>
      <c r="S1112" s="110" t="s">
        <v>632</v>
      </c>
      <c r="T1112" s="110" t="s">
        <v>530</v>
      </c>
      <c r="U1112" s="110" t="s">
        <v>2913</v>
      </c>
      <c r="V1112" s="119" t="n">
        <v>4.4</v>
      </c>
      <c r="W1112" s="119"/>
      <c r="X1112" s="110" t="s">
        <v>2063</v>
      </c>
      <c r="Y1112" s="110" t="s">
        <v>2064</v>
      </c>
      <c r="Z1112" s="110" t="s">
        <v>2953</v>
      </c>
      <c r="AA1112" s="110" t="s">
        <v>537</v>
      </c>
      <c r="AB1112" s="110" t="s">
        <v>244</v>
      </c>
      <c r="AC1112" s="110" t="s">
        <v>538</v>
      </c>
      <c r="AD1112" s="110" t="n">
        <f aca="false">IF(OR(F1112="",Q1112="",R1112=""),"",ROUND(IF(P1112="incl.",F1112/(1+Q1112),F1112)/IF(S1112="per pack",R1112,1),2))</f>
        <v>4.4</v>
      </c>
      <c r="AE1112" s="110" t="str">
        <f aca="false">IF(AND(AC1112="yes",ISNUMBER(F1112),IF(Compare!$H$5="All mapped",TRUE(),IF(Compare!$H$5="EXACT only",J1112="EXACT",OR(J1112="EXACT",J1112="CLOSE")))),"yes","no")</f>
        <v>yes</v>
      </c>
      <c r="AF1112" s="110" t="n">
        <f aca="false">IF(ISNUMBER(H1112),COUNTIFS($B$7:$B$3000,B1112,$C$7:$C$3000,C1112,$H$7:$H$3000,"&lt;"&amp;H1112,$AH$7:$AH$3000,"yes")+COUNTIFS($B$7:B1112,B1112,$C$7:C1112,C1112,$H$7:H1112,H1112,$AH$7:AH1112,"yes"),"")</f>
        <v>3</v>
      </c>
      <c r="AG1112" s="110" t="n">
        <f aca="false">IF(ISNUMBER(I1112),COUNTIFS($B$7:$B$3000,B1112,$C$7:$C$3000,C1112,$I$7:$I$3000,"&lt;"&amp;I1112,$AI$7:$AI$3000,"yes")+COUNTIFS($B$7:B1112,B1112,$C$7:C1112,C1112,$I$7:I1112,I1112,$AI$7:AI1112,"yes"),"")</f>
        <v>3</v>
      </c>
      <c r="AH1112" s="110" t="str">
        <f aca="false">IF(ISNUMBER(H1112),"yes","no")</f>
        <v>yes</v>
      </c>
      <c r="AI1112" s="110" t="str">
        <f aca="false">IF(ISNUMBER(I1112),"yes","no")</f>
        <v>yes</v>
      </c>
      <c r="AJ1112" s="120" t="n">
        <v>46297</v>
      </c>
      <c r="AK1112" s="110"/>
    </row>
    <row r="1113" customFormat="false" ht="35.05" hidden="false" customHeight="false" outlineLevel="0" collapsed="false">
      <c r="B1113" s="36" t="s">
        <v>74</v>
      </c>
      <c r="C1113" s="98" t="s">
        <v>15</v>
      </c>
      <c r="D1113" s="98" t="s">
        <v>293</v>
      </c>
      <c r="E1113" s="110" t="s">
        <v>3630</v>
      </c>
      <c r="F1113" s="99" t="n">
        <v>3.7</v>
      </c>
      <c r="G1113" s="98" t="s">
        <v>244</v>
      </c>
      <c r="H1113" s="112" t="n">
        <f aca="false">IF(AND(AE1113="yes",ISNUMBER(AD1113)),AD1113,"")</f>
        <v>3.7</v>
      </c>
      <c r="I1113" s="95" t="n">
        <f aca="false">IF(AND(AE1113="yes",ISNUMBER(AD1113),ISNUMBER(INDEX(Sources!$G$7:$G$10,MATCH(AB1113,Sources!$B$7:$B$10,0)))),ROUND(AD1113/INDEX(Sources!$G$7:$G$10,MATCH(AB1113,Sources!$B$7:$B$10,0)),6),"")</f>
        <v>3.7</v>
      </c>
      <c r="J1113" s="98" t="s">
        <v>530</v>
      </c>
      <c r="K1113" s="98" t="s">
        <v>2059</v>
      </c>
      <c r="L1113" s="96"/>
      <c r="M1113" s="110" t="s">
        <v>3631</v>
      </c>
      <c r="N1113" s="117" t="s">
        <v>3632</v>
      </c>
      <c r="O1113" s="110" t="s">
        <v>2957</v>
      </c>
      <c r="P1113" s="110" t="s">
        <v>590</v>
      </c>
      <c r="Q1113" s="118" t="n">
        <v>0.2</v>
      </c>
      <c r="R1113" s="110" t="n">
        <v>1</v>
      </c>
      <c r="S1113" s="110" t="s">
        <v>632</v>
      </c>
      <c r="T1113" s="110" t="s">
        <v>530</v>
      </c>
      <c r="U1113" s="110" t="s">
        <v>2913</v>
      </c>
      <c r="V1113" s="119" t="n">
        <v>3.7</v>
      </c>
      <c r="W1113" s="119"/>
      <c r="X1113" s="110" t="s">
        <v>2063</v>
      </c>
      <c r="Y1113" s="110" t="s">
        <v>2064</v>
      </c>
      <c r="Z1113" s="110" t="s">
        <v>2958</v>
      </c>
      <c r="AA1113" s="110" t="s">
        <v>537</v>
      </c>
      <c r="AB1113" s="110" t="s">
        <v>244</v>
      </c>
      <c r="AC1113" s="110" t="s">
        <v>538</v>
      </c>
      <c r="AD1113" s="110" t="n">
        <f aca="false">IF(OR(F1113="",Q1113="",R1113=""),"",ROUND(IF(P1113="incl.",F1113/(1+Q1113),F1113)/IF(S1113="per pack",R1113,1),2))</f>
        <v>3.7</v>
      </c>
      <c r="AE1113" s="110" t="str">
        <f aca="false">IF(AND(AC1113="yes",ISNUMBER(F1113),IF(Compare!$H$5="All mapped",TRUE(),IF(Compare!$H$5="EXACT only",J1113="EXACT",OR(J1113="EXACT",J1113="CLOSE")))),"yes","no")</f>
        <v>yes</v>
      </c>
      <c r="AF1113" s="110" t="n">
        <f aca="false">IF(ISNUMBER(H1113),COUNTIFS($B$7:$B$3000,B1113,$C$7:$C$3000,C1113,$H$7:$H$3000,"&lt;"&amp;H1113,$AH$7:$AH$3000,"yes")+COUNTIFS($B$7:B1113,B1113,$C$7:C1113,C1113,$H$7:H1113,H1113,$AH$7:AH1113,"yes"),"")</f>
        <v>2</v>
      </c>
      <c r="AG1113" s="110" t="n">
        <f aca="false">IF(ISNUMBER(I1113),COUNTIFS($B$7:$B$3000,B1113,$C$7:$C$3000,C1113,$I$7:$I$3000,"&lt;"&amp;I1113,$AI$7:$AI$3000,"yes")+COUNTIFS($B$7:B1113,B1113,$C$7:C1113,C1113,$I$7:I1113,I1113,$AI$7:AI1113,"yes"),"")</f>
        <v>2</v>
      </c>
      <c r="AH1113" s="110" t="str">
        <f aca="false">IF(ISNUMBER(H1113),"yes","no")</f>
        <v>yes</v>
      </c>
      <c r="AI1113" s="110" t="str">
        <f aca="false">IF(ISNUMBER(I1113),"yes","no")</f>
        <v>yes</v>
      </c>
      <c r="AJ1113" s="120" t="n">
        <v>46297</v>
      </c>
      <c r="AK1113" s="110"/>
    </row>
    <row r="1114" customFormat="false" ht="35.05" hidden="false" customHeight="false" outlineLevel="0" collapsed="false">
      <c r="B1114" s="36" t="s">
        <v>74</v>
      </c>
      <c r="C1114" s="98" t="s">
        <v>16</v>
      </c>
      <c r="D1114" s="98" t="s">
        <v>296</v>
      </c>
      <c r="E1114" s="110" t="s">
        <v>3611</v>
      </c>
      <c r="F1114" s="99" t="n">
        <v>1.6</v>
      </c>
      <c r="G1114" s="98" t="s">
        <v>244</v>
      </c>
      <c r="H1114" s="112" t="n">
        <f aca="false">IF(AND(AE1114="yes",ISNUMBER(AD1114)),AD1114,"")</f>
        <v>1.6</v>
      </c>
      <c r="I1114" s="95" t="n">
        <f aca="false">IF(AND(AE1114="yes",ISNUMBER(AD1114),ISNUMBER(INDEX(Sources!$G$7:$G$10,MATCH(AB1114,Sources!$B$7:$B$10,0)))),ROUND(AD1114/INDEX(Sources!$G$7:$G$10,MATCH(AB1114,Sources!$B$7:$B$10,0)),6),"")</f>
        <v>1.6</v>
      </c>
      <c r="J1114" s="98" t="s">
        <v>530</v>
      </c>
      <c r="K1114" s="98" t="s">
        <v>2059</v>
      </c>
      <c r="L1114" s="96"/>
      <c r="M1114" s="110" t="s">
        <v>3633</v>
      </c>
      <c r="N1114" s="117" t="s">
        <v>3634</v>
      </c>
      <c r="O1114" s="110" t="s">
        <v>3149</v>
      </c>
      <c r="P1114" s="110" t="s">
        <v>590</v>
      </c>
      <c r="Q1114" s="118" t="n">
        <v>0.19</v>
      </c>
      <c r="R1114" s="110" t="n">
        <v>1</v>
      </c>
      <c r="S1114" s="110" t="s">
        <v>632</v>
      </c>
      <c r="T1114" s="110" t="s">
        <v>530</v>
      </c>
      <c r="U1114" s="110" t="s">
        <v>2913</v>
      </c>
      <c r="V1114" s="119" t="n">
        <v>1.6</v>
      </c>
      <c r="W1114" s="119"/>
      <c r="X1114" s="110" t="s">
        <v>2063</v>
      </c>
      <c r="Y1114" s="110" t="s">
        <v>2064</v>
      </c>
      <c r="Z1114" s="110" t="s">
        <v>3614</v>
      </c>
      <c r="AA1114" s="110" t="s">
        <v>537</v>
      </c>
      <c r="AB1114" s="110" t="s">
        <v>244</v>
      </c>
      <c r="AC1114" s="110" t="s">
        <v>538</v>
      </c>
      <c r="AD1114" s="110" t="n">
        <f aca="false">IF(OR(F1114="",Q1114="",R1114=""),"",ROUND(IF(P1114="incl.",F1114/(1+Q1114),F1114)/IF(S1114="per pack",R1114,1),2))</f>
        <v>1.6</v>
      </c>
      <c r="AE1114" s="110" t="str">
        <f aca="false">IF(AND(AC1114="yes",ISNUMBER(F1114),IF(Compare!$H$5="All mapped",TRUE(),IF(Compare!$H$5="EXACT only",J1114="EXACT",OR(J1114="EXACT",J1114="CLOSE")))),"yes","no")</f>
        <v>yes</v>
      </c>
      <c r="AF1114" s="110" t="n">
        <f aca="false">IF(ISNUMBER(H1114),COUNTIFS($B$7:$B$3000,B1114,$C$7:$C$3000,C1114,$H$7:$H$3000,"&lt;"&amp;H1114,$AH$7:$AH$3000,"yes")+COUNTIFS($B$7:B1114,B1114,$C$7:C1114,C1114,$H$7:H1114,H1114,$AH$7:AH1114,"yes"),"")</f>
        <v>1</v>
      </c>
      <c r="AG1114" s="110" t="n">
        <f aca="false">IF(ISNUMBER(I1114),COUNTIFS($B$7:$B$3000,B1114,$C$7:$C$3000,C1114,$I$7:$I$3000,"&lt;"&amp;I1114,$AI$7:$AI$3000,"yes")+COUNTIFS($B$7:B1114,B1114,$C$7:C1114,C1114,$I$7:I1114,I1114,$AI$7:AI1114,"yes"),"")</f>
        <v>1</v>
      </c>
      <c r="AH1114" s="110" t="str">
        <f aca="false">IF(ISNUMBER(H1114),"yes","no")</f>
        <v>yes</v>
      </c>
      <c r="AI1114" s="110" t="str">
        <f aca="false">IF(ISNUMBER(I1114),"yes","no")</f>
        <v>yes</v>
      </c>
      <c r="AJ1114" s="120" t="n">
        <v>46297</v>
      </c>
      <c r="AK1114" s="110"/>
    </row>
    <row r="1115" customFormat="false" ht="35.05" hidden="false" customHeight="false" outlineLevel="0" collapsed="false">
      <c r="B1115" s="36" t="s">
        <v>74</v>
      </c>
      <c r="C1115" s="98" t="s">
        <v>16</v>
      </c>
      <c r="D1115" s="98" t="s">
        <v>305</v>
      </c>
      <c r="E1115" s="110" t="s">
        <v>3635</v>
      </c>
      <c r="F1115" s="99" t="n">
        <v>4.57</v>
      </c>
      <c r="G1115" s="98" t="s">
        <v>244</v>
      </c>
      <c r="H1115" s="112" t="n">
        <f aca="false">IF(AND(AE1115="yes",ISNUMBER(AD1115)),AD1115,"")</f>
        <v>3.84</v>
      </c>
      <c r="I1115" s="95" t="n">
        <f aca="false">IF(AND(AE1115="yes",ISNUMBER(AD1115),ISNUMBER(INDEX(Sources!$G$7:$G$10,MATCH(AB1115,Sources!$B$7:$B$10,0)))),ROUND(AD1115/INDEX(Sources!$G$7:$G$10,MATCH(AB1115,Sources!$B$7:$B$10,0)),6),"")</f>
        <v>3.84</v>
      </c>
      <c r="J1115" s="98" t="s">
        <v>530</v>
      </c>
      <c r="K1115" s="98" t="s">
        <v>2059</v>
      </c>
      <c r="L1115" s="96"/>
      <c r="M1115" s="110" t="s">
        <v>3636</v>
      </c>
      <c r="N1115" s="117" t="s">
        <v>3637</v>
      </c>
      <c r="O1115" s="110" t="s">
        <v>2965</v>
      </c>
      <c r="P1115" s="110" t="s">
        <v>265</v>
      </c>
      <c r="Q1115" s="118" t="n">
        <v>0.19</v>
      </c>
      <c r="R1115" s="110" t="n">
        <v>1</v>
      </c>
      <c r="S1115" s="110" t="s">
        <v>632</v>
      </c>
      <c r="T1115" s="110" t="s">
        <v>530</v>
      </c>
      <c r="U1115" s="110" t="s">
        <v>2918</v>
      </c>
      <c r="V1115" s="119" t="n">
        <v>3.84</v>
      </c>
      <c r="W1115" s="119"/>
      <c r="X1115" s="110" t="s">
        <v>2063</v>
      </c>
      <c r="Y1115" s="110" t="s">
        <v>2064</v>
      </c>
      <c r="Z1115" s="110" t="s">
        <v>2156</v>
      </c>
      <c r="AA1115" s="110" t="s">
        <v>537</v>
      </c>
      <c r="AB1115" s="110" t="s">
        <v>244</v>
      </c>
      <c r="AC1115" s="110" t="s">
        <v>538</v>
      </c>
      <c r="AD1115" s="110" t="n">
        <f aca="false">IF(OR(F1115="",Q1115="",R1115=""),"",ROUND(IF(P1115="incl.",F1115/(1+Q1115),F1115)/IF(S1115="per pack",R1115,1),2))</f>
        <v>3.84</v>
      </c>
      <c r="AE1115" s="110" t="str">
        <f aca="false">IF(AND(AC1115="yes",ISNUMBER(F1115),IF(Compare!$H$5="All mapped",TRUE(),IF(Compare!$H$5="EXACT only",J1115="EXACT",OR(J1115="EXACT",J1115="CLOSE")))),"yes","no")</f>
        <v>yes</v>
      </c>
      <c r="AF1115" s="110" t="n">
        <f aca="false">IF(ISNUMBER(H1115),COUNTIFS($B$7:$B$3000,B1115,$C$7:$C$3000,C1115,$H$7:$H$3000,"&lt;"&amp;H1115,$AH$7:$AH$3000,"yes")+COUNTIFS($B$7:B1115,B1115,$C$7:C1115,C1115,$H$7:H1115,H1115,$AH$7:AH1115,"yes"),"")</f>
        <v>2</v>
      </c>
      <c r="AG1115" s="110" t="n">
        <f aca="false">IF(ISNUMBER(I1115),COUNTIFS($B$7:$B$3000,B1115,$C$7:$C$3000,C1115,$I$7:$I$3000,"&lt;"&amp;I1115,$AI$7:$AI$3000,"yes")+COUNTIFS($B$7:B1115,B1115,$C$7:C1115,C1115,$I$7:I1115,I1115,$AI$7:AI1115,"yes"),"")</f>
        <v>2</v>
      </c>
      <c r="AH1115" s="110" t="str">
        <f aca="false">IF(ISNUMBER(H1115),"yes","no")</f>
        <v>yes</v>
      </c>
      <c r="AI1115" s="110" t="str">
        <f aca="false">IF(ISNUMBER(I1115),"yes","no")</f>
        <v>yes</v>
      </c>
      <c r="AJ1115" s="120" t="n">
        <v>46297</v>
      </c>
      <c r="AK1115" s="110"/>
    </row>
    <row r="1116" customFormat="false" ht="35.05" hidden="false" customHeight="false" outlineLevel="0" collapsed="false">
      <c r="B1116" s="36" t="s">
        <v>74</v>
      </c>
      <c r="C1116" s="98" t="s">
        <v>16</v>
      </c>
      <c r="D1116" s="98" t="s">
        <v>311</v>
      </c>
      <c r="E1116" s="110" t="s">
        <v>3618</v>
      </c>
      <c r="F1116" s="99" t="n">
        <v>4.39</v>
      </c>
      <c r="G1116" s="98" t="s">
        <v>244</v>
      </c>
      <c r="H1116" s="112" t="n">
        <f aca="false">IF(AND(AE1116="yes",ISNUMBER(AD1116)),AD1116,"")</f>
        <v>4.39</v>
      </c>
      <c r="I1116" s="95" t="n">
        <f aca="false">IF(AND(AE1116="yes",ISNUMBER(AD1116),ISNUMBER(INDEX(Sources!$G$7:$G$10,MATCH(AB1116,Sources!$B$7:$B$10,0)))),ROUND(AD1116/INDEX(Sources!$G$7:$G$10,MATCH(AB1116,Sources!$B$7:$B$10,0)),6),"")</f>
        <v>4.39</v>
      </c>
      <c r="J1116" s="98" t="s">
        <v>530</v>
      </c>
      <c r="K1116" s="98" t="s">
        <v>2059</v>
      </c>
      <c r="L1116" s="96"/>
      <c r="M1116" s="110" t="s">
        <v>3638</v>
      </c>
      <c r="N1116" s="117" t="s">
        <v>3639</v>
      </c>
      <c r="O1116" s="110" t="s">
        <v>589</v>
      </c>
      <c r="P1116" s="110" t="s">
        <v>590</v>
      </c>
      <c r="Q1116" s="118" t="n">
        <v>0.19</v>
      </c>
      <c r="R1116" s="110" t="n">
        <v>1</v>
      </c>
      <c r="S1116" s="110" t="s">
        <v>632</v>
      </c>
      <c r="T1116" s="110" t="s">
        <v>530</v>
      </c>
      <c r="U1116" s="110" t="s">
        <v>2913</v>
      </c>
      <c r="V1116" s="119" t="n">
        <v>4.39</v>
      </c>
      <c r="W1116" s="119"/>
      <c r="X1116" s="110" t="s">
        <v>2063</v>
      </c>
      <c r="Y1116" s="110" t="s">
        <v>2064</v>
      </c>
      <c r="Z1116" s="110" t="s">
        <v>3236</v>
      </c>
      <c r="AA1116" s="110" t="s">
        <v>537</v>
      </c>
      <c r="AB1116" s="110" t="s">
        <v>244</v>
      </c>
      <c r="AC1116" s="110" t="s">
        <v>538</v>
      </c>
      <c r="AD1116" s="110" t="n">
        <f aca="false">IF(OR(F1116="",Q1116="",R1116=""),"",ROUND(IF(P1116="incl.",F1116/(1+Q1116),F1116)/IF(S1116="per pack",R1116,1),2))</f>
        <v>4.39</v>
      </c>
      <c r="AE1116" s="110" t="str">
        <f aca="false">IF(AND(AC1116="yes",ISNUMBER(F1116),IF(Compare!$H$5="All mapped",TRUE(),IF(Compare!$H$5="EXACT only",J1116="EXACT",OR(J1116="EXACT",J1116="CLOSE")))),"yes","no")</f>
        <v>yes</v>
      </c>
      <c r="AF1116" s="110" t="n">
        <f aca="false">IF(ISNUMBER(H1116),COUNTIFS($B$7:$B$3000,B1116,$C$7:$C$3000,C1116,$H$7:$H$3000,"&lt;"&amp;H1116,$AH$7:$AH$3000,"yes")+COUNTIFS($B$7:B1116,B1116,$C$7:C1116,C1116,$H$7:H1116,H1116,$AH$7:AH1116,"yes"),"")</f>
        <v>3</v>
      </c>
      <c r="AG1116" s="110" t="n">
        <f aca="false">IF(ISNUMBER(I1116),COUNTIFS($B$7:$B$3000,B1116,$C$7:$C$3000,C1116,$I$7:$I$3000,"&lt;"&amp;I1116,$AI$7:$AI$3000,"yes")+COUNTIFS($B$7:B1116,B1116,$C$7:C1116,C1116,$I$7:I1116,I1116,$AI$7:AI1116,"yes"),"")</f>
        <v>3</v>
      </c>
      <c r="AH1116" s="110" t="str">
        <f aca="false">IF(ISNUMBER(H1116),"yes","no")</f>
        <v>yes</v>
      </c>
      <c r="AI1116" s="110" t="str">
        <f aca="false">IF(ISNUMBER(I1116),"yes","no")</f>
        <v>yes</v>
      </c>
      <c r="AJ1116" s="120" t="n">
        <v>46297</v>
      </c>
      <c r="AK1116" s="110"/>
    </row>
    <row r="1117" customFormat="false" ht="23.85" hidden="false" customHeight="false" outlineLevel="0" collapsed="false">
      <c r="B1117" s="36" t="s">
        <v>74</v>
      </c>
      <c r="C1117" s="98" t="s">
        <v>16</v>
      </c>
      <c r="D1117" s="98" t="s">
        <v>309</v>
      </c>
      <c r="E1117" s="110" t="s">
        <v>3621</v>
      </c>
      <c r="F1117" s="99" t="n">
        <v>15.6</v>
      </c>
      <c r="G1117" s="98" t="s">
        <v>244</v>
      </c>
      <c r="H1117" s="112" t="n">
        <f aca="false">IF(AND(AE1117="yes",ISNUMBER(AD1117)),AD1117,"")</f>
        <v>15.6</v>
      </c>
      <c r="I1117" s="95" t="n">
        <f aca="false">IF(AND(AE1117="yes",ISNUMBER(AD1117),ISNUMBER(INDEX(Sources!$G$7:$G$10,MATCH(AB1117,Sources!$B$7:$B$10,0)))),ROUND(AD1117/INDEX(Sources!$G$7:$G$10,MATCH(AB1117,Sources!$B$7:$B$10,0)),6),"")</f>
        <v>15.6</v>
      </c>
      <c r="J1117" s="98" t="s">
        <v>530</v>
      </c>
      <c r="K1117" s="98" t="s">
        <v>2059</v>
      </c>
      <c r="L1117" s="96"/>
      <c r="M1117" s="110" t="s">
        <v>3640</v>
      </c>
      <c r="N1117" s="117" t="s">
        <v>3623</v>
      </c>
      <c r="O1117" s="110" t="s">
        <v>2944</v>
      </c>
      <c r="P1117" s="110" t="s">
        <v>590</v>
      </c>
      <c r="Q1117" s="118" t="n">
        <v>0.19</v>
      </c>
      <c r="R1117" s="110" t="n">
        <v>1</v>
      </c>
      <c r="S1117" s="110" t="s">
        <v>632</v>
      </c>
      <c r="T1117" s="110" t="s">
        <v>530</v>
      </c>
      <c r="U1117" s="110" t="s">
        <v>2913</v>
      </c>
      <c r="V1117" s="119" t="n">
        <v>15.6</v>
      </c>
      <c r="W1117" s="119"/>
      <c r="X1117" s="110" t="s">
        <v>2063</v>
      </c>
      <c r="Y1117" s="110" t="s">
        <v>2064</v>
      </c>
      <c r="Z1117" s="110" t="s">
        <v>2970</v>
      </c>
      <c r="AA1117" s="110" t="s">
        <v>537</v>
      </c>
      <c r="AB1117" s="110" t="s">
        <v>244</v>
      </c>
      <c r="AC1117" s="110" t="s">
        <v>538</v>
      </c>
      <c r="AD1117" s="110" t="n">
        <f aca="false">IF(OR(F1117="",Q1117="",R1117=""),"",ROUND(IF(P1117="incl.",F1117/(1+Q1117),F1117)/IF(S1117="per pack",R1117,1),2))</f>
        <v>15.6</v>
      </c>
      <c r="AE1117" s="110" t="str">
        <f aca="false">IF(AND(AC1117="yes",ISNUMBER(F1117),IF(Compare!$H$5="All mapped",TRUE(),IF(Compare!$H$5="EXACT only",J1117="EXACT",OR(J1117="EXACT",J1117="CLOSE")))),"yes","no")</f>
        <v>yes</v>
      </c>
      <c r="AF1117" s="110" t="n">
        <f aca="false">IF(ISNUMBER(H1117),COUNTIFS($B$7:$B$3000,B1117,$C$7:$C$3000,C1117,$H$7:$H$3000,"&lt;"&amp;H1117,$AH$7:$AH$3000,"yes")+COUNTIFS($B$7:B1117,B1117,$C$7:C1117,C1117,$H$7:H1117,H1117,$AH$7:AH1117,"yes"),"")</f>
        <v>7</v>
      </c>
      <c r="AG1117" s="110" t="n">
        <f aca="false">IF(ISNUMBER(I1117),COUNTIFS($B$7:$B$3000,B1117,$C$7:$C$3000,C1117,$I$7:$I$3000,"&lt;"&amp;I1117,$AI$7:$AI$3000,"yes")+COUNTIFS($B$7:B1117,B1117,$C$7:C1117,C1117,$I$7:I1117,I1117,$AI$7:AI1117,"yes"),"")</f>
        <v>7</v>
      </c>
      <c r="AH1117" s="110" t="str">
        <f aca="false">IF(ISNUMBER(H1117),"yes","no")</f>
        <v>yes</v>
      </c>
      <c r="AI1117" s="110" t="str">
        <f aca="false">IF(ISNUMBER(I1117),"yes","no")</f>
        <v>yes</v>
      </c>
      <c r="AJ1117" s="120" t="n">
        <v>46297</v>
      </c>
      <c r="AK1117" s="110"/>
    </row>
    <row r="1118" customFormat="false" ht="23.85" hidden="false" customHeight="false" outlineLevel="0" collapsed="false">
      <c r="B1118" s="36" t="s">
        <v>74</v>
      </c>
      <c r="C1118" s="98" t="s">
        <v>16</v>
      </c>
      <c r="D1118" s="98" t="s">
        <v>313</v>
      </c>
      <c r="E1118" s="110" t="s">
        <v>3624</v>
      </c>
      <c r="F1118" s="99" t="n">
        <v>6.79</v>
      </c>
      <c r="G1118" s="98" t="s">
        <v>244</v>
      </c>
      <c r="H1118" s="112" t="n">
        <f aca="false">IF(AND(AE1118="yes",ISNUMBER(AD1118)),AD1118,"")</f>
        <v>5.71</v>
      </c>
      <c r="I1118" s="95" t="n">
        <f aca="false">IF(AND(AE1118="yes",ISNUMBER(AD1118),ISNUMBER(INDEX(Sources!$G$7:$G$10,MATCH(AB1118,Sources!$B$7:$B$10,0)))),ROUND(AD1118/INDEX(Sources!$G$7:$G$10,MATCH(AB1118,Sources!$B$7:$B$10,0)),6),"")</f>
        <v>5.71</v>
      </c>
      <c r="J1118" s="98" t="s">
        <v>530</v>
      </c>
      <c r="K1118" s="98" t="s">
        <v>2059</v>
      </c>
      <c r="L1118" s="96"/>
      <c r="M1118" s="110" t="s">
        <v>3641</v>
      </c>
      <c r="N1118" s="117" t="s">
        <v>3642</v>
      </c>
      <c r="O1118" s="110" t="s">
        <v>598</v>
      </c>
      <c r="P1118" s="110" t="s">
        <v>265</v>
      </c>
      <c r="Q1118" s="118" t="n">
        <v>0.19</v>
      </c>
      <c r="R1118" s="110" t="n">
        <v>1</v>
      </c>
      <c r="S1118" s="110" t="s">
        <v>632</v>
      </c>
      <c r="T1118" s="110" t="s">
        <v>530</v>
      </c>
      <c r="U1118" s="110" t="s">
        <v>2918</v>
      </c>
      <c r="V1118" s="119" t="n">
        <v>5.71</v>
      </c>
      <c r="W1118" s="119"/>
      <c r="X1118" s="110" t="s">
        <v>2063</v>
      </c>
      <c r="Y1118" s="110" t="s">
        <v>2064</v>
      </c>
      <c r="Z1118" s="110" t="s">
        <v>3243</v>
      </c>
      <c r="AA1118" s="110" t="s">
        <v>537</v>
      </c>
      <c r="AB1118" s="110" t="s">
        <v>244</v>
      </c>
      <c r="AC1118" s="110" t="s">
        <v>538</v>
      </c>
      <c r="AD1118" s="110" t="n">
        <f aca="false">IF(OR(F1118="",Q1118="",R1118=""),"",ROUND(IF(P1118="incl.",F1118/(1+Q1118),F1118)/IF(S1118="per pack",R1118,1),2))</f>
        <v>5.71</v>
      </c>
      <c r="AE1118" s="110" t="str">
        <f aca="false">IF(AND(AC1118="yes",ISNUMBER(F1118),IF(Compare!$H$5="All mapped",TRUE(),IF(Compare!$H$5="EXACT only",J1118="EXACT",OR(J1118="EXACT",J1118="CLOSE")))),"yes","no")</f>
        <v>yes</v>
      </c>
      <c r="AF1118" s="110" t="n">
        <f aca="false">IF(ISNUMBER(H1118),COUNTIFS($B$7:$B$3000,B1118,$C$7:$C$3000,C1118,$H$7:$H$3000,"&lt;"&amp;H1118,$AH$7:$AH$3000,"yes")+COUNTIFS($B$7:B1118,B1118,$C$7:C1118,C1118,$H$7:H1118,H1118,$AH$7:AH1118,"yes"),"")</f>
        <v>6</v>
      </c>
      <c r="AG1118" s="110" t="n">
        <f aca="false">IF(ISNUMBER(I1118),COUNTIFS($B$7:$B$3000,B1118,$C$7:$C$3000,C1118,$I$7:$I$3000,"&lt;"&amp;I1118,$AI$7:$AI$3000,"yes")+COUNTIFS($B$7:B1118,B1118,$C$7:C1118,C1118,$I$7:I1118,I1118,$AI$7:AI1118,"yes"),"")</f>
        <v>6</v>
      </c>
      <c r="AH1118" s="110" t="str">
        <f aca="false">IF(ISNUMBER(H1118),"yes","no")</f>
        <v>yes</v>
      </c>
      <c r="AI1118" s="110" t="str">
        <f aca="false">IF(ISNUMBER(I1118),"yes","no")</f>
        <v>yes</v>
      </c>
      <c r="AJ1118" s="120" t="n">
        <v>46297</v>
      </c>
      <c r="AK1118" s="110"/>
    </row>
    <row r="1119" customFormat="false" ht="35.05" hidden="false" customHeight="false" outlineLevel="0" collapsed="false">
      <c r="B1119" s="36" t="s">
        <v>74</v>
      </c>
      <c r="C1119" s="98" t="s">
        <v>16</v>
      </c>
      <c r="D1119" s="98" t="s">
        <v>321</v>
      </c>
      <c r="E1119" s="110" t="s">
        <v>3643</v>
      </c>
      <c r="F1119" s="99" t="n">
        <v>4.4</v>
      </c>
      <c r="G1119" s="98" t="s">
        <v>244</v>
      </c>
      <c r="H1119" s="112" t="n">
        <f aca="false">IF(AND(AE1119="yes",ISNUMBER(AD1119)),AD1119,"")</f>
        <v>4.4</v>
      </c>
      <c r="I1119" s="95" t="n">
        <f aca="false">IF(AND(AE1119="yes",ISNUMBER(AD1119),ISNUMBER(INDEX(Sources!$G$7:$G$10,MATCH(AB1119,Sources!$B$7:$B$10,0)))),ROUND(AD1119/INDEX(Sources!$G$7:$G$10,MATCH(AB1119,Sources!$B$7:$B$10,0)),6),"")</f>
        <v>4.4</v>
      </c>
      <c r="J1119" s="98" t="s">
        <v>530</v>
      </c>
      <c r="K1119" s="98" t="s">
        <v>2059</v>
      </c>
      <c r="L1119" s="96"/>
      <c r="M1119" s="110" t="s">
        <v>3644</v>
      </c>
      <c r="N1119" s="117" t="s">
        <v>3645</v>
      </c>
      <c r="O1119" s="110" t="s">
        <v>2944</v>
      </c>
      <c r="P1119" s="110" t="s">
        <v>590</v>
      </c>
      <c r="Q1119" s="118" t="n">
        <v>0.19</v>
      </c>
      <c r="R1119" s="110" t="n">
        <v>1</v>
      </c>
      <c r="S1119" s="110" t="s">
        <v>632</v>
      </c>
      <c r="T1119" s="110" t="s">
        <v>530</v>
      </c>
      <c r="U1119" s="110" t="s">
        <v>2913</v>
      </c>
      <c r="V1119" s="119" t="n">
        <v>4.4</v>
      </c>
      <c r="W1119" s="119"/>
      <c r="X1119" s="110" t="s">
        <v>2063</v>
      </c>
      <c r="Y1119" s="110" t="s">
        <v>2064</v>
      </c>
      <c r="Z1119" s="110" t="s">
        <v>2978</v>
      </c>
      <c r="AA1119" s="110" t="s">
        <v>537</v>
      </c>
      <c r="AB1119" s="110" t="s">
        <v>244</v>
      </c>
      <c r="AC1119" s="110" t="s">
        <v>538</v>
      </c>
      <c r="AD1119" s="110" t="n">
        <f aca="false">IF(OR(F1119="",Q1119="",R1119=""),"",ROUND(IF(P1119="incl.",F1119/(1+Q1119),F1119)/IF(S1119="per pack",R1119,1),2))</f>
        <v>4.4</v>
      </c>
      <c r="AE1119" s="110" t="str">
        <f aca="false">IF(AND(AC1119="yes",ISNUMBER(F1119),IF(Compare!$H$5="All mapped",TRUE(),IF(Compare!$H$5="EXACT only",J1119="EXACT",OR(J1119="EXACT",J1119="CLOSE")))),"yes","no")</f>
        <v>yes</v>
      </c>
      <c r="AF1119" s="110" t="n">
        <f aca="false">IF(ISNUMBER(H1119),COUNTIFS($B$7:$B$3000,B1119,$C$7:$C$3000,C1119,$H$7:$H$3000,"&lt;"&amp;H1119,$AH$7:$AH$3000,"yes")+COUNTIFS($B$7:B1119,B1119,$C$7:C1119,C1119,$H$7:H1119,H1119,$AH$7:AH1119,"yes"),"")</f>
        <v>4</v>
      </c>
      <c r="AG1119" s="110" t="n">
        <f aca="false">IF(ISNUMBER(I1119),COUNTIFS($B$7:$B$3000,B1119,$C$7:$C$3000,C1119,$I$7:$I$3000,"&lt;"&amp;I1119,$AI$7:$AI$3000,"yes")+COUNTIFS($B$7:B1119,B1119,$C$7:C1119,C1119,$I$7:I1119,I1119,$AI$7:AI1119,"yes"),"")</f>
        <v>4</v>
      </c>
      <c r="AH1119" s="110" t="str">
        <f aca="false">IF(ISNUMBER(H1119),"yes","no")</f>
        <v>yes</v>
      </c>
      <c r="AI1119" s="110" t="str">
        <f aca="false">IF(ISNUMBER(I1119),"yes","no")</f>
        <v>yes</v>
      </c>
      <c r="AJ1119" s="120" t="n">
        <v>46297</v>
      </c>
      <c r="AK1119" s="110"/>
    </row>
    <row r="1120" customFormat="false" ht="35.05" hidden="false" customHeight="false" outlineLevel="0" collapsed="false">
      <c r="B1120" s="36" t="s">
        <v>74</v>
      </c>
      <c r="C1120" s="98" t="s">
        <v>16</v>
      </c>
      <c r="D1120" s="98" t="s">
        <v>329</v>
      </c>
      <c r="E1120" s="110" t="s">
        <v>3624</v>
      </c>
      <c r="F1120" s="99" t="n">
        <v>4.79</v>
      </c>
      <c r="G1120" s="98" t="s">
        <v>244</v>
      </c>
      <c r="H1120" s="112" t="n">
        <f aca="false">IF(AND(AE1120="yes",ISNUMBER(AD1120)),AD1120,"")</f>
        <v>4.79</v>
      </c>
      <c r="I1120" s="95" t="n">
        <f aca="false">IF(AND(AE1120="yes",ISNUMBER(AD1120),ISNUMBER(INDEX(Sources!$G$7:$G$10,MATCH(AB1120,Sources!$B$7:$B$10,0)))),ROUND(AD1120/INDEX(Sources!$G$7:$G$10,MATCH(AB1120,Sources!$B$7:$B$10,0)),6),"")</f>
        <v>4.79</v>
      </c>
      <c r="J1120" s="98" t="s">
        <v>530</v>
      </c>
      <c r="K1120" s="98" t="s">
        <v>2059</v>
      </c>
      <c r="L1120" s="96"/>
      <c r="M1120" s="110" t="s">
        <v>3646</v>
      </c>
      <c r="N1120" s="117" t="s">
        <v>3647</v>
      </c>
      <c r="O1120" s="110" t="s">
        <v>598</v>
      </c>
      <c r="P1120" s="110" t="s">
        <v>590</v>
      </c>
      <c r="Q1120" s="118" t="n">
        <v>0.19</v>
      </c>
      <c r="R1120" s="110" t="n">
        <v>1</v>
      </c>
      <c r="S1120" s="110" t="s">
        <v>632</v>
      </c>
      <c r="T1120" s="110" t="s">
        <v>530</v>
      </c>
      <c r="U1120" s="110" t="s">
        <v>2913</v>
      </c>
      <c r="V1120" s="119" t="n">
        <v>4.79</v>
      </c>
      <c r="W1120" s="119"/>
      <c r="X1120" s="110" t="s">
        <v>2063</v>
      </c>
      <c r="Y1120" s="110" t="s">
        <v>2064</v>
      </c>
      <c r="Z1120" s="110" t="s">
        <v>2624</v>
      </c>
      <c r="AA1120" s="110" t="s">
        <v>537</v>
      </c>
      <c r="AB1120" s="110" t="s">
        <v>244</v>
      </c>
      <c r="AC1120" s="110" t="s">
        <v>538</v>
      </c>
      <c r="AD1120" s="110" t="n">
        <f aca="false">IF(OR(F1120="",Q1120="",R1120=""),"",ROUND(IF(P1120="incl.",F1120/(1+Q1120),F1120)/IF(S1120="per pack",R1120,1),2))</f>
        <v>4.79</v>
      </c>
      <c r="AE1120" s="110" t="str">
        <f aca="false">IF(AND(AC1120="yes",ISNUMBER(F1120),IF(Compare!$H$5="All mapped",TRUE(),IF(Compare!$H$5="EXACT only",J1120="EXACT",OR(J1120="EXACT",J1120="CLOSE")))),"yes","no")</f>
        <v>yes</v>
      </c>
      <c r="AF1120" s="110" t="n">
        <f aca="false">IF(ISNUMBER(H1120),COUNTIFS($B$7:$B$3000,B1120,$C$7:$C$3000,C1120,$H$7:$H$3000,"&lt;"&amp;H1120,$AH$7:$AH$3000,"yes")+COUNTIFS($B$7:B1120,B1120,$C$7:C1120,C1120,$H$7:H1120,H1120,$AH$7:AH1120,"yes"),"")</f>
        <v>5</v>
      </c>
      <c r="AG1120" s="110" t="n">
        <f aca="false">IF(ISNUMBER(I1120),COUNTIFS($B$7:$B$3000,B1120,$C$7:$C$3000,C1120,$I$7:$I$3000,"&lt;"&amp;I1120,$AI$7:$AI$3000,"yes")+COUNTIFS($B$7:B1120,B1120,$C$7:C1120,C1120,$I$7:I1120,I1120,$AI$7:AI1120,"yes"),"")</f>
        <v>5</v>
      </c>
      <c r="AH1120" s="110" t="str">
        <f aca="false">IF(ISNUMBER(H1120),"yes","no")</f>
        <v>yes</v>
      </c>
      <c r="AI1120" s="110" t="str">
        <f aca="false">IF(ISNUMBER(I1120),"yes","no")</f>
        <v>yes</v>
      </c>
      <c r="AJ1120" s="120" t="n">
        <v>46297</v>
      </c>
      <c r="AK1120" s="110"/>
    </row>
    <row r="1121" customFormat="false" ht="35.05" hidden="false" customHeight="false" outlineLevel="0" collapsed="false">
      <c r="B1121" s="36" t="s">
        <v>74</v>
      </c>
      <c r="C1121" s="98" t="s">
        <v>17</v>
      </c>
      <c r="D1121" s="98" t="s">
        <v>338</v>
      </c>
      <c r="E1121" s="110" t="s">
        <v>3648</v>
      </c>
      <c r="F1121" s="99" t="n">
        <v>102</v>
      </c>
      <c r="G1121" s="98" t="s">
        <v>333</v>
      </c>
      <c r="H1121" s="112" t="n">
        <f aca="false">IF(AND(AE1121="yes",ISNUMBER(AD1121)),AD1121,"")</f>
        <v>102</v>
      </c>
      <c r="I1121" s="95" t="n">
        <f aca="false">IF(AND(AE1121="yes",ISNUMBER(AD1121),ISNUMBER(INDEX(Sources!$G$7:$G$10,MATCH(AB1121,Sources!$B$7:$B$10,0)))),ROUND(AD1121/INDEX(Sources!$G$7:$G$10,MATCH(AB1121,Sources!$B$7:$B$10,0)),6),"")</f>
        <v>4.176286</v>
      </c>
      <c r="J1121" s="98" t="s">
        <v>530</v>
      </c>
      <c r="K1121" s="98" t="s">
        <v>2059</v>
      </c>
      <c r="L1121" s="96"/>
      <c r="M1121" s="110" t="s">
        <v>3649</v>
      </c>
      <c r="N1121" s="117" t="s">
        <v>3650</v>
      </c>
      <c r="O1121" s="110" t="s">
        <v>388</v>
      </c>
      <c r="P1121" s="110" t="s">
        <v>590</v>
      </c>
      <c r="Q1121" s="118" t="n">
        <v>0.21</v>
      </c>
      <c r="R1121" s="110" t="n">
        <v>1</v>
      </c>
      <c r="S1121" s="110" t="s">
        <v>632</v>
      </c>
      <c r="T1121" s="110" t="s">
        <v>530</v>
      </c>
      <c r="U1121" s="110" t="s">
        <v>2913</v>
      </c>
      <c r="V1121" s="119" t="n">
        <v>102</v>
      </c>
      <c r="W1121" s="119"/>
      <c r="X1121" s="110" t="s">
        <v>2063</v>
      </c>
      <c r="Y1121" s="110" t="s">
        <v>2064</v>
      </c>
      <c r="Z1121" s="110" t="s">
        <v>3167</v>
      </c>
      <c r="AA1121" s="110" t="s">
        <v>537</v>
      </c>
      <c r="AB1121" s="110" t="s">
        <v>333</v>
      </c>
      <c r="AC1121" s="110" t="s">
        <v>538</v>
      </c>
      <c r="AD1121" s="110" t="n">
        <f aca="false">IF(OR(F1121="",Q1121="",R1121=""),"",ROUND(IF(P1121="incl.",F1121/(1+Q1121),F1121)/IF(S1121="per pack",R1121,1),2))</f>
        <v>102</v>
      </c>
      <c r="AE1121" s="110" t="str">
        <f aca="false">IF(AND(AC1121="yes",ISNUMBER(F1121),IF(Compare!$H$5="All mapped",TRUE(),IF(Compare!$H$5="EXACT only",J1121="EXACT",OR(J1121="EXACT",J1121="CLOSE")))),"yes","no")</f>
        <v>yes</v>
      </c>
      <c r="AF1121" s="110" t="n">
        <f aca="false">IF(ISNUMBER(H1121),COUNTIFS($B$7:$B$3000,B1121,$C$7:$C$3000,C1121,$H$7:$H$3000,"&lt;"&amp;H1121,$AH$7:$AH$3000,"yes")+COUNTIFS($B$7:B1121,B1121,$C$7:C1121,C1121,$H$7:H1121,H1121,$AH$7:AH1121,"yes"),"")</f>
        <v>3</v>
      </c>
      <c r="AG1121" s="110" t="n">
        <f aca="false">IF(ISNUMBER(I1121),COUNTIFS($B$7:$B$3000,B1121,$C$7:$C$3000,C1121,$I$7:$I$3000,"&lt;"&amp;I1121,$AI$7:$AI$3000,"yes")+COUNTIFS($B$7:B1121,B1121,$C$7:C1121,C1121,$I$7:I1121,I1121,$AI$7:AI1121,"yes"),"")</f>
        <v>3</v>
      </c>
      <c r="AH1121" s="110" t="str">
        <f aca="false">IF(ISNUMBER(H1121),"yes","no")</f>
        <v>yes</v>
      </c>
      <c r="AI1121" s="110" t="str">
        <f aca="false">IF(ISNUMBER(I1121),"yes","no")</f>
        <v>yes</v>
      </c>
      <c r="AJ1121" s="120" t="n">
        <v>46297</v>
      </c>
      <c r="AK1121" s="110"/>
    </row>
    <row r="1122" customFormat="false" ht="35.05" hidden="false" customHeight="false" outlineLevel="0" collapsed="false">
      <c r="B1122" s="36" t="s">
        <v>74</v>
      </c>
      <c r="C1122" s="98" t="s">
        <v>17</v>
      </c>
      <c r="D1122" s="98" t="s">
        <v>342</v>
      </c>
      <c r="E1122" s="110" t="s">
        <v>3651</v>
      </c>
      <c r="F1122" s="99" t="n">
        <v>91</v>
      </c>
      <c r="G1122" s="98" t="s">
        <v>333</v>
      </c>
      <c r="H1122" s="112" t="n">
        <f aca="false">IF(AND(AE1122="yes",ISNUMBER(AD1122)),AD1122,"")</f>
        <v>91</v>
      </c>
      <c r="I1122" s="95" t="n">
        <f aca="false">IF(AND(AE1122="yes",ISNUMBER(AD1122),ISNUMBER(INDEX(Sources!$G$7:$G$10,MATCH(AB1122,Sources!$B$7:$B$10,0)))),ROUND(AD1122/INDEX(Sources!$G$7:$G$10,MATCH(AB1122,Sources!$B$7:$B$10,0)),6),"")</f>
        <v>3.725902</v>
      </c>
      <c r="J1122" s="98" t="s">
        <v>530</v>
      </c>
      <c r="K1122" s="98" t="s">
        <v>2059</v>
      </c>
      <c r="L1122" s="96"/>
      <c r="M1122" s="110" t="s">
        <v>3652</v>
      </c>
      <c r="N1122" s="117" t="s">
        <v>3653</v>
      </c>
      <c r="O1122" s="110" t="s">
        <v>1138</v>
      </c>
      <c r="P1122" s="110" t="s">
        <v>590</v>
      </c>
      <c r="Q1122" s="118" t="n">
        <v>0.21</v>
      </c>
      <c r="R1122" s="110" t="n">
        <v>1</v>
      </c>
      <c r="S1122" s="110" t="s">
        <v>632</v>
      </c>
      <c r="T1122" s="110" t="s">
        <v>530</v>
      </c>
      <c r="U1122" s="110" t="s">
        <v>2913</v>
      </c>
      <c r="V1122" s="119" t="n">
        <v>91</v>
      </c>
      <c r="W1122" s="119"/>
      <c r="X1122" s="110" t="s">
        <v>2063</v>
      </c>
      <c r="Y1122" s="110" t="s">
        <v>2064</v>
      </c>
      <c r="Z1122" s="110" t="s">
        <v>2989</v>
      </c>
      <c r="AA1122" s="110" t="s">
        <v>537</v>
      </c>
      <c r="AB1122" s="110" t="s">
        <v>333</v>
      </c>
      <c r="AC1122" s="110" t="s">
        <v>538</v>
      </c>
      <c r="AD1122" s="110" t="n">
        <f aca="false">IF(OR(F1122="",Q1122="",R1122=""),"",ROUND(IF(P1122="incl.",F1122/(1+Q1122),F1122)/IF(S1122="per pack",R1122,1),2))</f>
        <v>91</v>
      </c>
      <c r="AE1122" s="110" t="str">
        <f aca="false">IF(AND(AC1122="yes",ISNUMBER(F1122),IF(Compare!$H$5="All mapped",TRUE(),IF(Compare!$H$5="EXACT only",J1122="EXACT",OR(J1122="EXACT",J1122="CLOSE")))),"yes","no")</f>
        <v>yes</v>
      </c>
      <c r="AF1122" s="110" t="n">
        <f aca="false">IF(ISNUMBER(H1122),COUNTIFS($B$7:$B$3000,B1122,$C$7:$C$3000,C1122,$H$7:$H$3000,"&lt;"&amp;H1122,$AH$7:$AH$3000,"yes")+COUNTIFS($B$7:B1122,B1122,$C$7:C1122,C1122,$H$7:H1122,H1122,$AH$7:AH1122,"yes"),"")</f>
        <v>2</v>
      </c>
      <c r="AG1122" s="110" t="n">
        <f aca="false">IF(ISNUMBER(I1122),COUNTIFS($B$7:$B$3000,B1122,$C$7:$C$3000,C1122,$I$7:$I$3000,"&lt;"&amp;I1122,$AI$7:$AI$3000,"yes")+COUNTIFS($B$7:B1122,B1122,$C$7:C1122,C1122,$I$7:I1122,I1122,$AI$7:AI1122,"yes"),"")</f>
        <v>2</v>
      </c>
      <c r="AH1122" s="110" t="str">
        <f aca="false">IF(ISNUMBER(H1122),"yes","no")</f>
        <v>yes</v>
      </c>
      <c r="AI1122" s="110" t="str">
        <f aca="false">IF(ISNUMBER(I1122),"yes","no")</f>
        <v>yes</v>
      </c>
      <c r="AJ1122" s="120" t="n">
        <v>46297</v>
      </c>
      <c r="AK1122" s="110"/>
    </row>
    <row r="1123" customFormat="false" ht="46.25" hidden="false" customHeight="false" outlineLevel="0" collapsed="false">
      <c r="B1123" s="36" t="s">
        <v>74</v>
      </c>
      <c r="C1123" s="98" t="s">
        <v>17</v>
      </c>
      <c r="D1123" s="98" t="s">
        <v>346</v>
      </c>
      <c r="E1123" s="110" t="s">
        <v>3654</v>
      </c>
      <c r="F1123" s="99" t="n">
        <v>183</v>
      </c>
      <c r="G1123" s="98" t="s">
        <v>333</v>
      </c>
      <c r="H1123" s="112" t="n">
        <f aca="false">IF(AND(AE1123="yes",ISNUMBER(AD1123)),AD1123,"")</f>
        <v>183</v>
      </c>
      <c r="I1123" s="95" t="n">
        <f aca="false">IF(AND(AE1123="yes",ISNUMBER(AD1123),ISNUMBER(INDEX(Sources!$G$7:$G$10,MATCH(AB1123,Sources!$B$7:$B$10,0)))),ROUND(AD1123/INDEX(Sources!$G$7:$G$10,MATCH(AB1123,Sources!$B$7:$B$10,0)),6),"")</f>
        <v>7.492748</v>
      </c>
      <c r="J1123" s="98" t="s">
        <v>530</v>
      </c>
      <c r="K1123" s="98" t="s">
        <v>2059</v>
      </c>
      <c r="L1123" s="96"/>
      <c r="M1123" s="110" t="s">
        <v>3655</v>
      </c>
      <c r="N1123" s="117" t="s">
        <v>3656</v>
      </c>
      <c r="O1123" s="110" t="s">
        <v>565</v>
      </c>
      <c r="P1123" s="110" t="s">
        <v>590</v>
      </c>
      <c r="Q1123" s="118" t="n">
        <v>0.21</v>
      </c>
      <c r="R1123" s="110" t="n">
        <v>1</v>
      </c>
      <c r="S1123" s="110" t="s">
        <v>632</v>
      </c>
      <c r="T1123" s="110" t="s">
        <v>530</v>
      </c>
      <c r="U1123" s="110" t="s">
        <v>2913</v>
      </c>
      <c r="V1123" s="119" t="n">
        <v>183</v>
      </c>
      <c r="W1123" s="119"/>
      <c r="X1123" s="110" t="s">
        <v>2063</v>
      </c>
      <c r="Y1123" s="110" t="s">
        <v>2064</v>
      </c>
      <c r="Z1123" s="110" t="s">
        <v>2993</v>
      </c>
      <c r="AA1123" s="110" t="s">
        <v>537</v>
      </c>
      <c r="AB1123" s="110" t="s">
        <v>333</v>
      </c>
      <c r="AC1123" s="110" t="s">
        <v>538</v>
      </c>
      <c r="AD1123" s="110" t="n">
        <f aca="false">IF(OR(F1123="",Q1123="",R1123=""),"",ROUND(IF(P1123="incl.",F1123/(1+Q1123),F1123)/IF(S1123="per pack",R1123,1),2))</f>
        <v>183</v>
      </c>
      <c r="AE1123" s="110" t="str">
        <f aca="false">IF(AND(AC1123="yes",ISNUMBER(F1123),IF(Compare!$H$5="All mapped",TRUE(),IF(Compare!$H$5="EXACT only",J1123="EXACT",OR(J1123="EXACT",J1123="CLOSE")))),"yes","no")</f>
        <v>yes</v>
      </c>
      <c r="AF1123" s="110" t="n">
        <f aca="false">IF(ISNUMBER(H1123),COUNTIFS($B$7:$B$3000,B1123,$C$7:$C$3000,C1123,$H$7:$H$3000,"&lt;"&amp;H1123,$AH$7:$AH$3000,"yes")+COUNTIFS($B$7:B1123,B1123,$C$7:C1123,C1123,$H$7:H1123,H1123,$AH$7:AH1123,"yes"),"")</f>
        <v>5</v>
      </c>
      <c r="AG1123" s="110" t="n">
        <f aca="false">IF(ISNUMBER(I1123),COUNTIFS($B$7:$B$3000,B1123,$C$7:$C$3000,C1123,$I$7:$I$3000,"&lt;"&amp;I1123,$AI$7:$AI$3000,"yes")+COUNTIFS($B$7:B1123,B1123,$C$7:C1123,C1123,$I$7:I1123,I1123,$AI$7:AI1123,"yes"),"")</f>
        <v>5</v>
      </c>
      <c r="AH1123" s="110" t="str">
        <f aca="false">IF(ISNUMBER(H1123),"yes","no")</f>
        <v>yes</v>
      </c>
      <c r="AI1123" s="110" t="str">
        <f aca="false">IF(ISNUMBER(I1123),"yes","no")</f>
        <v>yes</v>
      </c>
      <c r="AJ1123" s="120" t="n">
        <v>46297</v>
      </c>
      <c r="AK1123" s="110"/>
    </row>
    <row r="1124" customFormat="false" ht="35.05" hidden="false" customHeight="false" outlineLevel="0" collapsed="false">
      <c r="B1124" s="36" t="s">
        <v>74</v>
      </c>
      <c r="C1124" s="98" t="s">
        <v>17</v>
      </c>
      <c r="D1124" s="98" t="s">
        <v>350</v>
      </c>
      <c r="E1124" s="110" t="s">
        <v>3657</v>
      </c>
      <c r="F1124" s="99" t="n">
        <v>85</v>
      </c>
      <c r="G1124" s="98" t="s">
        <v>333</v>
      </c>
      <c r="H1124" s="112" t="n">
        <f aca="false">IF(AND(AE1124="yes",ISNUMBER(AD1124)),AD1124,"")</f>
        <v>70.25</v>
      </c>
      <c r="I1124" s="95" t="n">
        <f aca="false">IF(AND(AE1124="yes",ISNUMBER(AD1124),ISNUMBER(INDEX(Sources!$G$7:$G$10,MATCH(AB1124,Sources!$B$7:$B$10,0)))),ROUND(AD1124/INDEX(Sources!$G$7:$G$10,MATCH(AB1124,Sources!$B$7:$B$10,0)),6),"")</f>
        <v>2.876314</v>
      </c>
      <c r="J1124" s="98" t="s">
        <v>530</v>
      </c>
      <c r="K1124" s="98" t="s">
        <v>2059</v>
      </c>
      <c r="L1124" s="96"/>
      <c r="M1124" s="110" t="s">
        <v>3658</v>
      </c>
      <c r="N1124" s="117" t="s">
        <v>3659</v>
      </c>
      <c r="O1124" s="110" t="s">
        <v>2997</v>
      </c>
      <c r="P1124" s="110" t="s">
        <v>265</v>
      </c>
      <c r="Q1124" s="118" t="n">
        <v>0.21</v>
      </c>
      <c r="R1124" s="110" t="n">
        <v>1</v>
      </c>
      <c r="S1124" s="110" t="s">
        <v>632</v>
      </c>
      <c r="T1124" s="110" t="s">
        <v>530</v>
      </c>
      <c r="U1124" s="110" t="s">
        <v>2918</v>
      </c>
      <c r="V1124" s="119" t="n">
        <v>70.25</v>
      </c>
      <c r="W1124" s="119"/>
      <c r="X1124" s="110" t="s">
        <v>2063</v>
      </c>
      <c r="Y1124" s="110" t="s">
        <v>2064</v>
      </c>
      <c r="Z1124" s="110" t="s">
        <v>2344</v>
      </c>
      <c r="AA1124" s="110" t="s">
        <v>537</v>
      </c>
      <c r="AB1124" s="110" t="s">
        <v>333</v>
      </c>
      <c r="AC1124" s="110" t="s">
        <v>538</v>
      </c>
      <c r="AD1124" s="110" t="n">
        <f aca="false">IF(OR(F1124="",Q1124="",R1124=""),"",ROUND(IF(P1124="incl.",F1124/(1+Q1124),F1124)/IF(S1124="per pack",R1124,1),2))</f>
        <v>70.25</v>
      </c>
      <c r="AE1124" s="110" t="str">
        <f aca="false">IF(AND(AC1124="yes",ISNUMBER(F1124),IF(Compare!$H$5="All mapped",TRUE(),IF(Compare!$H$5="EXACT only",J1124="EXACT",OR(J1124="EXACT",J1124="CLOSE")))),"yes","no")</f>
        <v>yes</v>
      </c>
      <c r="AF1124" s="110" t="n">
        <f aca="false">IF(ISNUMBER(H1124),COUNTIFS($B$7:$B$3000,B1124,$C$7:$C$3000,C1124,$H$7:$H$3000,"&lt;"&amp;H1124,$AH$7:$AH$3000,"yes")+COUNTIFS($B$7:B1124,B1124,$C$7:C1124,C1124,$H$7:H1124,H1124,$AH$7:AH1124,"yes"),"")</f>
        <v>1</v>
      </c>
      <c r="AG1124" s="110" t="n">
        <f aca="false">IF(ISNUMBER(I1124),COUNTIFS($B$7:$B$3000,B1124,$C$7:$C$3000,C1124,$I$7:$I$3000,"&lt;"&amp;I1124,$AI$7:$AI$3000,"yes")+COUNTIFS($B$7:B1124,B1124,$C$7:C1124,C1124,$I$7:I1124,I1124,$AI$7:AI1124,"yes"),"")</f>
        <v>1</v>
      </c>
      <c r="AH1124" s="110" t="str">
        <f aca="false">IF(ISNUMBER(H1124),"yes","no")</f>
        <v>yes</v>
      </c>
      <c r="AI1124" s="110" t="str">
        <f aca="false">IF(ISNUMBER(I1124),"yes","no")</f>
        <v>yes</v>
      </c>
      <c r="AJ1124" s="120" t="n">
        <v>46297</v>
      </c>
      <c r="AK1124" s="110"/>
    </row>
    <row r="1125" customFormat="false" ht="23.85" hidden="false" customHeight="false" outlineLevel="0" collapsed="false">
      <c r="B1125" s="36" t="s">
        <v>74</v>
      </c>
      <c r="C1125" s="98" t="s">
        <v>17</v>
      </c>
      <c r="D1125" s="98" t="s">
        <v>361</v>
      </c>
      <c r="E1125" s="110" t="s">
        <v>3660</v>
      </c>
      <c r="F1125" s="99" t="n">
        <v>141</v>
      </c>
      <c r="G1125" s="98" t="s">
        <v>333</v>
      </c>
      <c r="H1125" s="112" t="n">
        <f aca="false">IF(AND(AE1125="yes",ISNUMBER(AD1125)),AD1125,"")</f>
        <v>141</v>
      </c>
      <c r="I1125" s="95" t="n">
        <f aca="false">IF(AND(AE1125="yes",ISNUMBER(AD1125),ISNUMBER(INDEX(Sources!$G$7:$G$10,MATCH(AB1125,Sources!$B$7:$B$10,0)))),ROUND(AD1125/INDEX(Sources!$G$7:$G$10,MATCH(AB1125,Sources!$B$7:$B$10,0)),6),"")</f>
        <v>5.773101</v>
      </c>
      <c r="J1125" s="98" t="s">
        <v>530</v>
      </c>
      <c r="K1125" s="98" t="s">
        <v>2059</v>
      </c>
      <c r="L1125" s="96"/>
      <c r="M1125" s="110" t="s">
        <v>3661</v>
      </c>
      <c r="N1125" s="117" t="s">
        <v>3662</v>
      </c>
      <c r="O1125" s="110" t="s">
        <v>642</v>
      </c>
      <c r="P1125" s="110" t="s">
        <v>590</v>
      </c>
      <c r="Q1125" s="118" t="n">
        <v>0.21</v>
      </c>
      <c r="R1125" s="110" t="n">
        <v>1</v>
      </c>
      <c r="S1125" s="110" t="s">
        <v>632</v>
      </c>
      <c r="T1125" s="110" t="s">
        <v>530</v>
      </c>
      <c r="U1125" s="110" t="s">
        <v>2913</v>
      </c>
      <c r="V1125" s="119" t="n">
        <v>141</v>
      </c>
      <c r="W1125" s="119"/>
      <c r="X1125" s="110" t="s">
        <v>2063</v>
      </c>
      <c r="Y1125" s="110" t="s">
        <v>2064</v>
      </c>
      <c r="Z1125" s="110" t="s">
        <v>3663</v>
      </c>
      <c r="AA1125" s="110" t="s">
        <v>537</v>
      </c>
      <c r="AB1125" s="110" t="s">
        <v>333</v>
      </c>
      <c r="AC1125" s="110" t="s">
        <v>538</v>
      </c>
      <c r="AD1125" s="110" t="n">
        <f aca="false">IF(OR(F1125="",Q1125="",R1125=""),"",ROUND(IF(P1125="incl.",F1125/(1+Q1125),F1125)/IF(S1125="per pack",R1125,1),2))</f>
        <v>141</v>
      </c>
      <c r="AE1125" s="110" t="str">
        <f aca="false">IF(AND(AC1125="yes",ISNUMBER(F1125),IF(Compare!$H$5="All mapped",TRUE(),IF(Compare!$H$5="EXACT only",J1125="EXACT",OR(J1125="EXACT",J1125="CLOSE")))),"yes","no")</f>
        <v>yes</v>
      </c>
      <c r="AF1125" s="110" t="n">
        <f aca="false">IF(ISNUMBER(H1125),COUNTIFS($B$7:$B$3000,B1125,$C$7:$C$3000,C1125,$H$7:$H$3000,"&lt;"&amp;H1125,$AH$7:$AH$3000,"yes")+COUNTIFS($B$7:B1125,B1125,$C$7:C1125,C1125,$H$7:H1125,H1125,$AH$7:AH1125,"yes"),"")</f>
        <v>4</v>
      </c>
      <c r="AG1125" s="110" t="n">
        <f aca="false">IF(ISNUMBER(I1125),COUNTIFS($B$7:$B$3000,B1125,$C$7:$C$3000,C1125,$I$7:$I$3000,"&lt;"&amp;I1125,$AI$7:$AI$3000,"yes")+COUNTIFS($B$7:B1125,B1125,$C$7:C1125,C1125,$I$7:I1125,I1125,$AI$7:AI1125,"yes"),"")</f>
        <v>4</v>
      </c>
      <c r="AH1125" s="110" t="str">
        <f aca="false">IF(ISNUMBER(H1125),"yes","no")</f>
        <v>yes</v>
      </c>
      <c r="AI1125" s="110" t="str">
        <f aca="false">IF(ISNUMBER(I1125),"yes","no")</f>
        <v>yes</v>
      </c>
      <c r="AJ1125" s="120" t="n">
        <v>46297</v>
      </c>
      <c r="AK1125" s="110"/>
    </row>
    <row r="1126" customFormat="false" ht="23.85" hidden="false" customHeight="false" outlineLevel="0" collapsed="false">
      <c r="B1126" s="36" t="s">
        <v>74</v>
      </c>
      <c r="C1126" s="98" t="s">
        <v>18</v>
      </c>
      <c r="D1126" s="98" t="s">
        <v>3002</v>
      </c>
      <c r="E1126" s="110" t="s">
        <v>3664</v>
      </c>
      <c r="F1126" s="99" t="n">
        <v>4.45</v>
      </c>
      <c r="G1126" s="98" t="s">
        <v>244</v>
      </c>
      <c r="H1126" s="112" t="n">
        <f aca="false">IF(AND(AE1126="yes",ISNUMBER(AD1126)),AD1126,"")</f>
        <v>4.45</v>
      </c>
      <c r="I1126" s="95" t="n">
        <f aca="false">IF(AND(AE1126="yes",ISNUMBER(AD1126),ISNUMBER(INDEX(Sources!$G$7:$G$10,MATCH(AB1126,Sources!$B$7:$B$10,0)))),ROUND(AD1126/INDEX(Sources!$G$7:$G$10,MATCH(AB1126,Sources!$B$7:$B$10,0)),6),"")</f>
        <v>4.45</v>
      </c>
      <c r="J1126" s="98" t="s">
        <v>530</v>
      </c>
      <c r="K1126" s="98" t="s">
        <v>2059</v>
      </c>
      <c r="L1126" s="96"/>
      <c r="M1126" s="110" t="s">
        <v>3665</v>
      </c>
      <c r="N1126" s="117" t="s">
        <v>3005</v>
      </c>
      <c r="O1126" s="110" t="s">
        <v>2396</v>
      </c>
      <c r="P1126" s="110" t="s">
        <v>590</v>
      </c>
      <c r="Q1126" s="118" t="n">
        <v>0.23</v>
      </c>
      <c r="R1126" s="110" t="n">
        <v>1</v>
      </c>
      <c r="S1126" s="110" t="s">
        <v>632</v>
      </c>
      <c r="T1126" s="110" t="s">
        <v>530</v>
      </c>
      <c r="U1126" s="110" t="s">
        <v>2913</v>
      </c>
      <c r="V1126" s="119" t="n">
        <v>4.45</v>
      </c>
      <c r="W1126" s="119"/>
      <c r="X1126" s="110" t="s">
        <v>2063</v>
      </c>
      <c r="Y1126" s="110" t="s">
        <v>2064</v>
      </c>
      <c r="Z1126" s="110" t="s">
        <v>3268</v>
      </c>
      <c r="AA1126" s="110" t="s">
        <v>537</v>
      </c>
      <c r="AB1126" s="110" t="s">
        <v>244</v>
      </c>
      <c r="AC1126" s="110" t="s">
        <v>538</v>
      </c>
      <c r="AD1126" s="110" t="n">
        <f aca="false">IF(OR(F1126="",Q1126="",R1126=""),"",ROUND(IF(P1126="incl.",F1126/(1+Q1126),F1126)/IF(S1126="per pack",R1126,1),2))</f>
        <v>4.45</v>
      </c>
      <c r="AE1126" s="110" t="str">
        <f aca="false">IF(AND(AC1126="yes",ISNUMBER(F1126),IF(Compare!$H$5="All mapped",TRUE(),IF(Compare!$H$5="EXACT only",J1126="EXACT",OR(J1126="EXACT",J1126="CLOSE")))),"yes","no")</f>
        <v>yes</v>
      </c>
      <c r="AF1126" s="110" t="n">
        <f aca="false">IF(ISNUMBER(H1126),COUNTIFS($B$7:$B$3000,B1126,$C$7:$C$3000,C1126,$H$7:$H$3000,"&lt;"&amp;H1126,$AH$7:$AH$3000,"yes")+COUNTIFS($B$7:B1126,B1126,$C$7:C1126,C1126,$H$7:H1126,H1126,$AH$7:AH1126,"yes"),"")</f>
        <v>4</v>
      </c>
      <c r="AG1126" s="110" t="n">
        <f aca="false">IF(ISNUMBER(I1126),COUNTIFS($B$7:$B$3000,B1126,$C$7:$C$3000,C1126,$I$7:$I$3000,"&lt;"&amp;I1126,$AI$7:$AI$3000,"yes")+COUNTIFS($B$7:B1126,B1126,$C$7:C1126,C1126,$I$7:I1126,I1126,$AI$7:AI1126,"yes"),"")</f>
        <v>4</v>
      </c>
      <c r="AH1126" s="110" t="str">
        <f aca="false">IF(ISNUMBER(H1126),"yes","no")</f>
        <v>yes</v>
      </c>
      <c r="AI1126" s="110" t="str">
        <f aca="false">IF(ISNUMBER(I1126),"yes","no")</f>
        <v>yes</v>
      </c>
      <c r="AJ1126" s="120" t="n">
        <v>46297</v>
      </c>
      <c r="AK1126" s="110"/>
    </row>
    <row r="1127" customFormat="false" ht="23.85" hidden="false" customHeight="false" outlineLevel="0" collapsed="false">
      <c r="B1127" s="36" t="s">
        <v>74</v>
      </c>
      <c r="C1127" s="98" t="s">
        <v>18</v>
      </c>
      <c r="D1127" s="98" t="s">
        <v>3007</v>
      </c>
      <c r="E1127" s="110" t="s">
        <v>3666</v>
      </c>
      <c r="F1127" s="99" t="n">
        <v>3.68</v>
      </c>
      <c r="G1127" s="98" t="s">
        <v>244</v>
      </c>
      <c r="H1127" s="112" t="n">
        <f aca="false">IF(AND(AE1127="yes",ISNUMBER(AD1127)),AD1127,"")</f>
        <v>3.68</v>
      </c>
      <c r="I1127" s="95" t="n">
        <f aca="false">IF(AND(AE1127="yes",ISNUMBER(AD1127),ISNUMBER(INDEX(Sources!$G$7:$G$10,MATCH(AB1127,Sources!$B$7:$B$10,0)))),ROUND(AD1127/INDEX(Sources!$G$7:$G$10,MATCH(AB1127,Sources!$B$7:$B$10,0)),6),"")</f>
        <v>3.68</v>
      </c>
      <c r="J1127" s="98" t="s">
        <v>530</v>
      </c>
      <c r="K1127" s="98" t="s">
        <v>2059</v>
      </c>
      <c r="L1127" s="96"/>
      <c r="M1127" s="110" t="s">
        <v>3667</v>
      </c>
      <c r="N1127" s="117" t="s">
        <v>3010</v>
      </c>
      <c r="O1127" s="110" t="s">
        <v>3011</v>
      </c>
      <c r="P1127" s="110" t="s">
        <v>590</v>
      </c>
      <c r="Q1127" s="118" t="n">
        <v>0.23</v>
      </c>
      <c r="R1127" s="110" t="n">
        <v>1</v>
      </c>
      <c r="S1127" s="110" t="s">
        <v>632</v>
      </c>
      <c r="T1127" s="110" t="s">
        <v>530</v>
      </c>
      <c r="U1127" s="110" t="s">
        <v>2913</v>
      </c>
      <c r="V1127" s="119" t="n">
        <v>3.68</v>
      </c>
      <c r="W1127" s="119"/>
      <c r="X1127" s="110" t="s">
        <v>2063</v>
      </c>
      <c r="Y1127" s="110" t="s">
        <v>2064</v>
      </c>
      <c r="Z1127" s="110" t="s">
        <v>3012</v>
      </c>
      <c r="AA1127" s="110" t="s">
        <v>537</v>
      </c>
      <c r="AB1127" s="110" t="s">
        <v>244</v>
      </c>
      <c r="AC1127" s="110" t="s">
        <v>538</v>
      </c>
      <c r="AD1127" s="110" t="n">
        <f aca="false">IF(OR(F1127="",Q1127="",R1127=""),"",ROUND(IF(P1127="incl.",F1127/(1+Q1127),F1127)/IF(S1127="per pack",R1127,1),2))</f>
        <v>3.68</v>
      </c>
      <c r="AE1127" s="110" t="str">
        <f aca="false">IF(AND(AC1127="yes",ISNUMBER(F1127),IF(Compare!$H$5="All mapped",TRUE(),IF(Compare!$H$5="EXACT only",J1127="EXACT",OR(J1127="EXACT",J1127="CLOSE")))),"yes","no")</f>
        <v>yes</v>
      </c>
      <c r="AF1127" s="110" t="n">
        <f aca="false">IF(ISNUMBER(H1127),COUNTIFS($B$7:$B$3000,B1127,$C$7:$C$3000,C1127,$H$7:$H$3000,"&lt;"&amp;H1127,$AH$7:$AH$3000,"yes")+COUNTIFS($B$7:B1127,B1127,$C$7:C1127,C1127,$H$7:H1127,H1127,$AH$7:AH1127,"yes"),"")</f>
        <v>3</v>
      </c>
      <c r="AG1127" s="110" t="n">
        <f aca="false">IF(ISNUMBER(I1127),COUNTIFS($B$7:$B$3000,B1127,$C$7:$C$3000,C1127,$I$7:$I$3000,"&lt;"&amp;I1127,$AI$7:$AI$3000,"yes")+COUNTIFS($B$7:B1127,B1127,$C$7:C1127,C1127,$I$7:I1127,I1127,$AI$7:AI1127,"yes"),"")</f>
        <v>3</v>
      </c>
      <c r="AH1127" s="110" t="str">
        <f aca="false">IF(ISNUMBER(H1127),"yes","no")</f>
        <v>yes</v>
      </c>
      <c r="AI1127" s="110" t="str">
        <f aca="false">IF(ISNUMBER(I1127),"yes","no")</f>
        <v>yes</v>
      </c>
      <c r="AJ1127" s="120" t="n">
        <v>46297</v>
      </c>
      <c r="AK1127" s="110"/>
    </row>
    <row r="1128" customFormat="false" ht="35.05" hidden="false" customHeight="false" outlineLevel="0" collapsed="false">
      <c r="B1128" s="36" t="s">
        <v>74</v>
      </c>
      <c r="C1128" s="98" t="s">
        <v>18</v>
      </c>
      <c r="D1128" s="98" t="s">
        <v>365</v>
      </c>
      <c r="E1128" s="110" t="s">
        <v>3668</v>
      </c>
      <c r="F1128" s="99" t="n">
        <v>3.09</v>
      </c>
      <c r="G1128" s="98" t="s">
        <v>244</v>
      </c>
      <c r="H1128" s="112" t="n">
        <f aca="false">IF(AND(AE1128="yes",ISNUMBER(AD1128)),AD1128,"")</f>
        <v>2.51</v>
      </c>
      <c r="I1128" s="95" t="n">
        <f aca="false">IF(AND(AE1128="yes",ISNUMBER(AD1128),ISNUMBER(INDEX(Sources!$G$7:$G$10,MATCH(AB1128,Sources!$B$7:$B$10,0)))),ROUND(AD1128/INDEX(Sources!$G$7:$G$10,MATCH(AB1128,Sources!$B$7:$B$10,0)),6),"")</f>
        <v>2.51</v>
      </c>
      <c r="J1128" s="98" t="s">
        <v>530</v>
      </c>
      <c r="K1128" s="98" t="s">
        <v>2059</v>
      </c>
      <c r="L1128" s="96"/>
      <c r="M1128" s="110" t="s">
        <v>3669</v>
      </c>
      <c r="N1128" s="117" t="s">
        <v>3670</v>
      </c>
      <c r="O1128" s="110" t="s">
        <v>662</v>
      </c>
      <c r="P1128" s="110" t="s">
        <v>265</v>
      </c>
      <c r="Q1128" s="118" t="n">
        <v>0.23</v>
      </c>
      <c r="R1128" s="110" t="n">
        <v>1</v>
      </c>
      <c r="S1128" s="110" t="s">
        <v>632</v>
      </c>
      <c r="T1128" s="110" t="s">
        <v>530</v>
      </c>
      <c r="U1128" s="110" t="s">
        <v>2918</v>
      </c>
      <c r="V1128" s="119" t="n">
        <v>2.51</v>
      </c>
      <c r="W1128" s="119"/>
      <c r="X1128" s="110" t="s">
        <v>2063</v>
      </c>
      <c r="Y1128" s="110" t="s">
        <v>2064</v>
      </c>
      <c r="Z1128" s="110" t="s">
        <v>3016</v>
      </c>
      <c r="AA1128" s="110" t="s">
        <v>537</v>
      </c>
      <c r="AB1128" s="110" t="s">
        <v>244</v>
      </c>
      <c r="AC1128" s="110" t="s">
        <v>538</v>
      </c>
      <c r="AD1128" s="110" t="n">
        <f aca="false">IF(OR(F1128="",Q1128="",R1128=""),"",ROUND(IF(P1128="incl.",F1128/(1+Q1128),F1128)/IF(S1128="per pack",R1128,1),2))</f>
        <v>2.51</v>
      </c>
      <c r="AE1128" s="110" t="str">
        <f aca="false">IF(AND(AC1128="yes",ISNUMBER(F1128),IF(Compare!$H$5="All mapped",TRUE(),IF(Compare!$H$5="EXACT only",J1128="EXACT",OR(J1128="EXACT",J1128="CLOSE")))),"yes","no")</f>
        <v>yes</v>
      </c>
      <c r="AF1128" s="110" t="n">
        <f aca="false">IF(ISNUMBER(H1128),COUNTIFS($B$7:$B$3000,B1128,$C$7:$C$3000,C1128,$H$7:$H$3000,"&lt;"&amp;H1128,$AH$7:$AH$3000,"yes")+COUNTIFS($B$7:B1128,B1128,$C$7:C1128,C1128,$H$7:H1128,H1128,$AH$7:AH1128,"yes"),"")</f>
        <v>1</v>
      </c>
      <c r="AG1128" s="110" t="n">
        <f aca="false">IF(ISNUMBER(I1128),COUNTIFS($B$7:$B$3000,B1128,$C$7:$C$3000,C1128,$I$7:$I$3000,"&lt;"&amp;I1128,$AI$7:$AI$3000,"yes")+COUNTIFS($B$7:B1128,B1128,$C$7:C1128,C1128,$I$7:I1128,I1128,$AI$7:AI1128,"yes"),"")</f>
        <v>1</v>
      </c>
      <c r="AH1128" s="110" t="str">
        <f aca="false">IF(ISNUMBER(H1128),"yes","no")</f>
        <v>yes</v>
      </c>
      <c r="AI1128" s="110" t="str">
        <f aca="false">IF(ISNUMBER(I1128),"yes","no")</f>
        <v>yes</v>
      </c>
      <c r="AJ1128" s="120" t="n">
        <v>46297</v>
      </c>
      <c r="AK1128" s="110"/>
    </row>
    <row r="1129" customFormat="false" ht="35.05" hidden="false" customHeight="false" outlineLevel="0" collapsed="false">
      <c r="B1129" s="36" t="s">
        <v>74</v>
      </c>
      <c r="C1129" s="98" t="s">
        <v>18</v>
      </c>
      <c r="D1129" s="98" t="s">
        <v>369</v>
      </c>
      <c r="E1129" s="110" t="s">
        <v>3671</v>
      </c>
      <c r="F1129" s="99" t="n">
        <v>13.24</v>
      </c>
      <c r="G1129" s="98" t="s">
        <v>244</v>
      </c>
      <c r="H1129" s="112" t="n">
        <f aca="false">IF(AND(AE1129="yes",ISNUMBER(AD1129)),AD1129,"")</f>
        <v>10.76</v>
      </c>
      <c r="I1129" s="95" t="n">
        <f aca="false">IF(AND(AE1129="yes",ISNUMBER(AD1129),ISNUMBER(INDEX(Sources!$G$7:$G$10,MATCH(AB1129,Sources!$B$7:$B$10,0)))),ROUND(AD1129/INDEX(Sources!$G$7:$G$10,MATCH(AB1129,Sources!$B$7:$B$10,0)),6),"")</f>
        <v>10.76</v>
      </c>
      <c r="J1129" s="98" t="s">
        <v>530</v>
      </c>
      <c r="K1129" s="98" t="s">
        <v>2059</v>
      </c>
      <c r="L1129" s="96"/>
      <c r="M1129" s="110" t="s">
        <v>3672</v>
      </c>
      <c r="N1129" s="117" t="s">
        <v>3673</v>
      </c>
      <c r="O1129" s="110" t="s">
        <v>565</v>
      </c>
      <c r="P1129" s="110" t="s">
        <v>265</v>
      </c>
      <c r="Q1129" s="118" t="n">
        <v>0.23</v>
      </c>
      <c r="R1129" s="110" t="n">
        <v>1</v>
      </c>
      <c r="S1129" s="110" t="s">
        <v>632</v>
      </c>
      <c r="T1129" s="110" t="s">
        <v>530</v>
      </c>
      <c r="U1129" s="110" t="s">
        <v>2918</v>
      </c>
      <c r="V1129" s="119" t="n">
        <v>10.76</v>
      </c>
      <c r="W1129" s="119"/>
      <c r="X1129" s="110" t="s">
        <v>2063</v>
      </c>
      <c r="Y1129" s="110" t="s">
        <v>2064</v>
      </c>
      <c r="Z1129" s="110" t="s">
        <v>3354</v>
      </c>
      <c r="AA1129" s="110" t="s">
        <v>537</v>
      </c>
      <c r="AB1129" s="110" t="s">
        <v>244</v>
      </c>
      <c r="AC1129" s="110" t="s">
        <v>538</v>
      </c>
      <c r="AD1129" s="110" t="n">
        <f aca="false">IF(OR(F1129="",Q1129="",R1129=""),"",ROUND(IF(P1129="incl.",F1129/(1+Q1129),F1129)/IF(S1129="per pack",R1129,1),2))</f>
        <v>10.76</v>
      </c>
      <c r="AE1129" s="110" t="str">
        <f aca="false">IF(AND(AC1129="yes",ISNUMBER(F1129),IF(Compare!$H$5="All mapped",TRUE(),IF(Compare!$H$5="EXACT only",J1129="EXACT",OR(J1129="EXACT",J1129="CLOSE")))),"yes","no")</f>
        <v>yes</v>
      </c>
      <c r="AF1129" s="110" t="n">
        <f aca="false">IF(ISNUMBER(H1129),COUNTIFS($B$7:$B$3000,B1129,$C$7:$C$3000,C1129,$H$7:$H$3000,"&lt;"&amp;H1129,$AH$7:$AH$3000,"yes")+COUNTIFS($B$7:B1129,B1129,$C$7:C1129,C1129,$H$7:H1129,H1129,$AH$7:AH1129,"yes"),"")</f>
        <v>5</v>
      </c>
      <c r="AG1129" s="110" t="n">
        <f aca="false">IF(ISNUMBER(I1129),COUNTIFS($B$7:$B$3000,B1129,$C$7:$C$3000,C1129,$I$7:$I$3000,"&lt;"&amp;I1129,$AI$7:$AI$3000,"yes")+COUNTIFS($B$7:B1129,B1129,$C$7:C1129,C1129,$I$7:I1129,I1129,$AI$7:AI1129,"yes"),"")</f>
        <v>5</v>
      </c>
      <c r="AH1129" s="110" t="str">
        <f aca="false">IF(ISNUMBER(H1129),"yes","no")</f>
        <v>yes</v>
      </c>
      <c r="AI1129" s="110" t="str">
        <f aca="false">IF(ISNUMBER(I1129),"yes","no")</f>
        <v>yes</v>
      </c>
      <c r="AJ1129" s="120" t="n">
        <v>46297</v>
      </c>
      <c r="AK1129" s="110"/>
    </row>
    <row r="1130" customFormat="false" ht="35.05" hidden="false" customHeight="false" outlineLevel="0" collapsed="false">
      <c r="B1130" s="36" t="s">
        <v>74</v>
      </c>
      <c r="C1130" s="98" t="s">
        <v>18</v>
      </c>
      <c r="D1130" s="98" t="s">
        <v>3021</v>
      </c>
      <c r="E1130" s="110" t="s">
        <v>3674</v>
      </c>
      <c r="F1130" s="99" t="n">
        <v>3.4</v>
      </c>
      <c r="G1130" s="98" t="s">
        <v>244</v>
      </c>
      <c r="H1130" s="112" t="n">
        <f aca="false">IF(AND(AE1130="yes",ISNUMBER(AD1130)),AD1130,"")</f>
        <v>3.4</v>
      </c>
      <c r="I1130" s="95" t="n">
        <f aca="false">IF(AND(AE1130="yes",ISNUMBER(AD1130),ISNUMBER(INDEX(Sources!$G$7:$G$10,MATCH(AB1130,Sources!$B$7:$B$10,0)))),ROUND(AD1130/INDEX(Sources!$G$7:$G$10,MATCH(AB1130,Sources!$B$7:$B$10,0)),6),"")</f>
        <v>3.4</v>
      </c>
      <c r="J1130" s="98" t="s">
        <v>530</v>
      </c>
      <c r="K1130" s="98" t="s">
        <v>2059</v>
      </c>
      <c r="L1130" s="96"/>
      <c r="M1130" s="110" t="s">
        <v>3675</v>
      </c>
      <c r="N1130" s="117" t="s">
        <v>3023</v>
      </c>
      <c r="O1130" s="110" t="s">
        <v>3024</v>
      </c>
      <c r="P1130" s="110" t="s">
        <v>590</v>
      </c>
      <c r="Q1130" s="118" t="n">
        <v>0.23</v>
      </c>
      <c r="R1130" s="110" t="n">
        <v>1</v>
      </c>
      <c r="S1130" s="110" t="s">
        <v>632</v>
      </c>
      <c r="T1130" s="110" t="s">
        <v>530</v>
      </c>
      <c r="U1130" s="110" t="s">
        <v>2913</v>
      </c>
      <c r="V1130" s="119" t="n">
        <v>3.4</v>
      </c>
      <c r="W1130" s="119"/>
      <c r="X1130" s="110" t="s">
        <v>2063</v>
      </c>
      <c r="Y1130" s="110" t="s">
        <v>2064</v>
      </c>
      <c r="Z1130" s="110" t="s">
        <v>3025</v>
      </c>
      <c r="AA1130" s="110" t="s">
        <v>537</v>
      </c>
      <c r="AB1130" s="110" t="s">
        <v>244</v>
      </c>
      <c r="AC1130" s="110" t="s">
        <v>538</v>
      </c>
      <c r="AD1130" s="110" t="n">
        <f aca="false">IF(OR(F1130="",Q1130="",R1130=""),"",ROUND(IF(P1130="incl.",F1130/(1+Q1130),F1130)/IF(S1130="per pack",R1130,1),2))</f>
        <v>3.4</v>
      </c>
      <c r="AE1130" s="110" t="str">
        <f aca="false">IF(AND(AC1130="yes",ISNUMBER(F1130),IF(Compare!$H$5="All mapped",TRUE(),IF(Compare!$H$5="EXACT only",J1130="EXACT",OR(J1130="EXACT",J1130="CLOSE")))),"yes","no")</f>
        <v>yes</v>
      </c>
      <c r="AF1130" s="110" t="n">
        <f aca="false">IF(ISNUMBER(H1130),COUNTIFS($B$7:$B$3000,B1130,$C$7:$C$3000,C1130,$H$7:$H$3000,"&lt;"&amp;H1130,$AH$7:$AH$3000,"yes")+COUNTIFS($B$7:B1130,B1130,$C$7:C1130,C1130,$H$7:H1130,H1130,$AH$7:AH1130,"yes"),"")</f>
        <v>2</v>
      </c>
      <c r="AG1130" s="110" t="n">
        <f aca="false">IF(ISNUMBER(I1130),COUNTIFS($B$7:$B$3000,B1130,$C$7:$C$3000,C1130,$I$7:$I$3000,"&lt;"&amp;I1130,$AI$7:$AI$3000,"yes")+COUNTIFS($B$7:B1130,B1130,$C$7:C1130,C1130,$I$7:I1130,I1130,$AI$7:AI1130,"yes"),"")</f>
        <v>2</v>
      </c>
      <c r="AH1130" s="110" t="str">
        <f aca="false">IF(ISNUMBER(H1130),"yes","no")</f>
        <v>yes</v>
      </c>
      <c r="AI1130" s="110" t="str">
        <f aca="false">IF(ISNUMBER(I1130),"yes","no")</f>
        <v>yes</v>
      </c>
      <c r="AJ1130" s="120" t="n">
        <v>46297</v>
      </c>
      <c r="AK1130" s="110"/>
    </row>
    <row r="1131" customFormat="false" ht="35.05" hidden="false" customHeight="false" outlineLevel="0" collapsed="false">
      <c r="B1131" s="36" t="s">
        <v>75</v>
      </c>
      <c r="C1131" s="98" t="s">
        <v>14</v>
      </c>
      <c r="D1131" s="98" t="s">
        <v>373</v>
      </c>
      <c r="E1131" s="110" t="s">
        <v>3676</v>
      </c>
      <c r="F1131" s="99" t="n">
        <v>24.05</v>
      </c>
      <c r="G1131" s="98" t="s">
        <v>374</v>
      </c>
      <c r="H1131" s="112" t="n">
        <f aca="false">IF(AND(AE1131="yes",ISNUMBER(AD1131)),AD1131,"")</f>
        <v>24.05</v>
      </c>
      <c r="I1131" s="95" t="n">
        <f aca="false">IF(AND(AE1131="yes",ISNUMBER(AD1131),ISNUMBER(INDEX(Sources!$G$7:$G$10,MATCH(AB1131,Sources!$B$7:$B$10,0)))),ROUND(AD1131/INDEX(Sources!$G$7:$G$10,MATCH(AB1131,Sources!$B$7:$B$10,0)),6),"")</f>
        <v>4.55696</v>
      </c>
      <c r="J1131" s="98" t="s">
        <v>530</v>
      </c>
      <c r="K1131" s="98" t="s">
        <v>2059</v>
      </c>
      <c r="L1131" s="96"/>
      <c r="M1131" s="110" t="s">
        <v>3677</v>
      </c>
      <c r="N1131" s="117" t="s">
        <v>3678</v>
      </c>
      <c r="O1131" s="110" t="s">
        <v>2912</v>
      </c>
      <c r="P1131" s="110" t="s">
        <v>590</v>
      </c>
      <c r="Q1131" s="118" t="n">
        <v>0.21</v>
      </c>
      <c r="R1131" s="110" t="n">
        <v>1</v>
      </c>
      <c r="S1131" s="110" t="s">
        <v>632</v>
      </c>
      <c r="T1131" s="110" t="s">
        <v>530</v>
      </c>
      <c r="U1131" s="110" t="s">
        <v>2913</v>
      </c>
      <c r="V1131" s="119" t="n">
        <v>24.05</v>
      </c>
      <c r="W1131" s="119"/>
      <c r="X1131" s="110" t="s">
        <v>2063</v>
      </c>
      <c r="Y1131" s="110" t="s">
        <v>2064</v>
      </c>
      <c r="Z1131" s="110"/>
      <c r="AA1131" s="110" t="s">
        <v>537</v>
      </c>
      <c r="AB1131" s="110" t="s">
        <v>374</v>
      </c>
      <c r="AC1131" s="110" t="s">
        <v>538</v>
      </c>
      <c r="AD1131" s="110" t="n">
        <f aca="false">IF(OR(F1131="",Q1131="",R1131=""),"",ROUND(IF(P1131="incl.",F1131/(1+Q1131),F1131)/IF(S1131="per pack",R1131,1),2))</f>
        <v>24.05</v>
      </c>
      <c r="AE1131" s="110" t="str">
        <f aca="false">IF(AND(AC1131="yes",ISNUMBER(F1131),IF(Compare!$H$5="All mapped",TRUE(),IF(Compare!$H$5="EXACT only",J1131="EXACT",OR(J1131="EXACT",J1131="CLOSE")))),"yes","no")</f>
        <v>yes</v>
      </c>
      <c r="AF1131" s="110" t="n">
        <f aca="false">IF(ISNUMBER(H1131),COUNTIFS($B$7:$B$3000,B1131,$C$7:$C$3000,C1131,$H$7:$H$3000,"&lt;"&amp;H1131,$AH$7:$AH$3000,"yes")+COUNTIFS($B$7:B1131,B1131,$C$7:C1131,C1131,$H$7:H1131,H1131,$AH$7:AH1131,"yes"),"")</f>
        <v>4</v>
      </c>
      <c r="AG1131" s="110" t="n">
        <f aca="false">IF(ISNUMBER(I1131),COUNTIFS($B$7:$B$3000,B1131,$C$7:$C$3000,C1131,$I$7:$I$3000,"&lt;"&amp;I1131,$AI$7:$AI$3000,"yes")+COUNTIFS($B$7:B1131,B1131,$C$7:C1131,C1131,$I$7:I1131,I1131,$AI$7:AI1131,"yes"),"")</f>
        <v>4</v>
      </c>
      <c r="AH1131" s="110" t="str">
        <f aca="false">IF(ISNUMBER(H1131),"yes","no")</f>
        <v>yes</v>
      </c>
      <c r="AI1131" s="110" t="str">
        <f aca="false">IF(ISNUMBER(I1131),"yes","no")</f>
        <v>yes</v>
      </c>
      <c r="AJ1131" s="120" t="n">
        <v>46297</v>
      </c>
      <c r="AK1131" s="110"/>
    </row>
    <row r="1132" customFormat="false" ht="23.85" hidden="false" customHeight="false" outlineLevel="0" collapsed="false">
      <c r="B1132" s="36" t="s">
        <v>75</v>
      </c>
      <c r="C1132" s="98" t="s">
        <v>14</v>
      </c>
      <c r="D1132" s="98" t="s">
        <v>378</v>
      </c>
      <c r="E1132" s="110" t="s">
        <v>3679</v>
      </c>
      <c r="F1132" s="99" t="n">
        <v>27.58</v>
      </c>
      <c r="G1132" s="98" t="s">
        <v>374</v>
      </c>
      <c r="H1132" s="112" t="n">
        <f aca="false">IF(AND(AE1132="yes",ISNUMBER(AD1132)),AD1132,"")</f>
        <v>22.79</v>
      </c>
      <c r="I1132" s="95" t="n">
        <f aca="false">IF(AND(AE1132="yes",ISNUMBER(AD1132),ISNUMBER(INDEX(Sources!$G$7:$G$10,MATCH(AB1132,Sources!$B$7:$B$10,0)))),ROUND(AD1132/INDEX(Sources!$G$7:$G$10,MATCH(AB1132,Sources!$B$7:$B$10,0)),6),"")</f>
        <v>4.318217</v>
      </c>
      <c r="J1132" s="98" t="s">
        <v>530</v>
      </c>
      <c r="K1132" s="98" t="s">
        <v>2059</v>
      </c>
      <c r="L1132" s="96"/>
      <c r="M1132" s="110" t="s">
        <v>3680</v>
      </c>
      <c r="N1132" s="117" t="s">
        <v>3681</v>
      </c>
      <c r="O1132" s="110" t="s">
        <v>2917</v>
      </c>
      <c r="P1132" s="110" t="s">
        <v>265</v>
      </c>
      <c r="Q1132" s="118" t="n">
        <v>0.21</v>
      </c>
      <c r="R1132" s="110" t="n">
        <v>1</v>
      </c>
      <c r="S1132" s="110" t="s">
        <v>632</v>
      </c>
      <c r="T1132" s="110" t="s">
        <v>530</v>
      </c>
      <c r="U1132" s="110" t="s">
        <v>2918</v>
      </c>
      <c r="V1132" s="119" t="n">
        <v>22.79</v>
      </c>
      <c r="W1132" s="119"/>
      <c r="X1132" s="110" t="s">
        <v>2063</v>
      </c>
      <c r="Y1132" s="110" t="s">
        <v>2064</v>
      </c>
      <c r="Z1132" s="110"/>
      <c r="AA1132" s="110" t="s">
        <v>537</v>
      </c>
      <c r="AB1132" s="110" t="s">
        <v>374</v>
      </c>
      <c r="AC1132" s="110" t="s">
        <v>538</v>
      </c>
      <c r="AD1132" s="110" t="n">
        <f aca="false">IF(OR(F1132="",Q1132="",R1132=""),"",ROUND(IF(P1132="incl.",F1132/(1+Q1132),F1132)/IF(S1132="per pack",R1132,1),2))</f>
        <v>22.79</v>
      </c>
      <c r="AE1132" s="110" t="str">
        <f aca="false">IF(AND(AC1132="yes",ISNUMBER(F1132),IF(Compare!$H$5="All mapped",TRUE(),IF(Compare!$H$5="EXACT only",J1132="EXACT",OR(J1132="EXACT",J1132="CLOSE")))),"yes","no")</f>
        <v>yes</v>
      </c>
      <c r="AF1132" s="110" t="n">
        <f aca="false">IF(ISNUMBER(H1132),COUNTIFS($B$7:$B$3000,B1132,$C$7:$C$3000,C1132,$H$7:$H$3000,"&lt;"&amp;H1132,$AH$7:$AH$3000,"yes")+COUNTIFS($B$7:B1132,B1132,$C$7:C1132,C1132,$H$7:H1132,H1132,$AH$7:AH1132,"yes"),"")</f>
        <v>3</v>
      </c>
      <c r="AG1132" s="110" t="n">
        <f aca="false">IF(ISNUMBER(I1132),COUNTIFS($B$7:$B$3000,B1132,$C$7:$C$3000,C1132,$I$7:$I$3000,"&lt;"&amp;I1132,$AI$7:$AI$3000,"yes")+COUNTIFS($B$7:B1132,B1132,$C$7:C1132,C1132,$I$7:I1132,I1132,$AI$7:AI1132,"yes"),"")</f>
        <v>3</v>
      </c>
      <c r="AH1132" s="110" t="str">
        <f aca="false">IF(ISNUMBER(H1132),"yes","no")</f>
        <v>yes</v>
      </c>
      <c r="AI1132" s="110" t="str">
        <f aca="false">IF(ISNUMBER(I1132),"yes","no")</f>
        <v>yes</v>
      </c>
      <c r="AJ1132" s="120" t="n">
        <v>46297</v>
      </c>
      <c r="AK1132" s="110"/>
    </row>
    <row r="1133" customFormat="false" ht="35.05" hidden="false" customHeight="false" outlineLevel="0" collapsed="false">
      <c r="B1133" s="36" t="s">
        <v>75</v>
      </c>
      <c r="C1133" s="98" t="s">
        <v>14</v>
      </c>
      <c r="D1133" s="98" t="s">
        <v>346</v>
      </c>
      <c r="E1133" s="110" t="s">
        <v>3682</v>
      </c>
      <c r="F1133" s="99" t="n">
        <v>57.03</v>
      </c>
      <c r="G1133" s="98" t="s">
        <v>374</v>
      </c>
      <c r="H1133" s="112" t="n">
        <f aca="false">IF(AND(AE1133="yes",ISNUMBER(AD1133)),AD1133,"")</f>
        <v>47.13</v>
      </c>
      <c r="I1133" s="95" t="n">
        <f aca="false">IF(AND(AE1133="yes",ISNUMBER(AD1133),ISNUMBER(INDEX(Sources!$G$7:$G$10,MATCH(AB1133,Sources!$B$7:$B$10,0)))),ROUND(AD1133/INDEX(Sources!$G$7:$G$10,MATCH(AB1133,Sources!$B$7:$B$10,0)),6),"")</f>
        <v>8.930125</v>
      </c>
      <c r="J1133" s="98" t="s">
        <v>530</v>
      </c>
      <c r="K1133" s="98" t="s">
        <v>2059</v>
      </c>
      <c r="L1133" s="96"/>
      <c r="M1133" s="110" t="s">
        <v>3683</v>
      </c>
      <c r="N1133" s="117" t="s">
        <v>3684</v>
      </c>
      <c r="O1133" s="110" t="s">
        <v>565</v>
      </c>
      <c r="P1133" s="110" t="s">
        <v>265</v>
      </c>
      <c r="Q1133" s="118" t="n">
        <v>0.21</v>
      </c>
      <c r="R1133" s="110" t="n">
        <v>1</v>
      </c>
      <c r="S1133" s="110" t="s">
        <v>632</v>
      </c>
      <c r="T1133" s="110" t="s">
        <v>530</v>
      </c>
      <c r="U1133" s="110" t="s">
        <v>2918</v>
      </c>
      <c r="V1133" s="119" t="n">
        <v>47.13</v>
      </c>
      <c r="W1133" s="119"/>
      <c r="X1133" s="110" t="s">
        <v>2063</v>
      </c>
      <c r="Y1133" s="110" t="s">
        <v>2064</v>
      </c>
      <c r="Z1133" s="110"/>
      <c r="AA1133" s="110" t="s">
        <v>537</v>
      </c>
      <c r="AB1133" s="110" t="s">
        <v>374</v>
      </c>
      <c r="AC1133" s="110" t="s">
        <v>538</v>
      </c>
      <c r="AD1133" s="110" t="n">
        <f aca="false">IF(OR(F1133="",Q1133="",R1133=""),"",ROUND(IF(P1133="incl.",F1133/(1+Q1133),F1133)/IF(S1133="per pack",R1133,1),2))</f>
        <v>47.13</v>
      </c>
      <c r="AE1133" s="110" t="str">
        <f aca="false">IF(AND(AC1133="yes",ISNUMBER(F1133),IF(Compare!$H$5="All mapped",TRUE(),IF(Compare!$H$5="EXACT only",J1133="EXACT",OR(J1133="EXACT",J1133="CLOSE")))),"yes","no")</f>
        <v>yes</v>
      </c>
      <c r="AF1133" s="110" t="n">
        <f aca="false">IF(ISNUMBER(H1133),COUNTIFS($B$7:$B$3000,B1133,$C$7:$C$3000,C1133,$H$7:$H$3000,"&lt;"&amp;H1133,$AH$7:$AH$3000,"yes")+COUNTIFS($B$7:B1133,B1133,$C$7:C1133,C1133,$H$7:H1133,H1133,$AH$7:AH1133,"yes"),"")</f>
        <v>5</v>
      </c>
      <c r="AG1133" s="110" t="n">
        <f aca="false">IF(ISNUMBER(I1133),COUNTIFS($B$7:$B$3000,B1133,$C$7:$C$3000,C1133,$I$7:$I$3000,"&lt;"&amp;I1133,$AI$7:$AI$3000,"yes")+COUNTIFS($B$7:B1133,B1133,$C$7:C1133,C1133,$I$7:I1133,I1133,$AI$7:AI1133,"yes"),"")</f>
        <v>5</v>
      </c>
      <c r="AH1133" s="110" t="str">
        <f aca="false">IF(ISNUMBER(H1133),"yes","no")</f>
        <v>yes</v>
      </c>
      <c r="AI1133" s="110" t="str">
        <f aca="false">IF(ISNUMBER(I1133),"yes","no")</f>
        <v>yes</v>
      </c>
      <c r="AJ1133" s="120" t="n">
        <v>46297</v>
      </c>
      <c r="AK1133" s="110"/>
    </row>
    <row r="1134" customFormat="false" ht="23.85" hidden="false" customHeight="false" outlineLevel="0" collapsed="false">
      <c r="B1134" s="36" t="s">
        <v>75</v>
      </c>
      <c r="C1134" s="98" t="s">
        <v>14</v>
      </c>
      <c r="D1134" s="98" t="s">
        <v>395</v>
      </c>
      <c r="E1134" s="110" t="s">
        <v>3685</v>
      </c>
      <c r="F1134" s="99" t="n">
        <v>3.16</v>
      </c>
      <c r="G1134" s="98" t="s">
        <v>244</v>
      </c>
      <c r="H1134" s="112" t="n">
        <f aca="false">IF(AND(AE1134="yes",ISNUMBER(AD1134)),AD1134,"")</f>
        <v>3.16</v>
      </c>
      <c r="I1134" s="95" t="n">
        <f aca="false">IF(AND(AE1134="yes",ISNUMBER(AD1134),ISNUMBER(INDEX(Sources!$G$7:$G$10,MATCH(AB1134,Sources!$B$7:$B$10,0)))),ROUND(AD1134/INDEX(Sources!$G$7:$G$10,MATCH(AB1134,Sources!$B$7:$B$10,0)),6),"")</f>
        <v>3.16</v>
      </c>
      <c r="J1134" s="98" t="s">
        <v>530</v>
      </c>
      <c r="K1134" s="98" t="s">
        <v>2059</v>
      </c>
      <c r="L1134" s="96"/>
      <c r="M1134" s="110" t="s">
        <v>3686</v>
      </c>
      <c r="N1134" s="117" t="s">
        <v>3687</v>
      </c>
      <c r="O1134" s="110" t="s">
        <v>572</v>
      </c>
      <c r="P1134" s="110" t="s">
        <v>590</v>
      </c>
      <c r="Q1134" s="118" t="n">
        <v>0.21</v>
      </c>
      <c r="R1134" s="110" t="n">
        <v>1</v>
      </c>
      <c r="S1134" s="110" t="s">
        <v>632</v>
      </c>
      <c r="T1134" s="110" t="s">
        <v>530</v>
      </c>
      <c r="U1134" s="110" t="s">
        <v>2913</v>
      </c>
      <c r="V1134" s="119" t="n">
        <v>3.16</v>
      </c>
      <c r="W1134" s="119"/>
      <c r="X1134" s="110" t="s">
        <v>2063</v>
      </c>
      <c r="Y1134" s="110" t="s">
        <v>2064</v>
      </c>
      <c r="Z1134" s="110" t="s">
        <v>2925</v>
      </c>
      <c r="AA1134" s="110" t="s">
        <v>537</v>
      </c>
      <c r="AB1134" s="110" t="s">
        <v>244</v>
      </c>
      <c r="AC1134" s="110" t="s">
        <v>538</v>
      </c>
      <c r="AD1134" s="110" t="n">
        <f aca="false">IF(OR(F1134="",Q1134="",R1134=""),"",ROUND(IF(P1134="incl.",F1134/(1+Q1134),F1134)/IF(S1134="per pack",R1134,1),2))</f>
        <v>3.16</v>
      </c>
      <c r="AE1134" s="110" t="str">
        <f aca="false">IF(AND(AC1134="yes",ISNUMBER(F1134),IF(Compare!$H$5="All mapped",TRUE(),IF(Compare!$H$5="EXACT only",J1134="EXACT",OR(J1134="EXACT",J1134="CLOSE")))),"yes","no")</f>
        <v>yes</v>
      </c>
      <c r="AF1134" s="110" t="n">
        <f aca="false">IF(ISNUMBER(H1134),COUNTIFS($B$7:$B$3000,B1134,$C$7:$C$3000,C1134,$H$7:$H$3000,"&lt;"&amp;H1134,$AH$7:$AH$3000,"yes")+COUNTIFS($B$7:B1134,B1134,$C$7:C1134,C1134,$H$7:H1134,H1134,$AH$7:AH1134,"yes"),"")</f>
        <v>1</v>
      </c>
      <c r="AG1134" s="110" t="n">
        <f aca="false">IF(ISNUMBER(I1134),COUNTIFS($B$7:$B$3000,B1134,$C$7:$C$3000,C1134,$I$7:$I$3000,"&lt;"&amp;I1134,$AI$7:$AI$3000,"yes")+COUNTIFS($B$7:B1134,B1134,$C$7:C1134,C1134,$I$7:I1134,I1134,$AI$7:AI1134,"yes"),"")</f>
        <v>2</v>
      </c>
      <c r="AH1134" s="110" t="str">
        <f aca="false">IF(ISNUMBER(H1134),"yes","no")</f>
        <v>yes</v>
      </c>
      <c r="AI1134" s="110" t="str">
        <f aca="false">IF(ISNUMBER(I1134),"yes","no")</f>
        <v>yes</v>
      </c>
      <c r="AJ1134" s="120" t="n">
        <v>46297</v>
      </c>
      <c r="AK1134" s="110"/>
    </row>
    <row r="1135" customFormat="false" ht="23.85" hidden="false" customHeight="false" outlineLevel="0" collapsed="false">
      <c r="B1135" s="36" t="s">
        <v>75</v>
      </c>
      <c r="C1135" s="98" t="s">
        <v>14</v>
      </c>
      <c r="D1135" s="98" t="s">
        <v>403</v>
      </c>
      <c r="E1135" s="110" t="s">
        <v>3688</v>
      </c>
      <c r="F1135" s="99" t="n">
        <v>14.41</v>
      </c>
      <c r="G1135" s="98" t="s">
        <v>374</v>
      </c>
      <c r="H1135" s="112" t="n">
        <f aca="false">IF(AND(AE1135="yes",ISNUMBER(AD1135)),AD1135,"")</f>
        <v>14.41</v>
      </c>
      <c r="I1135" s="95" t="n">
        <f aca="false">IF(AND(AE1135="yes",ISNUMBER(AD1135),ISNUMBER(INDEX(Sources!$G$7:$G$10,MATCH(AB1135,Sources!$B$7:$B$10,0)))),ROUND(AD1135/INDEX(Sources!$G$7:$G$10,MATCH(AB1135,Sources!$B$7:$B$10,0)),6),"")</f>
        <v>2.730386</v>
      </c>
      <c r="J1135" s="98" t="s">
        <v>530</v>
      </c>
      <c r="K1135" s="98" t="s">
        <v>2059</v>
      </c>
      <c r="L1135" s="96"/>
      <c r="M1135" s="110" t="s">
        <v>3689</v>
      </c>
      <c r="N1135" s="117" t="s">
        <v>3690</v>
      </c>
      <c r="O1135" s="110" t="s">
        <v>1138</v>
      </c>
      <c r="P1135" s="110" t="s">
        <v>590</v>
      </c>
      <c r="Q1135" s="118" t="n">
        <v>0.21</v>
      </c>
      <c r="R1135" s="110" t="n">
        <v>1</v>
      </c>
      <c r="S1135" s="110" t="s">
        <v>632</v>
      </c>
      <c r="T1135" s="110" t="s">
        <v>530</v>
      </c>
      <c r="U1135" s="110" t="s">
        <v>2913</v>
      </c>
      <c r="V1135" s="119" t="n">
        <v>14.41</v>
      </c>
      <c r="W1135" s="119"/>
      <c r="X1135" s="110" t="s">
        <v>2063</v>
      </c>
      <c r="Y1135" s="110" t="s">
        <v>2064</v>
      </c>
      <c r="Z1135" s="110"/>
      <c r="AA1135" s="110" t="s">
        <v>537</v>
      </c>
      <c r="AB1135" s="110" t="s">
        <v>374</v>
      </c>
      <c r="AC1135" s="110" t="s">
        <v>538</v>
      </c>
      <c r="AD1135" s="110" t="n">
        <f aca="false">IF(OR(F1135="",Q1135="",R1135=""),"",ROUND(IF(P1135="incl.",F1135/(1+Q1135),F1135)/IF(S1135="per pack",R1135,1),2))</f>
        <v>14.41</v>
      </c>
      <c r="AE1135" s="110" t="str">
        <f aca="false">IF(AND(AC1135="yes",ISNUMBER(F1135),IF(Compare!$H$5="All mapped",TRUE(),IF(Compare!$H$5="EXACT only",J1135="EXACT",OR(J1135="EXACT",J1135="CLOSE")))),"yes","no")</f>
        <v>yes</v>
      </c>
      <c r="AF1135" s="110" t="n">
        <f aca="false">IF(ISNUMBER(H1135),COUNTIFS($B$7:$B$3000,B1135,$C$7:$C$3000,C1135,$H$7:$H$3000,"&lt;"&amp;H1135,$AH$7:$AH$3000,"yes")+COUNTIFS($B$7:B1135,B1135,$C$7:C1135,C1135,$H$7:H1135,H1135,$AH$7:AH1135,"yes"),"")</f>
        <v>2</v>
      </c>
      <c r="AG1135" s="110" t="n">
        <f aca="false">IF(ISNUMBER(I1135),COUNTIFS($B$7:$B$3000,B1135,$C$7:$C$3000,C1135,$I$7:$I$3000,"&lt;"&amp;I1135,$AI$7:$AI$3000,"yes")+COUNTIFS($B$7:B1135,B1135,$C$7:C1135,C1135,$I$7:I1135,I1135,$AI$7:AI1135,"yes"),"")</f>
        <v>1</v>
      </c>
      <c r="AH1135" s="110" t="str">
        <f aca="false">IF(ISNUMBER(H1135),"yes","no")</f>
        <v>yes</v>
      </c>
      <c r="AI1135" s="110" t="str">
        <f aca="false">IF(ISNUMBER(I1135),"yes","no")</f>
        <v>yes</v>
      </c>
      <c r="AJ1135" s="120" t="n">
        <v>46297</v>
      </c>
      <c r="AK1135" s="110"/>
    </row>
    <row r="1136" customFormat="false" ht="35.05" hidden="false" customHeight="false" outlineLevel="0" collapsed="false">
      <c r="B1136" s="36" t="s">
        <v>75</v>
      </c>
      <c r="C1136" s="98" t="s">
        <v>15</v>
      </c>
      <c r="D1136" s="98" t="s">
        <v>243</v>
      </c>
      <c r="E1136" s="110" t="s">
        <v>3691</v>
      </c>
      <c r="F1136" s="99" t="n">
        <v>2.9</v>
      </c>
      <c r="G1136" s="98" t="s">
        <v>244</v>
      </c>
      <c r="H1136" s="112" t="n">
        <f aca="false">IF(AND(AE1136="yes",ISNUMBER(AD1136)),AD1136,"")</f>
        <v>2.9</v>
      </c>
      <c r="I1136" s="95" t="n">
        <f aca="false">IF(AND(AE1136="yes",ISNUMBER(AD1136),ISNUMBER(INDEX(Sources!$G$7:$G$10,MATCH(AB1136,Sources!$B$7:$B$10,0)))),ROUND(AD1136/INDEX(Sources!$G$7:$G$10,MATCH(AB1136,Sources!$B$7:$B$10,0)),6),"")</f>
        <v>2.9</v>
      </c>
      <c r="J1136" s="98" t="s">
        <v>530</v>
      </c>
      <c r="K1136" s="98" t="s">
        <v>2059</v>
      </c>
      <c r="L1136" s="96"/>
      <c r="M1136" s="110" t="s">
        <v>3692</v>
      </c>
      <c r="N1136" s="117" t="s">
        <v>3693</v>
      </c>
      <c r="O1136" s="110" t="s">
        <v>2932</v>
      </c>
      <c r="P1136" s="110" t="s">
        <v>590</v>
      </c>
      <c r="Q1136" s="118" t="n">
        <v>0.2</v>
      </c>
      <c r="R1136" s="110" t="n">
        <v>1</v>
      </c>
      <c r="S1136" s="110" t="s">
        <v>632</v>
      </c>
      <c r="T1136" s="110" t="s">
        <v>530</v>
      </c>
      <c r="U1136" s="110" t="s">
        <v>2913</v>
      </c>
      <c r="V1136" s="119" t="n">
        <v>2.9</v>
      </c>
      <c r="W1136" s="119"/>
      <c r="X1136" s="110" t="s">
        <v>2063</v>
      </c>
      <c r="Y1136" s="110" t="s">
        <v>2064</v>
      </c>
      <c r="Z1136" s="110" t="s">
        <v>3128</v>
      </c>
      <c r="AA1136" s="110" t="s">
        <v>537</v>
      </c>
      <c r="AB1136" s="110" t="s">
        <v>244</v>
      </c>
      <c r="AC1136" s="110" t="s">
        <v>538</v>
      </c>
      <c r="AD1136" s="110" t="n">
        <f aca="false">IF(OR(F1136="",Q1136="",R1136=""),"",ROUND(IF(P1136="incl.",F1136/(1+Q1136),F1136)/IF(S1136="per pack",R1136,1),2))</f>
        <v>2.9</v>
      </c>
      <c r="AE1136" s="110" t="str">
        <f aca="false">IF(AND(AC1136="yes",ISNUMBER(F1136),IF(Compare!$H$5="All mapped",TRUE(),IF(Compare!$H$5="EXACT only",J1136="EXACT",OR(J1136="EXACT",J1136="CLOSE")))),"yes","no")</f>
        <v>yes</v>
      </c>
      <c r="AF1136" s="110" t="n">
        <f aca="false">IF(ISNUMBER(H1136),COUNTIFS($B$7:$B$3000,B1136,$C$7:$C$3000,C1136,$H$7:$H$3000,"&lt;"&amp;H1136,$AH$7:$AH$3000,"yes")+COUNTIFS($B$7:B1136,B1136,$C$7:C1136,C1136,$H$7:H1136,H1136,$AH$7:AH1136,"yes"),"")</f>
        <v>1</v>
      </c>
      <c r="AG1136" s="110" t="n">
        <f aca="false">IF(ISNUMBER(I1136),COUNTIFS($B$7:$B$3000,B1136,$C$7:$C$3000,C1136,$I$7:$I$3000,"&lt;"&amp;I1136,$AI$7:$AI$3000,"yes")+COUNTIFS($B$7:B1136,B1136,$C$7:C1136,C1136,$I$7:I1136,I1136,$AI$7:AI1136,"yes"),"")</f>
        <v>1</v>
      </c>
      <c r="AH1136" s="110" t="str">
        <f aca="false">IF(ISNUMBER(H1136),"yes","no")</f>
        <v>yes</v>
      </c>
      <c r="AI1136" s="110" t="str">
        <f aca="false">IF(ISNUMBER(I1136),"yes","no")</f>
        <v>yes</v>
      </c>
      <c r="AJ1136" s="120" t="n">
        <v>46297</v>
      </c>
      <c r="AK1136" s="110"/>
    </row>
    <row r="1137" customFormat="false" ht="35.05" hidden="false" customHeight="false" outlineLevel="0" collapsed="false">
      <c r="B1137" s="36" t="s">
        <v>75</v>
      </c>
      <c r="C1137" s="98" t="s">
        <v>15</v>
      </c>
      <c r="D1137" s="98" t="s">
        <v>257</v>
      </c>
      <c r="E1137" s="110" t="s">
        <v>3694</v>
      </c>
      <c r="F1137" s="99" t="n">
        <v>10</v>
      </c>
      <c r="G1137" s="98" t="s">
        <v>244</v>
      </c>
      <c r="H1137" s="112" t="n">
        <f aca="false">IF(AND(AE1137="yes",ISNUMBER(AD1137)),AD1137,"")</f>
        <v>10</v>
      </c>
      <c r="I1137" s="95" t="n">
        <f aca="false">IF(AND(AE1137="yes",ISNUMBER(AD1137),ISNUMBER(INDEX(Sources!$G$7:$G$10,MATCH(AB1137,Sources!$B$7:$B$10,0)))),ROUND(AD1137/INDEX(Sources!$G$7:$G$10,MATCH(AB1137,Sources!$B$7:$B$10,0)),6),"")</f>
        <v>10</v>
      </c>
      <c r="J1137" s="98" t="s">
        <v>530</v>
      </c>
      <c r="K1137" s="98" t="s">
        <v>2059</v>
      </c>
      <c r="L1137" s="96"/>
      <c r="M1137" s="110" t="s">
        <v>3695</v>
      </c>
      <c r="N1137" s="117" t="s">
        <v>3696</v>
      </c>
      <c r="O1137" s="110" t="s">
        <v>1576</v>
      </c>
      <c r="P1137" s="110" t="s">
        <v>590</v>
      </c>
      <c r="Q1137" s="118" t="n">
        <v>0.2</v>
      </c>
      <c r="R1137" s="110" t="n">
        <v>1</v>
      </c>
      <c r="S1137" s="110" t="s">
        <v>632</v>
      </c>
      <c r="T1137" s="110" t="s">
        <v>530</v>
      </c>
      <c r="U1137" s="110" t="s">
        <v>2913</v>
      </c>
      <c r="V1137" s="119" t="n">
        <v>10</v>
      </c>
      <c r="W1137" s="119"/>
      <c r="X1137" s="110" t="s">
        <v>2063</v>
      </c>
      <c r="Y1137" s="110" t="s">
        <v>2064</v>
      </c>
      <c r="Z1137" s="110" t="s">
        <v>2936</v>
      </c>
      <c r="AA1137" s="110" t="s">
        <v>537</v>
      </c>
      <c r="AB1137" s="110" t="s">
        <v>244</v>
      </c>
      <c r="AC1137" s="110" t="s">
        <v>538</v>
      </c>
      <c r="AD1137" s="110" t="n">
        <f aca="false">IF(OR(F1137="",Q1137="",R1137=""),"",ROUND(IF(P1137="incl.",F1137/(1+Q1137),F1137)/IF(S1137="per pack",R1137,1),2))</f>
        <v>10</v>
      </c>
      <c r="AE1137" s="110" t="str">
        <f aca="false">IF(AND(AC1137="yes",ISNUMBER(F1137),IF(Compare!$H$5="All mapped",TRUE(),IF(Compare!$H$5="EXACT only",J1137="EXACT",OR(J1137="EXACT",J1137="CLOSE")))),"yes","no")</f>
        <v>yes</v>
      </c>
      <c r="AF1137" s="110" t="n">
        <f aca="false">IF(ISNUMBER(H1137),COUNTIFS($B$7:$B$3000,B1137,$C$7:$C$3000,C1137,$H$7:$H$3000,"&lt;"&amp;H1137,$AH$7:$AH$3000,"yes")+COUNTIFS($B$7:B1137,B1137,$C$7:C1137,C1137,$H$7:H1137,H1137,$AH$7:AH1137,"yes"),"")</f>
        <v>6</v>
      </c>
      <c r="AG1137" s="110" t="n">
        <f aca="false">IF(ISNUMBER(I1137),COUNTIFS($B$7:$B$3000,B1137,$C$7:$C$3000,C1137,$I$7:$I$3000,"&lt;"&amp;I1137,$AI$7:$AI$3000,"yes")+COUNTIFS($B$7:B1137,B1137,$C$7:C1137,C1137,$I$7:I1137,I1137,$AI$7:AI1137,"yes"),"")</f>
        <v>6</v>
      </c>
      <c r="AH1137" s="110" t="str">
        <f aca="false">IF(ISNUMBER(H1137),"yes","no")</f>
        <v>yes</v>
      </c>
      <c r="AI1137" s="110" t="str">
        <f aca="false">IF(ISNUMBER(I1137),"yes","no")</f>
        <v>yes</v>
      </c>
      <c r="AJ1137" s="120" t="n">
        <v>46297</v>
      </c>
      <c r="AK1137" s="110"/>
    </row>
    <row r="1138" customFormat="false" ht="35.05" hidden="false" customHeight="false" outlineLevel="0" collapsed="false">
      <c r="B1138" s="36" t="s">
        <v>75</v>
      </c>
      <c r="C1138" s="98" t="s">
        <v>15</v>
      </c>
      <c r="D1138" s="98" t="s">
        <v>269</v>
      </c>
      <c r="E1138" s="110" t="s">
        <v>3697</v>
      </c>
      <c r="F1138" s="99" t="n">
        <v>4.79</v>
      </c>
      <c r="G1138" s="98" t="s">
        <v>244</v>
      </c>
      <c r="H1138" s="112" t="n">
        <f aca="false">IF(AND(AE1138="yes",ISNUMBER(AD1138)),AD1138,"")</f>
        <v>4.79</v>
      </c>
      <c r="I1138" s="95" t="n">
        <f aca="false">IF(AND(AE1138="yes",ISNUMBER(AD1138),ISNUMBER(INDEX(Sources!$G$7:$G$10,MATCH(AB1138,Sources!$B$7:$B$10,0)))),ROUND(AD1138/INDEX(Sources!$G$7:$G$10,MATCH(AB1138,Sources!$B$7:$B$10,0)),6),"")</f>
        <v>4.79</v>
      </c>
      <c r="J1138" s="98" t="s">
        <v>530</v>
      </c>
      <c r="K1138" s="98" t="s">
        <v>2059</v>
      </c>
      <c r="L1138" s="96"/>
      <c r="M1138" s="110" t="s">
        <v>3698</v>
      </c>
      <c r="N1138" s="117" t="s">
        <v>3699</v>
      </c>
      <c r="O1138" s="110" t="s">
        <v>598</v>
      </c>
      <c r="P1138" s="110" t="s">
        <v>590</v>
      </c>
      <c r="Q1138" s="118" t="n">
        <v>0.2</v>
      </c>
      <c r="R1138" s="110" t="n">
        <v>1</v>
      </c>
      <c r="S1138" s="110" t="s">
        <v>632</v>
      </c>
      <c r="T1138" s="110" t="s">
        <v>530</v>
      </c>
      <c r="U1138" s="110" t="s">
        <v>2913</v>
      </c>
      <c r="V1138" s="119" t="n">
        <v>4.79</v>
      </c>
      <c r="W1138" s="119"/>
      <c r="X1138" s="110" t="s">
        <v>2063</v>
      </c>
      <c r="Y1138" s="110" t="s">
        <v>2064</v>
      </c>
      <c r="Z1138" s="110" t="s">
        <v>2940</v>
      </c>
      <c r="AA1138" s="110" t="s">
        <v>537</v>
      </c>
      <c r="AB1138" s="110" t="s">
        <v>244</v>
      </c>
      <c r="AC1138" s="110" t="s">
        <v>538</v>
      </c>
      <c r="AD1138" s="110" t="n">
        <f aca="false">IF(OR(F1138="",Q1138="",R1138=""),"",ROUND(IF(P1138="incl.",F1138/(1+Q1138),F1138)/IF(S1138="per pack",R1138,1),2))</f>
        <v>4.79</v>
      </c>
      <c r="AE1138" s="110" t="str">
        <f aca="false">IF(AND(AC1138="yes",ISNUMBER(F1138),IF(Compare!$H$5="All mapped",TRUE(),IF(Compare!$H$5="EXACT only",J1138="EXACT",OR(J1138="EXACT",J1138="CLOSE")))),"yes","no")</f>
        <v>yes</v>
      </c>
      <c r="AF1138" s="110" t="n">
        <f aca="false">IF(ISNUMBER(H1138),COUNTIFS($B$7:$B$3000,B1138,$C$7:$C$3000,C1138,$H$7:$H$3000,"&lt;"&amp;H1138,$AH$7:$AH$3000,"yes")+COUNTIFS($B$7:B1138,B1138,$C$7:C1138,C1138,$H$7:H1138,H1138,$AH$7:AH1138,"yes"),"")</f>
        <v>4</v>
      </c>
      <c r="AG1138" s="110" t="n">
        <f aca="false">IF(ISNUMBER(I1138),COUNTIFS($B$7:$B$3000,B1138,$C$7:$C$3000,C1138,$I$7:$I$3000,"&lt;"&amp;I1138,$AI$7:$AI$3000,"yes")+COUNTIFS($B$7:B1138,B1138,$C$7:C1138,C1138,$I$7:I1138,I1138,$AI$7:AI1138,"yes"),"")</f>
        <v>4</v>
      </c>
      <c r="AH1138" s="110" t="str">
        <f aca="false">IF(ISNUMBER(H1138),"yes","no")</f>
        <v>yes</v>
      </c>
      <c r="AI1138" s="110" t="str">
        <f aca="false">IF(ISNUMBER(I1138),"yes","no")</f>
        <v>yes</v>
      </c>
      <c r="AJ1138" s="120" t="n">
        <v>46297</v>
      </c>
      <c r="AK1138" s="110"/>
    </row>
    <row r="1139" customFormat="false" ht="23.85" hidden="false" customHeight="false" outlineLevel="0" collapsed="false">
      <c r="B1139" s="36" t="s">
        <v>75</v>
      </c>
      <c r="C1139" s="98" t="s">
        <v>15</v>
      </c>
      <c r="D1139" s="98" t="s">
        <v>264</v>
      </c>
      <c r="E1139" s="110" t="s">
        <v>3700</v>
      </c>
      <c r="F1139" s="99" t="n">
        <v>12</v>
      </c>
      <c r="G1139" s="98" t="s">
        <v>244</v>
      </c>
      <c r="H1139" s="112" t="n">
        <f aca="false">IF(AND(AE1139="yes",ISNUMBER(AD1139)),AD1139,"")</f>
        <v>12</v>
      </c>
      <c r="I1139" s="95" t="n">
        <f aca="false">IF(AND(AE1139="yes",ISNUMBER(AD1139),ISNUMBER(INDEX(Sources!$G$7:$G$10,MATCH(AB1139,Sources!$B$7:$B$10,0)))),ROUND(AD1139/INDEX(Sources!$G$7:$G$10,MATCH(AB1139,Sources!$B$7:$B$10,0)),6),"")</f>
        <v>12</v>
      </c>
      <c r="J1139" s="98" t="s">
        <v>530</v>
      </c>
      <c r="K1139" s="98" t="s">
        <v>2059</v>
      </c>
      <c r="L1139" s="96"/>
      <c r="M1139" s="110" t="s">
        <v>3701</v>
      </c>
      <c r="N1139" s="117" t="s">
        <v>3702</v>
      </c>
      <c r="O1139" s="110" t="s">
        <v>2944</v>
      </c>
      <c r="P1139" s="110" t="s">
        <v>590</v>
      </c>
      <c r="Q1139" s="118" t="n">
        <v>0.2</v>
      </c>
      <c r="R1139" s="110" t="n">
        <v>1</v>
      </c>
      <c r="S1139" s="110" t="s">
        <v>632</v>
      </c>
      <c r="T1139" s="110" t="s">
        <v>530</v>
      </c>
      <c r="U1139" s="110" t="s">
        <v>2913</v>
      </c>
      <c r="V1139" s="119" t="n">
        <v>12</v>
      </c>
      <c r="W1139" s="119"/>
      <c r="X1139" s="110" t="s">
        <v>2063</v>
      </c>
      <c r="Y1139" s="110" t="s">
        <v>2064</v>
      </c>
      <c r="Z1139" s="110"/>
      <c r="AA1139" s="110" t="s">
        <v>537</v>
      </c>
      <c r="AB1139" s="110" t="s">
        <v>244</v>
      </c>
      <c r="AC1139" s="110" t="s">
        <v>538</v>
      </c>
      <c r="AD1139" s="110" t="n">
        <f aca="false">IF(OR(F1139="",Q1139="",R1139=""),"",ROUND(IF(P1139="incl.",F1139/(1+Q1139),F1139)/IF(S1139="per pack",R1139,1),2))</f>
        <v>12</v>
      </c>
      <c r="AE1139" s="110" t="str">
        <f aca="false">IF(AND(AC1139="yes",ISNUMBER(F1139),IF(Compare!$H$5="All mapped",TRUE(),IF(Compare!$H$5="EXACT only",J1139="EXACT",OR(J1139="EXACT",J1139="CLOSE")))),"yes","no")</f>
        <v>yes</v>
      </c>
      <c r="AF1139" s="110" t="n">
        <f aca="false">IF(ISNUMBER(H1139),COUNTIFS($B$7:$B$3000,B1139,$C$7:$C$3000,C1139,$H$7:$H$3000,"&lt;"&amp;H1139,$AH$7:$AH$3000,"yes")+COUNTIFS($B$7:B1139,B1139,$C$7:C1139,C1139,$H$7:H1139,H1139,$AH$7:AH1139,"yes"),"")</f>
        <v>7</v>
      </c>
      <c r="AG1139" s="110" t="n">
        <f aca="false">IF(ISNUMBER(I1139),COUNTIFS($B$7:$B$3000,B1139,$C$7:$C$3000,C1139,$I$7:$I$3000,"&lt;"&amp;I1139,$AI$7:$AI$3000,"yes")+COUNTIFS($B$7:B1139,B1139,$C$7:C1139,C1139,$I$7:I1139,I1139,$AI$7:AI1139,"yes"),"")</f>
        <v>7</v>
      </c>
      <c r="AH1139" s="110" t="str">
        <f aca="false">IF(ISNUMBER(H1139),"yes","no")</f>
        <v>yes</v>
      </c>
      <c r="AI1139" s="110" t="str">
        <f aca="false">IF(ISNUMBER(I1139),"yes","no")</f>
        <v>yes</v>
      </c>
      <c r="AJ1139" s="120" t="n">
        <v>46297</v>
      </c>
      <c r="AK1139" s="110"/>
    </row>
    <row r="1140" customFormat="false" ht="35.05" hidden="false" customHeight="false" outlineLevel="0" collapsed="false">
      <c r="B1140" s="36" t="s">
        <v>75</v>
      </c>
      <c r="C1140" s="98" t="s">
        <v>15</v>
      </c>
      <c r="D1140" s="98" t="s">
        <v>273</v>
      </c>
      <c r="E1140" s="110" t="s">
        <v>3703</v>
      </c>
      <c r="F1140" s="99" t="n">
        <v>4.89</v>
      </c>
      <c r="G1140" s="98" t="s">
        <v>244</v>
      </c>
      <c r="H1140" s="112" t="n">
        <f aca="false">IF(AND(AE1140="yes",ISNUMBER(AD1140)),AD1140,"")</f>
        <v>4.08</v>
      </c>
      <c r="I1140" s="95" t="n">
        <f aca="false">IF(AND(AE1140="yes",ISNUMBER(AD1140),ISNUMBER(INDEX(Sources!$G$7:$G$10,MATCH(AB1140,Sources!$B$7:$B$10,0)))),ROUND(AD1140/INDEX(Sources!$G$7:$G$10,MATCH(AB1140,Sources!$B$7:$B$10,0)),6),"")</f>
        <v>4.08</v>
      </c>
      <c r="J1140" s="98" t="s">
        <v>530</v>
      </c>
      <c r="K1140" s="98" t="s">
        <v>2059</v>
      </c>
      <c r="L1140" s="96"/>
      <c r="M1140" s="110" t="s">
        <v>3704</v>
      </c>
      <c r="N1140" s="117" t="s">
        <v>3705</v>
      </c>
      <c r="O1140" s="110" t="s">
        <v>598</v>
      </c>
      <c r="P1140" s="110" t="s">
        <v>265</v>
      </c>
      <c r="Q1140" s="118" t="n">
        <v>0.2</v>
      </c>
      <c r="R1140" s="110" t="n">
        <v>1</v>
      </c>
      <c r="S1140" s="110" t="s">
        <v>632</v>
      </c>
      <c r="T1140" s="110" t="s">
        <v>530</v>
      </c>
      <c r="U1140" s="110" t="s">
        <v>2918</v>
      </c>
      <c r="V1140" s="119" t="n">
        <v>4.08</v>
      </c>
      <c r="W1140" s="119"/>
      <c r="X1140" s="110" t="s">
        <v>2063</v>
      </c>
      <c r="Y1140" s="110" t="s">
        <v>2064</v>
      </c>
      <c r="Z1140" s="110" t="s">
        <v>2130</v>
      </c>
      <c r="AA1140" s="110" t="s">
        <v>537</v>
      </c>
      <c r="AB1140" s="110" t="s">
        <v>244</v>
      </c>
      <c r="AC1140" s="110" t="s">
        <v>538</v>
      </c>
      <c r="AD1140" s="110" t="n">
        <f aca="false">IF(OR(F1140="",Q1140="",R1140=""),"",ROUND(IF(P1140="incl.",F1140/(1+Q1140),F1140)/IF(S1140="per pack",R1140,1),2))</f>
        <v>4.08</v>
      </c>
      <c r="AE1140" s="110" t="str">
        <f aca="false">IF(AND(AC1140="yes",ISNUMBER(F1140),IF(Compare!$H$5="All mapped",TRUE(),IF(Compare!$H$5="EXACT only",J1140="EXACT",OR(J1140="EXACT",J1140="CLOSE")))),"yes","no")</f>
        <v>yes</v>
      </c>
      <c r="AF1140" s="110" t="n">
        <f aca="false">IF(ISNUMBER(H1140),COUNTIFS($B$7:$B$3000,B1140,$C$7:$C$3000,C1140,$H$7:$H$3000,"&lt;"&amp;H1140,$AH$7:$AH$3000,"yes")+COUNTIFS($B$7:B1140,B1140,$C$7:C1140,C1140,$H$7:H1140,H1140,$AH$7:AH1140,"yes"),"")</f>
        <v>2</v>
      </c>
      <c r="AG1140" s="110" t="n">
        <f aca="false">IF(ISNUMBER(I1140),COUNTIFS($B$7:$B$3000,B1140,$C$7:$C$3000,C1140,$I$7:$I$3000,"&lt;"&amp;I1140,$AI$7:$AI$3000,"yes")+COUNTIFS($B$7:B1140,B1140,$C$7:C1140,C1140,$I$7:I1140,I1140,$AI$7:AI1140,"yes"),"")</f>
        <v>2</v>
      </c>
      <c r="AH1140" s="110" t="str">
        <f aca="false">IF(ISNUMBER(H1140),"yes","no")</f>
        <v>yes</v>
      </c>
      <c r="AI1140" s="110" t="str">
        <f aca="false">IF(ISNUMBER(I1140),"yes","no")</f>
        <v>yes</v>
      </c>
      <c r="AJ1140" s="120" t="n">
        <v>46297</v>
      </c>
      <c r="AK1140" s="110"/>
    </row>
    <row r="1141" customFormat="false" ht="46.25" hidden="false" customHeight="false" outlineLevel="0" collapsed="false">
      <c r="B1141" s="36" t="s">
        <v>75</v>
      </c>
      <c r="C1141" s="98" t="s">
        <v>15</v>
      </c>
      <c r="D1141" s="98" t="s">
        <v>281</v>
      </c>
      <c r="E1141" s="110" t="s">
        <v>3706</v>
      </c>
      <c r="F1141" s="99" t="n">
        <v>5.32</v>
      </c>
      <c r="G1141" s="98" t="s">
        <v>244</v>
      </c>
      <c r="H1141" s="112" t="n">
        <f aca="false">IF(AND(AE1141="yes",ISNUMBER(AD1141)),AD1141,"")</f>
        <v>5.32</v>
      </c>
      <c r="I1141" s="95" t="n">
        <f aca="false">IF(AND(AE1141="yes",ISNUMBER(AD1141),ISNUMBER(INDEX(Sources!$G$7:$G$10,MATCH(AB1141,Sources!$B$7:$B$10,0)))),ROUND(AD1141/INDEX(Sources!$G$7:$G$10,MATCH(AB1141,Sources!$B$7:$B$10,0)),6),"")</f>
        <v>5.32</v>
      </c>
      <c r="J1141" s="98" t="s">
        <v>530</v>
      </c>
      <c r="K1141" s="98" t="s">
        <v>2059</v>
      </c>
      <c r="L1141" s="96"/>
      <c r="M1141" s="110" t="s">
        <v>3707</v>
      </c>
      <c r="N1141" s="117" t="s">
        <v>3708</v>
      </c>
      <c r="O1141" s="110" t="s">
        <v>2952</v>
      </c>
      <c r="P1141" s="110" t="s">
        <v>590</v>
      </c>
      <c r="Q1141" s="118" t="n">
        <v>0.2</v>
      </c>
      <c r="R1141" s="110" t="n">
        <v>1</v>
      </c>
      <c r="S1141" s="110" t="s">
        <v>632</v>
      </c>
      <c r="T1141" s="110" t="s">
        <v>530</v>
      </c>
      <c r="U1141" s="110" t="s">
        <v>2913</v>
      </c>
      <c r="V1141" s="119" t="n">
        <v>5.32</v>
      </c>
      <c r="W1141" s="119"/>
      <c r="X1141" s="110" t="s">
        <v>2063</v>
      </c>
      <c r="Y1141" s="110" t="s">
        <v>2064</v>
      </c>
      <c r="Z1141" s="110" t="s">
        <v>2953</v>
      </c>
      <c r="AA1141" s="110" t="s">
        <v>537</v>
      </c>
      <c r="AB1141" s="110" t="s">
        <v>244</v>
      </c>
      <c r="AC1141" s="110" t="s">
        <v>538</v>
      </c>
      <c r="AD1141" s="110" t="n">
        <f aca="false">IF(OR(F1141="",Q1141="",R1141=""),"",ROUND(IF(P1141="incl.",F1141/(1+Q1141),F1141)/IF(S1141="per pack",R1141,1),2))</f>
        <v>5.32</v>
      </c>
      <c r="AE1141" s="110" t="str">
        <f aca="false">IF(AND(AC1141="yes",ISNUMBER(F1141),IF(Compare!$H$5="All mapped",TRUE(),IF(Compare!$H$5="EXACT only",J1141="EXACT",OR(J1141="EXACT",J1141="CLOSE")))),"yes","no")</f>
        <v>yes</v>
      </c>
      <c r="AF1141" s="110" t="n">
        <f aca="false">IF(ISNUMBER(H1141),COUNTIFS($B$7:$B$3000,B1141,$C$7:$C$3000,C1141,$H$7:$H$3000,"&lt;"&amp;H1141,$AH$7:$AH$3000,"yes")+COUNTIFS($B$7:B1141,B1141,$C$7:C1141,C1141,$H$7:H1141,H1141,$AH$7:AH1141,"yes"),"")</f>
        <v>5</v>
      </c>
      <c r="AG1141" s="110" t="n">
        <f aca="false">IF(ISNUMBER(I1141),COUNTIFS($B$7:$B$3000,B1141,$C$7:$C$3000,C1141,$I$7:$I$3000,"&lt;"&amp;I1141,$AI$7:$AI$3000,"yes")+COUNTIFS($B$7:B1141,B1141,$C$7:C1141,C1141,$I$7:I1141,I1141,$AI$7:AI1141,"yes"),"")</f>
        <v>5</v>
      </c>
      <c r="AH1141" s="110" t="str">
        <f aca="false">IF(ISNUMBER(H1141),"yes","no")</f>
        <v>yes</v>
      </c>
      <c r="AI1141" s="110" t="str">
        <f aca="false">IF(ISNUMBER(I1141),"yes","no")</f>
        <v>yes</v>
      </c>
      <c r="AJ1141" s="120" t="n">
        <v>46297</v>
      </c>
      <c r="AK1141" s="110"/>
    </row>
    <row r="1142" customFormat="false" ht="35.05" hidden="false" customHeight="false" outlineLevel="0" collapsed="false">
      <c r="B1142" s="36" t="s">
        <v>75</v>
      </c>
      <c r="C1142" s="98" t="s">
        <v>15</v>
      </c>
      <c r="D1142" s="98" t="s">
        <v>293</v>
      </c>
      <c r="E1142" s="110" t="s">
        <v>3709</v>
      </c>
      <c r="F1142" s="99" t="n">
        <v>4.5</v>
      </c>
      <c r="G1142" s="98" t="s">
        <v>244</v>
      </c>
      <c r="H1142" s="112" t="n">
        <f aca="false">IF(AND(AE1142="yes",ISNUMBER(AD1142)),AD1142,"")</f>
        <v>4.5</v>
      </c>
      <c r="I1142" s="95" t="n">
        <f aca="false">IF(AND(AE1142="yes",ISNUMBER(AD1142),ISNUMBER(INDEX(Sources!$G$7:$G$10,MATCH(AB1142,Sources!$B$7:$B$10,0)))),ROUND(AD1142/INDEX(Sources!$G$7:$G$10,MATCH(AB1142,Sources!$B$7:$B$10,0)),6),"")</f>
        <v>4.5</v>
      </c>
      <c r="J1142" s="98" t="s">
        <v>530</v>
      </c>
      <c r="K1142" s="98" t="s">
        <v>2059</v>
      </c>
      <c r="L1142" s="96"/>
      <c r="M1142" s="110" t="s">
        <v>3710</v>
      </c>
      <c r="N1142" s="117" t="s">
        <v>3711</v>
      </c>
      <c r="O1142" s="110" t="s">
        <v>2957</v>
      </c>
      <c r="P1142" s="110" t="s">
        <v>590</v>
      </c>
      <c r="Q1142" s="118" t="n">
        <v>0.2</v>
      </c>
      <c r="R1142" s="110" t="n">
        <v>1</v>
      </c>
      <c r="S1142" s="110" t="s">
        <v>632</v>
      </c>
      <c r="T1142" s="110" t="s">
        <v>530</v>
      </c>
      <c r="U1142" s="110" t="s">
        <v>2913</v>
      </c>
      <c r="V1142" s="119" t="n">
        <v>4.5</v>
      </c>
      <c r="W1142" s="119"/>
      <c r="X1142" s="110" t="s">
        <v>2063</v>
      </c>
      <c r="Y1142" s="110" t="s">
        <v>2064</v>
      </c>
      <c r="Z1142" s="110" t="s">
        <v>2958</v>
      </c>
      <c r="AA1142" s="110" t="s">
        <v>537</v>
      </c>
      <c r="AB1142" s="110" t="s">
        <v>244</v>
      </c>
      <c r="AC1142" s="110" t="s">
        <v>538</v>
      </c>
      <c r="AD1142" s="110" t="n">
        <f aca="false">IF(OR(F1142="",Q1142="",R1142=""),"",ROUND(IF(P1142="incl.",F1142/(1+Q1142),F1142)/IF(S1142="per pack",R1142,1),2))</f>
        <v>4.5</v>
      </c>
      <c r="AE1142" s="110" t="str">
        <f aca="false">IF(AND(AC1142="yes",ISNUMBER(F1142),IF(Compare!$H$5="All mapped",TRUE(),IF(Compare!$H$5="EXACT only",J1142="EXACT",OR(J1142="EXACT",J1142="CLOSE")))),"yes","no")</f>
        <v>yes</v>
      </c>
      <c r="AF1142" s="110" t="n">
        <f aca="false">IF(ISNUMBER(H1142),COUNTIFS($B$7:$B$3000,B1142,$C$7:$C$3000,C1142,$H$7:$H$3000,"&lt;"&amp;H1142,$AH$7:$AH$3000,"yes")+COUNTIFS($B$7:B1142,B1142,$C$7:C1142,C1142,$H$7:H1142,H1142,$AH$7:AH1142,"yes"),"")</f>
        <v>3</v>
      </c>
      <c r="AG1142" s="110" t="n">
        <f aca="false">IF(ISNUMBER(I1142),COUNTIFS($B$7:$B$3000,B1142,$C$7:$C$3000,C1142,$I$7:$I$3000,"&lt;"&amp;I1142,$AI$7:$AI$3000,"yes")+COUNTIFS($B$7:B1142,B1142,$C$7:C1142,C1142,$I$7:I1142,I1142,$AI$7:AI1142,"yes"),"")</f>
        <v>3</v>
      </c>
      <c r="AH1142" s="110" t="str">
        <f aca="false">IF(ISNUMBER(H1142),"yes","no")</f>
        <v>yes</v>
      </c>
      <c r="AI1142" s="110" t="str">
        <f aca="false">IF(ISNUMBER(I1142),"yes","no")</f>
        <v>yes</v>
      </c>
      <c r="AJ1142" s="120" t="n">
        <v>46297</v>
      </c>
      <c r="AK1142" s="110"/>
    </row>
    <row r="1143" customFormat="false" ht="35.05" hidden="false" customHeight="false" outlineLevel="0" collapsed="false">
      <c r="B1143" s="36" t="s">
        <v>75</v>
      </c>
      <c r="C1143" s="98" t="s">
        <v>16</v>
      </c>
      <c r="D1143" s="98" t="s">
        <v>296</v>
      </c>
      <c r="E1143" s="110" t="s">
        <v>3691</v>
      </c>
      <c r="F1143" s="99" t="n">
        <v>2.9</v>
      </c>
      <c r="G1143" s="98" t="s">
        <v>244</v>
      </c>
      <c r="H1143" s="112" t="n">
        <f aca="false">IF(AND(AE1143="yes",ISNUMBER(AD1143)),AD1143,"")</f>
        <v>2.9</v>
      </c>
      <c r="I1143" s="95" t="n">
        <f aca="false">IF(AND(AE1143="yes",ISNUMBER(AD1143),ISNUMBER(INDEX(Sources!$G$7:$G$10,MATCH(AB1143,Sources!$B$7:$B$10,0)))),ROUND(AD1143/INDEX(Sources!$G$7:$G$10,MATCH(AB1143,Sources!$B$7:$B$10,0)),6),"")</f>
        <v>2.9</v>
      </c>
      <c r="J1143" s="98" t="s">
        <v>530</v>
      </c>
      <c r="K1143" s="98" t="s">
        <v>2059</v>
      </c>
      <c r="L1143" s="96"/>
      <c r="M1143" s="110" t="s">
        <v>3712</v>
      </c>
      <c r="N1143" s="117" t="s">
        <v>3713</v>
      </c>
      <c r="O1143" s="110" t="s">
        <v>3149</v>
      </c>
      <c r="P1143" s="110" t="s">
        <v>590</v>
      </c>
      <c r="Q1143" s="118" t="n">
        <v>0.19</v>
      </c>
      <c r="R1143" s="110" t="n">
        <v>1</v>
      </c>
      <c r="S1143" s="110" t="s">
        <v>632</v>
      </c>
      <c r="T1143" s="110" t="s">
        <v>530</v>
      </c>
      <c r="U1143" s="110" t="s">
        <v>2913</v>
      </c>
      <c r="V1143" s="119" t="n">
        <v>2.9</v>
      </c>
      <c r="W1143" s="119"/>
      <c r="X1143" s="110" t="s">
        <v>2063</v>
      </c>
      <c r="Y1143" s="110" t="s">
        <v>2064</v>
      </c>
      <c r="Z1143" s="110" t="s">
        <v>3128</v>
      </c>
      <c r="AA1143" s="110" t="s">
        <v>537</v>
      </c>
      <c r="AB1143" s="110" t="s">
        <v>244</v>
      </c>
      <c r="AC1143" s="110" t="s">
        <v>538</v>
      </c>
      <c r="AD1143" s="110" t="n">
        <f aca="false">IF(OR(F1143="",Q1143="",R1143=""),"",ROUND(IF(P1143="incl.",F1143/(1+Q1143),F1143)/IF(S1143="per pack",R1143,1),2))</f>
        <v>2.9</v>
      </c>
      <c r="AE1143" s="110" t="str">
        <f aca="false">IF(AND(AC1143="yes",ISNUMBER(F1143),IF(Compare!$H$5="All mapped",TRUE(),IF(Compare!$H$5="EXACT only",J1143="EXACT",OR(J1143="EXACT",J1143="CLOSE")))),"yes","no")</f>
        <v>yes</v>
      </c>
      <c r="AF1143" s="110" t="n">
        <f aca="false">IF(ISNUMBER(H1143),COUNTIFS($B$7:$B$3000,B1143,$C$7:$C$3000,C1143,$H$7:$H$3000,"&lt;"&amp;H1143,$AH$7:$AH$3000,"yes")+COUNTIFS($B$7:B1143,B1143,$C$7:C1143,C1143,$H$7:H1143,H1143,$AH$7:AH1143,"yes"),"")</f>
        <v>2</v>
      </c>
      <c r="AG1143" s="110" t="n">
        <f aca="false">IF(ISNUMBER(I1143),COUNTIFS($B$7:$B$3000,B1143,$C$7:$C$3000,C1143,$I$7:$I$3000,"&lt;"&amp;I1143,$AI$7:$AI$3000,"yes")+COUNTIFS($B$7:B1143,B1143,$C$7:C1143,C1143,$I$7:I1143,I1143,$AI$7:AI1143,"yes"),"")</f>
        <v>2</v>
      </c>
      <c r="AH1143" s="110" t="str">
        <f aca="false">IF(ISNUMBER(H1143),"yes","no")</f>
        <v>yes</v>
      </c>
      <c r="AI1143" s="110" t="str">
        <f aca="false">IF(ISNUMBER(I1143),"yes","no")</f>
        <v>yes</v>
      </c>
      <c r="AJ1143" s="120" t="n">
        <v>46297</v>
      </c>
      <c r="AK1143" s="110"/>
    </row>
    <row r="1144" customFormat="false" ht="35.05" hidden="false" customHeight="false" outlineLevel="0" collapsed="false">
      <c r="B1144" s="36" t="s">
        <v>75</v>
      </c>
      <c r="C1144" s="98" t="s">
        <v>16</v>
      </c>
      <c r="D1144" s="98" t="s">
        <v>305</v>
      </c>
      <c r="E1144" s="110" t="s">
        <v>3714</v>
      </c>
      <c r="F1144" s="99" t="n">
        <v>5.51</v>
      </c>
      <c r="G1144" s="98" t="s">
        <v>244</v>
      </c>
      <c r="H1144" s="112" t="n">
        <f aca="false">IF(AND(AE1144="yes",ISNUMBER(AD1144)),AD1144,"")</f>
        <v>4.63</v>
      </c>
      <c r="I1144" s="95" t="n">
        <f aca="false">IF(AND(AE1144="yes",ISNUMBER(AD1144),ISNUMBER(INDEX(Sources!$G$7:$G$10,MATCH(AB1144,Sources!$B$7:$B$10,0)))),ROUND(AD1144/INDEX(Sources!$G$7:$G$10,MATCH(AB1144,Sources!$B$7:$B$10,0)),6),"")</f>
        <v>4.63</v>
      </c>
      <c r="J1144" s="98" t="s">
        <v>530</v>
      </c>
      <c r="K1144" s="98" t="s">
        <v>2059</v>
      </c>
      <c r="L1144" s="96"/>
      <c r="M1144" s="110" t="s">
        <v>3715</v>
      </c>
      <c r="N1144" s="117" t="s">
        <v>3716</v>
      </c>
      <c r="O1144" s="110" t="s">
        <v>2965</v>
      </c>
      <c r="P1144" s="110" t="s">
        <v>265</v>
      </c>
      <c r="Q1144" s="118" t="n">
        <v>0.19</v>
      </c>
      <c r="R1144" s="110" t="n">
        <v>1</v>
      </c>
      <c r="S1144" s="110" t="s">
        <v>632</v>
      </c>
      <c r="T1144" s="110" t="s">
        <v>530</v>
      </c>
      <c r="U1144" s="110" t="s">
        <v>2918</v>
      </c>
      <c r="V1144" s="119" t="n">
        <v>4.63</v>
      </c>
      <c r="W1144" s="119"/>
      <c r="X1144" s="110" t="s">
        <v>2063</v>
      </c>
      <c r="Y1144" s="110" t="s">
        <v>2064</v>
      </c>
      <c r="Z1144" s="110" t="s">
        <v>2156</v>
      </c>
      <c r="AA1144" s="110" t="s">
        <v>537</v>
      </c>
      <c r="AB1144" s="110" t="s">
        <v>244</v>
      </c>
      <c r="AC1144" s="110" t="s">
        <v>538</v>
      </c>
      <c r="AD1144" s="110" t="n">
        <f aca="false">IF(OR(F1144="",Q1144="",R1144=""),"",ROUND(IF(P1144="incl.",F1144/(1+Q1144),F1144)/IF(S1144="per pack",R1144,1),2))</f>
        <v>4.63</v>
      </c>
      <c r="AE1144" s="110" t="str">
        <f aca="false">IF(AND(AC1144="yes",ISNUMBER(F1144),IF(Compare!$H$5="All mapped",TRUE(),IF(Compare!$H$5="EXACT only",J1144="EXACT",OR(J1144="EXACT",J1144="CLOSE")))),"yes","no")</f>
        <v>yes</v>
      </c>
      <c r="AF1144" s="110" t="n">
        <f aca="false">IF(ISNUMBER(H1144),COUNTIFS($B$7:$B$3000,B1144,$C$7:$C$3000,C1144,$H$7:$H$3000,"&lt;"&amp;H1144,$AH$7:$AH$3000,"yes")+COUNTIFS($B$7:B1144,B1144,$C$7:C1144,C1144,$H$7:H1144,H1144,$AH$7:AH1144,"yes"),"")</f>
        <v>5</v>
      </c>
      <c r="AG1144" s="110" t="n">
        <f aca="false">IF(ISNUMBER(I1144),COUNTIFS($B$7:$B$3000,B1144,$C$7:$C$3000,C1144,$I$7:$I$3000,"&lt;"&amp;I1144,$AI$7:$AI$3000,"yes")+COUNTIFS($B$7:B1144,B1144,$C$7:C1144,C1144,$I$7:I1144,I1144,$AI$7:AI1144,"yes"),"")</f>
        <v>5</v>
      </c>
      <c r="AH1144" s="110" t="str">
        <f aca="false">IF(ISNUMBER(H1144),"yes","no")</f>
        <v>yes</v>
      </c>
      <c r="AI1144" s="110" t="str">
        <f aca="false">IF(ISNUMBER(I1144),"yes","no")</f>
        <v>yes</v>
      </c>
      <c r="AJ1144" s="120" t="n">
        <v>46297</v>
      </c>
      <c r="AK1144" s="110"/>
    </row>
    <row r="1145" customFormat="false" ht="35.05" hidden="false" customHeight="false" outlineLevel="0" collapsed="false">
      <c r="B1145" s="36" t="s">
        <v>75</v>
      </c>
      <c r="C1145" s="98" t="s">
        <v>16</v>
      </c>
      <c r="D1145" s="98" t="s">
        <v>311</v>
      </c>
      <c r="E1145" s="110" t="s">
        <v>3697</v>
      </c>
      <c r="F1145" s="99" t="n">
        <v>4.59</v>
      </c>
      <c r="G1145" s="98" t="s">
        <v>244</v>
      </c>
      <c r="H1145" s="112" t="n">
        <f aca="false">IF(AND(AE1145="yes",ISNUMBER(AD1145)),AD1145,"")</f>
        <v>4.59</v>
      </c>
      <c r="I1145" s="95" t="n">
        <f aca="false">IF(AND(AE1145="yes",ISNUMBER(AD1145),ISNUMBER(INDEX(Sources!$G$7:$G$10,MATCH(AB1145,Sources!$B$7:$B$10,0)))),ROUND(AD1145/INDEX(Sources!$G$7:$G$10,MATCH(AB1145,Sources!$B$7:$B$10,0)),6),"")</f>
        <v>4.59</v>
      </c>
      <c r="J1145" s="98" t="s">
        <v>530</v>
      </c>
      <c r="K1145" s="98" t="s">
        <v>2059</v>
      </c>
      <c r="L1145" s="96"/>
      <c r="M1145" s="110" t="s">
        <v>3717</v>
      </c>
      <c r="N1145" s="117" t="s">
        <v>3718</v>
      </c>
      <c r="O1145" s="110" t="s">
        <v>598</v>
      </c>
      <c r="P1145" s="110" t="s">
        <v>590</v>
      </c>
      <c r="Q1145" s="118" t="n">
        <v>0.19</v>
      </c>
      <c r="R1145" s="110" t="n">
        <v>1</v>
      </c>
      <c r="S1145" s="110" t="s">
        <v>632</v>
      </c>
      <c r="T1145" s="110" t="s">
        <v>530</v>
      </c>
      <c r="U1145" s="110" t="s">
        <v>2913</v>
      </c>
      <c r="V1145" s="119" t="n">
        <v>4.59</v>
      </c>
      <c r="W1145" s="119"/>
      <c r="X1145" s="110" t="s">
        <v>2063</v>
      </c>
      <c r="Y1145" s="110" t="s">
        <v>2064</v>
      </c>
      <c r="Z1145" s="110" t="s">
        <v>2968</v>
      </c>
      <c r="AA1145" s="110" t="s">
        <v>537</v>
      </c>
      <c r="AB1145" s="110" t="s">
        <v>244</v>
      </c>
      <c r="AC1145" s="110" t="s">
        <v>538</v>
      </c>
      <c r="AD1145" s="110" t="n">
        <f aca="false">IF(OR(F1145="",Q1145="",R1145=""),"",ROUND(IF(P1145="incl.",F1145/(1+Q1145),F1145)/IF(S1145="per pack",R1145,1),2))</f>
        <v>4.59</v>
      </c>
      <c r="AE1145" s="110" t="str">
        <f aca="false">IF(AND(AC1145="yes",ISNUMBER(F1145),IF(Compare!$H$5="All mapped",TRUE(),IF(Compare!$H$5="EXACT only",J1145="EXACT",OR(J1145="EXACT",J1145="CLOSE")))),"yes","no")</f>
        <v>yes</v>
      </c>
      <c r="AF1145" s="110" t="n">
        <f aca="false">IF(ISNUMBER(H1145),COUNTIFS($B$7:$B$3000,B1145,$C$7:$C$3000,C1145,$H$7:$H$3000,"&lt;"&amp;H1145,$AH$7:$AH$3000,"yes")+COUNTIFS($B$7:B1145,B1145,$C$7:C1145,C1145,$H$7:H1145,H1145,$AH$7:AH1145,"yes"),"")</f>
        <v>4</v>
      </c>
      <c r="AG1145" s="110" t="n">
        <f aca="false">IF(ISNUMBER(I1145),COUNTIFS($B$7:$B$3000,B1145,$C$7:$C$3000,C1145,$I$7:$I$3000,"&lt;"&amp;I1145,$AI$7:$AI$3000,"yes")+COUNTIFS($B$7:B1145,B1145,$C$7:C1145,C1145,$I$7:I1145,I1145,$AI$7:AI1145,"yes"),"")</f>
        <v>4</v>
      </c>
      <c r="AH1145" s="110" t="str">
        <f aca="false">IF(ISNUMBER(H1145),"yes","no")</f>
        <v>yes</v>
      </c>
      <c r="AI1145" s="110" t="str">
        <f aca="false">IF(ISNUMBER(I1145),"yes","no")</f>
        <v>yes</v>
      </c>
      <c r="AJ1145" s="120" t="n">
        <v>46297</v>
      </c>
      <c r="AK1145" s="110"/>
    </row>
    <row r="1146" customFormat="false" ht="23.85" hidden="false" customHeight="false" outlineLevel="0" collapsed="false">
      <c r="B1146" s="36" t="s">
        <v>75</v>
      </c>
      <c r="C1146" s="98" t="s">
        <v>16</v>
      </c>
      <c r="D1146" s="98" t="s">
        <v>309</v>
      </c>
      <c r="E1146" s="110" t="s">
        <v>3700</v>
      </c>
      <c r="F1146" s="99" t="n">
        <v>12</v>
      </c>
      <c r="G1146" s="98" t="s">
        <v>244</v>
      </c>
      <c r="H1146" s="112" t="n">
        <f aca="false">IF(AND(AE1146="yes",ISNUMBER(AD1146)),AD1146,"")</f>
        <v>12</v>
      </c>
      <c r="I1146" s="95" t="n">
        <f aca="false">IF(AND(AE1146="yes",ISNUMBER(AD1146),ISNUMBER(INDEX(Sources!$G$7:$G$10,MATCH(AB1146,Sources!$B$7:$B$10,0)))),ROUND(AD1146/INDEX(Sources!$G$7:$G$10,MATCH(AB1146,Sources!$B$7:$B$10,0)),6),"")</f>
        <v>12</v>
      </c>
      <c r="J1146" s="98" t="s">
        <v>530</v>
      </c>
      <c r="K1146" s="98" t="s">
        <v>2059</v>
      </c>
      <c r="L1146" s="96"/>
      <c r="M1146" s="110" t="s">
        <v>3719</v>
      </c>
      <c r="N1146" s="117" t="s">
        <v>3702</v>
      </c>
      <c r="O1146" s="110" t="s">
        <v>2944</v>
      </c>
      <c r="P1146" s="110" t="s">
        <v>590</v>
      </c>
      <c r="Q1146" s="118" t="n">
        <v>0.19</v>
      </c>
      <c r="R1146" s="110" t="n">
        <v>1</v>
      </c>
      <c r="S1146" s="110" t="s">
        <v>632</v>
      </c>
      <c r="T1146" s="110" t="s">
        <v>530</v>
      </c>
      <c r="U1146" s="110" t="s">
        <v>2913</v>
      </c>
      <c r="V1146" s="119" t="n">
        <v>12</v>
      </c>
      <c r="W1146" s="119"/>
      <c r="X1146" s="110" t="s">
        <v>2063</v>
      </c>
      <c r="Y1146" s="110" t="s">
        <v>2064</v>
      </c>
      <c r="Z1146" s="110" t="s">
        <v>2970</v>
      </c>
      <c r="AA1146" s="110" t="s">
        <v>537</v>
      </c>
      <c r="AB1146" s="110" t="s">
        <v>244</v>
      </c>
      <c r="AC1146" s="110" t="s">
        <v>538</v>
      </c>
      <c r="AD1146" s="110" t="n">
        <f aca="false">IF(OR(F1146="",Q1146="",R1146=""),"",ROUND(IF(P1146="incl.",F1146/(1+Q1146),F1146)/IF(S1146="per pack",R1146,1),2))</f>
        <v>12</v>
      </c>
      <c r="AE1146" s="110" t="str">
        <f aca="false">IF(AND(AC1146="yes",ISNUMBER(F1146),IF(Compare!$H$5="All mapped",TRUE(),IF(Compare!$H$5="EXACT only",J1146="EXACT",OR(J1146="EXACT",J1146="CLOSE")))),"yes","no")</f>
        <v>yes</v>
      </c>
      <c r="AF1146" s="110" t="n">
        <f aca="false">IF(ISNUMBER(H1146),COUNTIFS($B$7:$B$3000,B1146,$C$7:$C$3000,C1146,$H$7:$H$3000,"&lt;"&amp;H1146,$AH$7:$AH$3000,"yes")+COUNTIFS($B$7:B1146,B1146,$C$7:C1146,C1146,$H$7:H1146,H1146,$AH$7:AH1146,"yes"),"")</f>
        <v>7</v>
      </c>
      <c r="AG1146" s="110" t="n">
        <f aca="false">IF(ISNUMBER(I1146),COUNTIFS($B$7:$B$3000,B1146,$C$7:$C$3000,C1146,$I$7:$I$3000,"&lt;"&amp;I1146,$AI$7:$AI$3000,"yes")+COUNTIFS($B$7:B1146,B1146,$C$7:C1146,C1146,$I$7:I1146,I1146,$AI$7:AI1146,"yes"),"")</f>
        <v>7</v>
      </c>
      <c r="AH1146" s="110" t="str">
        <f aca="false">IF(ISNUMBER(H1146),"yes","no")</f>
        <v>yes</v>
      </c>
      <c r="AI1146" s="110" t="str">
        <f aca="false">IF(ISNUMBER(I1146),"yes","no")</f>
        <v>yes</v>
      </c>
      <c r="AJ1146" s="120" t="n">
        <v>46297</v>
      </c>
      <c r="AK1146" s="110"/>
    </row>
    <row r="1147" customFormat="false" ht="23.85" hidden="false" customHeight="false" outlineLevel="0" collapsed="false">
      <c r="B1147" s="36" t="s">
        <v>75</v>
      </c>
      <c r="C1147" s="98" t="s">
        <v>16</v>
      </c>
      <c r="D1147" s="98" t="s">
        <v>313</v>
      </c>
      <c r="E1147" s="110" t="s">
        <v>3720</v>
      </c>
      <c r="F1147" s="99" t="n">
        <v>8.09</v>
      </c>
      <c r="G1147" s="98" t="s">
        <v>244</v>
      </c>
      <c r="H1147" s="112" t="n">
        <f aca="false">IF(AND(AE1147="yes",ISNUMBER(AD1147)),AD1147,"")</f>
        <v>6.8</v>
      </c>
      <c r="I1147" s="95" t="n">
        <f aca="false">IF(AND(AE1147="yes",ISNUMBER(AD1147),ISNUMBER(INDEX(Sources!$G$7:$G$10,MATCH(AB1147,Sources!$B$7:$B$10,0)))),ROUND(AD1147/INDEX(Sources!$G$7:$G$10,MATCH(AB1147,Sources!$B$7:$B$10,0)),6),"")</f>
        <v>6.8</v>
      </c>
      <c r="J1147" s="98" t="s">
        <v>530</v>
      </c>
      <c r="K1147" s="98" t="s">
        <v>2059</v>
      </c>
      <c r="L1147" s="96"/>
      <c r="M1147" s="110" t="s">
        <v>3721</v>
      </c>
      <c r="N1147" s="117" t="s">
        <v>3722</v>
      </c>
      <c r="O1147" s="110" t="s">
        <v>598</v>
      </c>
      <c r="P1147" s="110" t="s">
        <v>265</v>
      </c>
      <c r="Q1147" s="118" t="n">
        <v>0.19</v>
      </c>
      <c r="R1147" s="110" t="n">
        <v>1</v>
      </c>
      <c r="S1147" s="110" t="s">
        <v>632</v>
      </c>
      <c r="T1147" s="110" t="s">
        <v>530</v>
      </c>
      <c r="U1147" s="110" t="s">
        <v>2918</v>
      </c>
      <c r="V1147" s="119" t="n">
        <v>6.8</v>
      </c>
      <c r="W1147" s="119"/>
      <c r="X1147" s="110" t="s">
        <v>2063</v>
      </c>
      <c r="Y1147" s="110" t="s">
        <v>2064</v>
      </c>
      <c r="Z1147" s="110" t="s">
        <v>2973</v>
      </c>
      <c r="AA1147" s="110" t="s">
        <v>537</v>
      </c>
      <c r="AB1147" s="110" t="s">
        <v>244</v>
      </c>
      <c r="AC1147" s="110" t="s">
        <v>538</v>
      </c>
      <c r="AD1147" s="110" t="n">
        <f aca="false">IF(OR(F1147="",Q1147="",R1147=""),"",ROUND(IF(P1147="incl.",F1147/(1+Q1147),F1147)/IF(S1147="per pack",R1147,1),2))</f>
        <v>6.8</v>
      </c>
      <c r="AE1147" s="110" t="str">
        <f aca="false">IF(AND(AC1147="yes",ISNUMBER(F1147),IF(Compare!$H$5="All mapped",TRUE(),IF(Compare!$H$5="EXACT only",J1147="EXACT",OR(J1147="EXACT",J1147="CLOSE")))),"yes","no")</f>
        <v>yes</v>
      </c>
      <c r="AF1147" s="110" t="n">
        <f aca="false">IF(ISNUMBER(H1147),COUNTIFS($B$7:$B$3000,B1147,$C$7:$C$3000,C1147,$H$7:$H$3000,"&lt;"&amp;H1147,$AH$7:$AH$3000,"yes")+COUNTIFS($B$7:B1147,B1147,$C$7:C1147,C1147,$H$7:H1147,H1147,$AH$7:AH1147,"yes"),"")</f>
        <v>6</v>
      </c>
      <c r="AG1147" s="110" t="n">
        <f aca="false">IF(ISNUMBER(I1147),COUNTIFS($B$7:$B$3000,B1147,$C$7:$C$3000,C1147,$I$7:$I$3000,"&lt;"&amp;I1147,$AI$7:$AI$3000,"yes")+COUNTIFS($B$7:B1147,B1147,$C$7:C1147,C1147,$I$7:I1147,I1147,$AI$7:AI1147,"yes"),"")</f>
        <v>6</v>
      </c>
      <c r="AH1147" s="110" t="str">
        <f aca="false">IF(ISNUMBER(H1147),"yes","no")</f>
        <v>yes</v>
      </c>
      <c r="AI1147" s="110" t="str">
        <f aca="false">IF(ISNUMBER(I1147),"yes","no")</f>
        <v>yes</v>
      </c>
      <c r="AJ1147" s="120" t="n">
        <v>46297</v>
      </c>
      <c r="AK1147" s="110"/>
    </row>
    <row r="1148" customFormat="false" ht="35.05" hidden="false" customHeight="false" outlineLevel="0" collapsed="false">
      <c r="B1148" s="36" t="s">
        <v>75</v>
      </c>
      <c r="C1148" s="98" t="s">
        <v>16</v>
      </c>
      <c r="D1148" s="98" t="s">
        <v>321</v>
      </c>
      <c r="E1148" s="110" t="s">
        <v>3723</v>
      </c>
      <c r="F1148" s="99" t="n">
        <v>4.41</v>
      </c>
      <c r="G1148" s="98" t="s">
        <v>244</v>
      </c>
      <c r="H1148" s="112" t="n">
        <f aca="false">IF(AND(AE1148="yes",ISNUMBER(AD1148)),AD1148,"")</f>
        <v>4.41</v>
      </c>
      <c r="I1148" s="95" t="n">
        <f aca="false">IF(AND(AE1148="yes",ISNUMBER(AD1148),ISNUMBER(INDEX(Sources!$G$7:$G$10,MATCH(AB1148,Sources!$B$7:$B$10,0)))),ROUND(AD1148/INDEX(Sources!$G$7:$G$10,MATCH(AB1148,Sources!$B$7:$B$10,0)),6),"")</f>
        <v>4.41</v>
      </c>
      <c r="J1148" s="98" t="s">
        <v>530</v>
      </c>
      <c r="K1148" s="98" t="s">
        <v>2059</v>
      </c>
      <c r="L1148" s="96"/>
      <c r="M1148" s="110" t="s">
        <v>3724</v>
      </c>
      <c r="N1148" s="117" t="s">
        <v>3725</v>
      </c>
      <c r="O1148" s="110" t="s">
        <v>2977</v>
      </c>
      <c r="P1148" s="110" t="s">
        <v>590</v>
      </c>
      <c r="Q1148" s="118" t="n">
        <v>0.19</v>
      </c>
      <c r="R1148" s="110" t="n">
        <v>1</v>
      </c>
      <c r="S1148" s="110" t="s">
        <v>632</v>
      </c>
      <c r="T1148" s="110" t="s">
        <v>530</v>
      </c>
      <c r="U1148" s="110" t="s">
        <v>2913</v>
      </c>
      <c r="V1148" s="119" t="n">
        <v>4.41</v>
      </c>
      <c r="W1148" s="119"/>
      <c r="X1148" s="110" t="s">
        <v>2063</v>
      </c>
      <c r="Y1148" s="110" t="s">
        <v>2064</v>
      </c>
      <c r="Z1148" s="110" t="s">
        <v>2978</v>
      </c>
      <c r="AA1148" s="110" t="s">
        <v>537</v>
      </c>
      <c r="AB1148" s="110" t="s">
        <v>244</v>
      </c>
      <c r="AC1148" s="110" t="s">
        <v>538</v>
      </c>
      <c r="AD1148" s="110" t="n">
        <f aca="false">IF(OR(F1148="",Q1148="",R1148=""),"",ROUND(IF(P1148="incl.",F1148/(1+Q1148),F1148)/IF(S1148="per pack",R1148,1),2))</f>
        <v>4.41</v>
      </c>
      <c r="AE1148" s="110" t="str">
        <f aca="false">IF(AND(AC1148="yes",ISNUMBER(F1148),IF(Compare!$H$5="All mapped",TRUE(),IF(Compare!$H$5="EXACT only",J1148="EXACT",OR(J1148="EXACT",J1148="CLOSE")))),"yes","no")</f>
        <v>yes</v>
      </c>
      <c r="AF1148" s="110" t="n">
        <f aca="false">IF(ISNUMBER(H1148),COUNTIFS($B$7:$B$3000,B1148,$C$7:$C$3000,C1148,$H$7:$H$3000,"&lt;"&amp;H1148,$AH$7:$AH$3000,"yes")+COUNTIFS($B$7:B1148,B1148,$C$7:C1148,C1148,$H$7:H1148,H1148,$AH$7:AH1148,"yes"),"")</f>
        <v>3</v>
      </c>
      <c r="AG1148" s="110" t="n">
        <f aca="false">IF(ISNUMBER(I1148),COUNTIFS($B$7:$B$3000,B1148,$C$7:$C$3000,C1148,$I$7:$I$3000,"&lt;"&amp;I1148,$AI$7:$AI$3000,"yes")+COUNTIFS($B$7:B1148,B1148,$C$7:C1148,C1148,$I$7:I1148,I1148,$AI$7:AI1148,"yes"),"")</f>
        <v>3</v>
      </c>
      <c r="AH1148" s="110" t="str">
        <f aca="false">IF(ISNUMBER(H1148),"yes","no")</f>
        <v>yes</v>
      </c>
      <c r="AI1148" s="110" t="str">
        <f aca="false">IF(ISNUMBER(I1148),"yes","no")</f>
        <v>yes</v>
      </c>
      <c r="AJ1148" s="120" t="n">
        <v>46297</v>
      </c>
      <c r="AK1148" s="110"/>
    </row>
    <row r="1149" customFormat="false" ht="35.05" hidden="false" customHeight="false" outlineLevel="0" collapsed="false">
      <c r="B1149" s="36" t="s">
        <v>75</v>
      </c>
      <c r="C1149" s="98" t="s">
        <v>16</v>
      </c>
      <c r="D1149" s="98" t="s">
        <v>329</v>
      </c>
      <c r="E1149" s="110" t="s">
        <v>3726</v>
      </c>
      <c r="F1149" s="99" t="n">
        <v>2.58</v>
      </c>
      <c r="G1149" s="98" t="s">
        <v>244</v>
      </c>
      <c r="H1149" s="112" t="n">
        <f aca="false">IF(AND(AE1149="yes",ISNUMBER(AD1149)),AD1149,"")</f>
        <v>2.58</v>
      </c>
      <c r="I1149" s="95" t="n">
        <f aca="false">IF(AND(AE1149="yes",ISNUMBER(AD1149),ISNUMBER(INDEX(Sources!$G$7:$G$10,MATCH(AB1149,Sources!$B$7:$B$10,0)))),ROUND(AD1149/INDEX(Sources!$G$7:$G$10,MATCH(AB1149,Sources!$B$7:$B$10,0)),6),"")</f>
        <v>2.58</v>
      </c>
      <c r="J1149" s="98" t="s">
        <v>530</v>
      </c>
      <c r="K1149" s="98" t="s">
        <v>2059</v>
      </c>
      <c r="L1149" s="96"/>
      <c r="M1149" s="110" t="s">
        <v>3727</v>
      </c>
      <c r="N1149" s="117" t="s">
        <v>3728</v>
      </c>
      <c r="O1149" s="110" t="s">
        <v>598</v>
      </c>
      <c r="P1149" s="110" t="s">
        <v>590</v>
      </c>
      <c r="Q1149" s="118" t="n">
        <v>0.19</v>
      </c>
      <c r="R1149" s="110" t="n">
        <v>1</v>
      </c>
      <c r="S1149" s="110" t="s">
        <v>632</v>
      </c>
      <c r="T1149" s="110" t="s">
        <v>530</v>
      </c>
      <c r="U1149" s="110" t="s">
        <v>2913</v>
      </c>
      <c r="V1149" s="119" t="n">
        <v>2.58</v>
      </c>
      <c r="W1149" s="119"/>
      <c r="X1149" s="110" t="s">
        <v>2063</v>
      </c>
      <c r="Y1149" s="110" t="s">
        <v>2064</v>
      </c>
      <c r="Z1149" s="110" t="s">
        <v>2624</v>
      </c>
      <c r="AA1149" s="110" t="s">
        <v>537</v>
      </c>
      <c r="AB1149" s="110" t="s">
        <v>244</v>
      </c>
      <c r="AC1149" s="110" t="s">
        <v>538</v>
      </c>
      <c r="AD1149" s="110" t="n">
        <f aca="false">IF(OR(F1149="",Q1149="",R1149=""),"",ROUND(IF(P1149="incl.",F1149/(1+Q1149),F1149)/IF(S1149="per pack",R1149,1),2))</f>
        <v>2.58</v>
      </c>
      <c r="AE1149" s="110" t="str">
        <f aca="false">IF(AND(AC1149="yes",ISNUMBER(F1149),IF(Compare!$H$5="All mapped",TRUE(),IF(Compare!$H$5="EXACT only",J1149="EXACT",OR(J1149="EXACT",J1149="CLOSE")))),"yes","no")</f>
        <v>yes</v>
      </c>
      <c r="AF1149" s="110" t="n">
        <f aca="false">IF(ISNUMBER(H1149),COUNTIFS($B$7:$B$3000,B1149,$C$7:$C$3000,C1149,$H$7:$H$3000,"&lt;"&amp;H1149,$AH$7:$AH$3000,"yes")+COUNTIFS($B$7:B1149,B1149,$C$7:C1149,C1149,$H$7:H1149,H1149,$AH$7:AH1149,"yes"),"")</f>
        <v>1</v>
      </c>
      <c r="AG1149" s="110" t="n">
        <f aca="false">IF(ISNUMBER(I1149),COUNTIFS($B$7:$B$3000,B1149,$C$7:$C$3000,C1149,$I$7:$I$3000,"&lt;"&amp;I1149,$AI$7:$AI$3000,"yes")+COUNTIFS($B$7:B1149,B1149,$C$7:C1149,C1149,$I$7:I1149,I1149,$AI$7:AI1149,"yes"),"")</f>
        <v>1</v>
      </c>
      <c r="AH1149" s="110" t="str">
        <f aca="false">IF(ISNUMBER(H1149),"yes","no")</f>
        <v>yes</v>
      </c>
      <c r="AI1149" s="110" t="str">
        <f aca="false">IF(ISNUMBER(I1149),"yes","no")</f>
        <v>yes</v>
      </c>
      <c r="AJ1149" s="120" t="n">
        <v>46297</v>
      </c>
      <c r="AK1149" s="110"/>
    </row>
    <row r="1150" customFormat="false" ht="35.05" hidden="false" customHeight="false" outlineLevel="0" collapsed="false">
      <c r="B1150" s="36" t="s">
        <v>75</v>
      </c>
      <c r="C1150" s="98" t="s">
        <v>17</v>
      </c>
      <c r="D1150" s="98" t="s">
        <v>338</v>
      </c>
      <c r="E1150" s="110" t="s">
        <v>3729</v>
      </c>
      <c r="F1150" s="99" t="n">
        <v>107</v>
      </c>
      <c r="G1150" s="98" t="s">
        <v>333</v>
      </c>
      <c r="H1150" s="112" t="n">
        <f aca="false">IF(AND(AE1150="yes",ISNUMBER(AD1150)),AD1150,"")</f>
        <v>107</v>
      </c>
      <c r="I1150" s="95" t="n">
        <f aca="false">IF(AND(AE1150="yes",ISNUMBER(AD1150),ISNUMBER(INDEX(Sources!$G$7:$G$10,MATCH(AB1150,Sources!$B$7:$B$10,0)))),ROUND(AD1150/INDEX(Sources!$G$7:$G$10,MATCH(AB1150,Sources!$B$7:$B$10,0)),6),"")</f>
        <v>4.381006</v>
      </c>
      <c r="J1150" s="98" t="s">
        <v>530</v>
      </c>
      <c r="K1150" s="98" t="s">
        <v>2059</v>
      </c>
      <c r="L1150" s="96"/>
      <c r="M1150" s="110" t="s">
        <v>3730</v>
      </c>
      <c r="N1150" s="117" t="s">
        <v>3731</v>
      </c>
      <c r="O1150" s="110" t="s">
        <v>388</v>
      </c>
      <c r="P1150" s="110" t="s">
        <v>590</v>
      </c>
      <c r="Q1150" s="118" t="n">
        <v>0.21</v>
      </c>
      <c r="R1150" s="110" t="n">
        <v>1</v>
      </c>
      <c r="S1150" s="110" t="s">
        <v>632</v>
      </c>
      <c r="T1150" s="110" t="s">
        <v>530</v>
      </c>
      <c r="U1150" s="110" t="s">
        <v>2913</v>
      </c>
      <c r="V1150" s="119" t="n">
        <v>107</v>
      </c>
      <c r="W1150" s="119"/>
      <c r="X1150" s="110" t="s">
        <v>2063</v>
      </c>
      <c r="Y1150" s="110" t="s">
        <v>2064</v>
      </c>
      <c r="Z1150" s="110" t="s">
        <v>3167</v>
      </c>
      <c r="AA1150" s="110" t="s">
        <v>537</v>
      </c>
      <c r="AB1150" s="110" t="s">
        <v>333</v>
      </c>
      <c r="AC1150" s="110" t="s">
        <v>538</v>
      </c>
      <c r="AD1150" s="110" t="n">
        <f aca="false">IF(OR(F1150="",Q1150="",R1150=""),"",ROUND(IF(P1150="incl.",F1150/(1+Q1150),F1150)/IF(S1150="per pack",R1150,1),2))</f>
        <v>107</v>
      </c>
      <c r="AE1150" s="110" t="str">
        <f aca="false">IF(AND(AC1150="yes",ISNUMBER(F1150),IF(Compare!$H$5="All mapped",TRUE(),IF(Compare!$H$5="EXACT only",J1150="EXACT",OR(J1150="EXACT",J1150="CLOSE")))),"yes","no")</f>
        <v>yes</v>
      </c>
      <c r="AF1150" s="110" t="n">
        <f aca="false">IF(ISNUMBER(H1150),COUNTIFS($B$7:$B$3000,B1150,$C$7:$C$3000,C1150,$H$7:$H$3000,"&lt;"&amp;H1150,$AH$7:$AH$3000,"yes")+COUNTIFS($B$7:B1150,B1150,$C$7:C1150,C1150,$H$7:H1150,H1150,$AH$7:AH1150,"yes"),"")</f>
        <v>3</v>
      </c>
      <c r="AG1150" s="110" t="n">
        <f aca="false">IF(ISNUMBER(I1150),COUNTIFS($B$7:$B$3000,B1150,$C$7:$C$3000,C1150,$I$7:$I$3000,"&lt;"&amp;I1150,$AI$7:$AI$3000,"yes")+COUNTIFS($B$7:B1150,B1150,$C$7:C1150,C1150,$I$7:I1150,I1150,$AI$7:AI1150,"yes"),"")</f>
        <v>3</v>
      </c>
      <c r="AH1150" s="110" t="str">
        <f aca="false">IF(ISNUMBER(H1150),"yes","no")</f>
        <v>yes</v>
      </c>
      <c r="AI1150" s="110" t="str">
        <f aca="false">IF(ISNUMBER(I1150),"yes","no")</f>
        <v>yes</v>
      </c>
      <c r="AJ1150" s="120" t="n">
        <v>46297</v>
      </c>
      <c r="AK1150" s="110"/>
    </row>
    <row r="1151" customFormat="false" ht="35.05" hidden="false" customHeight="false" outlineLevel="0" collapsed="false">
      <c r="B1151" s="36" t="s">
        <v>75</v>
      </c>
      <c r="C1151" s="98" t="s">
        <v>17</v>
      </c>
      <c r="D1151" s="98" t="s">
        <v>342</v>
      </c>
      <c r="E1151" s="110" t="s">
        <v>3732</v>
      </c>
      <c r="F1151" s="99" t="n">
        <v>90</v>
      </c>
      <c r="G1151" s="98" t="s">
        <v>333</v>
      </c>
      <c r="H1151" s="112" t="n">
        <f aca="false">IF(AND(AE1151="yes",ISNUMBER(AD1151)),AD1151,"")</f>
        <v>90</v>
      </c>
      <c r="I1151" s="95" t="n">
        <f aca="false">IF(AND(AE1151="yes",ISNUMBER(AD1151),ISNUMBER(INDEX(Sources!$G$7:$G$10,MATCH(AB1151,Sources!$B$7:$B$10,0)))),ROUND(AD1151/INDEX(Sources!$G$7:$G$10,MATCH(AB1151,Sources!$B$7:$B$10,0)),6),"")</f>
        <v>3.684958</v>
      </c>
      <c r="J1151" s="98" t="s">
        <v>530</v>
      </c>
      <c r="K1151" s="98" t="s">
        <v>2059</v>
      </c>
      <c r="L1151" s="96"/>
      <c r="M1151" s="110" t="s">
        <v>3733</v>
      </c>
      <c r="N1151" s="117" t="s">
        <v>3734</v>
      </c>
      <c r="O1151" s="110" t="s">
        <v>1138</v>
      </c>
      <c r="P1151" s="110" t="s">
        <v>590</v>
      </c>
      <c r="Q1151" s="118" t="n">
        <v>0.21</v>
      </c>
      <c r="R1151" s="110" t="n">
        <v>1</v>
      </c>
      <c r="S1151" s="110" t="s">
        <v>632</v>
      </c>
      <c r="T1151" s="110" t="s">
        <v>530</v>
      </c>
      <c r="U1151" s="110" t="s">
        <v>2913</v>
      </c>
      <c r="V1151" s="119" t="n">
        <v>90</v>
      </c>
      <c r="W1151" s="119"/>
      <c r="X1151" s="110" t="s">
        <v>2063</v>
      </c>
      <c r="Y1151" s="110" t="s">
        <v>2064</v>
      </c>
      <c r="Z1151" s="110" t="s">
        <v>2989</v>
      </c>
      <c r="AA1151" s="110" t="s">
        <v>537</v>
      </c>
      <c r="AB1151" s="110" t="s">
        <v>333</v>
      </c>
      <c r="AC1151" s="110" t="s">
        <v>538</v>
      </c>
      <c r="AD1151" s="110" t="n">
        <f aca="false">IF(OR(F1151="",Q1151="",R1151=""),"",ROUND(IF(P1151="incl.",F1151/(1+Q1151),F1151)/IF(S1151="per pack",R1151,1),2))</f>
        <v>90</v>
      </c>
      <c r="AE1151" s="110" t="str">
        <f aca="false">IF(AND(AC1151="yes",ISNUMBER(F1151),IF(Compare!$H$5="All mapped",TRUE(),IF(Compare!$H$5="EXACT only",J1151="EXACT",OR(J1151="EXACT",J1151="CLOSE")))),"yes","no")</f>
        <v>yes</v>
      </c>
      <c r="AF1151" s="110" t="n">
        <f aca="false">IF(ISNUMBER(H1151),COUNTIFS($B$7:$B$3000,B1151,$C$7:$C$3000,C1151,$H$7:$H$3000,"&lt;"&amp;H1151,$AH$7:$AH$3000,"yes")+COUNTIFS($B$7:B1151,B1151,$C$7:C1151,C1151,$H$7:H1151,H1151,$AH$7:AH1151,"yes"),"")</f>
        <v>2</v>
      </c>
      <c r="AG1151" s="110" t="n">
        <f aca="false">IF(ISNUMBER(I1151),COUNTIFS($B$7:$B$3000,B1151,$C$7:$C$3000,C1151,$I$7:$I$3000,"&lt;"&amp;I1151,$AI$7:$AI$3000,"yes")+COUNTIFS($B$7:B1151,B1151,$C$7:C1151,C1151,$I$7:I1151,I1151,$AI$7:AI1151,"yes"),"")</f>
        <v>2</v>
      </c>
      <c r="AH1151" s="110" t="str">
        <f aca="false">IF(ISNUMBER(H1151),"yes","no")</f>
        <v>yes</v>
      </c>
      <c r="AI1151" s="110" t="str">
        <f aca="false">IF(ISNUMBER(I1151),"yes","no")</f>
        <v>yes</v>
      </c>
      <c r="AJ1151" s="120" t="n">
        <v>46297</v>
      </c>
      <c r="AK1151" s="110"/>
    </row>
    <row r="1152" customFormat="false" ht="46.25" hidden="false" customHeight="false" outlineLevel="0" collapsed="false">
      <c r="B1152" s="36" t="s">
        <v>75</v>
      </c>
      <c r="C1152" s="98" t="s">
        <v>17</v>
      </c>
      <c r="D1152" s="98" t="s">
        <v>346</v>
      </c>
      <c r="E1152" s="110" t="s">
        <v>3735</v>
      </c>
      <c r="F1152" s="99" t="n">
        <v>214</v>
      </c>
      <c r="G1152" s="98" t="s">
        <v>333</v>
      </c>
      <c r="H1152" s="112" t="n">
        <f aca="false">IF(AND(AE1152="yes",ISNUMBER(AD1152)),AD1152,"")</f>
        <v>214</v>
      </c>
      <c r="I1152" s="95" t="n">
        <f aca="false">IF(AND(AE1152="yes",ISNUMBER(AD1152),ISNUMBER(INDEX(Sources!$G$7:$G$10,MATCH(AB1152,Sources!$B$7:$B$10,0)))),ROUND(AD1152/INDEX(Sources!$G$7:$G$10,MATCH(AB1152,Sources!$B$7:$B$10,0)),6),"")</f>
        <v>8.762011</v>
      </c>
      <c r="J1152" s="98" t="s">
        <v>530</v>
      </c>
      <c r="K1152" s="98" t="s">
        <v>2059</v>
      </c>
      <c r="L1152" s="96"/>
      <c r="M1152" s="110" t="s">
        <v>3736</v>
      </c>
      <c r="N1152" s="117" t="s">
        <v>3737</v>
      </c>
      <c r="O1152" s="110" t="s">
        <v>565</v>
      </c>
      <c r="P1152" s="110" t="s">
        <v>590</v>
      </c>
      <c r="Q1152" s="118" t="n">
        <v>0.21</v>
      </c>
      <c r="R1152" s="110" t="n">
        <v>1</v>
      </c>
      <c r="S1152" s="110" t="s">
        <v>632</v>
      </c>
      <c r="T1152" s="110" t="s">
        <v>530</v>
      </c>
      <c r="U1152" s="110" t="s">
        <v>2913</v>
      </c>
      <c r="V1152" s="119" t="n">
        <v>214</v>
      </c>
      <c r="W1152" s="119"/>
      <c r="X1152" s="110" t="s">
        <v>2063</v>
      </c>
      <c r="Y1152" s="110" t="s">
        <v>2064</v>
      </c>
      <c r="Z1152" s="110" t="s">
        <v>2993</v>
      </c>
      <c r="AA1152" s="110" t="s">
        <v>537</v>
      </c>
      <c r="AB1152" s="110" t="s">
        <v>333</v>
      </c>
      <c r="AC1152" s="110" t="s">
        <v>538</v>
      </c>
      <c r="AD1152" s="110" t="n">
        <f aca="false">IF(OR(F1152="",Q1152="",R1152=""),"",ROUND(IF(P1152="incl.",F1152/(1+Q1152),F1152)/IF(S1152="per pack",R1152,1),2))</f>
        <v>214</v>
      </c>
      <c r="AE1152" s="110" t="str">
        <f aca="false">IF(AND(AC1152="yes",ISNUMBER(F1152),IF(Compare!$H$5="All mapped",TRUE(),IF(Compare!$H$5="EXACT only",J1152="EXACT",OR(J1152="EXACT",J1152="CLOSE")))),"yes","no")</f>
        <v>yes</v>
      </c>
      <c r="AF1152" s="110" t="n">
        <f aca="false">IF(ISNUMBER(H1152),COUNTIFS($B$7:$B$3000,B1152,$C$7:$C$3000,C1152,$H$7:$H$3000,"&lt;"&amp;H1152,$AH$7:$AH$3000,"yes")+COUNTIFS($B$7:B1152,B1152,$C$7:C1152,C1152,$H$7:H1152,H1152,$AH$7:AH1152,"yes"),"")</f>
        <v>5</v>
      </c>
      <c r="AG1152" s="110" t="n">
        <f aca="false">IF(ISNUMBER(I1152),COUNTIFS($B$7:$B$3000,B1152,$C$7:$C$3000,C1152,$I$7:$I$3000,"&lt;"&amp;I1152,$AI$7:$AI$3000,"yes")+COUNTIFS($B$7:B1152,B1152,$C$7:C1152,C1152,$I$7:I1152,I1152,$AI$7:AI1152,"yes"),"")</f>
        <v>5</v>
      </c>
      <c r="AH1152" s="110" t="str">
        <f aca="false">IF(ISNUMBER(H1152),"yes","no")</f>
        <v>yes</v>
      </c>
      <c r="AI1152" s="110" t="str">
        <f aca="false">IF(ISNUMBER(I1152),"yes","no")</f>
        <v>yes</v>
      </c>
      <c r="AJ1152" s="120" t="n">
        <v>46297</v>
      </c>
      <c r="AK1152" s="110"/>
    </row>
    <row r="1153" customFormat="false" ht="35.05" hidden="false" customHeight="false" outlineLevel="0" collapsed="false">
      <c r="B1153" s="36" t="s">
        <v>75</v>
      </c>
      <c r="C1153" s="98" t="s">
        <v>17</v>
      </c>
      <c r="D1153" s="98" t="s">
        <v>350</v>
      </c>
      <c r="E1153" s="110" t="s">
        <v>3738</v>
      </c>
      <c r="F1153" s="99" t="n">
        <v>92</v>
      </c>
      <c r="G1153" s="98" t="s">
        <v>333</v>
      </c>
      <c r="H1153" s="112" t="n">
        <f aca="false">IF(AND(AE1153="yes",ISNUMBER(AD1153)),AD1153,"")</f>
        <v>76.03</v>
      </c>
      <c r="I1153" s="95" t="n">
        <f aca="false">IF(AND(AE1153="yes",ISNUMBER(AD1153),ISNUMBER(INDEX(Sources!$G$7:$G$10,MATCH(AB1153,Sources!$B$7:$B$10,0)))),ROUND(AD1153/INDEX(Sources!$G$7:$G$10,MATCH(AB1153,Sources!$B$7:$B$10,0)),6),"")</f>
        <v>3.112971</v>
      </c>
      <c r="J1153" s="98" t="s">
        <v>530</v>
      </c>
      <c r="K1153" s="98" t="s">
        <v>2059</v>
      </c>
      <c r="L1153" s="96"/>
      <c r="M1153" s="110" t="s">
        <v>3739</v>
      </c>
      <c r="N1153" s="117" t="s">
        <v>3740</v>
      </c>
      <c r="O1153" s="110" t="s">
        <v>2997</v>
      </c>
      <c r="P1153" s="110" t="s">
        <v>265</v>
      </c>
      <c r="Q1153" s="118" t="n">
        <v>0.21</v>
      </c>
      <c r="R1153" s="110" t="n">
        <v>1</v>
      </c>
      <c r="S1153" s="110" t="s">
        <v>632</v>
      </c>
      <c r="T1153" s="110" t="s">
        <v>530</v>
      </c>
      <c r="U1153" s="110" t="s">
        <v>2918</v>
      </c>
      <c r="V1153" s="119" t="n">
        <v>76.03</v>
      </c>
      <c r="W1153" s="119"/>
      <c r="X1153" s="110" t="s">
        <v>2063</v>
      </c>
      <c r="Y1153" s="110" t="s">
        <v>2064</v>
      </c>
      <c r="Z1153" s="110" t="s">
        <v>2344</v>
      </c>
      <c r="AA1153" s="110" t="s">
        <v>537</v>
      </c>
      <c r="AB1153" s="110" t="s">
        <v>333</v>
      </c>
      <c r="AC1153" s="110" t="s">
        <v>538</v>
      </c>
      <c r="AD1153" s="110" t="n">
        <f aca="false">IF(OR(F1153="",Q1153="",R1153=""),"",ROUND(IF(P1153="incl.",F1153/(1+Q1153),F1153)/IF(S1153="per pack",R1153,1),2))</f>
        <v>76.03</v>
      </c>
      <c r="AE1153" s="110" t="str">
        <f aca="false">IF(AND(AC1153="yes",ISNUMBER(F1153),IF(Compare!$H$5="All mapped",TRUE(),IF(Compare!$H$5="EXACT only",J1153="EXACT",OR(J1153="EXACT",J1153="CLOSE")))),"yes","no")</f>
        <v>yes</v>
      </c>
      <c r="AF1153" s="110" t="n">
        <f aca="false">IF(ISNUMBER(H1153),COUNTIFS($B$7:$B$3000,B1153,$C$7:$C$3000,C1153,$H$7:$H$3000,"&lt;"&amp;H1153,$AH$7:$AH$3000,"yes")+COUNTIFS($B$7:B1153,B1153,$C$7:C1153,C1153,$H$7:H1153,H1153,$AH$7:AH1153,"yes"),"")</f>
        <v>1</v>
      </c>
      <c r="AG1153" s="110" t="n">
        <f aca="false">IF(ISNUMBER(I1153),COUNTIFS($B$7:$B$3000,B1153,$C$7:$C$3000,C1153,$I$7:$I$3000,"&lt;"&amp;I1153,$AI$7:$AI$3000,"yes")+COUNTIFS($B$7:B1153,B1153,$C$7:C1153,C1153,$I$7:I1153,I1153,$AI$7:AI1153,"yes"),"")</f>
        <v>1</v>
      </c>
      <c r="AH1153" s="110" t="str">
        <f aca="false">IF(ISNUMBER(H1153),"yes","no")</f>
        <v>yes</v>
      </c>
      <c r="AI1153" s="110" t="str">
        <f aca="false">IF(ISNUMBER(I1153),"yes","no")</f>
        <v>yes</v>
      </c>
      <c r="AJ1153" s="120" t="n">
        <v>46297</v>
      </c>
      <c r="AK1153" s="110"/>
    </row>
    <row r="1154" customFormat="false" ht="23.85" hidden="false" customHeight="false" outlineLevel="0" collapsed="false">
      <c r="B1154" s="36" t="s">
        <v>75</v>
      </c>
      <c r="C1154" s="98" t="s">
        <v>17</v>
      </c>
      <c r="D1154" s="98" t="s">
        <v>361</v>
      </c>
      <c r="E1154" s="110" t="s">
        <v>3741</v>
      </c>
      <c r="F1154" s="99" t="n">
        <v>164</v>
      </c>
      <c r="G1154" s="98" t="s">
        <v>333</v>
      </c>
      <c r="H1154" s="112" t="n">
        <f aca="false">IF(AND(AE1154="yes",ISNUMBER(AD1154)),AD1154,"")</f>
        <v>164</v>
      </c>
      <c r="I1154" s="95" t="n">
        <f aca="false">IF(AND(AE1154="yes",ISNUMBER(AD1154),ISNUMBER(INDEX(Sources!$G$7:$G$10,MATCH(AB1154,Sources!$B$7:$B$10,0)))),ROUND(AD1154/INDEX(Sources!$G$7:$G$10,MATCH(AB1154,Sources!$B$7:$B$10,0)),6),"")</f>
        <v>6.714812</v>
      </c>
      <c r="J1154" s="98" t="s">
        <v>530</v>
      </c>
      <c r="K1154" s="98" t="s">
        <v>2059</v>
      </c>
      <c r="L1154" s="96"/>
      <c r="M1154" s="110" t="s">
        <v>3742</v>
      </c>
      <c r="N1154" s="117" t="s">
        <v>3743</v>
      </c>
      <c r="O1154" s="110" t="s">
        <v>642</v>
      </c>
      <c r="P1154" s="110" t="s">
        <v>590</v>
      </c>
      <c r="Q1154" s="118" t="n">
        <v>0.21</v>
      </c>
      <c r="R1154" s="110" t="n">
        <v>1</v>
      </c>
      <c r="S1154" s="110" t="s">
        <v>632</v>
      </c>
      <c r="T1154" s="110" t="s">
        <v>530</v>
      </c>
      <c r="U1154" s="110" t="s">
        <v>2913</v>
      </c>
      <c r="V1154" s="119" t="n">
        <v>164</v>
      </c>
      <c r="W1154" s="119"/>
      <c r="X1154" s="110" t="s">
        <v>2063</v>
      </c>
      <c r="Y1154" s="110" t="s">
        <v>2064</v>
      </c>
      <c r="Z1154" s="110" t="s">
        <v>3744</v>
      </c>
      <c r="AA1154" s="110" t="s">
        <v>537</v>
      </c>
      <c r="AB1154" s="110" t="s">
        <v>333</v>
      </c>
      <c r="AC1154" s="110" t="s">
        <v>538</v>
      </c>
      <c r="AD1154" s="110" t="n">
        <f aca="false">IF(OR(F1154="",Q1154="",R1154=""),"",ROUND(IF(P1154="incl.",F1154/(1+Q1154),F1154)/IF(S1154="per pack",R1154,1),2))</f>
        <v>164</v>
      </c>
      <c r="AE1154" s="110" t="str">
        <f aca="false">IF(AND(AC1154="yes",ISNUMBER(F1154),IF(Compare!$H$5="All mapped",TRUE(),IF(Compare!$H$5="EXACT only",J1154="EXACT",OR(J1154="EXACT",J1154="CLOSE")))),"yes","no")</f>
        <v>yes</v>
      </c>
      <c r="AF1154" s="110" t="n">
        <f aca="false">IF(ISNUMBER(H1154),COUNTIFS($B$7:$B$3000,B1154,$C$7:$C$3000,C1154,$H$7:$H$3000,"&lt;"&amp;H1154,$AH$7:$AH$3000,"yes")+COUNTIFS($B$7:B1154,B1154,$C$7:C1154,C1154,$H$7:H1154,H1154,$AH$7:AH1154,"yes"),"")</f>
        <v>4</v>
      </c>
      <c r="AG1154" s="110" t="n">
        <f aca="false">IF(ISNUMBER(I1154),COUNTIFS($B$7:$B$3000,B1154,$C$7:$C$3000,C1154,$I$7:$I$3000,"&lt;"&amp;I1154,$AI$7:$AI$3000,"yes")+COUNTIFS($B$7:B1154,B1154,$C$7:C1154,C1154,$I$7:I1154,I1154,$AI$7:AI1154,"yes"),"")</f>
        <v>4</v>
      </c>
      <c r="AH1154" s="110" t="str">
        <f aca="false">IF(ISNUMBER(H1154),"yes","no")</f>
        <v>yes</v>
      </c>
      <c r="AI1154" s="110" t="str">
        <f aca="false">IF(ISNUMBER(I1154),"yes","no")</f>
        <v>yes</v>
      </c>
      <c r="AJ1154" s="120" t="n">
        <v>46297</v>
      </c>
      <c r="AK1154" s="110"/>
    </row>
    <row r="1155" customFormat="false" ht="23.85" hidden="false" customHeight="false" outlineLevel="0" collapsed="false">
      <c r="B1155" s="36" t="s">
        <v>75</v>
      </c>
      <c r="C1155" s="98" t="s">
        <v>18</v>
      </c>
      <c r="D1155" s="98" t="s">
        <v>3002</v>
      </c>
      <c r="E1155" s="110" t="s">
        <v>3745</v>
      </c>
      <c r="F1155" s="99" t="n">
        <v>5.15</v>
      </c>
      <c r="G1155" s="98" t="s">
        <v>244</v>
      </c>
      <c r="H1155" s="112" t="n">
        <f aca="false">IF(AND(AE1155="yes",ISNUMBER(AD1155)),AD1155,"")</f>
        <v>5.15</v>
      </c>
      <c r="I1155" s="95" t="n">
        <f aca="false">IF(AND(AE1155="yes",ISNUMBER(AD1155),ISNUMBER(INDEX(Sources!$G$7:$G$10,MATCH(AB1155,Sources!$B$7:$B$10,0)))),ROUND(AD1155/INDEX(Sources!$G$7:$G$10,MATCH(AB1155,Sources!$B$7:$B$10,0)),6),"")</f>
        <v>5.15</v>
      </c>
      <c r="J1155" s="98" t="s">
        <v>530</v>
      </c>
      <c r="K1155" s="98" t="s">
        <v>2059</v>
      </c>
      <c r="L1155" s="96"/>
      <c r="M1155" s="110" t="s">
        <v>3746</v>
      </c>
      <c r="N1155" s="117" t="s">
        <v>3005</v>
      </c>
      <c r="O1155" s="110" t="s">
        <v>2396</v>
      </c>
      <c r="P1155" s="110" t="s">
        <v>590</v>
      </c>
      <c r="Q1155" s="118" t="n">
        <v>0.23</v>
      </c>
      <c r="R1155" s="110" t="n">
        <v>1</v>
      </c>
      <c r="S1155" s="110" t="s">
        <v>632</v>
      </c>
      <c r="T1155" s="110" t="s">
        <v>530</v>
      </c>
      <c r="U1155" s="110" t="s">
        <v>2913</v>
      </c>
      <c r="V1155" s="119" t="n">
        <v>5.15</v>
      </c>
      <c r="W1155" s="119"/>
      <c r="X1155" s="110" t="s">
        <v>2063</v>
      </c>
      <c r="Y1155" s="110" t="s">
        <v>2064</v>
      </c>
      <c r="Z1155" s="110" t="s">
        <v>3006</v>
      </c>
      <c r="AA1155" s="110" t="s">
        <v>537</v>
      </c>
      <c r="AB1155" s="110" t="s">
        <v>244</v>
      </c>
      <c r="AC1155" s="110" t="s">
        <v>538</v>
      </c>
      <c r="AD1155" s="110" t="n">
        <f aca="false">IF(OR(F1155="",Q1155="",R1155=""),"",ROUND(IF(P1155="incl.",F1155/(1+Q1155),F1155)/IF(S1155="per pack",R1155,1),2))</f>
        <v>5.15</v>
      </c>
      <c r="AE1155" s="110" t="str">
        <f aca="false">IF(AND(AC1155="yes",ISNUMBER(F1155),IF(Compare!$H$5="All mapped",TRUE(),IF(Compare!$H$5="EXACT only",J1155="EXACT",OR(J1155="EXACT",J1155="CLOSE")))),"yes","no")</f>
        <v>yes</v>
      </c>
      <c r="AF1155" s="110" t="n">
        <f aca="false">IF(ISNUMBER(H1155),COUNTIFS($B$7:$B$3000,B1155,$C$7:$C$3000,C1155,$H$7:$H$3000,"&lt;"&amp;H1155,$AH$7:$AH$3000,"yes")+COUNTIFS($B$7:B1155,B1155,$C$7:C1155,C1155,$H$7:H1155,H1155,$AH$7:AH1155,"yes"),"")</f>
        <v>4</v>
      </c>
      <c r="AG1155" s="110" t="n">
        <f aca="false">IF(ISNUMBER(I1155),COUNTIFS($B$7:$B$3000,B1155,$C$7:$C$3000,C1155,$I$7:$I$3000,"&lt;"&amp;I1155,$AI$7:$AI$3000,"yes")+COUNTIFS($B$7:B1155,B1155,$C$7:C1155,C1155,$I$7:I1155,I1155,$AI$7:AI1155,"yes"),"")</f>
        <v>4</v>
      </c>
      <c r="AH1155" s="110" t="str">
        <f aca="false">IF(ISNUMBER(H1155),"yes","no")</f>
        <v>yes</v>
      </c>
      <c r="AI1155" s="110" t="str">
        <f aca="false">IF(ISNUMBER(I1155),"yes","no")</f>
        <v>yes</v>
      </c>
      <c r="AJ1155" s="120" t="n">
        <v>46297</v>
      </c>
      <c r="AK1155" s="110"/>
    </row>
    <row r="1156" customFormat="false" ht="23.85" hidden="false" customHeight="false" outlineLevel="0" collapsed="false">
      <c r="B1156" s="36" t="s">
        <v>75</v>
      </c>
      <c r="C1156" s="98" t="s">
        <v>18</v>
      </c>
      <c r="D1156" s="98" t="s">
        <v>3007</v>
      </c>
      <c r="E1156" s="110" t="s">
        <v>3747</v>
      </c>
      <c r="F1156" s="99" t="n">
        <v>4.35</v>
      </c>
      <c r="G1156" s="98" t="s">
        <v>244</v>
      </c>
      <c r="H1156" s="112" t="n">
        <f aca="false">IF(AND(AE1156="yes",ISNUMBER(AD1156)),AD1156,"")</f>
        <v>4.35</v>
      </c>
      <c r="I1156" s="95" t="n">
        <f aca="false">IF(AND(AE1156="yes",ISNUMBER(AD1156),ISNUMBER(INDEX(Sources!$G$7:$G$10,MATCH(AB1156,Sources!$B$7:$B$10,0)))),ROUND(AD1156/INDEX(Sources!$G$7:$G$10,MATCH(AB1156,Sources!$B$7:$B$10,0)),6),"")</f>
        <v>4.35</v>
      </c>
      <c r="J1156" s="98" t="s">
        <v>530</v>
      </c>
      <c r="K1156" s="98" t="s">
        <v>2059</v>
      </c>
      <c r="L1156" s="96"/>
      <c r="M1156" s="110" t="s">
        <v>3748</v>
      </c>
      <c r="N1156" s="117" t="s">
        <v>3010</v>
      </c>
      <c r="O1156" s="110" t="s">
        <v>3011</v>
      </c>
      <c r="P1156" s="110" t="s">
        <v>590</v>
      </c>
      <c r="Q1156" s="118" t="n">
        <v>0.23</v>
      </c>
      <c r="R1156" s="110" t="n">
        <v>1</v>
      </c>
      <c r="S1156" s="110" t="s">
        <v>632</v>
      </c>
      <c r="T1156" s="110" t="s">
        <v>530</v>
      </c>
      <c r="U1156" s="110" t="s">
        <v>2913</v>
      </c>
      <c r="V1156" s="119" t="n">
        <v>4.35</v>
      </c>
      <c r="W1156" s="119"/>
      <c r="X1156" s="110" t="s">
        <v>2063</v>
      </c>
      <c r="Y1156" s="110" t="s">
        <v>2064</v>
      </c>
      <c r="Z1156" s="110" t="s">
        <v>3012</v>
      </c>
      <c r="AA1156" s="110" t="s">
        <v>537</v>
      </c>
      <c r="AB1156" s="110" t="s">
        <v>244</v>
      </c>
      <c r="AC1156" s="110" t="s">
        <v>538</v>
      </c>
      <c r="AD1156" s="110" t="n">
        <f aca="false">IF(OR(F1156="",Q1156="",R1156=""),"",ROUND(IF(P1156="incl.",F1156/(1+Q1156),F1156)/IF(S1156="per pack",R1156,1),2))</f>
        <v>4.35</v>
      </c>
      <c r="AE1156" s="110" t="str">
        <f aca="false">IF(AND(AC1156="yes",ISNUMBER(F1156),IF(Compare!$H$5="All mapped",TRUE(),IF(Compare!$H$5="EXACT only",J1156="EXACT",OR(J1156="EXACT",J1156="CLOSE")))),"yes","no")</f>
        <v>yes</v>
      </c>
      <c r="AF1156" s="110" t="n">
        <f aca="false">IF(ISNUMBER(H1156),COUNTIFS($B$7:$B$3000,B1156,$C$7:$C$3000,C1156,$H$7:$H$3000,"&lt;"&amp;H1156,$AH$7:$AH$3000,"yes")+COUNTIFS($B$7:B1156,B1156,$C$7:C1156,C1156,$H$7:H1156,H1156,$AH$7:AH1156,"yes"),"")</f>
        <v>3</v>
      </c>
      <c r="AG1156" s="110" t="n">
        <f aca="false">IF(ISNUMBER(I1156),COUNTIFS($B$7:$B$3000,B1156,$C$7:$C$3000,C1156,$I$7:$I$3000,"&lt;"&amp;I1156,$AI$7:$AI$3000,"yes")+COUNTIFS($B$7:B1156,B1156,$C$7:C1156,C1156,$I$7:I1156,I1156,$AI$7:AI1156,"yes"),"")</f>
        <v>3</v>
      </c>
      <c r="AH1156" s="110" t="str">
        <f aca="false">IF(ISNUMBER(H1156),"yes","no")</f>
        <v>yes</v>
      </c>
      <c r="AI1156" s="110" t="str">
        <f aca="false">IF(ISNUMBER(I1156),"yes","no")</f>
        <v>yes</v>
      </c>
      <c r="AJ1156" s="120" t="n">
        <v>46297</v>
      </c>
      <c r="AK1156" s="110"/>
    </row>
    <row r="1157" customFormat="false" ht="35.05" hidden="false" customHeight="false" outlineLevel="0" collapsed="false">
      <c r="B1157" s="36" t="s">
        <v>75</v>
      </c>
      <c r="C1157" s="98" t="s">
        <v>18</v>
      </c>
      <c r="D1157" s="98" t="s">
        <v>365</v>
      </c>
      <c r="E1157" s="110" t="s">
        <v>3732</v>
      </c>
      <c r="F1157" s="99" t="n">
        <v>4.31</v>
      </c>
      <c r="G1157" s="98" t="s">
        <v>244</v>
      </c>
      <c r="H1157" s="112" t="n">
        <f aca="false">IF(AND(AE1157="yes",ISNUMBER(AD1157)),AD1157,"")</f>
        <v>3.5</v>
      </c>
      <c r="I1157" s="95" t="n">
        <f aca="false">IF(AND(AE1157="yes",ISNUMBER(AD1157),ISNUMBER(INDEX(Sources!$G$7:$G$10,MATCH(AB1157,Sources!$B$7:$B$10,0)))),ROUND(AD1157/INDEX(Sources!$G$7:$G$10,MATCH(AB1157,Sources!$B$7:$B$10,0)),6),"")</f>
        <v>3.5</v>
      </c>
      <c r="J1157" s="98" t="s">
        <v>530</v>
      </c>
      <c r="K1157" s="98" t="s">
        <v>2059</v>
      </c>
      <c r="L1157" s="96"/>
      <c r="M1157" s="110" t="s">
        <v>3749</v>
      </c>
      <c r="N1157" s="117" t="s">
        <v>3750</v>
      </c>
      <c r="O1157" s="110" t="s">
        <v>3015</v>
      </c>
      <c r="P1157" s="110" t="s">
        <v>265</v>
      </c>
      <c r="Q1157" s="118" t="n">
        <v>0.23</v>
      </c>
      <c r="R1157" s="110" t="n">
        <v>1</v>
      </c>
      <c r="S1157" s="110" t="s">
        <v>632</v>
      </c>
      <c r="T1157" s="110" t="s">
        <v>530</v>
      </c>
      <c r="U1157" s="110" t="s">
        <v>2918</v>
      </c>
      <c r="V1157" s="119" t="n">
        <v>3.5</v>
      </c>
      <c r="W1157" s="119"/>
      <c r="X1157" s="110" t="s">
        <v>2063</v>
      </c>
      <c r="Y1157" s="110" t="s">
        <v>2064</v>
      </c>
      <c r="Z1157" s="110" t="s">
        <v>3016</v>
      </c>
      <c r="AA1157" s="110" t="s">
        <v>537</v>
      </c>
      <c r="AB1157" s="110" t="s">
        <v>244</v>
      </c>
      <c r="AC1157" s="110" t="s">
        <v>538</v>
      </c>
      <c r="AD1157" s="110" t="n">
        <f aca="false">IF(OR(F1157="",Q1157="",R1157=""),"",ROUND(IF(P1157="incl.",F1157/(1+Q1157),F1157)/IF(S1157="per pack",R1157,1),2))</f>
        <v>3.5</v>
      </c>
      <c r="AE1157" s="110" t="str">
        <f aca="false">IF(AND(AC1157="yes",ISNUMBER(F1157),IF(Compare!$H$5="All mapped",TRUE(),IF(Compare!$H$5="EXACT only",J1157="EXACT",OR(J1157="EXACT",J1157="CLOSE")))),"yes","no")</f>
        <v>yes</v>
      </c>
      <c r="AF1157" s="110" t="n">
        <f aca="false">IF(ISNUMBER(H1157),COUNTIFS($B$7:$B$3000,B1157,$C$7:$C$3000,C1157,$H$7:$H$3000,"&lt;"&amp;H1157,$AH$7:$AH$3000,"yes")+COUNTIFS($B$7:B1157,B1157,$C$7:C1157,C1157,$H$7:H1157,H1157,$AH$7:AH1157,"yes"),"")</f>
        <v>2</v>
      </c>
      <c r="AG1157" s="110" t="n">
        <f aca="false">IF(ISNUMBER(I1157),COUNTIFS($B$7:$B$3000,B1157,$C$7:$C$3000,C1157,$I$7:$I$3000,"&lt;"&amp;I1157,$AI$7:$AI$3000,"yes")+COUNTIFS($B$7:B1157,B1157,$C$7:C1157,C1157,$I$7:I1157,I1157,$AI$7:AI1157,"yes"),"")</f>
        <v>2</v>
      </c>
      <c r="AH1157" s="110" t="str">
        <f aca="false">IF(ISNUMBER(H1157),"yes","no")</f>
        <v>yes</v>
      </c>
      <c r="AI1157" s="110" t="str">
        <f aca="false">IF(ISNUMBER(I1157),"yes","no")</f>
        <v>yes</v>
      </c>
      <c r="AJ1157" s="120" t="n">
        <v>46297</v>
      </c>
      <c r="AK1157" s="110"/>
    </row>
    <row r="1158" customFormat="false" ht="35.05" hidden="false" customHeight="false" outlineLevel="0" collapsed="false">
      <c r="B1158" s="36" t="s">
        <v>75</v>
      </c>
      <c r="C1158" s="98" t="s">
        <v>18</v>
      </c>
      <c r="D1158" s="98" t="s">
        <v>369</v>
      </c>
      <c r="E1158" s="110" t="s">
        <v>3751</v>
      </c>
      <c r="F1158" s="99" t="n">
        <v>14.43</v>
      </c>
      <c r="G1158" s="98" t="s">
        <v>244</v>
      </c>
      <c r="H1158" s="112" t="n">
        <f aca="false">IF(AND(AE1158="yes",ISNUMBER(AD1158)),AD1158,"")</f>
        <v>11.73</v>
      </c>
      <c r="I1158" s="95" t="n">
        <f aca="false">IF(AND(AE1158="yes",ISNUMBER(AD1158),ISNUMBER(INDEX(Sources!$G$7:$G$10,MATCH(AB1158,Sources!$B$7:$B$10,0)))),ROUND(AD1158/INDEX(Sources!$G$7:$G$10,MATCH(AB1158,Sources!$B$7:$B$10,0)),6),"")</f>
        <v>11.73</v>
      </c>
      <c r="J1158" s="98" t="s">
        <v>530</v>
      </c>
      <c r="K1158" s="98" t="s">
        <v>2059</v>
      </c>
      <c r="L1158" s="96"/>
      <c r="M1158" s="110" t="s">
        <v>3752</v>
      </c>
      <c r="N1158" s="117" t="s">
        <v>3753</v>
      </c>
      <c r="O1158" s="110" t="s">
        <v>565</v>
      </c>
      <c r="P1158" s="110" t="s">
        <v>265</v>
      </c>
      <c r="Q1158" s="118" t="n">
        <v>0.23</v>
      </c>
      <c r="R1158" s="110" t="n">
        <v>1</v>
      </c>
      <c r="S1158" s="110" t="s">
        <v>632</v>
      </c>
      <c r="T1158" s="110" t="s">
        <v>530</v>
      </c>
      <c r="U1158" s="110" t="s">
        <v>2918</v>
      </c>
      <c r="V1158" s="119" t="n">
        <v>11.73</v>
      </c>
      <c r="W1158" s="119"/>
      <c r="X1158" s="110" t="s">
        <v>2063</v>
      </c>
      <c r="Y1158" s="110" t="s">
        <v>2064</v>
      </c>
      <c r="Z1158" s="110" t="s">
        <v>3020</v>
      </c>
      <c r="AA1158" s="110" t="s">
        <v>537</v>
      </c>
      <c r="AB1158" s="110" t="s">
        <v>244</v>
      </c>
      <c r="AC1158" s="110" t="s">
        <v>538</v>
      </c>
      <c r="AD1158" s="110" t="n">
        <f aca="false">IF(OR(F1158="",Q1158="",R1158=""),"",ROUND(IF(P1158="incl.",F1158/(1+Q1158),F1158)/IF(S1158="per pack",R1158,1),2))</f>
        <v>11.73</v>
      </c>
      <c r="AE1158" s="110" t="str">
        <f aca="false">IF(AND(AC1158="yes",ISNUMBER(F1158),IF(Compare!$H$5="All mapped",TRUE(),IF(Compare!$H$5="EXACT only",J1158="EXACT",OR(J1158="EXACT",J1158="CLOSE")))),"yes","no")</f>
        <v>yes</v>
      </c>
      <c r="AF1158" s="110" t="n">
        <f aca="false">IF(ISNUMBER(H1158),COUNTIFS($B$7:$B$3000,B1158,$C$7:$C$3000,C1158,$H$7:$H$3000,"&lt;"&amp;H1158,$AH$7:$AH$3000,"yes")+COUNTIFS($B$7:B1158,B1158,$C$7:C1158,C1158,$H$7:H1158,H1158,$AH$7:AH1158,"yes"),"")</f>
        <v>5</v>
      </c>
      <c r="AG1158" s="110" t="n">
        <f aca="false">IF(ISNUMBER(I1158),COUNTIFS($B$7:$B$3000,B1158,$C$7:$C$3000,C1158,$I$7:$I$3000,"&lt;"&amp;I1158,$AI$7:$AI$3000,"yes")+COUNTIFS($B$7:B1158,B1158,$C$7:C1158,C1158,$I$7:I1158,I1158,$AI$7:AI1158,"yes"),"")</f>
        <v>5</v>
      </c>
      <c r="AH1158" s="110" t="str">
        <f aca="false">IF(ISNUMBER(H1158),"yes","no")</f>
        <v>yes</v>
      </c>
      <c r="AI1158" s="110" t="str">
        <f aca="false">IF(ISNUMBER(I1158),"yes","no")</f>
        <v>yes</v>
      </c>
      <c r="AJ1158" s="120" t="n">
        <v>46297</v>
      </c>
      <c r="AK1158" s="110"/>
    </row>
    <row r="1159" customFormat="false" ht="35.05" hidden="false" customHeight="false" outlineLevel="0" collapsed="false">
      <c r="B1159" s="36" t="s">
        <v>75</v>
      </c>
      <c r="C1159" s="98" t="s">
        <v>18</v>
      </c>
      <c r="D1159" s="98" t="s">
        <v>3021</v>
      </c>
      <c r="E1159" s="110" t="s">
        <v>3741</v>
      </c>
      <c r="F1159" s="99" t="n">
        <v>3.24</v>
      </c>
      <c r="G1159" s="98" t="s">
        <v>244</v>
      </c>
      <c r="H1159" s="112" t="n">
        <f aca="false">IF(AND(AE1159="yes",ISNUMBER(AD1159)),AD1159,"")</f>
        <v>3.24</v>
      </c>
      <c r="I1159" s="95" t="n">
        <f aca="false">IF(AND(AE1159="yes",ISNUMBER(AD1159),ISNUMBER(INDEX(Sources!$G$7:$G$10,MATCH(AB1159,Sources!$B$7:$B$10,0)))),ROUND(AD1159/INDEX(Sources!$G$7:$G$10,MATCH(AB1159,Sources!$B$7:$B$10,0)),6),"")</f>
        <v>3.24</v>
      </c>
      <c r="J1159" s="98" t="s">
        <v>530</v>
      </c>
      <c r="K1159" s="98" t="s">
        <v>2059</v>
      </c>
      <c r="L1159" s="96"/>
      <c r="M1159" s="110" t="s">
        <v>3754</v>
      </c>
      <c r="N1159" s="117" t="s">
        <v>3023</v>
      </c>
      <c r="O1159" s="110" t="s">
        <v>3024</v>
      </c>
      <c r="P1159" s="110" t="s">
        <v>590</v>
      </c>
      <c r="Q1159" s="118" t="n">
        <v>0.23</v>
      </c>
      <c r="R1159" s="110" t="n">
        <v>1</v>
      </c>
      <c r="S1159" s="110" t="s">
        <v>632</v>
      </c>
      <c r="T1159" s="110" t="s">
        <v>530</v>
      </c>
      <c r="U1159" s="110" t="s">
        <v>2913</v>
      </c>
      <c r="V1159" s="119" t="n">
        <v>3.24</v>
      </c>
      <c r="W1159" s="119"/>
      <c r="X1159" s="110" t="s">
        <v>2063</v>
      </c>
      <c r="Y1159" s="110" t="s">
        <v>2064</v>
      </c>
      <c r="Z1159" s="110" t="s">
        <v>3025</v>
      </c>
      <c r="AA1159" s="110" t="s">
        <v>537</v>
      </c>
      <c r="AB1159" s="110" t="s">
        <v>244</v>
      </c>
      <c r="AC1159" s="110" t="s">
        <v>538</v>
      </c>
      <c r="AD1159" s="110" t="n">
        <f aca="false">IF(OR(F1159="",Q1159="",R1159=""),"",ROUND(IF(P1159="incl.",F1159/(1+Q1159),F1159)/IF(S1159="per pack",R1159,1),2))</f>
        <v>3.24</v>
      </c>
      <c r="AE1159" s="110" t="str">
        <f aca="false">IF(AND(AC1159="yes",ISNUMBER(F1159),IF(Compare!$H$5="All mapped",TRUE(),IF(Compare!$H$5="EXACT only",J1159="EXACT",OR(J1159="EXACT",J1159="CLOSE")))),"yes","no")</f>
        <v>yes</v>
      </c>
      <c r="AF1159" s="110" t="n">
        <f aca="false">IF(ISNUMBER(H1159),COUNTIFS($B$7:$B$3000,B1159,$C$7:$C$3000,C1159,$H$7:$H$3000,"&lt;"&amp;H1159,$AH$7:$AH$3000,"yes")+COUNTIFS($B$7:B1159,B1159,$C$7:C1159,C1159,$H$7:H1159,H1159,$AH$7:AH1159,"yes"),"")</f>
        <v>1</v>
      </c>
      <c r="AG1159" s="110" t="n">
        <f aca="false">IF(ISNUMBER(I1159),COUNTIFS($B$7:$B$3000,B1159,$C$7:$C$3000,C1159,$I$7:$I$3000,"&lt;"&amp;I1159,$AI$7:$AI$3000,"yes")+COUNTIFS($B$7:B1159,B1159,$C$7:C1159,C1159,$I$7:I1159,I1159,$AI$7:AI1159,"yes"),"")</f>
        <v>1</v>
      </c>
      <c r="AH1159" s="110" t="str">
        <f aca="false">IF(ISNUMBER(H1159),"yes","no")</f>
        <v>yes</v>
      </c>
      <c r="AI1159" s="110" t="str">
        <f aca="false">IF(ISNUMBER(I1159),"yes","no")</f>
        <v>yes</v>
      </c>
      <c r="AJ1159" s="120" t="n">
        <v>46297</v>
      </c>
      <c r="AK1159" s="110"/>
    </row>
    <row r="1160" customFormat="false" ht="35.05" hidden="false" customHeight="false" outlineLevel="0" collapsed="false">
      <c r="B1160" s="36" t="s">
        <v>76</v>
      </c>
      <c r="C1160" s="98" t="s">
        <v>14</v>
      </c>
      <c r="D1160" s="98" t="s">
        <v>373</v>
      </c>
      <c r="E1160" s="110" t="s">
        <v>3755</v>
      </c>
      <c r="F1160" s="99" t="n">
        <v>30.35</v>
      </c>
      <c r="G1160" s="98" t="s">
        <v>374</v>
      </c>
      <c r="H1160" s="112" t="n">
        <f aca="false">IF(AND(AE1160="yes",ISNUMBER(AD1160)),AD1160,"")</f>
        <v>30.35</v>
      </c>
      <c r="I1160" s="95" t="n">
        <f aca="false">IF(AND(AE1160="yes",ISNUMBER(AD1160),ISNUMBER(INDEX(Sources!$G$7:$G$10,MATCH(AB1160,Sources!$B$7:$B$10,0)))),ROUND(AD1160/INDEX(Sources!$G$7:$G$10,MATCH(AB1160,Sources!$B$7:$B$10,0)),6),"")</f>
        <v>5.750675</v>
      </c>
      <c r="J1160" s="98" t="s">
        <v>530</v>
      </c>
      <c r="K1160" s="98" t="s">
        <v>2059</v>
      </c>
      <c r="L1160" s="96"/>
      <c r="M1160" s="110" t="s">
        <v>3756</v>
      </c>
      <c r="N1160" s="117" t="s">
        <v>3678</v>
      </c>
      <c r="O1160" s="110" t="s">
        <v>2912</v>
      </c>
      <c r="P1160" s="110" t="s">
        <v>590</v>
      </c>
      <c r="Q1160" s="118" t="n">
        <v>0.21</v>
      </c>
      <c r="R1160" s="110" t="n">
        <v>1</v>
      </c>
      <c r="S1160" s="110" t="s">
        <v>632</v>
      </c>
      <c r="T1160" s="110" t="s">
        <v>530</v>
      </c>
      <c r="U1160" s="110" t="s">
        <v>2913</v>
      </c>
      <c r="V1160" s="119" t="n">
        <v>30.35</v>
      </c>
      <c r="W1160" s="119"/>
      <c r="X1160" s="110" t="s">
        <v>2063</v>
      </c>
      <c r="Y1160" s="110" t="s">
        <v>2064</v>
      </c>
      <c r="Z1160" s="110"/>
      <c r="AA1160" s="110" t="s">
        <v>537</v>
      </c>
      <c r="AB1160" s="110" t="s">
        <v>374</v>
      </c>
      <c r="AC1160" s="110" t="s">
        <v>538</v>
      </c>
      <c r="AD1160" s="110" t="n">
        <f aca="false">IF(OR(F1160="",Q1160="",R1160=""),"",ROUND(IF(P1160="incl.",F1160/(1+Q1160),F1160)/IF(S1160="per pack",R1160,1),2))</f>
        <v>30.35</v>
      </c>
      <c r="AE1160" s="110" t="str">
        <f aca="false">IF(AND(AC1160="yes",ISNUMBER(F1160),IF(Compare!$H$5="All mapped",TRUE(),IF(Compare!$H$5="EXACT only",J1160="EXACT",OR(J1160="EXACT",J1160="CLOSE")))),"yes","no")</f>
        <v>yes</v>
      </c>
      <c r="AF1160" s="110" t="n">
        <f aca="false">IF(ISNUMBER(H1160),COUNTIFS($B$7:$B$3000,B1160,$C$7:$C$3000,C1160,$H$7:$H$3000,"&lt;"&amp;H1160,$AH$7:$AH$3000,"yes")+COUNTIFS($B$7:B1160,B1160,$C$7:C1160,C1160,$H$7:H1160,H1160,$AH$7:AH1160,"yes"),"")</f>
        <v>4</v>
      </c>
      <c r="AG1160" s="110" t="n">
        <f aca="false">IF(ISNUMBER(I1160),COUNTIFS($B$7:$B$3000,B1160,$C$7:$C$3000,C1160,$I$7:$I$3000,"&lt;"&amp;I1160,$AI$7:$AI$3000,"yes")+COUNTIFS($B$7:B1160,B1160,$C$7:C1160,C1160,$I$7:I1160,I1160,$AI$7:AI1160,"yes"),"")</f>
        <v>4</v>
      </c>
      <c r="AH1160" s="110" t="str">
        <f aca="false">IF(ISNUMBER(H1160),"yes","no")</f>
        <v>yes</v>
      </c>
      <c r="AI1160" s="110" t="str">
        <f aca="false">IF(ISNUMBER(I1160),"yes","no")</f>
        <v>yes</v>
      </c>
      <c r="AJ1160" s="120" t="n">
        <v>46297</v>
      </c>
      <c r="AK1160" s="110"/>
    </row>
    <row r="1161" customFormat="false" ht="23.85" hidden="false" customHeight="false" outlineLevel="0" collapsed="false">
      <c r="B1161" s="36" t="s">
        <v>76</v>
      </c>
      <c r="C1161" s="98" t="s">
        <v>14</v>
      </c>
      <c r="D1161" s="98" t="s">
        <v>378</v>
      </c>
      <c r="E1161" s="110" t="s">
        <v>3757</v>
      </c>
      <c r="F1161" s="99" t="n">
        <v>35.6</v>
      </c>
      <c r="G1161" s="98" t="s">
        <v>374</v>
      </c>
      <c r="H1161" s="112" t="n">
        <f aca="false">IF(AND(AE1161="yes",ISNUMBER(AD1161)),AD1161,"")</f>
        <v>29.42</v>
      </c>
      <c r="I1161" s="95" t="n">
        <f aca="false">IF(AND(AE1161="yes",ISNUMBER(AD1161),ISNUMBER(INDEX(Sources!$G$7:$G$10,MATCH(AB1161,Sources!$B$7:$B$10,0)))),ROUND(AD1161/INDEX(Sources!$G$7:$G$10,MATCH(AB1161,Sources!$B$7:$B$10,0)),6),"")</f>
        <v>5.57446</v>
      </c>
      <c r="J1161" s="98" t="s">
        <v>530</v>
      </c>
      <c r="K1161" s="98" t="s">
        <v>2059</v>
      </c>
      <c r="L1161" s="96"/>
      <c r="M1161" s="110" t="s">
        <v>3758</v>
      </c>
      <c r="N1161" s="117" t="s">
        <v>3759</v>
      </c>
      <c r="O1161" s="110" t="s">
        <v>2917</v>
      </c>
      <c r="P1161" s="110" t="s">
        <v>265</v>
      </c>
      <c r="Q1161" s="118" t="n">
        <v>0.21</v>
      </c>
      <c r="R1161" s="110" t="n">
        <v>1</v>
      </c>
      <c r="S1161" s="110" t="s">
        <v>632</v>
      </c>
      <c r="T1161" s="110" t="s">
        <v>530</v>
      </c>
      <c r="U1161" s="110" t="s">
        <v>2918</v>
      </c>
      <c r="V1161" s="119" t="n">
        <v>29.42</v>
      </c>
      <c r="W1161" s="119"/>
      <c r="X1161" s="110" t="s">
        <v>2063</v>
      </c>
      <c r="Y1161" s="110" t="s">
        <v>2064</v>
      </c>
      <c r="Z1161" s="110"/>
      <c r="AA1161" s="110" t="s">
        <v>537</v>
      </c>
      <c r="AB1161" s="110" t="s">
        <v>374</v>
      </c>
      <c r="AC1161" s="110" t="s">
        <v>538</v>
      </c>
      <c r="AD1161" s="110" t="n">
        <f aca="false">IF(OR(F1161="",Q1161="",R1161=""),"",ROUND(IF(P1161="incl.",F1161/(1+Q1161),F1161)/IF(S1161="per pack",R1161,1),2))</f>
        <v>29.42</v>
      </c>
      <c r="AE1161" s="110" t="str">
        <f aca="false">IF(AND(AC1161="yes",ISNUMBER(F1161),IF(Compare!$H$5="All mapped",TRUE(),IF(Compare!$H$5="EXACT only",J1161="EXACT",OR(J1161="EXACT",J1161="CLOSE")))),"yes","no")</f>
        <v>yes</v>
      </c>
      <c r="AF1161" s="110" t="n">
        <f aca="false">IF(ISNUMBER(H1161),COUNTIFS($B$7:$B$3000,B1161,$C$7:$C$3000,C1161,$H$7:$H$3000,"&lt;"&amp;H1161,$AH$7:$AH$3000,"yes")+COUNTIFS($B$7:B1161,B1161,$C$7:C1161,C1161,$H$7:H1161,H1161,$AH$7:AH1161,"yes"),"")</f>
        <v>3</v>
      </c>
      <c r="AG1161" s="110" t="n">
        <f aca="false">IF(ISNUMBER(I1161),COUNTIFS($B$7:$B$3000,B1161,$C$7:$C$3000,C1161,$I$7:$I$3000,"&lt;"&amp;I1161,$AI$7:$AI$3000,"yes")+COUNTIFS($B$7:B1161,B1161,$C$7:C1161,C1161,$I$7:I1161,I1161,$AI$7:AI1161,"yes"),"")</f>
        <v>3</v>
      </c>
      <c r="AH1161" s="110" t="str">
        <f aca="false">IF(ISNUMBER(H1161),"yes","no")</f>
        <v>yes</v>
      </c>
      <c r="AI1161" s="110" t="str">
        <f aca="false">IF(ISNUMBER(I1161),"yes","no")</f>
        <v>yes</v>
      </c>
      <c r="AJ1161" s="120" t="n">
        <v>46297</v>
      </c>
      <c r="AK1161" s="110"/>
    </row>
    <row r="1162" customFormat="false" ht="35.05" hidden="false" customHeight="false" outlineLevel="0" collapsed="false">
      <c r="B1162" s="36" t="s">
        <v>76</v>
      </c>
      <c r="C1162" s="98" t="s">
        <v>14</v>
      </c>
      <c r="D1162" s="98" t="s">
        <v>346</v>
      </c>
      <c r="E1162" s="110" t="s">
        <v>3760</v>
      </c>
      <c r="F1162" s="99" t="n">
        <v>64.68</v>
      </c>
      <c r="G1162" s="98" t="s">
        <v>374</v>
      </c>
      <c r="H1162" s="112" t="n">
        <f aca="false">IF(AND(AE1162="yes",ISNUMBER(AD1162)),AD1162,"")</f>
        <v>53.45</v>
      </c>
      <c r="I1162" s="95" t="n">
        <f aca="false">IF(AND(AE1162="yes",ISNUMBER(AD1162),ISNUMBER(INDEX(Sources!$G$7:$G$10,MATCH(AB1162,Sources!$B$7:$B$10,0)))),ROUND(AD1162/INDEX(Sources!$G$7:$G$10,MATCH(AB1162,Sources!$B$7:$B$10,0)),6),"")</f>
        <v>10.12763</v>
      </c>
      <c r="J1162" s="98" t="s">
        <v>530</v>
      </c>
      <c r="K1162" s="98" t="s">
        <v>2059</v>
      </c>
      <c r="L1162" s="96"/>
      <c r="M1162" s="110" t="s">
        <v>3761</v>
      </c>
      <c r="N1162" s="117" t="s">
        <v>3762</v>
      </c>
      <c r="O1162" s="110" t="s">
        <v>565</v>
      </c>
      <c r="P1162" s="110" t="s">
        <v>265</v>
      </c>
      <c r="Q1162" s="118" t="n">
        <v>0.21</v>
      </c>
      <c r="R1162" s="110" t="n">
        <v>1</v>
      </c>
      <c r="S1162" s="110" t="s">
        <v>632</v>
      </c>
      <c r="T1162" s="110" t="s">
        <v>530</v>
      </c>
      <c r="U1162" s="110" t="s">
        <v>2918</v>
      </c>
      <c r="V1162" s="119" t="n">
        <v>53.45</v>
      </c>
      <c r="W1162" s="119"/>
      <c r="X1162" s="110" t="s">
        <v>2063</v>
      </c>
      <c r="Y1162" s="110" t="s">
        <v>2064</v>
      </c>
      <c r="Z1162" s="110"/>
      <c r="AA1162" s="110" t="s">
        <v>537</v>
      </c>
      <c r="AB1162" s="110" t="s">
        <v>374</v>
      </c>
      <c r="AC1162" s="110" t="s">
        <v>538</v>
      </c>
      <c r="AD1162" s="110" t="n">
        <f aca="false">IF(OR(F1162="",Q1162="",R1162=""),"",ROUND(IF(P1162="incl.",F1162/(1+Q1162),F1162)/IF(S1162="per pack",R1162,1),2))</f>
        <v>53.45</v>
      </c>
      <c r="AE1162" s="110" t="str">
        <f aca="false">IF(AND(AC1162="yes",ISNUMBER(F1162),IF(Compare!$H$5="All mapped",TRUE(),IF(Compare!$H$5="EXACT only",J1162="EXACT",OR(J1162="EXACT",J1162="CLOSE")))),"yes","no")</f>
        <v>yes</v>
      </c>
      <c r="AF1162" s="110" t="n">
        <f aca="false">IF(ISNUMBER(H1162),COUNTIFS($B$7:$B$3000,B1162,$C$7:$C$3000,C1162,$H$7:$H$3000,"&lt;"&amp;H1162,$AH$7:$AH$3000,"yes")+COUNTIFS($B$7:B1162,B1162,$C$7:C1162,C1162,$H$7:H1162,H1162,$AH$7:AH1162,"yes"),"")</f>
        <v>5</v>
      </c>
      <c r="AG1162" s="110" t="n">
        <f aca="false">IF(ISNUMBER(I1162),COUNTIFS($B$7:$B$3000,B1162,$C$7:$C$3000,C1162,$I$7:$I$3000,"&lt;"&amp;I1162,$AI$7:$AI$3000,"yes")+COUNTIFS($B$7:B1162,B1162,$C$7:C1162,C1162,$I$7:I1162,I1162,$AI$7:AI1162,"yes"),"")</f>
        <v>5</v>
      </c>
      <c r="AH1162" s="110" t="str">
        <f aca="false">IF(ISNUMBER(H1162),"yes","no")</f>
        <v>yes</v>
      </c>
      <c r="AI1162" s="110" t="str">
        <f aca="false">IF(ISNUMBER(I1162),"yes","no")</f>
        <v>yes</v>
      </c>
      <c r="AJ1162" s="120" t="n">
        <v>46297</v>
      </c>
      <c r="AK1162" s="110"/>
    </row>
    <row r="1163" customFormat="false" ht="23.85" hidden="false" customHeight="false" outlineLevel="0" collapsed="false">
      <c r="B1163" s="36" t="s">
        <v>76</v>
      </c>
      <c r="C1163" s="98" t="s">
        <v>14</v>
      </c>
      <c r="D1163" s="98" t="s">
        <v>395</v>
      </c>
      <c r="E1163" s="110" t="s">
        <v>3763</v>
      </c>
      <c r="F1163" s="99" t="n">
        <v>3.65</v>
      </c>
      <c r="G1163" s="98" t="s">
        <v>244</v>
      </c>
      <c r="H1163" s="112" t="n">
        <f aca="false">IF(AND(AE1163="yes",ISNUMBER(AD1163)),AD1163,"")</f>
        <v>3.65</v>
      </c>
      <c r="I1163" s="95" t="n">
        <f aca="false">IF(AND(AE1163="yes",ISNUMBER(AD1163),ISNUMBER(INDEX(Sources!$G$7:$G$10,MATCH(AB1163,Sources!$B$7:$B$10,0)))),ROUND(AD1163/INDEX(Sources!$G$7:$G$10,MATCH(AB1163,Sources!$B$7:$B$10,0)),6),"")</f>
        <v>3.65</v>
      </c>
      <c r="J1163" s="98" t="s">
        <v>530</v>
      </c>
      <c r="K1163" s="98" t="s">
        <v>2059</v>
      </c>
      <c r="L1163" s="96"/>
      <c r="M1163" s="110" t="s">
        <v>3764</v>
      </c>
      <c r="N1163" s="117" t="s">
        <v>3765</v>
      </c>
      <c r="O1163" s="110" t="s">
        <v>572</v>
      </c>
      <c r="P1163" s="110" t="s">
        <v>590</v>
      </c>
      <c r="Q1163" s="118" t="n">
        <v>0.21</v>
      </c>
      <c r="R1163" s="110" t="n">
        <v>1</v>
      </c>
      <c r="S1163" s="110" t="s">
        <v>632</v>
      </c>
      <c r="T1163" s="110" t="s">
        <v>530</v>
      </c>
      <c r="U1163" s="110" t="s">
        <v>2913</v>
      </c>
      <c r="V1163" s="119" t="n">
        <v>3.65</v>
      </c>
      <c r="W1163" s="119"/>
      <c r="X1163" s="110" t="s">
        <v>2063</v>
      </c>
      <c r="Y1163" s="110" t="s">
        <v>2064</v>
      </c>
      <c r="Z1163" s="110" t="s">
        <v>2925</v>
      </c>
      <c r="AA1163" s="110" t="s">
        <v>537</v>
      </c>
      <c r="AB1163" s="110" t="s">
        <v>244</v>
      </c>
      <c r="AC1163" s="110" t="s">
        <v>538</v>
      </c>
      <c r="AD1163" s="110" t="n">
        <f aca="false">IF(OR(F1163="",Q1163="",R1163=""),"",ROUND(IF(P1163="incl.",F1163/(1+Q1163),F1163)/IF(S1163="per pack",R1163,1),2))</f>
        <v>3.65</v>
      </c>
      <c r="AE1163" s="110" t="str">
        <f aca="false">IF(AND(AC1163="yes",ISNUMBER(F1163),IF(Compare!$H$5="All mapped",TRUE(),IF(Compare!$H$5="EXACT only",J1163="EXACT",OR(J1163="EXACT",J1163="CLOSE")))),"yes","no")</f>
        <v>yes</v>
      </c>
      <c r="AF1163" s="110" t="n">
        <f aca="false">IF(ISNUMBER(H1163),COUNTIFS($B$7:$B$3000,B1163,$C$7:$C$3000,C1163,$H$7:$H$3000,"&lt;"&amp;H1163,$AH$7:$AH$3000,"yes")+COUNTIFS($B$7:B1163,B1163,$C$7:C1163,C1163,$H$7:H1163,H1163,$AH$7:AH1163,"yes"),"")</f>
        <v>1</v>
      </c>
      <c r="AG1163" s="110" t="n">
        <f aca="false">IF(ISNUMBER(I1163),COUNTIFS($B$7:$B$3000,B1163,$C$7:$C$3000,C1163,$I$7:$I$3000,"&lt;"&amp;I1163,$AI$7:$AI$3000,"yes")+COUNTIFS($B$7:B1163,B1163,$C$7:C1163,C1163,$I$7:I1163,I1163,$AI$7:AI1163,"yes"),"")</f>
        <v>1</v>
      </c>
      <c r="AH1163" s="110" t="str">
        <f aca="false">IF(ISNUMBER(H1163),"yes","no")</f>
        <v>yes</v>
      </c>
      <c r="AI1163" s="110" t="str">
        <f aca="false">IF(ISNUMBER(I1163),"yes","no")</f>
        <v>yes</v>
      </c>
      <c r="AJ1163" s="120" t="n">
        <v>46297</v>
      </c>
      <c r="AK1163" s="110"/>
    </row>
    <row r="1164" customFormat="false" ht="23.85" hidden="false" customHeight="false" outlineLevel="0" collapsed="false">
      <c r="B1164" s="36" t="s">
        <v>76</v>
      </c>
      <c r="C1164" s="98" t="s">
        <v>14</v>
      </c>
      <c r="D1164" s="98" t="s">
        <v>403</v>
      </c>
      <c r="E1164" s="110" t="s">
        <v>3766</v>
      </c>
      <c r="F1164" s="99" t="n">
        <v>20.98</v>
      </c>
      <c r="G1164" s="98" t="s">
        <v>374</v>
      </c>
      <c r="H1164" s="112" t="n">
        <f aca="false">IF(AND(AE1164="yes",ISNUMBER(AD1164)),AD1164,"")</f>
        <v>20.98</v>
      </c>
      <c r="I1164" s="95" t="n">
        <f aca="false">IF(AND(AE1164="yes",ISNUMBER(AD1164),ISNUMBER(INDEX(Sources!$G$7:$G$10,MATCH(AB1164,Sources!$B$7:$B$10,0)))),ROUND(AD1164/INDEX(Sources!$G$7:$G$10,MATCH(AB1164,Sources!$B$7:$B$10,0)),6),"")</f>
        <v>3.97526</v>
      </c>
      <c r="J1164" s="98" t="s">
        <v>530</v>
      </c>
      <c r="K1164" s="98" t="s">
        <v>2059</v>
      </c>
      <c r="L1164" s="96"/>
      <c r="M1164" s="110" t="s">
        <v>3767</v>
      </c>
      <c r="N1164" s="117" t="s">
        <v>3768</v>
      </c>
      <c r="O1164" s="110" t="s">
        <v>1138</v>
      </c>
      <c r="P1164" s="110" t="s">
        <v>590</v>
      </c>
      <c r="Q1164" s="118" t="n">
        <v>0.21</v>
      </c>
      <c r="R1164" s="110" t="n">
        <v>1</v>
      </c>
      <c r="S1164" s="110" t="s">
        <v>632</v>
      </c>
      <c r="T1164" s="110" t="s">
        <v>530</v>
      </c>
      <c r="U1164" s="110" t="s">
        <v>2913</v>
      </c>
      <c r="V1164" s="119" t="n">
        <v>20.98</v>
      </c>
      <c r="W1164" s="119"/>
      <c r="X1164" s="110" t="s">
        <v>2063</v>
      </c>
      <c r="Y1164" s="110" t="s">
        <v>2064</v>
      </c>
      <c r="Z1164" s="110"/>
      <c r="AA1164" s="110" t="s">
        <v>537</v>
      </c>
      <c r="AB1164" s="110" t="s">
        <v>374</v>
      </c>
      <c r="AC1164" s="110" t="s">
        <v>538</v>
      </c>
      <c r="AD1164" s="110" t="n">
        <f aca="false">IF(OR(F1164="",Q1164="",R1164=""),"",ROUND(IF(P1164="incl.",F1164/(1+Q1164),F1164)/IF(S1164="per pack",R1164,1),2))</f>
        <v>20.98</v>
      </c>
      <c r="AE1164" s="110" t="str">
        <f aca="false">IF(AND(AC1164="yes",ISNUMBER(F1164),IF(Compare!$H$5="All mapped",TRUE(),IF(Compare!$H$5="EXACT only",J1164="EXACT",OR(J1164="EXACT",J1164="CLOSE")))),"yes","no")</f>
        <v>yes</v>
      </c>
      <c r="AF1164" s="110" t="n">
        <f aca="false">IF(ISNUMBER(H1164),COUNTIFS($B$7:$B$3000,B1164,$C$7:$C$3000,C1164,$H$7:$H$3000,"&lt;"&amp;H1164,$AH$7:$AH$3000,"yes")+COUNTIFS($B$7:B1164,B1164,$C$7:C1164,C1164,$H$7:H1164,H1164,$AH$7:AH1164,"yes"),"")</f>
        <v>2</v>
      </c>
      <c r="AG1164" s="110" t="n">
        <f aca="false">IF(ISNUMBER(I1164),COUNTIFS($B$7:$B$3000,B1164,$C$7:$C$3000,C1164,$I$7:$I$3000,"&lt;"&amp;I1164,$AI$7:$AI$3000,"yes")+COUNTIFS($B$7:B1164,B1164,$C$7:C1164,C1164,$I$7:I1164,I1164,$AI$7:AI1164,"yes"),"")</f>
        <v>2</v>
      </c>
      <c r="AH1164" s="110" t="str">
        <f aca="false">IF(ISNUMBER(H1164),"yes","no")</f>
        <v>yes</v>
      </c>
      <c r="AI1164" s="110" t="str">
        <f aca="false">IF(ISNUMBER(I1164),"yes","no")</f>
        <v>yes</v>
      </c>
      <c r="AJ1164" s="120" t="n">
        <v>46297</v>
      </c>
      <c r="AK1164" s="110"/>
    </row>
    <row r="1165" customFormat="false" ht="35.05" hidden="false" customHeight="false" outlineLevel="0" collapsed="false">
      <c r="B1165" s="36" t="s">
        <v>76</v>
      </c>
      <c r="C1165" s="98" t="s">
        <v>15</v>
      </c>
      <c r="D1165" s="98" t="s">
        <v>243</v>
      </c>
      <c r="E1165" s="110" t="s">
        <v>3769</v>
      </c>
      <c r="F1165" s="99" t="n">
        <v>4.06</v>
      </c>
      <c r="G1165" s="98" t="s">
        <v>244</v>
      </c>
      <c r="H1165" s="112" t="n">
        <f aca="false">IF(AND(AE1165="yes",ISNUMBER(AD1165)),AD1165,"")</f>
        <v>4.06</v>
      </c>
      <c r="I1165" s="95" t="n">
        <f aca="false">IF(AND(AE1165="yes",ISNUMBER(AD1165),ISNUMBER(INDEX(Sources!$G$7:$G$10,MATCH(AB1165,Sources!$B$7:$B$10,0)))),ROUND(AD1165/INDEX(Sources!$G$7:$G$10,MATCH(AB1165,Sources!$B$7:$B$10,0)),6),"")</f>
        <v>4.06</v>
      </c>
      <c r="J1165" s="98" t="s">
        <v>530</v>
      </c>
      <c r="K1165" s="98" t="s">
        <v>2059</v>
      </c>
      <c r="L1165" s="96"/>
      <c r="M1165" s="110" t="s">
        <v>3770</v>
      </c>
      <c r="N1165" s="117" t="s">
        <v>3771</v>
      </c>
      <c r="O1165" s="110" t="s">
        <v>2932</v>
      </c>
      <c r="P1165" s="110" t="s">
        <v>590</v>
      </c>
      <c r="Q1165" s="118" t="n">
        <v>0.2</v>
      </c>
      <c r="R1165" s="110" t="n">
        <v>1</v>
      </c>
      <c r="S1165" s="110" t="s">
        <v>632</v>
      </c>
      <c r="T1165" s="110" t="s">
        <v>530</v>
      </c>
      <c r="U1165" s="110" t="s">
        <v>2913</v>
      </c>
      <c r="V1165" s="119" t="n">
        <v>4.06</v>
      </c>
      <c r="W1165" s="119"/>
      <c r="X1165" s="110" t="s">
        <v>2063</v>
      </c>
      <c r="Y1165" s="110" t="s">
        <v>2064</v>
      </c>
      <c r="Z1165" s="110" t="s">
        <v>2164</v>
      </c>
      <c r="AA1165" s="110" t="s">
        <v>537</v>
      </c>
      <c r="AB1165" s="110" t="s">
        <v>244</v>
      </c>
      <c r="AC1165" s="110" t="s">
        <v>538</v>
      </c>
      <c r="AD1165" s="110" t="n">
        <f aca="false">IF(OR(F1165="",Q1165="",R1165=""),"",ROUND(IF(P1165="incl.",F1165/(1+Q1165),F1165)/IF(S1165="per pack",R1165,1),2))</f>
        <v>4.06</v>
      </c>
      <c r="AE1165" s="110" t="str">
        <f aca="false">IF(AND(AC1165="yes",ISNUMBER(F1165),IF(Compare!$H$5="All mapped",TRUE(),IF(Compare!$H$5="EXACT only",J1165="EXACT",OR(J1165="EXACT",J1165="CLOSE")))),"yes","no")</f>
        <v>yes</v>
      </c>
      <c r="AF1165" s="110" t="n">
        <f aca="false">IF(ISNUMBER(H1165),COUNTIFS($B$7:$B$3000,B1165,$C$7:$C$3000,C1165,$H$7:$H$3000,"&lt;"&amp;H1165,$AH$7:$AH$3000,"yes")+COUNTIFS($B$7:B1165,B1165,$C$7:C1165,C1165,$H$7:H1165,H1165,$AH$7:AH1165,"yes"),"")</f>
        <v>1</v>
      </c>
      <c r="AG1165" s="110" t="n">
        <f aca="false">IF(ISNUMBER(I1165),COUNTIFS($B$7:$B$3000,B1165,$C$7:$C$3000,C1165,$I$7:$I$3000,"&lt;"&amp;I1165,$AI$7:$AI$3000,"yes")+COUNTIFS($B$7:B1165,B1165,$C$7:C1165,C1165,$I$7:I1165,I1165,$AI$7:AI1165,"yes"),"")</f>
        <v>1</v>
      </c>
      <c r="AH1165" s="110" t="str">
        <f aca="false">IF(ISNUMBER(H1165),"yes","no")</f>
        <v>yes</v>
      </c>
      <c r="AI1165" s="110" t="str">
        <f aca="false">IF(ISNUMBER(I1165),"yes","no")</f>
        <v>yes</v>
      </c>
      <c r="AJ1165" s="120" t="n">
        <v>46297</v>
      </c>
      <c r="AK1165" s="110"/>
    </row>
    <row r="1166" customFormat="false" ht="35.05" hidden="false" customHeight="false" outlineLevel="0" collapsed="false">
      <c r="B1166" s="36" t="s">
        <v>76</v>
      </c>
      <c r="C1166" s="98" t="s">
        <v>15</v>
      </c>
      <c r="D1166" s="98" t="s">
        <v>257</v>
      </c>
      <c r="E1166" s="110" t="s">
        <v>3772</v>
      </c>
      <c r="F1166" s="99" t="n">
        <v>12</v>
      </c>
      <c r="G1166" s="98" t="s">
        <v>244</v>
      </c>
      <c r="H1166" s="112" t="n">
        <f aca="false">IF(AND(AE1166="yes",ISNUMBER(AD1166)),AD1166,"")</f>
        <v>12</v>
      </c>
      <c r="I1166" s="95" t="n">
        <f aca="false">IF(AND(AE1166="yes",ISNUMBER(AD1166),ISNUMBER(INDEX(Sources!$G$7:$G$10,MATCH(AB1166,Sources!$B$7:$B$10,0)))),ROUND(AD1166/INDEX(Sources!$G$7:$G$10,MATCH(AB1166,Sources!$B$7:$B$10,0)),6),"")</f>
        <v>12</v>
      </c>
      <c r="J1166" s="98" t="s">
        <v>530</v>
      </c>
      <c r="K1166" s="98" t="s">
        <v>2059</v>
      </c>
      <c r="L1166" s="96"/>
      <c r="M1166" s="110" t="s">
        <v>3773</v>
      </c>
      <c r="N1166" s="117" t="s">
        <v>3774</v>
      </c>
      <c r="O1166" s="110" t="s">
        <v>1576</v>
      </c>
      <c r="P1166" s="110" t="s">
        <v>590</v>
      </c>
      <c r="Q1166" s="118" t="n">
        <v>0.2</v>
      </c>
      <c r="R1166" s="110" t="n">
        <v>1</v>
      </c>
      <c r="S1166" s="110" t="s">
        <v>632</v>
      </c>
      <c r="T1166" s="110" t="s">
        <v>530</v>
      </c>
      <c r="U1166" s="110" t="s">
        <v>2913</v>
      </c>
      <c r="V1166" s="119" t="n">
        <v>12</v>
      </c>
      <c r="W1166" s="119"/>
      <c r="X1166" s="110" t="s">
        <v>2063</v>
      </c>
      <c r="Y1166" s="110" t="s">
        <v>2064</v>
      </c>
      <c r="Z1166" s="110" t="s">
        <v>2936</v>
      </c>
      <c r="AA1166" s="110" t="s">
        <v>537</v>
      </c>
      <c r="AB1166" s="110" t="s">
        <v>244</v>
      </c>
      <c r="AC1166" s="110" t="s">
        <v>538</v>
      </c>
      <c r="AD1166" s="110" t="n">
        <f aca="false">IF(OR(F1166="",Q1166="",R1166=""),"",ROUND(IF(P1166="incl.",F1166/(1+Q1166),F1166)/IF(S1166="per pack",R1166,1),2))</f>
        <v>12</v>
      </c>
      <c r="AE1166" s="110" t="str">
        <f aca="false">IF(AND(AC1166="yes",ISNUMBER(F1166),IF(Compare!$H$5="All mapped",TRUE(),IF(Compare!$H$5="EXACT only",J1166="EXACT",OR(J1166="EXACT",J1166="CLOSE")))),"yes","no")</f>
        <v>yes</v>
      </c>
      <c r="AF1166" s="110" t="n">
        <f aca="false">IF(ISNUMBER(H1166),COUNTIFS($B$7:$B$3000,B1166,$C$7:$C$3000,C1166,$H$7:$H$3000,"&lt;"&amp;H1166,$AH$7:$AH$3000,"yes")+COUNTIFS($B$7:B1166,B1166,$C$7:C1166,C1166,$H$7:H1166,H1166,$AH$7:AH1166,"yes"),"")</f>
        <v>6</v>
      </c>
      <c r="AG1166" s="110" t="n">
        <f aca="false">IF(ISNUMBER(I1166),COUNTIFS($B$7:$B$3000,B1166,$C$7:$C$3000,C1166,$I$7:$I$3000,"&lt;"&amp;I1166,$AI$7:$AI$3000,"yes")+COUNTIFS($B$7:B1166,B1166,$C$7:C1166,C1166,$I$7:I1166,I1166,$AI$7:AI1166,"yes"),"")</f>
        <v>6</v>
      </c>
      <c r="AH1166" s="110" t="str">
        <f aca="false">IF(ISNUMBER(H1166),"yes","no")</f>
        <v>yes</v>
      </c>
      <c r="AI1166" s="110" t="str">
        <f aca="false">IF(ISNUMBER(I1166),"yes","no")</f>
        <v>yes</v>
      </c>
      <c r="AJ1166" s="120" t="n">
        <v>46297</v>
      </c>
      <c r="AK1166" s="110"/>
    </row>
    <row r="1167" customFormat="false" ht="35.05" hidden="false" customHeight="false" outlineLevel="0" collapsed="false">
      <c r="B1167" s="36" t="s">
        <v>76</v>
      </c>
      <c r="C1167" s="98" t="s">
        <v>15</v>
      </c>
      <c r="D1167" s="98" t="s">
        <v>269</v>
      </c>
      <c r="E1167" s="110" t="s">
        <v>3775</v>
      </c>
      <c r="F1167" s="99" t="n">
        <v>5.79</v>
      </c>
      <c r="G1167" s="98" t="s">
        <v>244</v>
      </c>
      <c r="H1167" s="112" t="n">
        <f aca="false">IF(AND(AE1167="yes",ISNUMBER(AD1167)),AD1167,"")</f>
        <v>5.79</v>
      </c>
      <c r="I1167" s="95" t="n">
        <f aca="false">IF(AND(AE1167="yes",ISNUMBER(AD1167),ISNUMBER(INDEX(Sources!$G$7:$G$10,MATCH(AB1167,Sources!$B$7:$B$10,0)))),ROUND(AD1167/INDEX(Sources!$G$7:$G$10,MATCH(AB1167,Sources!$B$7:$B$10,0)),6),"")</f>
        <v>5.79</v>
      </c>
      <c r="J1167" s="98" t="s">
        <v>530</v>
      </c>
      <c r="K1167" s="98" t="s">
        <v>2059</v>
      </c>
      <c r="L1167" s="96"/>
      <c r="M1167" s="110" t="s">
        <v>3776</v>
      </c>
      <c r="N1167" s="117" t="s">
        <v>3777</v>
      </c>
      <c r="O1167" s="110" t="s">
        <v>598</v>
      </c>
      <c r="P1167" s="110" t="s">
        <v>590</v>
      </c>
      <c r="Q1167" s="118" t="n">
        <v>0.2</v>
      </c>
      <c r="R1167" s="110" t="n">
        <v>1</v>
      </c>
      <c r="S1167" s="110" t="s">
        <v>632</v>
      </c>
      <c r="T1167" s="110" t="s">
        <v>530</v>
      </c>
      <c r="U1167" s="110" t="s">
        <v>2913</v>
      </c>
      <c r="V1167" s="119" t="n">
        <v>5.79</v>
      </c>
      <c r="W1167" s="119"/>
      <c r="X1167" s="110" t="s">
        <v>2063</v>
      </c>
      <c r="Y1167" s="110" t="s">
        <v>2064</v>
      </c>
      <c r="Z1167" s="110" t="s">
        <v>3216</v>
      </c>
      <c r="AA1167" s="110" t="s">
        <v>537</v>
      </c>
      <c r="AB1167" s="110" t="s">
        <v>244</v>
      </c>
      <c r="AC1167" s="110" t="s">
        <v>538</v>
      </c>
      <c r="AD1167" s="110" t="n">
        <f aca="false">IF(OR(F1167="",Q1167="",R1167=""),"",ROUND(IF(P1167="incl.",F1167/(1+Q1167),F1167)/IF(S1167="per pack",R1167,1),2))</f>
        <v>5.79</v>
      </c>
      <c r="AE1167" s="110" t="str">
        <f aca="false">IF(AND(AC1167="yes",ISNUMBER(F1167),IF(Compare!$H$5="All mapped",TRUE(),IF(Compare!$H$5="EXACT only",J1167="EXACT",OR(J1167="EXACT",J1167="CLOSE")))),"yes","no")</f>
        <v>yes</v>
      </c>
      <c r="AF1167" s="110" t="n">
        <f aca="false">IF(ISNUMBER(H1167),COUNTIFS($B$7:$B$3000,B1167,$C$7:$C$3000,C1167,$H$7:$H$3000,"&lt;"&amp;H1167,$AH$7:$AH$3000,"yes")+COUNTIFS($B$7:B1167,B1167,$C$7:C1167,C1167,$H$7:H1167,H1167,$AH$7:AH1167,"yes"),"")</f>
        <v>3</v>
      </c>
      <c r="AG1167" s="110" t="n">
        <f aca="false">IF(ISNUMBER(I1167),COUNTIFS($B$7:$B$3000,B1167,$C$7:$C$3000,C1167,$I$7:$I$3000,"&lt;"&amp;I1167,$AI$7:$AI$3000,"yes")+COUNTIFS($B$7:B1167,B1167,$C$7:C1167,C1167,$I$7:I1167,I1167,$AI$7:AI1167,"yes"),"")</f>
        <v>3</v>
      </c>
      <c r="AH1167" s="110" t="str">
        <f aca="false">IF(ISNUMBER(H1167),"yes","no")</f>
        <v>yes</v>
      </c>
      <c r="AI1167" s="110" t="str">
        <f aca="false">IF(ISNUMBER(I1167),"yes","no")</f>
        <v>yes</v>
      </c>
      <c r="AJ1167" s="120" t="n">
        <v>46297</v>
      </c>
      <c r="AK1167" s="110"/>
    </row>
    <row r="1168" customFormat="false" ht="23.85" hidden="false" customHeight="false" outlineLevel="0" collapsed="false">
      <c r="B1168" s="36" t="s">
        <v>76</v>
      </c>
      <c r="C1168" s="98" t="s">
        <v>15</v>
      </c>
      <c r="D1168" s="98" t="s">
        <v>264</v>
      </c>
      <c r="E1168" s="110" t="s">
        <v>3778</v>
      </c>
      <c r="F1168" s="99" t="n">
        <v>17</v>
      </c>
      <c r="G1168" s="98" t="s">
        <v>244</v>
      </c>
      <c r="H1168" s="112" t="n">
        <f aca="false">IF(AND(AE1168="yes",ISNUMBER(AD1168)),AD1168,"")</f>
        <v>17</v>
      </c>
      <c r="I1168" s="95" t="n">
        <f aca="false">IF(AND(AE1168="yes",ISNUMBER(AD1168),ISNUMBER(INDEX(Sources!$G$7:$G$10,MATCH(AB1168,Sources!$B$7:$B$10,0)))),ROUND(AD1168/INDEX(Sources!$G$7:$G$10,MATCH(AB1168,Sources!$B$7:$B$10,0)),6),"")</f>
        <v>17</v>
      </c>
      <c r="J1168" s="98" t="s">
        <v>530</v>
      </c>
      <c r="K1168" s="98" t="s">
        <v>2059</v>
      </c>
      <c r="L1168" s="96"/>
      <c r="M1168" s="110" t="s">
        <v>3779</v>
      </c>
      <c r="N1168" s="117" t="s">
        <v>3780</v>
      </c>
      <c r="O1168" s="110" t="s">
        <v>2944</v>
      </c>
      <c r="P1168" s="110" t="s">
        <v>590</v>
      </c>
      <c r="Q1168" s="118" t="n">
        <v>0.2</v>
      </c>
      <c r="R1168" s="110" t="n">
        <v>1</v>
      </c>
      <c r="S1168" s="110" t="s">
        <v>632</v>
      </c>
      <c r="T1168" s="110" t="s">
        <v>530</v>
      </c>
      <c r="U1168" s="110" t="s">
        <v>2913</v>
      </c>
      <c r="V1168" s="119" t="n">
        <v>17</v>
      </c>
      <c r="W1168" s="119"/>
      <c r="X1168" s="110" t="s">
        <v>2063</v>
      </c>
      <c r="Y1168" s="110" t="s">
        <v>2064</v>
      </c>
      <c r="Z1168" s="110"/>
      <c r="AA1168" s="110" t="s">
        <v>537</v>
      </c>
      <c r="AB1168" s="110" t="s">
        <v>244</v>
      </c>
      <c r="AC1168" s="110" t="s">
        <v>538</v>
      </c>
      <c r="AD1168" s="110" t="n">
        <f aca="false">IF(OR(F1168="",Q1168="",R1168=""),"",ROUND(IF(P1168="incl.",F1168/(1+Q1168),F1168)/IF(S1168="per pack",R1168,1),2))</f>
        <v>17</v>
      </c>
      <c r="AE1168" s="110" t="str">
        <f aca="false">IF(AND(AC1168="yes",ISNUMBER(F1168),IF(Compare!$H$5="All mapped",TRUE(),IF(Compare!$H$5="EXACT only",J1168="EXACT",OR(J1168="EXACT",J1168="CLOSE")))),"yes","no")</f>
        <v>yes</v>
      </c>
      <c r="AF1168" s="110" t="n">
        <f aca="false">IF(ISNUMBER(H1168),COUNTIFS($B$7:$B$3000,B1168,$C$7:$C$3000,C1168,$H$7:$H$3000,"&lt;"&amp;H1168,$AH$7:$AH$3000,"yes")+COUNTIFS($B$7:B1168,B1168,$C$7:C1168,C1168,$H$7:H1168,H1168,$AH$7:AH1168,"yes"),"")</f>
        <v>7</v>
      </c>
      <c r="AG1168" s="110" t="n">
        <f aca="false">IF(ISNUMBER(I1168),COUNTIFS($B$7:$B$3000,B1168,$C$7:$C$3000,C1168,$I$7:$I$3000,"&lt;"&amp;I1168,$AI$7:$AI$3000,"yes")+COUNTIFS($B$7:B1168,B1168,$C$7:C1168,C1168,$I$7:I1168,I1168,$AI$7:AI1168,"yes"),"")</f>
        <v>7</v>
      </c>
      <c r="AH1168" s="110" t="str">
        <f aca="false">IF(ISNUMBER(H1168),"yes","no")</f>
        <v>yes</v>
      </c>
      <c r="AI1168" s="110" t="str">
        <f aca="false">IF(ISNUMBER(I1168),"yes","no")</f>
        <v>yes</v>
      </c>
      <c r="AJ1168" s="120" t="n">
        <v>46297</v>
      </c>
      <c r="AK1168" s="110"/>
    </row>
    <row r="1169" customFormat="false" ht="23.85" hidden="false" customHeight="false" outlineLevel="0" collapsed="false">
      <c r="B1169" s="36" t="s">
        <v>76</v>
      </c>
      <c r="C1169" s="98" t="s">
        <v>15</v>
      </c>
      <c r="D1169" s="98" t="s">
        <v>273</v>
      </c>
      <c r="E1169" s="110" t="s">
        <v>3781</v>
      </c>
      <c r="F1169" s="99" t="n">
        <v>5.69</v>
      </c>
      <c r="G1169" s="98" t="s">
        <v>244</v>
      </c>
      <c r="H1169" s="112" t="n">
        <f aca="false">IF(AND(AE1169="yes",ISNUMBER(AD1169)),AD1169,"")</f>
        <v>4.74</v>
      </c>
      <c r="I1169" s="95" t="n">
        <f aca="false">IF(AND(AE1169="yes",ISNUMBER(AD1169),ISNUMBER(INDEX(Sources!$G$7:$G$10,MATCH(AB1169,Sources!$B$7:$B$10,0)))),ROUND(AD1169/INDEX(Sources!$G$7:$G$10,MATCH(AB1169,Sources!$B$7:$B$10,0)),6),"")</f>
        <v>4.74</v>
      </c>
      <c r="J1169" s="98" t="s">
        <v>530</v>
      </c>
      <c r="K1169" s="98" t="s">
        <v>2059</v>
      </c>
      <c r="L1169" s="96"/>
      <c r="M1169" s="110" t="s">
        <v>3782</v>
      </c>
      <c r="N1169" s="117" t="s">
        <v>3783</v>
      </c>
      <c r="O1169" s="110" t="s">
        <v>598</v>
      </c>
      <c r="P1169" s="110" t="s">
        <v>265</v>
      </c>
      <c r="Q1169" s="118" t="n">
        <v>0.2</v>
      </c>
      <c r="R1169" s="110" t="n">
        <v>1</v>
      </c>
      <c r="S1169" s="110" t="s">
        <v>632</v>
      </c>
      <c r="T1169" s="110" t="s">
        <v>530</v>
      </c>
      <c r="U1169" s="110" t="s">
        <v>2918</v>
      </c>
      <c r="V1169" s="119" t="n">
        <v>4.74</v>
      </c>
      <c r="W1169" s="119"/>
      <c r="X1169" s="110" t="s">
        <v>2063</v>
      </c>
      <c r="Y1169" s="110" t="s">
        <v>2064</v>
      </c>
      <c r="Z1169" s="110" t="s">
        <v>2130</v>
      </c>
      <c r="AA1169" s="110" t="s">
        <v>537</v>
      </c>
      <c r="AB1169" s="110" t="s">
        <v>244</v>
      </c>
      <c r="AC1169" s="110" t="s">
        <v>538</v>
      </c>
      <c r="AD1169" s="110" t="n">
        <f aca="false">IF(OR(F1169="",Q1169="",R1169=""),"",ROUND(IF(P1169="incl.",F1169/(1+Q1169),F1169)/IF(S1169="per pack",R1169,1),2))</f>
        <v>4.74</v>
      </c>
      <c r="AE1169" s="110" t="str">
        <f aca="false">IF(AND(AC1169="yes",ISNUMBER(F1169),IF(Compare!$H$5="All mapped",TRUE(),IF(Compare!$H$5="EXACT only",J1169="EXACT",OR(J1169="EXACT",J1169="CLOSE")))),"yes","no")</f>
        <v>yes</v>
      </c>
      <c r="AF1169" s="110" t="n">
        <f aca="false">IF(ISNUMBER(H1169),COUNTIFS($B$7:$B$3000,B1169,$C$7:$C$3000,C1169,$H$7:$H$3000,"&lt;"&amp;H1169,$AH$7:$AH$3000,"yes")+COUNTIFS($B$7:B1169,B1169,$C$7:C1169,C1169,$H$7:H1169,H1169,$AH$7:AH1169,"yes"),"")</f>
        <v>2</v>
      </c>
      <c r="AG1169" s="110" t="n">
        <f aca="false">IF(ISNUMBER(I1169),COUNTIFS($B$7:$B$3000,B1169,$C$7:$C$3000,C1169,$I$7:$I$3000,"&lt;"&amp;I1169,$AI$7:$AI$3000,"yes")+COUNTIFS($B$7:B1169,B1169,$C$7:C1169,C1169,$I$7:I1169,I1169,$AI$7:AI1169,"yes"),"")</f>
        <v>2</v>
      </c>
      <c r="AH1169" s="110" t="str">
        <f aca="false">IF(ISNUMBER(H1169),"yes","no")</f>
        <v>yes</v>
      </c>
      <c r="AI1169" s="110" t="str">
        <f aca="false">IF(ISNUMBER(I1169),"yes","no")</f>
        <v>yes</v>
      </c>
      <c r="AJ1169" s="120" t="n">
        <v>46297</v>
      </c>
      <c r="AK1169" s="110"/>
    </row>
    <row r="1170" customFormat="false" ht="46.25" hidden="false" customHeight="false" outlineLevel="0" collapsed="false">
      <c r="B1170" s="36" t="s">
        <v>76</v>
      </c>
      <c r="C1170" s="98" t="s">
        <v>15</v>
      </c>
      <c r="D1170" s="98" t="s">
        <v>281</v>
      </c>
      <c r="E1170" s="110" t="s">
        <v>3784</v>
      </c>
      <c r="F1170" s="99" t="n">
        <v>6.28</v>
      </c>
      <c r="G1170" s="98" t="s">
        <v>244</v>
      </c>
      <c r="H1170" s="112" t="n">
        <f aca="false">IF(AND(AE1170="yes",ISNUMBER(AD1170)),AD1170,"")</f>
        <v>6.28</v>
      </c>
      <c r="I1170" s="95" t="n">
        <f aca="false">IF(AND(AE1170="yes",ISNUMBER(AD1170),ISNUMBER(INDEX(Sources!$G$7:$G$10,MATCH(AB1170,Sources!$B$7:$B$10,0)))),ROUND(AD1170/INDEX(Sources!$G$7:$G$10,MATCH(AB1170,Sources!$B$7:$B$10,0)),6),"")</f>
        <v>6.28</v>
      </c>
      <c r="J1170" s="98" t="s">
        <v>530</v>
      </c>
      <c r="K1170" s="98" t="s">
        <v>2059</v>
      </c>
      <c r="L1170" s="96"/>
      <c r="M1170" s="110" t="s">
        <v>3785</v>
      </c>
      <c r="N1170" s="117" t="s">
        <v>3786</v>
      </c>
      <c r="O1170" s="110" t="s">
        <v>2952</v>
      </c>
      <c r="P1170" s="110" t="s">
        <v>590</v>
      </c>
      <c r="Q1170" s="118" t="n">
        <v>0.2</v>
      </c>
      <c r="R1170" s="110" t="n">
        <v>1</v>
      </c>
      <c r="S1170" s="110" t="s">
        <v>632</v>
      </c>
      <c r="T1170" s="110" t="s">
        <v>530</v>
      </c>
      <c r="U1170" s="110" t="s">
        <v>2913</v>
      </c>
      <c r="V1170" s="119" t="n">
        <v>6.28</v>
      </c>
      <c r="W1170" s="119"/>
      <c r="X1170" s="110" t="s">
        <v>2063</v>
      </c>
      <c r="Y1170" s="110" t="s">
        <v>2064</v>
      </c>
      <c r="Z1170" s="110" t="s">
        <v>2953</v>
      </c>
      <c r="AA1170" s="110" t="s">
        <v>537</v>
      </c>
      <c r="AB1170" s="110" t="s">
        <v>244</v>
      </c>
      <c r="AC1170" s="110" t="s">
        <v>538</v>
      </c>
      <c r="AD1170" s="110" t="n">
        <f aca="false">IF(OR(F1170="",Q1170="",R1170=""),"",ROUND(IF(P1170="incl.",F1170/(1+Q1170),F1170)/IF(S1170="per pack",R1170,1),2))</f>
        <v>6.28</v>
      </c>
      <c r="AE1170" s="110" t="str">
        <f aca="false">IF(AND(AC1170="yes",ISNUMBER(F1170),IF(Compare!$H$5="All mapped",TRUE(),IF(Compare!$H$5="EXACT only",J1170="EXACT",OR(J1170="EXACT",J1170="CLOSE")))),"yes","no")</f>
        <v>yes</v>
      </c>
      <c r="AF1170" s="110" t="n">
        <f aca="false">IF(ISNUMBER(H1170),COUNTIFS($B$7:$B$3000,B1170,$C$7:$C$3000,C1170,$H$7:$H$3000,"&lt;"&amp;H1170,$AH$7:$AH$3000,"yes")+COUNTIFS($B$7:B1170,B1170,$C$7:C1170,C1170,$H$7:H1170,H1170,$AH$7:AH1170,"yes"),"")</f>
        <v>4</v>
      </c>
      <c r="AG1170" s="110" t="n">
        <f aca="false">IF(ISNUMBER(I1170),COUNTIFS($B$7:$B$3000,B1170,$C$7:$C$3000,C1170,$I$7:$I$3000,"&lt;"&amp;I1170,$AI$7:$AI$3000,"yes")+COUNTIFS($B$7:B1170,B1170,$C$7:C1170,C1170,$I$7:I1170,I1170,$AI$7:AI1170,"yes"),"")</f>
        <v>4</v>
      </c>
      <c r="AH1170" s="110" t="str">
        <f aca="false">IF(ISNUMBER(H1170),"yes","no")</f>
        <v>yes</v>
      </c>
      <c r="AI1170" s="110" t="str">
        <f aca="false">IF(ISNUMBER(I1170),"yes","no")</f>
        <v>yes</v>
      </c>
      <c r="AJ1170" s="120" t="n">
        <v>46297</v>
      </c>
      <c r="AK1170" s="110"/>
    </row>
    <row r="1171" customFormat="false" ht="35.05" hidden="false" customHeight="false" outlineLevel="0" collapsed="false">
      <c r="B1171" s="36" t="s">
        <v>76</v>
      </c>
      <c r="C1171" s="98" t="s">
        <v>15</v>
      </c>
      <c r="D1171" s="98" t="s">
        <v>293</v>
      </c>
      <c r="E1171" s="110" t="s">
        <v>3787</v>
      </c>
      <c r="F1171" s="99" t="n">
        <v>6.5</v>
      </c>
      <c r="G1171" s="98" t="s">
        <v>244</v>
      </c>
      <c r="H1171" s="112" t="n">
        <f aca="false">IF(AND(AE1171="yes",ISNUMBER(AD1171)),AD1171,"")</f>
        <v>6.5</v>
      </c>
      <c r="I1171" s="95" t="n">
        <f aca="false">IF(AND(AE1171="yes",ISNUMBER(AD1171),ISNUMBER(INDEX(Sources!$G$7:$G$10,MATCH(AB1171,Sources!$B$7:$B$10,0)))),ROUND(AD1171/INDEX(Sources!$G$7:$G$10,MATCH(AB1171,Sources!$B$7:$B$10,0)),6),"")</f>
        <v>6.5</v>
      </c>
      <c r="J1171" s="98" t="s">
        <v>530</v>
      </c>
      <c r="K1171" s="98" t="s">
        <v>2059</v>
      </c>
      <c r="L1171" s="96"/>
      <c r="M1171" s="110" t="s">
        <v>3788</v>
      </c>
      <c r="N1171" s="117" t="s">
        <v>3789</v>
      </c>
      <c r="O1171" s="110" t="s">
        <v>3063</v>
      </c>
      <c r="P1171" s="110" t="s">
        <v>590</v>
      </c>
      <c r="Q1171" s="118" t="n">
        <v>0.2</v>
      </c>
      <c r="R1171" s="110" t="n">
        <v>1</v>
      </c>
      <c r="S1171" s="110" t="s">
        <v>632</v>
      </c>
      <c r="T1171" s="110" t="s">
        <v>530</v>
      </c>
      <c r="U1171" s="110" t="s">
        <v>2913</v>
      </c>
      <c r="V1171" s="119" t="n">
        <v>6.5</v>
      </c>
      <c r="W1171" s="119"/>
      <c r="X1171" s="110" t="s">
        <v>2063</v>
      </c>
      <c r="Y1171" s="110" t="s">
        <v>2064</v>
      </c>
      <c r="Z1171" s="110" t="s">
        <v>3064</v>
      </c>
      <c r="AA1171" s="110" t="s">
        <v>537</v>
      </c>
      <c r="AB1171" s="110" t="s">
        <v>244</v>
      </c>
      <c r="AC1171" s="110" t="s">
        <v>538</v>
      </c>
      <c r="AD1171" s="110" t="n">
        <f aca="false">IF(OR(F1171="",Q1171="",R1171=""),"",ROUND(IF(P1171="incl.",F1171/(1+Q1171),F1171)/IF(S1171="per pack",R1171,1),2))</f>
        <v>6.5</v>
      </c>
      <c r="AE1171" s="110" t="str">
        <f aca="false">IF(AND(AC1171="yes",ISNUMBER(F1171),IF(Compare!$H$5="All mapped",TRUE(),IF(Compare!$H$5="EXACT only",J1171="EXACT",OR(J1171="EXACT",J1171="CLOSE")))),"yes","no")</f>
        <v>yes</v>
      </c>
      <c r="AF1171" s="110" t="n">
        <f aca="false">IF(ISNUMBER(H1171),COUNTIFS($B$7:$B$3000,B1171,$C$7:$C$3000,C1171,$H$7:$H$3000,"&lt;"&amp;H1171,$AH$7:$AH$3000,"yes")+COUNTIFS($B$7:B1171,B1171,$C$7:C1171,C1171,$H$7:H1171,H1171,$AH$7:AH1171,"yes"),"")</f>
        <v>5</v>
      </c>
      <c r="AG1171" s="110" t="n">
        <f aca="false">IF(ISNUMBER(I1171),COUNTIFS($B$7:$B$3000,B1171,$C$7:$C$3000,C1171,$I$7:$I$3000,"&lt;"&amp;I1171,$AI$7:$AI$3000,"yes")+COUNTIFS($B$7:B1171,B1171,$C$7:C1171,C1171,$I$7:I1171,I1171,$AI$7:AI1171,"yes"),"")</f>
        <v>5</v>
      </c>
      <c r="AH1171" s="110" t="str">
        <f aca="false">IF(ISNUMBER(H1171),"yes","no")</f>
        <v>yes</v>
      </c>
      <c r="AI1171" s="110" t="str">
        <f aca="false">IF(ISNUMBER(I1171),"yes","no")</f>
        <v>yes</v>
      </c>
      <c r="AJ1171" s="120" t="n">
        <v>46297</v>
      </c>
      <c r="AK1171" s="110"/>
    </row>
    <row r="1172" customFormat="false" ht="35.05" hidden="false" customHeight="false" outlineLevel="0" collapsed="false">
      <c r="B1172" s="36" t="s">
        <v>76</v>
      </c>
      <c r="C1172" s="98" t="s">
        <v>16</v>
      </c>
      <c r="D1172" s="98" t="s">
        <v>296</v>
      </c>
      <c r="E1172" s="110" t="s">
        <v>3769</v>
      </c>
      <c r="F1172" s="99" t="n">
        <v>4.06</v>
      </c>
      <c r="G1172" s="98" t="s">
        <v>244</v>
      </c>
      <c r="H1172" s="112" t="n">
        <f aca="false">IF(AND(AE1172="yes",ISNUMBER(AD1172)),AD1172,"")</f>
        <v>4.06</v>
      </c>
      <c r="I1172" s="95" t="n">
        <f aca="false">IF(AND(AE1172="yes",ISNUMBER(AD1172),ISNUMBER(INDEX(Sources!$G$7:$G$10,MATCH(AB1172,Sources!$B$7:$B$10,0)))),ROUND(AD1172/INDEX(Sources!$G$7:$G$10,MATCH(AB1172,Sources!$B$7:$B$10,0)),6),"")</f>
        <v>4.06</v>
      </c>
      <c r="J1172" s="98" t="s">
        <v>530</v>
      </c>
      <c r="K1172" s="98" t="s">
        <v>2059</v>
      </c>
      <c r="L1172" s="96"/>
      <c r="M1172" s="110" t="s">
        <v>3790</v>
      </c>
      <c r="N1172" s="117" t="s">
        <v>3791</v>
      </c>
      <c r="O1172" s="110" t="s">
        <v>3149</v>
      </c>
      <c r="P1172" s="110" t="s">
        <v>590</v>
      </c>
      <c r="Q1172" s="118" t="n">
        <v>0.19</v>
      </c>
      <c r="R1172" s="110" t="n">
        <v>1</v>
      </c>
      <c r="S1172" s="110" t="s">
        <v>632</v>
      </c>
      <c r="T1172" s="110" t="s">
        <v>530</v>
      </c>
      <c r="U1172" s="110" t="s">
        <v>2913</v>
      </c>
      <c r="V1172" s="119" t="n">
        <v>4.06</v>
      </c>
      <c r="W1172" s="119"/>
      <c r="X1172" s="110" t="s">
        <v>2063</v>
      </c>
      <c r="Y1172" s="110" t="s">
        <v>2064</v>
      </c>
      <c r="Z1172" s="110" t="s">
        <v>2164</v>
      </c>
      <c r="AA1172" s="110" t="s">
        <v>537</v>
      </c>
      <c r="AB1172" s="110" t="s">
        <v>244</v>
      </c>
      <c r="AC1172" s="110" t="s">
        <v>538</v>
      </c>
      <c r="AD1172" s="110" t="n">
        <f aca="false">IF(OR(F1172="",Q1172="",R1172=""),"",ROUND(IF(P1172="incl.",F1172/(1+Q1172),F1172)/IF(S1172="per pack",R1172,1),2))</f>
        <v>4.06</v>
      </c>
      <c r="AE1172" s="110" t="str">
        <f aca="false">IF(AND(AC1172="yes",ISNUMBER(F1172),IF(Compare!$H$5="All mapped",TRUE(),IF(Compare!$H$5="EXACT only",J1172="EXACT",OR(J1172="EXACT",J1172="CLOSE")))),"yes","no")</f>
        <v>yes</v>
      </c>
      <c r="AF1172" s="110" t="n">
        <f aca="false">IF(ISNUMBER(H1172),COUNTIFS($B$7:$B$3000,B1172,$C$7:$C$3000,C1172,$H$7:$H$3000,"&lt;"&amp;H1172,$AH$7:$AH$3000,"yes")+COUNTIFS($B$7:B1172,B1172,$C$7:C1172,C1172,$H$7:H1172,H1172,$AH$7:AH1172,"yes"),"")</f>
        <v>2</v>
      </c>
      <c r="AG1172" s="110" t="n">
        <f aca="false">IF(ISNUMBER(I1172),COUNTIFS($B$7:$B$3000,B1172,$C$7:$C$3000,C1172,$I$7:$I$3000,"&lt;"&amp;I1172,$AI$7:$AI$3000,"yes")+COUNTIFS($B$7:B1172,B1172,$C$7:C1172,C1172,$I$7:I1172,I1172,$AI$7:AI1172,"yes"),"")</f>
        <v>2</v>
      </c>
      <c r="AH1172" s="110" t="str">
        <f aca="false">IF(ISNUMBER(H1172),"yes","no")</f>
        <v>yes</v>
      </c>
      <c r="AI1172" s="110" t="str">
        <f aca="false">IF(ISNUMBER(I1172),"yes","no")</f>
        <v>yes</v>
      </c>
      <c r="AJ1172" s="120" t="n">
        <v>46297</v>
      </c>
      <c r="AK1172" s="110"/>
    </row>
    <row r="1173" customFormat="false" ht="35.05" hidden="false" customHeight="false" outlineLevel="0" collapsed="false">
      <c r="B1173" s="36" t="s">
        <v>76</v>
      </c>
      <c r="C1173" s="98" t="s">
        <v>16</v>
      </c>
      <c r="D1173" s="98" t="s">
        <v>305</v>
      </c>
      <c r="E1173" s="110" t="s">
        <v>3792</v>
      </c>
      <c r="F1173" s="99" t="n">
        <v>8.7</v>
      </c>
      <c r="G1173" s="98" t="s">
        <v>244</v>
      </c>
      <c r="H1173" s="112" t="n">
        <f aca="false">IF(AND(AE1173="yes",ISNUMBER(AD1173)),AD1173,"")</f>
        <v>7.31</v>
      </c>
      <c r="I1173" s="95" t="n">
        <f aca="false">IF(AND(AE1173="yes",ISNUMBER(AD1173),ISNUMBER(INDEX(Sources!$G$7:$G$10,MATCH(AB1173,Sources!$B$7:$B$10,0)))),ROUND(AD1173/INDEX(Sources!$G$7:$G$10,MATCH(AB1173,Sources!$B$7:$B$10,0)),6),"")</f>
        <v>7.31</v>
      </c>
      <c r="J1173" s="98" t="s">
        <v>530</v>
      </c>
      <c r="K1173" s="98" t="s">
        <v>2059</v>
      </c>
      <c r="L1173" s="96"/>
      <c r="M1173" s="110" t="s">
        <v>3793</v>
      </c>
      <c r="N1173" s="117" t="s">
        <v>3794</v>
      </c>
      <c r="O1173" s="110" t="s">
        <v>2965</v>
      </c>
      <c r="P1173" s="110" t="s">
        <v>265</v>
      </c>
      <c r="Q1173" s="118" t="n">
        <v>0.19</v>
      </c>
      <c r="R1173" s="110" t="n">
        <v>1</v>
      </c>
      <c r="S1173" s="110" t="s">
        <v>632</v>
      </c>
      <c r="T1173" s="110" t="s">
        <v>530</v>
      </c>
      <c r="U1173" s="110" t="s">
        <v>2918</v>
      </c>
      <c r="V1173" s="119" t="n">
        <v>7.31</v>
      </c>
      <c r="W1173" s="119"/>
      <c r="X1173" s="110" t="s">
        <v>2063</v>
      </c>
      <c r="Y1173" s="110" t="s">
        <v>2064</v>
      </c>
      <c r="Z1173" s="110" t="s">
        <v>2156</v>
      </c>
      <c r="AA1173" s="110" t="s">
        <v>537</v>
      </c>
      <c r="AB1173" s="110" t="s">
        <v>244</v>
      </c>
      <c r="AC1173" s="110" t="s">
        <v>538</v>
      </c>
      <c r="AD1173" s="110" t="n">
        <f aca="false">IF(OR(F1173="",Q1173="",R1173=""),"",ROUND(IF(P1173="incl.",F1173/(1+Q1173),F1173)/IF(S1173="per pack",R1173,1),2))</f>
        <v>7.31</v>
      </c>
      <c r="AE1173" s="110" t="str">
        <f aca="false">IF(AND(AC1173="yes",ISNUMBER(F1173),IF(Compare!$H$5="All mapped",TRUE(),IF(Compare!$H$5="EXACT only",J1173="EXACT",OR(J1173="EXACT",J1173="CLOSE")))),"yes","no")</f>
        <v>yes</v>
      </c>
      <c r="AF1173" s="110" t="n">
        <f aca="false">IF(ISNUMBER(H1173),COUNTIFS($B$7:$B$3000,B1173,$C$7:$C$3000,C1173,$H$7:$H$3000,"&lt;"&amp;H1173,$AH$7:$AH$3000,"yes")+COUNTIFS($B$7:B1173,B1173,$C$7:C1173,C1173,$H$7:H1173,H1173,$AH$7:AH1173,"yes"),"")</f>
        <v>6</v>
      </c>
      <c r="AG1173" s="110" t="n">
        <f aca="false">IF(ISNUMBER(I1173),COUNTIFS($B$7:$B$3000,B1173,$C$7:$C$3000,C1173,$I$7:$I$3000,"&lt;"&amp;I1173,$AI$7:$AI$3000,"yes")+COUNTIFS($B$7:B1173,B1173,$C$7:C1173,C1173,$I$7:I1173,I1173,$AI$7:AI1173,"yes"),"")</f>
        <v>6</v>
      </c>
      <c r="AH1173" s="110" t="str">
        <f aca="false">IF(ISNUMBER(H1173),"yes","no")</f>
        <v>yes</v>
      </c>
      <c r="AI1173" s="110" t="str">
        <f aca="false">IF(ISNUMBER(I1173),"yes","no")</f>
        <v>yes</v>
      </c>
      <c r="AJ1173" s="120" t="n">
        <v>46297</v>
      </c>
      <c r="AK1173" s="110"/>
    </row>
    <row r="1174" customFormat="false" ht="35.05" hidden="false" customHeight="false" outlineLevel="0" collapsed="false">
      <c r="B1174" s="36" t="s">
        <v>76</v>
      </c>
      <c r="C1174" s="98" t="s">
        <v>16</v>
      </c>
      <c r="D1174" s="98" t="s">
        <v>311</v>
      </c>
      <c r="E1174" s="110" t="s">
        <v>3775</v>
      </c>
      <c r="F1174" s="99" t="n">
        <v>5.49</v>
      </c>
      <c r="G1174" s="98" t="s">
        <v>244</v>
      </c>
      <c r="H1174" s="112" t="n">
        <f aca="false">IF(AND(AE1174="yes",ISNUMBER(AD1174)),AD1174,"")</f>
        <v>5.49</v>
      </c>
      <c r="I1174" s="95" t="n">
        <f aca="false">IF(AND(AE1174="yes",ISNUMBER(AD1174),ISNUMBER(INDEX(Sources!$G$7:$G$10,MATCH(AB1174,Sources!$B$7:$B$10,0)))),ROUND(AD1174/INDEX(Sources!$G$7:$G$10,MATCH(AB1174,Sources!$B$7:$B$10,0)),6),"")</f>
        <v>5.49</v>
      </c>
      <c r="J1174" s="98" t="s">
        <v>530</v>
      </c>
      <c r="K1174" s="98" t="s">
        <v>2059</v>
      </c>
      <c r="L1174" s="96"/>
      <c r="M1174" s="110" t="s">
        <v>3795</v>
      </c>
      <c r="N1174" s="117" t="s">
        <v>3796</v>
      </c>
      <c r="O1174" s="110" t="s">
        <v>598</v>
      </c>
      <c r="P1174" s="110" t="s">
        <v>590</v>
      </c>
      <c r="Q1174" s="118" t="n">
        <v>0.19</v>
      </c>
      <c r="R1174" s="110" t="n">
        <v>1</v>
      </c>
      <c r="S1174" s="110" t="s">
        <v>632</v>
      </c>
      <c r="T1174" s="110" t="s">
        <v>530</v>
      </c>
      <c r="U1174" s="110" t="s">
        <v>2913</v>
      </c>
      <c r="V1174" s="119" t="n">
        <v>5.49</v>
      </c>
      <c r="W1174" s="119"/>
      <c r="X1174" s="110" t="s">
        <v>2063</v>
      </c>
      <c r="Y1174" s="110" t="s">
        <v>2064</v>
      </c>
      <c r="Z1174" s="110" t="s">
        <v>3236</v>
      </c>
      <c r="AA1174" s="110" t="s">
        <v>537</v>
      </c>
      <c r="AB1174" s="110" t="s">
        <v>244</v>
      </c>
      <c r="AC1174" s="110" t="s">
        <v>538</v>
      </c>
      <c r="AD1174" s="110" t="n">
        <f aca="false">IF(OR(F1174="",Q1174="",R1174=""),"",ROUND(IF(P1174="incl.",F1174/(1+Q1174),F1174)/IF(S1174="per pack",R1174,1),2))</f>
        <v>5.49</v>
      </c>
      <c r="AE1174" s="110" t="str">
        <f aca="false">IF(AND(AC1174="yes",ISNUMBER(F1174),IF(Compare!$H$5="All mapped",TRUE(),IF(Compare!$H$5="EXACT only",J1174="EXACT",OR(J1174="EXACT",J1174="CLOSE")))),"yes","no")</f>
        <v>yes</v>
      </c>
      <c r="AF1174" s="110" t="n">
        <f aca="false">IF(ISNUMBER(H1174),COUNTIFS($B$7:$B$3000,B1174,$C$7:$C$3000,C1174,$H$7:$H$3000,"&lt;"&amp;H1174,$AH$7:$AH$3000,"yes")+COUNTIFS($B$7:B1174,B1174,$C$7:C1174,C1174,$H$7:H1174,H1174,$AH$7:AH1174,"yes"),"")</f>
        <v>4</v>
      </c>
      <c r="AG1174" s="110" t="n">
        <f aca="false">IF(ISNUMBER(I1174),COUNTIFS($B$7:$B$3000,B1174,$C$7:$C$3000,C1174,$I$7:$I$3000,"&lt;"&amp;I1174,$AI$7:$AI$3000,"yes")+COUNTIFS($B$7:B1174,B1174,$C$7:C1174,C1174,$I$7:I1174,I1174,$AI$7:AI1174,"yes"),"")</f>
        <v>4</v>
      </c>
      <c r="AH1174" s="110" t="str">
        <f aca="false">IF(ISNUMBER(H1174),"yes","no")</f>
        <v>yes</v>
      </c>
      <c r="AI1174" s="110" t="str">
        <f aca="false">IF(ISNUMBER(I1174),"yes","no")</f>
        <v>yes</v>
      </c>
      <c r="AJ1174" s="120" t="n">
        <v>46297</v>
      </c>
      <c r="AK1174" s="110"/>
    </row>
    <row r="1175" customFormat="false" ht="23.85" hidden="false" customHeight="false" outlineLevel="0" collapsed="false">
      <c r="B1175" s="36" t="s">
        <v>76</v>
      </c>
      <c r="C1175" s="98" t="s">
        <v>16</v>
      </c>
      <c r="D1175" s="98" t="s">
        <v>309</v>
      </c>
      <c r="E1175" s="110" t="s">
        <v>3778</v>
      </c>
      <c r="F1175" s="99" t="n">
        <v>17</v>
      </c>
      <c r="G1175" s="98" t="s">
        <v>244</v>
      </c>
      <c r="H1175" s="112" t="n">
        <f aca="false">IF(AND(AE1175="yes",ISNUMBER(AD1175)),AD1175,"")</f>
        <v>17</v>
      </c>
      <c r="I1175" s="95" t="n">
        <f aca="false">IF(AND(AE1175="yes",ISNUMBER(AD1175),ISNUMBER(INDEX(Sources!$G$7:$G$10,MATCH(AB1175,Sources!$B$7:$B$10,0)))),ROUND(AD1175/INDEX(Sources!$G$7:$G$10,MATCH(AB1175,Sources!$B$7:$B$10,0)),6),"")</f>
        <v>17</v>
      </c>
      <c r="J1175" s="98" t="s">
        <v>530</v>
      </c>
      <c r="K1175" s="98" t="s">
        <v>2059</v>
      </c>
      <c r="L1175" s="96"/>
      <c r="M1175" s="110" t="s">
        <v>3797</v>
      </c>
      <c r="N1175" s="117" t="s">
        <v>3780</v>
      </c>
      <c r="O1175" s="110" t="s">
        <v>2944</v>
      </c>
      <c r="P1175" s="110" t="s">
        <v>590</v>
      </c>
      <c r="Q1175" s="118" t="n">
        <v>0.19</v>
      </c>
      <c r="R1175" s="110" t="n">
        <v>1</v>
      </c>
      <c r="S1175" s="110" t="s">
        <v>632</v>
      </c>
      <c r="T1175" s="110" t="s">
        <v>530</v>
      </c>
      <c r="U1175" s="110" t="s">
        <v>2913</v>
      </c>
      <c r="V1175" s="119" t="n">
        <v>17</v>
      </c>
      <c r="W1175" s="119"/>
      <c r="X1175" s="110" t="s">
        <v>2063</v>
      </c>
      <c r="Y1175" s="110" t="s">
        <v>2064</v>
      </c>
      <c r="Z1175" s="110" t="s">
        <v>2970</v>
      </c>
      <c r="AA1175" s="110" t="s">
        <v>537</v>
      </c>
      <c r="AB1175" s="110" t="s">
        <v>244</v>
      </c>
      <c r="AC1175" s="110" t="s">
        <v>538</v>
      </c>
      <c r="AD1175" s="110" t="n">
        <f aca="false">IF(OR(F1175="",Q1175="",R1175=""),"",ROUND(IF(P1175="incl.",F1175/(1+Q1175),F1175)/IF(S1175="per pack",R1175,1),2))</f>
        <v>17</v>
      </c>
      <c r="AE1175" s="110" t="str">
        <f aca="false">IF(AND(AC1175="yes",ISNUMBER(F1175),IF(Compare!$H$5="All mapped",TRUE(),IF(Compare!$H$5="EXACT only",J1175="EXACT",OR(J1175="EXACT",J1175="CLOSE")))),"yes","no")</f>
        <v>yes</v>
      </c>
      <c r="AF1175" s="110" t="n">
        <f aca="false">IF(ISNUMBER(H1175),COUNTIFS($B$7:$B$3000,B1175,$C$7:$C$3000,C1175,$H$7:$H$3000,"&lt;"&amp;H1175,$AH$7:$AH$3000,"yes")+COUNTIFS($B$7:B1175,B1175,$C$7:C1175,C1175,$H$7:H1175,H1175,$AH$7:AH1175,"yes"),"")</f>
        <v>7</v>
      </c>
      <c r="AG1175" s="110" t="n">
        <f aca="false">IF(ISNUMBER(I1175),COUNTIFS($B$7:$B$3000,B1175,$C$7:$C$3000,C1175,$I$7:$I$3000,"&lt;"&amp;I1175,$AI$7:$AI$3000,"yes")+COUNTIFS($B$7:B1175,B1175,$C$7:C1175,C1175,$I$7:I1175,I1175,$AI$7:AI1175,"yes"),"")</f>
        <v>7</v>
      </c>
      <c r="AH1175" s="110" t="str">
        <f aca="false">IF(ISNUMBER(H1175),"yes","no")</f>
        <v>yes</v>
      </c>
      <c r="AI1175" s="110" t="str">
        <f aca="false">IF(ISNUMBER(I1175),"yes","no")</f>
        <v>yes</v>
      </c>
      <c r="AJ1175" s="120" t="n">
        <v>46297</v>
      </c>
      <c r="AK1175" s="110"/>
    </row>
    <row r="1176" customFormat="false" ht="23.85" hidden="false" customHeight="false" outlineLevel="0" collapsed="false">
      <c r="B1176" s="36" t="s">
        <v>76</v>
      </c>
      <c r="C1176" s="98" t="s">
        <v>16</v>
      </c>
      <c r="D1176" s="98" t="s">
        <v>313</v>
      </c>
      <c r="E1176" s="110" t="s">
        <v>3781</v>
      </c>
      <c r="F1176" s="99" t="n">
        <v>5.69</v>
      </c>
      <c r="G1176" s="98" t="s">
        <v>244</v>
      </c>
      <c r="H1176" s="112" t="n">
        <f aca="false">IF(AND(AE1176="yes",ISNUMBER(AD1176)),AD1176,"")</f>
        <v>4.78</v>
      </c>
      <c r="I1176" s="95" t="n">
        <f aca="false">IF(AND(AE1176="yes",ISNUMBER(AD1176),ISNUMBER(INDEX(Sources!$G$7:$G$10,MATCH(AB1176,Sources!$B$7:$B$10,0)))),ROUND(AD1176/INDEX(Sources!$G$7:$G$10,MATCH(AB1176,Sources!$B$7:$B$10,0)),6),"")</f>
        <v>4.78</v>
      </c>
      <c r="J1176" s="98" t="s">
        <v>530</v>
      </c>
      <c r="K1176" s="98" t="s">
        <v>2059</v>
      </c>
      <c r="L1176" s="96"/>
      <c r="M1176" s="110" t="s">
        <v>3798</v>
      </c>
      <c r="N1176" s="117" t="s">
        <v>3799</v>
      </c>
      <c r="O1176" s="110" t="s">
        <v>598</v>
      </c>
      <c r="P1176" s="110" t="s">
        <v>265</v>
      </c>
      <c r="Q1176" s="118" t="n">
        <v>0.19</v>
      </c>
      <c r="R1176" s="110" t="n">
        <v>1</v>
      </c>
      <c r="S1176" s="110" t="s">
        <v>632</v>
      </c>
      <c r="T1176" s="110" t="s">
        <v>530</v>
      </c>
      <c r="U1176" s="110" t="s">
        <v>2918</v>
      </c>
      <c r="V1176" s="119" t="n">
        <v>4.78</v>
      </c>
      <c r="W1176" s="119"/>
      <c r="X1176" s="110" t="s">
        <v>2063</v>
      </c>
      <c r="Y1176" s="110" t="s">
        <v>2064</v>
      </c>
      <c r="Z1176" s="110" t="s">
        <v>3243</v>
      </c>
      <c r="AA1176" s="110" t="s">
        <v>537</v>
      </c>
      <c r="AB1176" s="110" t="s">
        <v>244</v>
      </c>
      <c r="AC1176" s="110" t="s">
        <v>538</v>
      </c>
      <c r="AD1176" s="110" t="n">
        <f aca="false">IF(OR(F1176="",Q1176="",R1176=""),"",ROUND(IF(P1176="incl.",F1176/(1+Q1176),F1176)/IF(S1176="per pack",R1176,1),2))</f>
        <v>4.78</v>
      </c>
      <c r="AE1176" s="110" t="str">
        <f aca="false">IF(AND(AC1176="yes",ISNUMBER(F1176),IF(Compare!$H$5="All mapped",TRUE(),IF(Compare!$H$5="EXACT only",J1176="EXACT",OR(J1176="EXACT",J1176="CLOSE")))),"yes","no")</f>
        <v>yes</v>
      </c>
      <c r="AF1176" s="110" t="n">
        <f aca="false">IF(ISNUMBER(H1176),COUNTIFS($B$7:$B$3000,B1176,$C$7:$C$3000,C1176,$H$7:$H$3000,"&lt;"&amp;H1176,$AH$7:$AH$3000,"yes")+COUNTIFS($B$7:B1176,B1176,$C$7:C1176,C1176,$H$7:H1176,H1176,$AH$7:AH1176,"yes"),"")</f>
        <v>3</v>
      </c>
      <c r="AG1176" s="110" t="n">
        <f aca="false">IF(ISNUMBER(I1176),COUNTIFS($B$7:$B$3000,B1176,$C$7:$C$3000,C1176,$I$7:$I$3000,"&lt;"&amp;I1176,$AI$7:$AI$3000,"yes")+COUNTIFS($B$7:B1176,B1176,$C$7:C1176,C1176,$I$7:I1176,I1176,$AI$7:AI1176,"yes"),"")</f>
        <v>3</v>
      </c>
      <c r="AH1176" s="110" t="str">
        <f aca="false">IF(ISNUMBER(H1176),"yes","no")</f>
        <v>yes</v>
      </c>
      <c r="AI1176" s="110" t="str">
        <f aca="false">IF(ISNUMBER(I1176),"yes","no")</f>
        <v>yes</v>
      </c>
      <c r="AJ1176" s="120" t="n">
        <v>46297</v>
      </c>
      <c r="AK1176" s="110"/>
    </row>
    <row r="1177" customFormat="false" ht="35.05" hidden="false" customHeight="false" outlineLevel="0" collapsed="false">
      <c r="B1177" s="36" t="s">
        <v>76</v>
      </c>
      <c r="C1177" s="98" t="s">
        <v>16</v>
      </c>
      <c r="D1177" s="98" t="s">
        <v>321</v>
      </c>
      <c r="E1177" s="110" t="s">
        <v>3800</v>
      </c>
      <c r="F1177" s="99" t="n">
        <v>5.5</v>
      </c>
      <c r="G1177" s="98" t="s">
        <v>244</v>
      </c>
      <c r="H1177" s="112" t="n">
        <f aca="false">IF(AND(AE1177="yes",ISNUMBER(AD1177)),AD1177,"")</f>
        <v>5.5</v>
      </c>
      <c r="I1177" s="95" t="n">
        <f aca="false">IF(AND(AE1177="yes",ISNUMBER(AD1177),ISNUMBER(INDEX(Sources!$G$7:$G$10,MATCH(AB1177,Sources!$B$7:$B$10,0)))),ROUND(AD1177/INDEX(Sources!$G$7:$G$10,MATCH(AB1177,Sources!$B$7:$B$10,0)),6),"")</f>
        <v>5.5</v>
      </c>
      <c r="J1177" s="98" t="s">
        <v>530</v>
      </c>
      <c r="K1177" s="98" t="s">
        <v>2059</v>
      </c>
      <c r="L1177" s="96"/>
      <c r="M1177" s="110" t="s">
        <v>3801</v>
      </c>
      <c r="N1177" s="117" t="s">
        <v>3802</v>
      </c>
      <c r="O1177" s="110" t="s">
        <v>2977</v>
      </c>
      <c r="P1177" s="110" t="s">
        <v>590</v>
      </c>
      <c r="Q1177" s="118" t="n">
        <v>0.19</v>
      </c>
      <c r="R1177" s="110" t="n">
        <v>1</v>
      </c>
      <c r="S1177" s="110" t="s">
        <v>632</v>
      </c>
      <c r="T1177" s="110" t="s">
        <v>530</v>
      </c>
      <c r="U1177" s="110" t="s">
        <v>2913</v>
      </c>
      <c r="V1177" s="119" t="n">
        <v>5.5</v>
      </c>
      <c r="W1177" s="119"/>
      <c r="X1177" s="110" t="s">
        <v>2063</v>
      </c>
      <c r="Y1177" s="110" t="s">
        <v>2064</v>
      </c>
      <c r="Z1177" s="110" t="s">
        <v>2978</v>
      </c>
      <c r="AA1177" s="110" t="s">
        <v>537</v>
      </c>
      <c r="AB1177" s="110" t="s">
        <v>244</v>
      </c>
      <c r="AC1177" s="110" t="s">
        <v>538</v>
      </c>
      <c r="AD1177" s="110" t="n">
        <f aca="false">IF(OR(F1177="",Q1177="",R1177=""),"",ROUND(IF(P1177="incl.",F1177/(1+Q1177),F1177)/IF(S1177="per pack",R1177,1),2))</f>
        <v>5.5</v>
      </c>
      <c r="AE1177" s="110" t="str">
        <f aca="false">IF(AND(AC1177="yes",ISNUMBER(F1177),IF(Compare!$H$5="All mapped",TRUE(),IF(Compare!$H$5="EXACT only",J1177="EXACT",OR(J1177="EXACT",J1177="CLOSE")))),"yes","no")</f>
        <v>yes</v>
      </c>
      <c r="AF1177" s="110" t="n">
        <f aca="false">IF(ISNUMBER(H1177),COUNTIFS($B$7:$B$3000,B1177,$C$7:$C$3000,C1177,$H$7:$H$3000,"&lt;"&amp;H1177,$AH$7:$AH$3000,"yes")+COUNTIFS($B$7:B1177,B1177,$C$7:C1177,C1177,$H$7:H1177,H1177,$AH$7:AH1177,"yes"),"")</f>
        <v>5</v>
      </c>
      <c r="AG1177" s="110" t="n">
        <f aca="false">IF(ISNUMBER(I1177),COUNTIFS($B$7:$B$3000,B1177,$C$7:$C$3000,C1177,$I$7:$I$3000,"&lt;"&amp;I1177,$AI$7:$AI$3000,"yes")+COUNTIFS($B$7:B1177,B1177,$C$7:C1177,C1177,$I$7:I1177,I1177,$AI$7:AI1177,"yes"),"")</f>
        <v>5</v>
      </c>
      <c r="AH1177" s="110" t="str">
        <f aca="false">IF(ISNUMBER(H1177),"yes","no")</f>
        <v>yes</v>
      </c>
      <c r="AI1177" s="110" t="str">
        <f aca="false">IF(ISNUMBER(I1177),"yes","no")</f>
        <v>yes</v>
      </c>
      <c r="AJ1177" s="120" t="n">
        <v>46297</v>
      </c>
      <c r="AK1177" s="110"/>
    </row>
    <row r="1178" customFormat="false" ht="35.05" hidden="false" customHeight="false" outlineLevel="0" collapsed="false">
      <c r="B1178" s="36" t="s">
        <v>76</v>
      </c>
      <c r="C1178" s="98" t="s">
        <v>16</v>
      </c>
      <c r="D1178" s="98" t="s">
        <v>329</v>
      </c>
      <c r="E1178" s="110" t="s">
        <v>3781</v>
      </c>
      <c r="F1178" s="99" t="n">
        <v>3.12</v>
      </c>
      <c r="G1178" s="98" t="s">
        <v>244</v>
      </c>
      <c r="H1178" s="112" t="n">
        <f aca="false">IF(AND(AE1178="yes",ISNUMBER(AD1178)),AD1178,"")</f>
        <v>3.12</v>
      </c>
      <c r="I1178" s="95" t="n">
        <f aca="false">IF(AND(AE1178="yes",ISNUMBER(AD1178),ISNUMBER(INDEX(Sources!$G$7:$G$10,MATCH(AB1178,Sources!$B$7:$B$10,0)))),ROUND(AD1178/INDEX(Sources!$G$7:$G$10,MATCH(AB1178,Sources!$B$7:$B$10,0)),6),"")</f>
        <v>3.12</v>
      </c>
      <c r="J1178" s="98" t="s">
        <v>530</v>
      </c>
      <c r="K1178" s="98" t="s">
        <v>2059</v>
      </c>
      <c r="L1178" s="96"/>
      <c r="M1178" s="110" t="s">
        <v>3803</v>
      </c>
      <c r="N1178" s="117" t="s">
        <v>3804</v>
      </c>
      <c r="O1178" s="110" t="s">
        <v>598</v>
      </c>
      <c r="P1178" s="110" t="s">
        <v>590</v>
      </c>
      <c r="Q1178" s="118" t="n">
        <v>0.19</v>
      </c>
      <c r="R1178" s="110" t="n">
        <v>1</v>
      </c>
      <c r="S1178" s="110" t="s">
        <v>632</v>
      </c>
      <c r="T1178" s="110" t="s">
        <v>530</v>
      </c>
      <c r="U1178" s="110" t="s">
        <v>2913</v>
      </c>
      <c r="V1178" s="119" t="n">
        <v>3.12</v>
      </c>
      <c r="W1178" s="119"/>
      <c r="X1178" s="110" t="s">
        <v>2063</v>
      </c>
      <c r="Y1178" s="110" t="s">
        <v>2064</v>
      </c>
      <c r="Z1178" s="110" t="s">
        <v>2624</v>
      </c>
      <c r="AA1178" s="110" t="s">
        <v>537</v>
      </c>
      <c r="AB1178" s="110" t="s">
        <v>244</v>
      </c>
      <c r="AC1178" s="110" t="s">
        <v>538</v>
      </c>
      <c r="AD1178" s="110" t="n">
        <f aca="false">IF(OR(F1178="",Q1178="",R1178=""),"",ROUND(IF(P1178="incl.",F1178/(1+Q1178),F1178)/IF(S1178="per pack",R1178,1),2))</f>
        <v>3.12</v>
      </c>
      <c r="AE1178" s="110" t="str">
        <f aca="false">IF(AND(AC1178="yes",ISNUMBER(F1178),IF(Compare!$H$5="All mapped",TRUE(),IF(Compare!$H$5="EXACT only",J1178="EXACT",OR(J1178="EXACT",J1178="CLOSE")))),"yes","no")</f>
        <v>yes</v>
      </c>
      <c r="AF1178" s="110" t="n">
        <f aca="false">IF(ISNUMBER(H1178),COUNTIFS($B$7:$B$3000,B1178,$C$7:$C$3000,C1178,$H$7:$H$3000,"&lt;"&amp;H1178,$AH$7:$AH$3000,"yes")+COUNTIFS($B$7:B1178,B1178,$C$7:C1178,C1178,$H$7:H1178,H1178,$AH$7:AH1178,"yes"),"")</f>
        <v>1</v>
      </c>
      <c r="AG1178" s="110" t="n">
        <f aca="false">IF(ISNUMBER(I1178),COUNTIFS($B$7:$B$3000,B1178,$C$7:$C$3000,C1178,$I$7:$I$3000,"&lt;"&amp;I1178,$AI$7:$AI$3000,"yes")+COUNTIFS($B$7:B1178,B1178,$C$7:C1178,C1178,$I$7:I1178,I1178,$AI$7:AI1178,"yes"),"")</f>
        <v>1</v>
      </c>
      <c r="AH1178" s="110" t="str">
        <f aca="false">IF(ISNUMBER(H1178),"yes","no")</f>
        <v>yes</v>
      </c>
      <c r="AI1178" s="110" t="str">
        <f aca="false">IF(ISNUMBER(I1178),"yes","no")</f>
        <v>yes</v>
      </c>
      <c r="AJ1178" s="120" t="n">
        <v>46297</v>
      </c>
      <c r="AK1178" s="110"/>
    </row>
    <row r="1179" customFormat="false" ht="23.85" hidden="false" customHeight="false" outlineLevel="0" collapsed="false">
      <c r="B1179" s="36" t="s">
        <v>76</v>
      </c>
      <c r="C1179" s="98" t="s">
        <v>17</v>
      </c>
      <c r="D1179" s="98" t="s">
        <v>338</v>
      </c>
      <c r="E1179" s="110" t="s">
        <v>3805</v>
      </c>
      <c r="F1179" s="99" t="n">
        <v>147</v>
      </c>
      <c r="G1179" s="98" t="s">
        <v>333</v>
      </c>
      <c r="H1179" s="112" t="n">
        <f aca="false">IF(AND(AE1179="yes",ISNUMBER(AD1179)),AD1179,"")</f>
        <v>147</v>
      </c>
      <c r="I1179" s="95" t="n">
        <f aca="false">IF(AND(AE1179="yes",ISNUMBER(AD1179),ISNUMBER(INDEX(Sources!$G$7:$G$10,MATCH(AB1179,Sources!$B$7:$B$10,0)))),ROUND(AD1179/INDEX(Sources!$G$7:$G$10,MATCH(AB1179,Sources!$B$7:$B$10,0)),6),"")</f>
        <v>6.018765</v>
      </c>
      <c r="J1179" s="98" t="s">
        <v>530</v>
      </c>
      <c r="K1179" s="98" t="s">
        <v>2059</v>
      </c>
      <c r="L1179" s="96"/>
      <c r="M1179" s="110" t="s">
        <v>3806</v>
      </c>
      <c r="N1179" s="117" t="s">
        <v>3807</v>
      </c>
      <c r="O1179" s="110" t="s">
        <v>388</v>
      </c>
      <c r="P1179" s="110" t="s">
        <v>590</v>
      </c>
      <c r="Q1179" s="118" t="n">
        <v>0.21</v>
      </c>
      <c r="R1179" s="110" t="n">
        <v>1</v>
      </c>
      <c r="S1179" s="110" t="s">
        <v>632</v>
      </c>
      <c r="T1179" s="110" t="s">
        <v>530</v>
      </c>
      <c r="U1179" s="110" t="s">
        <v>2913</v>
      </c>
      <c r="V1179" s="119" t="n">
        <v>147</v>
      </c>
      <c r="W1179" s="119"/>
      <c r="X1179" s="110" t="s">
        <v>2063</v>
      </c>
      <c r="Y1179" s="110" t="s">
        <v>2064</v>
      </c>
      <c r="Z1179" s="110" t="s">
        <v>3330</v>
      </c>
      <c r="AA1179" s="110" t="s">
        <v>537</v>
      </c>
      <c r="AB1179" s="110" t="s">
        <v>333</v>
      </c>
      <c r="AC1179" s="110" t="s">
        <v>538</v>
      </c>
      <c r="AD1179" s="110" t="n">
        <f aca="false">IF(OR(F1179="",Q1179="",R1179=""),"",ROUND(IF(P1179="incl.",F1179/(1+Q1179),F1179)/IF(S1179="per pack",R1179,1),2))</f>
        <v>147</v>
      </c>
      <c r="AE1179" s="110" t="str">
        <f aca="false">IF(AND(AC1179="yes",ISNUMBER(F1179),IF(Compare!$H$5="All mapped",TRUE(),IF(Compare!$H$5="EXACT only",J1179="EXACT",OR(J1179="EXACT",J1179="CLOSE")))),"yes","no")</f>
        <v>yes</v>
      </c>
      <c r="AF1179" s="110" t="n">
        <f aca="false">IF(ISNUMBER(H1179),COUNTIFS($B$7:$B$3000,B1179,$C$7:$C$3000,C1179,$H$7:$H$3000,"&lt;"&amp;H1179,$AH$7:$AH$3000,"yes")+COUNTIFS($B$7:B1179,B1179,$C$7:C1179,C1179,$H$7:H1179,H1179,$AH$7:AH1179,"yes"),"")</f>
        <v>3</v>
      </c>
      <c r="AG1179" s="110" t="n">
        <f aca="false">IF(ISNUMBER(I1179),COUNTIFS($B$7:$B$3000,B1179,$C$7:$C$3000,C1179,$I$7:$I$3000,"&lt;"&amp;I1179,$AI$7:$AI$3000,"yes")+COUNTIFS($B$7:B1179,B1179,$C$7:C1179,C1179,$I$7:I1179,I1179,$AI$7:AI1179,"yes"),"")</f>
        <v>3</v>
      </c>
      <c r="AH1179" s="110" t="str">
        <f aca="false">IF(ISNUMBER(H1179),"yes","no")</f>
        <v>yes</v>
      </c>
      <c r="AI1179" s="110" t="str">
        <f aca="false">IF(ISNUMBER(I1179),"yes","no")</f>
        <v>yes</v>
      </c>
      <c r="AJ1179" s="120" t="n">
        <v>46297</v>
      </c>
      <c r="AK1179" s="110"/>
    </row>
    <row r="1180" customFormat="false" ht="35.05" hidden="false" customHeight="false" outlineLevel="0" collapsed="false">
      <c r="B1180" s="36" t="s">
        <v>76</v>
      </c>
      <c r="C1180" s="98" t="s">
        <v>17</v>
      </c>
      <c r="D1180" s="98" t="s">
        <v>342</v>
      </c>
      <c r="E1180" s="110" t="s">
        <v>3808</v>
      </c>
      <c r="F1180" s="99" t="n">
        <v>131</v>
      </c>
      <c r="G1180" s="98" t="s">
        <v>333</v>
      </c>
      <c r="H1180" s="112" t="n">
        <f aca="false">IF(AND(AE1180="yes",ISNUMBER(AD1180)),AD1180,"")</f>
        <v>131</v>
      </c>
      <c r="I1180" s="95" t="n">
        <f aca="false">IF(AND(AE1180="yes",ISNUMBER(AD1180),ISNUMBER(INDEX(Sources!$G$7:$G$10,MATCH(AB1180,Sources!$B$7:$B$10,0)))),ROUND(AD1180/INDEX(Sources!$G$7:$G$10,MATCH(AB1180,Sources!$B$7:$B$10,0)),6),"")</f>
        <v>5.363661</v>
      </c>
      <c r="J1180" s="98" t="s">
        <v>530</v>
      </c>
      <c r="K1180" s="98" t="s">
        <v>2059</v>
      </c>
      <c r="L1180" s="96"/>
      <c r="M1180" s="110" t="s">
        <v>3809</v>
      </c>
      <c r="N1180" s="117" t="s">
        <v>3810</v>
      </c>
      <c r="O1180" s="110" t="s">
        <v>1138</v>
      </c>
      <c r="P1180" s="110" t="s">
        <v>590</v>
      </c>
      <c r="Q1180" s="118" t="n">
        <v>0.21</v>
      </c>
      <c r="R1180" s="110" t="n">
        <v>1</v>
      </c>
      <c r="S1180" s="110" t="s">
        <v>632</v>
      </c>
      <c r="T1180" s="110" t="s">
        <v>530</v>
      </c>
      <c r="U1180" s="110" t="s">
        <v>2913</v>
      </c>
      <c r="V1180" s="119" t="n">
        <v>131</v>
      </c>
      <c r="W1180" s="119"/>
      <c r="X1180" s="110" t="s">
        <v>2063</v>
      </c>
      <c r="Y1180" s="110" t="s">
        <v>2064</v>
      </c>
      <c r="Z1180" s="110" t="s">
        <v>2989</v>
      </c>
      <c r="AA1180" s="110" t="s">
        <v>537</v>
      </c>
      <c r="AB1180" s="110" t="s">
        <v>333</v>
      </c>
      <c r="AC1180" s="110" t="s">
        <v>538</v>
      </c>
      <c r="AD1180" s="110" t="n">
        <f aca="false">IF(OR(F1180="",Q1180="",R1180=""),"",ROUND(IF(P1180="incl.",F1180/(1+Q1180),F1180)/IF(S1180="per pack",R1180,1),2))</f>
        <v>131</v>
      </c>
      <c r="AE1180" s="110" t="str">
        <f aca="false">IF(AND(AC1180="yes",ISNUMBER(F1180),IF(Compare!$H$5="All mapped",TRUE(),IF(Compare!$H$5="EXACT only",J1180="EXACT",OR(J1180="EXACT",J1180="CLOSE")))),"yes","no")</f>
        <v>yes</v>
      </c>
      <c r="AF1180" s="110" t="n">
        <f aca="false">IF(ISNUMBER(H1180),COUNTIFS($B$7:$B$3000,B1180,$C$7:$C$3000,C1180,$H$7:$H$3000,"&lt;"&amp;H1180,$AH$7:$AH$3000,"yes")+COUNTIFS($B$7:B1180,B1180,$C$7:C1180,C1180,$H$7:H1180,H1180,$AH$7:AH1180,"yes"),"")</f>
        <v>2</v>
      </c>
      <c r="AG1180" s="110" t="n">
        <f aca="false">IF(ISNUMBER(I1180),COUNTIFS($B$7:$B$3000,B1180,$C$7:$C$3000,C1180,$I$7:$I$3000,"&lt;"&amp;I1180,$AI$7:$AI$3000,"yes")+COUNTIFS($B$7:B1180,B1180,$C$7:C1180,C1180,$I$7:I1180,I1180,$AI$7:AI1180,"yes"),"")</f>
        <v>2</v>
      </c>
      <c r="AH1180" s="110" t="str">
        <f aca="false">IF(ISNUMBER(H1180),"yes","no")</f>
        <v>yes</v>
      </c>
      <c r="AI1180" s="110" t="str">
        <f aca="false">IF(ISNUMBER(I1180),"yes","no")</f>
        <v>yes</v>
      </c>
      <c r="AJ1180" s="120" t="n">
        <v>46297</v>
      </c>
      <c r="AK1180" s="110"/>
    </row>
    <row r="1181" customFormat="false" ht="46.25" hidden="false" customHeight="false" outlineLevel="0" collapsed="false">
      <c r="B1181" s="36" t="s">
        <v>76</v>
      </c>
      <c r="C1181" s="98" t="s">
        <v>17</v>
      </c>
      <c r="D1181" s="98" t="s">
        <v>346</v>
      </c>
      <c r="E1181" s="110" t="s">
        <v>3811</v>
      </c>
      <c r="F1181" s="99" t="n">
        <v>243</v>
      </c>
      <c r="G1181" s="98" t="s">
        <v>333</v>
      </c>
      <c r="H1181" s="112" t="n">
        <f aca="false">IF(AND(AE1181="yes",ISNUMBER(AD1181)),AD1181,"")</f>
        <v>243</v>
      </c>
      <c r="I1181" s="95" t="n">
        <f aca="false">IF(AND(AE1181="yes",ISNUMBER(AD1181),ISNUMBER(INDEX(Sources!$G$7:$G$10,MATCH(AB1181,Sources!$B$7:$B$10,0)))),ROUND(AD1181/INDEX(Sources!$G$7:$G$10,MATCH(AB1181,Sources!$B$7:$B$10,0)),6),"")</f>
        <v>9.949387</v>
      </c>
      <c r="J1181" s="98" t="s">
        <v>530</v>
      </c>
      <c r="K1181" s="98" t="s">
        <v>2059</v>
      </c>
      <c r="L1181" s="96"/>
      <c r="M1181" s="110" t="s">
        <v>3812</v>
      </c>
      <c r="N1181" s="117" t="s">
        <v>3813</v>
      </c>
      <c r="O1181" s="110" t="s">
        <v>565</v>
      </c>
      <c r="P1181" s="110" t="s">
        <v>590</v>
      </c>
      <c r="Q1181" s="118" t="n">
        <v>0.21</v>
      </c>
      <c r="R1181" s="110" t="n">
        <v>1</v>
      </c>
      <c r="S1181" s="110" t="s">
        <v>632</v>
      </c>
      <c r="T1181" s="110" t="s">
        <v>530</v>
      </c>
      <c r="U1181" s="110" t="s">
        <v>2913</v>
      </c>
      <c r="V1181" s="119" t="n">
        <v>243</v>
      </c>
      <c r="W1181" s="119"/>
      <c r="X1181" s="110" t="s">
        <v>2063</v>
      </c>
      <c r="Y1181" s="110" t="s">
        <v>2064</v>
      </c>
      <c r="Z1181" s="110" t="s">
        <v>2993</v>
      </c>
      <c r="AA1181" s="110" t="s">
        <v>537</v>
      </c>
      <c r="AB1181" s="110" t="s">
        <v>333</v>
      </c>
      <c r="AC1181" s="110" t="s">
        <v>538</v>
      </c>
      <c r="AD1181" s="110" t="n">
        <f aca="false">IF(OR(F1181="",Q1181="",R1181=""),"",ROUND(IF(P1181="incl.",F1181/(1+Q1181),F1181)/IF(S1181="per pack",R1181,1),2))</f>
        <v>243</v>
      </c>
      <c r="AE1181" s="110" t="str">
        <f aca="false">IF(AND(AC1181="yes",ISNUMBER(F1181),IF(Compare!$H$5="All mapped",TRUE(),IF(Compare!$H$5="EXACT only",J1181="EXACT",OR(J1181="EXACT",J1181="CLOSE")))),"yes","no")</f>
        <v>yes</v>
      </c>
      <c r="AF1181" s="110" t="n">
        <f aca="false">IF(ISNUMBER(H1181),COUNTIFS($B$7:$B$3000,B1181,$C$7:$C$3000,C1181,$H$7:$H$3000,"&lt;"&amp;H1181,$AH$7:$AH$3000,"yes")+COUNTIFS($B$7:B1181,B1181,$C$7:C1181,C1181,$H$7:H1181,H1181,$AH$7:AH1181,"yes"),"")</f>
        <v>5</v>
      </c>
      <c r="AG1181" s="110" t="n">
        <f aca="false">IF(ISNUMBER(I1181),COUNTIFS($B$7:$B$3000,B1181,$C$7:$C$3000,C1181,$I$7:$I$3000,"&lt;"&amp;I1181,$AI$7:$AI$3000,"yes")+COUNTIFS($B$7:B1181,B1181,$C$7:C1181,C1181,$I$7:I1181,I1181,$AI$7:AI1181,"yes"),"")</f>
        <v>5</v>
      </c>
      <c r="AH1181" s="110" t="str">
        <f aca="false">IF(ISNUMBER(H1181),"yes","no")</f>
        <v>yes</v>
      </c>
      <c r="AI1181" s="110" t="str">
        <f aca="false">IF(ISNUMBER(I1181),"yes","no")</f>
        <v>yes</v>
      </c>
      <c r="AJ1181" s="120" t="n">
        <v>46297</v>
      </c>
      <c r="AK1181" s="110"/>
    </row>
    <row r="1182" customFormat="false" ht="35.05" hidden="false" customHeight="false" outlineLevel="0" collapsed="false">
      <c r="B1182" s="36" t="s">
        <v>76</v>
      </c>
      <c r="C1182" s="98" t="s">
        <v>17</v>
      </c>
      <c r="D1182" s="98" t="s">
        <v>350</v>
      </c>
      <c r="E1182" s="110" t="s">
        <v>3814</v>
      </c>
      <c r="F1182" s="99" t="n">
        <v>116</v>
      </c>
      <c r="G1182" s="98" t="s">
        <v>333</v>
      </c>
      <c r="H1182" s="112" t="n">
        <f aca="false">IF(AND(AE1182="yes",ISNUMBER(AD1182)),AD1182,"")</f>
        <v>95.87</v>
      </c>
      <c r="I1182" s="95" t="n">
        <f aca="false">IF(AND(AE1182="yes",ISNUMBER(AD1182),ISNUMBER(INDEX(Sources!$G$7:$G$10,MATCH(AB1182,Sources!$B$7:$B$10,0)))),ROUND(AD1182/INDEX(Sources!$G$7:$G$10,MATCH(AB1182,Sources!$B$7:$B$10,0)),6),"")</f>
        <v>3.925299</v>
      </c>
      <c r="J1182" s="98" t="s">
        <v>530</v>
      </c>
      <c r="K1182" s="98" t="s">
        <v>2059</v>
      </c>
      <c r="L1182" s="96"/>
      <c r="M1182" s="110" t="s">
        <v>3815</v>
      </c>
      <c r="N1182" s="117" t="s">
        <v>3816</v>
      </c>
      <c r="O1182" s="110" t="s">
        <v>2997</v>
      </c>
      <c r="P1182" s="110" t="s">
        <v>265</v>
      </c>
      <c r="Q1182" s="118" t="n">
        <v>0.21</v>
      </c>
      <c r="R1182" s="110" t="n">
        <v>1</v>
      </c>
      <c r="S1182" s="110" t="s">
        <v>632</v>
      </c>
      <c r="T1182" s="110" t="s">
        <v>530</v>
      </c>
      <c r="U1182" s="110" t="s">
        <v>2918</v>
      </c>
      <c r="V1182" s="119" t="n">
        <v>95.87</v>
      </c>
      <c r="W1182" s="119"/>
      <c r="X1182" s="110" t="s">
        <v>2063</v>
      </c>
      <c r="Y1182" s="110" t="s">
        <v>2064</v>
      </c>
      <c r="Z1182" s="110" t="s">
        <v>2344</v>
      </c>
      <c r="AA1182" s="110" t="s">
        <v>537</v>
      </c>
      <c r="AB1182" s="110" t="s">
        <v>333</v>
      </c>
      <c r="AC1182" s="110" t="s">
        <v>538</v>
      </c>
      <c r="AD1182" s="110" t="n">
        <f aca="false">IF(OR(F1182="",Q1182="",R1182=""),"",ROUND(IF(P1182="incl.",F1182/(1+Q1182),F1182)/IF(S1182="per pack",R1182,1),2))</f>
        <v>95.87</v>
      </c>
      <c r="AE1182" s="110" t="str">
        <f aca="false">IF(AND(AC1182="yes",ISNUMBER(F1182),IF(Compare!$H$5="All mapped",TRUE(),IF(Compare!$H$5="EXACT only",J1182="EXACT",OR(J1182="EXACT",J1182="CLOSE")))),"yes","no")</f>
        <v>yes</v>
      </c>
      <c r="AF1182" s="110" t="n">
        <f aca="false">IF(ISNUMBER(H1182),COUNTIFS($B$7:$B$3000,B1182,$C$7:$C$3000,C1182,$H$7:$H$3000,"&lt;"&amp;H1182,$AH$7:$AH$3000,"yes")+COUNTIFS($B$7:B1182,B1182,$C$7:C1182,C1182,$H$7:H1182,H1182,$AH$7:AH1182,"yes"),"")</f>
        <v>1</v>
      </c>
      <c r="AG1182" s="110" t="n">
        <f aca="false">IF(ISNUMBER(I1182),COUNTIFS($B$7:$B$3000,B1182,$C$7:$C$3000,C1182,$I$7:$I$3000,"&lt;"&amp;I1182,$AI$7:$AI$3000,"yes")+COUNTIFS($B$7:B1182,B1182,$C$7:C1182,C1182,$I$7:I1182,I1182,$AI$7:AI1182,"yes"),"")</f>
        <v>1</v>
      </c>
      <c r="AH1182" s="110" t="str">
        <f aca="false">IF(ISNUMBER(H1182),"yes","no")</f>
        <v>yes</v>
      </c>
      <c r="AI1182" s="110" t="str">
        <f aca="false">IF(ISNUMBER(I1182),"yes","no")</f>
        <v>yes</v>
      </c>
      <c r="AJ1182" s="120" t="n">
        <v>46297</v>
      </c>
      <c r="AK1182" s="110"/>
    </row>
    <row r="1183" customFormat="false" ht="23.85" hidden="false" customHeight="false" outlineLevel="0" collapsed="false">
      <c r="B1183" s="36" t="s">
        <v>76</v>
      </c>
      <c r="C1183" s="98" t="s">
        <v>17</v>
      </c>
      <c r="D1183" s="98" t="s">
        <v>361</v>
      </c>
      <c r="E1183" s="110" t="s">
        <v>3817</v>
      </c>
      <c r="F1183" s="99" t="n">
        <v>189</v>
      </c>
      <c r="G1183" s="98" t="s">
        <v>333</v>
      </c>
      <c r="H1183" s="112" t="n">
        <f aca="false">IF(AND(AE1183="yes",ISNUMBER(AD1183)),AD1183,"")</f>
        <v>189</v>
      </c>
      <c r="I1183" s="95" t="n">
        <f aca="false">IF(AND(AE1183="yes",ISNUMBER(AD1183),ISNUMBER(INDEX(Sources!$G$7:$G$10,MATCH(AB1183,Sources!$B$7:$B$10,0)))),ROUND(AD1183/INDEX(Sources!$G$7:$G$10,MATCH(AB1183,Sources!$B$7:$B$10,0)),6),"")</f>
        <v>7.738412</v>
      </c>
      <c r="J1183" s="98" t="s">
        <v>530</v>
      </c>
      <c r="K1183" s="98" t="s">
        <v>2059</v>
      </c>
      <c r="L1183" s="96"/>
      <c r="M1183" s="110" t="s">
        <v>3818</v>
      </c>
      <c r="N1183" s="117" t="s">
        <v>3819</v>
      </c>
      <c r="O1183" s="110" t="s">
        <v>642</v>
      </c>
      <c r="P1183" s="110" t="s">
        <v>590</v>
      </c>
      <c r="Q1183" s="118" t="n">
        <v>0.21</v>
      </c>
      <c r="R1183" s="110" t="n">
        <v>1</v>
      </c>
      <c r="S1183" s="110" t="s">
        <v>632</v>
      </c>
      <c r="T1183" s="110" t="s">
        <v>530</v>
      </c>
      <c r="U1183" s="110" t="s">
        <v>2913</v>
      </c>
      <c r="V1183" s="119" t="n">
        <v>189</v>
      </c>
      <c r="W1183" s="119"/>
      <c r="X1183" s="110" t="s">
        <v>2063</v>
      </c>
      <c r="Y1183" s="110" t="s">
        <v>2064</v>
      </c>
      <c r="Z1183" s="110" t="s">
        <v>3820</v>
      </c>
      <c r="AA1183" s="110" t="s">
        <v>537</v>
      </c>
      <c r="AB1183" s="110" t="s">
        <v>333</v>
      </c>
      <c r="AC1183" s="110" t="s">
        <v>538</v>
      </c>
      <c r="AD1183" s="110" t="n">
        <f aca="false">IF(OR(F1183="",Q1183="",R1183=""),"",ROUND(IF(P1183="incl.",F1183/(1+Q1183),F1183)/IF(S1183="per pack",R1183,1),2))</f>
        <v>189</v>
      </c>
      <c r="AE1183" s="110" t="str">
        <f aca="false">IF(AND(AC1183="yes",ISNUMBER(F1183),IF(Compare!$H$5="All mapped",TRUE(),IF(Compare!$H$5="EXACT only",J1183="EXACT",OR(J1183="EXACT",J1183="CLOSE")))),"yes","no")</f>
        <v>yes</v>
      </c>
      <c r="AF1183" s="110" t="n">
        <f aca="false">IF(ISNUMBER(H1183),COUNTIFS($B$7:$B$3000,B1183,$C$7:$C$3000,C1183,$H$7:$H$3000,"&lt;"&amp;H1183,$AH$7:$AH$3000,"yes")+COUNTIFS($B$7:B1183,B1183,$C$7:C1183,C1183,$H$7:H1183,H1183,$AH$7:AH1183,"yes"),"")</f>
        <v>4</v>
      </c>
      <c r="AG1183" s="110" t="n">
        <f aca="false">IF(ISNUMBER(I1183),COUNTIFS($B$7:$B$3000,B1183,$C$7:$C$3000,C1183,$I$7:$I$3000,"&lt;"&amp;I1183,$AI$7:$AI$3000,"yes")+COUNTIFS($B$7:B1183,B1183,$C$7:C1183,C1183,$I$7:I1183,I1183,$AI$7:AI1183,"yes"),"")</f>
        <v>4</v>
      </c>
      <c r="AH1183" s="110" t="str">
        <f aca="false">IF(ISNUMBER(H1183),"yes","no")</f>
        <v>yes</v>
      </c>
      <c r="AI1183" s="110" t="str">
        <f aca="false">IF(ISNUMBER(I1183),"yes","no")</f>
        <v>yes</v>
      </c>
      <c r="AJ1183" s="120" t="n">
        <v>46297</v>
      </c>
      <c r="AK1183" s="110"/>
    </row>
    <row r="1184" customFormat="false" ht="23.85" hidden="false" customHeight="false" outlineLevel="0" collapsed="false">
      <c r="B1184" s="36" t="s">
        <v>76</v>
      </c>
      <c r="C1184" s="98" t="s">
        <v>18</v>
      </c>
      <c r="D1184" s="98" t="s">
        <v>3002</v>
      </c>
      <c r="E1184" s="110" t="s">
        <v>3821</v>
      </c>
      <c r="F1184" s="99" t="n">
        <v>6.3</v>
      </c>
      <c r="G1184" s="98" t="s">
        <v>244</v>
      </c>
      <c r="H1184" s="112" t="n">
        <f aca="false">IF(AND(AE1184="yes",ISNUMBER(AD1184)),AD1184,"")</f>
        <v>6.3</v>
      </c>
      <c r="I1184" s="95" t="n">
        <f aca="false">IF(AND(AE1184="yes",ISNUMBER(AD1184),ISNUMBER(INDEX(Sources!$G$7:$G$10,MATCH(AB1184,Sources!$B$7:$B$10,0)))),ROUND(AD1184/INDEX(Sources!$G$7:$G$10,MATCH(AB1184,Sources!$B$7:$B$10,0)),6),"")</f>
        <v>6.3</v>
      </c>
      <c r="J1184" s="98" t="s">
        <v>530</v>
      </c>
      <c r="K1184" s="98" t="s">
        <v>2059</v>
      </c>
      <c r="L1184" s="96"/>
      <c r="M1184" s="110" t="s">
        <v>3822</v>
      </c>
      <c r="N1184" s="117" t="s">
        <v>3005</v>
      </c>
      <c r="O1184" s="110" t="s">
        <v>2396</v>
      </c>
      <c r="P1184" s="110" t="s">
        <v>590</v>
      </c>
      <c r="Q1184" s="118" t="n">
        <v>0.23</v>
      </c>
      <c r="R1184" s="110" t="n">
        <v>1</v>
      </c>
      <c r="S1184" s="110" t="s">
        <v>632</v>
      </c>
      <c r="T1184" s="110" t="s">
        <v>530</v>
      </c>
      <c r="U1184" s="110" t="s">
        <v>2913</v>
      </c>
      <c r="V1184" s="119" t="n">
        <v>6.3</v>
      </c>
      <c r="W1184" s="119"/>
      <c r="X1184" s="110" t="s">
        <v>2063</v>
      </c>
      <c r="Y1184" s="110" t="s">
        <v>2064</v>
      </c>
      <c r="Z1184" s="110" t="s">
        <v>3346</v>
      </c>
      <c r="AA1184" s="110" t="s">
        <v>537</v>
      </c>
      <c r="AB1184" s="110" t="s">
        <v>244</v>
      </c>
      <c r="AC1184" s="110" t="s">
        <v>538</v>
      </c>
      <c r="AD1184" s="110" t="n">
        <f aca="false">IF(OR(F1184="",Q1184="",R1184=""),"",ROUND(IF(P1184="incl.",F1184/(1+Q1184),F1184)/IF(S1184="per pack",R1184,1),2))</f>
        <v>6.3</v>
      </c>
      <c r="AE1184" s="110" t="str">
        <f aca="false">IF(AND(AC1184="yes",ISNUMBER(F1184),IF(Compare!$H$5="All mapped",TRUE(),IF(Compare!$H$5="EXACT only",J1184="EXACT",OR(J1184="EXACT",J1184="CLOSE")))),"yes","no")</f>
        <v>yes</v>
      </c>
      <c r="AF1184" s="110" t="n">
        <f aca="false">IF(ISNUMBER(H1184),COUNTIFS($B$7:$B$3000,B1184,$C$7:$C$3000,C1184,$H$7:$H$3000,"&lt;"&amp;H1184,$AH$7:$AH$3000,"yes")+COUNTIFS($B$7:B1184,B1184,$C$7:C1184,C1184,$H$7:H1184,H1184,$AH$7:AH1184,"yes"),"")</f>
        <v>4</v>
      </c>
      <c r="AG1184" s="110" t="n">
        <f aca="false">IF(ISNUMBER(I1184),COUNTIFS($B$7:$B$3000,B1184,$C$7:$C$3000,C1184,$I$7:$I$3000,"&lt;"&amp;I1184,$AI$7:$AI$3000,"yes")+COUNTIFS($B$7:B1184,B1184,$C$7:C1184,C1184,$I$7:I1184,I1184,$AI$7:AI1184,"yes"),"")</f>
        <v>4</v>
      </c>
      <c r="AH1184" s="110" t="str">
        <f aca="false">IF(ISNUMBER(H1184),"yes","no")</f>
        <v>yes</v>
      </c>
      <c r="AI1184" s="110" t="str">
        <f aca="false">IF(ISNUMBER(I1184),"yes","no")</f>
        <v>yes</v>
      </c>
      <c r="AJ1184" s="120" t="n">
        <v>46297</v>
      </c>
      <c r="AK1184" s="110"/>
    </row>
    <row r="1185" customFormat="false" ht="23.85" hidden="false" customHeight="false" outlineLevel="0" collapsed="false">
      <c r="B1185" s="36" t="s">
        <v>76</v>
      </c>
      <c r="C1185" s="98" t="s">
        <v>18</v>
      </c>
      <c r="D1185" s="98" t="s">
        <v>3007</v>
      </c>
      <c r="E1185" s="110" t="s">
        <v>3823</v>
      </c>
      <c r="F1185" s="99" t="n">
        <v>5.55</v>
      </c>
      <c r="G1185" s="98" t="s">
        <v>244</v>
      </c>
      <c r="H1185" s="112" t="n">
        <f aca="false">IF(AND(AE1185="yes",ISNUMBER(AD1185)),AD1185,"")</f>
        <v>5.55</v>
      </c>
      <c r="I1185" s="95" t="n">
        <f aca="false">IF(AND(AE1185="yes",ISNUMBER(AD1185),ISNUMBER(INDEX(Sources!$G$7:$G$10,MATCH(AB1185,Sources!$B$7:$B$10,0)))),ROUND(AD1185/INDEX(Sources!$G$7:$G$10,MATCH(AB1185,Sources!$B$7:$B$10,0)),6),"")</f>
        <v>5.55</v>
      </c>
      <c r="J1185" s="98" t="s">
        <v>530</v>
      </c>
      <c r="K1185" s="98" t="s">
        <v>2059</v>
      </c>
      <c r="L1185" s="96"/>
      <c r="M1185" s="110" t="s">
        <v>3824</v>
      </c>
      <c r="N1185" s="117" t="s">
        <v>3010</v>
      </c>
      <c r="O1185" s="110" t="s">
        <v>3011</v>
      </c>
      <c r="P1185" s="110" t="s">
        <v>590</v>
      </c>
      <c r="Q1185" s="118" t="n">
        <v>0.23</v>
      </c>
      <c r="R1185" s="110" t="n">
        <v>1</v>
      </c>
      <c r="S1185" s="110" t="s">
        <v>632</v>
      </c>
      <c r="T1185" s="110" t="s">
        <v>530</v>
      </c>
      <c r="U1185" s="110" t="s">
        <v>2913</v>
      </c>
      <c r="V1185" s="119" t="n">
        <v>5.55</v>
      </c>
      <c r="W1185" s="119"/>
      <c r="X1185" s="110" t="s">
        <v>2063</v>
      </c>
      <c r="Y1185" s="110" t="s">
        <v>2064</v>
      </c>
      <c r="Z1185" s="110" t="s">
        <v>3012</v>
      </c>
      <c r="AA1185" s="110" t="s">
        <v>537</v>
      </c>
      <c r="AB1185" s="110" t="s">
        <v>244</v>
      </c>
      <c r="AC1185" s="110" t="s">
        <v>538</v>
      </c>
      <c r="AD1185" s="110" t="n">
        <f aca="false">IF(OR(F1185="",Q1185="",R1185=""),"",ROUND(IF(P1185="incl.",F1185/(1+Q1185),F1185)/IF(S1185="per pack",R1185,1),2))</f>
        <v>5.55</v>
      </c>
      <c r="AE1185" s="110" t="str">
        <f aca="false">IF(AND(AC1185="yes",ISNUMBER(F1185),IF(Compare!$H$5="All mapped",TRUE(),IF(Compare!$H$5="EXACT only",J1185="EXACT",OR(J1185="EXACT",J1185="CLOSE")))),"yes","no")</f>
        <v>yes</v>
      </c>
      <c r="AF1185" s="110" t="n">
        <f aca="false">IF(ISNUMBER(H1185),COUNTIFS($B$7:$B$3000,B1185,$C$7:$C$3000,C1185,$H$7:$H$3000,"&lt;"&amp;H1185,$AH$7:$AH$3000,"yes")+COUNTIFS($B$7:B1185,B1185,$C$7:C1185,C1185,$H$7:H1185,H1185,$AH$7:AH1185,"yes"),"")</f>
        <v>3</v>
      </c>
      <c r="AG1185" s="110" t="n">
        <f aca="false">IF(ISNUMBER(I1185),COUNTIFS($B$7:$B$3000,B1185,$C$7:$C$3000,C1185,$I$7:$I$3000,"&lt;"&amp;I1185,$AI$7:$AI$3000,"yes")+COUNTIFS($B$7:B1185,B1185,$C$7:C1185,C1185,$I$7:I1185,I1185,$AI$7:AI1185,"yes"),"")</f>
        <v>3</v>
      </c>
      <c r="AH1185" s="110" t="str">
        <f aca="false">IF(ISNUMBER(H1185),"yes","no")</f>
        <v>yes</v>
      </c>
      <c r="AI1185" s="110" t="str">
        <f aca="false">IF(ISNUMBER(I1185),"yes","no")</f>
        <v>yes</v>
      </c>
      <c r="AJ1185" s="120" t="n">
        <v>46297</v>
      </c>
      <c r="AK1185" s="110"/>
    </row>
    <row r="1186" customFormat="false" ht="35.05" hidden="false" customHeight="false" outlineLevel="0" collapsed="false">
      <c r="B1186" s="36" t="s">
        <v>76</v>
      </c>
      <c r="C1186" s="98" t="s">
        <v>18</v>
      </c>
      <c r="D1186" s="98" t="s">
        <v>365</v>
      </c>
      <c r="E1186" s="110" t="s">
        <v>3825</v>
      </c>
      <c r="F1186" s="99" t="n">
        <v>4.61</v>
      </c>
      <c r="G1186" s="98" t="s">
        <v>244</v>
      </c>
      <c r="H1186" s="112" t="n">
        <f aca="false">IF(AND(AE1186="yes",ISNUMBER(AD1186)),AD1186,"")</f>
        <v>3.75</v>
      </c>
      <c r="I1186" s="95" t="n">
        <f aca="false">IF(AND(AE1186="yes",ISNUMBER(AD1186),ISNUMBER(INDEX(Sources!$G$7:$G$10,MATCH(AB1186,Sources!$B$7:$B$10,0)))),ROUND(AD1186/INDEX(Sources!$G$7:$G$10,MATCH(AB1186,Sources!$B$7:$B$10,0)),6),"")</f>
        <v>3.75</v>
      </c>
      <c r="J1186" s="98" t="s">
        <v>530</v>
      </c>
      <c r="K1186" s="98" t="s">
        <v>2059</v>
      </c>
      <c r="L1186" s="96"/>
      <c r="M1186" s="110" t="s">
        <v>3826</v>
      </c>
      <c r="N1186" s="117" t="s">
        <v>3827</v>
      </c>
      <c r="O1186" s="110" t="s">
        <v>662</v>
      </c>
      <c r="P1186" s="110" t="s">
        <v>265</v>
      </c>
      <c r="Q1186" s="118" t="n">
        <v>0.23</v>
      </c>
      <c r="R1186" s="110" t="n">
        <v>1</v>
      </c>
      <c r="S1186" s="110" t="s">
        <v>632</v>
      </c>
      <c r="T1186" s="110" t="s">
        <v>530</v>
      </c>
      <c r="U1186" s="110" t="s">
        <v>2918</v>
      </c>
      <c r="V1186" s="119" t="n">
        <v>3.75</v>
      </c>
      <c r="W1186" s="119"/>
      <c r="X1186" s="110" t="s">
        <v>2063</v>
      </c>
      <c r="Y1186" s="110" t="s">
        <v>2064</v>
      </c>
      <c r="Z1186" s="110" t="s">
        <v>3016</v>
      </c>
      <c r="AA1186" s="110" t="s">
        <v>537</v>
      </c>
      <c r="AB1186" s="110" t="s">
        <v>244</v>
      </c>
      <c r="AC1186" s="110" t="s">
        <v>538</v>
      </c>
      <c r="AD1186" s="110" t="n">
        <f aca="false">IF(OR(F1186="",Q1186="",R1186=""),"",ROUND(IF(P1186="incl.",F1186/(1+Q1186),F1186)/IF(S1186="per pack",R1186,1),2))</f>
        <v>3.75</v>
      </c>
      <c r="AE1186" s="110" t="str">
        <f aca="false">IF(AND(AC1186="yes",ISNUMBER(F1186),IF(Compare!$H$5="All mapped",TRUE(),IF(Compare!$H$5="EXACT only",J1186="EXACT",OR(J1186="EXACT",J1186="CLOSE")))),"yes","no")</f>
        <v>yes</v>
      </c>
      <c r="AF1186" s="110" t="n">
        <f aca="false">IF(ISNUMBER(H1186),COUNTIFS($B$7:$B$3000,B1186,$C$7:$C$3000,C1186,$H$7:$H$3000,"&lt;"&amp;H1186,$AH$7:$AH$3000,"yes")+COUNTIFS($B$7:B1186,B1186,$C$7:C1186,C1186,$H$7:H1186,H1186,$AH$7:AH1186,"yes"),"")</f>
        <v>1</v>
      </c>
      <c r="AG1186" s="110" t="n">
        <f aca="false">IF(ISNUMBER(I1186),COUNTIFS($B$7:$B$3000,B1186,$C$7:$C$3000,C1186,$I$7:$I$3000,"&lt;"&amp;I1186,$AI$7:$AI$3000,"yes")+COUNTIFS($B$7:B1186,B1186,$C$7:C1186,C1186,$I$7:I1186,I1186,$AI$7:AI1186,"yes"),"")</f>
        <v>1</v>
      </c>
      <c r="AH1186" s="110" t="str">
        <f aca="false">IF(ISNUMBER(H1186),"yes","no")</f>
        <v>yes</v>
      </c>
      <c r="AI1186" s="110" t="str">
        <f aca="false">IF(ISNUMBER(I1186),"yes","no")</f>
        <v>yes</v>
      </c>
      <c r="AJ1186" s="120" t="n">
        <v>46297</v>
      </c>
      <c r="AK1186" s="110"/>
    </row>
    <row r="1187" customFormat="false" ht="35.05" hidden="false" customHeight="false" outlineLevel="0" collapsed="false">
      <c r="B1187" s="36" t="s">
        <v>76</v>
      </c>
      <c r="C1187" s="98" t="s">
        <v>18</v>
      </c>
      <c r="D1187" s="98" t="s">
        <v>369</v>
      </c>
      <c r="E1187" s="110" t="s">
        <v>3828</v>
      </c>
      <c r="F1187" s="99" t="n">
        <v>17.76</v>
      </c>
      <c r="G1187" s="98" t="s">
        <v>244</v>
      </c>
      <c r="H1187" s="112" t="n">
        <f aca="false">IF(AND(AE1187="yes",ISNUMBER(AD1187)),AD1187,"")</f>
        <v>14.44</v>
      </c>
      <c r="I1187" s="95" t="n">
        <f aca="false">IF(AND(AE1187="yes",ISNUMBER(AD1187),ISNUMBER(INDEX(Sources!$G$7:$G$10,MATCH(AB1187,Sources!$B$7:$B$10,0)))),ROUND(AD1187/INDEX(Sources!$G$7:$G$10,MATCH(AB1187,Sources!$B$7:$B$10,0)),6),"")</f>
        <v>14.44</v>
      </c>
      <c r="J1187" s="98" t="s">
        <v>530</v>
      </c>
      <c r="K1187" s="98" t="s">
        <v>2059</v>
      </c>
      <c r="L1187" s="96"/>
      <c r="M1187" s="110" t="s">
        <v>3829</v>
      </c>
      <c r="N1187" s="117" t="s">
        <v>3830</v>
      </c>
      <c r="O1187" s="110" t="s">
        <v>565</v>
      </c>
      <c r="P1187" s="110" t="s">
        <v>265</v>
      </c>
      <c r="Q1187" s="118" t="n">
        <v>0.23</v>
      </c>
      <c r="R1187" s="110" t="n">
        <v>1</v>
      </c>
      <c r="S1187" s="110" t="s">
        <v>632</v>
      </c>
      <c r="T1187" s="110" t="s">
        <v>530</v>
      </c>
      <c r="U1187" s="110" t="s">
        <v>2918</v>
      </c>
      <c r="V1187" s="119" t="n">
        <v>14.44</v>
      </c>
      <c r="W1187" s="119"/>
      <c r="X1187" s="110" t="s">
        <v>2063</v>
      </c>
      <c r="Y1187" s="110" t="s">
        <v>2064</v>
      </c>
      <c r="Z1187" s="110" t="s">
        <v>3831</v>
      </c>
      <c r="AA1187" s="110" t="s">
        <v>537</v>
      </c>
      <c r="AB1187" s="110" t="s">
        <v>244</v>
      </c>
      <c r="AC1187" s="110" t="s">
        <v>538</v>
      </c>
      <c r="AD1187" s="110" t="n">
        <f aca="false">IF(OR(F1187="",Q1187="",R1187=""),"",ROUND(IF(P1187="incl.",F1187/(1+Q1187),F1187)/IF(S1187="per pack",R1187,1),2))</f>
        <v>14.44</v>
      </c>
      <c r="AE1187" s="110" t="str">
        <f aca="false">IF(AND(AC1187="yes",ISNUMBER(F1187),IF(Compare!$H$5="All mapped",TRUE(),IF(Compare!$H$5="EXACT only",J1187="EXACT",OR(J1187="EXACT",J1187="CLOSE")))),"yes","no")</f>
        <v>yes</v>
      </c>
      <c r="AF1187" s="110" t="n">
        <f aca="false">IF(ISNUMBER(H1187),COUNTIFS($B$7:$B$3000,B1187,$C$7:$C$3000,C1187,$H$7:$H$3000,"&lt;"&amp;H1187,$AH$7:$AH$3000,"yes")+COUNTIFS($B$7:B1187,B1187,$C$7:C1187,C1187,$H$7:H1187,H1187,$AH$7:AH1187,"yes"),"")</f>
        <v>5</v>
      </c>
      <c r="AG1187" s="110" t="n">
        <f aca="false">IF(ISNUMBER(I1187),COUNTIFS($B$7:$B$3000,B1187,$C$7:$C$3000,C1187,$I$7:$I$3000,"&lt;"&amp;I1187,$AI$7:$AI$3000,"yes")+COUNTIFS($B$7:B1187,B1187,$C$7:C1187,C1187,$I$7:I1187,I1187,$AI$7:AI1187,"yes"),"")</f>
        <v>5</v>
      </c>
      <c r="AH1187" s="110" t="str">
        <f aca="false">IF(ISNUMBER(H1187),"yes","no")</f>
        <v>yes</v>
      </c>
      <c r="AI1187" s="110" t="str">
        <f aca="false">IF(ISNUMBER(I1187),"yes","no")</f>
        <v>yes</v>
      </c>
      <c r="AJ1187" s="120" t="n">
        <v>46297</v>
      </c>
      <c r="AK1187" s="110"/>
    </row>
    <row r="1188" customFormat="false" ht="35.05" hidden="false" customHeight="false" outlineLevel="0" collapsed="false">
      <c r="B1188" s="36" t="s">
        <v>76</v>
      </c>
      <c r="C1188" s="98" t="s">
        <v>18</v>
      </c>
      <c r="D1188" s="98" t="s">
        <v>3021</v>
      </c>
      <c r="E1188" s="110" t="s">
        <v>3817</v>
      </c>
      <c r="F1188" s="99" t="n">
        <v>4.27</v>
      </c>
      <c r="G1188" s="98" t="s">
        <v>244</v>
      </c>
      <c r="H1188" s="112" t="n">
        <f aca="false">IF(AND(AE1188="yes",ISNUMBER(AD1188)),AD1188,"")</f>
        <v>4.27</v>
      </c>
      <c r="I1188" s="95" t="n">
        <f aca="false">IF(AND(AE1188="yes",ISNUMBER(AD1188),ISNUMBER(INDEX(Sources!$G$7:$G$10,MATCH(AB1188,Sources!$B$7:$B$10,0)))),ROUND(AD1188/INDEX(Sources!$G$7:$G$10,MATCH(AB1188,Sources!$B$7:$B$10,0)),6),"")</f>
        <v>4.27</v>
      </c>
      <c r="J1188" s="98" t="s">
        <v>530</v>
      </c>
      <c r="K1188" s="98" t="s">
        <v>2059</v>
      </c>
      <c r="L1188" s="96"/>
      <c r="M1188" s="110" t="s">
        <v>3832</v>
      </c>
      <c r="N1188" s="117" t="s">
        <v>3023</v>
      </c>
      <c r="O1188" s="110" t="s">
        <v>3024</v>
      </c>
      <c r="P1188" s="110" t="s">
        <v>590</v>
      </c>
      <c r="Q1188" s="118" t="n">
        <v>0.23</v>
      </c>
      <c r="R1188" s="110" t="n">
        <v>1</v>
      </c>
      <c r="S1188" s="110" t="s">
        <v>632</v>
      </c>
      <c r="T1188" s="110" t="s">
        <v>530</v>
      </c>
      <c r="U1188" s="110" t="s">
        <v>2913</v>
      </c>
      <c r="V1188" s="119" t="n">
        <v>4.27</v>
      </c>
      <c r="W1188" s="119"/>
      <c r="X1188" s="110" t="s">
        <v>2063</v>
      </c>
      <c r="Y1188" s="110" t="s">
        <v>2064</v>
      </c>
      <c r="Z1188" s="110" t="s">
        <v>3109</v>
      </c>
      <c r="AA1188" s="110" t="s">
        <v>537</v>
      </c>
      <c r="AB1188" s="110" t="s">
        <v>244</v>
      </c>
      <c r="AC1188" s="110" t="s">
        <v>538</v>
      </c>
      <c r="AD1188" s="110" t="n">
        <f aca="false">IF(OR(F1188="",Q1188="",R1188=""),"",ROUND(IF(P1188="incl.",F1188/(1+Q1188),F1188)/IF(S1188="per pack",R1188,1),2))</f>
        <v>4.27</v>
      </c>
      <c r="AE1188" s="110" t="str">
        <f aca="false">IF(AND(AC1188="yes",ISNUMBER(F1188),IF(Compare!$H$5="All mapped",TRUE(),IF(Compare!$H$5="EXACT only",J1188="EXACT",OR(J1188="EXACT",J1188="CLOSE")))),"yes","no")</f>
        <v>yes</v>
      </c>
      <c r="AF1188" s="110" t="n">
        <f aca="false">IF(ISNUMBER(H1188),COUNTIFS($B$7:$B$3000,B1188,$C$7:$C$3000,C1188,$H$7:$H$3000,"&lt;"&amp;H1188,$AH$7:$AH$3000,"yes")+COUNTIFS($B$7:B1188,B1188,$C$7:C1188,C1188,$H$7:H1188,H1188,$AH$7:AH1188,"yes"),"")</f>
        <v>2</v>
      </c>
      <c r="AG1188" s="110" t="n">
        <f aca="false">IF(ISNUMBER(I1188),COUNTIFS($B$7:$B$3000,B1188,$C$7:$C$3000,C1188,$I$7:$I$3000,"&lt;"&amp;I1188,$AI$7:$AI$3000,"yes")+COUNTIFS($B$7:B1188,B1188,$C$7:C1188,C1188,$I$7:I1188,I1188,$AI$7:AI1188,"yes"),"")</f>
        <v>2</v>
      </c>
      <c r="AH1188" s="110" t="str">
        <f aca="false">IF(ISNUMBER(H1188),"yes","no")</f>
        <v>yes</v>
      </c>
      <c r="AI1188" s="110" t="str">
        <f aca="false">IF(ISNUMBER(I1188),"yes","no")</f>
        <v>yes</v>
      </c>
      <c r="AJ1188" s="120" t="n">
        <v>46297</v>
      </c>
      <c r="AK1188" s="110"/>
    </row>
    <row r="1189" customFormat="false" ht="35.05" hidden="false" customHeight="false" outlineLevel="0" collapsed="false">
      <c r="B1189" s="36" t="s">
        <v>77</v>
      </c>
      <c r="C1189" s="98" t="s">
        <v>14</v>
      </c>
      <c r="D1189" s="98" t="s">
        <v>373</v>
      </c>
      <c r="E1189" s="110" t="s">
        <v>3833</v>
      </c>
      <c r="F1189" s="99" t="n">
        <v>36.65</v>
      </c>
      <c r="G1189" s="98" t="s">
        <v>374</v>
      </c>
      <c r="H1189" s="112" t="n">
        <f aca="false">IF(AND(AE1189="yes",ISNUMBER(AD1189)),AD1189,"")</f>
        <v>36.65</v>
      </c>
      <c r="I1189" s="95" t="n">
        <f aca="false">IF(AND(AE1189="yes",ISNUMBER(AD1189),ISNUMBER(INDEX(Sources!$G$7:$G$10,MATCH(AB1189,Sources!$B$7:$B$10,0)))),ROUND(AD1189/INDEX(Sources!$G$7:$G$10,MATCH(AB1189,Sources!$B$7:$B$10,0)),6),"")</f>
        <v>6.94439</v>
      </c>
      <c r="J1189" s="98" t="s">
        <v>530</v>
      </c>
      <c r="K1189" s="98" t="s">
        <v>2059</v>
      </c>
      <c r="L1189" s="96"/>
      <c r="M1189" s="110" t="s">
        <v>3834</v>
      </c>
      <c r="N1189" s="117" t="s">
        <v>3678</v>
      </c>
      <c r="O1189" s="110" t="s">
        <v>2912</v>
      </c>
      <c r="P1189" s="110" t="s">
        <v>590</v>
      </c>
      <c r="Q1189" s="118" t="n">
        <v>0.21</v>
      </c>
      <c r="R1189" s="110" t="n">
        <v>1</v>
      </c>
      <c r="S1189" s="110" t="s">
        <v>632</v>
      </c>
      <c r="T1189" s="110" t="s">
        <v>530</v>
      </c>
      <c r="U1189" s="110" t="s">
        <v>2913</v>
      </c>
      <c r="V1189" s="119" t="n">
        <v>36.65</v>
      </c>
      <c r="W1189" s="119"/>
      <c r="X1189" s="110" t="s">
        <v>2063</v>
      </c>
      <c r="Y1189" s="110" t="s">
        <v>2064</v>
      </c>
      <c r="Z1189" s="110"/>
      <c r="AA1189" s="110" t="s">
        <v>537</v>
      </c>
      <c r="AB1189" s="110" t="s">
        <v>374</v>
      </c>
      <c r="AC1189" s="110" t="s">
        <v>538</v>
      </c>
      <c r="AD1189" s="110" t="n">
        <f aca="false">IF(OR(F1189="",Q1189="",R1189=""),"",ROUND(IF(P1189="incl.",F1189/(1+Q1189),F1189)/IF(S1189="per pack",R1189,1),2))</f>
        <v>36.65</v>
      </c>
      <c r="AE1189" s="110" t="str">
        <f aca="false">IF(AND(AC1189="yes",ISNUMBER(F1189),IF(Compare!$H$5="All mapped",TRUE(),IF(Compare!$H$5="EXACT only",J1189="EXACT",OR(J1189="EXACT",J1189="CLOSE")))),"yes","no")</f>
        <v>yes</v>
      </c>
      <c r="AF1189" s="110" t="n">
        <f aca="false">IF(ISNUMBER(H1189),COUNTIFS($B$7:$B$3000,B1189,$C$7:$C$3000,C1189,$H$7:$H$3000,"&lt;"&amp;H1189,$AH$7:$AH$3000,"yes")+COUNTIFS($B$7:B1189,B1189,$C$7:C1189,C1189,$H$7:H1189,H1189,$AH$7:AH1189,"yes"),"")</f>
        <v>3</v>
      </c>
      <c r="AG1189" s="110" t="n">
        <f aca="false">IF(ISNUMBER(I1189),COUNTIFS($B$7:$B$3000,B1189,$C$7:$C$3000,C1189,$I$7:$I$3000,"&lt;"&amp;I1189,$AI$7:$AI$3000,"yes")+COUNTIFS($B$7:B1189,B1189,$C$7:C1189,C1189,$I$7:I1189,I1189,$AI$7:AI1189,"yes"),"")</f>
        <v>3</v>
      </c>
      <c r="AH1189" s="110" t="str">
        <f aca="false">IF(ISNUMBER(H1189),"yes","no")</f>
        <v>yes</v>
      </c>
      <c r="AI1189" s="110" t="str">
        <f aca="false">IF(ISNUMBER(I1189),"yes","no")</f>
        <v>yes</v>
      </c>
      <c r="AJ1189" s="120" t="n">
        <v>46297</v>
      </c>
      <c r="AK1189" s="110"/>
    </row>
    <row r="1190" customFormat="false" ht="23.85" hidden="false" customHeight="false" outlineLevel="0" collapsed="false">
      <c r="B1190" s="36" t="s">
        <v>77</v>
      </c>
      <c r="C1190" s="98" t="s">
        <v>14</v>
      </c>
      <c r="D1190" s="98" t="s">
        <v>378</v>
      </c>
      <c r="E1190" s="110" t="s">
        <v>3835</v>
      </c>
      <c r="F1190" s="99" t="n">
        <v>53.8</v>
      </c>
      <c r="G1190" s="98" t="s">
        <v>374</v>
      </c>
      <c r="H1190" s="112" t="n">
        <f aca="false">IF(AND(AE1190="yes",ISNUMBER(AD1190)),AD1190,"")</f>
        <v>44.46</v>
      </c>
      <c r="I1190" s="95" t="n">
        <f aca="false">IF(AND(AE1190="yes",ISNUMBER(AD1190),ISNUMBER(INDEX(Sources!$G$7:$G$10,MATCH(AB1190,Sources!$B$7:$B$10,0)))),ROUND(AD1190/INDEX(Sources!$G$7:$G$10,MATCH(AB1190,Sources!$B$7:$B$10,0)),6),"")</f>
        <v>8.424217</v>
      </c>
      <c r="J1190" s="98" t="s">
        <v>530</v>
      </c>
      <c r="K1190" s="98" t="s">
        <v>2059</v>
      </c>
      <c r="L1190" s="96"/>
      <c r="M1190" s="110" t="s">
        <v>3836</v>
      </c>
      <c r="N1190" s="117" t="s">
        <v>3837</v>
      </c>
      <c r="O1190" s="110" t="s">
        <v>2917</v>
      </c>
      <c r="P1190" s="110" t="s">
        <v>265</v>
      </c>
      <c r="Q1190" s="118" t="n">
        <v>0.21</v>
      </c>
      <c r="R1190" s="110" t="n">
        <v>1</v>
      </c>
      <c r="S1190" s="110" t="s">
        <v>632</v>
      </c>
      <c r="T1190" s="110" t="s">
        <v>530</v>
      </c>
      <c r="U1190" s="110" t="s">
        <v>2918</v>
      </c>
      <c r="V1190" s="119" t="n">
        <v>44.46</v>
      </c>
      <c r="W1190" s="119"/>
      <c r="X1190" s="110" t="s">
        <v>2063</v>
      </c>
      <c r="Y1190" s="110" t="s">
        <v>2064</v>
      </c>
      <c r="Z1190" s="110"/>
      <c r="AA1190" s="110" t="s">
        <v>537</v>
      </c>
      <c r="AB1190" s="110" t="s">
        <v>374</v>
      </c>
      <c r="AC1190" s="110" t="s">
        <v>538</v>
      </c>
      <c r="AD1190" s="110" t="n">
        <f aca="false">IF(OR(F1190="",Q1190="",R1190=""),"",ROUND(IF(P1190="incl.",F1190/(1+Q1190),F1190)/IF(S1190="per pack",R1190,1),2))</f>
        <v>44.46</v>
      </c>
      <c r="AE1190" s="110" t="str">
        <f aca="false">IF(AND(AC1190="yes",ISNUMBER(F1190),IF(Compare!$H$5="All mapped",TRUE(),IF(Compare!$H$5="EXACT only",J1190="EXACT",OR(J1190="EXACT",J1190="CLOSE")))),"yes","no")</f>
        <v>yes</v>
      </c>
      <c r="AF1190" s="110" t="n">
        <f aca="false">IF(ISNUMBER(H1190),COUNTIFS($B$7:$B$3000,B1190,$C$7:$C$3000,C1190,$H$7:$H$3000,"&lt;"&amp;H1190,$AH$7:$AH$3000,"yes")+COUNTIFS($B$7:B1190,B1190,$C$7:C1190,C1190,$H$7:H1190,H1190,$AH$7:AH1190,"yes"),"")</f>
        <v>4</v>
      </c>
      <c r="AG1190" s="110" t="n">
        <f aca="false">IF(ISNUMBER(I1190),COUNTIFS($B$7:$B$3000,B1190,$C$7:$C$3000,C1190,$I$7:$I$3000,"&lt;"&amp;I1190,$AI$7:$AI$3000,"yes")+COUNTIFS($B$7:B1190,B1190,$C$7:C1190,C1190,$I$7:I1190,I1190,$AI$7:AI1190,"yes"),"")</f>
        <v>4</v>
      </c>
      <c r="AH1190" s="110" t="str">
        <f aca="false">IF(ISNUMBER(H1190),"yes","no")</f>
        <v>yes</v>
      </c>
      <c r="AI1190" s="110" t="str">
        <f aca="false">IF(ISNUMBER(I1190),"yes","no")</f>
        <v>yes</v>
      </c>
      <c r="AJ1190" s="120" t="n">
        <v>46297</v>
      </c>
      <c r="AK1190" s="110"/>
    </row>
    <row r="1191" customFormat="false" ht="23.85" hidden="false" customHeight="false" outlineLevel="0" collapsed="false">
      <c r="B1191" s="36" t="s">
        <v>77</v>
      </c>
      <c r="C1191" s="98" t="s">
        <v>14</v>
      </c>
      <c r="D1191" s="98" t="s">
        <v>415</v>
      </c>
      <c r="E1191" s="110" t="s">
        <v>3838</v>
      </c>
      <c r="F1191" s="99" t="n">
        <v>4</v>
      </c>
      <c r="G1191" s="98" t="s">
        <v>244</v>
      </c>
      <c r="H1191" s="112" t="n">
        <f aca="false">IF(AND(AE1191="yes",ISNUMBER(AD1191)),AD1191,"")</f>
        <v>4</v>
      </c>
      <c r="I1191" s="95" t="n">
        <f aca="false">IF(AND(AE1191="yes",ISNUMBER(AD1191),ISNUMBER(INDEX(Sources!$G$7:$G$10,MATCH(AB1191,Sources!$B$7:$B$10,0)))),ROUND(AD1191/INDEX(Sources!$G$7:$G$10,MATCH(AB1191,Sources!$B$7:$B$10,0)),6),"")</f>
        <v>4</v>
      </c>
      <c r="J1191" s="98" t="s">
        <v>530</v>
      </c>
      <c r="K1191" s="98" t="s">
        <v>2059</v>
      </c>
      <c r="L1191" s="96"/>
      <c r="M1191" s="110" t="s">
        <v>3839</v>
      </c>
      <c r="N1191" s="117" t="s">
        <v>3840</v>
      </c>
      <c r="O1191" s="110" t="s">
        <v>3841</v>
      </c>
      <c r="P1191" s="110" t="s">
        <v>590</v>
      </c>
      <c r="Q1191" s="118" t="n">
        <v>0.21</v>
      </c>
      <c r="R1191" s="110" t="n">
        <v>1</v>
      </c>
      <c r="S1191" s="110" t="s">
        <v>632</v>
      </c>
      <c r="T1191" s="110" t="s">
        <v>530</v>
      </c>
      <c r="U1191" s="110" t="s">
        <v>2913</v>
      </c>
      <c r="V1191" s="119" t="n">
        <v>4</v>
      </c>
      <c r="W1191" s="119"/>
      <c r="X1191" s="110" t="s">
        <v>2063</v>
      </c>
      <c r="Y1191" s="110" t="s">
        <v>2064</v>
      </c>
      <c r="Z1191" s="110"/>
      <c r="AA1191" s="110" t="s">
        <v>537</v>
      </c>
      <c r="AB1191" s="110" t="s">
        <v>244</v>
      </c>
      <c r="AC1191" s="110" t="s">
        <v>538</v>
      </c>
      <c r="AD1191" s="110" t="n">
        <f aca="false">IF(OR(F1191="",Q1191="",R1191=""),"",ROUND(IF(P1191="incl.",F1191/(1+Q1191),F1191)/IF(S1191="per pack",R1191,1),2))</f>
        <v>4</v>
      </c>
      <c r="AE1191" s="110" t="str">
        <f aca="false">IF(AND(AC1191="yes",ISNUMBER(F1191),IF(Compare!$H$5="All mapped",TRUE(),IF(Compare!$H$5="EXACT only",J1191="EXACT",OR(J1191="EXACT",J1191="CLOSE")))),"yes","no")</f>
        <v>yes</v>
      </c>
      <c r="AF1191" s="110" t="n">
        <f aca="false">IF(ISNUMBER(H1191),COUNTIFS($B$7:$B$3000,B1191,$C$7:$C$3000,C1191,$H$7:$H$3000,"&lt;"&amp;H1191,$AH$7:$AH$3000,"yes")+COUNTIFS($B$7:B1191,B1191,$C$7:C1191,C1191,$H$7:H1191,H1191,$AH$7:AH1191,"yes"),"")</f>
        <v>1</v>
      </c>
      <c r="AG1191" s="110" t="n">
        <f aca="false">IF(ISNUMBER(I1191),COUNTIFS($B$7:$B$3000,B1191,$C$7:$C$3000,C1191,$I$7:$I$3000,"&lt;"&amp;I1191,$AI$7:$AI$3000,"yes")+COUNTIFS($B$7:B1191,B1191,$C$7:C1191,C1191,$I$7:I1191,I1191,$AI$7:AI1191,"yes"),"")</f>
        <v>1</v>
      </c>
      <c r="AH1191" s="110" t="str">
        <f aca="false">IF(ISNUMBER(H1191),"yes","no")</f>
        <v>yes</v>
      </c>
      <c r="AI1191" s="110" t="str">
        <f aca="false">IF(ISNUMBER(I1191),"yes","no")</f>
        <v>yes</v>
      </c>
      <c r="AJ1191" s="120" t="n">
        <v>46297</v>
      </c>
      <c r="AK1191" s="110"/>
    </row>
    <row r="1192" customFormat="false" ht="23.85" hidden="false" customHeight="false" outlineLevel="0" collapsed="false">
      <c r="B1192" s="36" t="s">
        <v>77</v>
      </c>
      <c r="C1192" s="98" t="s">
        <v>14</v>
      </c>
      <c r="D1192" s="98" t="s">
        <v>403</v>
      </c>
      <c r="E1192" s="110" t="s">
        <v>3842</v>
      </c>
      <c r="F1192" s="99" t="n">
        <v>31.69</v>
      </c>
      <c r="G1192" s="98" t="s">
        <v>374</v>
      </c>
      <c r="H1192" s="112" t="n">
        <f aca="false">IF(AND(AE1192="yes",ISNUMBER(AD1192)),AD1192,"")</f>
        <v>31.69</v>
      </c>
      <c r="I1192" s="95" t="n">
        <f aca="false">IF(AND(AE1192="yes",ISNUMBER(AD1192),ISNUMBER(INDEX(Sources!$G$7:$G$10,MATCH(AB1192,Sources!$B$7:$B$10,0)))),ROUND(AD1192/INDEX(Sources!$G$7:$G$10,MATCH(AB1192,Sources!$B$7:$B$10,0)),6),"")</f>
        <v>6.004576</v>
      </c>
      <c r="J1192" s="98" t="s">
        <v>530</v>
      </c>
      <c r="K1192" s="98" t="s">
        <v>2059</v>
      </c>
      <c r="L1192" s="96"/>
      <c r="M1192" s="110" t="s">
        <v>3843</v>
      </c>
      <c r="N1192" s="117" t="s">
        <v>3844</v>
      </c>
      <c r="O1192" s="110" t="s">
        <v>388</v>
      </c>
      <c r="P1192" s="110" t="s">
        <v>590</v>
      </c>
      <c r="Q1192" s="118" t="n">
        <v>0.21</v>
      </c>
      <c r="R1192" s="110" t="n">
        <v>1</v>
      </c>
      <c r="S1192" s="110" t="s">
        <v>632</v>
      </c>
      <c r="T1192" s="110" t="s">
        <v>530</v>
      </c>
      <c r="U1192" s="110" t="s">
        <v>2913</v>
      </c>
      <c r="V1192" s="119" t="n">
        <v>31.69</v>
      </c>
      <c r="W1192" s="119"/>
      <c r="X1192" s="110" t="s">
        <v>2063</v>
      </c>
      <c r="Y1192" s="110" t="s">
        <v>2064</v>
      </c>
      <c r="Z1192" s="110"/>
      <c r="AA1192" s="110" t="s">
        <v>537</v>
      </c>
      <c r="AB1192" s="110" t="s">
        <v>374</v>
      </c>
      <c r="AC1192" s="110" t="s">
        <v>538</v>
      </c>
      <c r="AD1192" s="110" t="n">
        <f aca="false">IF(OR(F1192="",Q1192="",R1192=""),"",ROUND(IF(P1192="incl.",F1192/(1+Q1192),F1192)/IF(S1192="per pack",R1192,1),2))</f>
        <v>31.69</v>
      </c>
      <c r="AE1192" s="110" t="str">
        <f aca="false">IF(AND(AC1192="yes",ISNUMBER(F1192),IF(Compare!$H$5="All mapped",TRUE(),IF(Compare!$H$5="EXACT only",J1192="EXACT",OR(J1192="EXACT",J1192="CLOSE")))),"yes","no")</f>
        <v>yes</v>
      </c>
      <c r="AF1192" s="110" t="n">
        <f aca="false">IF(ISNUMBER(H1192),COUNTIFS($B$7:$B$3000,B1192,$C$7:$C$3000,C1192,$H$7:$H$3000,"&lt;"&amp;H1192,$AH$7:$AH$3000,"yes")+COUNTIFS($B$7:B1192,B1192,$C$7:C1192,C1192,$H$7:H1192,H1192,$AH$7:AH1192,"yes"),"")</f>
        <v>2</v>
      </c>
      <c r="AG1192" s="110" t="n">
        <f aca="false">IF(ISNUMBER(I1192),COUNTIFS($B$7:$B$3000,B1192,$C$7:$C$3000,C1192,$I$7:$I$3000,"&lt;"&amp;I1192,$AI$7:$AI$3000,"yes")+COUNTIFS($B$7:B1192,B1192,$C$7:C1192,C1192,$I$7:I1192,I1192,$AI$7:AI1192,"yes"),"")</f>
        <v>2</v>
      </c>
      <c r="AH1192" s="110" t="str">
        <f aca="false">IF(ISNUMBER(H1192),"yes","no")</f>
        <v>yes</v>
      </c>
      <c r="AI1192" s="110" t="str">
        <f aca="false">IF(ISNUMBER(I1192),"yes","no")</f>
        <v>yes</v>
      </c>
      <c r="AJ1192" s="120" t="n">
        <v>46297</v>
      </c>
      <c r="AK1192" s="110"/>
    </row>
    <row r="1193" customFormat="false" ht="35.05" hidden="false" customHeight="false" outlineLevel="0" collapsed="false">
      <c r="B1193" s="36" t="s">
        <v>77</v>
      </c>
      <c r="C1193" s="98" t="s">
        <v>15</v>
      </c>
      <c r="D1193" s="98" t="s">
        <v>261</v>
      </c>
      <c r="E1193" s="110" t="s">
        <v>3845</v>
      </c>
      <c r="F1193" s="99" t="n">
        <v>12</v>
      </c>
      <c r="G1193" s="98" t="s">
        <v>244</v>
      </c>
      <c r="H1193" s="112" t="n">
        <f aca="false">IF(AND(AE1193="yes",ISNUMBER(AD1193)),AD1193,"")</f>
        <v>12</v>
      </c>
      <c r="I1193" s="95" t="n">
        <f aca="false">IF(AND(AE1193="yes",ISNUMBER(AD1193),ISNUMBER(INDEX(Sources!$G$7:$G$10,MATCH(AB1193,Sources!$B$7:$B$10,0)))),ROUND(AD1193/INDEX(Sources!$G$7:$G$10,MATCH(AB1193,Sources!$B$7:$B$10,0)),6),"")</f>
        <v>12</v>
      </c>
      <c r="J1193" s="98" t="s">
        <v>530</v>
      </c>
      <c r="K1193" s="98" t="s">
        <v>2059</v>
      </c>
      <c r="L1193" s="96"/>
      <c r="M1193" s="110" t="s">
        <v>3846</v>
      </c>
      <c r="N1193" s="117" t="s">
        <v>3847</v>
      </c>
      <c r="O1193" s="110"/>
      <c r="P1193" s="110" t="s">
        <v>590</v>
      </c>
      <c r="Q1193" s="118" t="n">
        <v>0.2</v>
      </c>
      <c r="R1193" s="110" t="n">
        <v>1</v>
      </c>
      <c r="S1193" s="110" t="s">
        <v>632</v>
      </c>
      <c r="T1193" s="110" t="s">
        <v>530</v>
      </c>
      <c r="U1193" s="110" t="s">
        <v>2913</v>
      </c>
      <c r="V1193" s="119" t="n">
        <v>12</v>
      </c>
      <c r="W1193" s="119"/>
      <c r="X1193" s="110" t="s">
        <v>2063</v>
      </c>
      <c r="Y1193" s="110" t="s">
        <v>2064</v>
      </c>
      <c r="Z1193" s="110"/>
      <c r="AA1193" s="110" t="s">
        <v>537</v>
      </c>
      <c r="AB1193" s="110" t="s">
        <v>244</v>
      </c>
      <c r="AC1193" s="110" t="s">
        <v>538</v>
      </c>
      <c r="AD1193" s="110" t="n">
        <f aca="false">IF(OR(F1193="",Q1193="",R1193=""),"",ROUND(IF(P1193="incl.",F1193/(1+Q1193),F1193)/IF(S1193="per pack",R1193,1),2))</f>
        <v>12</v>
      </c>
      <c r="AE1193" s="110" t="str">
        <f aca="false">IF(AND(AC1193="yes",ISNUMBER(F1193),IF(Compare!$H$5="All mapped",TRUE(),IF(Compare!$H$5="EXACT only",J1193="EXACT",OR(J1193="EXACT",J1193="CLOSE")))),"yes","no")</f>
        <v>yes</v>
      </c>
      <c r="AF1193" s="110" t="n">
        <f aca="false">IF(ISNUMBER(H1193),COUNTIFS($B$7:$B$3000,B1193,$C$7:$C$3000,C1193,$H$7:$H$3000,"&lt;"&amp;H1193,$AH$7:$AH$3000,"yes")+COUNTIFS($B$7:B1193,B1193,$C$7:C1193,C1193,$H$7:H1193,H1193,$AH$7:AH1193,"yes"),"")</f>
        <v>4</v>
      </c>
      <c r="AG1193" s="110" t="n">
        <f aca="false">IF(ISNUMBER(I1193),COUNTIFS($B$7:$B$3000,B1193,$C$7:$C$3000,C1193,$I$7:$I$3000,"&lt;"&amp;I1193,$AI$7:$AI$3000,"yes")+COUNTIFS($B$7:B1193,B1193,$C$7:C1193,C1193,$I$7:I1193,I1193,$AI$7:AI1193,"yes"),"")</f>
        <v>4</v>
      </c>
      <c r="AH1193" s="110" t="str">
        <f aca="false">IF(ISNUMBER(H1193),"yes","no")</f>
        <v>yes</v>
      </c>
      <c r="AI1193" s="110" t="str">
        <f aca="false">IF(ISNUMBER(I1193),"yes","no")</f>
        <v>yes</v>
      </c>
      <c r="AJ1193" s="120" t="n">
        <v>46297</v>
      </c>
      <c r="AK1193" s="110"/>
    </row>
    <row r="1194" customFormat="false" ht="23.85" hidden="false" customHeight="false" outlineLevel="0" collapsed="false">
      <c r="B1194" s="36" t="s">
        <v>77</v>
      </c>
      <c r="C1194" s="98" t="s">
        <v>15</v>
      </c>
      <c r="D1194" s="98" t="s">
        <v>269</v>
      </c>
      <c r="E1194" s="110" t="s">
        <v>3848</v>
      </c>
      <c r="F1194" s="99" t="n">
        <v>12.09</v>
      </c>
      <c r="G1194" s="98" t="s">
        <v>244</v>
      </c>
      <c r="H1194" s="112" t="n">
        <f aca="false">IF(AND(AE1194="yes",ISNUMBER(AD1194)),AD1194,"")</f>
        <v>12.09</v>
      </c>
      <c r="I1194" s="95" t="n">
        <f aca="false">IF(AND(AE1194="yes",ISNUMBER(AD1194),ISNUMBER(INDEX(Sources!$G$7:$G$10,MATCH(AB1194,Sources!$B$7:$B$10,0)))),ROUND(AD1194/INDEX(Sources!$G$7:$G$10,MATCH(AB1194,Sources!$B$7:$B$10,0)),6),"")</f>
        <v>12.09</v>
      </c>
      <c r="J1194" s="98" t="s">
        <v>530</v>
      </c>
      <c r="K1194" s="98" t="s">
        <v>2059</v>
      </c>
      <c r="L1194" s="96"/>
      <c r="M1194" s="110" t="s">
        <v>3849</v>
      </c>
      <c r="N1194" s="117" t="s">
        <v>3850</v>
      </c>
      <c r="O1194" s="110" t="s">
        <v>589</v>
      </c>
      <c r="P1194" s="110" t="s">
        <v>590</v>
      </c>
      <c r="Q1194" s="118" t="n">
        <v>0.2</v>
      </c>
      <c r="R1194" s="110" t="n">
        <v>1</v>
      </c>
      <c r="S1194" s="110" t="s">
        <v>632</v>
      </c>
      <c r="T1194" s="110" t="s">
        <v>530</v>
      </c>
      <c r="U1194" s="110" t="s">
        <v>2913</v>
      </c>
      <c r="V1194" s="119" t="n">
        <v>12.09</v>
      </c>
      <c r="W1194" s="119"/>
      <c r="X1194" s="110" t="s">
        <v>2063</v>
      </c>
      <c r="Y1194" s="110" t="s">
        <v>2064</v>
      </c>
      <c r="Z1194" s="110" t="s">
        <v>3216</v>
      </c>
      <c r="AA1194" s="110" t="s">
        <v>537</v>
      </c>
      <c r="AB1194" s="110" t="s">
        <v>244</v>
      </c>
      <c r="AC1194" s="110" t="s">
        <v>538</v>
      </c>
      <c r="AD1194" s="110" t="n">
        <f aca="false">IF(OR(F1194="",Q1194="",R1194=""),"",ROUND(IF(P1194="incl.",F1194/(1+Q1194),F1194)/IF(S1194="per pack",R1194,1),2))</f>
        <v>12.09</v>
      </c>
      <c r="AE1194" s="110" t="str">
        <f aca="false">IF(AND(AC1194="yes",ISNUMBER(F1194),IF(Compare!$H$5="All mapped",TRUE(),IF(Compare!$H$5="EXACT only",J1194="EXACT",OR(J1194="EXACT",J1194="CLOSE")))),"yes","no")</f>
        <v>yes</v>
      </c>
      <c r="AF1194" s="110" t="n">
        <f aca="false">IF(ISNUMBER(H1194),COUNTIFS($B$7:$B$3000,B1194,$C$7:$C$3000,C1194,$H$7:$H$3000,"&lt;"&amp;H1194,$AH$7:$AH$3000,"yes")+COUNTIFS($B$7:B1194,B1194,$C$7:C1194,C1194,$H$7:H1194,H1194,$AH$7:AH1194,"yes"),"")</f>
        <v>5</v>
      </c>
      <c r="AG1194" s="110" t="n">
        <f aca="false">IF(ISNUMBER(I1194),COUNTIFS($B$7:$B$3000,B1194,$C$7:$C$3000,C1194,$I$7:$I$3000,"&lt;"&amp;I1194,$AI$7:$AI$3000,"yes")+COUNTIFS($B$7:B1194,B1194,$C$7:C1194,C1194,$I$7:I1194,I1194,$AI$7:AI1194,"yes"),"")</f>
        <v>5</v>
      </c>
      <c r="AH1194" s="110" t="str">
        <f aca="false">IF(ISNUMBER(H1194),"yes","no")</f>
        <v>yes</v>
      </c>
      <c r="AI1194" s="110" t="str">
        <f aca="false">IF(ISNUMBER(I1194),"yes","no")</f>
        <v>yes</v>
      </c>
      <c r="AJ1194" s="120" t="n">
        <v>46297</v>
      </c>
      <c r="AK1194" s="110"/>
    </row>
    <row r="1195" customFormat="false" ht="23.85" hidden="false" customHeight="false" outlineLevel="0" collapsed="false">
      <c r="B1195" s="36" t="s">
        <v>77</v>
      </c>
      <c r="C1195" s="98" t="s">
        <v>15</v>
      </c>
      <c r="D1195" s="98" t="s">
        <v>264</v>
      </c>
      <c r="E1195" s="110" t="s">
        <v>3851</v>
      </c>
      <c r="F1195" s="99" t="n">
        <v>21</v>
      </c>
      <c r="G1195" s="98" t="s">
        <v>244</v>
      </c>
      <c r="H1195" s="112" t="n">
        <f aca="false">IF(AND(AE1195="yes",ISNUMBER(AD1195)),AD1195,"")</f>
        <v>21</v>
      </c>
      <c r="I1195" s="95" t="n">
        <f aca="false">IF(AND(AE1195="yes",ISNUMBER(AD1195),ISNUMBER(INDEX(Sources!$G$7:$G$10,MATCH(AB1195,Sources!$B$7:$B$10,0)))),ROUND(AD1195/INDEX(Sources!$G$7:$G$10,MATCH(AB1195,Sources!$B$7:$B$10,0)),6),"")</f>
        <v>21</v>
      </c>
      <c r="J1195" s="98" t="s">
        <v>530</v>
      </c>
      <c r="K1195" s="98" t="s">
        <v>2059</v>
      </c>
      <c r="L1195" s="96"/>
      <c r="M1195" s="110" t="s">
        <v>3852</v>
      </c>
      <c r="N1195" s="117" t="s">
        <v>3853</v>
      </c>
      <c r="O1195" s="110" t="s">
        <v>2944</v>
      </c>
      <c r="P1195" s="110" t="s">
        <v>590</v>
      </c>
      <c r="Q1195" s="118" t="n">
        <v>0.2</v>
      </c>
      <c r="R1195" s="110" t="n">
        <v>1</v>
      </c>
      <c r="S1195" s="110" t="s">
        <v>632</v>
      </c>
      <c r="T1195" s="110" t="s">
        <v>530</v>
      </c>
      <c r="U1195" s="110" t="s">
        <v>2913</v>
      </c>
      <c r="V1195" s="119" t="n">
        <v>21</v>
      </c>
      <c r="W1195" s="119"/>
      <c r="X1195" s="110" t="s">
        <v>2063</v>
      </c>
      <c r="Y1195" s="110" t="s">
        <v>2064</v>
      </c>
      <c r="Z1195" s="110"/>
      <c r="AA1195" s="110" t="s">
        <v>537</v>
      </c>
      <c r="AB1195" s="110" t="s">
        <v>244</v>
      </c>
      <c r="AC1195" s="110" t="s">
        <v>538</v>
      </c>
      <c r="AD1195" s="110" t="n">
        <f aca="false">IF(OR(F1195="",Q1195="",R1195=""),"",ROUND(IF(P1195="incl.",F1195/(1+Q1195),F1195)/IF(S1195="per pack",R1195,1),2))</f>
        <v>21</v>
      </c>
      <c r="AE1195" s="110" t="str">
        <f aca="false">IF(AND(AC1195="yes",ISNUMBER(F1195),IF(Compare!$H$5="All mapped",TRUE(),IF(Compare!$H$5="EXACT only",J1195="EXACT",OR(J1195="EXACT",J1195="CLOSE")))),"yes","no")</f>
        <v>yes</v>
      </c>
      <c r="AF1195" s="110" t="n">
        <f aca="false">IF(ISNUMBER(H1195),COUNTIFS($B$7:$B$3000,B1195,$C$7:$C$3000,C1195,$H$7:$H$3000,"&lt;"&amp;H1195,$AH$7:$AH$3000,"yes")+COUNTIFS($B$7:B1195,B1195,$C$7:C1195,C1195,$H$7:H1195,H1195,$AH$7:AH1195,"yes"),"")</f>
        <v>7</v>
      </c>
      <c r="AG1195" s="110" t="n">
        <f aca="false">IF(ISNUMBER(I1195),COUNTIFS($B$7:$B$3000,B1195,$C$7:$C$3000,C1195,$I$7:$I$3000,"&lt;"&amp;I1195,$AI$7:$AI$3000,"yes")+COUNTIFS($B$7:B1195,B1195,$C$7:C1195,C1195,$I$7:I1195,I1195,$AI$7:AI1195,"yes"),"")</f>
        <v>7</v>
      </c>
      <c r="AH1195" s="110" t="str">
        <f aca="false">IF(ISNUMBER(H1195),"yes","no")</f>
        <v>yes</v>
      </c>
      <c r="AI1195" s="110" t="str">
        <f aca="false">IF(ISNUMBER(I1195),"yes","no")</f>
        <v>yes</v>
      </c>
      <c r="AJ1195" s="120" t="n">
        <v>46297</v>
      </c>
      <c r="AK1195" s="110"/>
    </row>
    <row r="1196" customFormat="false" ht="23.85" hidden="false" customHeight="false" outlineLevel="0" collapsed="false">
      <c r="B1196" s="36" t="s">
        <v>77</v>
      </c>
      <c r="C1196" s="98" t="s">
        <v>15</v>
      </c>
      <c r="D1196" s="98" t="s">
        <v>264</v>
      </c>
      <c r="E1196" s="110" t="s">
        <v>3854</v>
      </c>
      <c r="F1196" s="99" t="n">
        <v>16.13</v>
      </c>
      <c r="G1196" s="98" t="s">
        <v>244</v>
      </c>
      <c r="H1196" s="112" t="n">
        <f aca="false">IF(AND(AE1196="yes",ISNUMBER(AD1196)),AD1196,"")</f>
        <v>16.13</v>
      </c>
      <c r="I1196" s="95" t="n">
        <f aca="false">IF(AND(AE1196="yes",ISNUMBER(AD1196),ISNUMBER(INDEX(Sources!$G$7:$G$10,MATCH(AB1196,Sources!$B$7:$B$10,0)))),ROUND(AD1196/INDEX(Sources!$G$7:$G$10,MATCH(AB1196,Sources!$B$7:$B$10,0)),6),"")</f>
        <v>16.13</v>
      </c>
      <c r="J1196" s="98" t="s">
        <v>530</v>
      </c>
      <c r="K1196" s="98" t="s">
        <v>2059</v>
      </c>
      <c r="L1196" s="96"/>
      <c r="M1196" s="110" t="s">
        <v>3855</v>
      </c>
      <c r="N1196" s="117" t="s">
        <v>3856</v>
      </c>
      <c r="O1196" s="110" t="s">
        <v>388</v>
      </c>
      <c r="P1196" s="110" t="s">
        <v>590</v>
      </c>
      <c r="Q1196" s="118" t="n">
        <v>0.2</v>
      </c>
      <c r="R1196" s="110" t="n">
        <v>1</v>
      </c>
      <c r="S1196" s="110" t="s">
        <v>632</v>
      </c>
      <c r="T1196" s="110" t="s">
        <v>530</v>
      </c>
      <c r="U1196" s="110" t="s">
        <v>2913</v>
      </c>
      <c r="V1196" s="119" t="n">
        <v>16.13</v>
      </c>
      <c r="W1196" s="119"/>
      <c r="X1196" s="110" t="s">
        <v>2063</v>
      </c>
      <c r="Y1196" s="110" t="s">
        <v>2064</v>
      </c>
      <c r="Z1196" s="110"/>
      <c r="AA1196" s="110" t="s">
        <v>537</v>
      </c>
      <c r="AB1196" s="110" t="s">
        <v>244</v>
      </c>
      <c r="AC1196" s="110" t="s">
        <v>538</v>
      </c>
      <c r="AD1196" s="110" t="n">
        <f aca="false">IF(OR(F1196="",Q1196="",R1196=""),"",ROUND(IF(P1196="incl.",F1196/(1+Q1196),F1196)/IF(S1196="per pack",R1196,1),2))</f>
        <v>16.13</v>
      </c>
      <c r="AE1196" s="110" t="str">
        <f aca="false">IF(AND(AC1196="yes",ISNUMBER(F1196),IF(Compare!$H$5="All mapped",TRUE(),IF(Compare!$H$5="EXACT only",J1196="EXACT",OR(J1196="EXACT",J1196="CLOSE")))),"yes","no")</f>
        <v>yes</v>
      </c>
      <c r="AF1196" s="110" t="n">
        <f aca="false">IF(ISNUMBER(H1196),COUNTIFS($B$7:$B$3000,B1196,$C$7:$C$3000,C1196,$H$7:$H$3000,"&lt;"&amp;H1196,$AH$7:$AH$3000,"yes")+COUNTIFS($B$7:B1196,B1196,$C$7:C1196,C1196,$H$7:H1196,H1196,$AH$7:AH1196,"yes"),"")</f>
        <v>6</v>
      </c>
      <c r="AG1196" s="110" t="n">
        <f aca="false">IF(ISNUMBER(I1196),COUNTIFS($B$7:$B$3000,B1196,$C$7:$C$3000,C1196,$I$7:$I$3000,"&lt;"&amp;I1196,$AI$7:$AI$3000,"yes")+COUNTIFS($B$7:B1196,B1196,$C$7:C1196,C1196,$I$7:I1196,I1196,$AI$7:AI1196,"yes"),"")</f>
        <v>6</v>
      </c>
      <c r="AH1196" s="110" t="str">
        <f aca="false">IF(ISNUMBER(H1196),"yes","no")</f>
        <v>yes</v>
      </c>
      <c r="AI1196" s="110" t="str">
        <f aca="false">IF(ISNUMBER(I1196),"yes","no")</f>
        <v>yes</v>
      </c>
      <c r="AJ1196" s="120" t="n">
        <v>46297</v>
      </c>
      <c r="AK1196" s="110"/>
    </row>
    <row r="1197" customFormat="false" ht="46.25" hidden="false" customHeight="false" outlineLevel="0" collapsed="false">
      <c r="B1197" s="36" t="s">
        <v>77</v>
      </c>
      <c r="C1197" s="98" t="s">
        <v>15</v>
      </c>
      <c r="D1197" s="98" t="s">
        <v>281</v>
      </c>
      <c r="E1197" s="110" t="s">
        <v>3857</v>
      </c>
      <c r="F1197" s="99" t="n">
        <v>9.12</v>
      </c>
      <c r="G1197" s="98" t="s">
        <v>244</v>
      </c>
      <c r="H1197" s="112" t="n">
        <f aca="false">IF(AND(AE1197="yes",ISNUMBER(AD1197)),AD1197,"")</f>
        <v>9.12</v>
      </c>
      <c r="I1197" s="95" t="n">
        <f aca="false">IF(AND(AE1197="yes",ISNUMBER(AD1197),ISNUMBER(INDEX(Sources!$G$7:$G$10,MATCH(AB1197,Sources!$B$7:$B$10,0)))),ROUND(AD1197/INDEX(Sources!$G$7:$G$10,MATCH(AB1197,Sources!$B$7:$B$10,0)),6),"")</f>
        <v>9.12</v>
      </c>
      <c r="J1197" s="98" t="s">
        <v>530</v>
      </c>
      <c r="K1197" s="98" t="s">
        <v>2059</v>
      </c>
      <c r="L1197" s="96"/>
      <c r="M1197" s="110" t="s">
        <v>3858</v>
      </c>
      <c r="N1197" s="117" t="s">
        <v>3859</v>
      </c>
      <c r="O1197" s="110" t="s">
        <v>2952</v>
      </c>
      <c r="P1197" s="110" t="s">
        <v>590</v>
      </c>
      <c r="Q1197" s="118" t="n">
        <v>0.2</v>
      </c>
      <c r="R1197" s="110" t="n">
        <v>1</v>
      </c>
      <c r="S1197" s="110" t="s">
        <v>632</v>
      </c>
      <c r="T1197" s="110" t="s">
        <v>530</v>
      </c>
      <c r="U1197" s="110" t="s">
        <v>2913</v>
      </c>
      <c r="V1197" s="119" t="n">
        <v>9.12</v>
      </c>
      <c r="W1197" s="119"/>
      <c r="X1197" s="110" t="s">
        <v>2063</v>
      </c>
      <c r="Y1197" s="110" t="s">
        <v>2064</v>
      </c>
      <c r="Z1197" s="110" t="s">
        <v>2953</v>
      </c>
      <c r="AA1197" s="110" t="s">
        <v>537</v>
      </c>
      <c r="AB1197" s="110" t="s">
        <v>244</v>
      </c>
      <c r="AC1197" s="110" t="s">
        <v>538</v>
      </c>
      <c r="AD1197" s="110" t="n">
        <f aca="false">IF(OR(F1197="",Q1197="",R1197=""),"",ROUND(IF(P1197="incl.",F1197/(1+Q1197),F1197)/IF(S1197="per pack",R1197,1),2))</f>
        <v>9.12</v>
      </c>
      <c r="AE1197" s="110" t="str">
        <f aca="false">IF(AND(AC1197="yes",ISNUMBER(F1197),IF(Compare!$H$5="All mapped",TRUE(),IF(Compare!$H$5="EXACT only",J1197="EXACT",OR(J1197="EXACT",J1197="CLOSE")))),"yes","no")</f>
        <v>yes</v>
      </c>
      <c r="AF1197" s="110" t="n">
        <f aca="false">IF(ISNUMBER(H1197),COUNTIFS($B$7:$B$3000,B1197,$C$7:$C$3000,C1197,$H$7:$H$3000,"&lt;"&amp;H1197,$AH$7:$AH$3000,"yes")+COUNTIFS($B$7:B1197,B1197,$C$7:C1197,C1197,$H$7:H1197,H1197,$AH$7:AH1197,"yes"),"")</f>
        <v>3</v>
      </c>
      <c r="AG1197" s="110" t="n">
        <f aca="false">IF(ISNUMBER(I1197),COUNTIFS($B$7:$B$3000,B1197,$C$7:$C$3000,C1197,$I$7:$I$3000,"&lt;"&amp;I1197,$AI$7:$AI$3000,"yes")+COUNTIFS($B$7:B1197,B1197,$C$7:C1197,C1197,$I$7:I1197,I1197,$AI$7:AI1197,"yes"),"")</f>
        <v>3</v>
      </c>
      <c r="AH1197" s="110" t="str">
        <f aca="false">IF(ISNUMBER(H1197),"yes","no")</f>
        <v>yes</v>
      </c>
      <c r="AI1197" s="110" t="str">
        <f aca="false">IF(ISNUMBER(I1197),"yes","no")</f>
        <v>yes</v>
      </c>
      <c r="AJ1197" s="120" t="n">
        <v>46297</v>
      </c>
      <c r="AK1197" s="110"/>
    </row>
    <row r="1198" customFormat="false" ht="35.05" hidden="false" customHeight="false" outlineLevel="0" collapsed="false">
      <c r="B1198" s="36" t="s">
        <v>77</v>
      </c>
      <c r="C1198" s="98" t="s">
        <v>15</v>
      </c>
      <c r="D1198" s="98" t="s">
        <v>293</v>
      </c>
      <c r="E1198" s="110" t="s">
        <v>3860</v>
      </c>
      <c r="F1198" s="99" t="n">
        <v>8.7</v>
      </c>
      <c r="G1198" s="98" t="s">
        <v>244</v>
      </c>
      <c r="H1198" s="112" t="n">
        <f aca="false">IF(AND(AE1198="yes",ISNUMBER(AD1198)),AD1198,"")</f>
        <v>8.7</v>
      </c>
      <c r="I1198" s="95" t="n">
        <f aca="false">IF(AND(AE1198="yes",ISNUMBER(AD1198),ISNUMBER(INDEX(Sources!$G$7:$G$10,MATCH(AB1198,Sources!$B$7:$B$10,0)))),ROUND(AD1198/INDEX(Sources!$G$7:$G$10,MATCH(AB1198,Sources!$B$7:$B$10,0)),6),"")</f>
        <v>8.7</v>
      </c>
      <c r="J1198" s="98" t="s">
        <v>530</v>
      </c>
      <c r="K1198" s="98" t="s">
        <v>2059</v>
      </c>
      <c r="L1198" s="96"/>
      <c r="M1198" s="110" t="s">
        <v>3861</v>
      </c>
      <c r="N1198" s="117" t="s">
        <v>3862</v>
      </c>
      <c r="O1198" s="110" t="s">
        <v>2957</v>
      </c>
      <c r="P1198" s="110" t="s">
        <v>590</v>
      </c>
      <c r="Q1198" s="118" t="n">
        <v>0.2</v>
      </c>
      <c r="R1198" s="110" t="n">
        <v>1</v>
      </c>
      <c r="S1198" s="110" t="s">
        <v>632</v>
      </c>
      <c r="T1198" s="110" t="s">
        <v>530</v>
      </c>
      <c r="U1198" s="110" t="s">
        <v>2913</v>
      </c>
      <c r="V1198" s="119" t="n">
        <v>8.7</v>
      </c>
      <c r="W1198" s="119"/>
      <c r="X1198" s="110" t="s">
        <v>2063</v>
      </c>
      <c r="Y1198" s="110" t="s">
        <v>2064</v>
      </c>
      <c r="Z1198" s="110" t="s">
        <v>2958</v>
      </c>
      <c r="AA1198" s="110" t="s">
        <v>537</v>
      </c>
      <c r="AB1198" s="110" t="s">
        <v>244</v>
      </c>
      <c r="AC1198" s="110" t="s">
        <v>538</v>
      </c>
      <c r="AD1198" s="110" t="n">
        <f aca="false">IF(OR(F1198="",Q1198="",R1198=""),"",ROUND(IF(P1198="incl.",F1198/(1+Q1198),F1198)/IF(S1198="per pack",R1198,1),2))</f>
        <v>8.7</v>
      </c>
      <c r="AE1198" s="110" t="str">
        <f aca="false">IF(AND(AC1198="yes",ISNUMBER(F1198),IF(Compare!$H$5="All mapped",TRUE(),IF(Compare!$H$5="EXACT only",J1198="EXACT",OR(J1198="EXACT",J1198="CLOSE")))),"yes","no")</f>
        <v>yes</v>
      </c>
      <c r="AF1198" s="110" t="n">
        <f aca="false">IF(ISNUMBER(H1198),COUNTIFS($B$7:$B$3000,B1198,$C$7:$C$3000,C1198,$H$7:$H$3000,"&lt;"&amp;H1198,$AH$7:$AH$3000,"yes")+COUNTIFS($B$7:B1198,B1198,$C$7:C1198,C1198,$H$7:H1198,H1198,$AH$7:AH1198,"yes"),"")</f>
        <v>2</v>
      </c>
      <c r="AG1198" s="110" t="n">
        <f aca="false">IF(ISNUMBER(I1198),COUNTIFS($B$7:$B$3000,B1198,$C$7:$C$3000,C1198,$I$7:$I$3000,"&lt;"&amp;I1198,$AI$7:$AI$3000,"yes")+COUNTIFS($B$7:B1198,B1198,$C$7:C1198,C1198,$I$7:I1198,I1198,$AI$7:AI1198,"yes"),"")</f>
        <v>2</v>
      </c>
      <c r="AH1198" s="110" t="str">
        <f aca="false">IF(ISNUMBER(H1198),"yes","no")</f>
        <v>yes</v>
      </c>
      <c r="AI1198" s="110" t="str">
        <f aca="false">IF(ISNUMBER(I1198),"yes","no")</f>
        <v>yes</v>
      </c>
      <c r="AJ1198" s="120" t="n">
        <v>46297</v>
      </c>
      <c r="AK1198" s="110"/>
    </row>
    <row r="1199" customFormat="false" ht="35.05" hidden="false" customHeight="false" outlineLevel="0" collapsed="false">
      <c r="B1199" s="36" t="s">
        <v>77</v>
      </c>
      <c r="C1199" s="98" t="s">
        <v>15</v>
      </c>
      <c r="D1199" s="98" t="s">
        <v>293</v>
      </c>
      <c r="E1199" s="110" t="s">
        <v>3863</v>
      </c>
      <c r="F1199" s="99" t="n">
        <v>7.8</v>
      </c>
      <c r="G1199" s="98" t="s">
        <v>244</v>
      </c>
      <c r="H1199" s="112" t="n">
        <f aca="false">IF(AND(AE1199="yes",ISNUMBER(AD1199)),AD1199,"")</f>
        <v>7.8</v>
      </c>
      <c r="I1199" s="95" t="n">
        <f aca="false">IF(AND(AE1199="yes",ISNUMBER(AD1199),ISNUMBER(INDEX(Sources!$G$7:$G$10,MATCH(AB1199,Sources!$B$7:$B$10,0)))),ROUND(AD1199/INDEX(Sources!$G$7:$G$10,MATCH(AB1199,Sources!$B$7:$B$10,0)),6),"")</f>
        <v>7.8</v>
      </c>
      <c r="J1199" s="98" t="s">
        <v>530</v>
      </c>
      <c r="K1199" s="98" t="s">
        <v>2059</v>
      </c>
      <c r="L1199" s="96"/>
      <c r="M1199" s="110" t="s">
        <v>3864</v>
      </c>
      <c r="N1199" s="117" t="s">
        <v>3865</v>
      </c>
      <c r="O1199" s="110" t="s">
        <v>3063</v>
      </c>
      <c r="P1199" s="110" t="s">
        <v>590</v>
      </c>
      <c r="Q1199" s="118" t="n">
        <v>0.2</v>
      </c>
      <c r="R1199" s="110" t="n">
        <v>1</v>
      </c>
      <c r="S1199" s="110" t="s">
        <v>632</v>
      </c>
      <c r="T1199" s="110" t="s">
        <v>530</v>
      </c>
      <c r="U1199" s="110" t="s">
        <v>2913</v>
      </c>
      <c r="V1199" s="119" t="n">
        <v>7.8</v>
      </c>
      <c r="W1199" s="119"/>
      <c r="X1199" s="110" t="s">
        <v>2063</v>
      </c>
      <c r="Y1199" s="110" t="s">
        <v>2064</v>
      </c>
      <c r="Z1199" s="110" t="s">
        <v>3064</v>
      </c>
      <c r="AA1199" s="110" t="s">
        <v>537</v>
      </c>
      <c r="AB1199" s="110" t="s">
        <v>244</v>
      </c>
      <c r="AC1199" s="110" t="s">
        <v>538</v>
      </c>
      <c r="AD1199" s="110" t="n">
        <f aca="false">IF(OR(F1199="",Q1199="",R1199=""),"",ROUND(IF(P1199="incl.",F1199/(1+Q1199),F1199)/IF(S1199="per pack",R1199,1),2))</f>
        <v>7.8</v>
      </c>
      <c r="AE1199" s="110" t="str">
        <f aca="false">IF(AND(AC1199="yes",ISNUMBER(F1199),IF(Compare!$H$5="All mapped",TRUE(),IF(Compare!$H$5="EXACT only",J1199="EXACT",OR(J1199="EXACT",J1199="CLOSE")))),"yes","no")</f>
        <v>yes</v>
      </c>
      <c r="AF1199" s="110" t="n">
        <f aca="false">IF(ISNUMBER(H1199),COUNTIFS($B$7:$B$3000,B1199,$C$7:$C$3000,C1199,$H$7:$H$3000,"&lt;"&amp;H1199,$AH$7:$AH$3000,"yes")+COUNTIFS($B$7:B1199,B1199,$C$7:C1199,C1199,$H$7:H1199,H1199,$AH$7:AH1199,"yes"),"")</f>
        <v>1</v>
      </c>
      <c r="AG1199" s="110" t="n">
        <f aca="false">IF(ISNUMBER(I1199),COUNTIFS($B$7:$B$3000,B1199,$C$7:$C$3000,C1199,$I$7:$I$3000,"&lt;"&amp;I1199,$AI$7:$AI$3000,"yes")+COUNTIFS($B$7:B1199,B1199,$C$7:C1199,C1199,$I$7:I1199,I1199,$AI$7:AI1199,"yes"),"")</f>
        <v>1</v>
      </c>
      <c r="AH1199" s="110" t="str">
        <f aca="false">IF(ISNUMBER(H1199),"yes","no")</f>
        <v>yes</v>
      </c>
      <c r="AI1199" s="110" t="str">
        <f aca="false">IF(ISNUMBER(I1199),"yes","no")</f>
        <v>yes</v>
      </c>
      <c r="AJ1199" s="120" t="n">
        <v>46297</v>
      </c>
      <c r="AK1199" s="110"/>
    </row>
    <row r="1200" customFormat="false" ht="35.05" hidden="false" customHeight="false" outlineLevel="0" collapsed="false">
      <c r="B1200" s="36" t="s">
        <v>77</v>
      </c>
      <c r="C1200" s="98" t="s">
        <v>16</v>
      </c>
      <c r="D1200" s="98" t="s">
        <v>305</v>
      </c>
      <c r="E1200" s="110" t="s">
        <v>3866</v>
      </c>
      <c r="F1200" s="99" t="n">
        <v>10.77</v>
      </c>
      <c r="G1200" s="98" t="s">
        <v>244</v>
      </c>
      <c r="H1200" s="112" t="n">
        <f aca="false">IF(AND(AE1200="yes",ISNUMBER(AD1200)),AD1200,"")</f>
        <v>9.05</v>
      </c>
      <c r="I1200" s="95" t="n">
        <f aca="false">IF(AND(AE1200="yes",ISNUMBER(AD1200),ISNUMBER(INDEX(Sources!$G$7:$G$10,MATCH(AB1200,Sources!$B$7:$B$10,0)))),ROUND(AD1200/INDEX(Sources!$G$7:$G$10,MATCH(AB1200,Sources!$B$7:$B$10,0)),6),"")</f>
        <v>9.05</v>
      </c>
      <c r="J1200" s="98" t="s">
        <v>530</v>
      </c>
      <c r="K1200" s="98" t="s">
        <v>2059</v>
      </c>
      <c r="L1200" s="96"/>
      <c r="M1200" s="110" t="s">
        <v>3867</v>
      </c>
      <c r="N1200" s="117" t="s">
        <v>3868</v>
      </c>
      <c r="O1200" s="110" t="s">
        <v>2965</v>
      </c>
      <c r="P1200" s="110" t="s">
        <v>265</v>
      </c>
      <c r="Q1200" s="118" t="n">
        <v>0.19</v>
      </c>
      <c r="R1200" s="110" t="n">
        <v>1</v>
      </c>
      <c r="S1200" s="110" t="s">
        <v>632</v>
      </c>
      <c r="T1200" s="110" t="s">
        <v>530</v>
      </c>
      <c r="U1200" s="110" t="s">
        <v>2918</v>
      </c>
      <c r="V1200" s="119" t="n">
        <v>9.05</v>
      </c>
      <c r="W1200" s="119"/>
      <c r="X1200" s="110" t="s">
        <v>2063</v>
      </c>
      <c r="Y1200" s="110" t="s">
        <v>2064</v>
      </c>
      <c r="Z1200" s="110" t="s">
        <v>2156</v>
      </c>
      <c r="AA1200" s="110" t="s">
        <v>537</v>
      </c>
      <c r="AB1200" s="110" t="s">
        <v>244</v>
      </c>
      <c r="AC1200" s="110" t="s">
        <v>538</v>
      </c>
      <c r="AD1200" s="110" t="n">
        <f aca="false">IF(OR(F1200="",Q1200="",R1200=""),"",ROUND(IF(P1200="incl.",F1200/(1+Q1200),F1200)/IF(S1200="per pack",R1200,1),2))</f>
        <v>9.05</v>
      </c>
      <c r="AE1200" s="110" t="str">
        <f aca="false">IF(AND(AC1200="yes",ISNUMBER(F1200),IF(Compare!$H$5="All mapped",TRUE(),IF(Compare!$H$5="EXACT only",J1200="EXACT",OR(J1200="EXACT",J1200="CLOSE")))),"yes","no")</f>
        <v>yes</v>
      </c>
      <c r="AF1200" s="110" t="n">
        <f aca="false">IF(ISNUMBER(H1200),COUNTIFS($B$7:$B$3000,B1200,$C$7:$C$3000,C1200,$H$7:$H$3000,"&lt;"&amp;H1200,$AH$7:$AH$3000,"yes")+COUNTIFS($B$7:B1200,B1200,$C$7:C1200,C1200,$H$7:H1200,H1200,$AH$7:AH1200,"yes"),"")</f>
        <v>3</v>
      </c>
      <c r="AG1200" s="110" t="n">
        <f aca="false">IF(ISNUMBER(I1200),COUNTIFS($B$7:$B$3000,B1200,$C$7:$C$3000,C1200,$I$7:$I$3000,"&lt;"&amp;I1200,$AI$7:$AI$3000,"yes")+COUNTIFS($B$7:B1200,B1200,$C$7:C1200,C1200,$I$7:I1200,I1200,$AI$7:AI1200,"yes"),"")</f>
        <v>3</v>
      </c>
      <c r="AH1200" s="110" t="str">
        <f aca="false">IF(ISNUMBER(H1200),"yes","no")</f>
        <v>yes</v>
      </c>
      <c r="AI1200" s="110" t="str">
        <f aca="false">IF(ISNUMBER(I1200),"yes","no")</f>
        <v>yes</v>
      </c>
      <c r="AJ1200" s="120" t="n">
        <v>46297</v>
      </c>
      <c r="AK1200" s="110"/>
    </row>
    <row r="1201" customFormat="false" ht="35.05" hidden="false" customHeight="false" outlineLevel="0" collapsed="false">
      <c r="B1201" s="36" t="s">
        <v>77</v>
      </c>
      <c r="C1201" s="98" t="s">
        <v>16</v>
      </c>
      <c r="D1201" s="98" t="s">
        <v>311</v>
      </c>
      <c r="E1201" s="110" t="s">
        <v>3848</v>
      </c>
      <c r="F1201" s="99" t="n">
        <v>8.59</v>
      </c>
      <c r="G1201" s="98" t="s">
        <v>244</v>
      </c>
      <c r="H1201" s="112" t="n">
        <f aca="false">IF(AND(AE1201="yes",ISNUMBER(AD1201)),AD1201,"")</f>
        <v>8.59</v>
      </c>
      <c r="I1201" s="95" t="n">
        <f aca="false">IF(AND(AE1201="yes",ISNUMBER(AD1201),ISNUMBER(INDEX(Sources!$G$7:$G$10,MATCH(AB1201,Sources!$B$7:$B$10,0)))),ROUND(AD1201/INDEX(Sources!$G$7:$G$10,MATCH(AB1201,Sources!$B$7:$B$10,0)),6),"")</f>
        <v>8.59</v>
      </c>
      <c r="J1201" s="98" t="s">
        <v>530</v>
      </c>
      <c r="K1201" s="98" t="s">
        <v>2059</v>
      </c>
      <c r="L1201" s="96"/>
      <c r="M1201" s="110" t="s">
        <v>3869</v>
      </c>
      <c r="N1201" s="117" t="s">
        <v>3870</v>
      </c>
      <c r="O1201" s="110" t="s">
        <v>589</v>
      </c>
      <c r="P1201" s="110" t="s">
        <v>590</v>
      </c>
      <c r="Q1201" s="118" t="n">
        <v>0.19</v>
      </c>
      <c r="R1201" s="110" t="n">
        <v>1</v>
      </c>
      <c r="S1201" s="110" t="s">
        <v>632</v>
      </c>
      <c r="T1201" s="110" t="s">
        <v>530</v>
      </c>
      <c r="U1201" s="110" t="s">
        <v>2913</v>
      </c>
      <c r="V1201" s="119" t="n">
        <v>8.59</v>
      </c>
      <c r="W1201" s="119"/>
      <c r="X1201" s="110" t="s">
        <v>2063</v>
      </c>
      <c r="Y1201" s="110" t="s">
        <v>2064</v>
      </c>
      <c r="Z1201" s="110" t="s">
        <v>3236</v>
      </c>
      <c r="AA1201" s="110" t="s">
        <v>537</v>
      </c>
      <c r="AB1201" s="110" t="s">
        <v>244</v>
      </c>
      <c r="AC1201" s="110" t="s">
        <v>538</v>
      </c>
      <c r="AD1201" s="110" t="n">
        <f aca="false">IF(OR(F1201="",Q1201="",R1201=""),"",ROUND(IF(P1201="incl.",F1201/(1+Q1201),F1201)/IF(S1201="per pack",R1201,1),2))</f>
        <v>8.59</v>
      </c>
      <c r="AE1201" s="110" t="str">
        <f aca="false">IF(AND(AC1201="yes",ISNUMBER(F1201),IF(Compare!$H$5="All mapped",TRUE(),IF(Compare!$H$5="EXACT only",J1201="EXACT",OR(J1201="EXACT",J1201="CLOSE")))),"yes","no")</f>
        <v>yes</v>
      </c>
      <c r="AF1201" s="110" t="n">
        <f aca="false">IF(ISNUMBER(H1201),COUNTIFS($B$7:$B$3000,B1201,$C$7:$C$3000,C1201,$H$7:$H$3000,"&lt;"&amp;H1201,$AH$7:$AH$3000,"yes")+COUNTIFS($B$7:B1201,B1201,$C$7:C1201,C1201,$H$7:H1201,H1201,$AH$7:AH1201,"yes"),"")</f>
        <v>1</v>
      </c>
      <c r="AG1201" s="110" t="n">
        <f aca="false">IF(ISNUMBER(I1201),COUNTIFS($B$7:$B$3000,B1201,$C$7:$C$3000,C1201,$I$7:$I$3000,"&lt;"&amp;I1201,$AI$7:$AI$3000,"yes")+COUNTIFS($B$7:B1201,B1201,$C$7:C1201,C1201,$I$7:I1201,I1201,$AI$7:AI1201,"yes"),"")</f>
        <v>1</v>
      </c>
      <c r="AH1201" s="110" t="str">
        <f aca="false">IF(ISNUMBER(H1201),"yes","no")</f>
        <v>yes</v>
      </c>
      <c r="AI1201" s="110" t="str">
        <f aca="false">IF(ISNUMBER(I1201),"yes","no")</f>
        <v>yes</v>
      </c>
      <c r="AJ1201" s="120" t="n">
        <v>46297</v>
      </c>
      <c r="AK1201" s="110"/>
    </row>
    <row r="1202" customFormat="false" ht="23.85" hidden="false" customHeight="false" outlineLevel="0" collapsed="false">
      <c r="B1202" s="36" t="s">
        <v>77</v>
      </c>
      <c r="C1202" s="98" t="s">
        <v>16</v>
      </c>
      <c r="D1202" s="98" t="s">
        <v>309</v>
      </c>
      <c r="E1202" s="110" t="s">
        <v>3854</v>
      </c>
      <c r="F1202" s="99" t="n">
        <v>16.13</v>
      </c>
      <c r="G1202" s="98" t="s">
        <v>244</v>
      </c>
      <c r="H1202" s="112" t="n">
        <f aca="false">IF(AND(AE1202="yes",ISNUMBER(AD1202)),AD1202,"")</f>
        <v>16.13</v>
      </c>
      <c r="I1202" s="95" t="n">
        <f aca="false">IF(AND(AE1202="yes",ISNUMBER(AD1202),ISNUMBER(INDEX(Sources!$G$7:$G$10,MATCH(AB1202,Sources!$B$7:$B$10,0)))),ROUND(AD1202/INDEX(Sources!$G$7:$G$10,MATCH(AB1202,Sources!$B$7:$B$10,0)),6),"")</f>
        <v>16.13</v>
      </c>
      <c r="J1202" s="98" t="s">
        <v>530</v>
      </c>
      <c r="K1202" s="98" t="s">
        <v>2059</v>
      </c>
      <c r="L1202" s="96"/>
      <c r="M1202" s="110" t="s">
        <v>3871</v>
      </c>
      <c r="N1202" s="117" t="s">
        <v>3856</v>
      </c>
      <c r="O1202" s="110" t="s">
        <v>388</v>
      </c>
      <c r="P1202" s="110" t="s">
        <v>590</v>
      </c>
      <c r="Q1202" s="118" t="n">
        <v>0.19</v>
      </c>
      <c r="R1202" s="110" t="n">
        <v>1</v>
      </c>
      <c r="S1202" s="110" t="s">
        <v>632</v>
      </c>
      <c r="T1202" s="110" t="s">
        <v>530</v>
      </c>
      <c r="U1202" s="110" t="s">
        <v>2913</v>
      </c>
      <c r="V1202" s="119" t="n">
        <v>16.13</v>
      </c>
      <c r="W1202" s="119"/>
      <c r="X1202" s="110" t="s">
        <v>2063</v>
      </c>
      <c r="Y1202" s="110" t="s">
        <v>2064</v>
      </c>
      <c r="Z1202" s="110" t="s">
        <v>3240</v>
      </c>
      <c r="AA1202" s="110" t="s">
        <v>537</v>
      </c>
      <c r="AB1202" s="110" t="s">
        <v>244</v>
      </c>
      <c r="AC1202" s="110" t="s">
        <v>538</v>
      </c>
      <c r="AD1202" s="110" t="n">
        <f aca="false">IF(OR(F1202="",Q1202="",R1202=""),"",ROUND(IF(P1202="incl.",F1202/(1+Q1202),F1202)/IF(S1202="per pack",R1202,1),2))</f>
        <v>16.13</v>
      </c>
      <c r="AE1202" s="110" t="str">
        <f aca="false">IF(AND(AC1202="yes",ISNUMBER(F1202),IF(Compare!$H$5="All mapped",TRUE(),IF(Compare!$H$5="EXACT only",J1202="EXACT",OR(J1202="EXACT",J1202="CLOSE")))),"yes","no")</f>
        <v>yes</v>
      </c>
      <c r="AF1202" s="110" t="n">
        <f aca="false">IF(ISNUMBER(H1202),COUNTIFS($B$7:$B$3000,B1202,$C$7:$C$3000,C1202,$H$7:$H$3000,"&lt;"&amp;H1202,$AH$7:$AH$3000,"yes")+COUNTIFS($B$7:B1202,B1202,$C$7:C1202,C1202,$H$7:H1202,H1202,$AH$7:AH1202,"yes"),"")</f>
        <v>6</v>
      </c>
      <c r="AG1202" s="110" t="n">
        <f aca="false">IF(ISNUMBER(I1202),COUNTIFS($B$7:$B$3000,B1202,$C$7:$C$3000,C1202,$I$7:$I$3000,"&lt;"&amp;I1202,$AI$7:$AI$3000,"yes")+COUNTIFS($B$7:B1202,B1202,$C$7:C1202,C1202,$I$7:I1202,I1202,$AI$7:AI1202,"yes"),"")</f>
        <v>6</v>
      </c>
      <c r="AH1202" s="110" t="str">
        <f aca="false">IF(ISNUMBER(H1202),"yes","no")</f>
        <v>yes</v>
      </c>
      <c r="AI1202" s="110" t="str">
        <f aca="false">IF(ISNUMBER(I1202),"yes","no")</f>
        <v>yes</v>
      </c>
      <c r="AJ1202" s="120" t="n">
        <v>46297</v>
      </c>
      <c r="AK1202" s="110"/>
    </row>
    <row r="1203" customFormat="false" ht="23.85" hidden="false" customHeight="false" outlineLevel="0" collapsed="false">
      <c r="B1203" s="36" t="s">
        <v>77</v>
      </c>
      <c r="C1203" s="98" t="s">
        <v>16</v>
      </c>
      <c r="D1203" s="98" t="s">
        <v>309</v>
      </c>
      <c r="E1203" s="110" t="s">
        <v>3851</v>
      </c>
      <c r="F1203" s="99" t="n">
        <v>21</v>
      </c>
      <c r="G1203" s="98" t="s">
        <v>244</v>
      </c>
      <c r="H1203" s="112" t="n">
        <f aca="false">IF(AND(AE1203="yes",ISNUMBER(AD1203)),AD1203,"")</f>
        <v>21</v>
      </c>
      <c r="I1203" s="95" t="n">
        <f aca="false">IF(AND(AE1203="yes",ISNUMBER(AD1203),ISNUMBER(INDEX(Sources!$G$7:$G$10,MATCH(AB1203,Sources!$B$7:$B$10,0)))),ROUND(AD1203/INDEX(Sources!$G$7:$G$10,MATCH(AB1203,Sources!$B$7:$B$10,0)),6),"")</f>
        <v>21</v>
      </c>
      <c r="J1203" s="98" t="s">
        <v>530</v>
      </c>
      <c r="K1203" s="98" t="s">
        <v>2059</v>
      </c>
      <c r="L1203" s="96"/>
      <c r="M1203" s="110" t="s">
        <v>3872</v>
      </c>
      <c r="N1203" s="117" t="s">
        <v>3853</v>
      </c>
      <c r="O1203" s="110" t="s">
        <v>2944</v>
      </c>
      <c r="P1203" s="110" t="s">
        <v>590</v>
      </c>
      <c r="Q1203" s="118" t="n">
        <v>0.19</v>
      </c>
      <c r="R1203" s="110" t="n">
        <v>1</v>
      </c>
      <c r="S1203" s="110" t="s">
        <v>632</v>
      </c>
      <c r="T1203" s="110" t="s">
        <v>530</v>
      </c>
      <c r="U1203" s="110" t="s">
        <v>2913</v>
      </c>
      <c r="V1203" s="119" t="n">
        <v>21</v>
      </c>
      <c r="W1203" s="119"/>
      <c r="X1203" s="110" t="s">
        <v>2063</v>
      </c>
      <c r="Y1203" s="110" t="s">
        <v>2064</v>
      </c>
      <c r="Z1203" s="110" t="s">
        <v>2970</v>
      </c>
      <c r="AA1203" s="110" t="s">
        <v>537</v>
      </c>
      <c r="AB1203" s="110" t="s">
        <v>244</v>
      </c>
      <c r="AC1203" s="110" t="s">
        <v>538</v>
      </c>
      <c r="AD1203" s="110" t="n">
        <f aca="false">IF(OR(F1203="",Q1203="",R1203=""),"",ROUND(IF(P1203="incl.",F1203/(1+Q1203),F1203)/IF(S1203="per pack",R1203,1),2))</f>
        <v>21</v>
      </c>
      <c r="AE1203" s="110" t="str">
        <f aca="false">IF(AND(AC1203="yes",ISNUMBER(F1203),IF(Compare!$H$5="All mapped",TRUE(),IF(Compare!$H$5="EXACT only",J1203="EXACT",OR(J1203="EXACT",J1203="CLOSE")))),"yes","no")</f>
        <v>yes</v>
      </c>
      <c r="AF1203" s="110" t="n">
        <f aca="false">IF(ISNUMBER(H1203),COUNTIFS($B$7:$B$3000,B1203,$C$7:$C$3000,C1203,$H$7:$H$3000,"&lt;"&amp;H1203,$AH$7:$AH$3000,"yes")+COUNTIFS($B$7:B1203,B1203,$C$7:C1203,C1203,$H$7:H1203,H1203,$AH$7:AH1203,"yes"),"")</f>
        <v>7</v>
      </c>
      <c r="AG1203" s="110" t="n">
        <f aca="false">IF(ISNUMBER(I1203),COUNTIFS($B$7:$B$3000,B1203,$C$7:$C$3000,C1203,$I$7:$I$3000,"&lt;"&amp;I1203,$AI$7:$AI$3000,"yes")+COUNTIFS($B$7:B1203,B1203,$C$7:C1203,C1203,$I$7:I1203,I1203,$AI$7:AI1203,"yes"),"")</f>
        <v>7</v>
      </c>
      <c r="AH1203" s="110" t="str">
        <f aca="false">IF(ISNUMBER(H1203),"yes","no")</f>
        <v>yes</v>
      </c>
      <c r="AI1203" s="110" t="str">
        <f aca="false">IF(ISNUMBER(I1203),"yes","no")</f>
        <v>yes</v>
      </c>
      <c r="AJ1203" s="120" t="n">
        <v>46297</v>
      </c>
      <c r="AK1203" s="110"/>
    </row>
    <row r="1204" customFormat="false" ht="35.05" hidden="false" customHeight="false" outlineLevel="0" collapsed="false">
      <c r="B1204" s="36" t="s">
        <v>77</v>
      </c>
      <c r="C1204" s="98" t="s">
        <v>16</v>
      </c>
      <c r="D1204" s="98" t="s">
        <v>321</v>
      </c>
      <c r="E1204" s="110" t="s">
        <v>3857</v>
      </c>
      <c r="F1204" s="99" t="n">
        <v>9.12</v>
      </c>
      <c r="G1204" s="98" t="s">
        <v>244</v>
      </c>
      <c r="H1204" s="112" t="n">
        <f aca="false">IF(AND(AE1204="yes",ISNUMBER(AD1204)),AD1204,"")</f>
        <v>9.12</v>
      </c>
      <c r="I1204" s="95" t="n">
        <f aca="false">IF(AND(AE1204="yes",ISNUMBER(AD1204),ISNUMBER(INDEX(Sources!$G$7:$G$10,MATCH(AB1204,Sources!$B$7:$B$10,0)))),ROUND(AD1204/INDEX(Sources!$G$7:$G$10,MATCH(AB1204,Sources!$B$7:$B$10,0)),6),"")</f>
        <v>9.12</v>
      </c>
      <c r="J1204" s="98" t="s">
        <v>530</v>
      </c>
      <c r="K1204" s="98" t="s">
        <v>2059</v>
      </c>
      <c r="L1204" s="96"/>
      <c r="M1204" s="110" t="s">
        <v>3873</v>
      </c>
      <c r="N1204" s="117" t="s">
        <v>3874</v>
      </c>
      <c r="O1204" s="110" t="s">
        <v>2952</v>
      </c>
      <c r="P1204" s="110" t="s">
        <v>590</v>
      </c>
      <c r="Q1204" s="118" t="n">
        <v>0.19</v>
      </c>
      <c r="R1204" s="110" t="n">
        <v>1</v>
      </c>
      <c r="S1204" s="110" t="s">
        <v>632</v>
      </c>
      <c r="T1204" s="110" t="s">
        <v>530</v>
      </c>
      <c r="U1204" s="110" t="s">
        <v>2913</v>
      </c>
      <c r="V1204" s="119" t="n">
        <v>9.12</v>
      </c>
      <c r="W1204" s="119"/>
      <c r="X1204" s="110" t="s">
        <v>2063</v>
      </c>
      <c r="Y1204" s="110" t="s">
        <v>2064</v>
      </c>
      <c r="Z1204" s="110" t="s">
        <v>2978</v>
      </c>
      <c r="AA1204" s="110" t="s">
        <v>537</v>
      </c>
      <c r="AB1204" s="110" t="s">
        <v>244</v>
      </c>
      <c r="AC1204" s="110" t="s">
        <v>538</v>
      </c>
      <c r="AD1204" s="110" t="n">
        <f aca="false">IF(OR(F1204="",Q1204="",R1204=""),"",ROUND(IF(P1204="incl.",F1204/(1+Q1204),F1204)/IF(S1204="per pack",R1204,1),2))</f>
        <v>9.12</v>
      </c>
      <c r="AE1204" s="110" t="str">
        <f aca="false">IF(AND(AC1204="yes",ISNUMBER(F1204),IF(Compare!$H$5="All mapped",TRUE(),IF(Compare!$H$5="EXACT only",J1204="EXACT",OR(J1204="EXACT",J1204="CLOSE")))),"yes","no")</f>
        <v>yes</v>
      </c>
      <c r="AF1204" s="110" t="n">
        <f aca="false">IF(ISNUMBER(H1204),COUNTIFS($B$7:$B$3000,B1204,$C$7:$C$3000,C1204,$H$7:$H$3000,"&lt;"&amp;H1204,$AH$7:$AH$3000,"yes")+COUNTIFS($B$7:B1204,B1204,$C$7:C1204,C1204,$H$7:H1204,H1204,$AH$7:AH1204,"yes"),"")</f>
        <v>4</v>
      </c>
      <c r="AG1204" s="110" t="n">
        <f aca="false">IF(ISNUMBER(I1204),COUNTIFS($B$7:$B$3000,B1204,$C$7:$C$3000,C1204,$I$7:$I$3000,"&lt;"&amp;I1204,$AI$7:$AI$3000,"yes")+COUNTIFS($B$7:B1204,B1204,$C$7:C1204,C1204,$I$7:I1204,I1204,$AI$7:AI1204,"yes"),"")</f>
        <v>4</v>
      </c>
      <c r="AH1204" s="110" t="str">
        <f aca="false">IF(ISNUMBER(H1204),"yes","no")</f>
        <v>yes</v>
      </c>
      <c r="AI1204" s="110" t="str">
        <f aca="false">IF(ISNUMBER(I1204),"yes","no")</f>
        <v>yes</v>
      </c>
      <c r="AJ1204" s="120" t="n">
        <v>46297</v>
      </c>
      <c r="AK1204" s="110"/>
    </row>
    <row r="1205" customFormat="false" ht="35.05" hidden="false" customHeight="false" outlineLevel="0" collapsed="false">
      <c r="B1205" s="36" t="s">
        <v>77</v>
      </c>
      <c r="C1205" s="98" t="s">
        <v>16</v>
      </c>
      <c r="D1205" s="98" t="s">
        <v>321</v>
      </c>
      <c r="E1205" s="110" t="s">
        <v>3875</v>
      </c>
      <c r="F1205" s="99" t="n">
        <v>10.39</v>
      </c>
      <c r="G1205" s="98" t="s">
        <v>244</v>
      </c>
      <c r="H1205" s="112" t="n">
        <f aca="false">IF(AND(AE1205="yes",ISNUMBER(AD1205)),AD1205,"")</f>
        <v>10.39</v>
      </c>
      <c r="I1205" s="95" t="n">
        <f aca="false">IF(AND(AE1205="yes",ISNUMBER(AD1205),ISNUMBER(INDEX(Sources!$G$7:$G$10,MATCH(AB1205,Sources!$B$7:$B$10,0)))),ROUND(AD1205/INDEX(Sources!$G$7:$G$10,MATCH(AB1205,Sources!$B$7:$B$10,0)),6),"")</f>
        <v>10.39</v>
      </c>
      <c r="J1205" s="98" t="s">
        <v>530</v>
      </c>
      <c r="K1205" s="98" t="s">
        <v>2059</v>
      </c>
      <c r="L1205" s="96"/>
      <c r="M1205" s="110" t="s">
        <v>3876</v>
      </c>
      <c r="N1205" s="117" t="s">
        <v>3877</v>
      </c>
      <c r="O1205" s="110" t="s">
        <v>2944</v>
      </c>
      <c r="P1205" s="110" t="s">
        <v>590</v>
      </c>
      <c r="Q1205" s="118" t="n">
        <v>0.19</v>
      </c>
      <c r="R1205" s="110" t="n">
        <v>1</v>
      </c>
      <c r="S1205" s="110" t="s">
        <v>632</v>
      </c>
      <c r="T1205" s="110" t="s">
        <v>530</v>
      </c>
      <c r="U1205" s="110" t="s">
        <v>2913</v>
      </c>
      <c r="V1205" s="119" t="n">
        <v>10.39</v>
      </c>
      <c r="W1205" s="119"/>
      <c r="X1205" s="110" t="s">
        <v>2063</v>
      </c>
      <c r="Y1205" s="110" t="s">
        <v>2064</v>
      </c>
      <c r="Z1205" s="110" t="s">
        <v>2978</v>
      </c>
      <c r="AA1205" s="110" t="s">
        <v>537</v>
      </c>
      <c r="AB1205" s="110" t="s">
        <v>244</v>
      </c>
      <c r="AC1205" s="110" t="s">
        <v>538</v>
      </c>
      <c r="AD1205" s="110" t="n">
        <f aca="false">IF(OR(F1205="",Q1205="",R1205=""),"",ROUND(IF(P1205="incl.",F1205/(1+Q1205),F1205)/IF(S1205="per pack",R1205,1),2))</f>
        <v>10.39</v>
      </c>
      <c r="AE1205" s="110" t="str">
        <f aca="false">IF(AND(AC1205="yes",ISNUMBER(F1205),IF(Compare!$H$5="All mapped",TRUE(),IF(Compare!$H$5="EXACT only",J1205="EXACT",OR(J1205="EXACT",J1205="CLOSE")))),"yes","no")</f>
        <v>yes</v>
      </c>
      <c r="AF1205" s="110" t="n">
        <f aca="false">IF(ISNUMBER(H1205),COUNTIFS($B$7:$B$3000,B1205,$C$7:$C$3000,C1205,$H$7:$H$3000,"&lt;"&amp;H1205,$AH$7:$AH$3000,"yes")+COUNTIFS($B$7:B1205,B1205,$C$7:C1205,C1205,$H$7:H1205,H1205,$AH$7:AH1205,"yes"),"")</f>
        <v>5</v>
      </c>
      <c r="AG1205" s="110" t="n">
        <f aca="false">IF(ISNUMBER(I1205),COUNTIFS($B$7:$B$3000,B1205,$C$7:$C$3000,C1205,$I$7:$I$3000,"&lt;"&amp;I1205,$AI$7:$AI$3000,"yes")+COUNTIFS($B$7:B1205,B1205,$C$7:C1205,C1205,$I$7:I1205,I1205,$AI$7:AI1205,"yes"),"")</f>
        <v>5</v>
      </c>
      <c r="AH1205" s="110" t="str">
        <f aca="false">IF(ISNUMBER(H1205),"yes","no")</f>
        <v>yes</v>
      </c>
      <c r="AI1205" s="110" t="str">
        <f aca="false">IF(ISNUMBER(I1205),"yes","no")</f>
        <v>yes</v>
      </c>
      <c r="AJ1205" s="120" t="n">
        <v>46297</v>
      </c>
      <c r="AK1205" s="110"/>
    </row>
    <row r="1206" customFormat="false" ht="35.05" hidden="false" customHeight="false" outlineLevel="0" collapsed="false">
      <c r="B1206" s="36" t="s">
        <v>77</v>
      </c>
      <c r="C1206" s="98" t="s">
        <v>16</v>
      </c>
      <c r="D1206" s="98" t="s">
        <v>321</v>
      </c>
      <c r="E1206" s="110" t="s">
        <v>3878</v>
      </c>
      <c r="F1206" s="99" t="n">
        <v>8.93</v>
      </c>
      <c r="G1206" s="98" t="s">
        <v>244</v>
      </c>
      <c r="H1206" s="112" t="n">
        <f aca="false">IF(AND(AE1206="yes",ISNUMBER(AD1206)),AD1206,"")</f>
        <v>8.93</v>
      </c>
      <c r="I1206" s="95" t="n">
        <f aca="false">IF(AND(AE1206="yes",ISNUMBER(AD1206),ISNUMBER(INDEX(Sources!$G$7:$G$10,MATCH(AB1206,Sources!$B$7:$B$10,0)))),ROUND(AD1206/INDEX(Sources!$G$7:$G$10,MATCH(AB1206,Sources!$B$7:$B$10,0)),6),"")</f>
        <v>8.93</v>
      </c>
      <c r="J1206" s="98" t="s">
        <v>530</v>
      </c>
      <c r="K1206" s="98" t="s">
        <v>2059</v>
      </c>
      <c r="L1206" s="96"/>
      <c r="M1206" s="110" t="s">
        <v>3879</v>
      </c>
      <c r="N1206" s="117" t="s">
        <v>3880</v>
      </c>
      <c r="O1206" s="110" t="s">
        <v>589</v>
      </c>
      <c r="P1206" s="110" t="s">
        <v>590</v>
      </c>
      <c r="Q1206" s="118" t="n">
        <v>0.19</v>
      </c>
      <c r="R1206" s="110" t="n">
        <v>1</v>
      </c>
      <c r="S1206" s="110" t="s">
        <v>632</v>
      </c>
      <c r="T1206" s="110" t="s">
        <v>530</v>
      </c>
      <c r="U1206" s="110" t="s">
        <v>2913</v>
      </c>
      <c r="V1206" s="119" t="n">
        <v>8.93</v>
      </c>
      <c r="W1206" s="119"/>
      <c r="X1206" s="110" t="s">
        <v>2063</v>
      </c>
      <c r="Y1206" s="110" t="s">
        <v>2064</v>
      </c>
      <c r="Z1206" s="110" t="s">
        <v>2978</v>
      </c>
      <c r="AA1206" s="110" t="s">
        <v>537</v>
      </c>
      <c r="AB1206" s="110" t="s">
        <v>244</v>
      </c>
      <c r="AC1206" s="110" t="s">
        <v>538</v>
      </c>
      <c r="AD1206" s="110" t="n">
        <f aca="false">IF(OR(F1206="",Q1206="",R1206=""),"",ROUND(IF(P1206="incl.",F1206/(1+Q1206),F1206)/IF(S1206="per pack",R1206,1),2))</f>
        <v>8.93</v>
      </c>
      <c r="AE1206" s="110" t="str">
        <f aca="false">IF(AND(AC1206="yes",ISNUMBER(F1206),IF(Compare!$H$5="All mapped",TRUE(),IF(Compare!$H$5="EXACT only",J1206="EXACT",OR(J1206="EXACT",J1206="CLOSE")))),"yes","no")</f>
        <v>yes</v>
      </c>
      <c r="AF1206" s="110" t="n">
        <f aca="false">IF(ISNUMBER(H1206),COUNTIFS($B$7:$B$3000,B1206,$C$7:$C$3000,C1206,$H$7:$H$3000,"&lt;"&amp;H1206,$AH$7:$AH$3000,"yes")+COUNTIFS($B$7:B1206,B1206,$C$7:C1206,C1206,$H$7:H1206,H1206,$AH$7:AH1206,"yes"),"")</f>
        <v>2</v>
      </c>
      <c r="AG1206" s="110" t="n">
        <f aca="false">IF(ISNUMBER(I1206),COUNTIFS($B$7:$B$3000,B1206,$C$7:$C$3000,C1206,$I$7:$I$3000,"&lt;"&amp;I1206,$AI$7:$AI$3000,"yes")+COUNTIFS($B$7:B1206,B1206,$C$7:C1206,C1206,$I$7:I1206,I1206,$AI$7:AI1206,"yes"),"")</f>
        <v>2</v>
      </c>
      <c r="AH1206" s="110" t="str">
        <f aca="false">IF(ISNUMBER(H1206),"yes","no")</f>
        <v>yes</v>
      </c>
      <c r="AI1206" s="110" t="str">
        <f aca="false">IF(ISNUMBER(I1206),"yes","no")</f>
        <v>yes</v>
      </c>
      <c r="AJ1206" s="120" t="n">
        <v>46297</v>
      </c>
      <c r="AK1206" s="110"/>
    </row>
    <row r="1207" customFormat="false" ht="35.05" hidden="false" customHeight="false" outlineLevel="0" collapsed="false">
      <c r="B1207" s="36" t="s">
        <v>77</v>
      </c>
      <c r="C1207" s="98" t="s">
        <v>17</v>
      </c>
      <c r="D1207" s="98" t="s">
        <v>338</v>
      </c>
      <c r="E1207" s="110" t="s">
        <v>3881</v>
      </c>
      <c r="F1207" s="99" t="n">
        <v>160</v>
      </c>
      <c r="G1207" s="98" t="s">
        <v>333</v>
      </c>
      <c r="H1207" s="112" t="n">
        <f aca="false">IF(AND(AE1207="yes",ISNUMBER(AD1207)),AD1207,"")</f>
        <v>160</v>
      </c>
      <c r="I1207" s="95" t="n">
        <f aca="false">IF(AND(AE1207="yes",ISNUMBER(AD1207),ISNUMBER(INDEX(Sources!$G$7:$G$10,MATCH(AB1207,Sources!$B$7:$B$10,0)))),ROUND(AD1207/INDEX(Sources!$G$7:$G$10,MATCH(AB1207,Sources!$B$7:$B$10,0)),6),"")</f>
        <v>6.551037</v>
      </c>
      <c r="J1207" s="98" t="s">
        <v>530</v>
      </c>
      <c r="K1207" s="98" t="s">
        <v>2059</v>
      </c>
      <c r="L1207" s="96"/>
      <c r="M1207" s="110" t="s">
        <v>3882</v>
      </c>
      <c r="N1207" s="117" t="s">
        <v>3883</v>
      </c>
      <c r="O1207" s="110" t="s">
        <v>388</v>
      </c>
      <c r="P1207" s="110" t="s">
        <v>590</v>
      </c>
      <c r="Q1207" s="118" t="n">
        <v>0.21</v>
      </c>
      <c r="R1207" s="110" t="n">
        <v>1</v>
      </c>
      <c r="S1207" s="110" t="s">
        <v>632</v>
      </c>
      <c r="T1207" s="110" t="s">
        <v>530</v>
      </c>
      <c r="U1207" s="110" t="s">
        <v>2913</v>
      </c>
      <c r="V1207" s="119" t="n">
        <v>160</v>
      </c>
      <c r="W1207" s="119"/>
      <c r="X1207" s="110" t="s">
        <v>2063</v>
      </c>
      <c r="Y1207" s="110" t="s">
        <v>2064</v>
      </c>
      <c r="Z1207" s="110" t="s">
        <v>3167</v>
      </c>
      <c r="AA1207" s="110" t="s">
        <v>537</v>
      </c>
      <c r="AB1207" s="110" t="s">
        <v>333</v>
      </c>
      <c r="AC1207" s="110" t="s">
        <v>538</v>
      </c>
      <c r="AD1207" s="110" t="n">
        <f aca="false">IF(OR(F1207="",Q1207="",R1207=""),"",ROUND(IF(P1207="incl.",F1207/(1+Q1207),F1207)/IF(S1207="per pack",R1207,1),2))</f>
        <v>160</v>
      </c>
      <c r="AE1207" s="110" t="str">
        <f aca="false">IF(AND(AC1207="yes",ISNUMBER(F1207),IF(Compare!$H$5="All mapped",TRUE(),IF(Compare!$H$5="EXACT only",J1207="EXACT",OR(J1207="EXACT",J1207="CLOSE")))),"yes","no")</f>
        <v>yes</v>
      </c>
      <c r="AF1207" s="110" t="n">
        <f aca="false">IF(ISNUMBER(H1207),COUNTIFS($B$7:$B$3000,B1207,$C$7:$C$3000,C1207,$H$7:$H$3000,"&lt;"&amp;H1207,$AH$7:$AH$3000,"yes")+COUNTIFS($B$7:B1207,B1207,$C$7:C1207,C1207,$H$7:H1207,H1207,$AH$7:AH1207,"yes"),"")</f>
        <v>2</v>
      </c>
      <c r="AG1207" s="110" t="n">
        <f aca="false">IF(ISNUMBER(I1207),COUNTIFS($B$7:$B$3000,B1207,$C$7:$C$3000,C1207,$I$7:$I$3000,"&lt;"&amp;I1207,$AI$7:$AI$3000,"yes")+COUNTIFS($B$7:B1207,B1207,$C$7:C1207,C1207,$I$7:I1207,I1207,$AI$7:AI1207,"yes"),"")</f>
        <v>2</v>
      </c>
      <c r="AH1207" s="110" t="str">
        <f aca="false">IF(ISNUMBER(H1207),"yes","no")</f>
        <v>yes</v>
      </c>
      <c r="AI1207" s="110" t="str">
        <f aca="false">IF(ISNUMBER(I1207),"yes","no")</f>
        <v>yes</v>
      </c>
      <c r="AJ1207" s="120" t="n">
        <v>46297</v>
      </c>
      <c r="AK1207" s="110"/>
    </row>
    <row r="1208" customFormat="false" ht="35.05" hidden="false" customHeight="false" outlineLevel="0" collapsed="false">
      <c r="B1208" s="36" t="s">
        <v>77</v>
      </c>
      <c r="C1208" s="98" t="s">
        <v>17</v>
      </c>
      <c r="D1208" s="98" t="s">
        <v>342</v>
      </c>
      <c r="E1208" s="110" t="s">
        <v>3884</v>
      </c>
      <c r="F1208" s="99" t="n">
        <v>361</v>
      </c>
      <c r="G1208" s="98" t="s">
        <v>333</v>
      </c>
      <c r="H1208" s="112" t="n">
        <f aca="false">IF(AND(AE1208="yes",ISNUMBER(AD1208)),AD1208,"")</f>
        <v>361</v>
      </c>
      <c r="I1208" s="95" t="n">
        <f aca="false">IF(AND(AE1208="yes",ISNUMBER(AD1208),ISNUMBER(INDEX(Sources!$G$7:$G$10,MATCH(AB1208,Sources!$B$7:$B$10,0)))),ROUND(AD1208/INDEX(Sources!$G$7:$G$10,MATCH(AB1208,Sources!$B$7:$B$10,0)),6),"")</f>
        <v>14.780776</v>
      </c>
      <c r="J1208" s="98" t="s">
        <v>530</v>
      </c>
      <c r="K1208" s="98" t="s">
        <v>2059</v>
      </c>
      <c r="L1208" s="96"/>
      <c r="M1208" s="110" t="s">
        <v>3885</v>
      </c>
      <c r="N1208" s="117" t="s">
        <v>3886</v>
      </c>
      <c r="O1208" s="110" t="s">
        <v>646</v>
      </c>
      <c r="P1208" s="110" t="s">
        <v>590</v>
      </c>
      <c r="Q1208" s="118" t="n">
        <v>0.21</v>
      </c>
      <c r="R1208" s="110" t="n">
        <v>1</v>
      </c>
      <c r="S1208" s="110" t="s">
        <v>632</v>
      </c>
      <c r="T1208" s="110" t="s">
        <v>530</v>
      </c>
      <c r="U1208" s="110" t="s">
        <v>2913</v>
      </c>
      <c r="V1208" s="119" t="n">
        <v>361</v>
      </c>
      <c r="W1208" s="119"/>
      <c r="X1208" s="110" t="s">
        <v>2063</v>
      </c>
      <c r="Y1208" s="110" t="s">
        <v>2064</v>
      </c>
      <c r="Z1208" s="110" t="s">
        <v>2989</v>
      </c>
      <c r="AA1208" s="110" t="s">
        <v>537</v>
      </c>
      <c r="AB1208" s="110" t="s">
        <v>333</v>
      </c>
      <c r="AC1208" s="110" t="s">
        <v>538</v>
      </c>
      <c r="AD1208" s="110" t="n">
        <f aca="false">IF(OR(F1208="",Q1208="",R1208=""),"",ROUND(IF(P1208="incl.",F1208/(1+Q1208),F1208)/IF(S1208="per pack",R1208,1),2))</f>
        <v>361</v>
      </c>
      <c r="AE1208" s="110" t="str">
        <f aca="false">IF(AND(AC1208="yes",ISNUMBER(F1208),IF(Compare!$H$5="All mapped",TRUE(),IF(Compare!$H$5="EXACT only",J1208="EXACT",OR(J1208="EXACT",J1208="CLOSE")))),"yes","no")</f>
        <v>yes</v>
      </c>
      <c r="AF1208" s="110" t="n">
        <f aca="false">IF(ISNUMBER(H1208),COUNTIFS($B$7:$B$3000,B1208,$C$7:$C$3000,C1208,$H$7:$H$3000,"&lt;"&amp;H1208,$AH$7:$AH$3000,"yes")+COUNTIFS($B$7:B1208,B1208,$C$7:C1208,C1208,$H$7:H1208,H1208,$AH$7:AH1208,"yes"),"")</f>
        <v>3</v>
      </c>
      <c r="AG1208" s="110" t="n">
        <f aca="false">IF(ISNUMBER(I1208),COUNTIFS($B$7:$B$3000,B1208,$C$7:$C$3000,C1208,$I$7:$I$3000,"&lt;"&amp;I1208,$AI$7:$AI$3000,"yes")+COUNTIFS($B$7:B1208,B1208,$C$7:C1208,C1208,$I$7:I1208,I1208,$AI$7:AI1208,"yes"),"")</f>
        <v>3</v>
      </c>
      <c r="AH1208" s="110" t="str">
        <f aca="false">IF(ISNUMBER(H1208),"yes","no")</f>
        <v>yes</v>
      </c>
      <c r="AI1208" s="110" t="str">
        <f aca="false">IF(ISNUMBER(I1208),"yes","no")</f>
        <v>yes</v>
      </c>
      <c r="AJ1208" s="120" t="n">
        <v>46297</v>
      </c>
      <c r="AK1208" s="110"/>
    </row>
    <row r="1209" customFormat="false" ht="35.05" hidden="false" customHeight="false" outlineLevel="0" collapsed="false">
      <c r="B1209" s="36" t="s">
        <v>77</v>
      </c>
      <c r="C1209" s="98" t="s">
        <v>17</v>
      </c>
      <c r="D1209" s="98" t="s">
        <v>350</v>
      </c>
      <c r="E1209" s="110" t="s">
        <v>3887</v>
      </c>
      <c r="F1209" s="99" t="n">
        <v>140</v>
      </c>
      <c r="G1209" s="98" t="s">
        <v>333</v>
      </c>
      <c r="H1209" s="112" t="n">
        <f aca="false">IF(AND(AE1209="yes",ISNUMBER(AD1209)),AD1209,"")</f>
        <v>115.7</v>
      </c>
      <c r="I1209" s="95" t="n">
        <f aca="false">IF(AND(AE1209="yes",ISNUMBER(AD1209),ISNUMBER(INDEX(Sources!$G$7:$G$10,MATCH(AB1209,Sources!$B$7:$B$10,0)))),ROUND(AD1209/INDEX(Sources!$G$7:$G$10,MATCH(AB1209,Sources!$B$7:$B$10,0)),6),"")</f>
        <v>4.737218</v>
      </c>
      <c r="J1209" s="98" t="s">
        <v>530</v>
      </c>
      <c r="K1209" s="98" t="s">
        <v>2059</v>
      </c>
      <c r="L1209" s="96"/>
      <c r="M1209" s="110" t="s">
        <v>3888</v>
      </c>
      <c r="N1209" s="117" t="s">
        <v>3889</v>
      </c>
      <c r="O1209" s="110" t="s">
        <v>2997</v>
      </c>
      <c r="P1209" s="110" t="s">
        <v>265</v>
      </c>
      <c r="Q1209" s="118" t="n">
        <v>0.21</v>
      </c>
      <c r="R1209" s="110" t="n">
        <v>1</v>
      </c>
      <c r="S1209" s="110" t="s">
        <v>632</v>
      </c>
      <c r="T1209" s="110" t="s">
        <v>530</v>
      </c>
      <c r="U1209" s="110" t="s">
        <v>2918</v>
      </c>
      <c r="V1209" s="119" t="n">
        <v>115.7</v>
      </c>
      <c r="W1209" s="119"/>
      <c r="X1209" s="110" t="s">
        <v>2063</v>
      </c>
      <c r="Y1209" s="110" t="s">
        <v>2064</v>
      </c>
      <c r="Z1209" s="110" t="s">
        <v>2349</v>
      </c>
      <c r="AA1209" s="110" t="s">
        <v>537</v>
      </c>
      <c r="AB1209" s="110" t="s">
        <v>333</v>
      </c>
      <c r="AC1209" s="110" t="s">
        <v>538</v>
      </c>
      <c r="AD1209" s="110" t="n">
        <f aca="false">IF(OR(F1209="",Q1209="",R1209=""),"",ROUND(IF(P1209="incl.",F1209/(1+Q1209),F1209)/IF(S1209="per pack",R1209,1),2))</f>
        <v>115.7</v>
      </c>
      <c r="AE1209" s="110" t="str">
        <f aca="false">IF(AND(AC1209="yes",ISNUMBER(F1209),IF(Compare!$H$5="All mapped",TRUE(),IF(Compare!$H$5="EXACT only",J1209="EXACT",OR(J1209="EXACT",J1209="CLOSE")))),"yes","no")</f>
        <v>yes</v>
      </c>
      <c r="AF1209" s="110" t="n">
        <f aca="false">IF(ISNUMBER(H1209),COUNTIFS($B$7:$B$3000,B1209,$C$7:$C$3000,C1209,$H$7:$H$3000,"&lt;"&amp;H1209,$AH$7:$AH$3000,"yes")+COUNTIFS($B$7:B1209,B1209,$C$7:C1209,C1209,$H$7:H1209,H1209,$AH$7:AH1209,"yes"),"")</f>
        <v>1</v>
      </c>
      <c r="AG1209" s="110" t="n">
        <f aca="false">IF(ISNUMBER(I1209),COUNTIFS($B$7:$B$3000,B1209,$C$7:$C$3000,C1209,$I$7:$I$3000,"&lt;"&amp;I1209,$AI$7:$AI$3000,"yes")+COUNTIFS($B$7:B1209,B1209,$C$7:C1209,C1209,$I$7:I1209,I1209,$AI$7:AI1209,"yes"),"")</f>
        <v>1</v>
      </c>
      <c r="AH1209" s="110" t="str">
        <f aca="false">IF(ISNUMBER(H1209),"yes","no")</f>
        <v>yes</v>
      </c>
      <c r="AI1209" s="110" t="str">
        <f aca="false">IF(ISNUMBER(I1209),"yes","no")</f>
        <v>yes</v>
      </c>
      <c r="AJ1209" s="120" t="n">
        <v>46297</v>
      </c>
      <c r="AK1209" s="110"/>
    </row>
    <row r="1210" customFormat="false" ht="23.85" hidden="false" customHeight="false" outlineLevel="0" collapsed="false">
      <c r="B1210" s="36" t="s">
        <v>77</v>
      </c>
      <c r="C1210" s="98" t="s">
        <v>18</v>
      </c>
      <c r="D1210" s="98" t="s">
        <v>3002</v>
      </c>
      <c r="E1210" s="110" t="s">
        <v>3890</v>
      </c>
      <c r="F1210" s="99" t="n">
        <v>7.7</v>
      </c>
      <c r="G1210" s="98" t="s">
        <v>244</v>
      </c>
      <c r="H1210" s="112" t="n">
        <f aca="false">IF(AND(AE1210="yes",ISNUMBER(AD1210)),AD1210,"")</f>
        <v>7.7</v>
      </c>
      <c r="I1210" s="95" t="n">
        <f aca="false">IF(AND(AE1210="yes",ISNUMBER(AD1210),ISNUMBER(INDEX(Sources!$G$7:$G$10,MATCH(AB1210,Sources!$B$7:$B$10,0)))),ROUND(AD1210/INDEX(Sources!$G$7:$G$10,MATCH(AB1210,Sources!$B$7:$B$10,0)),6),"")</f>
        <v>7.7</v>
      </c>
      <c r="J1210" s="98" t="s">
        <v>530</v>
      </c>
      <c r="K1210" s="98" t="s">
        <v>2059</v>
      </c>
      <c r="L1210" s="96"/>
      <c r="M1210" s="110" t="s">
        <v>3891</v>
      </c>
      <c r="N1210" s="117" t="s">
        <v>3005</v>
      </c>
      <c r="O1210" s="110" t="s">
        <v>2396</v>
      </c>
      <c r="P1210" s="110" t="s">
        <v>590</v>
      </c>
      <c r="Q1210" s="118" t="n">
        <v>0.23</v>
      </c>
      <c r="R1210" s="110" t="n">
        <v>1</v>
      </c>
      <c r="S1210" s="110" t="s">
        <v>632</v>
      </c>
      <c r="T1210" s="110" t="s">
        <v>530</v>
      </c>
      <c r="U1210" s="110" t="s">
        <v>2913</v>
      </c>
      <c r="V1210" s="119" t="n">
        <v>7.7</v>
      </c>
      <c r="W1210" s="119"/>
      <c r="X1210" s="110" t="s">
        <v>2063</v>
      </c>
      <c r="Y1210" s="110" t="s">
        <v>2064</v>
      </c>
      <c r="Z1210" s="110" t="s">
        <v>3006</v>
      </c>
      <c r="AA1210" s="110" t="s">
        <v>537</v>
      </c>
      <c r="AB1210" s="110" t="s">
        <v>244</v>
      </c>
      <c r="AC1210" s="110" t="s">
        <v>538</v>
      </c>
      <c r="AD1210" s="110" t="n">
        <f aca="false">IF(OR(F1210="",Q1210="",R1210=""),"",ROUND(IF(P1210="incl.",F1210/(1+Q1210),F1210)/IF(S1210="per pack",R1210,1),2))</f>
        <v>7.7</v>
      </c>
      <c r="AE1210" s="110" t="str">
        <f aca="false">IF(AND(AC1210="yes",ISNUMBER(F1210),IF(Compare!$H$5="All mapped",TRUE(),IF(Compare!$H$5="EXACT only",J1210="EXACT",OR(J1210="EXACT",J1210="CLOSE")))),"yes","no")</f>
        <v>yes</v>
      </c>
      <c r="AF1210" s="110" t="n">
        <f aca="false">IF(ISNUMBER(H1210),COUNTIFS($B$7:$B$3000,B1210,$C$7:$C$3000,C1210,$H$7:$H$3000,"&lt;"&amp;H1210,$AH$7:$AH$3000,"yes")+COUNTIFS($B$7:B1210,B1210,$C$7:C1210,C1210,$H$7:H1210,H1210,$AH$7:AH1210,"yes"),"")</f>
        <v>2</v>
      </c>
      <c r="AG1210" s="110" t="n">
        <f aca="false">IF(ISNUMBER(I1210),COUNTIFS($B$7:$B$3000,B1210,$C$7:$C$3000,C1210,$I$7:$I$3000,"&lt;"&amp;I1210,$AI$7:$AI$3000,"yes")+COUNTIFS($B$7:B1210,B1210,$C$7:C1210,C1210,$I$7:I1210,I1210,$AI$7:AI1210,"yes"),"")</f>
        <v>2</v>
      </c>
      <c r="AH1210" s="110" t="str">
        <f aca="false">IF(ISNUMBER(H1210),"yes","no")</f>
        <v>yes</v>
      </c>
      <c r="AI1210" s="110" t="str">
        <f aca="false">IF(ISNUMBER(I1210),"yes","no")</f>
        <v>yes</v>
      </c>
      <c r="AJ1210" s="120" t="n">
        <v>46297</v>
      </c>
      <c r="AK1210" s="110"/>
    </row>
    <row r="1211" customFormat="false" ht="23.85" hidden="false" customHeight="false" outlineLevel="0" collapsed="false">
      <c r="B1211" s="36" t="s">
        <v>77</v>
      </c>
      <c r="C1211" s="98" t="s">
        <v>18</v>
      </c>
      <c r="D1211" s="98" t="s">
        <v>3007</v>
      </c>
      <c r="E1211" s="110" t="s">
        <v>3892</v>
      </c>
      <c r="F1211" s="99" t="n">
        <v>7.78</v>
      </c>
      <c r="G1211" s="98" t="s">
        <v>244</v>
      </c>
      <c r="H1211" s="112" t="n">
        <f aca="false">IF(AND(AE1211="yes",ISNUMBER(AD1211)),AD1211,"")</f>
        <v>7.78</v>
      </c>
      <c r="I1211" s="95" t="n">
        <f aca="false">IF(AND(AE1211="yes",ISNUMBER(AD1211),ISNUMBER(INDEX(Sources!$G$7:$G$10,MATCH(AB1211,Sources!$B$7:$B$10,0)))),ROUND(AD1211/INDEX(Sources!$G$7:$G$10,MATCH(AB1211,Sources!$B$7:$B$10,0)),6),"")</f>
        <v>7.78</v>
      </c>
      <c r="J1211" s="98" t="s">
        <v>530</v>
      </c>
      <c r="K1211" s="98" t="s">
        <v>2059</v>
      </c>
      <c r="L1211" s="96"/>
      <c r="M1211" s="110" t="s">
        <v>3893</v>
      </c>
      <c r="N1211" s="117" t="s">
        <v>3010</v>
      </c>
      <c r="O1211" s="110" t="s">
        <v>3011</v>
      </c>
      <c r="P1211" s="110" t="s">
        <v>590</v>
      </c>
      <c r="Q1211" s="118" t="n">
        <v>0.23</v>
      </c>
      <c r="R1211" s="110" t="n">
        <v>1</v>
      </c>
      <c r="S1211" s="110" t="s">
        <v>632</v>
      </c>
      <c r="T1211" s="110" t="s">
        <v>530</v>
      </c>
      <c r="U1211" s="110" t="s">
        <v>2913</v>
      </c>
      <c r="V1211" s="119" t="n">
        <v>7.78</v>
      </c>
      <c r="W1211" s="119"/>
      <c r="X1211" s="110" t="s">
        <v>2063</v>
      </c>
      <c r="Y1211" s="110" t="s">
        <v>2064</v>
      </c>
      <c r="Z1211" s="110" t="s">
        <v>3012</v>
      </c>
      <c r="AA1211" s="110" t="s">
        <v>537</v>
      </c>
      <c r="AB1211" s="110" t="s">
        <v>244</v>
      </c>
      <c r="AC1211" s="110" t="s">
        <v>538</v>
      </c>
      <c r="AD1211" s="110" t="n">
        <f aca="false">IF(OR(F1211="",Q1211="",R1211=""),"",ROUND(IF(P1211="incl.",F1211/(1+Q1211),F1211)/IF(S1211="per pack",R1211,1),2))</f>
        <v>7.78</v>
      </c>
      <c r="AE1211" s="110" t="str">
        <f aca="false">IF(AND(AC1211="yes",ISNUMBER(F1211),IF(Compare!$H$5="All mapped",TRUE(),IF(Compare!$H$5="EXACT only",J1211="EXACT",OR(J1211="EXACT",J1211="CLOSE")))),"yes","no")</f>
        <v>yes</v>
      </c>
      <c r="AF1211" s="110" t="n">
        <f aca="false">IF(ISNUMBER(H1211),COUNTIFS($B$7:$B$3000,B1211,$C$7:$C$3000,C1211,$H$7:$H$3000,"&lt;"&amp;H1211,$AH$7:$AH$3000,"yes")+COUNTIFS($B$7:B1211,B1211,$C$7:C1211,C1211,$H$7:H1211,H1211,$AH$7:AH1211,"yes"),"")</f>
        <v>3</v>
      </c>
      <c r="AG1211" s="110" t="n">
        <f aca="false">IF(ISNUMBER(I1211),COUNTIFS($B$7:$B$3000,B1211,$C$7:$C$3000,C1211,$I$7:$I$3000,"&lt;"&amp;I1211,$AI$7:$AI$3000,"yes")+COUNTIFS($B$7:B1211,B1211,$C$7:C1211,C1211,$I$7:I1211,I1211,$AI$7:AI1211,"yes"),"")</f>
        <v>3</v>
      </c>
      <c r="AH1211" s="110" t="str">
        <f aca="false">IF(ISNUMBER(H1211),"yes","no")</f>
        <v>yes</v>
      </c>
      <c r="AI1211" s="110" t="str">
        <f aca="false">IF(ISNUMBER(I1211),"yes","no")</f>
        <v>yes</v>
      </c>
      <c r="AJ1211" s="120" t="n">
        <v>46297</v>
      </c>
      <c r="AK1211" s="110"/>
    </row>
    <row r="1212" customFormat="false" ht="23.85" hidden="false" customHeight="false" outlineLevel="0" collapsed="false">
      <c r="B1212" s="36" t="s">
        <v>77</v>
      </c>
      <c r="C1212" s="98" t="s">
        <v>18</v>
      </c>
      <c r="D1212" s="98" t="s">
        <v>365</v>
      </c>
      <c r="E1212" s="110" t="s">
        <v>3894</v>
      </c>
      <c r="F1212" s="99" t="n">
        <v>17.27</v>
      </c>
      <c r="G1212" s="98" t="s">
        <v>244</v>
      </c>
      <c r="H1212" s="112" t="n">
        <f aca="false">IF(AND(AE1212="yes",ISNUMBER(AD1212)),AD1212,"")</f>
        <v>14.04</v>
      </c>
      <c r="I1212" s="95" t="n">
        <f aca="false">IF(AND(AE1212="yes",ISNUMBER(AD1212),ISNUMBER(INDEX(Sources!$G$7:$G$10,MATCH(AB1212,Sources!$B$7:$B$10,0)))),ROUND(AD1212/INDEX(Sources!$G$7:$G$10,MATCH(AB1212,Sources!$B$7:$B$10,0)),6),"")</f>
        <v>14.04</v>
      </c>
      <c r="J1212" s="98" t="s">
        <v>530</v>
      </c>
      <c r="K1212" s="98" t="s">
        <v>2059</v>
      </c>
      <c r="L1212" s="96"/>
      <c r="M1212" s="110" t="s">
        <v>3895</v>
      </c>
      <c r="N1212" s="117" t="s">
        <v>3896</v>
      </c>
      <c r="O1212" s="110" t="s">
        <v>3897</v>
      </c>
      <c r="P1212" s="110" t="s">
        <v>265</v>
      </c>
      <c r="Q1212" s="118" t="n">
        <v>0.23</v>
      </c>
      <c r="R1212" s="110" t="n">
        <v>1</v>
      </c>
      <c r="S1212" s="110" t="s">
        <v>632</v>
      </c>
      <c r="T1212" s="110" t="s">
        <v>530</v>
      </c>
      <c r="U1212" s="110" t="s">
        <v>2918</v>
      </c>
      <c r="V1212" s="119" t="n">
        <v>14.04</v>
      </c>
      <c r="W1212" s="119"/>
      <c r="X1212" s="110" t="s">
        <v>2063</v>
      </c>
      <c r="Y1212" s="110" t="s">
        <v>2064</v>
      </c>
      <c r="Z1212" s="110" t="s">
        <v>3016</v>
      </c>
      <c r="AA1212" s="110" t="s">
        <v>537</v>
      </c>
      <c r="AB1212" s="110" t="s">
        <v>244</v>
      </c>
      <c r="AC1212" s="110" t="s">
        <v>538</v>
      </c>
      <c r="AD1212" s="110" t="n">
        <f aca="false">IF(OR(F1212="",Q1212="",R1212=""),"",ROUND(IF(P1212="incl.",F1212/(1+Q1212),F1212)/IF(S1212="per pack",R1212,1),2))</f>
        <v>14.04</v>
      </c>
      <c r="AE1212" s="110" t="str">
        <f aca="false">IF(AND(AC1212="yes",ISNUMBER(F1212),IF(Compare!$H$5="All mapped",TRUE(),IF(Compare!$H$5="EXACT only",J1212="EXACT",OR(J1212="EXACT",J1212="CLOSE")))),"yes","no")</f>
        <v>yes</v>
      </c>
      <c r="AF1212" s="110" t="n">
        <f aca="false">IF(ISNUMBER(H1212),COUNTIFS($B$7:$B$3000,B1212,$C$7:$C$3000,C1212,$H$7:$H$3000,"&lt;"&amp;H1212,$AH$7:$AH$3000,"yes")+COUNTIFS($B$7:B1212,B1212,$C$7:C1212,C1212,$H$7:H1212,H1212,$AH$7:AH1212,"yes"),"")</f>
        <v>4</v>
      </c>
      <c r="AG1212" s="110" t="n">
        <f aca="false">IF(ISNUMBER(I1212),COUNTIFS($B$7:$B$3000,B1212,$C$7:$C$3000,C1212,$I$7:$I$3000,"&lt;"&amp;I1212,$AI$7:$AI$3000,"yes")+COUNTIFS($B$7:B1212,B1212,$C$7:C1212,C1212,$I$7:I1212,I1212,$AI$7:AI1212,"yes"),"")</f>
        <v>4</v>
      </c>
      <c r="AH1212" s="110" t="str">
        <f aca="false">IF(ISNUMBER(H1212),"yes","no")</f>
        <v>yes</v>
      </c>
      <c r="AI1212" s="110" t="str">
        <f aca="false">IF(ISNUMBER(I1212),"yes","no")</f>
        <v>yes</v>
      </c>
      <c r="AJ1212" s="120" t="n">
        <v>46297</v>
      </c>
      <c r="AK1212" s="110"/>
    </row>
    <row r="1213" customFormat="false" ht="23.85" hidden="false" customHeight="false" outlineLevel="0" collapsed="false">
      <c r="B1213" s="36" t="s">
        <v>77</v>
      </c>
      <c r="C1213" s="98" t="s">
        <v>18</v>
      </c>
      <c r="D1213" s="98" t="s">
        <v>3021</v>
      </c>
      <c r="E1213" s="110" t="s">
        <v>3898</v>
      </c>
      <c r="F1213" s="99" t="n">
        <v>5.01</v>
      </c>
      <c r="G1213" s="98" t="s">
        <v>244</v>
      </c>
      <c r="H1213" s="112" t="n">
        <f aca="false">IF(AND(AE1213="yes",ISNUMBER(AD1213)),AD1213,"")</f>
        <v>5.01</v>
      </c>
      <c r="I1213" s="95" t="n">
        <f aca="false">IF(AND(AE1213="yes",ISNUMBER(AD1213),ISNUMBER(INDEX(Sources!$G$7:$G$10,MATCH(AB1213,Sources!$B$7:$B$10,0)))),ROUND(AD1213/INDEX(Sources!$G$7:$G$10,MATCH(AB1213,Sources!$B$7:$B$10,0)),6),"")</f>
        <v>5.01</v>
      </c>
      <c r="J1213" s="98" t="s">
        <v>530</v>
      </c>
      <c r="K1213" s="98" t="s">
        <v>2059</v>
      </c>
      <c r="L1213" s="96"/>
      <c r="M1213" s="110" t="s">
        <v>3899</v>
      </c>
      <c r="N1213" s="117" t="s">
        <v>3023</v>
      </c>
      <c r="O1213" s="110" t="s">
        <v>2396</v>
      </c>
      <c r="P1213" s="110" t="s">
        <v>590</v>
      </c>
      <c r="Q1213" s="118" t="n">
        <v>0.23</v>
      </c>
      <c r="R1213" s="110" t="n">
        <v>1</v>
      </c>
      <c r="S1213" s="110" t="s">
        <v>632</v>
      </c>
      <c r="T1213" s="110" t="s">
        <v>530</v>
      </c>
      <c r="U1213" s="110" t="s">
        <v>2913</v>
      </c>
      <c r="V1213" s="119" t="n">
        <v>5.01</v>
      </c>
      <c r="W1213" s="119"/>
      <c r="X1213" s="110" t="s">
        <v>2063</v>
      </c>
      <c r="Y1213" s="110" t="s">
        <v>2064</v>
      </c>
      <c r="Z1213" s="110" t="s">
        <v>3900</v>
      </c>
      <c r="AA1213" s="110" t="s">
        <v>537</v>
      </c>
      <c r="AB1213" s="110" t="s">
        <v>244</v>
      </c>
      <c r="AC1213" s="110" t="s">
        <v>538</v>
      </c>
      <c r="AD1213" s="110" t="n">
        <f aca="false">IF(OR(F1213="",Q1213="",R1213=""),"",ROUND(IF(P1213="incl.",F1213/(1+Q1213),F1213)/IF(S1213="per pack",R1213,1),2))</f>
        <v>5.01</v>
      </c>
      <c r="AE1213" s="110" t="str">
        <f aca="false">IF(AND(AC1213="yes",ISNUMBER(F1213),IF(Compare!$H$5="All mapped",TRUE(),IF(Compare!$H$5="EXACT only",J1213="EXACT",OR(J1213="EXACT",J1213="CLOSE")))),"yes","no")</f>
        <v>yes</v>
      </c>
      <c r="AF1213" s="110" t="n">
        <f aca="false">IF(ISNUMBER(H1213),COUNTIFS($B$7:$B$3000,B1213,$C$7:$C$3000,C1213,$H$7:$H$3000,"&lt;"&amp;H1213,$AH$7:$AH$3000,"yes")+COUNTIFS($B$7:B1213,B1213,$C$7:C1213,C1213,$H$7:H1213,H1213,$AH$7:AH1213,"yes"),"")</f>
        <v>1</v>
      </c>
      <c r="AG1213" s="110" t="n">
        <f aca="false">IF(ISNUMBER(I1213),COUNTIFS($B$7:$B$3000,B1213,$C$7:$C$3000,C1213,$I$7:$I$3000,"&lt;"&amp;I1213,$AI$7:$AI$3000,"yes")+COUNTIFS($B$7:B1213,B1213,$C$7:C1213,C1213,$I$7:I1213,I1213,$AI$7:AI1213,"yes"),"")</f>
        <v>1</v>
      </c>
      <c r="AH1213" s="110" t="str">
        <f aca="false">IF(ISNUMBER(H1213),"yes","no")</f>
        <v>yes</v>
      </c>
      <c r="AI1213" s="110" t="str">
        <f aca="false">IF(ISNUMBER(I1213),"yes","no")</f>
        <v>yes</v>
      </c>
      <c r="AJ1213" s="120" t="n">
        <v>46297</v>
      </c>
      <c r="AK1213" s="110"/>
    </row>
    <row r="1214" customFormat="false" ht="35.05" hidden="false" customHeight="false" outlineLevel="0" collapsed="false">
      <c r="B1214" s="36" t="s">
        <v>78</v>
      </c>
      <c r="C1214" s="98" t="s">
        <v>14</v>
      </c>
      <c r="D1214" s="98" t="s">
        <v>373</v>
      </c>
      <c r="E1214" s="110" t="s">
        <v>3901</v>
      </c>
      <c r="F1214" s="99" t="n">
        <v>13.55</v>
      </c>
      <c r="G1214" s="98" t="s">
        <v>374</v>
      </c>
      <c r="H1214" s="112" t="n">
        <f aca="false">IF(AND(AE1214="yes",ISNUMBER(AD1214)),AD1214,"")</f>
        <v>13.55</v>
      </c>
      <c r="I1214" s="95" t="n">
        <f aca="false">IF(AND(AE1214="yes",ISNUMBER(AD1214),ISNUMBER(INDEX(Sources!$G$7:$G$10,MATCH(AB1214,Sources!$B$7:$B$10,0)))),ROUND(AD1214/INDEX(Sources!$G$7:$G$10,MATCH(AB1214,Sources!$B$7:$B$10,0)),6),"")</f>
        <v>2.567435</v>
      </c>
      <c r="J1214" s="98" t="s">
        <v>530</v>
      </c>
      <c r="K1214" s="98" t="s">
        <v>2059</v>
      </c>
      <c r="L1214" s="96"/>
      <c r="M1214" s="110" t="s">
        <v>3902</v>
      </c>
      <c r="N1214" s="117" t="s">
        <v>3903</v>
      </c>
      <c r="O1214" s="110" t="s">
        <v>2912</v>
      </c>
      <c r="P1214" s="110" t="s">
        <v>590</v>
      </c>
      <c r="Q1214" s="118" t="n">
        <v>0.21</v>
      </c>
      <c r="R1214" s="110" t="n">
        <v>1</v>
      </c>
      <c r="S1214" s="110" t="s">
        <v>632</v>
      </c>
      <c r="T1214" s="110" t="s">
        <v>530</v>
      </c>
      <c r="U1214" s="110" t="s">
        <v>2913</v>
      </c>
      <c r="V1214" s="119" t="n">
        <v>13.55</v>
      </c>
      <c r="W1214" s="119"/>
      <c r="X1214" s="110" t="s">
        <v>2063</v>
      </c>
      <c r="Y1214" s="110" t="s">
        <v>2064</v>
      </c>
      <c r="Z1214" s="110"/>
      <c r="AA1214" s="110" t="s">
        <v>537</v>
      </c>
      <c r="AB1214" s="110" t="s">
        <v>374</v>
      </c>
      <c r="AC1214" s="110" t="s">
        <v>538</v>
      </c>
      <c r="AD1214" s="110" t="n">
        <f aca="false">IF(OR(F1214="",Q1214="",R1214=""),"",ROUND(IF(P1214="incl.",F1214/(1+Q1214),F1214)/IF(S1214="per pack",R1214,1),2))</f>
        <v>13.55</v>
      </c>
      <c r="AE1214" s="110" t="str">
        <f aca="false">IF(AND(AC1214="yes",ISNUMBER(F1214),IF(Compare!$H$5="All mapped",TRUE(),IF(Compare!$H$5="EXACT only",J1214="EXACT",OR(J1214="EXACT",J1214="CLOSE")))),"yes","no")</f>
        <v>yes</v>
      </c>
      <c r="AF1214" s="110" t="n">
        <f aca="false">IF(ISNUMBER(H1214),COUNTIFS($B$7:$B$3000,B1214,$C$7:$C$3000,C1214,$H$7:$H$3000,"&lt;"&amp;H1214,$AH$7:$AH$3000,"yes")+COUNTIFS($B$7:B1214,B1214,$C$7:C1214,C1214,$H$7:H1214,H1214,$AH$7:AH1214,"yes"),"")</f>
        <v>4</v>
      </c>
      <c r="AG1214" s="110" t="n">
        <f aca="false">IF(ISNUMBER(I1214),COUNTIFS($B$7:$B$3000,B1214,$C$7:$C$3000,C1214,$I$7:$I$3000,"&lt;"&amp;I1214,$AI$7:$AI$3000,"yes")+COUNTIFS($B$7:B1214,B1214,$C$7:C1214,C1214,$I$7:I1214,I1214,$AI$7:AI1214,"yes"),"")</f>
        <v>4</v>
      </c>
      <c r="AH1214" s="110" t="str">
        <f aca="false">IF(ISNUMBER(H1214),"yes","no")</f>
        <v>yes</v>
      </c>
      <c r="AI1214" s="110" t="str">
        <f aca="false">IF(ISNUMBER(I1214),"yes","no")</f>
        <v>yes</v>
      </c>
      <c r="AJ1214" s="120" t="n">
        <v>46297</v>
      </c>
      <c r="AK1214" s="110"/>
    </row>
    <row r="1215" customFormat="false" ht="23.85" hidden="false" customHeight="false" outlineLevel="0" collapsed="false">
      <c r="B1215" s="36" t="s">
        <v>78</v>
      </c>
      <c r="C1215" s="98" t="s">
        <v>14</v>
      </c>
      <c r="D1215" s="98" t="s">
        <v>378</v>
      </c>
      <c r="E1215" s="110" t="s">
        <v>3904</v>
      </c>
      <c r="F1215" s="99" t="n">
        <v>15.16</v>
      </c>
      <c r="G1215" s="98" t="s">
        <v>374</v>
      </c>
      <c r="H1215" s="112" t="n">
        <f aca="false">IF(AND(AE1215="yes",ISNUMBER(AD1215)),AD1215,"")</f>
        <v>12.53</v>
      </c>
      <c r="I1215" s="95" t="n">
        <f aca="false">IF(AND(AE1215="yes",ISNUMBER(AD1215),ISNUMBER(INDEX(Sources!$G$7:$G$10,MATCH(AB1215,Sources!$B$7:$B$10,0)))),ROUND(AD1215/INDEX(Sources!$G$7:$G$10,MATCH(AB1215,Sources!$B$7:$B$10,0)),6),"")</f>
        <v>2.374167</v>
      </c>
      <c r="J1215" s="98" t="s">
        <v>530</v>
      </c>
      <c r="K1215" s="98" t="s">
        <v>2059</v>
      </c>
      <c r="L1215" s="96"/>
      <c r="M1215" s="110" t="s">
        <v>3905</v>
      </c>
      <c r="N1215" s="117" t="s">
        <v>3906</v>
      </c>
      <c r="O1215" s="110" t="s">
        <v>2917</v>
      </c>
      <c r="P1215" s="110" t="s">
        <v>265</v>
      </c>
      <c r="Q1215" s="118" t="n">
        <v>0.21</v>
      </c>
      <c r="R1215" s="110" t="n">
        <v>1</v>
      </c>
      <c r="S1215" s="110" t="s">
        <v>632</v>
      </c>
      <c r="T1215" s="110" t="s">
        <v>530</v>
      </c>
      <c r="U1215" s="110" t="s">
        <v>2918</v>
      </c>
      <c r="V1215" s="119" t="n">
        <v>12.53</v>
      </c>
      <c r="W1215" s="119"/>
      <c r="X1215" s="110" t="s">
        <v>2063</v>
      </c>
      <c r="Y1215" s="110" t="s">
        <v>2064</v>
      </c>
      <c r="Z1215" s="110"/>
      <c r="AA1215" s="110" t="s">
        <v>537</v>
      </c>
      <c r="AB1215" s="110" t="s">
        <v>374</v>
      </c>
      <c r="AC1215" s="110" t="s">
        <v>538</v>
      </c>
      <c r="AD1215" s="110" t="n">
        <f aca="false">IF(OR(F1215="",Q1215="",R1215=""),"",ROUND(IF(P1215="incl.",F1215/(1+Q1215),F1215)/IF(S1215="per pack",R1215,1),2))</f>
        <v>12.53</v>
      </c>
      <c r="AE1215" s="110" t="str">
        <f aca="false">IF(AND(AC1215="yes",ISNUMBER(F1215),IF(Compare!$H$5="All mapped",TRUE(),IF(Compare!$H$5="EXACT only",J1215="EXACT",OR(J1215="EXACT",J1215="CLOSE")))),"yes","no")</f>
        <v>yes</v>
      </c>
      <c r="AF1215" s="110" t="n">
        <f aca="false">IF(ISNUMBER(H1215),COUNTIFS($B$7:$B$3000,B1215,$C$7:$C$3000,C1215,$H$7:$H$3000,"&lt;"&amp;H1215,$AH$7:$AH$3000,"yes")+COUNTIFS($B$7:B1215,B1215,$C$7:C1215,C1215,$H$7:H1215,H1215,$AH$7:AH1215,"yes"),"")</f>
        <v>3</v>
      </c>
      <c r="AG1215" s="110" t="n">
        <f aca="false">IF(ISNUMBER(I1215),COUNTIFS($B$7:$B$3000,B1215,$C$7:$C$3000,C1215,$I$7:$I$3000,"&lt;"&amp;I1215,$AI$7:$AI$3000,"yes")+COUNTIFS($B$7:B1215,B1215,$C$7:C1215,C1215,$I$7:I1215,I1215,$AI$7:AI1215,"yes"),"")</f>
        <v>3</v>
      </c>
      <c r="AH1215" s="110" t="str">
        <f aca="false">IF(ISNUMBER(H1215),"yes","no")</f>
        <v>yes</v>
      </c>
      <c r="AI1215" s="110" t="str">
        <f aca="false">IF(ISNUMBER(I1215),"yes","no")</f>
        <v>yes</v>
      </c>
      <c r="AJ1215" s="120" t="n">
        <v>46297</v>
      </c>
      <c r="AK1215" s="110"/>
    </row>
    <row r="1216" customFormat="false" ht="35.05" hidden="false" customHeight="false" outlineLevel="0" collapsed="false">
      <c r="B1216" s="36" t="s">
        <v>78</v>
      </c>
      <c r="C1216" s="98" t="s">
        <v>14</v>
      </c>
      <c r="D1216" s="98" t="s">
        <v>346</v>
      </c>
      <c r="E1216" s="110" t="s">
        <v>3907</v>
      </c>
      <c r="F1216" s="99" t="n">
        <v>28.19</v>
      </c>
      <c r="G1216" s="98" t="s">
        <v>374</v>
      </c>
      <c r="H1216" s="112" t="n">
        <f aca="false">IF(AND(AE1216="yes",ISNUMBER(AD1216)),AD1216,"")</f>
        <v>23.3</v>
      </c>
      <c r="I1216" s="95" t="n">
        <f aca="false">IF(AND(AE1216="yes",ISNUMBER(AD1216),ISNUMBER(INDEX(Sources!$G$7:$G$10,MATCH(AB1216,Sources!$B$7:$B$10,0)))),ROUND(AD1216/INDEX(Sources!$G$7:$G$10,MATCH(AB1216,Sources!$B$7:$B$10,0)),6),"")</f>
        <v>4.414851</v>
      </c>
      <c r="J1216" s="98" t="s">
        <v>530</v>
      </c>
      <c r="K1216" s="98" t="s">
        <v>2059</v>
      </c>
      <c r="L1216" s="96"/>
      <c r="M1216" s="110" t="s">
        <v>3908</v>
      </c>
      <c r="N1216" s="117" t="s">
        <v>3909</v>
      </c>
      <c r="O1216" s="110" t="s">
        <v>565</v>
      </c>
      <c r="P1216" s="110" t="s">
        <v>265</v>
      </c>
      <c r="Q1216" s="118" t="n">
        <v>0.21</v>
      </c>
      <c r="R1216" s="110" t="n">
        <v>1</v>
      </c>
      <c r="S1216" s="110" t="s">
        <v>632</v>
      </c>
      <c r="T1216" s="110" t="s">
        <v>530</v>
      </c>
      <c r="U1216" s="110" t="s">
        <v>2918</v>
      </c>
      <c r="V1216" s="119" t="n">
        <v>23.3</v>
      </c>
      <c r="W1216" s="119"/>
      <c r="X1216" s="110" t="s">
        <v>2063</v>
      </c>
      <c r="Y1216" s="110" t="s">
        <v>2064</v>
      </c>
      <c r="Z1216" s="110"/>
      <c r="AA1216" s="110" t="s">
        <v>537</v>
      </c>
      <c r="AB1216" s="110" t="s">
        <v>374</v>
      </c>
      <c r="AC1216" s="110" t="s">
        <v>538</v>
      </c>
      <c r="AD1216" s="110" t="n">
        <f aca="false">IF(OR(F1216="",Q1216="",R1216=""),"",ROUND(IF(P1216="incl.",F1216/(1+Q1216),F1216)/IF(S1216="per pack",R1216,1),2))</f>
        <v>23.3</v>
      </c>
      <c r="AE1216" s="110" t="str">
        <f aca="false">IF(AND(AC1216="yes",ISNUMBER(F1216),IF(Compare!$H$5="All mapped",TRUE(),IF(Compare!$H$5="EXACT only",J1216="EXACT",OR(J1216="EXACT",J1216="CLOSE")))),"yes","no")</f>
        <v>yes</v>
      </c>
      <c r="AF1216" s="110" t="n">
        <f aca="false">IF(ISNUMBER(H1216),COUNTIFS($B$7:$B$3000,B1216,$C$7:$C$3000,C1216,$H$7:$H$3000,"&lt;"&amp;H1216,$AH$7:$AH$3000,"yes")+COUNTIFS($B$7:B1216,B1216,$C$7:C1216,C1216,$H$7:H1216,H1216,$AH$7:AH1216,"yes"),"")</f>
        <v>5</v>
      </c>
      <c r="AG1216" s="110" t="n">
        <f aca="false">IF(ISNUMBER(I1216),COUNTIFS($B$7:$B$3000,B1216,$C$7:$C$3000,C1216,$I$7:$I$3000,"&lt;"&amp;I1216,$AI$7:$AI$3000,"yes")+COUNTIFS($B$7:B1216,B1216,$C$7:C1216,C1216,$I$7:I1216,I1216,$AI$7:AI1216,"yes"),"")</f>
        <v>5</v>
      </c>
      <c r="AH1216" s="110" t="str">
        <f aca="false">IF(ISNUMBER(H1216),"yes","no")</f>
        <v>yes</v>
      </c>
      <c r="AI1216" s="110" t="str">
        <f aca="false">IF(ISNUMBER(I1216),"yes","no")</f>
        <v>yes</v>
      </c>
      <c r="AJ1216" s="120" t="n">
        <v>46297</v>
      </c>
      <c r="AK1216" s="110"/>
    </row>
    <row r="1217" customFormat="false" ht="23.85" hidden="false" customHeight="false" outlineLevel="0" collapsed="false">
      <c r="B1217" s="36" t="s">
        <v>78</v>
      </c>
      <c r="C1217" s="98" t="s">
        <v>14</v>
      </c>
      <c r="D1217" s="98" t="s">
        <v>395</v>
      </c>
      <c r="E1217" s="110" t="s">
        <v>3910</v>
      </c>
      <c r="F1217" s="99" t="n">
        <v>1.73</v>
      </c>
      <c r="G1217" s="98" t="s">
        <v>244</v>
      </c>
      <c r="H1217" s="112" t="n">
        <f aca="false">IF(AND(AE1217="yes",ISNUMBER(AD1217)),AD1217,"")</f>
        <v>1.73</v>
      </c>
      <c r="I1217" s="95" t="n">
        <f aca="false">IF(AND(AE1217="yes",ISNUMBER(AD1217),ISNUMBER(INDEX(Sources!$G$7:$G$10,MATCH(AB1217,Sources!$B$7:$B$10,0)))),ROUND(AD1217/INDEX(Sources!$G$7:$G$10,MATCH(AB1217,Sources!$B$7:$B$10,0)),6),"")</f>
        <v>1.73</v>
      </c>
      <c r="J1217" s="98" t="s">
        <v>530</v>
      </c>
      <c r="K1217" s="98" t="s">
        <v>2059</v>
      </c>
      <c r="L1217" s="96"/>
      <c r="M1217" s="110" t="s">
        <v>3911</v>
      </c>
      <c r="N1217" s="117" t="s">
        <v>3912</v>
      </c>
      <c r="O1217" s="110" t="s">
        <v>572</v>
      </c>
      <c r="P1217" s="110" t="s">
        <v>590</v>
      </c>
      <c r="Q1217" s="118" t="n">
        <v>0.21</v>
      </c>
      <c r="R1217" s="110" t="n">
        <v>1</v>
      </c>
      <c r="S1217" s="110" t="s">
        <v>632</v>
      </c>
      <c r="T1217" s="110" t="s">
        <v>530</v>
      </c>
      <c r="U1217" s="110" t="s">
        <v>2913</v>
      </c>
      <c r="V1217" s="119" t="n">
        <v>1.73</v>
      </c>
      <c r="W1217" s="119"/>
      <c r="X1217" s="110" t="s">
        <v>2063</v>
      </c>
      <c r="Y1217" s="110" t="s">
        <v>2064</v>
      </c>
      <c r="Z1217" s="110" t="s">
        <v>2925</v>
      </c>
      <c r="AA1217" s="110" t="s">
        <v>537</v>
      </c>
      <c r="AB1217" s="110" t="s">
        <v>244</v>
      </c>
      <c r="AC1217" s="110" t="s">
        <v>538</v>
      </c>
      <c r="AD1217" s="110" t="n">
        <f aca="false">IF(OR(F1217="",Q1217="",R1217=""),"",ROUND(IF(P1217="incl.",F1217/(1+Q1217),F1217)/IF(S1217="per pack",R1217,1),2))</f>
        <v>1.73</v>
      </c>
      <c r="AE1217" s="110" t="str">
        <f aca="false">IF(AND(AC1217="yes",ISNUMBER(F1217),IF(Compare!$H$5="All mapped",TRUE(),IF(Compare!$H$5="EXACT only",J1217="EXACT",OR(J1217="EXACT",J1217="CLOSE")))),"yes","no")</f>
        <v>yes</v>
      </c>
      <c r="AF1217" s="110" t="n">
        <f aca="false">IF(ISNUMBER(H1217),COUNTIFS($B$7:$B$3000,B1217,$C$7:$C$3000,C1217,$H$7:$H$3000,"&lt;"&amp;H1217,$AH$7:$AH$3000,"yes")+COUNTIFS($B$7:B1217,B1217,$C$7:C1217,C1217,$H$7:H1217,H1217,$AH$7:AH1217,"yes"),"")</f>
        <v>1</v>
      </c>
      <c r="AG1217" s="110" t="n">
        <f aca="false">IF(ISNUMBER(I1217),COUNTIFS($B$7:$B$3000,B1217,$C$7:$C$3000,C1217,$I$7:$I$3000,"&lt;"&amp;I1217,$AI$7:$AI$3000,"yes")+COUNTIFS($B$7:B1217,B1217,$C$7:C1217,C1217,$I$7:I1217,I1217,$AI$7:AI1217,"yes"),"")</f>
        <v>2</v>
      </c>
      <c r="AH1217" s="110" t="str">
        <f aca="false">IF(ISNUMBER(H1217),"yes","no")</f>
        <v>yes</v>
      </c>
      <c r="AI1217" s="110" t="str">
        <f aca="false">IF(ISNUMBER(I1217),"yes","no")</f>
        <v>yes</v>
      </c>
      <c r="AJ1217" s="120" t="n">
        <v>46297</v>
      </c>
      <c r="AK1217" s="110"/>
    </row>
    <row r="1218" customFormat="false" ht="23.85" hidden="false" customHeight="false" outlineLevel="0" collapsed="false">
      <c r="B1218" s="36" t="s">
        <v>78</v>
      </c>
      <c r="C1218" s="98" t="s">
        <v>14</v>
      </c>
      <c r="D1218" s="98" t="s">
        <v>403</v>
      </c>
      <c r="E1218" s="110" t="s">
        <v>3913</v>
      </c>
      <c r="F1218" s="99" t="n">
        <v>8.44</v>
      </c>
      <c r="G1218" s="98" t="s">
        <v>374</v>
      </c>
      <c r="H1218" s="112" t="n">
        <f aca="false">IF(AND(AE1218="yes",ISNUMBER(AD1218)),AD1218,"")</f>
        <v>8.44</v>
      </c>
      <c r="I1218" s="95" t="n">
        <f aca="false">IF(AND(AE1218="yes",ISNUMBER(AD1218),ISNUMBER(INDEX(Sources!$G$7:$G$10,MATCH(AB1218,Sources!$B$7:$B$10,0)))),ROUND(AD1218/INDEX(Sources!$G$7:$G$10,MATCH(AB1218,Sources!$B$7:$B$10,0)),6),"")</f>
        <v>1.599199</v>
      </c>
      <c r="J1218" s="98" t="s">
        <v>530</v>
      </c>
      <c r="K1218" s="98" t="s">
        <v>2059</v>
      </c>
      <c r="L1218" s="96"/>
      <c r="M1218" s="110" t="s">
        <v>3914</v>
      </c>
      <c r="N1218" s="117" t="s">
        <v>3915</v>
      </c>
      <c r="O1218" s="110" t="s">
        <v>668</v>
      </c>
      <c r="P1218" s="110" t="s">
        <v>590</v>
      </c>
      <c r="Q1218" s="118" t="n">
        <v>0.21</v>
      </c>
      <c r="R1218" s="110" t="n">
        <v>1</v>
      </c>
      <c r="S1218" s="110" t="s">
        <v>632</v>
      </c>
      <c r="T1218" s="110" t="s">
        <v>530</v>
      </c>
      <c r="U1218" s="110" t="s">
        <v>2913</v>
      </c>
      <c r="V1218" s="119" t="n">
        <v>8.44</v>
      </c>
      <c r="W1218" s="119"/>
      <c r="X1218" s="110" t="s">
        <v>2063</v>
      </c>
      <c r="Y1218" s="110" t="s">
        <v>2064</v>
      </c>
      <c r="Z1218" s="110"/>
      <c r="AA1218" s="110" t="s">
        <v>537</v>
      </c>
      <c r="AB1218" s="110" t="s">
        <v>374</v>
      </c>
      <c r="AC1218" s="110" t="s">
        <v>538</v>
      </c>
      <c r="AD1218" s="110" t="n">
        <f aca="false">IF(OR(F1218="",Q1218="",R1218=""),"",ROUND(IF(P1218="incl.",F1218/(1+Q1218),F1218)/IF(S1218="per pack",R1218,1),2))</f>
        <v>8.44</v>
      </c>
      <c r="AE1218" s="110" t="str">
        <f aca="false">IF(AND(AC1218="yes",ISNUMBER(F1218),IF(Compare!$H$5="All mapped",TRUE(),IF(Compare!$H$5="EXACT only",J1218="EXACT",OR(J1218="EXACT",J1218="CLOSE")))),"yes","no")</f>
        <v>yes</v>
      </c>
      <c r="AF1218" s="110" t="n">
        <f aca="false">IF(ISNUMBER(H1218),COUNTIFS($B$7:$B$3000,B1218,$C$7:$C$3000,C1218,$H$7:$H$3000,"&lt;"&amp;H1218,$AH$7:$AH$3000,"yes")+COUNTIFS($B$7:B1218,B1218,$C$7:C1218,C1218,$H$7:H1218,H1218,$AH$7:AH1218,"yes"),"")</f>
        <v>2</v>
      </c>
      <c r="AG1218" s="110" t="n">
        <f aca="false">IF(ISNUMBER(I1218),COUNTIFS($B$7:$B$3000,B1218,$C$7:$C$3000,C1218,$I$7:$I$3000,"&lt;"&amp;I1218,$AI$7:$AI$3000,"yes")+COUNTIFS($B$7:B1218,B1218,$C$7:C1218,C1218,$I$7:I1218,I1218,$AI$7:AI1218,"yes"),"")</f>
        <v>1</v>
      </c>
      <c r="AH1218" s="110" t="str">
        <f aca="false">IF(ISNUMBER(H1218),"yes","no")</f>
        <v>yes</v>
      </c>
      <c r="AI1218" s="110" t="str">
        <f aca="false">IF(ISNUMBER(I1218),"yes","no")</f>
        <v>yes</v>
      </c>
      <c r="AJ1218" s="120" t="n">
        <v>46297</v>
      </c>
      <c r="AK1218" s="110"/>
    </row>
    <row r="1219" customFormat="false" ht="35.05" hidden="false" customHeight="false" outlineLevel="0" collapsed="false">
      <c r="B1219" s="36" t="s">
        <v>78</v>
      </c>
      <c r="C1219" s="98" t="s">
        <v>15</v>
      </c>
      <c r="D1219" s="98" t="s">
        <v>243</v>
      </c>
      <c r="E1219" s="110" t="s">
        <v>3916</v>
      </c>
      <c r="F1219" s="99" t="n">
        <v>3.69</v>
      </c>
      <c r="G1219" s="98" t="s">
        <v>244</v>
      </c>
      <c r="H1219" s="112" t="n">
        <f aca="false">IF(AND(AE1219="yes",ISNUMBER(AD1219)),AD1219,"")</f>
        <v>3.69</v>
      </c>
      <c r="I1219" s="95" t="n">
        <f aca="false">IF(AND(AE1219="yes",ISNUMBER(AD1219),ISNUMBER(INDEX(Sources!$G$7:$G$10,MATCH(AB1219,Sources!$B$7:$B$10,0)))),ROUND(AD1219/INDEX(Sources!$G$7:$G$10,MATCH(AB1219,Sources!$B$7:$B$10,0)),6),"")</f>
        <v>3.69</v>
      </c>
      <c r="J1219" s="98" t="s">
        <v>530</v>
      </c>
      <c r="K1219" s="98" t="s">
        <v>2059</v>
      </c>
      <c r="L1219" s="96"/>
      <c r="M1219" s="110" t="s">
        <v>3917</v>
      </c>
      <c r="N1219" s="117" t="s">
        <v>3918</v>
      </c>
      <c r="O1219" s="110" t="s">
        <v>2932</v>
      </c>
      <c r="P1219" s="110" t="s">
        <v>590</v>
      </c>
      <c r="Q1219" s="118" t="n">
        <v>0.2</v>
      </c>
      <c r="R1219" s="110" t="n">
        <v>1</v>
      </c>
      <c r="S1219" s="110" t="s">
        <v>632</v>
      </c>
      <c r="T1219" s="110" t="s">
        <v>530</v>
      </c>
      <c r="U1219" s="110" t="s">
        <v>2913</v>
      </c>
      <c r="V1219" s="119" t="n">
        <v>3.69</v>
      </c>
      <c r="W1219" s="119"/>
      <c r="X1219" s="110" t="s">
        <v>2063</v>
      </c>
      <c r="Y1219" s="110" t="s">
        <v>2064</v>
      </c>
      <c r="Z1219" s="110" t="s">
        <v>2164</v>
      </c>
      <c r="AA1219" s="110" t="s">
        <v>537</v>
      </c>
      <c r="AB1219" s="110" t="s">
        <v>244</v>
      </c>
      <c r="AC1219" s="110" t="s">
        <v>538</v>
      </c>
      <c r="AD1219" s="110" t="n">
        <f aca="false">IF(OR(F1219="",Q1219="",R1219=""),"",ROUND(IF(P1219="incl.",F1219/(1+Q1219),F1219)/IF(S1219="per pack",R1219,1),2))</f>
        <v>3.69</v>
      </c>
      <c r="AE1219" s="110" t="str">
        <f aca="false">IF(AND(AC1219="yes",ISNUMBER(F1219),IF(Compare!$H$5="All mapped",TRUE(),IF(Compare!$H$5="EXACT only",J1219="EXACT",OR(J1219="EXACT",J1219="CLOSE")))),"yes","no")</f>
        <v>yes</v>
      </c>
      <c r="AF1219" s="110" t="n">
        <f aca="false">IF(ISNUMBER(H1219),COUNTIFS($B$7:$B$3000,B1219,$C$7:$C$3000,C1219,$H$7:$H$3000,"&lt;"&amp;H1219,$AH$7:$AH$3000,"yes")+COUNTIFS($B$7:B1219,B1219,$C$7:C1219,C1219,$H$7:H1219,H1219,$AH$7:AH1219,"yes"),"")</f>
        <v>4</v>
      </c>
      <c r="AG1219" s="110" t="n">
        <f aca="false">IF(ISNUMBER(I1219),COUNTIFS($B$7:$B$3000,B1219,$C$7:$C$3000,C1219,$I$7:$I$3000,"&lt;"&amp;I1219,$AI$7:$AI$3000,"yes")+COUNTIFS($B$7:B1219,B1219,$C$7:C1219,C1219,$I$7:I1219,I1219,$AI$7:AI1219,"yes"),"")</f>
        <v>4</v>
      </c>
      <c r="AH1219" s="110" t="str">
        <f aca="false">IF(ISNUMBER(H1219),"yes","no")</f>
        <v>yes</v>
      </c>
      <c r="AI1219" s="110" t="str">
        <f aca="false">IF(ISNUMBER(I1219),"yes","no")</f>
        <v>yes</v>
      </c>
      <c r="AJ1219" s="120" t="n">
        <v>46297</v>
      </c>
      <c r="AK1219" s="110"/>
    </row>
    <row r="1220" customFormat="false" ht="46.25" hidden="false" customHeight="false" outlineLevel="0" collapsed="false">
      <c r="B1220" s="36" t="s">
        <v>78</v>
      </c>
      <c r="C1220" s="98" t="s">
        <v>15</v>
      </c>
      <c r="D1220" s="98" t="s">
        <v>277</v>
      </c>
      <c r="E1220" s="110" t="s">
        <v>3919</v>
      </c>
      <c r="F1220" s="99" t="n">
        <v>31.99</v>
      </c>
      <c r="G1220" s="98" t="s">
        <v>244</v>
      </c>
      <c r="H1220" s="112" t="n">
        <f aca="false">IF(AND(AE1220="yes",ISNUMBER(AD1220)),AD1220,"")</f>
        <v>2.67</v>
      </c>
      <c r="I1220" s="95" t="n">
        <f aca="false">IF(AND(AE1220="yes",ISNUMBER(AD1220),ISNUMBER(INDEX(Sources!$G$7:$G$10,MATCH(AB1220,Sources!$B$7:$B$10,0)))),ROUND(AD1220/INDEX(Sources!$G$7:$G$10,MATCH(AB1220,Sources!$B$7:$B$10,0)),6),"")</f>
        <v>2.67</v>
      </c>
      <c r="J1220" s="98" t="s">
        <v>530</v>
      </c>
      <c r="K1220" s="98" t="s">
        <v>2059</v>
      </c>
      <c r="L1220" s="96"/>
      <c r="M1220" s="110" t="s">
        <v>3920</v>
      </c>
      <c r="N1220" s="117" t="s">
        <v>3921</v>
      </c>
      <c r="O1220" s="110" t="s">
        <v>317</v>
      </c>
      <c r="P1220" s="110" t="s">
        <v>590</v>
      </c>
      <c r="Q1220" s="118" t="n">
        <v>0.2</v>
      </c>
      <c r="R1220" s="110" t="n">
        <v>12</v>
      </c>
      <c r="S1220" s="110" t="s">
        <v>625</v>
      </c>
      <c r="T1220" s="110" t="s">
        <v>530</v>
      </c>
      <c r="U1220" s="110" t="s">
        <v>2913</v>
      </c>
      <c r="V1220" s="119" t="n">
        <v>2.67</v>
      </c>
      <c r="W1220" s="119"/>
      <c r="X1220" s="110" t="s">
        <v>2063</v>
      </c>
      <c r="Y1220" s="110" t="s">
        <v>2064</v>
      </c>
      <c r="Z1220" s="110" t="s">
        <v>3922</v>
      </c>
      <c r="AA1220" s="110" t="s">
        <v>537</v>
      </c>
      <c r="AB1220" s="110" t="s">
        <v>244</v>
      </c>
      <c r="AC1220" s="110" t="s">
        <v>538</v>
      </c>
      <c r="AD1220" s="110" t="n">
        <f aca="false">IF(OR(F1220="",Q1220="",R1220=""),"",ROUND(IF(P1220="incl.",F1220/(1+Q1220),F1220)/IF(S1220="per pack",R1220,1),2))</f>
        <v>2.67</v>
      </c>
      <c r="AE1220" s="110" t="str">
        <f aca="false">IF(AND(AC1220="yes",ISNUMBER(F1220),IF(Compare!$H$5="All mapped",TRUE(),IF(Compare!$H$5="EXACT only",J1220="EXACT",OR(J1220="EXACT",J1220="CLOSE")))),"yes","no")</f>
        <v>yes</v>
      </c>
      <c r="AF1220" s="110" t="n">
        <f aca="false">IF(ISNUMBER(H1220),COUNTIFS($B$7:$B$3000,B1220,$C$7:$C$3000,C1220,$H$7:$H$3000,"&lt;"&amp;H1220,$AH$7:$AH$3000,"yes")+COUNTIFS($B$7:B1220,B1220,$C$7:C1220,C1220,$H$7:H1220,H1220,$AH$7:AH1220,"yes"),"")</f>
        <v>1</v>
      </c>
      <c r="AG1220" s="110" t="n">
        <f aca="false">IF(ISNUMBER(I1220),COUNTIFS($B$7:$B$3000,B1220,$C$7:$C$3000,C1220,$I$7:$I$3000,"&lt;"&amp;I1220,$AI$7:$AI$3000,"yes")+COUNTIFS($B$7:B1220,B1220,$C$7:C1220,C1220,$I$7:I1220,I1220,$AI$7:AI1220,"yes"),"")</f>
        <v>1</v>
      </c>
      <c r="AH1220" s="110" t="str">
        <f aca="false">IF(ISNUMBER(H1220),"yes","no")</f>
        <v>yes</v>
      </c>
      <c r="AI1220" s="110" t="str">
        <f aca="false">IF(ISNUMBER(I1220),"yes","no")</f>
        <v>yes</v>
      </c>
      <c r="AJ1220" s="120" t="n">
        <v>46297</v>
      </c>
      <c r="AK1220" s="110"/>
    </row>
    <row r="1221" customFormat="false" ht="35.05" hidden="false" customHeight="false" outlineLevel="0" collapsed="false">
      <c r="B1221" s="36" t="s">
        <v>78</v>
      </c>
      <c r="C1221" s="98" t="s">
        <v>15</v>
      </c>
      <c r="D1221" s="98" t="s">
        <v>257</v>
      </c>
      <c r="E1221" s="110" t="s">
        <v>3923</v>
      </c>
      <c r="F1221" s="99" t="n">
        <v>8</v>
      </c>
      <c r="G1221" s="98" t="s">
        <v>244</v>
      </c>
      <c r="H1221" s="112" t="n">
        <f aca="false">IF(AND(AE1221="yes",ISNUMBER(AD1221)),AD1221,"")</f>
        <v>8</v>
      </c>
      <c r="I1221" s="95" t="n">
        <f aca="false">IF(AND(AE1221="yes",ISNUMBER(AD1221),ISNUMBER(INDEX(Sources!$G$7:$G$10,MATCH(AB1221,Sources!$B$7:$B$10,0)))),ROUND(AD1221/INDEX(Sources!$G$7:$G$10,MATCH(AB1221,Sources!$B$7:$B$10,0)),6),"")</f>
        <v>8</v>
      </c>
      <c r="J1221" s="98" t="s">
        <v>530</v>
      </c>
      <c r="K1221" s="98" t="s">
        <v>2059</v>
      </c>
      <c r="L1221" s="96"/>
      <c r="M1221" s="110" t="s">
        <v>3924</v>
      </c>
      <c r="N1221" s="117" t="s">
        <v>3925</v>
      </c>
      <c r="O1221" s="110" t="s">
        <v>1576</v>
      </c>
      <c r="P1221" s="110" t="s">
        <v>590</v>
      </c>
      <c r="Q1221" s="118" t="n">
        <v>0.2</v>
      </c>
      <c r="R1221" s="110" t="n">
        <v>1</v>
      </c>
      <c r="S1221" s="110" t="s">
        <v>632</v>
      </c>
      <c r="T1221" s="110" t="s">
        <v>530</v>
      </c>
      <c r="U1221" s="110" t="s">
        <v>2913</v>
      </c>
      <c r="V1221" s="119" t="n">
        <v>8</v>
      </c>
      <c r="W1221" s="119"/>
      <c r="X1221" s="110" t="s">
        <v>2063</v>
      </c>
      <c r="Y1221" s="110" t="s">
        <v>2064</v>
      </c>
      <c r="Z1221" s="110" t="s">
        <v>2936</v>
      </c>
      <c r="AA1221" s="110" t="s">
        <v>537</v>
      </c>
      <c r="AB1221" s="110" t="s">
        <v>244</v>
      </c>
      <c r="AC1221" s="110" t="s">
        <v>538</v>
      </c>
      <c r="AD1221" s="110" t="n">
        <f aca="false">IF(OR(F1221="",Q1221="",R1221=""),"",ROUND(IF(P1221="incl.",F1221/(1+Q1221),F1221)/IF(S1221="per pack",R1221,1),2))</f>
        <v>8</v>
      </c>
      <c r="AE1221" s="110" t="str">
        <f aca="false">IF(AND(AC1221="yes",ISNUMBER(F1221),IF(Compare!$H$5="All mapped",TRUE(),IF(Compare!$H$5="EXACT only",J1221="EXACT",OR(J1221="EXACT",J1221="CLOSE")))),"yes","no")</f>
        <v>yes</v>
      </c>
      <c r="AF1221" s="110" t="n">
        <f aca="false">IF(ISNUMBER(H1221),COUNTIFS($B$7:$B$3000,B1221,$C$7:$C$3000,C1221,$H$7:$H$3000,"&lt;"&amp;H1221,$AH$7:$AH$3000,"yes")+COUNTIFS($B$7:B1221,B1221,$C$7:C1221,C1221,$H$7:H1221,H1221,$AH$7:AH1221,"yes"),"")</f>
        <v>6</v>
      </c>
      <c r="AG1221" s="110" t="n">
        <f aca="false">IF(ISNUMBER(I1221),COUNTIFS($B$7:$B$3000,B1221,$C$7:$C$3000,C1221,$I$7:$I$3000,"&lt;"&amp;I1221,$AI$7:$AI$3000,"yes")+COUNTIFS($B$7:B1221,B1221,$C$7:C1221,C1221,$I$7:I1221,I1221,$AI$7:AI1221,"yes"),"")</f>
        <v>6</v>
      </c>
      <c r="AH1221" s="110" t="str">
        <f aca="false">IF(ISNUMBER(H1221),"yes","no")</f>
        <v>yes</v>
      </c>
      <c r="AI1221" s="110" t="str">
        <f aca="false">IF(ISNUMBER(I1221),"yes","no")</f>
        <v>yes</v>
      </c>
      <c r="AJ1221" s="120" t="n">
        <v>46297</v>
      </c>
      <c r="AK1221" s="110"/>
    </row>
    <row r="1222" customFormat="false" ht="35.05" hidden="false" customHeight="false" outlineLevel="0" collapsed="false">
      <c r="B1222" s="36" t="s">
        <v>78</v>
      </c>
      <c r="C1222" s="98" t="s">
        <v>15</v>
      </c>
      <c r="D1222" s="98" t="s">
        <v>269</v>
      </c>
      <c r="E1222" s="110" t="s">
        <v>3926</v>
      </c>
      <c r="F1222" s="99" t="n">
        <v>3.29</v>
      </c>
      <c r="G1222" s="98" t="s">
        <v>244</v>
      </c>
      <c r="H1222" s="112" t="n">
        <f aca="false">IF(AND(AE1222="yes",ISNUMBER(AD1222)),AD1222,"")</f>
        <v>3.29</v>
      </c>
      <c r="I1222" s="95" t="n">
        <f aca="false">IF(AND(AE1222="yes",ISNUMBER(AD1222),ISNUMBER(INDEX(Sources!$G$7:$G$10,MATCH(AB1222,Sources!$B$7:$B$10,0)))),ROUND(AD1222/INDEX(Sources!$G$7:$G$10,MATCH(AB1222,Sources!$B$7:$B$10,0)),6),"")</f>
        <v>3.29</v>
      </c>
      <c r="J1222" s="98" t="s">
        <v>530</v>
      </c>
      <c r="K1222" s="98" t="s">
        <v>2059</v>
      </c>
      <c r="L1222" s="96"/>
      <c r="M1222" s="110" t="s">
        <v>3927</v>
      </c>
      <c r="N1222" s="117" t="s">
        <v>3928</v>
      </c>
      <c r="O1222" s="110" t="s">
        <v>598</v>
      </c>
      <c r="P1222" s="110" t="s">
        <v>590</v>
      </c>
      <c r="Q1222" s="118" t="n">
        <v>0.2</v>
      </c>
      <c r="R1222" s="110" t="n">
        <v>1</v>
      </c>
      <c r="S1222" s="110" t="s">
        <v>632</v>
      </c>
      <c r="T1222" s="110" t="s">
        <v>530</v>
      </c>
      <c r="U1222" s="110" t="s">
        <v>2913</v>
      </c>
      <c r="V1222" s="119" t="n">
        <v>3.29</v>
      </c>
      <c r="W1222" s="119"/>
      <c r="X1222" s="110" t="s">
        <v>2063</v>
      </c>
      <c r="Y1222" s="110" t="s">
        <v>2064</v>
      </c>
      <c r="Z1222" s="110" t="s">
        <v>2940</v>
      </c>
      <c r="AA1222" s="110" t="s">
        <v>537</v>
      </c>
      <c r="AB1222" s="110" t="s">
        <v>244</v>
      </c>
      <c r="AC1222" s="110" t="s">
        <v>538</v>
      </c>
      <c r="AD1222" s="110" t="n">
        <f aca="false">IF(OR(F1222="",Q1222="",R1222=""),"",ROUND(IF(P1222="incl.",F1222/(1+Q1222),F1222)/IF(S1222="per pack",R1222,1),2))</f>
        <v>3.29</v>
      </c>
      <c r="AE1222" s="110" t="str">
        <f aca="false">IF(AND(AC1222="yes",ISNUMBER(F1222),IF(Compare!$H$5="All mapped",TRUE(),IF(Compare!$H$5="EXACT only",J1222="EXACT",OR(J1222="EXACT",J1222="CLOSE")))),"yes","no")</f>
        <v>yes</v>
      </c>
      <c r="AF1222" s="110" t="n">
        <f aca="false">IF(ISNUMBER(H1222),COUNTIFS($B$7:$B$3000,B1222,$C$7:$C$3000,C1222,$H$7:$H$3000,"&lt;"&amp;H1222,$AH$7:$AH$3000,"yes")+COUNTIFS($B$7:B1222,B1222,$C$7:C1222,C1222,$H$7:H1222,H1222,$AH$7:AH1222,"yes"),"")</f>
        <v>3</v>
      </c>
      <c r="AG1222" s="110" t="n">
        <f aca="false">IF(ISNUMBER(I1222),COUNTIFS($B$7:$B$3000,B1222,$C$7:$C$3000,C1222,$I$7:$I$3000,"&lt;"&amp;I1222,$AI$7:$AI$3000,"yes")+COUNTIFS($B$7:B1222,B1222,$C$7:C1222,C1222,$I$7:I1222,I1222,$AI$7:AI1222,"yes"),"")</f>
        <v>3</v>
      </c>
      <c r="AH1222" s="110" t="str">
        <f aca="false">IF(ISNUMBER(H1222),"yes","no")</f>
        <v>yes</v>
      </c>
      <c r="AI1222" s="110" t="str">
        <f aca="false">IF(ISNUMBER(I1222),"yes","no")</f>
        <v>yes</v>
      </c>
      <c r="AJ1222" s="120" t="n">
        <v>46297</v>
      </c>
      <c r="AK1222" s="110"/>
    </row>
    <row r="1223" customFormat="false" ht="23.85" hidden="false" customHeight="false" outlineLevel="0" collapsed="false">
      <c r="B1223" s="36" t="s">
        <v>78</v>
      </c>
      <c r="C1223" s="98" t="s">
        <v>15</v>
      </c>
      <c r="D1223" s="98" t="s">
        <v>264</v>
      </c>
      <c r="E1223" s="110" t="s">
        <v>3929</v>
      </c>
      <c r="F1223" s="99" t="n">
        <v>12.6</v>
      </c>
      <c r="G1223" s="98" t="s">
        <v>244</v>
      </c>
      <c r="H1223" s="112" t="n">
        <f aca="false">IF(AND(AE1223="yes",ISNUMBER(AD1223)),AD1223,"")</f>
        <v>12.6</v>
      </c>
      <c r="I1223" s="95" t="n">
        <f aca="false">IF(AND(AE1223="yes",ISNUMBER(AD1223),ISNUMBER(INDEX(Sources!$G$7:$G$10,MATCH(AB1223,Sources!$B$7:$B$10,0)))),ROUND(AD1223/INDEX(Sources!$G$7:$G$10,MATCH(AB1223,Sources!$B$7:$B$10,0)),6),"")</f>
        <v>12.6</v>
      </c>
      <c r="J1223" s="98" t="s">
        <v>530</v>
      </c>
      <c r="K1223" s="98" t="s">
        <v>2059</v>
      </c>
      <c r="L1223" s="96"/>
      <c r="M1223" s="110" t="s">
        <v>3930</v>
      </c>
      <c r="N1223" s="117" t="s">
        <v>3931</v>
      </c>
      <c r="O1223" s="110" t="s">
        <v>2944</v>
      </c>
      <c r="P1223" s="110" t="s">
        <v>590</v>
      </c>
      <c r="Q1223" s="118" t="n">
        <v>0.2</v>
      </c>
      <c r="R1223" s="110" t="n">
        <v>1</v>
      </c>
      <c r="S1223" s="110" t="s">
        <v>632</v>
      </c>
      <c r="T1223" s="110" t="s">
        <v>530</v>
      </c>
      <c r="U1223" s="110" t="s">
        <v>2913</v>
      </c>
      <c r="V1223" s="119" t="n">
        <v>12.6</v>
      </c>
      <c r="W1223" s="119"/>
      <c r="X1223" s="110" t="s">
        <v>2063</v>
      </c>
      <c r="Y1223" s="110" t="s">
        <v>2064</v>
      </c>
      <c r="Z1223" s="110"/>
      <c r="AA1223" s="110" t="s">
        <v>537</v>
      </c>
      <c r="AB1223" s="110" t="s">
        <v>244</v>
      </c>
      <c r="AC1223" s="110" t="s">
        <v>538</v>
      </c>
      <c r="AD1223" s="110" t="n">
        <f aca="false">IF(OR(F1223="",Q1223="",R1223=""),"",ROUND(IF(P1223="incl.",F1223/(1+Q1223),F1223)/IF(S1223="per pack",R1223,1),2))</f>
        <v>12.6</v>
      </c>
      <c r="AE1223" s="110" t="str">
        <f aca="false">IF(AND(AC1223="yes",ISNUMBER(F1223),IF(Compare!$H$5="All mapped",TRUE(),IF(Compare!$H$5="EXACT only",J1223="EXACT",OR(J1223="EXACT",J1223="CLOSE")))),"yes","no")</f>
        <v>yes</v>
      </c>
      <c r="AF1223" s="110" t="n">
        <f aca="false">IF(ISNUMBER(H1223),COUNTIFS($B$7:$B$3000,B1223,$C$7:$C$3000,C1223,$H$7:$H$3000,"&lt;"&amp;H1223,$AH$7:$AH$3000,"yes")+COUNTIFS($B$7:B1223,B1223,$C$7:C1223,C1223,$H$7:H1223,H1223,$AH$7:AH1223,"yes"),"")</f>
        <v>7</v>
      </c>
      <c r="AG1223" s="110" t="n">
        <f aca="false">IF(ISNUMBER(I1223),COUNTIFS($B$7:$B$3000,B1223,$C$7:$C$3000,C1223,$I$7:$I$3000,"&lt;"&amp;I1223,$AI$7:$AI$3000,"yes")+COUNTIFS($B$7:B1223,B1223,$C$7:C1223,C1223,$I$7:I1223,I1223,$AI$7:AI1223,"yes"),"")</f>
        <v>7</v>
      </c>
      <c r="AH1223" s="110" t="str">
        <f aca="false">IF(ISNUMBER(H1223),"yes","no")</f>
        <v>yes</v>
      </c>
      <c r="AI1223" s="110" t="str">
        <f aca="false">IF(ISNUMBER(I1223),"yes","no")</f>
        <v>yes</v>
      </c>
      <c r="AJ1223" s="120" t="n">
        <v>46297</v>
      </c>
      <c r="AK1223" s="110"/>
    </row>
    <row r="1224" customFormat="false" ht="46.25" hidden="false" customHeight="false" outlineLevel="0" collapsed="false">
      <c r="B1224" s="36" t="s">
        <v>78</v>
      </c>
      <c r="C1224" s="98" t="s">
        <v>15</v>
      </c>
      <c r="D1224" s="98" t="s">
        <v>281</v>
      </c>
      <c r="E1224" s="110" t="s">
        <v>3932</v>
      </c>
      <c r="F1224" s="99" t="n">
        <v>3.83</v>
      </c>
      <c r="G1224" s="98" t="s">
        <v>244</v>
      </c>
      <c r="H1224" s="112" t="n">
        <f aca="false">IF(AND(AE1224="yes",ISNUMBER(AD1224)),AD1224,"")</f>
        <v>3.83</v>
      </c>
      <c r="I1224" s="95" t="n">
        <f aca="false">IF(AND(AE1224="yes",ISNUMBER(AD1224),ISNUMBER(INDEX(Sources!$G$7:$G$10,MATCH(AB1224,Sources!$B$7:$B$10,0)))),ROUND(AD1224/INDEX(Sources!$G$7:$G$10,MATCH(AB1224,Sources!$B$7:$B$10,0)),6),"")</f>
        <v>3.83</v>
      </c>
      <c r="J1224" s="98" t="s">
        <v>530</v>
      </c>
      <c r="K1224" s="98" t="s">
        <v>2059</v>
      </c>
      <c r="L1224" s="96"/>
      <c r="M1224" s="110" t="s">
        <v>3933</v>
      </c>
      <c r="N1224" s="117" t="s">
        <v>3934</v>
      </c>
      <c r="O1224" s="110" t="s">
        <v>2944</v>
      </c>
      <c r="P1224" s="110" t="s">
        <v>590</v>
      </c>
      <c r="Q1224" s="118" t="n">
        <v>0.2</v>
      </c>
      <c r="R1224" s="110" t="n">
        <v>1</v>
      </c>
      <c r="S1224" s="110" t="s">
        <v>632</v>
      </c>
      <c r="T1224" s="110" t="s">
        <v>530</v>
      </c>
      <c r="U1224" s="110" t="s">
        <v>2913</v>
      </c>
      <c r="V1224" s="119" t="n">
        <v>3.83</v>
      </c>
      <c r="W1224" s="119"/>
      <c r="X1224" s="110" t="s">
        <v>2063</v>
      </c>
      <c r="Y1224" s="110" t="s">
        <v>2064</v>
      </c>
      <c r="Z1224" s="110" t="s">
        <v>2953</v>
      </c>
      <c r="AA1224" s="110" t="s">
        <v>537</v>
      </c>
      <c r="AB1224" s="110" t="s">
        <v>244</v>
      </c>
      <c r="AC1224" s="110" t="s">
        <v>538</v>
      </c>
      <c r="AD1224" s="110" t="n">
        <f aca="false">IF(OR(F1224="",Q1224="",R1224=""),"",ROUND(IF(P1224="incl.",F1224/(1+Q1224),F1224)/IF(S1224="per pack",R1224,1),2))</f>
        <v>3.83</v>
      </c>
      <c r="AE1224" s="110" t="str">
        <f aca="false">IF(AND(AC1224="yes",ISNUMBER(F1224),IF(Compare!$H$5="All mapped",TRUE(),IF(Compare!$H$5="EXACT only",J1224="EXACT",OR(J1224="EXACT",J1224="CLOSE")))),"yes","no")</f>
        <v>yes</v>
      </c>
      <c r="AF1224" s="110" t="n">
        <f aca="false">IF(ISNUMBER(H1224),COUNTIFS($B$7:$B$3000,B1224,$C$7:$C$3000,C1224,$H$7:$H$3000,"&lt;"&amp;H1224,$AH$7:$AH$3000,"yes")+COUNTIFS($B$7:B1224,B1224,$C$7:C1224,C1224,$H$7:H1224,H1224,$AH$7:AH1224,"yes"),"")</f>
        <v>5</v>
      </c>
      <c r="AG1224" s="110" t="n">
        <f aca="false">IF(ISNUMBER(I1224),COUNTIFS($B$7:$B$3000,B1224,$C$7:$C$3000,C1224,$I$7:$I$3000,"&lt;"&amp;I1224,$AI$7:$AI$3000,"yes")+COUNTIFS($B$7:B1224,B1224,$C$7:C1224,C1224,$I$7:I1224,I1224,$AI$7:AI1224,"yes"),"")</f>
        <v>5</v>
      </c>
      <c r="AH1224" s="110" t="str">
        <f aca="false">IF(ISNUMBER(H1224),"yes","no")</f>
        <v>yes</v>
      </c>
      <c r="AI1224" s="110" t="str">
        <f aca="false">IF(ISNUMBER(I1224),"yes","no")</f>
        <v>yes</v>
      </c>
      <c r="AJ1224" s="120" t="n">
        <v>46297</v>
      </c>
      <c r="AK1224" s="110"/>
    </row>
    <row r="1225" customFormat="false" ht="35.05" hidden="false" customHeight="false" outlineLevel="0" collapsed="false">
      <c r="B1225" s="36" t="s">
        <v>78</v>
      </c>
      <c r="C1225" s="98" t="s">
        <v>15</v>
      </c>
      <c r="D1225" s="98" t="s">
        <v>293</v>
      </c>
      <c r="E1225" s="110" t="s">
        <v>3935</v>
      </c>
      <c r="F1225" s="99" t="n">
        <v>3.1</v>
      </c>
      <c r="G1225" s="98" t="s">
        <v>244</v>
      </c>
      <c r="H1225" s="112" t="n">
        <f aca="false">IF(AND(AE1225="yes",ISNUMBER(AD1225)),AD1225,"")</f>
        <v>3.1</v>
      </c>
      <c r="I1225" s="95" t="n">
        <f aca="false">IF(AND(AE1225="yes",ISNUMBER(AD1225),ISNUMBER(INDEX(Sources!$G$7:$G$10,MATCH(AB1225,Sources!$B$7:$B$10,0)))),ROUND(AD1225/INDEX(Sources!$G$7:$G$10,MATCH(AB1225,Sources!$B$7:$B$10,0)),6),"")</f>
        <v>3.1</v>
      </c>
      <c r="J1225" s="98" t="s">
        <v>530</v>
      </c>
      <c r="K1225" s="98" t="s">
        <v>2059</v>
      </c>
      <c r="L1225" s="96"/>
      <c r="M1225" s="110" t="s">
        <v>3936</v>
      </c>
      <c r="N1225" s="117" t="s">
        <v>3937</v>
      </c>
      <c r="O1225" s="110" t="s">
        <v>3063</v>
      </c>
      <c r="P1225" s="110" t="s">
        <v>590</v>
      </c>
      <c r="Q1225" s="118" t="n">
        <v>0.2</v>
      </c>
      <c r="R1225" s="110" t="n">
        <v>1</v>
      </c>
      <c r="S1225" s="110" t="s">
        <v>632</v>
      </c>
      <c r="T1225" s="110" t="s">
        <v>530</v>
      </c>
      <c r="U1225" s="110" t="s">
        <v>2913</v>
      </c>
      <c r="V1225" s="119" t="n">
        <v>3.1</v>
      </c>
      <c r="W1225" s="119"/>
      <c r="X1225" s="110" t="s">
        <v>2063</v>
      </c>
      <c r="Y1225" s="110" t="s">
        <v>2064</v>
      </c>
      <c r="Z1225" s="110" t="s">
        <v>3064</v>
      </c>
      <c r="AA1225" s="110" t="s">
        <v>537</v>
      </c>
      <c r="AB1225" s="110" t="s">
        <v>244</v>
      </c>
      <c r="AC1225" s="110" t="s">
        <v>538</v>
      </c>
      <c r="AD1225" s="110" t="n">
        <f aca="false">IF(OR(F1225="",Q1225="",R1225=""),"",ROUND(IF(P1225="incl.",F1225/(1+Q1225),F1225)/IF(S1225="per pack",R1225,1),2))</f>
        <v>3.1</v>
      </c>
      <c r="AE1225" s="110" t="str">
        <f aca="false">IF(AND(AC1225="yes",ISNUMBER(F1225),IF(Compare!$H$5="All mapped",TRUE(),IF(Compare!$H$5="EXACT only",J1225="EXACT",OR(J1225="EXACT",J1225="CLOSE")))),"yes","no")</f>
        <v>yes</v>
      </c>
      <c r="AF1225" s="110" t="n">
        <f aca="false">IF(ISNUMBER(H1225),COUNTIFS($B$7:$B$3000,B1225,$C$7:$C$3000,C1225,$H$7:$H$3000,"&lt;"&amp;H1225,$AH$7:$AH$3000,"yes")+COUNTIFS($B$7:B1225,B1225,$C$7:C1225,C1225,$H$7:H1225,H1225,$AH$7:AH1225,"yes"),"")</f>
        <v>2</v>
      </c>
      <c r="AG1225" s="110" t="n">
        <f aca="false">IF(ISNUMBER(I1225),COUNTIFS($B$7:$B$3000,B1225,$C$7:$C$3000,C1225,$I$7:$I$3000,"&lt;"&amp;I1225,$AI$7:$AI$3000,"yes")+COUNTIFS($B$7:B1225,B1225,$C$7:C1225,C1225,$I$7:I1225,I1225,$AI$7:AI1225,"yes"),"")</f>
        <v>2</v>
      </c>
      <c r="AH1225" s="110" t="str">
        <f aca="false">IF(ISNUMBER(H1225),"yes","no")</f>
        <v>yes</v>
      </c>
      <c r="AI1225" s="110" t="str">
        <f aca="false">IF(ISNUMBER(I1225),"yes","no")</f>
        <v>yes</v>
      </c>
      <c r="AJ1225" s="120" t="n">
        <v>46297</v>
      </c>
      <c r="AK1225" s="110"/>
    </row>
    <row r="1226" customFormat="false" ht="23.85" hidden="false" customHeight="false" outlineLevel="0" collapsed="false">
      <c r="B1226" s="36" t="s">
        <v>78</v>
      </c>
      <c r="C1226" s="98" t="s">
        <v>16</v>
      </c>
      <c r="D1226" s="98" t="s">
        <v>296</v>
      </c>
      <c r="E1226" s="110" t="s">
        <v>3916</v>
      </c>
      <c r="F1226" s="99" t="n">
        <v>3.69</v>
      </c>
      <c r="G1226" s="98" t="s">
        <v>244</v>
      </c>
      <c r="H1226" s="112" t="n">
        <f aca="false">IF(AND(AE1226="yes",ISNUMBER(AD1226)),AD1226,"")</f>
        <v>3.69</v>
      </c>
      <c r="I1226" s="95" t="n">
        <f aca="false">IF(AND(AE1226="yes",ISNUMBER(AD1226),ISNUMBER(INDEX(Sources!$G$7:$G$10,MATCH(AB1226,Sources!$B$7:$B$10,0)))),ROUND(AD1226/INDEX(Sources!$G$7:$G$10,MATCH(AB1226,Sources!$B$7:$B$10,0)),6),"")</f>
        <v>3.69</v>
      </c>
      <c r="J1226" s="98" t="s">
        <v>530</v>
      </c>
      <c r="K1226" s="98" t="s">
        <v>2059</v>
      </c>
      <c r="L1226" s="96"/>
      <c r="M1226" s="110" t="s">
        <v>3938</v>
      </c>
      <c r="N1226" s="117" t="s">
        <v>3939</v>
      </c>
      <c r="O1226" s="110" t="s">
        <v>296</v>
      </c>
      <c r="P1226" s="110" t="s">
        <v>590</v>
      </c>
      <c r="Q1226" s="118" t="n">
        <v>0.19</v>
      </c>
      <c r="R1226" s="110" t="n">
        <v>1</v>
      </c>
      <c r="S1226" s="110" t="s">
        <v>632</v>
      </c>
      <c r="T1226" s="110" t="s">
        <v>530</v>
      </c>
      <c r="U1226" s="110" t="s">
        <v>2913</v>
      </c>
      <c r="V1226" s="119" t="n">
        <v>3.69</v>
      </c>
      <c r="W1226" s="119"/>
      <c r="X1226" s="110" t="s">
        <v>2063</v>
      </c>
      <c r="Y1226" s="110" t="s">
        <v>2064</v>
      </c>
      <c r="Z1226" s="110" t="s">
        <v>2164</v>
      </c>
      <c r="AA1226" s="110" t="s">
        <v>537</v>
      </c>
      <c r="AB1226" s="110" t="s">
        <v>244</v>
      </c>
      <c r="AC1226" s="110" t="s">
        <v>538</v>
      </c>
      <c r="AD1226" s="110" t="n">
        <f aca="false">IF(OR(F1226="",Q1226="",R1226=""),"",ROUND(IF(P1226="incl.",F1226/(1+Q1226),F1226)/IF(S1226="per pack",R1226,1),2))</f>
        <v>3.69</v>
      </c>
      <c r="AE1226" s="110" t="str">
        <f aca="false">IF(AND(AC1226="yes",ISNUMBER(F1226),IF(Compare!$H$5="All mapped",TRUE(),IF(Compare!$H$5="EXACT only",J1226="EXACT",OR(J1226="EXACT",J1226="CLOSE")))),"yes","no")</f>
        <v>yes</v>
      </c>
      <c r="AF1226" s="110" t="n">
        <f aca="false">IF(ISNUMBER(H1226),COUNTIFS($B$7:$B$3000,B1226,$C$7:$C$3000,C1226,$H$7:$H$3000,"&lt;"&amp;H1226,$AH$7:$AH$3000,"yes")+COUNTIFS($B$7:B1226,B1226,$C$7:C1226,C1226,$H$7:H1226,H1226,$AH$7:AH1226,"yes"),"")</f>
        <v>5</v>
      </c>
      <c r="AG1226" s="110" t="n">
        <f aca="false">IF(ISNUMBER(I1226),COUNTIFS($B$7:$B$3000,B1226,$C$7:$C$3000,C1226,$I$7:$I$3000,"&lt;"&amp;I1226,$AI$7:$AI$3000,"yes")+COUNTIFS($B$7:B1226,B1226,$C$7:C1226,C1226,$I$7:I1226,I1226,$AI$7:AI1226,"yes"),"")</f>
        <v>5</v>
      </c>
      <c r="AH1226" s="110" t="str">
        <f aca="false">IF(ISNUMBER(H1226),"yes","no")</f>
        <v>yes</v>
      </c>
      <c r="AI1226" s="110" t="str">
        <f aca="false">IF(ISNUMBER(I1226),"yes","no")</f>
        <v>yes</v>
      </c>
      <c r="AJ1226" s="120" t="n">
        <v>46297</v>
      </c>
      <c r="AK1226" s="110"/>
    </row>
    <row r="1227" customFormat="false" ht="46.25" hidden="false" customHeight="false" outlineLevel="0" collapsed="false">
      <c r="B1227" s="36" t="s">
        <v>78</v>
      </c>
      <c r="C1227" s="98" t="s">
        <v>16</v>
      </c>
      <c r="D1227" s="98" t="s">
        <v>317</v>
      </c>
      <c r="E1227" s="110" t="s">
        <v>3919</v>
      </c>
      <c r="F1227" s="99" t="n">
        <v>29.99</v>
      </c>
      <c r="G1227" s="98" t="s">
        <v>244</v>
      </c>
      <c r="H1227" s="112" t="n">
        <f aca="false">IF(AND(AE1227="yes",ISNUMBER(AD1227)),AD1227,"")</f>
        <v>2.5</v>
      </c>
      <c r="I1227" s="95" t="n">
        <f aca="false">IF(AND(AE1227="yes",ISNUMBER(AD1227),ISNUMBER(INDEX(Sources!$G$7:$G$10,MATCH(AB1227,Sources!$B$7:$B$10,0)))),ROUND(AD1227/INDEX(Sources!$G$7:$G$10,MATCH(AB1227,Sources!$B$7:$B$10,0)),6),"")</f>
        <v>2.5</v>
      </c>
      <c r="J1227" s="98" t="s">
        <v>530</v>
      </c>
      <c r="K1227" s="98" t="s">
        <v>2059</v>
      </c>
      <c r="L1227" s="96"/>
      <c r="M1227" s="110" t="s">
        <v>3940</v>
      </c>
      <c r="N1227" s="117" t="s">
        <v>3941</v>
      </c>
      <c r="O1227" s="110" t="s">
        <v>317</v>
      </c>
      <c r="P1227" s="110" t="s">
        <v>590</v>
      </c>
      <c r="Q1227" s="118" t="n">
        <v>0.19</v>
      </c>
      <c r="R1227" s="110" t="n">
        <v>12</v>
      </c>
      <c r="S1227" s="110" t="s">
        <v>625</v>
      </c>
      <c r="T1227" s="110" t="s">
        <v>530</v>
      </c>
      <c r="U1227" s="110" t="s">
        <v>2913</v>
      </c>
      <c r="V1227" s="119" t="n">
        <v>2.5</v>
      </c>
      <c r="W1227" s="119"/>
      <c r="X1227" s="110" t="s">
        <v>2063</v>
      </c>
      <c r="Y1227" s="110" t="s">
        <v>2064</v>
      </c>
      <c r="Z1227" s="110" t="s">
        <v>2638</v>
      </c>
      <c r="AA1227" s="110" t="s">
        <v>537</v>
      </c>
      <c r="AB1227" s="110" t="s">
        <v>244</v>
      </c>
      <c r="AC1227" s="110" t="s">
        <v>538</v>
      </c>
      <c r="AD1227" s="110" t="n">
        <f aca="false">IF(OR(F1227="",Q1227="",R1227=""),"",ROUND(IF(P1227="incl.",F1227/(1+Q1227),F1227)/IF(S1227="per pack",R1227,1),2))</f>
        <v>2.5</v>
      </c>
      <c r="AE1227" s="110" t="str">
        <f aca="false">IF(AND(AC1227="yes",ISNUMBER(F1227),IF(Compare!$H$5="All mapped",TRUE(),IF(Compare!$H$5="EXACT only",J1227="EXACT",OR(J1227="EXACT",J1227="CLOSE")))),"yes","no")</f>
        <v>yes</v>
      </c>
      <c r="AF1227" s="110" t="n">
        <f aca="false">IF(ISNUMBER(H1227),COUNTIFS($B$7:$B$3000,B1227,$C$7:$C$3000,C1227,$H$7:$H$3000,"&lt;"&amp;H1227,$AH$7:$AH$3000,"yes")+COUNTIFS($B$7:B1227,B1227,$C$7:C1227,C1227,$H$7:H1227,H1227,$AH$7:AH1227,"yes"),"")</f>
        <v>1</v>
      </c>
      <c r="AG1227" s="110" t="n">
        <f aca="false">IF(ISNUMBER(I1227),COUNTIFS($B$7:$B$3000,B1227,$C$7:$C$3000,C1227,$I$7:$I$3000,"&lt;"&amp;I1227,$AI$7:$AI$3000,"yes")+COUNTIFS($B$7:B1227,B1227,$C$7:C1227,C1227,$I$7:I1227,I1227,$AI$7:AI1227,"yes"),"")</f>
        <v>1</v>
      </c>
      <c r="AH1227" s="110" t="str">
        <f aca="false">IF(ISNUMBER(H1227),"yes","no")</f>
        <v>yes</v>
      </c>
      <c r="AI1227" s="110" t="str">
        <f aca="false">IF(ISNUMBER(I1227),"yes","no")</f>
        <v>yes</v>
      </c>
      <c r="AJ1227" s="120" t="n">
        <v>46297</v>
      </c>
      <c r="AK1227" s="110"/>
    </row>
    <row r="1228" customFormat="false" ht="35.05" hidden="false" customHeight="false" outlineLevel="0" collapsed="false">
      <c r="B1228" s="36" t="s">
        <v>78</v>
      </c>
      <c r="C1228" s="98" t="s">
        <v>16</v>
      </c>
      <c r="D1228" s="98" t="s">
        <v>305</v>
      </c>
      <c r="E1228" s="110" t="s">
        <v>3942</v>
      </c>
      <c r="F1228" s="99" t="n">
        <v>4.05</v>
      </c>
      <c r="G1228" s="98" t="s">
        <v>244</v>
      </c>
      <c r="H1228" s="112" t="n">
        <f aca="false">IF(AND(AE1228="yes",ISNUMBER(AD1228)),AD1228,"")</f>
        <v>3.4</v>
      </c>
      <c r="I1228" s="95" t="n">
        <f aca="false">IF(AND(AE1228="yes",ISNUMBER(AD1228),ISNUMBER(INDEX(Sources!$G$7:$G$10,MATCH(AB1228,Sources!$B$7:$B$10,0)))),ROUND(AD1228/INDEX(Sources!$G$7:$G$10,MATCH(AB1228,Sources!$B$7:$B$10,0)),6),"")</f>
        <v>3.4</v>
      </c>
      <c r="J1228" s="98" t="s">
        <v>530</v>
      </c>
      <c r="K1228" s="98" t="s">
        <v>2059</v>
      </c>
      <c r="L1228" s="96"/>
      <c r="M1228" s="110" t="s">
        <v>3943</v>
      </c>
      <c r="N1228" s="117" t="s">
        <v>3944</v>
      </c>
      <c r="O1228" s="110" t="s">
        <v>2965</v>
      </c>
      <c r="P1228" s="110" t="s">
        <v>265</v>
      </c>
      <c r="Q1228" s="118" t="n">
        <v>0.19</v>
      </c>
      <c r="R1228" s="110" t="n">
        <v>1</v>
      </c>
      <c r="S1228" s="110" t="s">
        <v>632</v>
      </c>
      <c r="T1228" s="110" t="s">
        <v>530</v>
      </c>
      <c r="U1228" s="110" t="s">
        <v>2918</v>
      </c>
      <c r="V1228" s="119" t="n">
        <v>3.4</v>
      </c>
      <c r="W1228" s="119"/>
      <c r="X1228" s="110" t="s">
        <v>2063</v>
      </c>
      <c r="Y1228" s="110" t="s">
        <v>2064</v>
      </c>
      <c r="Z1228" s="110" t="s">
        <v>2156</v>
      </c>
      <c r="AA1228" s="110" t="s">
        <v>537</v>
      </c>
      <c r="AB1228" s="110" t="s">
        <v>244</v>
      </c>
      <c r="AC1228" s="110" t="s">
        <v>538</v>
      </c>
      <c r="AD1228" s="110" t="n">
        <f aca="false">IF(OR(F1228="",Q1228="",R1228=""),"",ROUND(IF(P1228="incl.",F1228/(1+Q1228),F1228)/IF(S1228="per pack",R1228,1),2))</f>
        <v>3.4</v>
      </c>
      <c r="AE1228" s="110" t="str">
        <f aca="false">IF(AND(AC1228="yes",ISNUMBER(F1228),IF(Compare!$H$5="All mapped",TRUE(),IF(Compare!$H$5="EXACT only",J1228="EXACT",OR(J1228="EXACT",J1228="CLOSE")))),"yes","no")</f>
        <v>yes</v>
      </c>
      <c r="AF1228" s="110" t="n">
        <f aca="false">IF(ISNUMBER(H1228),COUNTIFS($B$7:$B$3000,B1228,$C$7:$C$3000,C1228,$H$7:$H$3000,"&lt;"&amp;H1228,$AH$7:$AH$3000,"yes")+COUNTIFS($B$7:B1228,B1228,$C$7:C1228,C1228,$H$7:H1228,H1228,$AH$7:AH1228,"yes"),"")</f>
        <v>3</v>
      </c>
      <c r="AG1228" s="110" t="n">
        <f aca="false">IF(ISNUMBER(I1228),COUNTIFS($B$7:$B$3000,B1228,$C$7:$C$3000,C1228,$I$7:$I$3000,"&lt;"&amp;I1228,$AI$7:$AI$3000,"yes")+COUNTIFS($B$7:B1228,B1228,$C$7:C1228,C1228,$I$7:I1228,I1228,$AI$7:AI1228,"yes"),"")</f>
        <v>3</v>
      </c>
      <c r="AH1228" s="110" t="str">
        <f aca="false">IF(ISNUMBER(H1228),"yes","no")</f>
        <v>yes</v>
      </c>
      <c r="AI1228" s="110" t="str">
        <f aca="false">IF(ISNUMBER(I1228),"yes","no")</f>
        <v>yes</v>
      </c>
      <c r="AJ1228" s="120" t="n">
        <v>46297</v>
      </c>
      <c r="AK1228" s="110"/>
    </row>
    <row r="1229" customFormat="false" ht="35.05" hidden="false" customHeight="false" outlineLevel="0" collapsed="false">
      <c r="B1229" s="36" t="s">
        <v>78</v>
      </c>
      <c r="C1229" s="98" t="s">
        <v>16</v>
      </c>
      <c r="D1229" s="98" t="s">
        <v>311</v>
      </c>
      <c r="E1229" s="110" t="s">
        <v>3926</v>
      </c>
      <c r="F1229" s="99" t="n">
        <v>3.09</v>
      </c>
      <c r="G1229" s="98" t="s">
        <v>244</v>
      </c>
      <c r="H1229" s="112" t="n">
        <f aca="false">IF(AND(AE1229="yes",ISNUMBER(AD1229)),AD1229,"")</f>
        <v>3.09</v>
      </c>
      <c r="I1229" s="95" t="n">
        <f aca="false">IF(AND(AE1229="yes",ISNUMBER(AD1229),ISNUMBER(INDEX(Sources!$G$7:$G$10,MATCH(AB1229,Sources!$B$7:$B$10,0)))),ROUND(AD1229/INDEX(Sources!$G$7:$G$10,MATCH(AB1229,Sources!$B$7:$B$10,0)),6),"")</f>
        <v>3.09</v>
      </c>
      <c r="J1229" s="98" t="s">
        <v>530</v>
      </c>
      <c r="K1229" s="98" t="s">
        <v>2059</v>
      </c>
      <c r="L1229" s="96"/>
      <c r="M1229" s="110" t="s">
        <v>3945</v>
      </c>
      <c r="N1229" s="117" t="s">
        <v>3946</v>
      </c>
      <c r="O1229" s="110" t="s">
        <v>598</v>
      </c>
      <c r="P1229" s="110" t="s">
        <v>590</v>
      </c>
      <c r="Q1229" s="118" t="n">
        <v>0.19</v>
      </c>
      <c r="R1229" s="110" t="n">
        <v>1</v>
      </c>
      <c r="S1229" s="110" t="s">
        <v>632</v>
      </c>
      <c r="T1229" s="110" t="s">
        <v>530</v>
      </c>
      <c r="U1229" s="110" t="s">
        <v>2913</v>
      </c>
      <c r="V1229" s="119" t="n">
        <v>3.09</v>
      </c>
      <c r="W1229" s="119"/>
      <c r="X1229" s="110" t="s">
        <v>2063</v>
      </c>
      <c r="Y1229" s="110" t="s">
        <v>2064</v>
      </c>
      <c r="Z1229" s="110" t="s">
        <v>2968</v>
      </c>
      <c r="AA1229" s="110" t="s">
        <v>537</v>
      </c>
      <c r="AB1229" s="110" t="s">
        <v>244</v>
      </c>
      <c r="AC1229" s="110" t="s">
        <v>538</v>
      </c>
      <c r="AD1229" s="110" t="n">
        <f aca="false">IF(OR(F1229="",Q1229="",R1229=""),"",ROUND(IF(P1229="incl.",F1229/(1+Q1229),F1229)/IF(S1229="per pack",R1229,1),2))</f>
        <v>3.09</v>
      </c>
      <c r="AE1229" s="110" t="str">
        <f aca="false">IF(AND(AC1229="yes",ISNUMBER(F1229),IF(Compare!$H$5="All mapped",TRUE(),IF(Compare!$H$5="EXACT only",J1229="EXACT",OR(J1229="EXACT",J1229="CLOSE")))),"yes","no")</f>
        <v>yes</v>
      </c>
      <c r="AF1229" s="110" t="n">
        <f aca="false">IF(ISNUMBER(H1229),COUNTIFS($B$7:$B$3000,B1229,$C$7:$C$3000,C1229,$H$7:$H$3000,"&lt;"&amp;H1229,$AH$7:$AH$3000,"yes")+COUNTIFS($B$7:B1229,B1229,$C$7:C1229,C1229,$H$7:H1229,H1229,$AH$7:AH1229,"yes"),"")</f>
        <v>2</v>
      </c>
      <c r="AG1229" s="110" t="n">
        <f aca="false">IF(ISNUMBER(I1229),COUNTIFS($B$7:$B$3000,B1229,$C$7:$C$3000,C1229,$I$7:$I$3000,"&lt;"&amp;I1229,$AI$7:$AI$3000,"yes")+COUNTIFS($B$7:B1229,B1229,$C$7:C1229,C1229,$I$7:I1229,I1229,$AI$7:AI1229,"yes"),"")</f>
        <v>2</v>
      </c>
      <c r="AH1229" s="110" t="str">
        <f aca="false">IF(ISNUMBER(H1229),"yes","no")</f>
        <v>yes</v>
      </c>
      <c r="AI1229" s="110" t="str">
        <f aca="false">IF(ISNUMBER(I1229),"yes","no")</f>
        <v>yes</v>
      </c>
      <c r="AJ1229" s="120" t="n">
        <v>46297</v>
      </c>
      <c r="AK1229" s="110"/>
    </row>
    <row r="1230" customFormat="false" ht="23.85" hidden="false" customHeight="false" outlineLevel="0" collapsed="false">
      <c r="B1230" s="36" t="s">
        <v>78</v>
      </c>
      <c r="C1230" s="98" t="s">
        <v>16</v>
      </c>
      <c r="D1230" s="98" t="s">
        <v>309</v>
      </c>
      <c r="E1230" s="110" t="s">
        <v>3929</v>
      </c>
      <c r="F1230" s="99" t="n">
        <v>12.6</v>
      </c>
      <c r="G1230" s="98" t="s">
        <v>244</v>
      </c>
      <c r="H1230" s="112" t="n">
        <f aca="false">IF(AND(AE1230="yes",ISNUMBER(AD1230)),AD1230,"")</f>
        <v>12.6</v>
      </c>
      <c r="I1230" s="95" t="n">
        <f aca="false">IF(AND(AE1230="yes",ISNUMBER(AD1230),ISNUMBER(INDEX(Sources!$G$7:$G$10,MATCH(AB1230,Sources!$B$7:$B$10,0)))),ROUND(AD1230/INDEX(Sources!$G$7:$G$10,MATCH(AB1230,Sources!$B$7:$B$10,0)),6),"")</f>
        <v>12.6</v>
      </c>
      <c r="J1230" s="98" t="s">
        <v>530</v>
      </c>
      <c r="K1230" s="98" t="s">
        <v>2059</v>
      </c>
      <c r="L1230" s="96"/>
      <c r="M1230" s="110" t="s">
        <v>3947</v>
      </c>
      <c r="N1230" s="117" t="s">
        <v>3931</v>
      </c>
      <c r="O1230" s="110" t="s">
        <v>2944</v>
      </c>
      <c r="P1230" s="110" t="s">
        <v>590</v>
      </c>
      <c r="Q1230" s="118" t="n">
        <v>0.19</v>
      </c>
      <c r="R1230" s="110" t="n">
        <v>1</v>
      </c>
      <c r="S1230" s="110" t="s">
        <v>632</v>
      </c>
      <c r="T1230" s="110" t="s">
        <v>530</v>
      </c>
      <c r="U1230" s="110" t="s">
        <v>2913</v>
      </c>
      <c r="V1230" s="119" t="n">
        <v>12.6</v>
      </c>
      <c r="W1230" s="119"/>
      <c r="X1230" s="110" t="s">
        <v>2063</v>
      </c>
      <c r="Y1230" s="110" t="s">
        <v>2064</v>
      </c>
      <c r="Z1230" s="110" t="s">
        <v>2970</v>
      </c>
      <c r="AA1230" s="110" t="s">
        <v>537</v>
      </c>
      <c r="AB1230" s="110" t="s">
        <v>244</v>
      </c>
      <c r="AC1230" s="110" t="s">
        <v>538</v>
      </c>
      <c r="AD1230" s="110" t="n">
        <f aca="false">IF(OR(F1230="",Q1230="",R1230=""),"",ROUND(IF(P1230="incl.",F1230/(1+Q1230),F1230)/IF(S1230="per pack",R1230,1),2))</f>
        <v>12.6</v>
      </c>
      <c r="AE1230" s="110" t="str">
        <f aca="false">IF(AND(AC1230="yes",ISNUMBER(F1230),IF(Compare!$H$5="All mapped",TRUE(),IF(Compare!$H$5="EXACT only",J1230="EXACT",OR(J1230="EXACT",J1230="CLOSE")))),"yes","no")</f>
        <v>yes</v>
      </c>
      <c r="AF1230" s="110" t="n">
        <f aca="false">IF(ISNUMBER(H1230),COUNTIFS($B$7:$B$3000,B1230,$C$7:$C$3000,C1230,$H$7:$H$3000,"&lt;"&amp;H1230,$AH$7:$AH$3000,"yes")+COUNTIFS($B$7:B1230,B1230,$C$7:C1230,C1230,$H$7:H1230,H1230,$AH$7:AH1230,"yes"),"")</f>
        <v>7</v>
      </c>
      <c r="AG1230" s="110" t="n">
        <f aca="false">IF(ISNUMBER(I1230),COUNTIFS($B$7:$B$3000,B1230,$C$7:$C$3000,C1230,$I$7:$I$3000,"&lt;"&amp;I1230,$AI$7:$AI$3000,"yes")+COUNTIFS($B$7:B1230,B1230,$C$7:C1230,C1230,$I$7:I1230,I1230,$AI$7:AI1230,"yes"),"")</f>
        <v>7</v>
      </c>
      <c r="AH1230" s="110" t="str">
        <f aca="false">IF(ISNUMBER(H1230),"yes","no")</f>
        <v>yes</v>
      </c>
      <c r="AI1230" s="110" t="str">
        <f aca="false">IF(ISNUMBER(I1230),"yes","no")</f>
        <v>yes</v>
      </c>
      <c r="AJ1230" s="120" t="n">
        <v>46297</v>
      </c>
      <c r="AK1230" s="110"/>
    </row>
    <row r="1231" customFormat="false" ht="35.05" hidden="false" customHeight="false" outlineLevel="0" collapsed="false">
      <c r="B1231" s="36" t="s">
        <v>78</v>
      </c>
      <c r="C1231" s="98" t="s">
        <v>16</v>
      </c>
      <c r="D1231" s="98" t="s">
        <v>321</v>
      </c>
      <c r="E1231" s="110" t="s">
        <v>3948</v>
      </c>
      <c r="F1231" s="99" t="n">
        <v>3.83</v>
      </c>
      <c r="G1231" s="98" t="s">
        <v>244</v>
      </c>
      <c r="H1231" s="112" t="n">
        <f aca="false">IF(AND(AE1231="yes",ISNUMBER(AD1231)),AD1231,"")</f>
        <v>3.83</v>
      </c>
      <c r="I1231" s="95" t="n">
        <f aca="false">IF(AND(AE1231="yes",ISNUMBER(AD1231),ISNUMBER(INDEX(Sources!$G$7:$G$10,MATCH(AB1231,Sources!$B$7:$B$10,0)))),ROUND(AD1231/INDEX(Sources!$G$7:$G$10,MATCH(AB1231,Sources!$B$7:$B$10,0)),6),"")</f>
        <v>3.83</v>
      </c>
      <c r="J1231" s="98" t="s">
        <v>530</v>
      </c>
      <c r="K1231" s="98" t="s">
        <v>2059</v>
      </c>
      <c r="L1231" s="96"/>
      <c r="M1231" s="110" t="s">
        <v>3949</v>
      </c>
      <c r="N1231" s="117" t="s">
        <v>3950</v>
      </c>
      <c r="O1231" s="110" t="s">
        <v>2944</v>
      </c>
      <c r="P1231" s="110" t="s">
        <v>590</v>
      </c>
      <c r="Q1231" s="118" t="n">
        <v>0.19</v>
      </c>
      <c r="R1231" s="110" t="n">
        <v>1</v>
      </c>
      <c r="S1231" s="110" t="s">
        <v>632</v>
      </c>
      <c r="T1231" s="110" t="s">
        <v>530</v>
      </c>
      <c r="U1231" s="110" t="s">
        <v>2913</v>
      </c>
      <c r="V1231" s="119" t="n">
        <v>3.83</v>
      </c>
      <c r="W1231" s="119"/>
      <c r="X1231" s="110" t="s">
        <v>2063</v>
      </c>
      <c r="Y1231" s="110" t="s">
        <v>2064</v>
      </c>
      <c r="Z1231" s="110" t="s">
        <v>2978</v>
      </c>
      <c r="AA1231" s="110" t="s">
        <v>537</v>
      </c>
      <c r="AB1231" s="110" t="s">
        <v>244</v>
      </c>
      <c r="AC1231" s="110" t="s">
        <v>538</v>
      </c>
      <c r="AD1231" s="110" t="n">
        <f aca="false">IF(OR(F1231="",Q1231="",R1231=""),"",ROUND(IF(P1231="incl.",F1231/(1+Q1231),F1231)/IF(S1231="per pack",R1231,1),2))</f>
        <v>3.83</v>
      </c>
      <c r="AE1231" s="110" t="str">
        <f aca="false">IF(AND(AC1231="yes",ISNUMBER(F1231),IF(Compare!$H$5="All mapped",TRUE(),IF(Compare!$H$5="EXACT only",J1231="EXACT",OR(J1231="EXACT",J1231="CLOSE")))),"yes","no")</f>
        <v>yes</v>
      </c>
      <c r="AF1231" s="110" t="n">
        <f aca="false">IF(ISNUMBER(H1231),COUNTIFS($B$7:$B$3000,B1231,$C$7:$C$3000,C1231,$H$7:$H$3000,"&lt;"&amp;H1231,$AH$7:$AH$3000,"yes")+COUNTIFS($B$7:B1231,B1231,$C$7:C1231,C1231,$H$7:H1231,H1231,$AH$7:AH1231,"yes"),"")</f>
        <v>6</v>
      </c>
      <c r="AG1231" s="110" t="n">
        <f aca="false">IF(ISNUMBER(I1231),COUNTIFS($B$7:$B$3000,B1231,$C$7:$C$3000,C1231,$I$7:$I$3000,"&lt;"&amp;I1231,$AI$7:$AI$3000,"yes")+COUNTIFS($B$7:B1231,B1231,$C$7:C1231,C1231,$I$7:I1231,I1231,$AI$7:AI1231,"yes"),"")</f>
        <v>6</v>
      </c>
      <c r="AH1231" s="110" t="str">
        <f aca="false">IF(ISNUMBER(H1231),"yes","no")</f>
        <v>yes</v>
      </c>
      <c r="AI1231" s="110" t="str">
        <f aca="false">IF(ISNUMBER(I1231),"yes","no")</f>
        <v>yes</v>
      </c>
      <c r="AJ1231" s="120" t="n">
        <v>46297</v>
      </c>
      <c r="AK1231" s="110"/>
    </row>
    <row r="1232" customFormat="false" ht="35.05" hidden="false" customHeight="false" outlineLevel="0" collapsed="false">
      <c r="B1232" s="36" t="s">
        <v>78</v>
      </c>
      <c r="C1232" s="98" t="s">
        <v>16</v>
      </c>
      <c r="D1232" s="98" t="s">
        <v>321</v>
      </c>
      <c r="E1232" s="110" t="s">
        <v>3951</v>
      </c>
      <c r="F1232" s="99" t="n">
        <v>3.52</v>
      </c>
      <c r="G1232" s="98" t="s">
        <v>244</v>
      </c>
      <c r="H1232" s="112" t="n">
        <f aca="false">IF(AND(AE1232="yes",ISNUMBER(AD1232)),AD1232,"")</f>
        <v>3.52</v>
      </c>
      <c r="I1232" s="95" t="n">
        <f aca="false">IF(AND(AE1232="yes",ISNUMBER(AD1232),ISNUMBER(INDEX(Sources!$G$7:$G$10,MATCH(AB1232,Sources!$B$7:$B$10,0)))),ROUND(AD1232/INDEX(Sources!$G$7:$G$10,MATCH(AB1232,Sources!$B$7:$B$10,0)),6),"")</f>
        <v>3.52</v>
      </c>
      <c r="J1232" s="98" t="s">
        <v>530</v>
      </c>
      <c r="K1232" s="98" t="s">
        <v>2059</v>
      </c>
      <c r="L1232" s="96"/>
      <c r="M1232" s="110" t="s">
        <v>3952</v>
      </c>
      <c r="N1232" s="117" t="s">
        <v>3953</v>
      </c>
      <c r="O1232" s="110" t="s">
        <v>589</v>
      </c>
      <c r="P1232" s="110" t="s">
        <v>590</v>
      </c>
      <c r="Q1232" s="118" t="n">
        <v>0.19</v>
      </c>
      <c r="R1232" s="110" t="n">
        <v>1</v>
      </c>
      <c r="S1232" s="110" t="s">
        <v>632</v>
      </c>
      <c r="T1232" s="110" t="s">
        <v>530</v>
      </c>
      <c r="U1232" s="110" t="s">
        <v>2913</v>
      </c>
      <c r="V1232" s="119" t="n">
        <v>3.52</v>
      </c>
      <c r="W1232" s="119"/>
      <c r="X1232" s="110" t="s">
        <v>2063</v>
      </c>
      <c r="Y1232" s="110" t="s">
        <v>2064</v>
      </c>
      <c r="Z1232" s="110" t="s">
        <v>2978</v>
      </c>
      <c r="AA1232" s="110" t="s">
        <v>537</v>
      </c>
      <c r="AB1232" s="110" t="s">
        <v>244</v>
      </c>
      <c r="AC1232" s="110" t="s">
        <v>538</v>
      </c>
      <c r="AD1232" s="110" t="n">
        <f aca="false">IF(OR(F1232="",Q1232="",R1232=""),"",ROUND(IF(P1232="incl.",F1232/(1+Q1232),F1232)/IF(S1232="per pack",R1232,1),2))</f>
        <v>3.52</v>
      </c>
      <c r="AE1232" s="110" t="str">
        <f aca="false">IF(AND(AC1232="yes",ISNUMBER(F1232),IF(Compare!$H$5="All mapped",TRUE(),IF(Compare!$H$5="EXACT only",J1232="EXACT",OR(J1232="EXACT",J1232="CLOSE")))),"yes","no")</f>
        <v>yes</v>
      </c>
      <c r="AF1232" s="110" t="n">
        <f aca="false">IF(ISNUMBER(H1232),COUNTIFS($B$7:$B$3000,B1232,$C$7:$C$3000,C1232,$H$7:$H$3000,"&lt;"&amp;H1232,$AH$7:$AH$3000,"yes")+COUNTIFS($B$7:B1232,B1232,$C$7:C1232,C1232,$H$7:H1232,H1232,$AH$7:AH1232,"yes"),"")</f>
        <v>4</v>
      </c>
      <c r="AG1232" s="110" t="n">
        <f aca="false">IF(ISNUMBER(I1232),COUNTIFS($B$7:$B$3000,B1232,$C$7:$C$3000,C1232,$I$7:$I$3000,"&lt;"&amp;I1232,$AI$7:$AI$3000,"yes")+COUNTIFS($B$7:B1232,B1232,$C$7:C1232,C1232,$I$7:I1232,I1232,$AI$7:AI1232,"yes"),"")</f>
        <v>4</v>
      </c>
      <c r="AH1232" s="110" t="str">
        <f aca="false">IF(ISNUMBER(H1232),"yes","no")</f>
        <v>yes</v>
      </c>
      <c r="AI1232" s="110" t="str">
        <f aca="false">IF(ISNUMBER(I1232),"yes","no")</f>
        <v>yes</v>
      </c>
      <c r="AJ1232" s="120" t="n">
        <v>46297</v>
      </c>
      <c r="AK1232" s="110"/>
    </row>
    <row r="1233" customFormat="false" ht="35.05" hidden="false" customHeight="false" outlineLevel="0" collapsed="false">
      <c r="B1233" s="36" t="s">
        <v>78</v>
      </c>
      <c r="C1233" s="98" t="s">
        <v>17</v>
      </c>
      <c r="D1233" s="98" t="s">
        <v>338</v>
      </c>
      <c r="E1233" s="110" t="s">
        <v>3954</v>
      </c>
      <c r="F1233" s="99" t="n">
        <v>59</v>
      </c>
      <c r="G1233" s="98" t="s">
        <v>333</v>
      </c>
      <c r="H1233" s="112" t="n">
        <f aca="false">IF(AND(AE1233="yes",ISNUMBER(AD1233)),AD1233,"")</f>
        <v>59</v>
      </c>
      <c r="I1233" s="95" t="n">
        <f aca="false">IF(AND(AE1233="yes",ISNUMBER(AD1233),ISNUMBER(INDEX(Sources!$G$7:$G$10,MATCH(AB1233,Sources!$B$7:$B$10,0)))),ROUND(AD1233/INDEX(Sources!$G$7:$G$10,MATCH(AB1233,Sources!$B$7:$B$10,0)),6),"")</f>
        <v>2.415695</v>
      </c>
      <c r="J1233" s="98" t="s">
        <v>530</v>
      </c>
      <c r="K1233" s="98" t="s">
        <v>2059</v>
      </c>
      <c r="L1233" s="96"/>
      <c r="M1233" s="110" t="s">
        <v>3955</v>
      </c>
      <c r="N1233" s="117" t="s">
        <v>3956</v>
      </c>
      <c r="O1233" s="110" t="s">
        <v>388</v>
      </c>
      <c r="P1233" s="110" t="s">
        <v>590</v>
      </c>
      <c r="Q1233" s="118" t="n">
        <v>0.21</v>
      </c>
      <c r="R1233" s="110" t="n">
        <v>1</v>
      </c>
      <c r="S1233" s="110" t="s">
        <v>632</v>
      </c>
      <c r="T1233" s="110" t="s">
        <v>530</v>
      </c>
      <c r="U1233" s="110" t="s">
        <v>2913</v>
      </c>
      <c r="V1233" s="119" t="n">
        <v>59</v>
      </c>
      <c r="W1233" s="119"/>
      <c r="X1233" s="110" t="s">
        <v>2063</v>
      </c>
      <c r="Y1233" s="110" t="s">
        <v>2064</v>
      </c>
      <c r="Z1233" s="110" t="s">
        <v>3167</v>
      </c>
      <c r="AA1233" s="110" t="s">
        <v>537</v>
      </c>
      <c r="AB1233" s="110" t="s">
        <v>333</v>
      </c>
      <c r="AC1233" s="110" t="s">
        <v>538</v>
      </c>
      <c r="AD1233" s="110" t="n">
        <f aca="false">IF(OR(F1233="",Q1233="",R1233=""),"",ROUND(IF(P1233="incl.",F1233/(1+Q1233),F1233)/IF(S1233="per pack",R1233,1),2))</f>
        <v>59</v>
      </c>
      <c r="AE1233" s="110" t="str">
        <f aca="false">IF(AND(AC1233="yes",ISNUMBER(F1233),IF(Compare!$H$5="All mapped",TRUE(),IF(Compare!$H$5="EXACT only",J1233="EXACT",OR(J1233="EXACT",J1233="CLOSE")))),"yes","no")</f>
        <v>yes</v>
      </c>
      <c r="AF1233" s="110" t="n">
        <f aca="false">IF(ISNUMBER(H1233),COUNTIFS($B$7:$B$3000,B1233,$C$7:$C$3000,C1233,$H$7:$H$3000,"&lt;"&amp;H1233,$AH$7:$AH$3000,"yes")+COUNTIFS($B$7:B1233,B1233,$C$7:C1233,C1233,$H$7:H1233,H1233,$AH$7:AH1233,"yes"),"")</f>
        <v>2</v>
      </c>
      <c r="AG1233" s="110" t="n">
        <f aca="false">IF(ISNUMBER(I1233),COUNTIFS($B$7:$B$3000,B1233,$C$7:$C$3000,C1233,$I$7:$I$3000,"&lt;"&amp;I1233,$AI$7:$AI$3000,"yes")+COUNTIFS($B$7:B1233,B1233,$C$7:C1233,C1233,$I$7:I1233,I1233,$AI$7:AI1233,"yes"),"")</f>
        <v>2</v>
      </c>
      <c r="AH1233" s="110" t="str">
        <f aca="false">IF(ISNUMBER(H1233),"yes","no")</f>
        <v>yes</v>
      </c>
      <c r="AI1233" s="110" t="str">
        <f aca="false">IF(ISNUMBER(I1233),"yes","no")</f>
        <v>yes</v>
      </c>
      <c r="AJ1233" s="120" t="n">
        <v>46297</v>
      </c>
      <c r="AK1233" s="110"/>
    </row>
    <row r="1234" customFormat="false" ht="35.05" hidden="false" customHeight="false" outlineLevel="0" collapsed="false">
      <c r="B1234" s="36" t="s">
        <v>78</v>
      </c>
      <c r="C1234" s="98" t="s">
        <v>17</v>
      </c>
      <c r="D1234" s="98" t="s">
        <v>342</v>
      </c>
      <c r="E1234" s="110" t="s">
        <v>3957</v>
      </c>
      <c r="F1234" s="99" t="n">
        <v>59</v>
      </c>
      <c r="G1234" s="98" t="s">
        <v>333</v>
      </c>
      <c r="H1234" s="112" t="n">
        <f aca="false">IF(AND(AE1234="yes",ISNUMBER(AD1234)),AD1234,"")</f>
        <v>59</v>
      </c>
      <c r="I1234" s="95" t="n">
        <f aca="false">IF(AND(AE1234="yes",ISNUMBER(AD1234),ISNUMBER(INDEX(Sources!$G$7:$G$10,MATCH(AB1234,Sources!$B$7:$B$10,0)))),ROUND(AD1234/INDEX(Sources!$G$7:$G$10,MATCH(AB1234,Sources!$B$7:$B$10,0)),6),"")</f>
        <v>2.415695</v>
      </c>
      <c r="J1234" s="98" t="s">
        <v>530</v>
      </c>
      <c r="K1234" s="98" t="s">
        <v>2059</v>
      </c>
      <c r="L1234" s="96"/>
      <c r="M1234" s="110" t="s">
        <v>3958</v>
      </c>
      <c r="N1234" s="117" t="s">
        <v>3959</v>
      </c>
      <c r="O1234" s="110" t="s">
        <v>1138</v>
      </c>
      <c r="P1234" s="110" t="s">
        <v>590</v>
      </c>
      <c r="Q1234" s="118" t="n">
        <v>0.21</v>
      </c>
      <c r="R1234" s="110" t="n">
        <v>1</v>
      </c>
      <c r="S1234" s="110" t="s">
        <v>632</v>
      </c>
      <c r="T1234" s="110" t="s">
        <v>530</v>
      </c>
      <c r="U1234" s="110" t="s">
        <v>2913</v>
      </c>
      <c r="V1234" s="119" t="n">
        <v>59</v>
      </c>
      <c r="W1234" s="119"/>
      <c r="X1234" s="110" t="s">
        <v>2063</v>
      </c>
      <c r="Y1234" s="110" t="s">
        <v>2064</v>
      </c>
      <c r="Z1234" s="110" t="s">
        <v>2400</v>
      </c>
      <c r="AA1234" s="110" t="s">
        <v>537</v>
      </c>
      <c r="AB1234" s="110" t="s">
        <v>333</v>
      </c>
      <c r="AC1234" s="110" t="s">
        <v>538</v>
      </c>
      <c r="AD1234" s="110" t="n">
        <f aca="false">IF(OR(F1234="",Q1234="",R1234=""),"",ROUND(IF(P1234="incl.",F1234/(1+Q1234),F1234)/IF(S1234="per pack",R1234,1),2))</f>
        <v>59</v>
      </c>
      <c r="AE1234" s="110" t="str">
        <f aca="false">IF(AND(AC1234="yes",ISNUMBER(F1234),IF(Compare!$H$5="All mapped",TRUE(),IF(Compare!$H$5="EXACT only",J1234="EXACT",OR(J1234="EXACT",J1234="CLOSE")))),"yes","no")</f>
        <v>yes</v>
      </c>
      <c r="AF1234" s="110" t="n">
        <f aca="false">IF(ISNUMBER(H1234),COUNTIFS($B$7:$B$3000,B1234,$C$7:$C$3000,C1234,$H$7:$H$3000,"&lt;"&amp;H1234,$AH$7:$AH$3000,"yes")+COUNTIFS($B$7:B1234,B1234,$C$7:C1234,C1234,$H$7:H1234,H1234,$AH$7:AH1234,"yes"),"")</f>
        <v>3</v>
      </c>
      <c r="AG1234" s="110" t="n">
        <f aca="false">IF(ISNUMBER(I1234),COUNTIFS($B$7:$B$3000,B1234,$C$7:$C$3000,C1234,$I$7:$I$3000,"&lt;"&amp;I1234,$AI$7:$AI$3000,"yes")+COUNTIFS($B$7:B1234,B1234,$C$7:C1234,C1234,$I$7:I1234,I1234,$AI$7:AI1234,"yes"),"")</f>
        <v>3</v>
      </c>
      <c r="AH1234" s="110" t="str">
        <f aca="false">IF(ISNUMBER(H1234),"yes","no")</f>
        <v>yes</v>
      </c>
      <c r="AI1234" s="110" t="str">
        <f aca="false">IF(ISNUMBER(I1234),"yes","no")</f>
        <v>yes</v>
      </c>
      <c r="AJ1234" s="120" t="n">
        <v>46297</v>
      </c>
      <c r="AK1234" s="110"/>
    </row>
    <row r="1235" customFormat="false" ht="46.25" hidden="false" customHeight="false" outlineLevel="0" collapsed="false">
      <c r="B1235" s="36" t="s">
        <v>78</v>
      </c>
      <c r="C1235" s="98" t="s">
        <v>17</v>
      </c>
      <c r="D1235" s="98" t="s">
        <v>346</v>
      </c>
      <c r="E1235" s="110" t="s">
        <v>3960</v>
      </c>
      <c r="F1235" s="99" t="n">
        <v>115</v>
      </c>
      <c r="G1235" s="98" t="s">
        <v>333</v>
      </c>
      <c r="H1235" s="112" t="n">
        <f aca="false">IF(AND(AE1235="yes",ISNUMBER(AD1235)),AD1235,"")</f>
        <v>115</v>
      </c>
      <c r="I1235" s="95" t="n">
        <f aca="false">IF(AND(AE1235="yes",ISNUMBER(AD1235),ISNUMBER(INDEX(Sources!$G$7:$G$10,MATCH(AB1235,Sources!$B$7:$B$10,0)))),ROUND(AD1235/INDEX(Sources!$G$7:$G$10,MATCH(AB1235,Sources!$B$7:$B$10,0)),6),"")</f>
        <v>4.708558</v>
      </c>
      <c r="J1235" s="98" t="s">
        <v>530</v>
      </c>
      <c r="K1235" s="98" t="s">
        <v>2059</v>
      </c>
      <c r="L1235" s="96"/>
      <c r="M1235" s="110" t="s">
        <v>3961</v>
      </c>
      <c r="N1235" s="117" t="s">
        <v>3962</v>
      </c>
      <c r="O1235" s="110" t="s">
        <v>565</v>
      </c>
      <c r="P1235" s="110" t="s">
        <v>590</v>
      </c>
      <c r="Q1235" s="118" t="n">
        <v>0.21</v>
      </c>
      <c r="R1235" s="110" t="n">
        <v>1</v>
      </c>
      <c r="S1235" s="110" t="s">
        <v>632</v>
      </c>
      <c r="T1235" s="110" t="s">
        <v>530</v>
      </c>
      <c r="U1235" s="110" t="s">
        <v>2913</v>
      </c>
      <c r="V1235" s="119" t="n">
        <v>115</v>
      </c>
      <c r="W1235" s="119"/>
      <c r="X1235" s="110" t="s">
        <v>2063</v>
      </c>
      <c r="Y1235" s="110" t="s">
        <v>2064</v>
      </c>
      <c r="Z1235" s="110" t="s">
        <v>2993</v>
      </c>
      <c r="AA1235" s="110" t="s">
        <v>537</v>
      </c>
      <c r="AB1235" s="110" t="s">
        <v>333</v>
      </c>
      <c r="AC1235" s="110" t="s">
        <v>538</v>
      </c>
      <c r="AD1235" s="110" t="n">
        <f aca="false">IF(OR(F1235="",Q1235="",R1235=""),"",ROUND(IF(P1235="incl.",F1235/(1+Q1235),F1235)/IF(S1235="per pack",R1235,1),2))</f>
        <v>115</v>
      </c>
      <c r="AE1235" s="110" t="str">
        <f aca="false">IF(AND(AC1235="yes",ISNUMBER(F1235),IF(Compare!$H$5="All mapped",TRUE(),IF(Compare!$H$5="EXACT only",J1235="EXACT",OR(J1235="EXACT",J1235="CLOSE")))),"yes","no")</f>
        <v>yes</v>
      </c>
      <c r="AF1235" s="110" t="n">
        <f aca="false">IF(ISNUMBER(H1235),COUNTIFS($B$7:$B$3000,B1235,$C$7:$C$3000,C1235,$H$7:$H$3000,"&lt;"&amp;H1235,$AH$7:$AH$3000,"yes")+COUNTIFS($B$7:B1235,B1235,$C$7:C1235,C1235,$H$7:H1235,H1235,$AH$7:AH1235,"yes"),"")</f>
        <v>5</v>
      </c>
      <c r="AG1235" s="110" t="n">
        <f aca="false">IF(ISNUMBER(I1235),COUNTIFS($B$7:$B$3000,B1235,$C$7:$C$3000,C1235,$I$7:$I$3000,"&lt;"&amp;I1235,$AI$7:$AI$3000,"yes")+COUNTIFS($B$7:B1235,B1235,$C$7:C1235,C1235,$I$7:I1235,I1235,$AI$7:AI1235,"yes"),"")</f>
        <v>5</v>
      </c>
      <c r="AH1235" s="110" t="str">
        <f aca="false">IF(ISNUMBER(H1235),"yes","no")</f>
        <v>yes</v>
      </c>
      <c r="AI1235" s="110" t="str">
        <f aca="false">IF(ISNUMBER(I1235),"yes","no")</f>
        <v>yes</v>
      </c>
      <c r="AJ1235" s="120" t="n">
        <v>46297</v>
      </c>
      <c r="AK1235" s="110"/>
    </row>
    <row r="1236" customFormat="false" ht="35.05" hidden="false" customHeight="false" outlineLevel="0" collapsed="false">
      <c r="B1236" s="36" t="s">
        <v>78</v>
      </c>
      <c r="C1236" s="98" t="s">
        <v>17</v>
      </c>
      <c r="D1236" s="98" t="s">
        <v>350</v>
      </c>
      <c r="E1236" s="110" t="s">
        <v>3963</v>
      </c>
      <c r="F1236" s="99" t="n">
        <v>59</v>
      </c>
      <c r="G1236" s="98" t="s">
        <v>333</v>
      </c>
      <c r="H1236" s="112" t="n">
        <f aca="false">IF(AND(AE1236="yes",ISNUMBER(AD1236)),AD1236,"")</f>
        <v>48.76</v>
      </c>
      <c r="I1236" s="95" t="n">
        <f aca="false">IF(AND(AE1236="yes",ISNUMBER(AD1236),ISNUMBER(INDEX(Sources!$G$7:$G$10,MATCH(AB1236,Sources!$B$7:$B$10,0)))),ROUND(AD1236/INDEX(Sources!$G$7:$G$10,MATCH(AB1236,Sources!$B$7:$B$10,0)),6),"")</f>
        <v>1.996428</v>
      </c>
      <c r="J1236" s="98" t="s">
        <v>530</v>
      </c>
      <c r="K1236" s="98" t="s">
        <v>2059</v>
      </c>
      <c r="L1236" s="96"/>
      <c r="M1236" s="110" t="s">
        <v>3964</v>
      </c>
      <c r="N1236" s="117" t="s">
        <v>3965</v>
      </c>
      <c r="O1236" s="110" t="s">
        <v>2997</v>
      </c>
      <c r="P1236" s="110" t="s">
        <v>265</v>
      </c>
      <c r="Q1236" s="118" t="n">
        <v>0.21</v>
      </c>
      <c r="R1236" s="110" t="n">
        <v>1</v>
      </c>
      <c r="S1236" s="110" t="s">
        <v>632</v>
      </c>
      <c r="T1236" s="110" t="s">
        <v>530</v>
      </c>
      <c r="U1236" s="110" t="s">
        <v>2918</v>
      </c>
      <c r="V1236" s="119" t="n">
        <v>48.76</v>
      </c>
      <c r="W1236" s="119"/>
      <c r="X1236" s="110" t="s">
        <v>2063</v>
      </c>
      <c r="Y1236" s="110" t="s">
        <v>2064</v>
      </c>
      <c r="Z1236" s="110" t="s">
        <v>2344</v>
      </c>
      <c r="AA1236" s="110" t="s">
        <v>537</v>
      </c>
      <c r="AB1236" s="110" t="s">
        <v>333</v>
      </c>
      <c r="AC1236" s="110" t="s">
        <v>538</v>
      </c>
      <c r="AD1236" s="110" t="n">
        <f aca="false">IF(OR(F1236="",Q1236="",R1236=""),"",ROUND(IF(P1236="incl.",F1236/(1+Q1236),F1236)/IF(S1236="per pack",R1236,1),2))</f>
        <v>48.76</v>
      </c>
      <c r="AE1236" s="110" t="str">
        <f aca="false">IF(AND(AC1236="yes",ISNUMBER(F1236),IF(Compare!$H$5="All mapped",TRUE(),IF(Compare!$H$5="EXACT only",J1236="EXACT",OR(J1236="EXACT",J1236="CLOSE")))),"yes","no")</f>
        <v>yes</v>
      </c>
      <c r="AF1236" s="110" t="n">
        <f aca="false">IF(ISNUMBER(H1236),COUNTIFS($B$7:$B$3000,B1236,$C$7:$C$3000,C1236,$H$7:$H$3000,"&lt;"&amp;H1236,$AH$7:$AH$3000,"yes")+COUNTIFS($B$7:B1236,B1236,$C$7:C1236,C1236,$H$7:H1236,H1236,$AH$7:AH1236,"yes"),"")</f>
        <v>1</v>
      </c>
      <c r="AG1236" s="110" t="n">
        <f aca="false">IF(ISNUMBER(I1236),COUNTIFS($B$7:$B$3000,B1236,$C$7:$C$3000,C1236,$I$7:$I$3000,"&lt;"&amp;I1236,$AI$7:$AI$3000,"yes")+COUNTIFS($B$7:B1236,B1236,$C$7:C1236,C1236,$I$7:I1236,I1236,$AI$7:AI1236,"yes"),"")</f>
        <v>1</v>
      </c>
      <c r="AH1236" s="110" t="str">
        <f aca="false">IF(ISNUMBER(H1236),"yes","no")</f>
        <v>yes</v>
      </c>
      <c r="AI1236" s="110" t="str">
        <f aca="false">IF(ISNUMBER(I1236),"yes","no")</f>
        <v>yes</v>
      </c>
      <c r="AJ1236" s="120" t="n">
        <v>46297</v>
      </c>
      <c r="AK1236" s="110"/>
    </row>
    <row r="1237" customFormat="false" ht="23.85" hidden="false" customHeight="false" outlineLevel="0" collapsed="false">
      <c r="B1237" s="36" t="s">
        <v>78</v>
      </c>
      <c r="C1237" s="98" t="s">
        <v>17</v>
      </c>
      <c r="D1237" s="98" t="s">
        <v>361</v>
      </c>
      <c r="E1237" s="110" t="s">
        <v>3966</v>
      </c>
      <c r="F1237" s="99" t="n">
        <v>101</v>
      </c>
      <c r="G1237" s="98" t="s">
        <v>333</v>
      </c>
      <c r="H1237" s="112" t="n">
        <f aca="false">IF(AND(AE1237="yes",ISNUMBER(AD1237)),AD1237,"")</f>
        <v>101</v>
      </c>
      <c r="I1237" s="95" t="n">
        <f aca="false">IF(AND(AE1237="yes",ISNUMBER(AD1237),ISNUMBER(INDEX(Sources!$G$7:$G$10,MATCH(AB1237,Sources!$B$7:$B$10,0)))),ROUND(AD1237/INDEX(Sources!$G$7:$G$10,MATCH(AB1237,Sources!$B$7:$B$10,0)),6),"")</f>
        <v>4.135342</v>
      </c>
      <c r="J1237" s="98" t="s">
        <v>530</v>
      </c>
      <c r="K1237" s="98" t="s">
        <v>2059</v>
      </c>
      <c r="L1237" s="96"/>
      <c r="M1237" s="110" t="s">
        <v>3967</v>
      </c>
      <c r="N1237" s="117" t="s">
        <v>3968</v>
      </c>
      <c r="O1237" s="110" t="s">
        <v>642</v>
      </c>
      <c r="P1237" s="110" t="s">
        <v>590</v>
      </c>
      <c r="Q1237" s="118" t="n">
        <v>0.21</v>
      </c>
      <c r="R1237" s="110" t="n">
        <v>1</v>
      </c>
      <c r="S1237" s="110" t="s">
        <v>632</v>
      </c>
      <c r="T1237" s="110" t="s">
        <v>530</v>
      </c>
      <c r="U1237" s="110" t="s">
        <v>2913</v>
      </c>
      <c r="V1237" s="119" t="n">
        <v>101</v>
      </c>
      <c r="W1237" s="119"/>
      <c r="X1237" s="110" t="s">
        <v>2063</v>
      </c>
      <c r="Y1237" s="110" t="s">
        <v>2064</v>
      </c>
      <c r="Z1237" s="110" t="s">
        <v>3969</v>
      </c>
      <c r="AA1237" s="110" t="s">
        <v>537</v>
      </c>
      <c r="AB1237" s="110" t="s">
        <v>333</v>
      </c>
      <c r="AC1237" s="110" t="s">
        <v>538</v>
      </c>
      <c r="AD1237" s="110" t="n">
        <f aca="false">IF(OR(F1237="",Q1237="",R1237=""),"",ROUND(IF(P1237="incl.",F1237/(1+Q1237),F1237)/IF(S1237="per pack",R1237,1),2))</f>
        <v>101</v>
      </c>
      <c r="AE1237" s="110" t="str">
        <f aca="false">IF(AND(AC1237="yes",ISNUMBER(F1237),IF(Compare!$H$5="All mapped",TRUE(),IF(Compare!$H$5="EXACT only",J1237="EXACT",OR(J1237="EXACT",J1237="CLOSE")))),"yes","no")</f>
        <v>yes</v>
      </c>
      <c r="AF1237" s="110" t="n">
        <f aca="false">IF(ISNUMBER(H1237),COUNTIFS($B$7:$B$3000,B1237,$C$7:$C$3000,C1237,$H$7:$H$3000,"&lt;"&amp;H1237,$AH$7:$AH$3000,"yes")+COUNTIFS($B$7:B1237,B1237,$C$7:C1237,C1237,$H$7:H1237,H1237,$AH$7:AH1237,"yes"),"")</f>
        <v>4</v>
      </c>
      <c r="AG1237" s="110" t="n">
        <f aca="false">IF(ISNUMBER(I1237),COUNTIFS($B$7:$B$3000,B1237,$C$7:$C$3000,C1237,$I$7:$I$3000,"&lt;"&amp;I1237,$AI$7:$AI$3000,"yes")+COUNTIFS($B$7:B1237,B1237,$C$7:C1237,C1237,$I$7:I1237,I1237,$AI$7:AI1237,"yes"),"")</f>
        <v>4</v>
      </c>
      <c r="AH1237" s="110" t="str">
        <f aca="false">IF(ISNUMBER(H1237),"yes","no")</f>
        <v>yes</v>
      </c>
      <c r="AI1237" s="110" t="str">
        <f aca="false">IF(ISNUMBER(I1237),"yes","no")</f>
        <v>yes</v>
      </c>
      <c r="AJ1237" s="120" t="n">
        <v>46297</v>
      </c>
      <c r="AK1237" s="110"/>
    </row>
    <row r="1238" customFormat="false" ht="23.85" hidden="false" customHeight="false" outlineLevel="0" collapsed="false">
      <c r="B1238" s="36" t="s">
        <v>78</v>
      </c>
      <c r="C1238" s="98" t="s">
        <v>18</v>
      </c>
      <c r="D1238" s="98" t="s">
        <v>3002</v>
      </c>
      <c r="E1238" s="110" t="s">
        <v>3970</v>
      </c>
      <c r="F1238" s="99" t="n">
        <v>2.8</v>
      </c>
      <c r="G1238" s="98" t="s">
        <v>244</v>
      </c>
      <c r="H1238" s="112" t="n">
        <f aca="false">IF(AND(AE1238="yes",ISNUMBER(AD1238)),AD1238,"")</f>
        <v>2.8</v>
      </c>
      <c r="I1238" s="95" t="n">
        <f aca="false">IF(AND(AE1238="yes",ISNUMBER(AD1238),ISNUMBER(INDEX(Sources!$G$7:$G$10,MATCH(AB1238,Sources!$B$7:$B$10,0)))),ROUND(AD1238/INDEX(Sources!$G$7:$G$10,MATCH(AB1238,Sources!$B$7:$B$10,0)),6),"")</f>
        <v>2.8</v>
      </c>
      <c r="J1238" s="98" t="s">
        <v>530</v>
      </c>
      <c r="K1238" s="98" t="s">
        <v>2059</v>
      </c>
      <c r="L1238" s="96"/>
      <c r="M1238" s="110" t="s">
        <v>3971</v>
      </c>
      <c r="N1238" s="117" t="s">
        <v>3005</v>
      </c>
      <c r="O1238" s="110" t="s">
        <v>2396</v>
      </c>
      <c r="P1238" s="110" t="s">
        <v>590</v>
      </c>
      <c r="Q1238" s="118" t="n">
        <v>0.23</v>
      </c>
      <c r="R1238" s="110" t="n">
        <v>1</v>
      </c>
      <c r="S1238" s="110" t="s">
        <v>632</v>
      </c>
      <c r="T1238" s="110" t="s">
        <v>530</v>
      </c>
      <c r="U1238" s="110" t="s">
        <v>2913</v>
      </c>
      <c r="V1238" s="119" t="n">
        <v>2.8</v>
      </c>
      <c r="W1238" s="119"/>
      <c r="X1238" s="110" t="s">
        <v>2063</v>
      </c>
      <c r="Y1238" s="110" t="s">
        <v>2064</v>
      </c>
      <c r="Z1238" s="110" t="s">
        <v>3268</v>
      </c>
      <c r="AA1238" s="110" t="s">
        <v>537</v>
      </c>
      <c r="AB1238" s="110" t="s">
        <v>244</v>
      </c>
      <c r="AC1238" s="110" t="s">
        <v>538</v>
      </c>
      <c r="AD1238" s="110" t="n">
        <f aca="false">IF(OR(F1238="",Q1238="",R1238=""),"",ROUND(IF(P1238="incl.",F1238/(1+Q1238),F1238)/IF(S1238="per pack",R1238,1),2))</f>
        <v>2.8</v>
      </c>
      <c r="AE1238" s="110" t="str">
        <f aca="false">IF(AND(AC1238="yes",ISNUMBER(F1238),IF(Compare!$H$5="All mapped",TRUE(),IF(Compare!$H$5="EXACT only",J1238="EXACT",OR(J1238="EXACT",J1238="CLOSE")))),"yes","no")</f>
        <v>yes</v>
      </c>
      <c r="AF1238" s="110" t="n">
        <f aca="false">IF(ISNUMBER(H1238),COUNTIFS($B$7:$B$3000,B1238,$C$7:$C$3000,C1238,$H$7:$H$3000,"&lt;"&amp;H1238,$AH$7:$AH$3000,"yes")+COUNTIFS($B$7:B1238,B1238,$C$7:C1238,C1238,$H$7:H1238,H1238,$AH$7:AH1238,"yes"),"")</f>
        <v>3</v>
      </c>
      <c r="AG1238" s="110" t="n">
        <f aca="false">IF(ISNUMBER(I1238),COUNTIFS($B$7:$B$3000,B1238,$C$7:$C$3000,C1238,$I$7:$I$3000,"&lt;"&amp;I1238,$AI$7:$AI$3000,"yes")+COUNTIFS($B$7:B1238,B1238,$C$7:C1238,C1238,$I$7:I1238,I1238,$AI$7:AI1238,"yes"),"")</f>
        <v>3</v>
      </c>
      <c r="AH1238" s="110" t="str">
        <f aca="false">IF(ISNUMBER(H1238),"yes","no")</f>
        <v>yes</v>
      </c>
      <c r="AI1238" s="110" t="str">
        <f aca="false">IF(ISNUMBER(I1238),"yes","no")</f>
        <v>yes</v>
      </c>
      <c r="AJ1238" s="120" t="n">
        <v>46297</v>
      </c>
      <c r="AK1238" s="110"/>
    </row>
    <row r="1239" customFormat="false" ht="23.85" hidden="false" customHeight="false" outlineLevel="0" collapsed="false">
      <c r="B1239" s="36" t="s">
        <v>78</v>
      </c>
      <c r="C1239" s="98" t="s">
        <v>18</v>
      </c>
      <c r="D1239" s="98" t="s">
        <v>3007</v>
      </c>
      <c r="E1239" s="110" t="s">
        <v>3972</v>
      </c>
      <c r="F1239" s="99" t="n">
        <v>3.1</v>
      </c>
      <c r="G1239" s="98" t="s">
        <v>244</v>
      </c>
      <c r="H1239" s="112" t="n">
        <f aca="false">IF(AND(AE1239="yes",ISNUMBER(AD1239)),AD1239,"")</f>
        <v>3.1</v>
      </c>
      <c r="I1239" s="95" t="n">
        <f aca="false">IF(AND(AE1239="yes",ISNUMBER(AD1239),ISNUMBER(INDEX(Sources!$G$7:$G$10,MATCH(AB1239,Sources!$B$7:$B$10,0)))),ROUND(AD1239/INDEX(Sources!$G$7:$G$10,MATCH(AB1239,Sources!$B$7:$B$10,0)),6),"")</f>
        <v>3.1</v>
      </c>
      <c r="J1239" s="98" t="s">
        <v>530</v>
      </c>
      <c r="K1239" s="98" t="s">
        <v>2059</v>
      </c>
      <c r="L1239" s="96"/>
      <c r="M1239" s="110" t="s">
        <v>3973</v>
      </c>
      <c r="N1239" s="117" t="s">
        <v>3010</v>
      </c>
      <c r="O1239" s="110" t="s">
        <v>3011</v>
      </c>
      <c r="P1239" s="110" t="s">
        <v>590</v>
      </c>
      <c r="Q1239" s="118" t="n">
        <v>0.23</v>
      </c>
      <c r="R1239" s="110" t="n">
        <v>1</v>
      </c>
      <c r="S1239" s="110" t="s">
        <v>632</v>
      </c>
      <c r="T1239" s="110" t="s">
        <v>530</v>
      </c>
      <c r="U1239" s="110" t="s">
        <v>2913</v>
      </c>
      <c r="V1239" s="119" t="n">
        <v>3.1</v>
      </c>
      <c r="W1239" s="119"/>
      <c r="X1239" s="110" t="s">
        <v>2063</v>
      </c>
      <c r="Y1239" s="110" t="s">
        <v>2064</v>
      </c>
      <c r="Z1239" s="110" t="s">
        <v>3012</v>
      </c>
      <c r="AA1239" s="110" t="s">
        <v>537</v>
      </c>
      <c r="AB1239" s="110" t="s">
        <v>244</v>
      </c>
      <c r="AC1239" s="110" t="s">
        <v>538</v>
      </c>
      <c r="AD1239" s="110" t="n">
        <f aca="false">IF(OR(F1239="",Q1239="",R1239=""),"",ROUND(IF(P1239="incl.",F1239/(1+Q1239),F1239)/IF(S1239="per pack",R1239,1),2))</f>
        <v>3.1</v>
      </c>
      <c r="AE1239" s="110" t="str">
        <f aca="false">IF(AND(AC1239="yes",ISNUMBER(F1239),IF(Compare!$H$5="All mapped",TRUE(),IF(Compare!$H$5="EXACT only",J1239="EXACT",OR(J1239="EXACT",J1239="CLOSE")))),"yes","no")</f>
        <v>yes</v>
      </c>
      <c r="AF1239" s="110" t="n">
        <f aca="false">IF(ISNUMBER(H1239),COUNTIFS($B$7:$B$3000,B1239,$C$7:$C$3000,C1239,$H$7:$H$3000,"&lt;"&amp;H1239,$AH$7:$AH$3000,"yes")+COUNTIFS($B$7:B1239,B1239,$C$7:C1239,C1239,$H$7:H1239,H1239,$AH$7:AH1239,"yes"),"")</f>
        <v>4</v>
      </c>
      <c r="AG1239" s="110" t="n">
        <f aca="false">IF(ISNUMBER(I1239),COUNTIFS($B$7:$B$3000,B1239,$C$7:$C$3000,C1239,$I$7:$I$3000,"&lt;"&amp;I1239,$AI$7:$AI$3000,"yes")+COUNTIFS($B$7:B1239,B1239,$C$7:C1239,C1239,$I$7:I1239,I1239,$AI$7:AI1239,"yes"),"")</f>
        <v>4</v>
      </c>
      <c r="AH1239" s="110" t="str">
        <f aca="false">IF(ISNUMBER(H1239),"yes","no")</f>
        <v>yes</v>
      </c>
      <c r="AI1239" s="110" t="str">
        <f aca="false">IF(ISNUMBER(I1239),"yes","no")</f>
        <v>yes</v>
      </c>
      <c r="AJ1239" s="120" t="n">
        <v>46297</v>
      </c>
      <c r="AK1239" s="110"/>
    </row>
    <row r="1240" customFormat="false" ht="35.05" hidden="false" customHeight="false" outlineLevel="0" collapsed="false">
      <c r="B1240" s="36" t="s">
        <v>78</v>
      </c>
      <c r="C1240" s="98" t="s">
        <v>18</v>
      </c>
      <c r="D1240" s="98" t="s">
        <v>365</v>
      </c>
      <c r="E1240" s="110" t="s">
        <v>3974</v>
      </c>
      <c r="F1240" s="99" t="n">
        <v>2.69</v>
      </c>
      <c r="G1240" s="98" t="s">
        <v>244</v>
      </c>
      <c r="H1240" s="112" t="n">
        <f aca="false">IF(AND(AE1240="yes",ISNUMBER(AD1240)),AD1240,"")</f>
        <v>2.19</v>
      </c>
      <c r="I1240" s="95" t="n">
        <f aca="false">IF(AND(AE1240="yes",ISNUMBER(AD1240),ISNUMBER(INDEX(Sources!$G$7:$G$10,MATCH(AB1240,Sources!$B$7:$B$10,0)))),ROUND(AD1240/INDEX(Sources!$G$7:$G$10,MATCH(AB1240,Sources!$B$7:$B$10,0)),6),"")</f>
        <v>2.19</v>
      </c>
      <c r="J1240" s="98" t="s">
        <v>530</v>
      </c>
      <c r="K1240" s="98" t="s">
        <v>2059</v>
      </c>
      <c r="L1240" s="96"/>
      <c r="M1240" s="110" t="s">
        <v>3975</v>
      </c>
      <c r="N1240" s="117" t="s">
        <v>3976</v>
      </c>
      <c r="O1240" s="110" t="s">
        <v>2396</v>
      </c>
      <c r="P1240" s="110" t="s">
        <v>265</v>
      </c>
      <c r="Q1240" s="118" t="n">
        <v>0.23</v>
      </c>
      <c r="R1240" s="110" t="n">
        <v>1</v>
      </c>
      <c r="S1240" s="110" t="s">
        <v>632</v>
      </c>
      <c r="T1240" s="110" t="s">
        <v>530</v>
      </c>
      <c r="U1240" s="110" t="s">
        <v>2918</v>
      </c>
      <c r="V1240" s="119" t="n">
        <v>2.19</v>
      </c>
      <c r="W1240" s="119"/>
      <c r="X1240" s="110" t="s">
        <v>2063</v>
      </c>
      <c r="Y1240" s="110" t="s">
        <v>2064</v>
      </c>
      <c r="Z1240" s="110" t="s">
        <v>3016</v>
      </c>
      <c r="AA1240" s="110" t="s">
        <v>537</v>
      </c>
      <c r="AB1240" s="110" t="s">
        <v>244</v>
      </c>
      <c r="AC1240" s="110" t="s">
        <v>538</v>
      </c>
      <c r="AD1240" s="110" t="n">
        <f aca="false">IF(OR(F1240="",Q1240="",R1240=""),"",ROUND(IF(P1240="incl.",F1240/(1+Q1240),F1240)/IF(S1240="per pack",R1240,1),2))</f>
        <v>2.19</v>
      </c>
      <c r="AE1240" s="110" t="str">
        <f aca="false">IF(AND(AC1240="yes",ISNUMBER(F1240),IF(Compare!$H$5="All mapped",TRUE(),IF(Compare!$H$5="EXACT only",J1240="EXACT",OR(J1240="EXACT",J1240="CLOSE")))),"yes","no")</f>
        <v>yes</v>
      </c>
      <c r="AF1240" s="110" t="n">
        <f aca="false">IF(ISNUMBER(H1240),COUNTIFS($B$7:$B$3000,B1240,$C$7:$C$3000,C1240,$H$7:$H$3000,"&lt;"&amp;H1240,$AH$7:$AH$3000,"yes")+COUNTIFS($B$7:B1240,B1240,$C$7:C1240,C1240,$H$7:H1240,H1240,$AH$7:AH1240,"yes"),"")</f>
        <v>2</v>
      </c>
      <c r="AG1240" s="110" t="n">
        <f aca="false">IF(ISNUMBER(I1240),COUNTIFS($B$7:$B$3000,B1240,$C$7:$C$3000,C1240,$I$7:$I$3000,"&lt;"&amp;I1240,$AI$7:$AI$3000,"yes")+COUNTIFS($B$7:B1240,B1240,$C$7:C1240,C1240,$I$7:I1240,I1240,$AI$7:AI1240,"yes"),"")</f>
        <v>2</v>
      </c>
      <c r="AH1240" s="110" t="str">
        <f aca="false">IF(ISNUMBER(H1240),"yes","no")</f>
        <v>yes</v>
      </c>
      <c r="AI1240" s="110" t="str">
        <f aca="false">IF(ISNUMBER(I1240),"yes","no")</f>
        <v>yes</v>
      </c>
      <c r="AJ1240" s="120" t="n">
        <v>46297</v>
      </c>
      <c r="AK1240" s="110"/>
    </row>
    <row r="1241" customFormat="false" ht="35.05" hidden="false" customHeight="false" outlineLevel="0" collapsed="false">
      <c r="B1241" s="36" t="s">
        <v>78</v>
      </c>
      <c r="C1241" s="98" t="s">
        <v>18</v>
      </c>
      <c r="D1241" s="98" t="s">
        <v>369</v>
      </c>
      <c r="E1241" s="110" t="s">
        <v>3977</v>
      </c>
      <c r="F1241" s="99" t="n">
        <v>10.98</v>
      </c>
      <c r="G1241" s="98" t="s">
        <v>244</v>
      </c>
      <c r="H1241" s="112" t="n">
        <f aca="false">IF(AND(AE1241="yes",ISNUMBER(AD1241)),AD1241,"")</f>
        <v>8.93</v>
      </c>
      <c r="I1241" s="95" t="n">
        <f aca="false">IF(AND(AE1241="yes",ISNUMBER(AD1241),ISNUMBER(INDEX(Sources!$G$7:$G$10,MATCH(AB1241,Sources!$B$7:$B$10,0)))),ROUND(AD1241/INDEX(Sources!$G$7:$G$10,MATCH(AB1241,Sources!$B$7:$B$10,0)),6),"")</f>
        <v>8.93</v>
      </c>
      <c r="J1241" s="98" t="s">
        <v>530</v>
      </c>
      <c r="K1241" s="98" t="s">
        <v>2059</v>
      </c>
      <c r="L1241" s="96"/>
      <c r="M1241" s="110" t="s">
        <v>3978</v>
      </c>
      <c r="N1241" s="117" t="s">
        <v>3979</v>
      </c>
      <c r="O1241" s="110" t="s">
        <v>565</v>
      </c>
      <c r="P1241" s="110" t="s">
        <v>265</v>
      </c>
      <c r="Q1241" s="118" t="n">
        <v>0.23</v>
      </c>
      <c r="R1241" s="110" t="n">
        <v>1</v>
      </c>
      <c r="S1241" s="110" t="s">
        <v>632</v>
      </c>
      <c r="T1241" s="110" t="s">
        <v>530</v>
      </c>
      <c r="U1241" s="110" t="s">
        <v>2918</v>
      </c>
      <c r="V1241" s="119" t="n">
        <v>8.93</v>
      </c>
      <c r="W1241" s="119"/>
      <c r="X1241" s="110" t="s">
        <v>2063</v>
      </c>
      <c r="Y1241" s="110" t="s">
        <v>2064</v>
      </c>
      <c r="Z1241" s="110" t="s">
        <v>3354</v>
      </c>
      <c r="AA1241" s="110" t="s">
        <v>537</v>
      </c>
      <c r="AB1241" s="110" t="s">
        <v>244</v>
      </c>
      <c r="AC1241" s="110" t="s">
        <v>538</v>
      </c>
      <c r="AD1241" s="110" t="n">
        <f aca="false">IF(OR(F1241="",Q1241="",R1241=""),"",ROUND(IF(P1241="incl.",F1241/(1+Q1241),F1241)/IF(S1241="per pack",R1241,1),2))</f>
        <v>8.93</v>
      </c>
      <c r="AE1241" s="110" t="str">
        <f aca="false">IF(AND(AC1241="yes",ISNUMBER(F1241),IF(Compare!$H$5="All mapped",TRUE(),IF(Compare!$H$5="EXACT only",J1241="EXACT",OR(J1241="EXACT",J1241="CLOSE")))),"yes","no")</f>
        <v>yes</v>
      </c>
      <c r="AF1241" s="110" t="n">
        <f aca="false">IF(ISNUMBER(H1241),COUNTIFS($B$7:$B$3000,B1241,$C$7:$C$3000,C1241,$H$7:$H$3000,"&lt;"&amp;H1241,$AH$7:$AH$3000,"yes")+COUNTIFS($B$7:B1241,B1241,$C$7:C1241,C1241,$H$7:H1241,H1241,$AH$7:AH1241,"yes"),"")</f>
        <v>5</v>
      </c>
      <c r="AG1241" s="110" t="n">
        <f aca="false">IF(ISNUMBER(I1241),COUNTIFS($B$7:$B$3000,B1241,$C$7:$C$3000,C1241,$I$7:$I$3000,"&lt;"&amp;I1241,$AI$7:$AI$3000,"yes")+COUNTIFS($B$7:B1241,B1241,$C$7:C1241,C1241,$I$7:I1241,I1241,$AI$7:AI1241,"yes"),"")</f>
        <v>5</v>
      </c>
      <c r="AH1241" s="110" t="str">
        <f aca="false">IF(ISNUMBER(H1241),"yes","no")</f>
        <v>yes</v>
      </c>
      <c r="AI1241" s="110" t="str">
        <f aca="false">IF(ISNUMBER(I1241),"yes","no")</f>
        <v>yes</v>
      </c>
      <c r="AJ1241" s="120" t="n">
        <v>46297</v>
      </c>
      <c r="AK1241" s="110"/>
    </row>
    <row r="1242" customFormat="false" ht="35.05" hidden="false" customHeight="false" outlineLevel="0" collapsed="false">
      <c r="B1242" s="36" t="s">
        <v>78</v>
      </c>
      <c r="C1242" s="98" t="s">
        <v>18</v>
      </c>
      <c r="D1242" s="98" t="s">
        <v>3021</v>
      </c>
      <c r="E1242" s="110" t="s">
        <v>3980</v>
      </c>
      <c r="F1242" s="99" t="n">
        <v>1.91</v>
      </c>
      <c r="G1242" s="98" t="s">
        <v>244</v>
      </c>
      <c r="H1242" s="112" t="n">
        <f aca="false">IF(AND(AE1242="yes",ISNUMBER(AD1242)),AD1242,"")</f>
        <v>1.91</v>
      </c>
      <c r="I1242" s="95" t="n">
        <f aca="false">IF(AND(AE1242="yes",ISNUMBER(AD1242),ISNUMBER(INDEX(Sources!$G$7:$G$10,MATCH(AB1242,Sources!$B$7:$B$10,0)))),ROUND(AD1242/INDEX(Sources!$G$7:$G$10,MATCH(AB1242,Sources!$B$7:$B$10,0)),6),"")</f>
        <v>1.91</v>
      </c>
      <c r="J1242" s="98" t="s">
        <v>530</v>
      </c>
      <c r="K1242" s="98" t="s">
        <v>2059</v>
      </c>
      <c r="L1242" s="96"/>
      <c r="M1242" s="110" t="s">
        <v>3981</v>
      </c>
      <c r="N1242" s="117" t="s">
        <v>3023</v>
      </c>
      <c r="O1242" s="110" t="s">
        <v>3024</v>
      </c>
      <c r="P1242" s="110" t="s">
        <v>590</v>
      </c>
      <c r="Q1242" s="118" t="n">
        <v>0.23</v>
      </c>
      <c r="R1242" s="110" t="n">
        <v>1</v>
      </c>
      <c r="S1242" s="110" t="s">
        <v>632</v>
      </c>
      <c r="T1242" s="110" t="s">
        <v>530</v>
      </c>
      <c r="U1242" s="110" t="s">
        <v>2913</v>
      </c>
      <c r="V1242" s="119" t="n">
        <v>1.91</v>
      </c>
      <c r="W1242" s="119"/>
      <c r="X1242" s="110" t="s">
        <v>2063</v>
      </c>
      <c r="Y1242" s="110" t="s">
        <v>2064</v>
      </c>
      <c r="Z1242" s="110" t="s">
        <v>3025</v>
      </c>
      <c r="AA1242" s="110" t="s">
        <v>537</v>
      </c>
      <c r="AB1242" s="110" t="s">
        <v>244</v>
      </c>
      <c r="AC1242" s="110" t="s">
        <v>538</v>
      </c>
      <c r="AD1242" s="110" t="n">
        <f aca="false">IF(OR(F1242="",Q1242="",R1242=""),"",ROUND(IF(P1242="incl.",F1242/(1+Q1242),F1242)/IF(S1242="per pack",R1242,1),2))</f>
        <v>1.91</v>
      </c>
      <c r="AE1242" s="110" t="str">
        <f aca="false">IF(AND(AC1242="yes",ISNUMBER(F1242),IF(Compare!$H$5="All mapped",TRUE(),IF(Compare!$H$5="EXACT only",J1242="EXACT",OR(J1242="EXACT",J1242="CLOSE")))),"yes","no")</f>
        <v>yes</v>
      </c>
      <c r="AF1242" s="110" t="n">
        <f aca="false">IF(ISNUMBER(H1242),COUNTIFS($B$7:$B$3000,B1242,$C$7:$C$3000,C1242,$H$7:$H$3000,"&lt;"&amp;H1242,$AH$7:$AH$3000,"yes")+COUNTIFS($B$7:B1242,B1242,$C$7:C1242,C1242,$H$7:H1242,H1242,$AH$7:AH1242,"yes"),"")</f>
        <v>1</v>
      </c>
      <c r="AG1242" s="110" t="n">
        <f aca="false">IF(ISNUMBER(I1242),COUNTIFS($B$7:$B$3000,B1242,$C$7:$C$3000,C1242,$I$7:$I$3000,"&lt;"&amp;I1242,$AI$7:$AI$3000,"yes")+COUNTIFS($B$7:B1242,B1242,$C$7:C1242,C1242,$I$7:I1242,I1242,$AI$7:AI1242,"yes"),"")</f>
        <v>1</v>
      </c>
      <c r="AH1242" s="110" t="str">
        <f aca="false">IF(ISNUMBER(H1242),"yes","no")</f>
        <v>yes</v>
      </c>
      <c r="AI1242" s="110" t="str">
        <f aca="false">IF(ISNUMBER(I1242),"yes","no")</f>
        <v>yes</v>
      </c>
      <c r="AJ1242" s="120" t="n">
        <v>46297</v>
      </c>
      <c r="AK1242" s="110"/>
    </row>
    <row r="1243" customFormat="false" ht="35.05" hidden="false" customHeight="false" outlineLevel="0" collapsed="false">
      <c r="B1243" s="36" t="s">
        <v>79</v>
      </c>
      <c r="C1243" s="98" t="s">
        <v>14</v>
      </c>
      <c r="D1243" s="98" t="s">
        <v>373</v>
      </c>
      <c r="E1243" s="110" t="s">
        <v>3982</v>
      </c>
      <c r="F1243" s="99" t="n">
        <v>25.1</v>
      </c>
      <c r="G1243" s="98" t="s">
        <v>374</v>
      </c>
      <c r="H1243" s="112" t="n">
        <f aca="false">IF(AND(AE1243="yes",ISNUMBER(AD1243)),AD1243,"")</f>
        <v>25.1</v>
      </c>
      <c r="I1243" s="95" t="n">
        <f aca="false">IF(AND(AE1243="yes",ISNUMBER(AD1243),ISNUMBER(INDEX(Sources!$G$7:$G$10,MATCH(AB1243,Sources!$B$7:$B$10,0)))),ROUND(AD1243/INDEX(Sources!$G$7:$G$10,MATCH(AB1243,Sources!$B$7:$B$10,0)),6),"")</f>
        <v>4.755912</v>
      </c>
      <c r="J1243" s="98" t="s">
        <v>530</v>
      </c>
      <c r="K1243" s="98" t="s">
        <v>2059</v>
      </c>
      <c r="L1243" s="96"/>
      <c r="M1243" s="110" t="s">
        <v>3983</v>
      </c>
      <c r="N1243" s="117" t="s">
        <v>3903</v>
      </c>
      <c r="O1243" s="110" t="s">
        <v>2912</v>
      </c>
      <c r="P1243" s="110" t="s">
        <v>590</v>
      </c>
      <c r="Q1243" s="118" t="n">
        <v>0.21</v>
      </c>
      <c r="R1243" s="110" t="n">
        <v>1</v>
      </c>
      <c r="S1243" s="110" t="s">
        <v>632</v>
      </c>
      <c r="T1243" s="110" t="s">
        <v>530</v>
      </c>
      <c r="U1243" s="110" t="s">
        <v>2913</v>
      </c>
      <c r="V1243" s="119" t="n">
        <v>25.1</v>
      </c>
      <c r="W1243" s="119"/>
      <c r="X1243" s="110" t="s">
        <v>2063</v>
      </c>
      <c r="Y1243" s="110" t="s">
        <v>2064</v>
      </c>
      <c r="Z1243" s="110"/>
      <c r="AA1243" s="110" t="s">
        <v>537</v>
      </c>
      <c r="AB1243" s="110" t="s">
        <v>374</v>
      </c>
      <c r="AC1243" s="110" t="s">
        <v>538</v>
      </c>
      <c r="AD1243" s="110" t="n">
        <f aca="false">IF(OR(F1243="",Q1243="",R1243=""),"",ROUND(IF(P1243="incl.",F1243/(1+Q1243),F1243)/IF(S1243="per pack",R1243,1),2))</f>
        <v>25.1</v>
      </c>
      <c r="AE1243" s="110" t="str">
        <f aca="false">IF(AND(AC1243="yes",ISNUMBER(F1243),IF(Compare!$H$5="All mapped",TRUE(),IF(Compare!$H$5="EXACT only",J1243="EXACT",OR(J1243="EXACT",J1243="CLOSE")))),"yes","no")</f>
        <v>yes</v>
      </c>
      <c r="AF1243" s="110" t="n">
        <f aca="false">IF(ISNUMBER(H1243),COUNTIFS($B$7:$B$3000,B1243,$C$7:$C$3000,C1243,$H$7:$H$3000,"&lt;"&amp;H1243,$AH$7:$AH$3000,"yes")+COUNTIFS($B$7:B1243,B1243,$C$7:C1243,C1243,$H$7:H1243,H1243,$AH$7:AH1243,"yes"),"")</f>
        <v>4</v>
      </c>
      <c r="AG1243" s="110" t="n">
        <f aca="false">IF(ISNUMBER(I1243),COUNTIFS($B$7:$B$3000,B1243,$C$7:$C$3000,C1243,$I$7:$I$3000,"&lt;"&amp;I1243,$AI$7:$AI$3000,"yes")+COUNTIFS($B$7:B1243,B1243,$C$7:C1243,C1243,$I$7:I1243,I1243,$AI$7:AI1243,"yes"),"")</f>
        <v>4</v>
      </c>
      <c r="AH1243" s="110" t="str">
        <f aca="false">IF(ISNUMBER(H1243),"yes","no")</f>
        <v>yes</v>
      </c>
      <c r="AI1243" s="110" t="str">
        <f aca="false">IF(ISNUMBER(I1243),"yes","no")</f>
        <v>yes</v>
      </c>
      <c r="AJ1243" s="120" t="n">
        <v>46297</v>
      </c>
      <c r="AK1243" s="110"/>
    </row>
    <row r="1244" customFormat="false" ht="23.85" hidden="false" customHeight="false" outlineLevel="0" collapsed="false">
      <c r="B1244" s="36" t="s">
        <v>79</v>
      </c>
      <c r="C1244" s="98" t="s">
        <v>14</v>
      </c>
      <c r="D1244" s="98" t="s">
        <v>378</v>
      </c>
      <c r="E1244" s="110" t="s">
        <v>3984</v>
      </c>
      <c r="F1244" s="99" t="n">
        <v>25.48</v>
      </c>
      <c r="G1244" s="98" t="s">
        <v>374</v>
      </c>
      <c r="H1244" s="112" t="n">
        <f aca="false">IF(AND(AE1244="yes",ISNUMBER(AD1244)),AD1244,"")</f>
        <v>21.06</v>
      </c>
      <c r="I1244" s="95" t="n">
        <f aca="false">IF(AND(AE1244="yes",ISNUMBER(AD1244),ISNUMBER(INDEX(Sources!$G$7:$G$10,MATCH(AB1244,Sources!$B$7:$B$10,0)))),ROUND(AD1244/INDEX(Sources!$G$7:$G$10,MATCH(AB1244,Sources!$B$7:$B$10,0)),6),"")</f>
        <v>3.990419</v>
      </c>
      <c r="J1244" s="98" t="s">
        <v>530</v>
      </c>
      <c r="K1244" s="98" t="s">
        <v>2059</v>
      </c>
      <c r="L1244" s="96"/>
      <c r="M1244" s="110" t="s">
        <v>3985</v>
      </c>
      <c r="N1244" s="117" t="s">
        <v>3986</v>
      </c>
      <c r="O1244" s="110" t="s">
        <v>2917</v>
      </c>
      <c r="P1244" s="110" t="s">
        <v>265</v>
      </c>
      <c r="Q1244" s="118" t="n">
        <v>0.21</v>
      </c>
      <c r="R1244" s="110" t="n">
        <v>1</v>
      </c>
      <c r="S1244" s="110" t="s">
        <v>632</v>
      </c>
      <c r="T1244" s="110" t="s">
        <v>530</v>
      </c>
      <c r="U1244" s="110" t="s">
        <v>2918</v>
      </c>
      <c r="V1244" s="119" t="n">
        <v>21.06</v>
      </c>
      <c r="W1244" s="119"/>
      <c r="X1244" s="110" t="s">
        <v>2063</v>
      </c>
      <c r="Y1244" s="110" t="s">
        <v>2064</v>
      </c>
      <c r="Z1244" s="110"/>
      <c r="AA1244" s="110" t="s">
        <v>537</v>
      </c>
      <c r="AB1244" s="110" t="s">
        <v>374</v>
      </c>
      <c r="AC1244" s="110" t="s">
        <v>538</v>
      </c>
      <c r="AD1244" s="110" t="n">
        <f aca="false">IF(OR(F1244="",Q1244="",R1244=""),"",ROUND(IF(P1244="incl.",F1244/(1+Q1244),F1244)/IF(S1244="per pack",R1244,1),2))</f>
        <v>21.06</v>
      </c>
      <c r="AE1244" s="110" t="str">
        <f aca="false">IF(AND(AC1244="yes",ISNUMBER(F1244),IF(Compare!$H$5="All mapped",TRUE(),IF(Compare!$H$5="EXACT only",J1244="EXACT",OR(J1244="EXACT",J1244="CLOSE")))),"yes","no")</f>
        <v>yes</v>
      </c>
      <c r="AF1244" s="110" t="n">
        <f aca="false">IF(ISNUMBER(H1244),COUNTIFS($B$7:$B$3000,B1244,$C$7:$C$3000,C1244,$H$7:$H$3000,"&lt;"&amp;H1244,$AH$7:$AH$3000,"yes")+COUNTIFS($B$7:B1244,B1244,$C$7:C1244,C1244,$H$7:H1244,H1244,$AH$7:AH1244,"yes"),"")</f>
        <v>3</v>
      </c>
      <c r="AG1244" s="110" t="n">
        <f aca="false">IF(ISNUMBER(I1244),COUNTIFS($B$7:$B$3000,B1244,$C$7:$C$3000,C1244,$I$7:$I$3000,"&lt;"&amp;I1244,$AI$7:$AI$3000,"yes")+COUNTIFS($B$7:B1244,B1244,$C$7:C1244,C1244,$I$7:I1244,I1244,$AI$7:AI1244,"yes"),"")</f>
        <v>3</v>
      </c>
      <c r="AH1244" s="110" t="str">
        <f aca="false">IF(ISNUMBER(H1244),"yes","no")</f>
        <v>yes</v>
      </c>
      <c r="AI1244" s="110" t="str">
        <f aca="false">IF(ISNUMBER(I1244),"yes","no")</f>
        <v>yes</v>
      </c>
      <c r="AJ1244" s="120" t="n">
        <v>46297</v>
      </c>
      <c r="AK1244" s="110"/>
    </row>
    <row r="1245" customFormat="false" ht="35.05" hidden="false" customHeight="false" outlineLevel="0" collapsed="false">
      <c r="B1245" s="36" t="s">
        <v>79</v>
      </c>
      <c r="C1245" s="98" t="s">
        <v>14</v>
      </c>
      <c r="D1245" s="98" t="s">
        <v>346</v>
      </c>
      <c r="E1245" s="110" t="s">
        <v>3987</v>
      </c>
      <c r="F1245" s="99" t="n">
        <v>43.48</v>
      </c>
      <c r="G1245" s="98" t="s">
        <v>374</v>
      </c>
      <c r="H1245" s="112" t="n">
        <f aca="false">IF(AND(AE1245="yes",ISNUMBER(AD1245)),AD1245,"")</f>
        <v>35.93</v>
      </c>
      <c r="I1245" s="95" t="n">
        <f aca="false">IF(AND(AE1245="yes",ISNUMBER(AD1245),ISNUMBER(INDEX(Sources!$G$7:$G$10,MATCH(AB1245,Sources!$B$7:$B$10,0)))),ROUND(AD1245/INDEX(Sources!$G$7:$G$10,MATCH(AB1245,Sources!$B$7:$B$10,0)),6),"")</f>
        <v>6.807965</v>
      </c>
      <c r="J1245" s="98" t="s">
        <v>530</v>
      </c>
      <c r="K1245" s="98" t="s">
        <v>2059</v>
      </c>
      <c r="L1245" s="96"/>
      <c r="M1245" s="110" t="s">
        <v>3988</v>
      </c>
      <c r="N1245" s="117" t="s">
        <v>3989</v>
      </c>
      <c r="O1245" s="110" t="s">
        <v>565</v>
      </c>
      <c r="P1245" s="110" t="s">
        <v>265</v>
      </c>
      <c r="Q1245" s="118" t="n">
        <v>0.21</v>
      </c>
      <c r="R1245" s="110" t="n">
        <v>1</v>
      </c>
      <c r="S1245" s="110" t="s">
        <v>632</v>
      </c>
      <c r="T1245" s="110" t="s">
        <v>530</v>
      </c>
      <c r="U1245" s="110" t="s">
        <v>2918</v>
      </c>
      <c r="V1245" s="119" t="n">
        <v>35.93</v>
      </c>
      <c r="W1245" s="119"/>
      <c r="X1245" s="110" t="s">
        <v>2063</v>
      </c>
      <c r="Y1245" s="110" t="s">
        <v>2064</v>
      </c>
      <c r="Z1245" s="110"/>
      <c r="AA1245" s="110" t="s">
        <v>537</v>
      </c>
      <c r="AB1245" s="110" t="s">
        <v>374</v>
      </c>
      <c r="AC1245" s="110" t="s">
        <v>538</v>
      </c>
      <c r="AD1245" s="110" t="n">
        <f aca="false">IF(OR(F1245="",Q1245="",R1245=""),"",ROUND(IF(P1245="incl.",F1245/(1+Q1245),F1245)/IF(S1245="per pack",R1245,1),2))</f>
        <v>35.93</v>
      </c>
      <c r="AE1245" s="110" t="str">
        <f aca="false">IF(AND(AC1245="yes",ISNUMBER(F1245),IF(Compare!$H$5="All mapped",TRUE(),IF(Compare!$H$5="EXACT only",J1245="EXACT",OR(J1245="EXACT",J1245="CLOSE")))),"yes","no")</f>
        <v>yes</v>
      </c>
      <c r="AF1245" s="110" t="n">
        <f aca="false">IF(ISNUMBER(H1245),COUNTIFS($B$7:$B$3000,B1245,$C$7:$C$3000,C1245,$H$7:$H$3000,"&lt;"&amp;H1245,$AH$7:$AH$3000,"yes")+COUNTIFS($B$7:B1245,B1245,$C$7:C1245,C1245,$H$7:H1245,H1245,$AH$7:AH1245,"yes"),"")</f>
        <v>5</v>
      </c>
      <c r="AG1245" s="110" t="n">
        <f aca="false">IF(ISNUMBER(I1245),COUNTIFS($B$7:$B$3000,B1245,$C$7:$C$3000,C1245,$I$7:$I$3000,"&lt;"&amp;I1245,$AI$7:$AI$3000,"yes")+COUNTIFS($B$7:B1245,B1245,$C$7:C1245,C1245,$I$7:I1245,I1245,$AI$7:AI1245,"yes"),"")</f>
        <v>5</v>
      </c>
      <c r="AH1245" s="110" t="str">
        <f aca="false">IF(ISNUMBER(H1245),"yes","no")</f>
        <v>yes</v>
      </c>
      <c r="AI1245" s="110" t="str">
        <f aca="false">IF(ISNUMBER(I1245),"yes","no")</f>
        <v>yes</v>
      </c>
      <c r="AJ1245" s="120" t="n">
        <v>46297</v>
      </c>
      <c r="AK1245" s="110"/>
    </row>
    <row r="1246" customFormat="false" ht="35.05" hidden="false" customHeight="false" outlineLevel="0" collapsed="false">
      <c r="B1246" s="36" t="s">
        <v>79</v>
      </c>
      <c r="C1246" s="98" t="s">
        <v>14</v>
      </c>
      <c r="D1246" s="98" t="s">
        <v>395</v>
      </c>
      <c r="E1246" s="110" t="s">
        <v>3990</v>
      </c>
      <c r="F1246" s="99" t="n">
        <v>2</v>
      </c>
      <c r="G1246" s="98" t="s">
        <v>244</v>
      </c>
      <c r="H1246" s="112" t="n">
        <f aca="false">IF(AND(AE1246="yes",ISNUMBER(AD1246)),AD1246,"")</f>
        <v>2</v>
      </c>
      <c r="I1246" s="95" t="n">
        <f aca="false">IF(AND(AE1246="yes",ISNUMBER(AD1246),ISNUMBER(INDEX(Sources!$G$7:$G$10,MATCH(AB1246,Sources!$B$7:$B$10,0)))),ROUND(AD1246/INDEX(Sources!$G$7:$G$10,MATCH(AB1246,Sources!$B$7:$B$10,0)),6),"")</f>
        <v>2</v>
      </c>
      <c r="J1246" s="98" t="s">
        <v>530</v>
      </c>
      <c r="K1246" s="98" t="s">
        <v>2059</v>
      </c>
      <c r="L1246" s="96"/>
      <c r="M1246" s="110" t="s">
        <v>3991</v>
      </c>
      <c r="N1246" s="117" t="s">
        <v>3992</v>
      </c>
      <c r="O1246" s="110" t="s">
        <v>572</v>
      </c>
      <c r="P1246" s="110" t="s">
        <v>590</v>
      </c>
      <c r="Q1246" s="118" t="n">
        <v>0.21</v>
      </c>
      <c r="R1246" s="110" t="n">
        <v>1</v>
      </c>
      <c r="S1246" s="110" t="s">
        <v>632</v>
      </c>
      <c r="T1246" s="110" t="s">
        <v>530</v>
      </c>
      <c r="U1246" s="110" t="s">
        <v>2913</v>
      </c>
      <c r="V1246" s="119" t="n">
        <v>2</v>
      </c>
      <c r="W1246" s="119"/>
      <c r="X1246" s="110" t="s">
        <v>2063</v>
      </c>
      <c r="Y1246" s="110" t="s">
        <v>2064</v>
      </c>
      <c r="Z1246" s="110" t="s">
        <v>2925</v>
      </c>
      <c r="AA1246" s="110" t="s">
        <v>537</v>
      </c>
      <c r="AB1246" s="110" t="s">
        <v>244</v>
      </c>
      <c r="AC1246" s="110" t="s">
        <v>538</v>
      </c>
      <c r="AD1246" s="110" t="n">
        <f aca="false">IF(OR(F1246="",Q1246="",R1246=""),"",ROUND(IF(P1246="incl.",F1246/(1+Q1246),F1246)/IF(S1246="per pack",R1246,1),2))</f>
        <v>2</v>
      </c>
      <c r="AE1246" s="110" t="str">
        <f aca="false">IF(AND(AC1246="yes",ISNUMBER(F1246),IF(Compare!$H$5="All mapped",TRUE(),IF(Compare!$H$5="EXACT only",J1246="EXACT",OR(J1246="EXACT",J1246="CLOSE")))),"yes","no")</f>
        <v>yes</v>
      </c>
      <c r="AF1246" s="110" t="n">
        <f aca="false">IF(ISNUMBER(H1246),COUNTIFS($B$7:$B$3000,B1246,$C$7:$C$3000,C1246,$H$7:$H$3000,"&lt;"&amp;H1246,$AH$7:$AH$3000,"yes")+COUNTIFS($B$7:B1246,B1246,$C$7:C1246,C1246,$H$7:H1246,H1246,$AH$7:AH1246,"yes"),"")</f>
        <v>1</v>
      </c>
      <c r="AG1246" s="110" t="n">
        <f aca="false">IF(ISNUMBER(I1246),COUNTIFS($B$7:$B$3000,B1246,$C$7:$C$3000,C1246,$I$7:$I$3000,"&lt;"&amp;I1246,$AI$7:$AI$3000,"yes")+COUNTIFS($B$7:B1246,B1246,$C$7:C1246,C1246,$I$7:I1246,I1246,$AI$7:AI1246,"yes"),"")</f>
        <v>1</v>
      </c>
      <c r="AH1246" s="110" t="str">
        <f aca="false">IF(ISNUMBER(H1246),"yes","no")</f>
        <v>yes</v>
      </c>
      <c r="AI1246" s="110" t="str">
        <f aca="false">IF(ISNUMBER(I1246),"yes","no")</f>
        <v>yes</v>
      </c>
      <c r="AJ1246" s="120" t="n">
        <v>46297</v>
      </c>
      <c r="AK1246" s="110"/>
    </row>
    <row r="1247" customFormat="false" ht="23.85" hidden="false" customHeight="false" outlineLevel="0" collapsed="false">
      <c r="B1247" s="36" t="s">
        <v>79</v>
      </c>
      <c r="C1247" s="98" t="s">
        <v>14</v>
      </c>
      <c r="D1247" s="98" t="s">
        <v>403</v>
      </c>
      <c r="E1247" s="110" t="s">
        <v>3993</v>
      </c>
      <c r="F1247" s="99" t="n">
        <v>13.59</v>
      </c>
      <c r="G1247" s="98" t="s">
        <v>374</v>
      </c>
      <c r="H1247" s="112" t="n">
        <f aca="false">IF(AND(AE1247="yes",ISNUMBER(AD1247)),AD1247,"")</f>
        <v>13.59</v>
      </c>
      <c r="I1247" s="95" t="n">
        <f aca="false">IF(AND(AE1247="yes",ISNUMBER(AD1247),ISNUMBER(INDEX(Sources!$G$7:$G$10,MATCH(AB1247,Sources!$B$7:$B$10,0)))),ROUND(AD1247/INDEX(Sources!$G$7:$G$10,MATCH(AB1247,Sources!$B$7:$B$10,0)),6),"")</f>
        <v>2.575014</v>
      </c>
      <c r="J1247" s="98" t="s">
        <v>530</v>
      </c>
      <c r="K1247" s="98" t="s">
        <v>2059</v>
      </c>
      <c r="L1247" s="96"/>
      <c r="M1247" s="110" t="s">
        <v>3994</v>
      </c>
      <c r="N1247" s="117" t="s">
        <v>3995</v>
      </c>
      <c r="O1247" s="110" t="s">
        <v>668</v>
      </c>
      <c r="P1247" s="110" t="s">
        <v>590</v>
      </c>
      <c r="Q1247" s="118" t="n">
        <v>0.21</v>
      </c>
      <c r="R1247" s="110" t="n">
        <v>1</v>
      </c>
      <c r="S1247" s="110" t="s">
        <v>632</v>
      </c>
      <c r="T1247" s="110" t="s">
        <v>530</v>
      </c>
      <c r="U1247" s="110" t="s">
        <v>2913</v>
      </c>
      <c r="V1247" s="119" t="n">
        <v>13.59</v>
      </c>
      <c r="W1247" s="119"/>
      <c r="X1247" s="110" t="s">
        <v>2063</v>
      </c>
      <c r="Y1247" s="110" t="s">
        <v>2064</v>
      </c>
      <c r="Z1247" s="110"/>
      <c r="AA1247" s="110" t="s">
        <v>537</v>
      </c>
      <c r="AB1247" s="110" t="s">
        <v>374</v>
      </c>
      <c r="AC1247" s="110" t="s">
        <v>538</v>
      </c>
      <c r="AD1247" s="110" t="n">
        <f aca="false">IF(OR(F1247="",Q1247="",R1247=""),"",ROUND(IF(P1247="incl.",F1247/(1+Q1247),F1247)/IF(S1247="per pack",R1247,1),2))</f>
        <v>13.59</v>
      </c>
      <c r="AE1247" s="110" t="str">
        <f aca="false">IF(AND(AC1247="yes",ISNUMBER(F1247),IF(Compare!$H$5="All mapped",TRUE(),IF(Compare!$H$5="EXACT only",J1247="EXACT",OR(J1247="EXACT",J1247="CLOSE")))),"yes","no")</f>
        <v>yes</v>
      </c>
      <c r="AF1247" s="110" t="n">
        <f aca="false">IF(ISNUMBER(H1247),COUNTIFS($B$7:$B$3000,B1247,$C$7:$C$3000,C1247,$H$7:$H$3000,"&lt;"&amp;H1247,$AH$7:$AH$3000,"yes")+COUNTIFS($B$7:B1247,B1247,$C$7:C1247,C1247,$H$7:H1247,H1247,$AH$7:AH1247,"yes"),"")</f>
        <v>2</v>
      </c>
      <c r="AG1247" s="110" t="n">
        <f aca="false">IF(ISNUMBER(I1247),COUNTIFS($B$7:$B$3000,B1247,$C$7:$C$3000,C1247,$I$7:$I$3000,"&lt;"&amp;I1247,$AI$7:$AI$3000,"yes")+COUNTIFS($B$7:B1247,B1247,$C$7:C1247,C1247,$I$7:I1247,I1247,$AI$7:AI1247,"yes"),"")</f>
        <v>2</v>
      </c>
      <c r="AH1247" s="110" t="str">
        <f aca="false">IF(ISNUMBER(H1247),"yes","no")</f>
        <v>yes</v>
      </c>
      <c r="AI1247" s="110" t="str">
        <f aca="false">IF(ISNUMBER(I1247),"yes","no")</f>
        <v>yes</v>
      </c>
      <c r="AJ1247" s="120" t="n">
        <v>46297</v>
      </c>
      <c r="AK1247" s="110"/>
    </row>
    <row r="1248" customFormat="false" ht="35.05" hidden="false" customHeight="false" outlineLevel="0" collapsed="false">
      <c r="B1248" s="36" t="s">
        <v>79</v>
      </c>
      <c r="C1248" s="98" t="s">
        <v>15</v>
      </c>
      <c r="D1248" s="98" t="s">
        <v>243</v>
      </c>
      <c r="E1248" s="110" t="s">
        <v>3996</v>
      </c>
      <c r="F1248" s="99" t="n">
        <v>4.06</v>
      </c>
      <c r="G1248" s="98" t="s">
        <v>244</v>
      </c>
      <c r="H1248" s="112" t="n">
        <f aca="false">IF(AND(AE1248="yes",ISNUMBER(AD1248)),AD1248,"")</f>
        <v>4.06</v>
      </c>
      <c r="I1248" s="95" t="n">
        <f aca="false">IF(AND(AE1248="yes",ISNUMBER(AD1248),ISNUMBER(INDEX(Sources!$G$7:$G$10,MATCH(AB1248,Sources!$B$7:$B$10,0)))),ROUND(AD1248/INDEX(Sources!$G$7:$G$10,MATCH(AB1248,Sources!$B$7:$B$10,0)),6),"")</f>
        <v>4.06</v>
      </c>
      <c r="J1248" s="98" t="s">
        <v>530</v>
      </c>
      <c r="K1248" s="98" t="s">
        <v>2059</v>
      </c>
      <c r="L1248" s="96"/>
      <c r="M1248" s="110" t="s">
        <v>3997</v>
      </c>
      <c r="N1248" s="117" t="s">
        <v>3998</v>
      </c>
      <c r="O1248" s="110" t="s">
        <v>2932</v>
      </c>
      <c r="P1248" s="110" t="s">
        <v>590</v>
      </c>
      <c r="Q1248" s="118" t="n">
        <v>0.2</v>
      </c>
      <c r="R1248" s="110" t="n">
        <v>1</v>
      </c>
      <c r="S1248" s="110" t="s">
        <v>632</v>
      </c>
      <c r="T1248" s="110" t="s">
        <v>530</v>
      </c>
      <c r="U1248" s="110" t="s">
        <v>2913</v>
      </c>
      <c r="V1248" s="119" t="n">
        <v>4.06</v>
      </c>
      <c r="W1248" s="119"/>
      <c r="X1248" s="110" t="s">
        <v>2063</v>
      </c>
      <c r="Y1248" s="110" t="s">
        <v>2064</v>
      </c>
      <c r="Z1248" s="110" t="s">
        <v>3128</v>
      </c>
      <c r="AA1248" s="110" t="s">
        <v>537</v>
      </c>
      <c r="AB1248" s="110" t="s">
        <v>244</v>
      </c>
      <c r="AC1248" s="110" t="s">
        <v>538</v>
      </c>
      <c r="AD1248" s="110" t="n">
        <f aca="false">IF(OR(F1248="",Q1248="",R1248=""),"",ROUND(IF(P1248="incl.",F1248/(1+Q1248),F1248)/IF(S1248="per pack",R1248,1),2))</f>
        <v>4.06</v>
      </c>
      <c r="AE1248" s="110" t="str">
        <f aca="false">IF(AND(AC1248="yes",ISNUMBER(F1248),IF(Compare!$H$5="All mapped",TRUE(),IF(Compare!$H$5="EXACT only",J1248="EXACT",OR(J1248="EXACT",J1248="CLOSE")))),"yes","no")</f>
        <v>yes</v>
      </c>
      <c r="AF1248" s="110" t="n">
        <f aca="false">IF(ISNUMBER(H1248),COUNTIFS($B$7:$B$3000,B1248,$C$7:$C$3000,C1248,$H$7:$H$3000,"&lt;"&amp;H1248,$AH$7:$AH$3000,"yes")+COUNTIFS($B$7:B1248,B1248,$C$7:C1248,C1248,$H$7:H1248,H1248,$AH$7:AH1248,"yes"),"")</f>
        <v>2</v>
      </c>
      <c r="AG1248" s="110" t="n">
        <f aca="false">IF(ISNUMBER(I1248),COUNTIFS($B$7:$B$3000,B1248,$C$7:$C$3000,C1248,$I$7:$I$3000,"&lt;"&amp;I1248,$AI$7:$AI$3000,"yes")+COUNTIFS($B$7:B1248,B1248,$C$7:C1248,C1248,$I$7:I1248,I1248,$AI$7:AI1248,"yes"),"")</f>
        <v>2</v>
      </c>
      <c r="AH1248" s="110" t="str">
        <f aca="false">IF(ISNUMBER(H1248),"yes","no")</f>
        <v>yes</v>
      </c>
      <c r="AI1248" s="110" t="str">
        <f aca="false">IF(ISNUMBER(I1248),"yes","no")</f>
        <v>yes</v>
      </c>
      <c r="AJ1248" s="120" t="n">
        <v>46297</v>
      </c>
      <c r="AK1248" s="110"/>
    </row>
    <row r="1249" customFormat="false" ht="35.05" hidden="false" customHeight="false" outlineLevel="0" collapsed="false">
      <c r="B1249" s="36" t="s">
        <v>79</v>
      </c>
      <c r="C1249" s="98" t="s">
        <v>15</v>
      </c>
      <c r="D1249" s="98" t="s">
        <v>257</v>
      </c>
      <c r="E1249" s="110" t="s">
        <v>3999</v>
      </c>
      <c r="F1249" s="99" t="n">
        <v>9</v>
      </c>
      <c r="G1249" s="98" t="s">
        <v>244</v>
      </c>
      <c r="H1249" s="112" t="n">
        <f aca="false">IF(AND(AE1249="yes",ISNUMBER(AD1249)),AD1249,"")</f>
        <v>9</v>
      </c>
      <c r="I1249" s="95" t="n">
        <f aca="false">IF(AND(AE1249="yes",ISNUMBER(AD1249),ISNUMBER(INDEX(Sources!$G$7:$G$10,MATCH(AB1249,Sources!$B$7:$B$10,0)))),ROUND(AD1249/INDEX(Sources!$G$7:$G$10,MATCH(AB1249,Sources!$B$7:$B$10,0)),6),"")</f>
        <v>9</v>
      </c>
      <c r="J1249" s="98" t="s">
        <v>530</v>
      </c>
      <c r="K1249" s="98" t="s">
        <v>2059</v>
      </c>
      <c r="L1249" s="96"/>
      <c r="M1249" s="110" t="s">
        <v>4000</v>
      </c>
      <c r="N1249" s="117" t="s">
        <v>4001</v>
      </c>
      <c r="O1249" s="110" t="s">
        <v>1576</v>
      </c>
      <c r="P1249" s="110" t="s">
        <v>590</v>
      </c>
      <c r="Q1249" s="118" t="n">
        <v>0.2</v>
      </c>
      <c r="R1249" s="110" t="n">
        <v>1</v>
      </c>
      <c r="S1249" s="110" t="s">
        <v>632</v>
      </c>
      <c r="T1249" s="110" t="s">
        <v>530</v>
      </c>
      <c r="U1249" s="110" t="s">
        <v>2913</v>
      </c>
      <c r="V1249" s="119" t="n">
        <v>9</v>
      </c>
      <c r="W1249" s="119"/>
      <c r="X1249" s="110" t="s">
        <v>2063</v>
      </c>
      <c r="Y1249" s="110" t="s">
        <v>2064</v>
      </c>
      <c r="Z1249" s="110" t="s">
        <v>2936</v>
      </c>
      <c r="AA1249" s="110" t="s">
        <v>537</v>
      </c>
      <c r="AB1249" s="110" t="s">
        <v>244</v>
      </c>
      <c r="AC1249" s="110" t="s">
        <v>538</v>
      </c>
      <c r="AD1249" s="110" t="n">
        <f aca="false">IF(OR(F1249="",Q1249="",R1249=""),"",ROUND(IF(P1249="incl.",F1249/(1+Q1249),F1249)/IF(S1249="per pack",R1249,1),2))</f>
        <v>9</v>
      </c>
      <c r="AE1249" s="110" t="str">
        <f aca="false">IF(AND(AC1249="yes",ISNUMBER(F1249),IF(Compare!$H$5="All mapped",TRUE(),IF(Compare!$H$5="EXACT only",J1249="EXACT",OR(J1249="EXACT",J1249="CLOSE")))),"yes","no")</f>
        <v>yes</v>
      </c>
      <c r="AF1249" s="110" t="n">
        <f aca="false">IF(ISNUMBER(H1249),COUNTIFS($B$7:$B$3000,B1249,$C$7:$C$3000,C1249,$H$7:$H$3000,"&lt;"&amp;H1249,$AH$7:$AH$3000,"yes")+COUNTIFS($B$7:B1249,B1249,$C$7:C1249,C1249,$H$7:H1249,H1249,$AH$7:AH1249,"yes"),"")</f>
        <v>6</v>
      </c>
      <c r="AG1249" s="110" t="n">
        <f aca="false">IF(ISNUMBER(I1249),COUNTIFS($B$7:$B$3000,B1249,$C$7:$C$3000,C1249,$I$7:$I$3000,"&lt;"&amp;I1249,$AI$7:$AI$3000,"yes")+COUNTIFS($B$7:B1249,B1249,$C$7:C1249,C1249,$I$7:I1249,I1249,$AI$7:AI1249,"yes"),"")</f>
        <v>6</v>
      </c>
      <c r="AH1249" s="110" t="str">
        <f aca="false">IF(ISNUMBER(H1249),"yes","no")</f>
        <v>yes</v>
      </c>
      <c r="AI1249" s="110" t="str">
        <f aca="false">IF(ISNUMBER(I1249),"yes","no")</f>
        <v>yes</v>
      </c>
      <c r="AJ1249" s="120" t="n">
        <v>46297</v>
      </c>
      <c r="AK1249" s="110"/>
    </row>
    <row r="1250" customFormat="false" ht="35.05" hidden="false" customHeight="false" outlineLevel="0" collapsed="false">
      <c r="B1250" s="36" t="s">
        <v>79</v>
      </c>
      <c r="C1250" s="98" t="s">
        <v>15</v>
      </c>
      <c r="D1250" s="98" t="s">
        <v>269</v>
      </c>
      <c r="E1250" s="110" t="s">
        <v>4002</v>
      </c>
      <c r="F1250" s="99" t="n">
        <v>5.29</v>
      </c>
      <c r="G1250" s="98" t="s">
        <v>244</v>
      </c>
      <c r="H1250" s="112" t="n">
        <f aca="false">IF(AND(AE1250="yes",ISNUMBER(AD1250)),AD1250,"")</f>
        <v>5.29</v>
      </c>
      <c r="I1250" s="95" t="n">
        <f aca="false">IF(AND(AE1250="yes",ISNUMBER(AD1250),ISNUMBER(INDEX(Sources!$G$7:$G$10,MATCH(AB1250,Sources!$B$7:$B$10,0)))),ROUND(AD1250/INDEX(Sources!$G$7:$G$10,MATCH(AB1250,Sources!$B$7:$B$10,0)),6),"")</f>
        <v>5.29</v>
      </c>
      <c r="J1250" s="98" t="s">
        <v>530</v>
      </c>
      <c r="K1250" s="98" t="s">
        <v>2059</v>
      </c>
      <c r="L1250" s="96"/>
      <c r="M1250" s="110" t="s">
        <v>4003</v>
      </c>
      <c r="N1250" s="117" t="s">
        <v>4004</v>
      </c>
      <c r="O1250" s="110" t="s">
        <v>598</v>
      </c>
      <c r="P1250" s="110" t="s">
        <v>590</v>
      </c>
      <c r="Q1250" s="118" t="n">
        <v>0.2</v>
      </c>
      <c r="R1250" s="110" t="n">
        <v>1</v>
      </c>
      <c r="S1250" s="110" t="s">
        <v>632</v>
      </c>
      <c r="T1250" s="110" t="s">
        <v>530</v>
      </c>
      <c r="U1250" s="110" t="s">
        <v>2913</v>
      </c>
      <c r="V1250" s="119" t="n">
        <v>5.29</v>
      </c>
      <c r="W1250" s="119"/>
      <c r="X1250" s="110" t="s">
        <v>2063</v>
      </c>
      <c r="Y1250" s="110" t="s">
        <v>2064</v>
      </c>
      <c r="Z1250" s="110" t="s">
        <v>2940</v>
      </c>
      <c r="AA1250" s="110" t="s">
        <v>537</v>
      </c>
      <c r="AB1250" s="110" t="s">
        <v>244</v>
      </c>
      <c r="AC1250" s="110" t="s">
        <v>538</v>
      </c>
      <c r="AD1250" s="110" t="n">
        <f aca="false">IF(OR(F1250="",Q1250="",R1250=""),"",ROUND(IF(P1250="incl.",F1250/(1+Q1250),F1250)/IF(S1250="per pack",R1250,1),2))</f>
        <v>5.29</v>
      </c>
      <c r="AE1250" s="110" t="str">
        <f aca="false">IF(AND(AC1250="yes",ISNUMBER(F1250),IF(Compare!$H$5="All mapped",TRUE(),IF(Compare!$H$5="EXACT only",J1250="EXACT",OR(J1250="EXACT",J1250="CLOSE")))),"yes","no")</f>
        <v>yes</v>
      </c>
      <c r="AF1250" s="110" t="n">
        <f aca="false">IF(ISNUMBER(H1250),COUNTIFS($B$7:$B$3000,B1250,$C$7:$C$3000,C1250,$H$7:$H$3000,"&lt;"&amp;H1250,$AH$7:$AH$3000,"yes")+COUNTIFS($B$7:B1250,B1250,$C$7:C1250,C1250,$H$7:H1250,H1250,$AH$7:AH1250,"yes"),"")</f>
        <v>5</v>
      </c>
      <c r="AG1250" s="110" t="n">
        <f aca="false">IF(ISNUMBER(I1250),COUNTIFS($B$7:$B$3000,B1250,$C$7:$C$3000,C1250,$I$7:$I$3000,"&lt;"&amp;I1250,$AI$7:$AI$3000,"yes")+COUNTIFS($B$7:B1250,B1250,$C$7:C1250,C1250,$I$7:I1250,I1250,$AI$7:AI1250,"yes"),"")</f>
        <v>5</v>
      </c>
      <c r="AH1250" s="110" t="str">
        <f aca="false">IF(ISNUMBER(H1250),"yes","no")</f>
        <v>yes</v>
      </c>
      <c r="AI1250" s="110" t="str">
        <f aca="false">IF(ISNUMBER(I1250),"yes","no")</f>
        <v>yes</v>
      </c>
      <c r="AJ1250" s="120" t="n">
        <v>46297</v>
      </c>
      <c r="AK1250" s="110"/>
    </row>
    <row r="1251" customFormat="false" ht="23.85" hidden="false" customHeight="false" outlineLevel="0" collapsed="false">
      <c r="B1251" s="36" t="s">
        <v>79</v>
      </c>
      <c r="C1251" s="98" t="s">
        <v>15</v>
      </c>
      <c r="D1251" s="98" t="s">
        <v>264</v>
      </c>
      <c r="E1251" s="110" t="s">
        <v>4005</v>
      </c>
      <c r="F1251" s="99" t="n">
        <v>17.4</v>
      </c>
      <c r="G1251" s="98" t="s">
        <v>244</v>
      </c>
      <c r="H1251" s="112" t="n">
        <f aca="false">IF(AND(AE1251="yes",ISNUMBER(AD1251)),AD1251,"")</f>
        <v>17.4</v>
      </c>
      <c r="I1251" s="95" t="n">
        <f aca="false">IF(AND(AE1251="yes",ISNUMBER(AD1251),ISNUMBER(INDEX(Sources!$G$7:$G$10,MATCH(AB1251,Sources!$B$7:$B$10,0)))),ROUND(AD1251/INDEX(Sources!$G$7:$G$10,MATCH(AB1251,Sources!$B$7:$B$10,0)),6),"")</f>
        <v>17.4</v>
      </c>
      <c r="J1251" s="98" t="s">
        <v>530</v>
      </c>
      <c r="K1251" s="98" t="s">
        <v>2059</v>
      </c>
      <c r="L1251" s="96"/>
      <c r="M1251" s="110" t="s">
        <v>4006</v>
      </c>
      <c r="N1251" s="117" t="s">
        <v>4007</v>
      </c>
      <c r="O1251" s="110" t="s">
        <v>2944</v>
      </c>
      <c r="P1251" s="110" t="s">
        <v>590</v>
      </c>
      <c r="Q1251" s="118" t="n">
        <v>0.2</v>
      </c>
      <c r="R1251" s="110" t="n">
        <v>1</v>
      </c>
      <c r="S1251" s="110" t="s">
        <v>632</v>
      </c>
      <c r="T1251" s="110" t="s">
        <v>530</v>
      </c>
      <c r="U1251" s="110" t="s">
        <v>2913</v>
      </c>
      <c r="V1251" s="119" t="n">
        <v>17.4</v>
      </c>
      <c r="W1251" s="119"/>
      <c r="X1251" s="110" t="s">
        <v>2063</v>
      </c>
      <c r="Y1251" s="110" t="s">
        <v>2064</v>
      </c>
      <c r="Z1251" s="110"/>
      <c r="AA1251" s="110" t="s">
        <v>537</v>
      </c>
      <c r="AB1251" s="110" t="s">
        <v>244</v>
      </c>
      <c r="AC1251" s="110" t="s">
        <v>538</v>
      </c>
      <c r="AD1251" s="110" t="n">
        <f aca="false">IF(OR(F1251="",Q1251="",R1251=""),"",ROUND(IF(P1251="incl.",F1251/(1+Q1251),F1251)/IF(S1251="per pack",R1251,1),2))</f>
        <v>17.4</v>
      </c>
      <c r="AE1251" s="110" t="str">
        <f aca="false">IF(AND(AC1251="yes",ISNUMBER(F1251),IF(Compare!$H$5="All mapped",TRUE(),IF(Compare!$H$5="EXACT only",J1251="EXACT",OR(J1251="EXACT",J1251="CLOSE")))),"yes","no")</f>
        <v>yes</v>
      </c>
      <c r="AF1251" s="110" t="n">
        <f aca="false">IF(ISNUMBER(H1251),COUNTIFS($B$7:$B$3000,B1251,$C$7:$C$3000,C1251,$H$7:$H$3000,"&lt;"&amp;H1251,$AH$7:$AH$3000,"yes")+COUNTIFS($B$7:B1251,B1251,$C$7:C1251,C1251,$H$7:H1251,H1251,$AH$7:AH1251,"yes"),"")</f>
        <v>7</v>
      </c>
      <c r="AG1251" s="110" t="n">
        <f aca="false">IF(ISNUMBER(I1251),COUNTIFS($B$7:$B$3000,B1251,$C$7:$C$3000,C1251,$I$7:$I$3000,"&lt;"&amp;I1251,$AI$7:$AI$3000,"yes")+COUNTIFS($B$7:B1251,B1251,$C$7:C1251,C1251,$I$7:I1251,I1251,$AI$7:AI1251,"yes"),"")</f>
        <v>7</v>
      </c>
      <c r="AH1251" s="110" t="str">
        <f aca="false">IF(ISNUMBER(H1251),"yes","no")</f>
        <v>yes</v>
      </c>
      <c r="AI1251" s="110" t="str">
        <f aca="false">IF(ISNUMBER(I1251),"yes","no")</f>
        <v>yes</v>
      </c>
      <c r="AJ1251" s="120" t="n">
        <v>46297</v>
      </c>
      <c r="AK1251" s="110"/>
    </row>
    <row r="1252" customFormat="false" ht="23.85" hidden="false" customHeight="false" outlineLevel="0" collapsed="false">
      <c r="B1252" s="36" t="s">
        <v>79</v>
      </c>
      <c r="C1252" s="98" t="s">
        <v>15</v>
      </c>
      <c r="D1252" s="98" t="s">
        <v>273</v>
      </c>
      <c r="E1252" s="110" t="s">
        <v>4008</v>
      </c>
      <c r="F1252" s="99" t="n">
        <v>4.59</v>
      </c>
      <c r="G1252" s="98" t="s">
        <v>244</v>
      </c>
      <c r="H1252" s="112" t="n">
        <f aca="false">IF(AND(AE1252="yes",ISNUMBER(AD1252)),AD1252,"")</f>
        <v>3.83</v>
      </c>
      <c r="I1252" s="95" t="n">
        <f aca="false">IF(AND(AE1252="yes",ISNUMBER(AD1252),ISNUMBER(INDEX(Sources!$G$7:$G$10,MATCH(AB1252,Sources!$B$7:$B$10,0)))),ROUND(AD1252/INDEX(Sources!$G$7:$G$10,MATCH(AB1252,Sources!$B$7:$B$10,0)),6),"")</f>
        <v>3.83</v>
      </c>
      <c r="J1252" s="98" t="s">
        <v>530</v>
      </c>
      <c r="K1252" s="98" t="s">
        <v>2059</v>
      </c>
      <c r="L1252" s="96"/>
      <c r="M1252" s="110" t="s">
        <v>4009</v>
      </c>
      <c r="N1252" s="117" t="s">
        <v>4010</v>
      </c>
      <c r="O1252" s="110" t="s">
        <v>598</v>
      </c>
      <c r="P1252" s="110" t="s">
        <v>265</v>
      </c>
      <c r="Q1252" s="118" t="n">
        <v>0.2</v>
      </c>
      <c r="R1252" s="110" t="n">
        <v>1</v>
      </c>
      <c r="S1252" s="110" t="s">
        <v>632</v>
      </c>
      <c r="T1252" s="110" t="s">
        <v>530</v>
      </c>
      <c r="U1252" s="110" t="s">
        <v>2918</v>
      </c>
      <c r="V1252" s="119" t="n">
        <v>3.83</v>
      </c>
      <c r="W1252" s="119"/>
      <c r="X1252" s="110" t="s">
        <v>2063</v>
      </c>
      <c r="Y1252" s="110" t="s">
        <v>2064</v>
      </c>
      <c r="Z1252" s="110" t="s">
        <v>2948</v>
      </c>
      <c r="AA1252" s="110" t="s">
        <v>537</v>
      </c>
      <c r="AB1252" s="110" t="s">
        <v>244</v>
      </c>
      <c r="AC1252" s="110" t="s">
        <v>538</v>
      </c>
      <c r="AD1252" s="110" t="n">
        <f aca="false">IF(OR(F1252="",Q1252="",R1252=""),"",ROUND(IF(P1252="incl.",F1252/(1+Q1252),F1252)/IF(S1252="per pack",R1252,1),2))</f>
        <v>3.83</v>
      </c>
      <c r="AE1252" s="110" t="str">
        <f aca="false">IF(AND(AC1252="yes",ISNUMBER(F1252),IF(Compare!$H$5="All mapped",TRUE(),IF(Compare!$H$5="EXACT only",J1252="EXACT",OR(J1252="EXACT",J1252="CLOSE")))),"yes","no")</f>
        <v>yes</v>
      </c>
      <c r="AF1252" s="110" t="n">
        <f aca="false">IF(ISNUMBER(H1252),COUNTIFS($B$7:$B$3000,B1252,$C$7:$C$3000,C1252,$H$7:$H$3000,"&lt;"&amp;H1252,$AH$7:$AH$3000,"yes")+COUNTIFS($B$7:B1252,B1252,$C$7:C1252,C1252,$H$7:H1252,H1252,$AH$7:AH1252,"yes"),"")</f>
        <v>1</v>
      </c>
      <c r="AG1252" s="110" t="n">
        <f aca="false">IF(ISNUMBER(I1252),COUNTIFS($B$7:$B$3000,B1252,$C$7:$C$3000,C1252,$I$7:$I$3000,"&lt;"&amp;I1252,$AI$7:$AI$3000,"yes")+COUNTIFS($B$7:B1252,B1252,$C$7:C1252,C1252,$I$7:I1252,I1252,$AI$7:AI1252,"yes"),"")</f>
        <v>1</v>
      </c>
      <c r="AH1252" s="110" t="str">
        <f aca="false">IF(ISNUMBER(H1252),"yes","no")</f>
        <v>yes</v>
      </c>
      <c r="AI1252" s="110" t="str">
        <f aca="false">IF(ISNUMBER(I1252),"yes","no")</f>
        <v>yes</v>
      </c>
      <c r="AJ1252" s="120" t="n">
        <v>46297</v>
      </c>
      <c r="AK1252" s="110"/>
    </row>
    <row r="1253" customFormat="false" ht="46.25" hidden="false" customHeight="false" outlineLevel="0" collapsed="false">
      <c r="B1253" s="36" t="s">
        <v>79</v>
      </c>
      <c r="C1253" s="98" t="s">
        <v>15</v>
      </c>
      <c r="D1253" s="98" t="s">
        <v>281</v>
      </c>
      <c r="E1253" s="110" t="s">
        <v>4011</v>
      </c>
      <c r="F1253" s="99" t="n">
        <v>5.08</v>
      </c>
      <c r="G1253" s="98" t="s">
        <v>244</v>
      </c>
      <c r="H1253" s="112" t="n">
        <f aca="false">IF(AND(AE1253="yes",ISNUMBER(AD1253)),AD1253,"")</f>
        <v>5.08</v>
      </c>
      <c r="I1253" s="95" t="n">
        <f aca="false">IF(AND(AE1253="yes",ISNUMBER(AD1253),ISNUMBER(INDEX(Sources!$G$7:$G$10,MATCH(AB1253,Sources!$B$7:$B$10,0)))),ROUND(AD1253/INDEX(Sources!$G$7:$G$10,MATCH(AB1253,Sources!$B$7:$B$10,0)),6),"")</f>
        <v>5.08</v>
      </c>
      <c r="J1253" s="98" t="s">
        <v>530</v>
      </c>
      <c r="K1253" s="98" t="s">
        <v>2059</v>
      </c>
      <c r="L1253" s="96"/>
      <c r="M1253" s="110" t="s">
        <v>4012</v>
      </c>
      <c r="N1253" s="117" t="s">
        <v>4013</v>
      </c>
      <c r="O1253" s="110" t="s">
        <v>2952</v>
      </c>
      <c r="P1253" s="110" t="s">
        <v>590</v>
      </c>
      <c r="Q1253" s="118" t="n">
        <v>0.2</v>
      </c>
      <c r="R1253" s="110" t="n">
        <v>1</v>
      </c>
      <c r="S1253" s="110" t="s">
        <v>632</v>
      </c>
      <c r="T1253" s="110" t="s">
        <v>530</v>
      </c>
      <c r="U1253" s="110" t="s">
        <v>2913</v>
      </c>
      <c r="V1253" s="119" t="n">
        <v>5.08</v>
      </c>
      <c r="W1253" s="119"/>
      <c r="X1253" s="110" t="s">
        <v>2063</v>
      </c>
      <c r="Y1253" s="110" t="s">
        <v>2064</v>
      </c>
      <c r="Z1253" s="110" t="s">
        <v>2953</v>
      </c>
      <c r="AA1253" s="110" t="s">
        <v>537</v>
      </c>
      <c r="AB1253" s="110" t="s">
        <v>244</v>
      </c>
      <c r="AC1253" s="110" t="s">
        <v>538</v>
      </c>
      <c r="AD1253" s="110" t="n">
        <f aca="false">IF(OR(F1253="",Q1253="",R1253=""),"",ROUND(IF(P1253="incl.",F1253/(1+Q1253),F1253)/IF(S1253="per pack",R1253,1),2))</f>
        <v>5.08</v>
      </c>
      <c r="AE1253" s="110" t="str">
        <f aca="false">IF(AND(AC1253="yes",ISNUMBER(F1253),IF(Compare!$H$5="All mapped",TRUE(),IF(Compare!$H$5="EXACT only",J1253="EXACT",OR(J1253="EXACT",J1253="CLOSE")))),"yes","no")</f>
        <v>yes</v>
      </c>
      <c r="AF1253" s="110" t="n">
        <f aca="false">IF(ISNUMBER(H1253),COUNTIFS($B$7:$B$3000,B1253,$C$7:$C$3000,C1253,$H$7:$H$3000,"&lt;"&amp;H1253,$AH$7:$AH$3000,"yes")+COUNTIFS($B$7:B1253,B1253,$C$7:C1253,C1253,$H$7:H1253,H1253,$AH$7:AH1253,"yes"),"")</f>
        <v>4</v>
      </c>
      <c r="AG1253" s="110" t="n">
        <f aca="false">IF(ISNUMBER(I1253),COUNTIFS($B$7:$B$3000,B1253,$C$7:$C$3000,C1253,$I$7:$I$3000,"&lt;"&amp;I1253,$AI$7:$AI$3000,"yes")+COUNTIFS($B$7:B1253,B1253,$C$7:C1253,C1253,$I$7:I1253,I1253,$AI$7:AI1253,"yes"),"")</f>
        <v>4</v>
      </c>
      <c r="AH1253" s="110" t="str">
        <f aca="false">IF(ISNUMBER(H1253),"yes","no")</f>
        <v>yes</v>
      </c>
      <c r="AI1253" s="110" t="str">
        <f aca="false">IF(ISNUMBER(I1253),"yes","no")</f>
        <v>yes</v>
      </c>
      <c r="AJ1253" s="120" t="n">
        <v>46297</v>
      </c>
      <c r="AK1253" s="110"/>
    </row>
    <row r="1254" customFormat="false" ht="35.05" hidden="false" customHeight="false" outlineLevel="0" collapsed="false">
      <c r="B1254" s="36" t="s">
        <v>79</v>
      </c>
      <c r="C1254" s="98" t="s">
        <v>15</v>
      </c>
      <c r="D1254" s="98" t="s">
        <v>293</v>
      </c>
      <c r="E1254" s="110" t="s">
        <v>4014</v>
      </c>
      <c r="F1254" s="99" t="n">
        <v>4.2</v>
      </c>
      <c r="G1254" s="98" t="s">
        <v>244</v>
      </c>
      <c r="H1254" s="112" t="n">
        <f aca="false">IF(AND(AE1254="yes",ISNUMBER(AD1254)),AD1254,"")</f>
        <v>4.2</v>
      </c>
      <c r="I1254" s="95" t="n">
        <f aca="false">IF(AND(AE1254="yes",ISNUMBER(AD1254),ISNUMBER(INDEX(Sources!$G$7:$G$10,MATCH(AB1254,Sources!$B$7:$B$10,0)))),ROUND(AD1254/INDEX(Sources!$G$7:$G$10,MATCH(AB1254,Sources!$B$7:$B$10,0)),6),"")</f>
        <v>4.2</v>
      </c>
      <c r="J1254" s="98" t="s">
        <v>530</v>
      </c>
      <c r="K1254" s="98" t="s">
        <v>2059</v>
      </c>
      <c r="L1254" s="96"/>
      <c r="M1254" s="110" t="s">
        <v>4015</v>
      </c>
      <c r="N1254" s="117" t="s">
        <v>4016</v>
      </c>
      <c r="O1254" s="110" t="s">
        <v>2957</v>
      </c>
      <c r="P1254" s="110" t="s">
        <v>590</v>
      </c>
      <c r="Q1254" s="118" t="n">
        <v>0.2</v>
      </c>
      <c r="R1254" s="110" t="n">
        <v>1</v>
      </c>
      <c r="S1254" s="110" t="s">
        <v>632</v>
      </c>
      <c r="T1254" s="110" t="s">
        <v>530</v>
      </c>
      <c r="U1254" s="110" t="s">
        <v>2913</v>
      </c>
      <c r="V1254" s="119" t="n">
        <v>4.2</v>
      </c>
      <c r="W1254" s="119"/>
      <c r="X1254" s="110" t="s">
        <v>2063</v>
      </c>
      <c r="Y1254" s="110" t="s">
        <v>2064</v>
      </c>
      <c r="Z1254" s="110" t="s">
        <v>2958</v>
      </c>
      <c r="AA1254" s="110" t="s">
        <v>537</v>
      </c>
      <c r="AB1254" s="110" t="s">
        <v>244</v>
      </c>
      <c r="AC1254" s="110" t="s">
        <v>538</v>
      </c>
      <c r="AD1254" s="110" t="n">
        <f aca="false">IF(OR(F1254="",Q1254="",R1254=""),"",ROUND(IF(P1254="incl.",F1254/(1+Q1254),F1254)/IF(S1254="per pack",R1254,1),2))</f>
        <v>4.2</v>
      </c>
      <c r="AE1254" s="110" t="str">
        <f aca="false">IF(AND(AC1254="yes",ISNUMBER(F1254),IF(Compare!$H$5="All mapped",TRUE(),IF(Compare!$H$5="EXACT only",J1254="EXACT",OR(J1254="EXACT",J1254="CLOSE")))),"yes","no")</f>
        <v>yes</v>
      </c>
      <c r="AF1254" s="110" t="n">
        <f aca="false">IF(ISNUMBER(H1254),COUNTIFS($B$7:$B$3000,B1254,$C$7:$C$3000,C1254,$H$7:$H$3000,"&lt;"&amp;H1254,$AH$7:$AH$3000,"yes")+COUNTIFS($B$7:B1254,B1254,$C$7:C1254,C1254,$H$7:H1254,H1254,$AH$7:AH1254,"yes"),"")</f>
        <v>3</v>
      </c>
      <c r="AG1254" s="110" t="n">
        <f aca="false">IF(ISNUMBER(I1254),COUNTIFS($B$7:$B$3000,B1254,$C$7:$C$3000,C1254,$I$7:$I$3000,"&lt;"&amp;I1254,$AI$7:$AI$3000,"yes")+COUNTIFS($B$7:B1254,B1254,$C$7:C1254,C1254,$I$7:I1254,I1254,$AI$7:AI1254,"yes"),"")</f>
        <v>3</v>
      </c>
      <c r="AH1254" s="110" t="str">
        <f aca="false">IF(ISNUMBER(H1254),"yes","no")</f>
        <v>yes</v>
      </c>
      <c r="AI1254" s="110" t="str">
        <f aca="false">IF(ISNUMBER(I1254),"yes","no")</f>
        <v>yes</v>
      </c>
      <c r="AJ1254" s="120" t="n">
        <v>46297</v>
      </c>
      <c r="AK1254" s="110"/>
    </row>
    <row r="1255" customFormat="false" ht="35.05" hidden="false" customHeight="false" outlineLevel="0" collapsed="false">
      <c r="B1255" s="36" t="s">
        <v>79</v>
      </c>
      <c r="C1255" s="98" t="s">
        <v>16</v>
      </c>
      <c r="D1255" s="98" t="s">
        <v>296</v>
      </c>
      <c r="E1255" s="110" t="s">
        <v>3996</v>
      </c>
      <c r="F1255" s="99" t="n">
        <v>4.06</v>
      </c>
      <c r="G1255" s="98" t="s">
        <v>244</v>
      </c>
      <c r="H1255" s="112" t="n">
        <f aca="false">IF(AND(AE1255="yes",ISNUMBER(AD1255)),AD1255,"")</f>
        <v>4.06</v>
      </c>
      <c r="I1255" s="95" t="n">
        <f aca="false">IF(AND(AE1255="yes",ISNUMBER(AD1255),ISNUMBER(INDEX(Sources!$G$7:$G$10,MATCH(AB1255,Sources!$B$7:$B$10,0)))),ROUND(AD1255/INDEX(Sources!$G$7:$G$10,MATCH(AB1255,Sources!$B$7:$B$10,0)),6),"")</f>
        <v>4.06</v>
      </c>
      <c r="J1255" s="98" t="s">
        <v>530</v>
      </c>
      <c r="K1255" s="98" t="s">
        <v>2059</v>
      </c>
      <c r="L1255" s="96"/>
      <c r="M1255" s="110" t="s">
        <v>4017</v>
      </c>
      <c r="N1255" s="117" t="s">
        <v>4018</v>
      </c>
      <c r="O1255" s="110" t="s">
        <v>3149</v>
      </c>
      <c r="P1255" s="110" t="s">
        <v>590</v>
      </c>
      <c r="Q1255" s="118" t="n">
        <v>0.19</v>
      </c>
      <c r="R1255" s="110" t="n">
        <v>1</v>
      </c>
      <c r="S1255" s="110" t="s">
        <v>632</v>
      </c>
      <c r="T1255" s="110" t="s">
        <v>530</v>
      </c>
      <c r="U1255" s="110" t="s">
        <v>2913</v>
      </c>
      <c r="V1255" s="119" t="n">
        <v>4.06</v>
      </c>
      <c r="W1255" s="119"/>
      <c r="X1255" s="110" t="s">
        <v>2063</v>
      </c>
      <c r="Y1255" s="110" t="s">
        <v>2064</v>
      </c>
      <c r="Z1255" s="110" t="s">
        <v>3128</v>
      </c>
      <c r="AA1255" s="110" t="s">
        <v>537</v>
      </c>
      <c r="AB1255" s="110" t="s">
        <v>244</v>
      </c>
      <c r="AC1255" s="110" t="s">
        <v>538</v>
      </c>
      <c r="AD1255" s="110" t="n">
        <f aca="false">IF(OR(F1255="",Q1255="",R1255=""),"",ROUND(IF(P1255="incl.",F1255/(1+Q1255),F1255)/IF(S1255="per pack",R1255,1),2))</f>
        <v>4.06</v>
      </c>
      <c r="AE1255" s="110" t="str">
        <f aca="false">IF(AND(AC1255="yes",ISNUMBER(F1255),IF(Compare!$H$5="All mapped",TRUE(),IF(Compare!$H$5="EXACT only",J1255="EXACT",OR(J1255="EXACT",J1255="CLOSE")))),"yes","no")</f>
        <v>yes</v>
      </c>
      <c r="AF1255" s="110" t="n">
        <f aca="false">IF(ISNUMBER(H1255),COUNTIFS($B$7:$B$3000,B1255,$C$7:$C$3000,C1255,$H$7:$H$3000,"&lt;"&amp;H1255,$AH$7:$AH$3000,"yes")+COUNTIFS($B$7:B1255,B1255,$C$7:C1255,C1255,$H$7:H1255,H1255,$AH$7:AH1255,"yes"),"")</f>
        <v>3</v>
      </c>
      <c r="AG1255" s="110" t="n">
        <f aca="false">IF(ISNUMBER(I1255),COUNTIFS($B$7:$B$3000,B1255,$C$7:$C$3000,C1255,$I$7:$I$3000,"&lt;"&amp;I1255,$AI$7:$AI$3000,"yes")+COUNTIFS($B$7:B1255,B1255,$C$7:C1255,C1255,$I$7:I1255,I1255,$AI$7:AI1255,"yes"),"")</f>
        <v>3</v>
      </c>
      <c r="AH1255" s="110" t="str">
        <f aca="false">IF(ISNUMBER(H1255),"yes","no")</f>
        <v>yes</v>
      </c>
      <c r="AI1255" s="110" t="str">
        <f aca="false">IF(ISNUMBER(I1255),"yes","no")</f>
        <v>yes</v>
      </c>
      <c r="AJ1255" s="120" t="n">
        <v>46297</v>
      </c>
      <c r="AK1255" s="110"/>
    </row>
    <row r="1256" customFormat="false" ht="35.05" hidden="false" customHeight="false" outlineLevel="0" collapsed="false">
      <c r="B1256" s="36" t="s">
        <v>79</v>
      </c>
      <c r="C1256" s="98" t="s">
        <v>16</v>
      </c>
      <c r="D1256" s="98" t="s">
        <v>305</v>
      </c>
      <c r="E1256" s="110" t="s">
        <v>4019</v>
      </c>
      <c r="F1256" s="99" t="n">
        <v>5.16</v>
      </c>
      <c r="G1256" s="98" t="s">
        <v>244</v>
      </c>
      <c r="H1256" s="112" t="n">
        <f aca="false">IF(AND(AE1256="yes",ISNUMBER(AD1256)),AD1256,"")</f>
        <v>4.34</v>
      </c>
      <c r="I1256" s="95" t="n">
        <f aca="false">IF(AND(AE1256="yes",ISNUMBER(AD1256),ISNUMBER(INDEX(Sources!$G$7:$G$10,MATCH(AB1256,Sources!$B$7:$B$10,0)))),ROUND(AD1256/INDEX(Sources!$G$7:$G$10,MATCH(AB1256,Sources!$B$7:$B$10,0)),6),"")</f>
        <v>4.34</v>
      </c>
      <c r="J1256" s="98" t="s">
        <v>530</v>
      </c>
      <c r="K1256" s="98" t="s">
        <v>2059</v>
      </c>
      <c r="L1256" s="96"/>
      <c r="M1256" s="110" t="s">
        <v>4020</v>
      </c>
      <c r="N1256" s="117" t="s">
        <v>4021</v>
      </c>
      <c r="O1256" s="110" t="s">
        <v>2965</v>
      </c>
      <c r="P1256" s="110" t="s">
        <v>265</v>
      </c>
      <c r="Q1256" s="118" t="n">
        <v>0.19</v>
      </c>
      <c r="R1256" s="110" t="n">
        <v>1</v>
      </c>
      <c r="S1256" s="110" t="s">
        <v>632</v>
      </c>
      <c r="T1256" s="110" t="s">
        <v>530</v>
      </c>
      <c r="U1256" s="110" t="s">
        <v>2918</v>
      </c>
      <c r="V1256" s="119" t="n">
        <v>4.34</v>
      </c>
      <c r="W1256" s="119"/>
      <c r="X1256" s="110" t="s">
        <v>2063</v>
      </c>
      <c r="Y1256" s="110" t="s">
        <v>2064</v>
      </c>
      <c r="Z1256" s="110" t="s">
        <v>2156</v>
      </c>
      <c r="AA1256" s="110" t="s">
        <v>537</v>
      </c>
      <c r="AB1256" s="110" t="s">
        <v>244</v>
      </c>
      <c r="AC1256" s="110" t="s">
        <v>538</v>
      </c>
      <c r="AD1256" s="110" t="n">
        <f aca="false">IF(OR(F1256="",Q1256="",R1256=""),"",ROUND(IF(P1256="incl.",F1256/(1+Q1256),F1256)/IF(S1256="per pack",R1256,1),2))</f>
        <v>4.34</v>
      </c>
      <c r="AE1256" s="110" t="str">
        <f aca="false">IF(AND(AC1256="yes",ISNUMBER(F1256),IF(Compare!$H$5="All mapped",TRUE(),IF(Compare!$H$5="EXACT only",J1256="EXACT",OR(J1256="EXACT",J1256="CLOSE")))),"yes","no")</f>
        <v>yes</v>
      </c>
      <c r="AF1256" s="110" t="n">
        <f aca="false">IF(ISNUMBER(H1256),COUNTIFS($B$7:$B$3000,B1256,$C$7:$C$3000,C1256,$H$7:$H$3000,"&lt;"&amp;H1256,$AH$7:$AH$3000,"yes")+COUNTIFS($B$7:B1256,B1256,$C$7:C1256,C1256,$H$7:H1256,H1256,$AH$7:AH1256,"yes"),"")</f>
        <v>4</v>
      </c>
      <c r="AG1256" s="110" t="n">
        <f aca="false">IF(ISNUMBER(I1256),COUNTIFS($B$7:$B$3000,B1256,$C$7:$C$3000,C1256,$I$7:$I$3000,"&lt;"&amp;I1256,$AI$7:$AI$3000,"yes")+COUNTIFS($B$7:B1256,B1256,$C$7:C1256,C1256,$I$7:I1256,I1256,$AI$7:AI1256,"yes"),"")</f>
        <v>4</v>
      </c>
      <c r="AH1256" s="110" t="str">
        <f aca="false">IF(ISNUMBER(H1256),"yes","no")</f>
        <v>yes</v>
      </c>
      <c r="AI1256" s="110" t="str">
        <f aca="false">IF(ISNUMBER(I1256),"yes","no")</f>
        <v>yes</v>
      </c>
      <c r="AJ1256" s="120" t="n">
        <v>46297</v>
      </c>
      <c r="AK1256" s="110"/>
    </row>
    <row r="1257" customFormat="false" ht="35.05" hidden="false" customHeight="false" outlineLevel="0" collapsed="false">
      <c r="B1257" s="36" t="s">
        <v>79</v>
      </c>
      <c r="C1257" s="98" t="s">
        <v>16</v>
      </c>
      <c r="D1257" s="98" t="s">
        <v>311</v>
      </c>
      <c r="E1257" s="110" t="s">
        <v>4002</v>
      </c>
      <c r="F1257" s="99" t="n">
        <v>4.99</v>
      </c>
      <c r="G1257" s="98" t="s">
        <v>244</v>
      </c>
      <c r="H1257" s="112" t="n">
        <f aca="false">IF(AND(AE1257="yes",ISNUMBER(AD1257)),AD1257,"")</f>
        <v>4.99</v>
      </c>
      <c r="I1257" s="95" t="n">
        <f aca="false">IF(AND(AE1257="yes",ISNUMBER(AD1257),ISNUMBER(INDEX(Sources!$G$7:$G$10,MATCH(AB1257,Sources!$B$7:$B$10,0)))),ROUND(AD1257/INDEX(Sources!$G$7:$G$10,MATCH(AB1257,Sources!$B$7:$B$10,0)),6),"")</f>
        <v>4.99</v>
      </c>
      <c r="J1257" s="98" t="s">
        <v>530</v>
      </c>
      <c r="K1257" s="98" t="s">
        <v>2059</v>
      </c>
      <c r="L1257" s="96"/>
      <c r="M1257" s="110" t="s">
        <v>4022</v>
      </c>
      <c r="N1257" s="117" t="s">
        <v>4023</v>
      </c>
      <c r="O1257" s="110" t="s">
        <v>598</v>
      </c>
      <c r="P1257" s="110" t="s">
        <v>590</v>
      </c>
      <c r="Q1257" s="118" t="n">
        <v>0.19</v>
      </c>
      <c r="R1257" s="110" t="n">
        <v>1</v>
      </c>
      <c r="S1257" s="110" t="s">
        <v>632</v>
      </c>
      <c r="T1257" s="110" t="s">
        <v>530</v>
      </c>
      <c r="U1257" s="110" t="s">
        <v>2913</v>
      </c>
      <c r="V1257" s="119" t="n">
        <v>4.99</v>
      </c>
      <c r="W1257" s="119"/>
      <c r="X1257" s="110" t="s">
        <v>2063</v>
      </c>
      <c r="Y1257" s="110" t="s">
        <v>2064</v>
      </c>
      <c r="Z1257" s="110" t="s">
        <v>2968</v>
      </c>
      <c r="AA1257" s="110" t="s">
        <v>537</v>
      </c>
      <c r="AB1257" s="110" t="s">
        <v>244</v>
      </c>
      <c r="AC1257" s="110" t="s">
        <v>538</v>
      </c>
      <c r="AD1257" s="110" t="n">
        <f aca="false">IF(OR(F1257="",Q1257="",R1257=""),"",ROUND(IF(P1257="incl.",F1257/(1+Q1257),F1257)/IF(S1257="per pack",R1257,1),2))</f>
        <v>4.99</v>
      </c>
      <c r="AE1257" s="110" t="str">
        <f aca="false">IF(AND(AC1257="yes",ISNUMBER(F1257),IF(Compare!$H$5="All mapped",TRUE(),IF(Compare!$H$5="EXACT only",J1257="EXACT",OR(J1257="EXACT",J1257="CLOSE")))),"yes","no")</f>
        <v>yes</v>
      </c>
      <c r="AF1257" s="110" t="n">
        <f aca="false">IF(ISNUMBER(H1257),COUNTIFS($B$7:$B$3000,B1257,$C$7:$C$3000,C1257,$H$7:$H$3000,"&lt;"&amp;H1257,$AH$7:$AH$3000,"yes")+COUNTIFS($B$7:B1257,B1257,$C$7:C1257,C1257,$H$7:H1257,H1257,$AH$7:AH1257,"yes"),"")</f>
        <v>6</v>
      </c>
      <c r="AG1257" s="110" t="n">
        <f aca="false">IF(ISNUMBER(I1257),COUNTIFS($B$7:$B$3000,B1257,$C$7:$C$3000,C1257,$I$7:$I$3000,"&lt;"&amp;I1257,$AI$7:$AI$3000,"yes")+COUNTIFS($B$7:B1257,B1257,$C$7:C1257,C1257,$I$7:I1257,I1257,$AI$7:AI1257,"yes"),"")</f>
        <v>6</v>
      </c>
      <c r="AH1257" s="110" t="str">
        <f aca="false">IF(ISNUMBER(H1257),"yes","no")</f>
        <v>yes</v>
      </c>
      <c r="AI1257" s="110" t="str">
        <f aca="false">IF(ISNUMBER(I1257),"yes","no")</f>
        <v>yes</v>
      </c>
      <c r="AJ1257" s="120" t="n">
        <v>46297</v>
      </c>
      <c r="AK1257" s="110"/>
    </row>
    <row r="1258" customFormat="false" ht="23.85" hidden="false" customHeight="false" outlineLevel="0" collapsed="false">
      <c r="B1258" s="36" t="s">
        <v>79</v>
      </c>
      <c r="C1258" s="98" t="s">
        <v>16</v>
      </c>
      <c r="D1258" s="98" t="s">
        <v>309</v>
      </c>
      <c r="E1258" s="110" t="s">
        <v>4005</v>
      </c>
      <c r="F1258" s="99" t="n">
        <v>17.4</v>
      </c>
      <c r="G1258" s="98" t="s">
        <v>244</v>
      </c>
      <c r="H1258" s="112" t="n">
        <f aca="false">IF(AND(AE1258="yes",ISNUMBER(AD1258)),AD1258,"")</f>
        <v>17.4</v>
      </c>
      <c r="I1258" s="95" t="n">
        <f aca="false">IF(AND(AE1258="yes",ISNUMBER(AD1258),ISNUMBER(INDEX(Sources!$G$7:$G$10,MATCH(AB1258,Sources!$B$7:$B$10,0)))),ROUND(AD1258/INDEX(Sources!$G$7:$G$10,MATCH(AB1258,Sources!$B$7:$B$10,0)),6),"")</f>
        <v>17.4</v>
      </c>
      <c r="J1258" s="98" t="s">
        <v>530</v>
      </c>
      <c r="K1258" s="98" t="s">
        <v>2059</v>
      </c>
      <c r="L1258" s="96"/>
      <c r="M1258" s="110" t="s">
        <v>4024</v>
      </c>
      <c r="N1258" s="117" t="s">
        <v>4007</v>
      </c>
      <c r="O1258" s="110" t="s">
        <v>2944</v>
      </c>
      <c r="P1258" s="110" t="s">
        <v>590</v>
      </c>
      <c r="Q1258" s="118" t="n">
        <v>0.19</v>
      </c>
      <c r="R1258" s="110" t="n">
        <v>1</v>
      </c>
      <c r="S1258" s="110" t="s">
        <v>632</v>
      </c>
      <c r="T1258" s="110" t="s">
        <v>530</v>
      </c>
      <c r="U1258" s="110" t="s">
        <v>2913</v>
      </c>
      <c r="V1258" s="119" t="n">
        <v>17.4</v>
      </c>
      <c r="W1258" s="119"/>
      <c r="X1258" s="110" t="s">
        <v>2063</v>
      </c>
      <c r="Y1258" s="110" t="s">
        <v>2064</v>
      </c>
      <c r="Z1258" s="110" t="s">
        <v>2970</v>
      </c>
      <c r="AA1258" s="110" t="s">
        <v>537</v>
      </c>
      <c r="AB1258" s="110" t="s">
        <v>244</v>
      </c>
      <c r="AC1258" s="110" t="s">
        <v>538</v>
      </c>
      <c r="AD1258" s="110" t="n">
        <f aca="false">IF(OR(F1258="",Q1258="",R1258=""),"",ROUND(IF(P1258="incl.",F1258/(1+Q1258),F1258)/IF(S1258="per pack",R1258,1),2))</f>
        <v>17.4</v>
      </c>
      <c r="AE1258" s="110" t="str">
        <f aca="false">IF(AND(AC1258="yes",ISNUMBER(F1258),IF(Compare!$H$5="All mapped",TRUE(),IF(Compare!$H$5="EXACT only",J1258="EXACT",OR(J1258="EXACT",J1258="CLOSE")))),"yes","no")</f>
        <v>yes</v>
      </c>
      <c r="AF1258" s="110" t="n">
        <f aca="false">IF(ISNUMBER(H1258),COUNTIFS($B$7:$B$3000,B1258,$C$7:$C$3000,C1258,$H$7:$H$3000,"&lt;"&amp;H1258,$AH$7:$AH$3000,"yes")+COUNTIFS($B$7:B1258,B1258,$C$7:C1258,C1258,$H$7:H1258,H1258,$AH$7:AH1258,"yes"),"")</f>
        <v>7</v>
      </c>
      <c r="AG1258" s="110" t="n">
        <f aca="false">IF(ISNUMBER(I1258),COUNTIFS($B$7:$B$3000,B1258,$C$7:$C$3000,C1258,$I$7:$I$3000,"&lt;"&amp;I1258,$AI$7:$AI$3000,"yes")+COUNTIFS($B$7:B1258,B1258,$C$7:C1258,C1258,$I$7:I1258,I1258,$AI$7:AI1258,"yes"),"")</f>
        <v>7</v>
      </c>
      <c r="AH1258" s="110" t="str">
        <f aca="false">IF(ISNUMBER(H1258),"yes","no")</f>
        <v>yes</v>
      </c>
      <c r="AI1258" s="110" t="str">
        <f aca="false">IF(ISNUMBER(I1258),"yes","no")</f>
        <v>yes</v>
      </c>
      <c r="AJ1258" s="120" t="n">
        <v>46297</v>
      </c>
      <c r="AK1258" s="110"/>
    </row>
    <row r="1259" customFormat="false" ht="23.85" hidden="false" customHeight="false" outlineLevel="0" collapsed="false">
      <c r="B1259" s="36" t="s">
        <v>79</v>
      </c>
      <c r="C1259" s="98" t="s">
        <v>16</v>
      </c>
      <c r="D1259" s="98" t="s">
        <v>313</v>
      </c>
      <c r="E1259" s="110" t="s">
        <v>4008</v>
      </c>
      <c r="F1259" s="99" t="n">
        <v>4.49</v>
      </c>
      <c r="G1259" s="98" t="s">
        <v>244</v>
      </c>
      <c r="H1259" s="112" t="n">
        <f aca="false">IF(AND(AE1259="yes",ISNUMBER(AD1259)),AD1259,"")</f>
        <v>3.77</v>
      </c>
      <c r="I1259" s="95" t="n">
        <f aca="false">IF(AND(AE1259="yes",ISNUMBER(AD1259),ISNUMBER(INDEX(Sources!$G$7:$G$10,MATCH(AB1259,Sources!$B$7:$B$10,0)))),ROUND(AD1259/INDEX(Sources!$G$7:$G$10,MATCH(AB1259,Sources!$B$7:$B$10,0)),6),"")</f>
        <v>3.77</v>
      </c>
      <c r="J1259" s="98" t="s">
        <v>530</v>
      </c>
      <c r="K1259" s="98" t="s">
        <v>2059</v>
      </c>
      <c r="L1259" s="96"/>
      <c r="M1259" s="110" t="s">
        <v>4025</v>
      </c>
      <c r="N1259" s="117" t="s">
        <v>4026</v>
      </c>
      <c r="O1259" s="110" t="s">
        <v>598</v>
      </c>
      <c r="P1259" s="110" t="s">
        <v>265</v>
      </c>
      <c r="Q1259" s="118" t="n">
        <v>0.19</v>
      </c>
      <c r="R1259" s="110" t="n">
        <v>1</v>
      </c>
      <c r="S1259" s="110" t="s">
        <v>632</v>
      </c>
      <c r="T1259" s="110" t="s">
        <v>530</v>
      </c>
      <c r="U1259" s="110" t="s">
        <v>2918</v>
      </c>
      <c r="V1259" s="119" t="n">
        <v>3.77</v>
      </c>
      <c r="W1259" s="119"/>
      <c r="X1259" s="110" t="s">
        <v>2063</v>
      </c>
      <c r="Y1259" s="110" t="s">
        <v>2064</v>
      </c>
      <c r="Z1259" s="110" t="s">
        <v>2973</v>
      </c>
      <c r="AA1259" s="110" t="s">
        <v>537</v>
      </c>
      <c r="AB1259" s="110" t="s">
        <v>244</v>
      </c>
      <c r="AC1259" s="110" t="s">
        <v>538</v>
      </c>
      <c r="AD1259" s="110" t="n">
        <f aca="false">IF(OR(F1259="",Q1259="",R1259=""),"",ROUND(IF(P1259="incl.",F1259/(1+Q1259),F1259)/IF(S1259="per pack",R1259,1),2))</f>
        <v>3.77</v>
      </c>
      <c r="AE1259" s="110" t="str">
        <f aca="false">IF(AND(AC1259="yes",ISNUMBER(F1259),IF(Compare!$H$5="All mapped",TRUE(),IF(Compare!$H$5="EXACT only",J1259="EXACT",OR(J1259="EXACT",J1259="CLOSE")))),"yes","no")</f>
        <v>yes</v>
      </c>
      <c r="AF1259" s="110" t="n">
        <f aca="false">IF(ISNUMBER(H1259),COUNTIFS($B$7:$B$3000,B1259,$C$7:$C$3000,C1259,$H$7:$H$3000,"&lt;"&amp;H1259,$AH$7:$AH$3000,"yes")+COUNTIFS($B$7:B1259,B1259,$C$7:C1259,C1259,$H$7:H1259,H1259,$AH$7:AH1259,"yes"),"")</f>
        <v>2</v>
      </c>
      <c r="AG1259" s="110" t="n">
        <f aca="false">IF(ISNUMBER(I1259),COUNTIFS($B$7:$B$3000,B1259,$C$7:$C$3000,C1259,$I$7:$I$3000,"&lt;"&amp;I1259,$AI$7:$AI$3000,"yes")+COUNTIFS($B$7:B1259,B1259,$C$7:C1259,C1259,$I$7:I1259,I1259,$AI$7:AI1259,"yes"),"")</f>
        <v>2</v>
      </c>
      <c r="AH1259" s="110" t="str">
        <f aca="false">IF(ISNUMBER(H1259),"yes","no")</f>
        <v>yes</v>
      </c>
      <c r="AI1259" s="110" t="str">
        <f aca="false">IF(ISNUMBER(I1259),"yes","no")</f>
        <v>yes</v>
      </c>
      <c r="AJ1259" s="120" t="n">
        <v>46297</v>
      </c>
      <c r="AK1259" s="110"/>
    </row>
    <row r="1260" customFormat="false" ht="35.05" hidden="false" customHeight="false" outlineLevel="0" collapsed="false">
      <c r="B1260" s="36" t="s">
        <v>79</v>
      </c>
      <c r="C1260" s="98" t="s">
        <v>16</v>
      </c>
      <c r="D1260" s="98" t="s">
        <v>321</v>
      </c>
      <c r="E1260" s="110" t="s">
        <v>4027</v>
      </c>
      <c r="F1260" s="99" t="n">
        <v>4.94</v>
      </c>
      <c r="G1260" s="98" t="s">
        <v>244</v>
      </c>
      <c r="H1260" s="112" t="n">
        <f aca="false">IF(AND(AE1260="yes",ISNUMBER(AD1260)),AD1260,"")</f>
        <v>4.94</v>
      </c>
      <c r="I1260" s="95" t="n">
        <f aca="false">IF(AND(AE1260="yes",ISNUMBER(AD1260),ISNUMBER(INDEX(Sources!$G$7:$G$10,MATCH(AB1260,Sources!$B$7:$B$10,0)))),ROUND(AD1260/INDEX(Sources!$G$7:$G$10,MATCH(AB1260,Sources!$B$7:$B$10,0)),6),"")</f>
        <v>4.94</v>
      </c>
      <c r="J1260" s="98" t="s">
        <v>530</v>
      </c>
      <c r="K1260" s="98" t="s">
        <v>2059</v>
      </c>
      <c r="L1260" s="96"/>
      <c r="M1260" s="110" t="s">
        <v>4028</v>
      </c>
      <c r="N1260" s="117" t="s">
        <v>4029</v>
      </c>
      <c r="O1260" s="110" t="s">
        <v>2944</v>
      </c>
      <c r="P1260" s="110" t="s">
        <v>590</v>
      </c>
      <c r="Q1260" s="118" t="n">
        <v>0.19</v>
      </c>
      <c r="R1260" s="110" t="n">
        <v>1</v>
      </c>
      <c r="S1260" s="110" t="s">
        <v>632</v>
      </c>
      <c r="T1260" s="110" t="s">
        <v>530</v>
      </c>
      <c r="U1260" s="110" t="s">
        <v>2913</v>
      </c>
      <c r="V1260" s="119" t="n">
        <v>4.94</v>
      </c>
      <c r="W1260" s="119"/>
      <c r="X1260" s="110" t="s">
        <v>2063</v>
      </c>
      <c r="Y1260" s="110" t="s">
        <v>2064</v>
      </c>
      <c r="Z1260" s="110" t="s">
        <v>2978</v>
      </c>
      <c r="AA1260" s="110" t="s">
        <v>537</v>
      </c>
      <c r="AB1260" s="110" t="s">
        <v>244</v>
      </c>
      <c r="AC1260" s="110" t="s">
        <v>538</v>
      </c>
      <c r="AD1260" s="110" t="n">
        <f aca="false">IF(OR(F1260="",Q1260="",R1260=""),"",ROUND(IF(P1260="incl.",F1260/(1+Q1260),F1260)/IF(S1260="per pack",R1260,1),2))</f>
        <v>4.94</v>
      </c>
      <c r="AE1260" s="110" t="str">
        <f aca="false">IF(AND(AC1260="yes",ISNUMBER(F1260),IF(Compare!$H$5="All mapped",TRUE(),IF(Compare!$H$5="EXACT only",J1260="EXACT",OR(J1260="EXACT",J1260="CLOSE")))),"yes","no")</f>
        <v>yes</v>
      </c>
      <c r="AF1260" s="110" t="n">
        <f aca="false">IF(ISNUMBER(H1260),COUNTIFS($B$7:$B$3000,B1260,$C$7:$C$3000,C1260,$H$7:$H$3000,"&lt;"&amp;H1260,$AH$7:$AH$3000,"yes")+COUNTIFS($B$7:B1260,B1260,$C$7:C1260,C1260,$H$7:H1260,H1260,$AH$7:AH1260,"yes"),"")</f>
        <v>5</v>
      </c>
      <c r="AG1260" s="110" t="n">
        <f aca="false">IF(ISNUMBER(I1260),COUNTIFS($B$7:$B$3000,B1260,$C$7:$C$3000,C1260,$I$7:$I$3000,"&lt;"&amp;I1260,$AI$7:$AI$3000,"yes")+COUNTIFS($B$7:B1260,B1260,$C$7:C1260,C1260,$I$7:I1260,I1260,$AI$7:AI1260,"yes"),"")</f>
        <v>5</v>
      </c>
      <c r="AH1260" s="110" t="str">
        <f aca="false">IF(ISNUMBER(H1260),"yes","no")</f>
        <v>yes</v>
      </c>
      <c r="AI1260" s="110" t="str">
        <f aca="false">IF(ISNUMBER(I1260),"yes","no")</f>
        <v>yes</v>
      </c>
      <c r="AJ1260" s="120" t="n">
        <v>46297</v>
      </c>
      <c r="AK1260" s="110"/>
    </row>
    <row r="1261" customFormat="false" ht="35.05" hidden="false" customHeight="false" outlineLevel="0" collapsed="false">
      <c r="B1261" s="36" t="s">
        <v>79</v>
      </c>
      <c r="C1261" s="98" t="s">
        <v>16</v>
      </c>
      <c r="D1261" s="98" t="s">
        <v>329</v>
      </c>
      <c r="E1261" s="110" t="s">
        <v>4030</v>
      </c>
      <c r="F1261" s="99" t="n">
        <v>2.3</v>
      </c>
      <c r="G1261" s="98" t="s">
        <v>244</v>
      </c>
      <c r="H1261" s="112" t="n">
        <f aca="false">IF(AND(AE1261="yes",ISNUMBER(AD1261)),AD1261,"")</f>
        <v>2.3</v>
      </c>
      <c r="I1261" s="95" t="n">
        <f aca="false">IF(AND(AE1261="yes",ISNUMBER(AD1261),ISNUMBER(INDEX(Sources!$G$7:$G$10,MATCH(AB1261,Sources!$B$7:$B$10,0)))),ROUND(AD1261/INDEX(Sources!$G$7:$G$10,MATCH(AB1261,Sources!$B$7:$B$10,0)),6),"")</f>
        <v>2.3</v>
      </c>
      <c r="J1261" s="98" t="s">
        <v>530</v>
      </c>
      <c r="K1261" s="98" t="s">
        <v>2059</v>
      </c>
      <c r="L1261" s="96"/>
      <c r="M1261" s="110" t="s">
        <v>4031</v>
      </c>
      <c r="N1261" s="117" t="s">
        <v>4032</v>
      </c>
      <c r="O1261" s="110" t="s">
        <v>598</v>
      </c>
      <c r="P1261" s="110" t="s">
        <v>590</v>
      </c>
      <c r="Q1261" s="118" t="n">
        <v>0.19</v>
      </c>
      <c r="R1261" s="110" t="n">
        <v>1</v>
      </c>
      <c r="S1261" s="110" t="s">
        <v>632</v>
      </c>
      <c r="T1261" s="110" t="s">
        <v>530</v>
      </c>
      <c r="U1261" s="110" t="s">
        <v>2913</v>
      </c>
      <c r="V1261" s="119" t="n">
        <v>2.3</v>
      </c>
      <c r="W1261" s="119"/>
      <c r="X1261" s="110" t="s">
        <v>2063</v>
      </c>
      <c r="Y1261" s="110" t="s">
        <v>2064</v>
      </c>
      <c r="Z1261" s="110" t="s">
        <v>2777</v>
      </c>
      <c r="AA1261" s="110" t="s">
        <v>537</v>
      </c>
      <c r="AB1261" s="110" t="s">
        <v>244</v>
      </c>
      <c r="AC1261" s="110" t="s">
        <v>538</v>
      </c>
      <c r="AD1261" s="110" t="n">
        <f aca="false">IF(OR(F1261="",Q1261="",R1261=""),"",ROUND(IF(P1261="incl.",F1261/(1+Q1261),F1261)/IF(S1261="per pack",R1261,1),2))</f>
        <v>2.3</v>
      </c>
      <c r="AE1261" s="110" t="str">
        <f aca="false">IF(AND(AC1261="yes",ISNUMBER(F1261),IF(Compare!$H$5="All mapped",TRUE(),IF(Compare!$H$5="EXACT only",J1261="EXACT",OR(J1261="EXACT",J1261="CLOSE")))),"yes","no")</f>
        <v>yes</v>
      </c>
      <c r="AF1261" s="110" t="n">
        <f aca="false">IF(ISNUMBER(H1261),COUNTIFS($B$7:$B$3000,B1261,$C$7:$C$3000,C1261,$H$7:$H$3000,"&lt;"&amp;H1261,$AH$7:$AH$3000,"yes")+COUNTIFS($B$7:B1261,B1261,$C$7:C1261,C1261,$H$7:H1261,H1261,$AH$7:AH1261,"yes"),"")</f>
        <v>1</v>
      </c>
      <c r="AG1261" s="110" t="n">
        <f aca="false">IF(ISNUMBER(I1261),COUNTIFS($B$7:$B$3000,B1261,$C$7:$C$3000,C1261,$I$7:$I$3000,"&lt;"&amp;I1261,$AI$7:$AI$3000,"yes")+COUNTIFS($B$7:B1261,B1261,$C$7:C1261,C1261,$I$7:I1261,I1261,$AI$7:AI1261,"yes"),"")</f>
        <v>1</v>
      </c>
      <c r="AH1261" s="110" t="str">
        <f aca="false">IF(ISNUMBER(H1261),"yes","no")</f>
        <v>yes</v>
      </c>
      <c r="AI1261" s="110" t="str">
        <f aca="false">IF(ISNUMBER(I1261),"yes","no")</f>
        <v>yes</v>
      </c>
      <c r="AJ1261" s="120" t="n">
        <v>46297</v>
      </c>
      <c r="AK1261" s="110"/>
    </row>
    <row r="1262" customFormat="false" ht="35.05" hidden="false" customHeight="false" outlineLevel="0" collapsed="false">
      <c r="B1262" s="36" t="s">
        <v>79</v>
      </c>
      <c r="C1262" s="98" t="s">
        <v>17</v>
      </c>
      <c r="D1262" s="98" t="s">
        <v>338</v>
      </c>
      <c r="E1262" s="110" t="s">
        <v>4033</v>
      </c>
      <c r="F1262" s="99" t="n">
        <v>112</v>
      </c>
      <c r="G1262" s="98" t="s">
        <v>333</v>
      </c>
      <c r="H1262" s="112" t="n">
        <f aca="false">IF(AND(AE1262="yes",ISNUMBER(AD1262)),AD1262,"")</f>
        <v>112</v>
      </c>
      <c r="I1262" s="95" t="n">
        <f aca="false">IF(AND(AE1262="yes",ISNUMBER(AD1262),ISNUMBER(INDEX(Sources!$G$7:$G$10,MATCH(AB1262,Sources!$B$7:$B$10,0)))),ROUND(AD1262/INDEX(Sources!$G$7:$G$10,MATCH(AB1262,Sources!$B$7:$B$10,0)),6),"")</f>
        <v>4.585726</v>
      </c>
      <c r="J1262" s="98" t="s">
        <v>530</v>
      </c>
      <c r="K1262" s="98" t="s">
        <v>2059</v>
      </c>
      <c r="L1262" s="96"/>
      <c r="M1262" s="110" t="s">
        <v>4034</v>
      </c>
      <c r="N1262" s="117" t="s">
        <v>4035</v>
      </c>
      <c r="O1262" s="110" t="s">
        <v>388</v>
      </c>
      <c r="P1262" s="110" t="s">
        <v>590</v>
      </c>
      <c r="Q1262" s="118" t="n">
        <v>0.21</v>
      </c>
      <c r="R1262" s="110" t="n">
        <v>1</v>
      </c>
      <c r="S1262" s="110" t="s">
        <v>632</v>
      </c>
      <c r="T1262" s="110" t="s">
        <v>530</v>
      </c>
      <c r="U1262" s="110" t="s">
        <v>2913</v>
      </c>
      <c r="V1262" s="119" t="n">
        <v>112</v>
      </c>
      <c r="W1262" s="119"/>
      <c r="X1262" s="110" t="s">
        <v>2063</v>
      </c>
      <c r="Y1262" s="110" t="s">
        <v>2064</v>
      </c>
      <c r="Z1262" s="110" t="s">
        <v>2408</v>
      </c>
      <c r="AA1262" s="110" t="s">
        <v>537</v>
      </c>
      <c r="AB1262" s="110" t="s">
        <v>333</v>
      </c>
      <c r="AC1262" s="110" t="s">
        <v>538</v>
      </c>
      <c r="AD1262" s="110" t="n">
        <f aca="false">IF(OR(F1262="",Q1262="",R1262=""),"",ROUND(IF(P1262="incl.",F1262/(1+Q1262),F1262)/IF(S1262="per pack",R1262,1),2))</f>
        <v>112</v>
      </c>
      <c r="AE1262" s="110" t="str">
        <f aca="false">IF(AND(AC1262="yes",ISNUMBER(F1262),IF(Compare!$H$5="All mapped",TRUE(),IF(Compare!$H$5="EXACT only",J1262="EXACT",OR(J1262="EXACT",J1262="CLOSE")))),"yes","no")</f>
        <v>yes</v>
      </c>
      <c r="AF1262" s="110" t="n">
        <f aca="false">IF(ISNUMBER(H1262),COUNTIFS($B$7:$B$3000,B1262,$C$7:$C$3000,C1262,$H$7:$H$3000,"&lt;"&amp;H1262,$AH$7:$AH$3000,"yes")+COUNTIFS($B$7:B1262,B1262,$C$7:C1262,C1262,$H$7:H1262,H1262,$AH$7:AH1262,"yes"),"")</f>
        <v>3</v>
      </c>
      <c r="AG1262" s="110" t="n">
        <f aca="false">IF(ISNUMBER(I1262),COUNTIFS($B$7:$B$3000,B1262,$C$7:$C$3000,C1262,$I$7:$I$3000,"&lt;"&amp;I1262,$AI$7:$AI$3000,"yes")+COUNTIFS($B$7:B1262,B1262,$C$7:C1262,C1262,$I$7:I1262,I1262,$AI$7:AI1262,"yes"),"")</f>
        <v>3</v>
      </c>
      <c r="AH1262" s="110" t="str">
        <f aca="false">IF(ISNUMBER(H1262),"yes","no")</f>
        <v>yes</v>
      </c>
      <c r="AI1262" s="110" t="str">
        <f aca="false">IF(ISNUMBER(I1262),"yes","no")</f>
        <v>yes</v>
      </c>
      <c r="AJ1262" s="120" t="n">
        <v>46297</v>
      </c>
      <c r="AK1262" s="110"/>
    </row>
    <row r="1263" customFormat="false" ht="35.05" hidden="false" customHeight="false" outlineLevel="0" collapsed="false">
      <c r="B1263" s="36" t="s">
        <v>79</v>
      </c>
      <c r="C1263" s="98" t="s">
        <v>17</v>
      </c>
      <c r="D1263" s="98" t="s">
        <v>342</v>
      </c>
      <c r="E1263" s="110" t="s">
        <v>4036</v>
      </c>
      <c r="F1263" s="99" t="n">
        <v>88</v>
      </c>
      <c r="G1263" s="98" t="s">
        <v>333</v>
      </c>
      <c r="H1263" s="112" t="n">
        <f aca="false">IF(AND(AE1263="yes",ISNUMBER(AD1263)),AD1263,"")</f>
        <v>88</v>
      </c>
      <c r="I1263" s="95" t="n">
        <f aca="false">IF(AND(AE1263="yes",ISNUMBER(AD1263),ISNUMBER(INDEX(Sources!$G$7:$G$10,MATCH(AB1263,Sources!$B$7:$B$10,0)))),ROUND(AD1263/INDEX(Sources!$G$7:$G$10,MATCH(AB1263,Sources!$B$7:$B$10,0)),6),"")</f>
        <v>3.60307</v>
      </c>
      <c r="J1263" s="98" t="s">
        <v>530</v>
      </c>
      <c r="K1263" s="98" t="s">
        <v>2059</v>
      </c>
      <c r="L1263" s="96"/>
      <c r="M1263" s="110" t="s">
        <v>4037</v>
      </c>
      <c r="N1263" s="117" t="s">
        <v>4038</v>
      </c>
      <c r="O1263" s="110" t="s">
        <v>1138</v>
      </c>
      <c r="P1263" s="110" t="s">
        <v>590</v>
      </c>
      <c r="Q1263" s="118" t="n">
        <v>0.21</v>
      </c>
      <c r="R1263" s="110" t="n">
        <v>1</v>
      </c>
      <c r="S1263" s="110" t="s">
        <v>632</v>
      </c>
      <c r="T1263" s="110" t="s">
        <v>530</v>
      </c>
      <c r="U1263" s="110" t="s">
        <v>2913</v>
      </c>
      <c r="V1263" s="119" t="n">
        <v>88</v>
      </c>
      <c r="W1263" s="119"/>
      <c r="X1263" s="110" t="s">
        <v>2063</v>
      </c>
      <c r="Y1263" s="110" t="s">
        <v>2064</v>
      </c>
      <c r="Z1263" s="110" t="s">
        <v>2989</v>
      </c>
      <c r="AA1263" s="110" t="s">
        <v>537</v>
      </c>
      <c r="AB1263" s="110" t="s">
        <v>333</v>
      </c>
      <c r="AC1263" s="110" t="s">
        <v>538</v>
      </c>
      <c r="AD1263" s="110" t="n">
        <f aca="false">IF(OR(F1263="",Q1263="",R1263=""),"",ROUND(IF(P1263="incl.",F1263/(1+Q1263),F1263)/IF(S1263="per pack",R1263,1),2))</f>
        <v>88</v>
      </c>
      <c r="AE1263" s="110" t="str">
        <f aca="false">IF(AND(AC1263="yes",ISNUMBER(F1263),IF(Compare!$H$5="All mapped",TRUE(),IF(Compare!$H$5="EXACT only",J1263="EXACT",OR(J1263="EXACT",J1263="CLOSE")))),"yes","no")</f>
        <v>yes</v>
      </c>
      <c r="AF1263" s="110" t="n">
        <f aca="false">IF(ISNUMBER(H1263),COUNTIFS($B$7:$B$3000,B1263,$C$7:$C$3000,C1263,$H$7:$H$3000,"&lt;"&amp;H1263,$AH$7:$AH$3000,"yes")+COUNTIFS($B$7:B1263,B1263,$C$7:C1263,C1263,$H$7:H1263,H1263,$AH$7:AH1263,"yes"),"")</f>
        <v>2</v>
      </c>
      <c r="AG1263" s="110" t="n">
        <f aca="false">IF(ISNUMBER(I1263),COUNTIFS($B$7:$B$3000,B1263,$C$7:$C$3000,C1263,$I$7:$I$3000,"&lt;"&amp;I1263,$AI$7:$AI$3000,"yes")+COUNTIFS($B$7:B1263,B1263,$C$7:C1263,C1263,$I$7:I1263,I1263,$AI$7:AI1263,"yes"),"")</f>
        <v>2</v>
      </c>
      <c r="AH1263" s="110" t="str">
        <f aca="false">IF(ISNUMBER(H1263),"yes","no")</f>
        <v>yes</v>
      </c>
      <c r="AI1263" s="110" t="str">
        <f aca="false">IF(ISNUMBER(I1263),"yes","no")</f>
        <v>yes</v>
      </c>
      <c r="AJ1263" s="120" t="n">
        <v>46297</v>
      </c>
      <c r="AK1263" s="110"/>
    </row>
    <row r="1264" customFormat="false" ht="46.25" hidden="false" customHeight="false" outlineLevel="0" collapsed="false">
      <c r="B1264" s="36" t="s">
        <v>79</v>
      </c>
      <c r="C1264" s="98" t="s">
        <v>17</v>
      </c>
      <c r="D1264" s="98" t="s">
        <v>346</v>
      </c>
      <c r="E1264" s="110" t="s">
        <v>4039</v>
      </c>
      <c r="F1264" s="99" t="n">
        <v>164</v>
      </c>
      <c r="G1264" s="98" t="s">
        <v>333</v>
      </c>
      <c r="H1264" s="112" t="n">
        <f aca="false">IF(AND(AE1264="yes",ISNUMBER(AD1264)),AD1264,"")</f>
        <v>164</v>
      </c>
      <c r="I1264" s="95" t="n">
        <f aca="false">IF(AND(AE1264="yes",ISNUMBER(AD1264),ISNUMBER(INDEX(Sources!$G$7:$G$10,MATCH(AB1264,Sources!$B$7:$B$10,0)))),ROUND(AD1264/INDEX(Sources!$G$7:$G$10,MATCH(AB1264,Sources!$B$7:$B$10,0)),6),"")</f>
        <v>6.714812</v>
      </c>
      <c r="J1264" s="98" t="s">
        <v>530</v>
      </c>
      <c r="K1264" s="98" t="s">
        <v>2059</v>
      </c>
      <c r="L1264" s="96"/>
      <c r="M1264" s="110" t="s">
        <v>4040</v>
      </c>
      <c r="N1264" s="117" t="s">
        <v>4041</v>
      </c>
      <c r="O1264" s="110" t="s">
        <v>565</v>
      </c>
      <c r="P1264" s="110" t="s">
        <v>590</v>
      </c>
      <c r="Q1264" s="118" t="n">
        <v>0.21</v>
      </c>
      <c r="R1264" s="110" t="n">
        <v>1</v>
      </c>
      <c r="S1264" s="110" t="s">
        <v>632</v>
      </c>
      <c r="T1264" s="110" t="s">
        <v>530</v>
      </c>
      <c r="U1264" s="110" t="s">
        <v>2913</v>
      </c>
      <c r="V1264" s="119" t="n">
        <v>164</v>
      </c>
      <c r="W1264" s="119"/>
      <c r="X1264" s="110" t="s">
        <v>2063</v>
      </c>
      <c r="Y1264" s="110" t="s">
        <v>2064</v>
      </c>
      <c r="Z1264" s="110" t="s">
        <v>2993</v>
      </c>
      <c r="AA1264" s="110" t="s">
        <v>537</v>
      </c>
      <c r="AB1264" s="110" t="s">
        <v>333</v>
      </c>
      <c r="AC1264" s="110" t="s">
        <v>538</v>
      </c>
      <c r="AD1264" s="110" t="n">
        <f aca="false">IF(OR(F1264="",Q1264="",R1264=""),"",ROUND(IF(P1264="incl.",F1264/(1+Q1264),F1264)/IF(S1264="per pack",R1264,1),2))</f>
        <v>164</v>
      </c>
      <c r="AE1264" s="110" t="str">
        <f aca="false">IF(AND(AC1264="yes",ISNUMBER(F1264),IF(Compare!$H$5="All mapped",TRUE(),IF(Compare!$H$5="EXACT only",J1264="EXACT",OR(J1264="EXACT",J1264="CLOSE")))),"yes","no")</f>
        <v>yes</v>
      </c>
      <c r="AF1264" s="110" t="n">
        <f aca="false">IF(ISNUMBER(H1264),COUNTIFS($B$7:$B$3000,B1264,$C$7:$C$3000,C1264,$H$7:$H$3000,"&lt;"&amp;H1264,$AH$7:$AH$3000,"yes")+COUNTIFS($B$7:B1264,B1264,$C$7:C1264,C1264,$H$7:H1264,H1264,$AH$7:AH1264,"yes"),"")</f>
        <v>5</v>
      </c>
      <c r="AG1264" s="110" t="n">
        <f aca="false">IF(ISNUMBER(I1264),COUNTIFS($B$7:$B$3000,B1264,$C$7:$C$3000,C1264,$I$7:$I$3000,"&lt;"&amp;I1264,$AI$7:$AI$3000,"yes")+COUNTIFS($B$7:B1264,B1264,$C$7:C1264,C1264,$I$7:I1264,I1264,$AI$7:AI1264,"yes"),"")</f>
        <v>5</v>
      </c>
      <c r="AH1264" s="110" t="str">
        <f aca="false">IF(ISNUMBER(H1264),"yes","no")</f>
        <v>yes</v>
      </c>
      <c r="AI1264" s="110" t="str">
        <f aca="false">IF(ISNUMBER(I1264),"yes","no")</f>
        <v>yes</v>
      </c>
      <c r="AJ1264" s="120" t="n">
        <v>46297</v>
      </c>
      <c r="AK1264" s="110"/>
    </row>
    <row r="1265" customFormat="false" ht="35.05" hidden="false" customHeight="false" outlineLevel="0" collapsed="false">
      <c r="B1265" s="36" t="s">
        <v>79</v>
      </c>
      <c r="C1265" s="98" t="s">
        <v>17</v>
      </c>
      <c r="D1265" s="98" t="s">
        <v>350</v>
      </c>
      <c r="E1265" s="110" t="s">
        <v>4042</v>
      </c>
      <c r="F1265" s="99" t="n">
        <v>97</v>
      </c>
      <c r="G1265" s="98" t="s">
        <v>333</v>
      </c>
      <c r="H1265" s="112" t="n">
        <f aca="false">IF(AND(AE1265="yes",ISNUMBER(AD1265)),AD1265,"")</f>
        <v>80.17</v>
      </c>
      <c r="I1265" s="95" t="n">
        <f aca="false">IF(AND(AE1265="yes",ISNUMBER(AD1265),ISNUMBER(INDEX(Sources!$G$7:$G$10,MATCH(AB1265,Sources!$B$7:$B$10,0)))),ROUND(AD1265/INDEX(Sources!$G$7:$G$10,MATCH(AB1265,Sources!$B$7:$B$10,0)),6),"")</f>
        <v>3.282479</v>
      </c>
      <c r="J1265" s="98" t="s">
        <v>530</v>
      </c>
      <c r="K1265" s="98" t="s">
        <v>2059</v>
      </c>
      <c r="L1265" s="96"/>
      <c r="M1265" s="110" t="s">
        <v>4043</v>
      </c>
      <c r="N1265" s="117" t="s">
        <v>4044</v>
      </c>
      <c r="O1265" s="110" t="s">
        <v>2997</v>
      </c>
      <c r="P1265" s="110" t="s">
        <v>265</v>
      </c>
      <c r="Q1265" s="118" t="n">
        <v>0.21</v>
      </c>
      <c r="R1265" s="110" t="n">
        <v>1</v>
      </c>
      <c r="S1265" s="110" t="s">
        <v>632</v>
      </c>
      <c r="T1265" s="110" t="s">
        <v>530</v>
      </c>
      <c r="U1265" s="110" t="s">
        <v>2918</v>
      </c>
      <c r="V1265" s="119" t="n">
        <v>80.17</v>
      </c>
      <c r="W1265" s="119"/>
      <c r="X1265" s="110" t="s">
        <v>2063</v>
      </c>
      <c r="Y1265" s="110" t="s">
        <v>2064</v>
      </c>
      <c r="Z1265" s="110" t="s">
        <v>2349</v>
      </c>
      <c r="AA1265" s="110" t="s">
        <v>537</v>
      </c>
      <c r="AB1265" s="110" t="s">
        <v>333</v>
      </c>
      <c r="AC1265" s="110" t="s">
        <v>538</v>
      </c>
      <c r="AD1265" s="110" t="n">
        <f aca="false">IF(OR(F1265="",Q1265="",R1265=""),"",ROUND(IF(P1265="incl.",F1265/(1+Q1265),F1265)/IF(S1265="per pack",R1265,1),2))</f>
        <v>80.17</v>
      </c>
      <c r="AE1265" s="110" t="str">
        <f aca="false">IF(AND(AC1265="yes",ISNUMBER(F1265),IF(Compare!$H$5="All mapped",TRUE(),IF(Compare!$H$5="EXACT only",J1265="EXACT",OR(J1265="EXACT",J1265="CLOSE")))),"yes","no")</f>
        <v>yes</v>
      </c>
      <c r="AF1265" s="110" t="n">
        <f aca="false">IF(ISNUMBER(H1265),COUNTIFS($B$7:$B$3000,B1265,$C$7:$C$3000,C1265,$H$7:$H$3000,"&lt;"&amp;H1265,$AH$7:$AH$3000,"yes")+COUNTIFS($B$7:B1265,B1265,$C$7:C1265,C1265,$H$7:H1265,H1265,$AH$7:AH1265,"yes"),"")</f>
        <v>1</v>
      </c>
      <c r="AG1265" s="110" t="n">
        <f aca="false">IF(ISNUMBER(I1265),COUNTIFS($B$7:$B$3000,B1265,$C$7:$C$3000,C1265,$I$7:$I$3000,"&lt;"&amp;I1265,$AI$7:$AI$3000,"yes")+COUNTIFS($B$7:B1265,B1265,$C$7:C1265,C1265,$I$7:I1265,I1265,$AI$7:AI1265,"yes"),"")</f>
        <v>1</v>
      </c>
      <c r="AH1265" s="110" t="str">
        <f aca="false">IF(ISNUMBER(H1265),"yes","no")</f>
        <v>yes</v>
      </c>
      <c r="AI1265" s="110" t="str">
        <f aca="false">IF(ISNUMBER(I1265),"yes","no")</f>
        <v>yes</v>
      </c>
      <c r="AJ1265" s="120" t="n">
        <v>46297</v>
      </c>
      <c r="AK1265" s="110"/>
    </row>
    <row r="1266" customFormat="false" ht="23.85" hidden="false" customHeight="false" outlineLevel="0" collapsed="false">
      <c r="B1266" s="36" t="s">
        <v>79</v>
      </c>
      <c r="C1266" s="98" t="s">
        <v>17</v>
      </c>
      <c r="D1266" s="98" t="s">
        <v>361</v>
      </c>
      <c r="E1266" s="110" t="s">
        <v>4045</v>
      </c>
      <c r="F1266" s="99" t="n">
        <v>152</v>
      </c>
      <c r="G1266" s="98" t="s">
        <v>333</v>
      </c>
      <c r="H1266" s="112" t="n">
        <f aca="false">IF(AND(AE1266="yes",ISNUMBER(AD1266)),AD1266,"")</f>
        <v>152</v>
      </c>
      <c r="I1266" s="95" t="n">
        <f aca="false">IF(AND(AE1266="yes",ISNUMBER(AD1266),ISNUMBER(INDEX(Sources!$G$7:$G$10,MATCH(AB1266,Sources!$B$7:$B$10,0)))),ROUND(AD1266/INDEX(Sources!$G$7:$G$10,MATCH(AB1266,Sources!$B$7:$B$10,0)),6),"")</f>
        <v>6.223485</v>
      </c>
      <c r="J1266" s="98" t="s">
        <v>530</v>
      </c>
      <c r="K1266" s="98" t="s">
        <v>2059</v>
      </c>
      <c r="L1266" s="96"/>
      <c r="M1266" s="110" t="s">
        <v>4046</v>
      </c>
      <c r="N1266" s="117" t="s">
        <v>4047</v>
      </c>
      <c r="O1266" s="110" t="s">
        <v>642</v>
      </c>
      <c r="P1266" s="110" t="s">
        <v>590</v>
      </c>
      <c r="Q1266" s="118" t="n">
        <v>0.21</v>
      </c>
      <c r="R1266" s="110" t="n">
        <v>1</v>
      </c>
      <c r="S1266" s="110" t="s">
        <v>632</v>
      </c>
      <c r="T1266" s="110" t="s">
        <v>530</v>
      </c>
      <c r="U1266" s="110" t="s">
        <v>2913</v>
      </c>
      <c r="V1266" s="119" t="n">
        <v>152</v>
      </c>
      <c r="W1266" s="119"/>
      <c r="X1266" s="110" t="s">
        <v>2063</v>
      </c>
      <c r="Y1266" s="110" t="s">
        <v>2064</v>
      </c>
      <c r="Z1266" s="110" t="s">
        <v>4048</v>
      </c>
      <c r="AA1266" s="110" t="s">
        <v>537</v>
      </c>
      <c r="AB1266" s="110" t="s">
        <v>333</v>
      </c>
      <c r="AC1266" s="110" t="s">
        <v>538</v>
      </c>
      <c r="AD1266" s="110" t="n">
        <f aca="false">IF(OR(F1266="",Q1266="",R1266=""),"",ROUND(IF(P1266="incl.",F1266/(1+Q1266),F1266)/IF(S1266="per pack",R1266,1),2))</f>
        <v>152</v>
      </c>
      <c r="AE1266" s="110" t="str">
        <f aca="false">IF(AND(AC1266="yes",ISNUMBER(F1266),IF(Compare!$H$5="All mapped",TRUE(),IF(Compare!$H$5="EXACT only",J1266="EXACT",OR(J1266="EXACT",J1266="CLOSE")))),"yes","no")</f>
        <v>yes</v>
      </c>
      <c r="AF1266" s="110" t="n">
        <f aca="false">IF(ISNUMBER(H1266),COUNTIFS($B$7:$B$3000,B1266,$C$7:$C$3000,C1266,$H$7:$H$3000,"&lt;"&amp;H1266,$AH$7:$AH$3000,"yes")+COUNTIFS($B$7:B1266,B1266,$C$7:C1266,C1266,$H$7:H1266,H1266,$AH$7:AH1266,"yes"),"")</f>
        <v>4</v>
      </c>
      <c r="AG1266" s="110" t="n">
        <f aca="false">IF(ISNUMBER(I1266),COUNTIFS($B$7:$B$3000,B1266,$C$7:$C$3000,C1266,$I$7:$I$3000,"&lt;"&amp;I1266,$AI$7:$AI$3000,"yes")+COUNTIFS($B$7:B1266,B1266,$C$7:C1266,C1266,$I$7:I1266,I1266,$AI$7:AI1266,"yes"),"")</f>
        <v>4</v>
      </c>
      <c r="AH1266" s="110" t="str">
        <f aca="false">IF(ISNUMBER(H1266),"yes","no")</f>
        <v>yes</v>
      </c>
      <c r="AI1266" s="110" t="str">
        <f aca="false">IF(ISNUMBER(I1266),"yes","no")</f>
        <v>yes</v>
      </c>
      <c r="AJ1266" s="120" t="n">
        <v>46297</v>
      </c>
      <c r="AK1266" s="110"/>
    </row>
    <row r="1267" customFormat="false" ht="23.85" hidden="false" customHeight="false" outlineLevel="0" collapsed="false">
      <c r="B1267" s="36" t="s">
        <v>79</v>
      </c>
      <c r="C1267" s="98" t="s">
        <v>18</v>
      </c>
      <c r="D1267" s="98" t="s">
        <v>3002</v>
      </c>
      <c r="E1267" s="110" t="s">
        <v>4049</v>
      </c>
      <c r="F1267" s="99" t="n">
        <v>5.35</v>
      </c>
      <c r="G1267" s="98" t="s">
        <v>244</v>
      </c>
      <c r="H1267" s="112" t="n">
        <f aca="false">IF(AND(AE1267="yes",ISNUMBER(AD1267)),AD1267,"")</f>
        <v>5.35</v>
      </c>
      <c r="I1267" s="95" t="n">
        <f aca="false">IF(AND(AE1267="yes",ISNUMBER(AD1267),ISNUMBER(INDEX(Sources!$G$7:$G$10,MATCH(AB1267,Sources!$B$7:$B$10,0)))),ROUND(AD1267/INDEX(Sources!$G$7:$G$10,MATCH(AB1267,Sources!$B$7:$B$10,0)),6),"")</f>
        <v>5.35</v>
      </c>
      <c r="J1267" s="98" t="s">
        <v>530</v>
      </c>
      <c r="K1267" s="98" t="s">
        <v>2059</v>
      </c>
      <c r="L1267" s="96"/>
      <c r="M1267" s="110" t="s">
        <v>4050</v>
      </c>
      <c r="N1267" s="117" t="s">
        <v>3005</v>
      </c>
      <c r="O1267" s="110" t="s">
        <v>2396</v>
      </c>
      <c r="P1267" s="110" t="s">
        <v>590</v>
      </c>
      <c r="Q1267" s="118" t="n">
        <v>0.23</v>
      </c>
      <c r="R1267" s="110" t="n">
        <v>1</v>
      </c>
      <c r="S1267" s="110" t="s">
        <v>632</v>
      </c>
      <c r="T1267" s="110" t="s">
        <v>530</v>
      </c>
      <c r="U1267" s="110" t="s">
        <v>2913</v>
      </c>
      <c r="V1267" s="119" t="n">
        <v>5.35</v>
      </c>
      <c r="W1267" s="119"/>
      <c r="X1267" s="110" t="s">
        <v>2063</v>
      </c>
      <c r="Y1267" s="110" t="s">
        <v>2064</v>
      </c>
      <c r="Z1267" s="110" t="s">
        <v>3346</v>
      </c>
      <c r="AA1267" s="110" t="s">
        <v>537</v>
      </c>
      <c r="AB1267" s="110" t="s">
        <v>244</v>
      </c>
      <c r="AC1267" s="110" t="s">
        <v>538</v>
      </c>
      <c r="AD1267" s="110" t="n">
        <f aca="false">IF(OR(F1267="",Q1267="",R1267=""),"",ROUND(IF(P1267="incl.",F1267/(1+Q1267),F1267)/IF(S1267="per pack",R1267,1),2))</f>
        <v>5.35</v>
      </c>
      <c r="AE1267" s="110" t="str">
        <f aca="false">IF(AND(AC1267="yes",ISNUMBER(F1267),IF(Compare!$H$5="All mapped",TRUE(),IF(Compare!$H$5="EXACT only",J1267="EXACT",OR(J1267="EXACT",J1267="CLOSE")))),"yes","no")</f>
        <v>yes</v>
      </c>
      <c r="AF1267" s="110" t="n">
        <f aca="false">IF(ISNUMBER(H1267),COUNTIFS($B$7:$B$3000,B1267,$C$7:$C$3000,C1267,$H$7:$H$3000,"&lt;"&amp;H1267,$AH$7:$AH$3000,"yes")+COUNTIFS($B$7:B1267,B1267,$C$7:C1267,C1267,$H$7:H1267,H1267,$AH$7:AH1267,"yes"),"")</f>
        <v>4</v>
      </c>
      <c r="AG1267" s="110" t="n">
        <f aca="false">IF(ISNUMBER(I1267),COUNTIFS($B$7:$B$3000,B1267,$C$7:$C$3000,C1267,$I$7:$I$3000,"&lt;"&amp;I1267,$AI$7:$AI$3000,"yes")+COUNTIFS($B$7:B1267,B1267,$C$7:C1267,C1267,$I$7:I1267,I1267,$AI$7:AI1267,"yes"),"")</f>
        <v>4</v>
      </c>
      <c r="AH1267" s="110" t="str">
        <f aca="false">IF(ISNUMBER(H1267),"yes","no")</f>
        <v>yes</v>
      </c>
      <c r="AI1267" s="110" t="str">
        <f aca="false">IF(ISNUMBER(I1267),"yes","no")</f>
        <v>yes</v>
      </c>
      <c r="AJ1267" s="120" t="n">
        <v>46297</v>
      </c>
      <c r="AK1267" s="110"/>
    </row>
    <row r="1268" customFormat="false" ht="23.85" hidden="false" customHeight="false" outlineLevel="0" collapsed="false">
      <c r="B1268" s="36" t="s">
        <v>79</v>
      </c>
      <c r="C1268" s="98" t="s">
        <v>18</v>
      </c>
      <c r="D1268" s="98" t="s">
        <v>3007</v>
      </c>
      <c r="E1268" s="110" t="s">
        <v>4051</v>
      </c>
      <c r="F1268" s="99" t="n">
        <v>3.97</v>
      </c>
      <c r="G1268" s="98" t="s">
        <v>244</v>
      </c>
      <c r="H1268" s="112" t="n">
        <f aca="false">IF(AND(AE1268="yes",ISNUMBER(AD1268)),AD1268,"")</f>
        <v>3.97</v>
      </c>
      <c r="I1268" s="95" t="n">
        <f aca="false">IF(AND(AE1268="yes",ISNUMBER(AD1268),ISNUMBER(INDEX(Sources!$G$7:$G$10,MATCH(AB1268,Sources!$B$7:$B$10,0)))),ROUND(AD1268/INDEX(Sources!$G$7:$G$10,MATCH(AB1268,Sources!$B$7:$B$10,0)),6),"")</f>
        <v>3.97</v>
      </c>
      <c r="J1268" s="98" t="s">
        <v>530</v>
      </c>
      <c r="K1268" s="98" t="s">
        <v>2059</v>
      </c>
      <c r="L1268" s="96"/>
      <c r="M1268" s="110" t="s">
        <v>4052</v>
      </c>
      <c r="N1268" s="117" t="s">
        <v>3010</v>
      </c>
      <c r="O1268" s="110" t="s">
        <v>3011</v>
      </c>
      <c r="P1268" s="110" t="s">
        <v>590</v>
      </c>
      <c r="Q1268" s="118" t="n">
        <v>0.23</v>
      </c>
      <c r="R1268" s="110" t="n">
        <v>1</v>
      </c>
      <c r="S1268" s="110" t="s">
        <v>632</v>
      </c>
      <c r="T1268" s="110" t="s">
        <v>530</v>
      </c>
      <c r="U1268" s="110" t="s">
        <v>2913</v>
      </c>
      <c r="V1268" s="119" t="n">
        <v>3.97</v>
      </c>
      <c r="W1268" s="119"/>
      <c r="X1268" s="110" t="s">
        <v>2063</v>
      </c>
      <c r="Y1268" s="110" t="s">
        <v>2064</v>
      </c>
      <c r="Z1268" s="110" t="s">
        <v>3012</v>
      </c>
      <c r="AA1268" s="110" t="s">
        <v>537</v>
      </c>
      <c r="AB1268" s="110" t="s">
        <v>244</v>
      </c>
      <c r="AC1268" s="110" t="s">
        <v>538</v>
      </c>
      <c r="AD1268" s="110" t="n">
        <f aca="false">IF(OR(F1268="",Q1268="",R1268=""),"",ROUND(IF(P1268="incl.",F1268/(1+Q1268),F1268)/IF(S1268="per pack",R1268,1),2))</f>
        <v>3.97</v>
      </c>
      <c r="AE1268" s="110" t="str">
        <f aca="false">IF(AND(AC1268="yes",ISNUMBER(F1268),IF(Compare!$H$5="All mapped",TRUE(),IF(Compare!$H$5="EXACT only",J1268="EXACT",OR(J1268="EXACT",J1268="CLOSE")))),"yes","no")</f>
        <v>yes</v>
      </c>
      <c r="AF1268" s="110" t="n">
        <f aca="false">IF(ISNUMBER(H1268),COUNTIFS($B$7:$B$3000,B1268,$C$7:$C$3000,C1268,$H$7:$H$3000,"&lt;"&amp;H1268,$AH$7:$AH$3000,"yes")+COUNTIFS($B$7:B1268,B1268,$C$7:C1268,C1268,$H$7:H1268,H1268,$AH$7:AH1268,"yes"),"")</f>
        <v>3</v>
      </c>
      <c r="AG1268" s="110" t="n">
        <f aca="false">IF(ISNUMBER(I1268),COUNTIFS($B$7:$B$3000,B1268,$C$7:$C$3000,C1268,$I$7:$I$3000,"&lt;"&amp;I1268,$AI$7:$AI$3000,"yes")+COUNTIFS($B$7:B1268,B1268,$C$7:C1268,C1268,$I$7:I1268,I1268,$AI$7:AI1268,"yes"),"")</f>
        <v>3</v>
      </c>
      <c r="AH1268" s="110" t="str">
        <f aca="false">IF(ISNUMBER(H1268),"yes","no")</f>
        <v>yes</v>
      </c>
      <c r="AI1268" s="110" t="str">
        <f aca="false">IF(ISNUMBER(I1268),"yes","no")</f>
        <v>yes</v>
      </c>
      <c r="AJ1268" s="120" t="n">
        <v>46297</v>
      </c>
      <c r="AK1268" s="110"/>
    </row>
    <row r="1269" customFormat="false" ht="35.05" hidden="false" customHeight="false" outlineLevel="0" collapsed="false">
      <c r="B1269" s="36" t="s">
        <v>79</v>
      </c>
      <c r="C1269" s="98" t="s">
        <v>18</v>
      </c>
      <c r="D1269" s="98" t="s">
        <v>365</v>
      </c>
      <c r="E1269" s="110" t="s">
        <v>4053</v>
      </c>
      <c r="F1269" s="99" t="n">
        <v>3.39</v>
      </c>
      <c r="G1269" s="98" t="s">
        <v>244</v>
      </c>
      <c r="H1269" s="112" t="n">
        <f aca="false">IF(AND(AE1269="yes",ISNUMBER(AD1269)),AD1269,"")</f>
        <v>2.76</v>
      </c>
      <c r="I1269" s="95" t="n">
        <f aca="false">IF(AND(AE1269="yes",ISNUMBER(AD1269),ISNUMBER(INDEX(Sources!$G$7:$G$10,MATCH(AB1269,Sources!$B$7:$B$10,0)))),ROUND(AD1269/INDEX(Sources!$G$7:$G$10,MATCH(AB1269,Sources!$B$7:$B$10,0)),6),"")</f>
        <v>2.76</v>
      </c>
      <c r="J1269" s="98" t="s">
        <v>530</v>
      </c>
      <c r="K1269" s="98" t="s">
        <v>2059</v>
      </c>
      <c r="L1269" s="96"/>
      <c r="M1269" s="110" t="s">
        <v>4054</v>
      </c>
      <c r="N1269" s="117" t="s">
        <v>4055</v>
      </c>
      <c r="O1269" s="110" t="s">
        <v>662</v>
      </c>
      <c r="P1269" s="110" t="s">
        <v>265</v>
      </c>
      <c r="Q1269" s="118" t="n">
        <v>0.23</v>
      </c>
      <c r="R1269" s="110" t="n">
        <v>1</v>
      </c>
      <c r="S1269" s="110" t="s">
        <v>632</v>
      </c>
      <c r="T1269" s="110" t="s">
        <v>530</v>
      </c>
      <c r="U1269" s="110" t="s">
        <v>2918</v>
      </c>
      <c r="V1269" s="119" t="n">
        <v>2.76</v>
      </c>
      <c r="W1269" s="119"/>
      <c r="X1269" s="110" t="s">
        <v>2063</v>
      </c>
      <c r="Y1269" s="110" t="s">
        <v>2064</v>
      </c>
      <c r="Z1269" s="110" t="s">
        <v>3016</v>
      </c>
      <c r="AA1269" s="110" t="s">
        <v>537</v>
      </c>
      <c r="AB1269" s="110" t="s">
        <v>244</v>
      </c>
      <c r="AC1269" s="110" t="s">
        <v>538</v>
      </c>
      <c r="AD1269" s="110" t="n">
        <f aca="false">IF(OR(F1269="",Q1269="",R1269=""),"",ROUND(IF(P1269="incl.",F1269/(1+Q1269),F1269)/IF(S1269="per pack",R1269,1),2))</f>
        <v>2.76</v>
      </c>
      <c r="AE1269" s="110" t="str">
        <f aca="false">IF(AND(AC1269="yes",ISNUMBER(F1269),IF(Compare!$H$5="All mapped",TRUE(),IF(Compare!$H$5="EXACT only",J1269="EXACT",OR(J1269="EXACT",J1269="CLOSE")))),"yes","no")</f>
        <v>yes</v>
      </c>
      <c r="AF1269" s="110" t="n">
        <f aca="false">IF(ISNUMBER(H1269),COUNTIFS($B$7:$B$3000,B1269,$C$7:$C$3000,C1269,$H$7:$H$3000,"&lt;"&amp;H1269,$AH$7:$AH$3000,"yes")+COUNTIFS($B$7:B1269,B1269,$C$7:C1269,C1269,$H$7:H1269,H1269,$AH$7:AH1269,"yes"),"")</f>
        <v>1</v>
      </c>
      <c r="AG1269" s="110" t="n">
        <f aca="false">IF(ISNUMBER(I1269),COUNTIFS($B$7:$B$3000,B1269,$C$7:$C$3000,C1269,$I$7:$I$3000,"&lt;"&amp;I1269,$AI$7:$AI$3000,"yes")+COUNTIFS($B$7:B1269,B1269,$C$7:C1269,C1269,$I$7:I1269,I1269,$AI$7:AI1269,"yes"),"")</f>
        <v>1</v>
      </c>
      <c r="AH1269" s="110" t="str">
        <f aca="false">IF(ISNUMBER(H1269),"yes","no")</f>
        <v>yes</v>
      </c>
      <c r="AI1269" s="110" t="str">
        <f aca="false">IF(ISNUMBER(I1269),"yes","no")</f>
        <v>yes</v>
      </c>
      <c r="AJ1269" s="120" t="n">
        <v>46297</v>
      </c>
      <c r="AK1269" s="110"/>
    </row>
    <row r="1270" customFormat="false" ht="35.05" hidden="false" customHeight="false" outlineLevel="0" collapsed="false">
      <c r="B1270" s="36" t="s">
        <v>79</v>
      </c>
      <c r="C1270" s="98" t="s">
        <v>18</v>
      </c>
      <c r="D1270" s="98" t="s">
        <v>369</v>
      </c>
      <c r="E1270" s="110" t="s">
        <v>4056</v>
      </c>
      <c r="F1270" s="99" t="n">
        <v>11.18</v>
      </c>
      <c r="G1270" s="98" t="s">
        <v>244</v>
      </c>
      <c r="H1270" s="112" t="n">
        <f aca="false">IF(AND(AE1270="yes",ISNUMBER(AD1270)),AD1270,"")</f>
        <v>9.09</v>
      </c>
      <c r="I1270" s="95" t="n">
        <f aca="false">IF(AND(AE1270="yes",ISNUMBER(AD1270),ISNUMBER(INDEX(Sources!$G$7:$G$10,MATCH(AB1270,Sources!$B$7:$B$10,0)))),ROUND(AD1270/INDEX(Sources!$G$7:$G$10,MATCH(AB1270,Sources!$B$7:$B$10,0)),6),"")</f>
        <v>9.09</v>
      </c>
      <c r="J1270" s="98" t="s">
        <v>530</v>
      </c>
      <c r="K1270" s="98" t="s">
        <v>2059</v>
      </c>
      <c r="L1270" s="96"/>
      <c r="M1270" s="110" t="s">
        <v>4057</v>
      </c>
      <c r="N1270" s="117" t="s">
        <v>4058</v>
      </c>
      <c r="O1270" s="110" t="s">
        <v>783</v>
      </c>
      <c r="P1270" s="110" t="s">
        <v>265</v>
      </c>
      <c r="Q1270" s="118" t="n">
        <v>0.23</v>
      </c>
      <c r="R1270" s="110" t="n">
        <v>1</v>
      </c>
      <c r="S1270" s="110" t="s">
        <v>632</v>
      </c>
      <c r="T1270" s="110" t="s">
        <v>530</v>
      </c>
      <c r="U1270" s="110" t="s">
        <v>2918</v>
      </c>
      <c r="V1270" s="119" t="n">
        <v>9.09</v>
      </c>
      <c r="W1270" s="119"/>
      <c r="X1270" s="110" t="s">
        <v>2063</v>
      </c>
      <c r="Y1270" s="110" t="s">
        <v>2064</v>
      </c>
      <c r="Z1270" s="110" t="s">
        <v>3831</v>
      </c>
      <c r="AA1270" s="110" t="s">
        <v>537</v>
      </c>
      <c r="AB1270" s="110" t="s">
        <v>244</v>
      </c>
      <c r="AC1270" s="110" t="s">
        <v>538</v>
      </c>
      <c r="AD1270" s="110" t="n">
        <f aca="false">IF(OR(F1270="",Q1270="",R1270=""),"",ROUND(IF(P1270="incl.",F1270/(1+Q1270),F1270)/IF(S1270="per pack",R1270,1),2))</f>
        <v>9.09</v>
      </c>
      <c r="AE1270" s="110" t="str">
        <f aca="false">IF(AND(AC1270="yes",ISNUMBER(F1270),IF(Compare!$H$5="All mapped",TRUE(),IF(Compare!$H$5="EXACT only",J1270="EXACT",OR(J1270="EXACT",J1270="CLOSE")))),"yes","no")</f>
        <v>yes</v>
      </c>
      <c r="AF1270" s="110" t="n">
        <f aca="false">IF(ISNUMBER(H1270),COUNTIFS($B$7:$B$3000,B1270,$C$7:$C$3000,C1270,$H$7:$H$3000,"&lt;"&amp;H1270,$AH$7:$AH$3000,"yes")+COUNTIFS($B$7:B1270,B1270,$C$7:C1270,C1270,$H$7:H1270,H1270,$AH$7:AH1270,"yes"),"")</f>
        <v>5</v>
      </c>
      <c r="AG1270" s="110" t="n">
        <f aca="false">IF(ISNUMBER(I1270),COUNTIFS($B$7:$B$3000,B1270,$C$7:$C$3000,C1270,$I$7:$I$3000,"&lt;"&amp;I1270,$AI$7:$AI$3000,"yes")+COUNTIFS($B$7:B1270,B1270,$C$7:C1270,C1270,$I$7:I1270,I1270,$AI$7:AI1270,"yes"),"")</f>
        <v>5</v>
      </c>
      <c r="AH1270" s="110" t="str">
        <f aca="false">IF(ISNUMBER(H1270),"yes","no")</f>
        <v>yes</v>
      </c>
      <c r="AI1270" s="110" t="str">
        <f aca="false">IF(ISNUMBER(I1270),"yes","no")</f>
        <v>yes</v>
      </c>
      <c r="AJ1270" s="120" t="n">
        <v>46297</v>
      </c>
      <c r="AK1270" s="110"/>
    </row>
    <row r="1271" customFormat="false" ht="35.05" hidden="false" customHeight="false" outlineLevel="0" collapsed="false">
      <c r="B1271" s="36" t="s">
        <v>79</v>
      </c>
      <c r="C1271" s="98" t="s">
        <v>18</v>
      </c>
      <c r="D1271" s="98" t="s">
        <v>3021</v>
      </c>
      <c r="E1271" s="110" t="s">
        <v>4045</v>
      </c>
      <c r="F1271" s="99" t="n">
        <v>3.24</v>
      </c>
      <c r="G1271" s="98" t="s">
        <v>244</v>
      </c>
      <c r="H1271" s="112" t="n">
        <f aca="false">IF(AND(AE1271="yes",ISNUMBER(AD1271)),AD1271,"")</f>
        <v>3.24</v>
      </c>
      <c r="I1271" s="95" t="n">
        <f aca="false">IF(AND(AE1271="yes",ISNUMBER(AD1271),ISNUMBER(INDEX(Sources!$G$7:$G$10,MATCH(AB1271,Sources!$B$7:$B$10,0)))),ROUND(AD1271/INDEX(Sources!$G$7:$G$10,MATCH(AB1271,Sources!$B$7:$B$10,0)),6),"")</f>
        <v>3.24</v>
      </c>
      <c r="J1271" s="98" t="s">
        <v>530</v>
      </c>
      <c r="K1271" s="98" t="s">
        <v>2059</v>
      </c>
      <c r="L1271" s="96"/>
      <c r="M1271" s="110" t="s">
        <v>4059</v>
      </c>
      <c r="N1271" s="117" t="s">
        <v>3023</v>
      </c>
      <c r="O1271" s="110" t="s">
        <v>3024</v>
      </c>
      <c r="P1271" s="110" t="s">
        <v>590</v>
      </c>
      <c r="Q1271" s="118" t="n">
        <v>0.23</v>
      </c>
      <c r="R1271" s="110" t="n">
        <v>1</v>
      </c>
      <c r="S1271" s="110" t="s">
        <v>632</v>
      </c>
      <c r="T1271" s="110" t="s">
        <v>530</v>
      </c>
      <c r="U1271" s="110" t="s">
        <v>2913</v>
      </c>
      <c r="V1271" s="119" t="n">
        <v>3.24</v>
      </c>
      <c r="W1271" s="119"/>
      <c r="X1271" s="110" t="s">
        <v>2063</v>
      </c>
      <c r="Y1271" s="110" t="s">
        <v>2064</v>
      </c>
      <c r="Z1271" s="110" t="s">
        <v>3025</v>
      </c>
      <c r="AA1271" s="110" t="s">
        <v>537</v>
      </c>
      <c r="AB1271" s="110" t="s">
        <v>244</v>
      </c>
      <c r="AC1271" s="110" t="s">
        <v>538</v>
      </c>
      <c r="AD1271" s="110" t="n">
        <f aca="false">IF(OR(F1271="",Q1271="",R1271=""),"",ROUND(IF(P1271="incl.",F1271/(1+Q1271),F1271)/IF(S1271="per pack",R1271,1),2))</f>
        <v>3.24</v>
      </c>
      <c r="AE1271" s="110" t="str">
        <f aca="false">IF(AND(AC1271="yes",ISNUMBER(F1271),IF(Compare!$H$5="All mapped",TRUE(),IF(Compare!$H$5="EXACT only",J1271="EXACT",OR(J1271="EXACT",J1271="CLOSE")))),"yes","no")</f>
        <v>yes</v>
      </c>
      <c r="AF1271" s="110" t="n">
        <f aca="false">IF(ISNUMBER(H1271),COUNTIFS($B$7:$B$3000,B1271,$C$7:$C$3000,C1271,$H$7:$H$3000,"&lt;"&amp;H1271,$AH$7:$AH$3000,"yes")+COUNTIFS($B$7:B1271,B1271,$C$7:C1271,C1271,$H$7:H1271,H1271,$AH$7:AH1271,"yes"),"")</f>
        <v>2</v>
      </c>
      <c r="AG1271" s="110" t="n">
        <f aca="false">IF(ISNUMBER(I1271),COUNTIFS($B$7:$B$3000,B1271,$C$7:$C$3000,C1271,$I$7:$I$3000,"&lt;"&amp;I1271,$AI$7:$AI$3000,"yes")+COUNTIFS($B$7:B1271,B1271,$C$7:C1271,C1271,$I$7:I1271,I1271,$AI$7:AI1271,"yes"),"")</f>
        <v>2</v>
      </c>
      <c r="AH1271" s="110" t="str">
        <f aca="false">IF(ISNUMBER(H1271),"yes","no")</f>
        <v>yes</v>
      </c>
      <c r="AI1271" s="110" t="str">
        <f aca="false">IF(ISNUMBER(I1271),"yes","no")</f>
        <v>yes</v>
      </c>
      <c r="AJ1271" s="120" t="n">
        <v>46297</v>
      </c>
      <c r="AK1271" s="110"/>
    </row>
    <row r="1272" customFormat="false" ht="35.05" hidden="false" customHeight="false" outlineLevel="0" collapsed="false">
      <c r="B1272" s="36" t="s">
        <v>80</v>
      </c>
      <c r="C1272" s="98" t="s">
        <v>14</v>
      </c>
      <c r="D1272" s="98" t="s">
        <v>373</v>
      </c>
      <c r="E1272" s="110" t="s">
        <v>4060</v>
      </c>
      <c r="F1272" s="99" t="n">
        <v>29.3</v>
      </c>
      <c r="G1272" s="98" t="s">
        <v>374</v>
      </c>
      <c r="H1272" s="112" t="n">
        <f aca="false">IF(AND(AE1272="yes",ISNUMBER(AD1272)),AD1272,"")</f>
        <v>29.3</v>
      </c>
      <c r="I1272" s="95" t="n">
        <f aca="false">IF(AND(AE1272="yes",ISNUMBER(AD1272),ISNUMBER(INDEX(Sources!$G$7:$G$10,MATCH(AB1272,Sources!$B$7:$B$10,0)))),ROUND(AD1272/INDEX(Sources!$G$7:$G$10,MATCH(AB1272,Sources!$B$7:$B$10,0)),6),"")</f>
        <v>5.551722</v>
      </c>
      <c r="J1272" s="98" t="s">
        <v>530</v>
      </c>
      <c r="K1272" s="98" t="s">
        <v>2059</v>
      </c>
      <c r="L1272" s="96"/>
      <c r="M1272" s="110" t="s">
        <v>4061</v>
      </c>
      <c r="N1272" s="117" t="s">
        <v>3903</v>
      </c>
      <c r="O1272" s="110" t="s">
        <v>2912</v>
      </c>
      <c r="P1272" s="110" t="s">
        <v>590</v>
      </c>
      <c r="Q1272" s="118" t="n">
        <v>0.21</v>
      </c>
      <c r="R1272" s="110" t="n">
        <v>1</v>
      </c>
      <c r="S1272" s="110" t="s">
        <v>632</v>
      </c>
      <c r="T1272" s="110" t="s">
        <v>530</v>
      </c>
      <c r="U1272" s="110" t="s">
        <v>2913</v>
      </c>
      <c r="V1272" s="119" t="n">
        <v>29.3</v>
      </c>
      <c r="W1272" s="119"/>
      <c r="X1272" s="110" t="s">
        <v>2063</v>
      </c>
      <c r="Y1272" s="110" t="s">
        <v>2064</v>
      </c>
      <c r="Z1272" s="110"/>
      <c r="AA1272" s="110" t="s">
        <v>537</v>
      </c>
      <c r="AB1272" s="110" t="s">
        <v>374</v>
      </c>
      <c r="AC1272" s="110" t="s">
        <v>538</v>
      </c>
      <c r="AD1272" s="110" t="n">
        <f aca="false">IF(OR(F1272="",Q1272="",R1272=""),"",ROUND(IF(P1272="incl.",F1272/(1+Q1272),F1272)/IF(S1272="per pack",R1272,1),2))</f>
        <v>29.3</v>
      </c>
      <c r="AE1272" s="110" t="str">
        <f aca="false">IF(AND(AC1272="yes",ISNUMBER(F1272),IF(Compare!$H$5="All mapped",TRUE(),IF(Compare!$H$5="EXACT only",J1272="EXACT",OR(J1272="EXACT",J1272="CLOSE")))),"yes","no")</f>
        <v>yes</v>
      </c>
      <c r="AF1272" s="110" t="n">
        <f aca="false">IF(ISNUMBER(H1272),COUNTIFS($B$7:$B$3000,B1272,$C$7:$C$3000,C1272,$H$7:$H$3000,"&lt;"&amp;H1272,$AH$7:$AH$3000,"yes")+COUNTIFS($B$7:B1272,B1272,$C$7:C1272,C1272,$H$7:H1272,H1272,$AH$7:AH1272,"yes"),"")</f>
        <v>3</v>
      </c>
      <c r="AG1272" s="110" t="n">
        <f aca="false">IF(ISNUMBER(I1272),COUNTIFS($B$7:$B$3000,B1272,$C$7:$C$3000,C1272,$I$7:$I$3000,"&lt;"&amp;I1272,$AI$7:$AI$3000,"yes")+COUNTIFS($B$7:B1272,B1272,$C$7:C1272,C1272,$I$7:I1272,I1272,$AI$7:AI1272,"yes"),"")</f>
        <v>3</v>
      </c>
      <c r="AH1272" s="110" t="str">
        <f aca="false">IF(ISNUMBER(H1272),"yes","no")</f>
        <v>yes</v>
      </c>
      <c r="AI1272" s="110" t="str">
        <f aca="false">IF(ISNUMBER(I1272),"yes","no")</f>
        <v>yes</v>
      </c>
      <c r="AJ1272" s="120" t="n">
        <v>46297</v>
      </c>
      <c r="AK1272" s="110"/>
    </row>
    <row r="1273" customFormat="false" ht="23.85" hidden="false" customHeight="false" outlineLevel="0" collapsed="false">
      <c r="B1273" s="36" t="s">
        <v>80</v>
      </c>
      <c r="C1273" s="98" t="s">
        <v>14</v>
      </c>
      <c r="D1273" s="98" t="s">
        <v>378</v>
      </c>
      <c r="E1273" s="110" t="s">
        <v>4062</v>
      </c>
      <c r="F1273" s="99" t="n">
        <v>40.15</v>
      </c>
      <c r="G1273" s="98" t="s">
        <v>374</v>
      </c>
      <c r="H1273" s="112" t="n">
        <f aca="false">IF(AND(AE1273="yes",ISNUMBER(AD1273)),AD1273,"")</f>
        <v>33.18</v>
      </c>
      <c r="I1273" s="95" t="n">
        <f aca="false">IF(AND(AE1273="yes",ISNUMBER(AD1273),ISNUMBER(INDEX(Sources!$G$7:$G$10,MATCH(AB1273,Sources!$B$7:$B$10,0)))),ROUND(AD1273/INDEX(Sources!$G$7:$G$10,MATCH(AB1273,Sources!$B$7:$B$10,0)),6),"")</f>
        <v>6.286899</v>
      </c>
      <c r="J1273" s="98" t="s">
        <v>530</v>
      </c>
      <c r="K1273" s="98" t="s">
        <v>2059</v>
      </c>
      <c r="L1273" s="96"/>
      <c r="M1273" s="110" t="s">
        <v>4063</v>
      </c>
      <c r="N1273" s="117" t="s">
        <v>4064</v>
      </c>
      <c r="O1273" s="110" t="s">
        <v>2917</v>
      </c>
      <c r="P1273" s="110" t="s">
        <v>265</v>
      </c>
      <c r="Q1273" s="118" t="n">
        <v>0.21</v>
      </c>
      <c r="R1273" s="110" t="n">
        <v>1</v>
      </c>
      <c r="S1273" s="110" t="s">
        <v>632</v>
      </c>
      <c r="T1273" s="110" t="s">
        <v>530</v>
      </c>
      <c r="U1273" s="110" t="s">
        <v>2918</v>
      </c>
      <c r="V1273" s="119" t="n">
        <v>33.18</v>
      </c>
      <c r="W1273" s="119"/>
      <c r="X1273" s="110" t="s">
        <v>2063</v>
      </c>
      <c r="Y1273" s="110" t="s">
        <v>2064</v>
      </c>
      <c r="Z1273" s="110"/>
      <c r="AA1273" s="110" t="s">
        <v>537</v>
      </c>
      <c r="AB1273" s="110" t="s">
        <v>374</v>
      </c>
      <c r="AC1273" s="110" t="s">
        <v>538</v>
      </c>
      <c r="AD1273" s="110" t="n">
        <f aca="false">IF(OR(F1273="",Q1273="",R1273=""),"",ROUND(IF(P1273="incl.",F1273/(1+Q1273),F1273)/IF(S1273="per pack",R1273,1),2))</f>
        <v>33.18</v>
      </c>
      <c r="AE1273" s="110" t="str">
        <f aca="false">IF(AND(AC1273="yes",ISNUMBER(F1273),IF(Compare!$H$5="All mapped",TRUE(),IF(Compare!$H$5="EXACT only",J1273="EXACT",OR(J1273="EXACT",J1273="CLOSE")))),"yes","no")</f>
        <v>yes</v>
      </c>
      <c r="AF1273" s="110" t="n">
        <f aca="false">IF(ISNUMBER(H1273),COUNTIFS($B$7:$B$3000,B1273,$C$7:$C$3000,C1273,$H$7:$H$3000,"&lt;"&amp;H1273,$AH$7:$AH$3000,"yes")+COUNTIFS($B$7:B1273,B1273,$C$7:C1273,C1273,$H$7:H1273,H1273,$AH$7:AH1273,"yes"),"")</f>
        <v>4</v>
      </c>
      <c r="AG1273" s="110" t="n">
        <f aca="false">IF(ISNUMBER(I1273),COUNTIFS($B$7:$B$3000,B1273,$C$7:$C$3000,C1273,$I$7:$I$3000,"&lt;"&amp;I1273,$AI$7:$AI$3000,"yes")+COUNTIFS($B$7:B1273,B1273,$C$7:C1273,C1273,$I$7:I1273,I1273,$AI$7:AI1273,"yes"),"")</f>
        <v>4</v>
      </c>
      <c r="AH1273" s="110" t="str">
        <f aca="false">IF(ISNUMBER(H1273),"yes","no")</f>
        <v>yes</v>
      </c>
      <c r="AI1273" s="110" t="str">
        <f aca="false">IF(ISNUMBER(I1273),"yes","no")</f>
        <v>yes</v>
      </c>
      <c r="AJ1273" s="120" t="n">
        <v>46297</v>
      </c>
      <c r="AK1273" s="110"/>
    </row>
    <row r="1274" customFormat="false" ht="23.85" hidden="false" customHeight="false" outlineLevel="0" collapsed="false">
      <c r="B1274" s="36" t="s">
        <v>80</v>
      </c>
      <c r="C1274" s="98" t="s">
        <v>14</v>
      </c>
      <c r="D1274" s="98" t="s">
        <v>391</v>
      </c>
      <c r="E1274" s="110" t="s">
        <v>4065</v>
      </c>
      <c r="F1274" s="99" t="n">
        <v>33.5</v>
      </c>
      <c r="G1274" s="98" t="s">
        <v>374</v>
      </c>
      <c r="H1274" s="112" t="n">
        <f aca="false">IF(AND(AE1274="yes",ISNUMBER(AD1274)),AD1274,"")</f>
        <v>33.5</v>
      </c>
      <c r="I1274" s="95" t="n">
        <f aca="false">IF(AND(AE1274="yes",ISNUMBER(AD1274),ISNUMBER(INDEX(Sources!$G$7:$G$10,MATCH(AB1274,Sources!$B$7:$B$10,0)))),ROUND(AD1274/INDEX(Sources!$G$7:$G$10,MATCH(AB1274,Sources!$B$7:$B$10,0)),6),"")</f>
        <v>6.347532</v>
      </c>
      <c r="J1274" s="98" t="s">
        <v>530</v>
      </c>
      <c r="K1274" s="98" t="s">
        <v>2059</v>
      </c>
      <c r="L1274" s="96"/>
      <c r="M1274" s="110" t="s">
        <v>4066</v>
      </c>
      <c r="N1274" s="117" t="s">
        <v>4067</v>
      </c>
      <c r="O1274" s="110" t="s">
        <v>4068</v>
      </c>
      <c r="P1274" s="110" t="s">
        <v>590</v>
      </c>
      <c r="Q1274" s="118" t="n">
        <v>0.21</v>
      </c>
      <c r="R1274" s="110" t="n">
        <v>1</v>
      </c>
      <c r="S1274" s="110" t="s">
        <v>632</v>
      </c>
      <c r="T1274" s="110" t="s">
        <v>530</v>
      </c>
      <c r="U1274" s="110" t="s">
        <v>2913</v>
      </c>
      <c r="V1274" s="119" t="n">
        <v>33.5</v>
      </c>
      <c r="W1274" s="119"/>
      <c r="X1274" s="110" t="s">
        <v>2063</v>
      </c>
      <c r="Y1274" s="110" t="s">
        <v>2064</v>
      </c>
      <c r="Z1274" s="110" t="s">
        <v>2125</v>
      </c>
      <c r="AA1274" s="110" t="s">
        <v>537</v>
      </c>
      <c r="AB1274" s="110" t="s">
        <v>374</v>
      </c>
      <c r="AC1274" s="110" t="s">
        <v>538</v>
      </c>
      <c r="AD1274" s="110" t="n">
        <f aca="false">IF(OR(F1274="",Q1274="",R1274=""),"",ROUND(IF(P1274="incl.",F1274/(1+Q1274),F1274)/IF(S1274="per pack",R1274,1),2))</f>
        <v>33.5</v>
      </c>
      <c r="AE1274" s="110" t="str">
        <f aca="false">IF(AND(AC1274="yes",ISNUMBER(F1274),IF(Compare!$H$5="All mapped",TRUE(),IF(Compare!$H$5="EXACT only",J1274="EXACT",OR(J1274="EXACT",J1274="CLOSE")))),"yes","no")</f>
        <v>yes</v>
      </c>
      <c r="AF1274" s="110" t="n">
        <f aca="false">IF(ISNUMBER(H1274),COUNTIFS($B$7:$B$3000,B1274,$C$7:$C$3000,C1274,$H$7:$H$3000,"&lt;"&amp;H1274,$AH$7:$AH$3000,"yes")+COUNTIFS($B$7:B1274,B1274,$C$7:C1274,C1274,$H$7:H1274,H1274,$AH$7:AH1274,"yes"),"")</f>
        <v>5</v>
      </c>
      <c r="AG1274" s="110" t="n">
        <f aca="false">IF(ISNUMBER(I1274),COUNTIFS($B$7:$B$3000,B1274,$C$7:$C$3000,C1274,$I$7:$I$3000,"&lt;"&amp;I1274,$AI$7:$AI$3000,"yes")+COUNTIFS($B$7:B1274,B1274,$C$7:C1274,C1274,$I$7:I1274,I1274,$AI$7:AI1274,"yes"),"")</f>
        <v>5</v>
      </c>
      <c r="AH1274" s="110" t="str">
        <f aca="false">IF(ISNUMBER(H1274),"yes","no")</f>
        <v>yes</v>
      </c>
      <c r="AI1274" s="110" t="str">
        <f aca="false">IF(ISNUMBER(I1274),"yes","no")</f>
        <v>yes</v>
      </c>
      <c r="AJ1274" s="120" t="n">
        <v>46297</v>
      </c>
      <c r="AK1274" s="110"/>
    </row>
    <row r="1275" customFormat="false" ht="23.85" hidden="false" customHeight="false" outlineLevel="0" collapsed="false">
      <c r="B1275" s="36" t="s">
        <v>80</v>
      </c>
      <c r="C1275" s="98" t="s">
        <v>14</v>
      </c>
      <c r="D1275" s="98" t="s">
        <v>395</v>
      </c>
      <c r="E1275" s="110" t="s">
        <v>4069</v>
      </c>
      <c r="F1275" s="99" t="n">
        <v>2.79</v>
      </c>
      <c r="G1275" s="98" t="s">
        <v>244</v>
      </c>
      <c r="H1275" s="112" t="n">
        <f aca="false">IF(AND(AE1275="yes",ISNUMBER(AD1275)),AD1275,"")</f>
        <v>2.79</v>
      </c>
      <c r="I1275" s="95" t="n">
        <f aca="false">IF(AND(AE1275="yes",ISNUMBER(AD1275),ISNUMBER(INDEX(Sources!$G$7:$G$10,MATCH(AB1275,Sources!$B$7:$B$10,0)))),ROUND(AD1275/INDEX(Sources!$G$7:$G$10,MATCH(AB1275,Sources!$B$7:$B$10,0)),6),"")</f>
        <v>2.79</v>
      </c>
      <c r="J1275" s="98" t="s">
        <v>530</v>
      </c>
      <c r="K1275" s="98" t="s">
        <v>2059</v>
      </c>
      <c r="L1275" s="96"/>
      <c r="M1275" s="110" t="s">
        <v>4070</v>
      </c>
      <c r="N1275" s="117" t="s">
        <v>4071</v>
      </c>
      <c r="O1275" s="110" t="s">
        <v>572</v>
      </c>
      <c r="P1275" s="110" t="s">
        <v>590</v>
      </c>
      <c r="Q1275" s="118" t="n">
        <v>0.21</v>
      </c>
      <c r="R1275" s="110" t="n">
        <v>1</v>
      </c>
      <c r="S1275" s="110" t="s">
        <v>632</v>
      </c>
      <c r="T1275" s="110" t="s">
        <v>530</v>
      </c>
      <c r="U1275" s="110" t="s">
        <v>2913</v>
      </c>
      <c r="V1275" s="119" t="n">
        <v>2.79</v>
      </c>
      <c r="W1275" s="119"/>
      <c r="X1275" s="110" t="s">
        <v>2063</v>
      </c>
      <c r="Y1275" s="110" t="s">
        <v>2064</v>
      </c>
      <c r="Z1275" s="110" t="s">
        <v>2925</v>
      </c>
      <c r="AA1275" s="110" t="s">
        <v>537</v>
      </c>
      <c r="AB1275" s="110" t="s">
        <v>244</v>
      </c>
      <c r="AC1275" s="110" t="s">
        <v>538</v>
      </c>
      <c r="AD1275" s="110" t="n">
        <f aca="false">IF(OR(F1275="",Q1275="",R1275=""),"",ROUND(IF(P1275="incl.",F1275/(1+Q1275),F1275)/IF(S1275="per pack",R1275,1),2))</f>
        <v>2.79</v>
      </c>
      <c r="AE1275" s="110" t="str">
        <f aca="false">IF(AND(AC1275="yes",ISNUMBER(F1275),IF(Compare!$H$5="All mapped",TRUE(),IF(Compare!$H$5="EXACT only",J1275="EXACT",OR(J1275="EXACT",J1275="CLOSE")))),"yes","no")</f>
        <v>yes</v>
      </c>
      <c r="AF1275" s="110" t="n">
        <f aca="false">IF(ISNUMBER(H1275),COUNTIFS($B$7:$B$3000,B1275,$C$7:$C$3000,C1275,$H$7:$H$3000,"&lt;"&amp;H1275,$AH$7:$AH$3000,"yes")+COUNTIFS($B$7:B1275,B1275,$C$7:C1275,C1275,$H$7:H1275,H1275,$AH$7:AH1275,"yes"),"")</f>
        <v>1</v>
      </c>
      <c r="AG1275" s="110" t="n">
        <f aca="false">IF(ISNUMBER(I1275),COUNTIFS($B$7:$B$3000,B1275,$C$7:$C$3000,C1275,$I$7:$I$3000,"&lt;"&amp;I1275,$AI$7:$AI$3000,"yes")+COUNTIFS($B$7:B1275,B1275,$C$7:C1275,C1275,$I$7:I1275,I1275,$AI$7:AI1275,"yes"),"")</f>
        <v>1</v>
      </c>
      <c r="AH1275" s="110" t="str">
        <f aca="false">IF(ISNUMBER(H1275),"yes","no")</f>
        <v>yes</v>
      </c>
      <c r="AI1275" s="110" t="str">
        <f aca="false">IF(ISNUMBER(I1275),"yes","no")</f>
        <v>yes</v>
      </c>
      <c r="AJ1275" s="120" t="n">
        <v>46297</v>
      </c>
      <c r="AK1275" s="110"/>
    </row>
    <row r="1276" customFormat="false" ht="23.85" hidden="false" customHeight="false" outlineLevel="0" collapsed="false">
      <c r="B1276" s="36" t="s">
        <v>80</v>
      </c>
      <c r="C1276" s="98" t="s">
        <v>14</v>
      </c>
      <c r="D1276" s="98" t="s">
        <v>403</v>
      </c>
      <c r="E1276" s="110" t="s">
        <v>4072</v>
      </c>
      <c r="F1276" s="99" t="n">
        <v>28.81</v>
      </c>
      <c r="G1276" s="98" t="s">
        <v>374</v>
      </c>
      <c r="H1276" s="112" t="n">
        <f aca="false">IF(AND(AE1276="yes",ISNUMBER(AD1276)),AD1276,"")</f>
        <v>28.81</v>
      </c>
      <c r="I1276" s="95" t="n">
        <f aca="false">IF(AND(AE1276="yes",ISNUMBER(AD1276),ISNUMBER(INDEX(Sources!$G$7:$G$10,MATCH(AB1276,Sources!$B$7:$B$10,0)))),ROUND(AD1276/INDEX(Sources!$G$7:$G$10,MATCH(AB1276,Sources!$B$7:$B$10,0)),6),"")</f>
        <v>5.458878</v>
      </c>
      <c r="J1276" s="98" t="s">
        <v>530</v>
      </c>
      <c r="K1276" s="98" t="s">
        <v>2059</v>
      </c>
      <c r="L1276" s="96"/>
      <c r="M1276" s="110" t="s">
        <v>4073</v>
      </c>
      <c r="N1276" s="117" t="s">
        <v>4074</v>
      </c>
      <c r="O1276" s="110" t="s">
        <v>388</v>
      </c>
      <c r="P1276" s="110" t="s">
        <v>590</v>
      </c>
      <c r="Q1276" s="118" t="n">
        <v>0.21</v>
      </c>
      <c r="R1276" s="110" t="n">
        <v>1</v>
      </c>
      <c r="S1276" s="110" t="s">
        <v>632</v>
      </c>
      <c r="T1276" s="110" t="s">
        <v>530</v>
      </c>
      <c r="U1276" s="110" t="s">
        <v>2913</v>
      </c>
      <c r="V1276" s="119" t="n">
        <v>28.81</v>
      </c>
      <c r="W1276" s="119"/>
      <c r="X1276" s="110" t="s">
        <v>2063</v>
      </c>
      <c r="Y1276" s="110" t="s">
        <v>2064</v>
      </c>
      <c r="Z1276" s="110"/>
      <c r="AA1276" s="110" t="s">
        <v>537</v>
      </c>
      <c r="AB1276" s="110" t="s">
        <v>374</v>
      </c>
      <c r="AC1276" s="110" t="s">
        <v>538</v>
      </c>
      <c r="AD1276" s="110" t="n">
        <f aca="false">IF(OR(F1276="",Q1276="",R1276=""),"",ROUND(IF(P1276="incl.",F1276/(1+Q1276),F1276)/IF(S1276="per pack",R1276,1),2))</f>
        <v>28.81</v>
      </c>
      <c r="AE1276" s="110" t="str">
        <f aca="false">IF(AND(AC1276="yes",ISNUMBER(F1276),IF(Compare!$H$5="All mapped",TRUE(),IF(Compare!$H$5="EXACT only",J1276="EXACT",OR(J1276="EXACT",J1276="CLOSE")))),"yes","no")</f>
        <v>yes</v>
      </c>
      <c r="AF1276" s="110" t="n">
        <f aca="false">IF(ISNUMBER(H1276),COUNTIFS($B$7:$B$3000,B1276,$C$7:$C$3000,C1276,$H$7:$H$3000,"&lt;"&amp;H1276,$AH$7:$AH$3000,"yes")+COUNTIFS($B$7:B1276,B1276,$C$7:C1276,C1276,$H$7:H1276,H1276,$AH$7:AH1276,"yes"),"")</f>
        <v>2</v>
      </c>
      <c r="AG1276" s="110" t="n">
        <f aca="false">IF(ISNUMBER(I1276),COUNTIFS($B$7:$B$3000,B1276,$C$7:$C$3000,C1276,$I$7:$I$3000,"&lt;"&amp;I1276,$AI$7:$AI$3000,"yes")+COUNTIFS($B$7:B1276,B1276,$C$7:C1276,C1276,$I$7:I1276,I1276,$AI$7:AI1276,"yes"),"")</f>
        <v>2</v>
      </c>
      <c r="AH1276" s="110" t="str">
        <f aca="false">IF(ISNUMBER(H1276),"yes","no")</f>
        <v>yes</v>
      </c>
      <c r="AI1276" s="110" t="str">
        <f aca="false">IF(ISNUMBER(I1276),"yes","no")</f>
        <v>yes</v>
      </c>
      <c r="AJ1276" s="120" t="n">
        <v>46297</v>
      </c>
      <c r="AK1276" s="110"/>
    </row>
    <row r="1277" customFormat="false" ht="35.05" hidden="false" customHeight="false" outlineLevel="0" collapsed="false">
      <c r="B1277" s="36" t="s">
        <v>80</v>
      </c>
      <c r="C1277" s="98" t="s">
        <v>15</v>
      </c>
      <c r="D1277" s="98" t="s">
        <v>261</v>
      </c>
      <c r="E1277" s="110" t="s">
        <v>4075</v>
      </c>
      <c r="F1277" s="99" t="n">
        <v>7.6</v>
      </c>
      <c r="G1277" s="98" t="s">
        <v>244</v>
      </c>
      <c r="H1277" s="112" t="n">
        <f aca="false">IF(AND(AE1277="yes",ISNUMBER(AD1277)),AD1277,"")</f>
        <v>7.6</v>
      </c>
      <c r="I1277" s="95" t="n">
        <f aca="false">IF(AND(AE1277="yes",ISNUMBER(AD1277),ISNUMBER(INDEX(Sources!$G$7:$G$10,MATCH(AB1277,Sources!$B$7:$B$10,0)))),ROUND(AD1277/INDEX(Sources!$G$7:$G$10,MATCH(AB1277,Sources!$B$7:$B$10,0)),6),"")</f>
        <v>7.6</v>
      </c>
      <c r="J1277" s="98" t="s">
        <v>530</v>
      </c>
      <c r="K1277" s="98" t="s">
        <v>2059</v>
      </c>
      <c r="L1277" s="96"/>
      <c r="M1277" s="110" t="s">
        <v>4076</v>
      </c>
      <c r="N1277" s="117" t="s">
        <v>4077</v>
      </c>
      <c r="O1277" s="110"/>
      <c r="P1277" s="110" t="s">
        <v>590</v>
      </c>
      <c r="Q1277" s="118" t="n">
        <v>0.2</v>
      </c>
      <c r="R1277" s="110" t="n">
        <v>1</v>
      </c>
      <c r="S1277" s="110" t="s">
        <v>632</v>
      </c>
      <c r="T1277" s="110" t="s">
        <v>530</v>
      </c>
      <c r="U1277" s="110" t="s">
        <v>2913</v>
      </c>
      <c r="V1277" s="119" t="n">
        <v>7.6</v>
      </c>
      <c r="W1277" s="119"/>
      <c r="X1277" s="110" t="s">
        <v>2063</v>
      </c>
      <c r="Y1277" s="110" t="s">
        <v>2064</v>
      </c>
      <c r="Z1277" s="110"/>
      <c r="AA1277" s="110" t="s">
        <v>537</v>
      </c>
      <c r="AB1277" s="110" t="s">
        <v>244</v>
      </c>
      <c r="AC1277" s="110" t="s">
        <v>538</v>
      </c>
      <c r="AD1277" s="110" t="n">
        <f aca="false">IF(OR(F1277="",Q1277="",R1277=""),"",ROUND(IF(P1277="incl.",F1277/(1+Q1277),F1277)/IF(S1277="per pack",R1277,1),2))</f>
        <v>7.6</v>
      </c>
      <c r="AE1277" s="110" t="str">
        <f aca="false">IF(AND(AC1277="yes",ISNUMBER(F1277),IF(Compare!$H$5="All mapped",TRUE(),IF(Compare!$H$5="EXACT only",J1277="EXACT",OR(J1277="EXACT",J1277="CLOSE")))),"yes","no")</f>
        <v>yes</v>
      </c>
      <c r="AF1277" s="110" t="n">
        <f aca="false">IF(ISNUMBER(H1277),COUNTIFS($B$7:$B$3000,B1277,$C$7:$C$3000,C1277,$H$7:$H$3000,"&lt;"&amp;H1277,$AH$7:$AH$3000,"yes")+COUNTIFS($B$7:B1277,B1277,$C$7:C1277,C1277,$H$7:H1277,H1277,$AH$7:AH1277,"yes"),"")</f>
        <v>3</v>
      </c>
      <c r="AG1277" s="110" t="n">
        <f aca="false">IF(ISNUMBER(I1277),COUNTIFS($B$7:$B$3000,B1277,$C$7:$C$3000,C1277,$I$7:$I$3000,"&lt;"&amp;I1277,$AI$7:$AI$3000,"yes")+COUNTIFS($B$7:B1277,B1277,$C$7:C1277,C1277,$I$7:I1277,I1277,$AI$7:AI1277,"yes"),"")</f>
        <v>3</v>
      </c>
      <c r="AH1277" s="110" t="str">
        <f aca="false">IF(ISNUMBER(H1277),"yes","no")</f>
        <v>yes</v>
      </c>
      <c r="AI1277" s="110" t="str">
        <f aca="false">IF(ISNUMBER(I1277),"yes","no")</f>
        <v>yes</v>
      </c>
      <c r="AJ1277" s="120" t="n">
        <v>46297</v>
      </c>
      <c r="AK1277" s="110"/>
    </row>
    <row r="1278" customFormat="false" ht="23.85" hidden="false" customHeight="false" outlineLevel="0" collapsed="false">
      <c r="B1278" s="36" t="s">
        <v>80</v>
      </c>
      <c r="C1278" s="98" t="s">
        <v>15</v>
      </c>
      <c r="D1278" s="98" t="s">
        <v>269</v>
      </c>
      <c r="E1278" s="110" t="s">
        <v>4078</v>
      </c>
      <c r="F1278" s="99" t="n">
        <v>9.09</v>
      </c>
      <c r="G1278" s="98" t="s">
        <v>244</v>
      </c>
      <c r="H1278" s="112" t="n">
        <f aca="false">IF(AND(AE1278="yes",ISNUMBER(AD1278)),AD1278,"")</f>
        <v>9.09</v>
      </c>
      <c r="I1278" s="95" t="n">
        <f aca="false">IF(AND(AE1278="yes",ISNUMBER(AD1278),ISNUMBER(INDEX(Sources!$G$7:$G$10,MATCH(AB1278,Sources!$B$7:$B$10,0)))),ROUND(AD1278/INDEX(Sources!$G$7:$G$10,MATCH(AB1278,Sources!$B$7:$B$10,0)),6),"")</f>
        <v>9.09</v>
      </c>
      <c r="J1278" s="98" t="s">
        <v>530</v>
      </c>
      <c r="K1278" s="98" t="s">
        <v>2059</v>
      </c>
      <c r="L1278" s="96"/>
      <c r="M1278" s="110" t="s">
        <v>4079</v>
      </c>
      <c r="N1278" s="117" t="s">
        <v>4080</v>
      </c>
      <c r="O1278" s="110" t="s">
        <v>589</v>
      </c>
      <c r="P1278" s="110" t="s">
        <v>590</v>
      </c>
      <c r="Q1278" s="118" t="n">
        <v>0.2</v>
      </c>
      <c r="R1278" s="110" t="n">
        <v>1</v>
      </c>
      <c r="S1278" s="110" t="s">
        <v>632</v>
      </c>
      <c r="T1278" s="110" t="s">
        <v>530</v>
      </c>
      <c r="U1278" s="110" t="s">
        <v>2913</v>
      </c>
      <c r="V1278" s="119" t="n">
        <v>9.09</v>
      </c>
      <c r="W1278" s="119"/>
      <c r="X1278" s="110" t="s">
        <v>2063</v>
      </c>
      <c r="Y1278" s="110" t="s">
        <v>2064</v>
      </c>
      <c r="Z1278" s="110" t="s">
        <v>3216</v>
      </c>
      <c r="AA1278" s="110" t="s">
        <v>537</v>
      </c>
      <c r="AB1278" s="110" t="s">
        <v>244</v>
      </c>
      <c r="AC1278" s="110" t="s">
        <v>538</v>
      </c>
      <c r="AD1278" s="110" t="n">
        <f aca="false">IF(OR(F1278="",Q1278="",R1278=""),"",ROUND(IF(P1278="incl.",F1278/(1+Q1278),F1278)/IF(S1278="per pack",R1278,1),2))</f>
        <v>9.09</v>
      </c>
      <c r="AE1278" s="110" t="str">
        <f aca="false">IF(AND(AC1278="yes",ISNUMBER(F1278),IF(Compare!$H$5="All mapped",TRUE(),IF(Compare!$H$5="EXACT only",J1278="EXACT",OR(J1278="EXACT",J1278="CLOSE")))),"yes","no")</f>
        <v>yes</v>
      </c>
      <c r="AF1278" s="110" t="n">
        <f aca="false">IF(ISNUMBER(H1278),COUNTIFS($B$7:$B$3000,B1278,$C$7:$C$3000,C1278,$H$7:$H$3000,"&lt;"&amp;H1278,$AH$7:$AH$3000,"yes")+COUNTIFS($B$7:B1278,B1278,$C$7:C1278,C1278,$H$7:H1278,H1278,$AH$7:AH1278,"yes"),"")</f>
        <v>5</v>
      </c>
      <c r="AG1278" s="110" t="n">
        <f aca="false">IF(ISNUMBER(I1278),COUNTIFS($B$7:$B$3000,B1278,$C$7:$C$3000,C1278,$I$7:$I$3000,"&lt;"&amp;I1278,$AI$7:$AI$3000,"yes")+COUNTIFS($B$7:B1278,B1278,$C$7:C1278,C1278,$I$7:I1278,I1278,$AI$7:AI1278,"yes"),"")</f>
        <v>5</v>
      </c>
      <c r="AH1278" s="110" t="str">
        <f aca="false">IF(ISNUMBER(H1278),"yes","no")</f>
        <v>yes</v>
      </c>
      <c r="AI1278" s="110" t="str">
        <f aca="false">IF(ISNUMBER(I1278),"yes","no")</f>
        <v>yes</v>
      </c>
      <c r="AJ1278" s="120" t="n">
        <v>46297</v>
      </c>
      <c r="AK1278" s="110"/>
    </row>
    <row r="1279" customFormat="false" ht="23.85" hidden="false" customHeight="false" outlineLevel="0" collapsed="false">
      <c r="B1279" s="36" t="s">
        <v>80</v>
      </c>
      <c r="C1279" s="98" t="s">
        <v>15</v>
      </c>
      <c r="D1279" s="98" t="s">
        <v>264</v>
      </c>
      <c r="E1279" s="110" t="s">
        <v>4081</v>
      </c>
      <c r="F1279" s="99" t="n">
        <v>15</v>
      </c>
      <c r="G1279" s="98" t="s">
        <v>244</v>
      </c>
      <c r="H1279" s="112" t="n">
        <f aca="false">IF(AND(AE1279="yes",ISNUMBER(AD1279)),AD1279,"")</f>
        <v>15</v>
      </c>
      <c r="I1279" s="95" t="n">
        <f aca="false">IF(AND(AE1279="yes",ISNUMBER(AD1279),ISNUMBER(INDEX(Sources!$G$7:$G$10,MATCH(AB1279,Sources!$B$7:$B$10,0)))),ROUND(AD1279/INDEX(Sources!$G$7:$G$10,MATCH(AB1279,Sources!$B$7:$B$10,0)),6),"")</f>
        <v>15</v>
      </c>
      <c r="J1279" s="98" t="s">
        <v>530</v>
      </c>
      <c r="K1279" s="98" t="s">
        <v>2059</v>
      </c>
      <c r="L1279" s="96"/>
      <c r="M1279" s="110" t="s">
        <v>4082</v>
      </c>
      <c r="N1279" s="117" t="s">
        <v>4083</v>
      </c>
      <c r="O1279" s="110" t="s">
        <v>2944</v>
      </c>
      <c r="P1279" s="110" t="s">
        <v>590</v>
      </c>
      <c r="Q1279" s="118" t="n">
        <v>0.2</v>
      </c>
      <c r="R1279" s="110" t="n">
        <v>1</v>
      </c>
      <c r="S1279" s="110" t="s">
        <v>632</v>
      </c>
      <c r="T1279" s="110" t="s">
        <v>530</v>
      </c>
      <c r="U1279" s="110" t="s">
        <v>2913</v>
      </c>
      <c r="V1279" s="119" t="n">
        <v>15</v>
      </c>
      <c r="W1279" s="119"/>
      <c r="X1279" s="110" t="s">
        <v>2063</v>
      </c>
      <c r="Y1279" s="110" t="s">
        <v>2064</v>
      </c>
      <c r="Z1279" s="110"/>
      <c r="AA1279" s="110" t="s">
        <v>537</v>
      </c>
      <c r="AB1279" s="110" t="s">
        <v>244</v>
      </c>
      <c r="AC1279" s="110" t="s">
        <v>538</v>
      </c>
      <c r="AD1279" s="110" t="n">
        <f aca="false">IF(OR(F1279="",Q1279="",R1279=""),"",ROUND(IF(P1279="incl.",F1279/(1+Q1279),F1279)/IF(S1279="per pack",R1279,1),2))</f>
        <v>15</v>
      </c>
      <c r="AE1279" s="110" t="str">
        <f aca="false">IF(AND(AC1279="yes",ISNUMBER(F1279),IF(Compare!$H$5="All mapped",TRUE(),IF(Compare!$H$5="EXACT only",J1279="EXACT",OR(J1279="EXACT",J1279="CLOSE")))),"yes","no")</f>
        <v>yes</v>
      </c>
      <c r="AF1279" s="110" t="n">
        <f aca="false">IF(ISNUMBER(H1279),COUNTIFS($B$7:$B$3000,B1279,$C$7:$C$3000,C1279,$H$7:$H$3000,"&lt;"&amp;H1279,$AH$7:$AH$3000,"yes")+COUNTIFS($B$7:B1279,B1279,$C$7:C1279,C1279,$H$7:H1279,H1279,$AH$7:AH1279,"yes"),"")</f>
        <v>6</v>
      </c>
      <c r="AG1279" s="110" t="n">
        <f aca="false">IF(ISNUMBER(I1279),COUNTIFS($B$7:$B$3000,B1279,$C$7:$C$3000,C1279,$I$7:$I$3000,"&lt;"&amp;I1279,$AI$7:$AI$3000,"yes")+COUNTIFS($B$7:B1279,B1279,$C$7:C1279,C1279,$I$7:I1279,I1279,$AI$7:AI1279,"yes"),"")</f>
        <v>6</v>
      </c>
      <c r="AH1279" s="110" t="str">
        <f aca="false">IF(ISNUMBER(H1279),"yes","no")</f>
        <v>yes</v>
      </c>
      <c r="AI1279" s="110" t="str">
        <f aca="false">IF(ISNUMBER(I1279),"yes","no")</f>
        <v>yes</v>
      </c>
      <c r="AJ1279" s="120" t="n">
        <v>46297</v>
      </c>
      <c r="AK1279" s="110"/>
    </row>
    <row r="1280" customFormat="false" ht="23.85" hidden="false" customHeight="false" outlineLevel="0" collapsed="false">
      <c r="B1280" s="36" t="s">
        <v>80</v>
      </c>
      <c r="C1280" s="98" t="s">
        <v>15</v>
      </c>
      <c r="D1280" s="98" t="s">
        <v>264</v>
      </c>
      <c r="E1280" s="110" t="s">
        <v>4084</v>
      </c>
      <c r="F1280" s="99" t="n">
        <v>19.58</v>
      </c>
      <c r="G1280" s="98" t="s">
        <v>244</v>
      </c>
      <c r="H1280" s="112" t="n">
        <f aca="false">IF(AND(AE1280="yes",ISNUMBER(AD1280)),AD1280,"")</f>
        <v>19.58</v>
      </c>
      <c r="I1280" s="95" t="n">
        <f aca="false">IF(AND(AE1280="yes",ISNUMBER(AD1280),ISNUMBER(INDEX(Sources!$G$7:$G$10,MATCH(AB1280,Sources!$B$7:$B$10,0)))),ROUND(AD1280/INDEX(Sources!$G$7:$G$10,MATCH(AB1280,Sources!$B$7:$B$10,0)),6),"")</f>
        <v>19.58</v>
      </c>
      <c r="J1280" s="98" t="s">
        <v>530</v>
      </c>
      <c r="K1280" s="98" t="s">
        <v>2059</v>
      </c>
      <c r="L1280" s="96"/>
      <c r="M1280" s="110" t="s">
        <v>4085</v>
      </c>
      <c r="N1280" s="117" t="s">
        <v>4086</v>
      </c>
      <c r="O1280" s="110" t="s">
        <v>388</v>
      </c>
      <c r="P1280" s="110" t="s">
        <v>590</v>
      </c>
      <c r="Q1280" s="118" t="n">
        <v>0.2</v>
      </c>
      <c r="R1280" s="110" t="n">
        <v>1</v>
      </c>
      <c r="S1280" s="110" t="s">
        <v>632</v>
      </c>
      <c r="T1280" s="110" t="s">
        <v>530</v>
      </c>
      <c r="U1280" s="110" t="s">
        <v>2913</v>
      </c>
      <c r="V1280" s="119" t="n">
        <v>19.58</v>
      </c>
      <c r="W1280" s="119"/>
      <c r="X1280" s="110" t="s">
        <v>2063</v>
      </c>
      <c r="Y1280" s="110" t="s">
        <v>2064</v>
      </c>
      <c r="Z1280" s="110"/>
      <c r="AA1280" s="110" t="s">
        <v>537</v>
      </c>
      <c r="AB1280" s="110" t="s">
        <v>244</v>
      </c>
      <c r="AC1280" s="110" t="s">
        <v>538</v>
      </c>
      <c r="AD1280" s="110" t="n">
        <f aca="false">IF(OR(F1280="",Q1280="",R1280=""),"",ROUND(IF(P1280="incl.",F1280/(1+Q1280),F1280)/IF(S1280="per pack",R1280,1),2))</f>
        <v>19.58</v>
      </c>
      <c r="AE1280" s="110" t="str">
        <f aca="false">IF(AND(AC1280="yes",ISNUMBER(F1280),IF(Compare!$H$5="All mapped",TRUE(),IF(Compare!$H$5="EXACT only",J1280="EXACT",OR(J1280="EXACT",J1280="CLOSE")))),"yes","no")</f>
        <v>yes</v>
      </c>
      <c r="AF1280" s="110" t="n">
        <f aca="false">IF(ISNUMBER(H1280),COUNTIFS($B$7:$B$3000,B1280,$C$7:$C$3000,C1280,$H$7:$H$3000,"&lt;"&amp;H1280,$AH$7:$AH$3000,"yes")+COUNTIFS($B$7:B1280,B1280,$C$7:C1280,C1280,$H$7:H1280,H1280,$AH$7:AH1280,"yes"),"")</f>
        <v>7</v>
      </c>
      <c r="AG1280" s="110" t="n">
        <f aca="false">IF(ISNUMBER(I1280),COUNTIFS($B$7:$B$3000,B1280,$C$7:$C$3000,C1280,$I$7:$I$3000,"&lt;"&amp;I1280,$AI$7:$AI$3000,"yes")+COUNTIFS($B$7:B1280,B1280,$C$7:C1280,C1280,$I$7:I1280,I1280,$AI$7:AI1280,"yes"),"")</f>
        <v>7</v>
      </c>
      <c r="AH1280" s="110" t="str">
        <f aca="false">IF(ISNUMBER(H1280),"yes","no")</f>
        <v>yes</v>
      </c>
      <c r="AI1280" s="110" t="str">
        <f aca="false">IF(ISNUMBER(I1280),"yes","no")</f>
        <v>yes</v>
      </c>
      <c r="AJ1280" s="120" t="n">
        <v>46297</v>
      </c>
      <c r="AK1280" s="110"/>
    </row>
    <row r="1281" customFormat="false" ht="46.25" hidden="false" customHeight="false" outlineLevel="0" collapsed="false">
      <c r="B1281" s="36" t="s">
        <v>80</v>
      </c>
      <c r="C1281" s="98" t="s">
        <v>15</v>
      </c>
      <c r="D1281" s="98" t="s">
        <v>281</v>
      </c>
      <c r="E1281" s="110" t="s">
        <v>4087</v>
      </c>
      <c r="F1281" s="99" t="n">
        <v>8.74</v>
      </c>
      <c r="G1281" s="98" t="s">
        <v>244</v>
      </c>
      <c r="H1281" s="112" t="n">
        <f aca="false">IF(AND(AE1281="yes",ISNUMBER(AD1281)),AD1281,"")</f>
        <v>8.74</v>
      </c>
      <c r="I1281" s="95" t="n">
        <f aca="false">IF(AND(AE1281="yes",ISNUMBER(AD1281),ISNUMBER(INDEX(Sources!$G$7:$G$10,MATCH(AB1281,Sources!$B$7:$B$10,0)))),ROUND(AD1281/INDEX(Sources!$G$7:$G$10,MATCH(AB1281,Sources!$B$7:$B$10,0)),6),"")</f>
        <v>8.74</v>
      </c>
      <c r="J1281" s="98" t="s">
        <v>530</v>
      </c>
      <c r="K1281" s="98" t="s">
        <v>2059</v>
      </c>
      <c r="L1281" s="96"/>
      <c r="M1281" s="110" t="s">
        <v>4088</v>
      </c>
      <c r="N1281" s="117" t="s">
        <v>4089</v>
      </c>
      <c r="O1281" s="110" t="s">
        <v>2952</v>
      </c>
      <c r="P1281" s="110" t="s">
        <v>590</v>
      </c>
      <c r="Q1281" s="118" t="n">
        <v>0.2</v>
      </c>
      <c r="R1281" s="110" t="n">
        <v>1</v>
      </c>
      <c r="S1281" s="110" t="s">
        <v>632</v>
      </c>
      <c r="T1281" s="110" t="s">
        <v>530</v>
      </c>
      <c r="U1281" s="110" t="s">
        <v>2913</v>
      </c>
      <c r="V1281" s="119" t="n">
        <v>8.74</v>
      </c>
      <c r="W1281" s="119"/>
      <c r="X1281" s="110" t="s">
        <v>2063</v>
      </c>
      <c r="Y1281" s="110" t="s">
        <v>2064</v>
      </c>
      <c r="Z1281" s="110" t="s">
        <v>2953</v>
      </c>
      <c r="AA1281" s="110" t="s">
        <v>537</v>
      </c>
      <c r="AB1281" s="110" t="s">
        <v>244</v>
      </c>
      <c r="AC1281" s="110" t="s">
        <v>538</v>
      </c>
      <c r="AD1281" s="110" t="n">
        <f aca="false">IF(OR(F1281="",Q1281="",R1281=""),"",ROUND(IF(P1281="incl.",F1281/(1+Q1281),F1281)/IF(S1281="per pack",R1281,1),2))</f>
        <v>8.74</v>
      </c>
      <c r="AE1281" s="110" t="str">
        <f aca="false">IF(AND(AC1281="yes",ISNUMBER(F1281),IF(Compare!$H$5="All mapped",TRUE(),IF(Compare!$H$5="EXACT only",J1281="EXACT",OR(J1281="EXACT",J1281="CLOSE")))),"yes","no")</f>
        <v>yes</v>
      </c>
      <c r="AF1281" s="110" t="n">
        <f aca="false">IF(ISNUMBER(H1281),COUNTIFS($B$7:$B$3000,B1281,$C$7:$C$3000,C1281,$H$7:$H$3000,"&lt;"&amp;H1281,$AH$7:$AH$3000,"yes")+COUNTIFS($B$7:B1281,B1281,$C$7:C1281,C1281,$H$7:H1281,H1281,$AH$7:AH1281,"yes"),"")</f>
        <v>4</v>
      </c>
      <c r="AG1281" s="110" t="n">
        <f aca="false">IF(ISNUMBER(I1281),COUNTIFS($B$7:$B$3000,B1281,$C$7:$C$3000,C1281,$I$7:$I$3000,"&lt;"&amp;I1281,$AI$7:$AI$3000,"yes")+COUNTIFS($B$7:B1281,B1281,$C$7:C1281,C1281,$I$7:I1281,I1281,$AI$7:AI1281,"yes"),"")</f>
        <v>4</v>
      </c>
      <c r="AH1281" s="110" t="str">
        <f aca="false">IF(ISNUMBER(H1281),"yes","no")</f>
        <v>yes</v>
      </c>
      <c r="AI1281" s="110" t="str">
        <f aca="false">IF(ISNUMBER(I1281),"yes","no")</f>
        <v>yes</v>
      </c>
      <c r="AJ1281" s="120" t="n">
        <v>46297</v>
      </c>
      <c r="AK1281" s="110"/>
    </row>
    <row r="1282" customFormat="false" ht="35.05" hidden="false" customHeight="false" outlineLevel="0" collapsed="false">
      <c r="B1282" s="36" t="s">
        <v>80</v>
      </c>
      <c r="C1282" s="98" t="s">
        <v>15</v>
      </c>
      <c r="D1282" s="98" t="s">
        <v>293</v>
      </c>
      <c r="E1282" s="110" t="s">
        <v>4090</v>
      </c>
      <c r="F1282" s="99" t="n">
        <v>6</v>
      </c>
      <c r="G1282" s="98" t="s">
        <v>244</v>
      </c>
      <c r="H1282" s="112" t="n">
        <f aca="false">IF(AND(AE1282="yes",ISNUMBER(AD1282)),AD1282,"")</f>
        <v>6</v>
      </c>
      <c r="I1282" s="95" t="n">
        <f aca="false">IF(AND(AE1282="yes",ISNUMBER(AD1282),ISNUMBER(INDEX(Sources!$G$7:$G$10,MATCH(AB1282,Sources!$B$7:$B$10,0)))),ROUND(AD1282/INDEX(Sources!$G$7:$G$10,MATCH(AB1282,Sources!$B$7:$B$10,0)),6),"")</f>
        <v>6</v>
      </c>
      <c r="J1282" s="98" t="s">
        <v>530</v>
      </c>
      <c r="K1282" s="98" t="s">
        <v>2059</v>
      </c>
      <c r="L1282" s="96"/>
      <c r="M1282" s="110" t="s">
        <v>4091</v>
      </c>
      <c r="N1282" s="117" t="s">
        <v>4092</v>
      </c>
      <c r="O1282" s="110" t="s">
        <v>2957</v>
      </c>
      <c r="P1282" s="110" t="s">
        <v>590</v>
      </c>
      <c r="Q1282" s="118" t="n">
        <v>0.2</v>
      </c>
      <c r="R1282" s="110" t="n">
        <v>1</v>
      </c>
      <c r="S1282" s="110" t="s">
        <v>632</v>
      </c>
      <c r="T1282" s="110" t="s">
        <v>530</v>
      </c>
      <c r="U1282" s="110" t="s">
        <v>2913</v>
      </c>
      <c r="V1282" s="119" t="n">
        <v>6</v>
      </c>
      <c r="W1282" s="119"/>
      <c r="X1282" s="110" t="s">
        <v>2063</v>
      </c>
      <c r="Y1282" s="110" t="s">
        <v>2064</v>
      </c>
      <c r="Z1282" s="110" t="s">
        <v>2958</v>
      </c>
      <c r="AA1282" s="110" t="s">
        <v>537</v>
      </c>
      <c r="AB1282" s="110" t="s">
        <v>244</v>
      </c>
      <c r="AC1282" s="110" t="s">
        <v>538</v>
      </c>
      <c r="AD1282" s="110" t="n">
        <f aca="false">IF(OR(F1282="",Q1282="",R1282=""),"",ROUND(IF(P1282="incl.",F1282/(1+Q1282),F1282)/IF(S1282="per pack",R1282,1),2))</f>
        <v>6</v>
      </c>
      <c r="AE1282" s="110" t="str">
        <f aca="false">IF(AND(AC1282="yes",ISNUMBER(F1282),IF(Compare!$H$5="All mapped",TRUE(),IF(Compare!$H$5="EXACT only",J1282="EXACT",OR(J1282="EXACT",J1282="CLOSE")))),"yes","no")</f>
        <v>yes</v>
      </c>
      <c r="AF1282" s="110" t="n">
        <f aca="false">IF(ISNUMBER(H1282),COUNTIFS($B$7:$B$3000,B1282,$C$7:$C$3000,C1282,$H$7:$H$3000,"&lt;"&amp;H1282,$AH$7:$AH$3000,"yes")+COUNTIFS($B$7:B1282,B1282,$C$7:C1282,C1282,$H$7:H1282,H1282,$AH$7:AH1282,"yes"),"")</f>
        <v>2</v>
      </c>
      <c r="AG1282" s="110" t="n">
        <f aca="false">IF(ISNUMBER(I1282),COUNTIFS($B$7:$B$3000,B1282,$C$7:$C$3000,C1282,$I$7:$I$3000,"&lt;"&amp;I1282,$AI$7:$AI$3000,"yes")+COUNTIFS($B$7:B1282,B1282,$C$7:C1282,C1282,$I$7:I1282,I1282,$AI$7:AI1282,"yes"),"")</f>
        <v>2</v>
      </c>
      <c r="AH1282" s="110" t="str">
        <f aca="false">IF(ISNUMBER(H1282),"yes","no")</f>
        <v>yes</v>
      </c>
      <c r="AI1282" s="110" t="str">
        <f aca="false">IF(ISNUMBER(I1282),"yes","no")</f>
        <v>yes</v>
      </c>
      <c r="AJ1282" s="120" t="n">
        <v>46297</v>
      </c>
      <c r="AK1282" s="110"/>
    </row>
    <row r="1283" customFormat="false" ht="35.05" hidden="false" customHeight="false" outlineLevel="0" collapsed="false">
      <c r="B1283" s="36" t="s">
        <v>80</v>
      </c>
      <c r="C1283" s="98" t="s">
        <v>15</v>
      </c>
      <c r="D1283" s="98" t="s">
        <v>293</v>
      </c>
      <c r="E1283" s="110" t="s">
        <v>4093</v>
      </c>
      <c r="F1283" s="99" t="n">
        <v>5.8</v>
      </c>
      <c r="G1283" s="98" t="s">
        <v>244</v>
      </c>
      <c r="H1283" s="112" t="n">
        <f aca="false">IF(AND(AE1283="yes",ISNUMBER(AD1283)),AD1283,"")</f>
        <v>5.8</v>
      </c>
      <c r="I1283" s="95" t="n">
        <f aca="false">IF(AND(AE1283="yes",ISNUMBER(AD1283),ISNUMBER(INDEX(Sources!$G$7:$G$10,MATCH(AB1283,Sources!$B$7:$B$10,0)))),ROUND(AD1283/INDEX(Sources!$G$7:$G$10,MATCH(AB1283,Sources!$B$7:$B$10,0)),6),"")</f>
        <v>5.8</v>
      </c>
      <c r="J1283" s="98" t="s">
        <v>530</v>
      </c>
      <c r="K1283" s="98" t="s">
        <v>2059</v>
      </c>
      <c r="L1283" s="96"/>
      <c r="M1283" s="110" t="s">
        <v>4094</v>
      </c>
      <c r="N1283" s="117" t="s">
        <v>4095</v>
      </c>
      <c r="O1283" s="110" t="s">
        <v>3063</v>
      </c>
      <c r="P1283" s="110" t="s">
        <v>590</v>
      </c>
      <c r="Q1283" s="118" t="n">
        <v>0.2</v>
      </c>
      <c r="R1283" s="110" t="n">
        <v>1</v>
      </c>
      <c r="S1283" s="110" t="s">
        <v>632</v>
      </c>
      <c r="T1283" s="110" t="s">
        <v>530</v>
      </c>
      <c r="U1283" s="110" t="s">
        <v>2913</v>
      </c>
      <c r="V1283" s="119" t="n">
        <v>5.8</v>
      </c>
      <c r="W1283" s="119"/>
      <c r="X1283" s="110" t="s">
        <v>2063</v>
      </c>
      <c r="Y1283" s="110" t="s">
        <v>2064</v>
      </c>
      <c r="Z1283" s="110" t="s">
        <v>3064</v>
      </c>
      <c r="AA1283" s="110" t="s">
        <v>537</v>
      </c>
      <c r="AB1283" s="110" t="s">
        <v>244</v>
      </c>
      <c r="AC1283" s="110" t="s">
        <v>538</v>
      </c>
      <c r="AD1283" s="110" t="n">
        <f aca="false">IF(OR(F1283="",Q1283="",R1283=""),"",ROUND(IF(P1283="incl.",F1283/(1+Q1283),F1283)/IF(S1283="per pack",R1283,1),2))</f>
        <v>5.8</v>
      </c>
      <c r="AE1283" s="110" t="str">
        <f aca="false">IF(AND(AC1283="yes",ISNUMBER(F1283),IF(Compare!$H$5="All mapped",TRUE(),IF(Compare!$H$5="EXACT only",J1283="EXACT",OR(J1283="EXACT",J1283="CLOSE")))),"yes","no")</f>
        <v>yes</v>
      </c>
      <c r="AF1283" s="110" t="n">
        <f aca="false">IF(ISNUMBER(H1283),COUNTIFS($B$7:$B$3000,B1283,$C$7:$C$3000,C1283,$H$7:$H$3000,"&lt;"&amp;H1283,$AH$7:$AH$3000,"yes")+COUNTIFS($B$7:B1283,B1283,$C$7:C1283,C1283,$H$7:H1283,H1283,$AH$7:AH1283,"yes"),"")</f>
        <v>1</v>
      </c>
      <c r="AG1283" s="110" t="n">
        <f aca="false">IF(ISNUMBER(I1283),COUNTIFS($B$7:$B$3000,B1283,$C$7:$C$3000,C1283,$I$7:$I$3000,"&lt;"&amp;I1283,$AI$7:$AI$3000,"yes")+COUNTIFS($B$7:B1283,B1283,$C$7:C1283,C1283,$I$7:I1283,I1283,$AI$7:AI1283,"yes"),"")</f>
        <v>1</v>
      </c>
      <c r="AH1283" s="110" t="str">
        <f aca="false">IF(ISNUMBER(H1283),"yes","no")</f>
        <v>yes</v>
      </c>
      <c r="AI1283" s="110" t="str">
        <f aca="false">IF(ISNUMBER(I1283),"yes","no")</f>
        <v>yes</v>
      </c>
      <c r="AJ1283" s="120" t="n">
        <v>46297</v>
      </c>
      <c r="AK1283" s="110"/>
    </row>
    <row r="1284" customFormat="false" ht="35.05" hidden="false" customHeight="false" outlineLevel="0" collapsed="false">
      <c r="B1284" s="36" t="s">
        <v>80</v>
      </c>
      <c r="C1284" s="98" t="s">
        <v>16</v>
      </c>
      <c r="D1284" s="98" t="s">
        <v>305</v>
      </c>
      <c r="E1284" s="110" t="s">
        <v>4096</v>
      </c>
      <c r="F1284" s="99" t="n">
        <v>7.33</v>
      </c>
      <c r="G1284" s="98" t="s">
        <v>244</v>
      </c>
      <c r="H1284" s="112" t="n">
        <f aca="false">IF(AND(AE1284="yes",ISNUMBER(AD1284)),AD1284,"")</f>
        <v>6.16</v>
      </c>
      <c r="I1284" s="95" t="n">
        <f aca="false">IF(AND(AE1284="yes",ISNUMBER(AD1284),ISNUMBER(INDEX(Sources!$G$7:$G$10,MATCH(AB1284,Sources!$B$7:$B$10,0)))),ROUND(AD1284/INDEX(Sources!$G$7:$G$10,MATCH(AB1284,Sources!$B$7:$B$10,0)),6),"")</f>
        <v>6.16</v>
      </c>
      <c r="J1284" s="98" t="s">
        <v>530</v>
      </c>
      <c r="K1284" s="98" t="s">
        <v>2059</v>
      </c>
      <c r="L1284" s="96"/>
      <c r="M1284" s="110" t="s">
        <v>4097</v>
      </c>
      <c r="N1284" s="117" t="s">
        <v>4098</v>
      </c>
      <c r="O1284" s="110" t="s">
        <v>2965</v>
      </c>
      <c r="P1284" s="110" t="s">
        <v>265</v>
      </c>
      <c r="Q1284" s="118" t="n">
        <v>0.19</v>
      </c>
      <c r="R1284" s="110" t="n">
        <v>1</v>
      </c>
      <c r="S1284" s="110" t="s">
        <v>632</v>
      </c>
      <c r="T1284" s="110" t="s">
        <v>530</v>
      </c>
      <c r="U1284" s="110" t="s">
        <v>2918</v>
      </c>
      <c r="V1284" s="119" t="n">
        <v>6.16</v>
      </c>
      <c r="W1284" s="119"/>
      <c r="X1284" s="110" t="s">
        <v>2063</v>
      </c>
      <c r="Y1284" s="110" t="s">
        <v>2064</v>
      </c>
      <c r="Z1284" s="110" t="s">
        <v>2156</v>
      </c>
      <c r="AA1284" s="110" t="s">
        <v>537</v>
      </c>
      <c r="AB1284" s="110" t="s">
        <v>244</v>
      </c>
      <c r="AC1284" s="110" t="s">
        <v>538</v>
      </c>
      <c r="AD1284" s="110" t="n">
        <f aca="false">IF(OR(F1284="",Q1284="",R1284=""),"",ROUND(IF(P1284="incl.",F1284/(1+Q1284),F1284)/IF(S1284="per pack",R1284,1),2))</f>
        <v>6.16</v>
      </c>
      <c r="AE1284" s="110" t="str">
        <f aca="false">IF(AND(AC1284="yes",ISNUMBER(F1284),IF(Compare!$H$5="All mapped",TRUE(),IF(Compare!$H$5="EXACT only",J1284="EXACT",OR(J1284="EXACT",J1284="CLOSE")))),"yes","no")</f>
        <v>yes</v>
      </c>
      <c r="AF1284" s="110" t="n">
        <f aca="false">IF(ISNUMBER(H1284),COUNTIFS($B$7:$B$3000,B1284,$C$7:$C$3000,C1284,$H$7:$H$3000,"&lt;"&amp;H1284,$AH$7:$AH$3000,"yes")+COUNTIFS($B$7:B1284,B1284,$C$7:C1284,C1284,$H$7:H1284,H1284,$AH$7:AH1284,"yes"),"")</f>
        <v>2</v>
      </c>
      <c r="AG1284" s="110" t="n">
        <f aca="false">IF(ISNUMBER(I1284),COUNTIFS($B$7:$B$3000,B1284,$C$7:$C$3000,C1284,$I$7:$I$3000,"&lt;"&amp;I1284,$AI$7:$AI$3000,"yes")+COUNTIFS($B$7:B1284,B1284,$C$7:C1284,C1284,$I$7:I1284,I1284,$AI$7:AI1284,"yes"),"")</f>
        <v>2</v>
      </c>
      <c r="AH1284" s="110" t="str">
        <f aca="false">IF(ISNUMBER(H1284),"yes","no")</f>
        <v>yes</v>
      </c>
      <c r="AI1284" s="110" t="str">
        <f aca="false">IF(ISNUMBER(I1284),"yes","no")</f>
        <v>yes</v>
      </c>
      <c r="AJ1284" s="120" t="n">
        <v>46297</v>
      </c>
      <c r="AK1284" s="110"/>
    </row>
    <row r="1285" customFormat="false" ht="35.05" hidden="false" customHeight="false" outlineLevel="0" collapsed="false">
      <c r="B1285" s="36" t="s">
        <v>80</v>
      </c>
      <c r="C1285" s="98" t="s">
        <v>16</v>
      </c>
      <c r="D1285" s="98" t="s">
        <v>311</v>
      </c>
      <c r="E1285" s="110" t="s">
        <v>4078</v>
      </c>
      <c r="F1285" s="99" t="n">
        <v>5.89</v>
      </c>
      <c r="G1285" s="98" t="s">
        <v>244</v>
      </c>
      <c r="H1285" s="112" t="n">
        <f aca="false">IF(AND(AE1285="yes",ISNUMBER(AD1285)),AD1285,"")</f>
        <v>5.89</v>
      </c>
      <c r="I1285" s="95" t="n">
        <f aca="false">IF(AND(AE1285="yes",ISNUMBER(AD1285),ISNUMBER(INDEX(Sources!$G$7:$G$10,MATCH(AB1285,Sources!$B$7:$B$10,0)))),ROUND(AD1285/INDEX(Sources!$G$7:$G$10,MATCH(AB1285,Sources!$B$7:$B$10,0)),6),"")</f>
        <v>5.89</v>
      </c>
      <c r="J1285" s="98" t="s">
        <v>530</v>
      </c>
      <c r="K1285" s="98" t="s">
        <v>2059</v>
      </c>
      <c r="L1285" s="96"/>
      <c r="M1285" s="110" t="s">
        <v>4099</v>
      </c>
      <c r="N1285" s="117" t="s">
        <v>4100</v>
      </c>
      <c r="O1285" s="110" t="s">
        <v>589</v>
      </c>
      <c r="P1285" s="110" t="s">
        <v>590</v>
      </c>
      <c r="Q1285" s="118" t="n">
        <v>0.19</v>
      </c>
      <c r="R1285" s="110" t="n">
        <v>1</v>
      </c>
      <c r="S1285" s="110" t="s">
        <v>632</v>
      </c>
      <c r="T1285" s="110" t="s">
        <v>530</v>
      </c>
      <c r="U1285" s="110" t="s">
        <v>2913</v>
      </c>
      <c r="V1285" s="119" t="n">
        <v>5.89</v>
      </c>
      <c r="W1285" s="119"/>
      <c r="X1285" s="110" t="s">
        <v>2063</v>
      </c>
      <c r="Y1285" s="110" t="s">
        <v>2064</v>
      </c>
      <c r="Z1285" s="110" t="s">
        <v>3236</v>
      </c>
      <c r="AA1285" s="110" t="s">
        <v>537</v>
      </c>
      <c r="AB1285" s="110" t="s">
        <v>244</v>
      </c>
      <c r="AC1285" s="110" t="s">
        <v>538</v>
      </c>
      <c r="AD1285" s="110" t="n">
        <f aca="false">IF(OR(F1285="",Q1285="",R1285=""),"",ROUND(IF(P1285="incl.",F1285/(1+Q1285),F1285)/IF(S1285="per pack",R1285,1),2))</f>
        <v>5.89</v>
      </c>
      <c r="AE1285" s="110" t="str">
        <f aca="false">IF(AND(AC1285="yes",ISNUMBER(F1285),IF(Compare!$H$5="All mapped",TRUE(),IF(Compare!$H$5="EXACT only",J1285="EXACT",OR(J1285="EXACT",J1285="CLOSE")))),"yes","no")</f>
        <v>yes</v>
      </c>
      <c r="AF1285" s="110" t="n">
        <f aca="false">IF(ISNUMBER(H1285),COUNTIFS($B$7:$B$3000,B1285,$C$7:$C$3000,C1285,$H$7:$H$3000,"&lt;"&amp;H1285,$AH$7:$AH$3000,"yes")+COUNTIFS($B$7:B1285,B1285,$C$7:C1285,C1285,$H$7:H1285,H1285,$AH$7:AH1285,"yes"),"")</f>
        <v>1</v>
      </c>
      <c r="AG1285" s="110" t="n">
        <f aca="false">IF(ISNUMBER(I1285),COUNTIFS($B$7:$B$3000,B1285,$C$7:$C$3000,C1285,$I$7:$I$3000,"&lt;"&amp;I1285,$AI$7:$AI$3000,"yes")+COUNTIFS($B$7:B1285,B1285,$C$7:C1285,C1285,$I$7:I1285,I1285,$AI$7:AI1285,"yes"),"")</f>
        <v>1</v>
      </c>
      <c r="AH1285" s="110" t="str">
        <f aca="false">IF(ISNUMBER(H1285),"yes","no")</f>
        <v>yes</v>
      </c>
      <c r="AI1285" s="110" t="str">
        <f aca="false">IF(ISNUMBER(I1285),"yes","no")</f>
        <v>yes</v>
      </c>
      <c r="AJ1285" s="120" t="n">
        <v>46297</v>
      </c>
      <c r="AK1285" s="110"/>
    </row>
    <row r="1286" customFormat="false" ht="23.85" hidden="false" customHeight="false" outlineLevel="0" collapsed="false">
      <c r="B1286" s="36" t="s">
        <v>80</v>
      </c>
      <c r="C1286" s="98" t="s">
        <v>16</v>
      </c>
      <c r="D1286" s="98" t="s">
        <v>309</v>
      </c>
      <c r="E1286" s="110" t="s">
        <v>4084</v>
      </c>
      <c r="F1286" s="99" t="n">
        <v>19.58</v>
      </c>
      <c r="G1286" s="98" t="s">
        <v>244</v>
      </c>
      <c r="H1286" s="112" t="n">
        <f aca="false">IF(AND(AE1286="yes",ISNUMBER(AD1286)),AD1286,"")</f>
        <v>19.58</v>
      </c>
      <c r="I1286" s="95" t="n">
        <f aca="false">IF(AND(AE1286="yes",ISNUMBER(AD1286),ISNUMBER(INDEX(Sources!$G$7:$G$10,MATCH(AB1286,Sources!$B$7:$B$10,0)))),ROUND(AD1286/INDEX(Sources!$G$7:$G$10,MATCH(AB1286,Sources!$B$7:$B$10,0)),6),"")</f>
        <v>19.58</v>
      </c>
      <c r="J1286" s="98" t="s">
        <v>530</v>
      </c>
      <c r="K1286" s="98" t="s">
        <v>2059</v>
      </c>
      <c r="L1286" s="96"/>
      <c r="M1286" s="110" t="s">
        <v>4101</v>
      </c>
      <c r="N1286" s="117" t="s">
        <v>4086</v>
      </c>
      <c r="O1286" s="110" t="s">
        <v>388</v>
      </c>
      <c r="P1286" s="110" t="s">
        <v>590</v>
      </c>
      <c r="Q1286" s="118" t="n">
        <v>0.19</v>
      </c>
      <c r="R1286" s="110" t="n">
        <v>1</v>
      </c>
      <c r="S1286" s="110" t="s">
        <v>632</v>
      </c>
      <c r="T1286" s="110" t="s">
        <v>530</v>
      </c>
      <c r="U1286" s="110" t="s">
        <v>2913</v>
      </c>
      <c r="V1286" s="119" t="n">
        <v>19.58</v>
      </c>
      <c r="W1286" s="119"/>
      <c r="X1286" s="110" t="s">
        <v>2063</v>
      </c>
      <c r="Y1286" s="110" t="s">
        <v>2064</v>
      </c>
      <c r="Z1286" s="110" t="s">
        <v>3240</v>
      </c>
      <c r="AA1286" s="110" t="s">
        <v>537</v>
      </c>
      <c r="AB1286" s="110" t="s">
        <v>244</v>
      </c>
      <c r="AC1286" s="110" t="s">
        <v>538</v>
      </c>
      <c r="AD1286" s="110" t="n">
        <f aca="false">IF(OR(F1286="",Q1286="",R1286=""),"",ROUND(IF(P1286="incl.",F1286/(1+Q1286),F1286)/IF(S1286="per pack",R1286,1),2))</f>
        <v>19.58</v>
      </c>
      <c r="AE1286" s="110" t="str">
        <f aca="false">IF(AND(AC1286="yes",ISNUMBER(F1286),IF(Compare!$H$5="All mapped",TRUE(),IF(Compare!$H$5="EXACT only",J1286="EXACT",OR(J1286="EXACT",J1286="CLOSE")))),"yes","no")</f>
        <v>yes</v>
      </c>
      <c r="AF1286" s="110" t="n">
        <f aca="false">IF(ISNUMBER(H1286),COUNTIFS($B$7:$B$3000,B1286,$C$7:$C$3000,C1286,$H$7:$H$3000,"&lt;"&amp;H1286,$AH$7:$AH$3000,"yes")+COUNTIFS($B$7:B1286,B1286,$C$7:C1286,C1286,$H$7:H1286,H1286,$AH$7:AH1286,"yes"),"")</f>
        <v>7</v>
      </c>
      <c r="AG1286" s="110" t="n">
        <f aca="false">IF(ISNUMBER(I1286),COUNTIFS($B$7:$B$3000,B1286,$C$7:$C$3000,C1286,$I$7:$I$3000,"&lt;"&amp;I1286,$AI$7:$AI$3000,"yes")+COUNTIFS($B$7:B1286,B1286,$C$7:C1286,C1286,$I$7:I1286,I1286,$AI$7:AI1286,"yes"),"")</f>
        <v>7</v>
      </c>
      <c r="AH1286" s="110" t="str">
        <f aca="false">IF(ISNUMBER(H1286),"yes","no")</f>
        <v>yes</v>
      </c>
      <c r="AI1286" s="110" t="str">
        <f aca="false">IF(ISNUMBER(I1286),"yes","no")</f>
        <v>yes</v>
      </c>
      <c r="AJ1286" s="120" t="n">
        <v>46297</v>
      </c>
      <c r="AK1286" s="110"/>
    </row>
    <row r="1287" customFormat="false" ht="23.85" hidden="false" customHeight="false" outlineLevel="0" collapsed="false">
      <c r="B1287" s="36" t="s">
        <v>80</v>
      </c>
      <c r="C1287" s="98" t="s">
        <v>16</v>
      </c>
      <c r="D1287" s="98" t="s">
        <v>309</v>
      </c>
      <c r="E1287" s="110" t="s">
        <v>4081</v>
      </c>
      <c r="F1287" s="99" t="n">
        <v>15</v>
      </c>
      <c r="G1287" s="98" t="s">
        <v>244</v>
      </c>
      <c r="H1287" s="112" t="n">
        <f aca="false">IF(AND(AE1287="yes",ISNUMBER(AD1287)),AD1287,"")</f>
        <v>15</v>
      </c>
      <c r="I1287" s="95" t="n">
        <f aca="false">IF(AND(AE1287="yes",ISNUMBER(AD1287),ISNUMBER(INDEX(Sources!$G$7:$G$10,MATCH(AB1287,Sources!$B$7:$B$10,0)))),ROUND(AD1287/INDEX(Sources!$G$7:$G$10,MATCH(AB1287,Sources!$B$7:$B$10,0)),6),"")</f>
        <v>15</v>
      </c>
      <c r="J1287" s="98" t="s">
        <v>530</v>
      </c>
      <c r="K1287" s="98" t="s">
        <v>2059</v>
      </c>
      <c r="L1287" s="96"/>
      <c r="M1287" s="110" t="s">
        <v>4102</v>
      </c>
      <c r="N1287" s="117" t="s">
        <v>4083</v>
      </c>
      <c r="O1287" s="110" t="s">
        <v>2944</v>
      </c>
      <c r="P1287" s="110" t="s">
        <v>590</v>
      </c>
      <c r="Q1287" s="118" t="n">
        <v>0.19</v>
      </c>
      <c r="R1287" s="110" t="n">
        <v>1</v>
      </c>
      <c r="S1287" s="110" t="s">
        <v>632</v>
      </c>
      <c r="T1287" s="110" t="s">
        <v>530</v>
      </c>
      <c r="U1287" s="110" t="s">
        <v>2913</v>
      </c>
      <c r="V1287" s="119" t="n">
        <v>15</v>
      </c>
      <c r="W1287" s="119"/>
      <c r="X1287" s="110" t="s">
        <v>2063</v>
      </c>
      <c r="Y1287" s="110" t="s">
        <v>2064</v>
      </c>
      <c r="Z1287" s="110" t="s">
        <v>2970</v>
      </c>
      <c r="AA1287" s="110" t="s">
        <v>537</v>
      </c>
      <c r="AB1287" s="110" t="s">
        <v>244</v>
      </c>
      <c r="AC1287" s="110" t="s">
        <v>538</v>
      </c>
      <c r="AD1287" s="110" t="n">
        <f aca="false">IF(OR(F1287="",Q1287="",R1287=""),"",ROUND(IF(P1287="incl.",F1287/(1+Q1287),F1287)/IF(S1287="per pack",R1287,1),2))</f>
        <v>15</v>
      </c>
      <c r="AE1287" s="110" t="str">
        <f aca="false">IF(AND(AC1287="yes",ISNUMBER(F1287),IF(Compare!$H$5="All mapped",TRUE(),IF(Compare!$H$5="EXACT only",J1287="EXACT",OR(J1287="EXACT",J1287="CLOSE")))),"yes","no")</f>
        <v>yes</v>
      </c>
      <c r="AF1287" s="110" t="n">
        <f aca="false">IF(ISNUMBER(H1287),COUNTIFS($B$7:$B$3000,B1287,$C$7:$C$3000,C1287,$H$7:$H$3000,"&lt;"&amp;H1287,$AH$7:$AH$3000,"yes")+COUNTIFS($B$7:B1287,B1287,$C$7:C1287,C1287,$H$7:H1287,H1287,$AH$7:AH1287,"yes"),"")</f>
        <v>6</v>
      </c>
      <c r="AG1287" s="110" t="n">
        <f aca="false">IF(ISNUMBER(I1287),COUNTIFS($B$7:$B$3000,B1287,$C$7:$C$3000,C1287,$I$7:$I$3000,"&lt;"&amp;I1287,$AI$7:$AI$3000,"yes")+COUNTIFS($B$7:B1287,B1287,$C$7:C1287,C1287,$I$7:I1287,I1287,$AI$7:AI1287,"yes"),"")</f>
        <v>6</v>
      </c>
      <c r="AH1287" s="110" t="str">
        <f aca="false">IF(ISNUMBER(H1287),"yes","no")</f>
        <v>yes</v>
      </c>
      <c r="AI1287" s="110" t="str">
        <f aca="false">IF(ISNUMBER(I1287),"yes","no")</f>
        <v>yes</v>
      </c>
      <c r="AJ1287" s="120" t="n">
        <v>46297</v>
      </c>
      <c r="AK1287" s="110"/>
    </row>
    <row r="1288" customFormat="false" ht="35.05" hidden="false" customHeight="false" outlineLevel="0" collapsed="false">
      <c r="B1288" s="36" t="s">
        <v>80</v>
      </c>
      <c r="C1288" s="98" t="s">
        <v>16</v>
      </c>
      <c r="D1288" s="98" t="s">
        <v>321</v>
      </c>
      <c r="E1288" s="110" t="s">
        <v>4087</v>
      </c>
      <c r="F1288" s="99" t="n">
        <v>8.74</v>
      </c>
      <c r="G1288" s="98" t="s">
        <v>244</v>
      </c>
      <c r="H1288" s="112" t="n">
        <f aca="false">IF(AND(AE1288="yes",ISNUMBER(AD1288)),AD1288,"")</f>
        <v>8.74</v>
      </c>
      <c r="I1288" s="95" t="n">
        <f aca="false">IF(AND(AE1288="yes",ISNUMBER(AD1288),ISNUMBER(INDEX(Sources!$G$7:$G$10,MATCH(AB1288,Sources!$B$7:$B$10,0)))),ROUND(AD1288/INDEX(Sources!$G$7:$G$10,MATCH(AB1288,Sources!$B$7:$B$10,0)),6),"")</f>
        <v>8.74</v>
      </c>
      <c r="J1288" s="98" t="s">
        <v>530</v>
      </c>
      <c r="K1288" s="98" t="s">
        <v>2059</v>
      </c>
      <c r="L1288" s="96"/>
      <c r="M1288" s="110" t="s">
        <v>4103</v>
      </c>
      <c r="N1288" s="117" t="s">
        <v>4104</v>
      </c>
      <c r="O1288" s="110" t="s">
        <v>2952</v>
      </c>
      <c r="P1288" s="110" t="s">
        <v>590</v>
      </c>
      <c r="Q1288" s="118" t="n">
        <v>0.19</v>
      </c>
      <c r="R1288" s="110" t="n">
        <v>1</v>
      </c>
      <c r="S1288" s="110" t="s">
        <v>632</v>
      </c>
      <c r="T1288" s="110" t="s">
        <v>530</v>
      </c>
      <c r="U1288" s="110" t="s">
        <v>2913</v>
      </c>
      <c r="V1288" s="119" t="n">
        <v>8.74</v>
      </c>
      <c r="W1288" s="119"/>
      <c r="X1288" s="110" t="s">
        <v>2063</v>
      </c>
      <c r="Y1288" s="110" t="s">
        <v>2064</v>
      </c>
      <c r="Z1288" s="110" t="s">
        <v>2978</v>
      </c>
      <c r="AA1288" s="110" t="s">
        <v>537</v>
      </c>
      <c r="AB1288" s="110" t="s">
        <v>244</v>
      </c>
      <c r="AC1288" s="110" t="s">
        <v>538</v>
      </c>
      <c r="AD1288" s="110" t="n">
        <f aca="false">IF(OR(F1288="",Q1288="",R1288=""),"",ROUND(IF(P1288="incl.",F1288/(1+Q1288),F1288)/IF(S1288="per pack",R1288,1),2))</f>
        <v>8.74</v>
      </c>
      <c r="AE1288" s="110" t="str">
        <f aca="false">IF(AND(AC1288="yes",ISNUMBER(F1288),IF(Compare!$H$5="All mapped",TRUE(),IF(Compare!$H$5="EXACT only",J1288="EXACT",OR(J1288="EXACT",J1288="CLOSE")))),"yes","no")</f>
        <v>yes</v>
      </c>
      <c r="AF1288" s="110" t="n">
        <f aca="false">IF(ISNUMBER(H1288),COUNTIFS($B$7:$B$3000,B1288,$C$7:$C$3000,C1288,$H$7:$H$3000,"&lt;"&amp;H1288,$AH$7:$AH$3000,"yes")+COUNTIFS($B$7:B1288,B1288,$C$7:C1288,C1288,$H$7:H1288,H1288,$AH$7:AH1288,"yes"),"")</f>
        <v>5</v>
      </c>
      <c r="AG1288" s="110" t="n">
        <f aca="false">IF(ISNUMBER(I1288),COUNTIFS($B$7:$B$3000,B1288,$C$7:$C$3000,C1288,$I$7:$I$3000,"&lt;"&amp;I1288,$AI$7:$AI$3000,"yes")+COUNTIFS($B$7:B1288,B1288,$C$7:C1288,C1288,$I$7:I1288,I1288,$AI$7:AI1288,"yes"),"")</f>
        <v>5</v>
      </c>
      <c r="AH1288" s="110" t="str">
        <f aca="false">IF(ISNUMBER(H1288),"yes","no")</f>
        <v>yes</v>
      </c>
      <c r="AI1288" s="110" t="str">
        <f aca="false">IF(ISNUMBER(I1288),"yes","no")</f>
        <v>yes</v>
      </c>
      <c r="AJ1288" s="120" t="n">
        <v>46297</v>
      </c>
      <c r="AK1288" s="110"/>
    </row>
    <row r="1289" customFormat="false" ht="35.05" hidden="false" customHeight="false" outlineLevel="0" collapsed="false">
      <c r="B1289" s="36" t="s">
        <v>80</v>
      </c>
      <c r="C1289" s="98" t="s">
        <v>16</v>
      </c>
      <c r="D1289" s="98" t="s">
        <v>321</v>
      </c>
      <c r="E1289" s="110" t="s">
        <v>4105</v>
      </c>
      <c r="F1289" s="99" t="n">
        <v>7.08</v>
      </c>
      <c r="G1289" s="98" t="s">
        <v>244</v>
      </c>
      <c r="H1289" s="112" t="n">
        <f aca="false">IF(AND(AE1289="yes",ISNUMBER(AD1289)),AD1289,"")</f>
        <v>7.08</v>
      </c>
      <c r="I1289" s="95" t="n">
        <f aca="false">IF(AND(AE1289="yes",ISNUMBER(AD1289),ISNUMBER(INDEX(Sources!$G$7:$G$10,MATCH(AB1289,Sources!$B$7:$B$10,0)))),ROUND(AD1289/INDEX(Sources!$G$7:$G$10,MATCH(AB1289,Sources!$B$7:$B$10,0)),6),"")</f>
        <v>7.08</v>
      </c>
      <c r="J1289" s="98" t="s">
        <v>530</v>
      </c>
      <c r="K1289" s="98" t="s">
        <v>2059</v>
      </c>
      <c r="L1289" s="96"/>
      <c r="M1289" s="110" t="s">
        <v>4106</v>
      </c>
      <c r="N1289" s="117" t="s">
        <v>4107</v>
      </c>
      <c r="O1289" s="110" t="s">
        <v>2944</v>
      </c>
      <c r="P1289" s="110" t="s">
        <v>590</v>
      </c>
      <c r="Q1289" s="118" t="n">
        <v>0.19</v>
      </c>
      <c r="R1289" s="110" t="n">
        <v>1</v>
      </c>
      <c r="S1289" s="110" t="s">
        <v>632</v>
      </c>
      <c r="T1289" s="110" t="s">
        <v>530</v>
      </c>
      <c r="U1289" s="110" t="s">
        <v>2913</v>
      </c>
      <c r="V1289" s="119" t="n">
        <v>7.08</v>
      </c>
      <c r="W1289" s="119"/>
      <c r="X1289" s="110" t="s">
        <v>2063</v>
      </c>
      <c r="Y1289" s="110" t="s">
        <v>2064</v>
      </c>
      <c r="Z1289" s="110" t="s">
        <v>2978</v>
      </c>
      <c r="AA1289" s="110" t="s">
        <v>537</v>
      </c>
      <c r="AB1289" s="110" t="s">
        <v>244</v>
      </c>
      <c r="AC1289" s="110" t="s">
        <v>538</v>
      </c>
      <c r="AD1289" s="110" t="n">
        <f aca="false">IF(OR(F1289="",Q1289="",R1289=""),"",ROUND(IF(P1289="incl.",F1289/(1+Q1289),F1289)/IF(S1289="per pack",R1289,1),2))</f>
        <v>7.08</v>
      </c>
      <c r="AE1289" s="110" t="str">
        <f aca="false">IF(AND(AC1289="yes",ISNUMBER(F1289),IF(Compare!$H$5="All mapped",TRUE(),IF(Compare!$H$5="EXACT only",J1289="EXACT",OR(J1289="EXACT",J1289="CLOSE")))),"yes","no")</f>
        <v>yes</v>
      </c>
      <c r="AF1289" s="110" t="n">
        <f aca="false">IF(ISNUMBER(H1289),COUNTIFS($B$7:$B$3000,B1289,$C$7:$C$3000,C1289,$H$7:$H$3000,"&lt;"&amp;H1289,$AH$7:$AH$3000,"yes")+COUNTIFS($B$7:B1289,B1289,$C$7:C1289,C1289,$H$7:H1289,H1289,$AH$7:AH1289,"yes"),"")</f>
        <v>4</v>
      </c>
      <c r="AG1289" s="110" t="n">
        <f aca="false">IF(ISNUMBER(I1289),COUNTIFS($B$7:$B$3000,B1289,$C$7:$C$3000,C1289,$I$7:$I$3000,"&lt;"&amp;I1289,$AI$7:$AI$3000,"yes")+COUNTIFS($B$7:B1289,B1289,$C$7:C1289,C1289,$I$7:I1289,I1289,$AI$7:AI1289,"yes"),"")</f>
        <v>4</v>
      </c>
      <c r="AH1289" s="110" t="str">
        <f aca="false">IF(ISNUMBER(H1289),"yes","no")</f>
        <v>yes</v>
      </c>
      <c r="AI1289" s="110" t="str">
        <f aca="false">IF(ISNUMBER(I1289),"yes","no")</f>
        <v>yes</v>
      </c>
      <c r="AJ1289" s="120" t="n">
        <v>46297</v>
      </c>
      <c r="AK1289" s="110"/>
    </row>
    <row r="1290" customFormat="false" ht="35.05" hidden="false" customHeight="false" outlineLevel="0" collapsed="false">
      <c r="B1290" s="36" t="s">
        <v>80</v>
      </c>
      <c r="C1290" s="98" t="s">
        <v>16</v>
      </c>
      <c r="D1290" s="98" t="s">
        <v>321</v>
      </c>
      <c r="E1290" s="110" t="s">
        <v>4108</v>
      </c>
      <c r="F1290" s="99" t="n">
        <v>6.62</v>
      </c>
      <c r="G1290" s="98" t="s">
        <v>244</v>
      </c>
      <c r="H1290" s="112" t="n">
        <f aca="false">IF(AND(AE1290="yes",ISNUMBER(AD1290)),AD1290,"")</f>
        <v>6.62</v>
      </c>
      <c r="I1290" s="95" t="n">
        <f aca="false">IF(AND(AE1290="yes",ISNUMBER(AD1290),ISNUMBER(INDEX(Sources!$G$7:$G$10,MATCH(AB1290,Sources!$B$7:$B$10,0)))),ROUND(AD1290/INDEX(Sources!$G$7:$G$10,MATCH(AB1290,Sources!$B$7:$B$10,0)),6),"")</f>
        <v>6.62</v>
      </c>
      <c r="J1290" s="98" t="s">
        <v>530</v>
      </c>
      <c r="K1290" s="98" t="s">
        <v>2059</v>
      </c>
      <c r="L1290" s="96"/>
      <c r="M1290" s="110" t="s">
        <v>4109</v>
      </c>
      <c r="N1290" s="117" t="s">
        <v>4110</v>
      </c>
      <c r="O1290" s="110" t="s">
        <v>589</v>
      </c>
      <c r="P1290" s="110" t="s">
        <v>590</v>
      </c>
      <c r="Q1290" s="118" t="n">
        <v>0.19</v>
      </c>
      <c r="R1290" s="110" t="n">
        <v>1</v>
      </c>
      <c r="S1290" s="110" t="s">
        <v>632</v>
      </c>
      <c r="T1290" s="110" t="s">
        <v>530</v>
      </c>
      <c r="U1290" s="110" t="s">
        <v>2913</v>
      </c>
      <c r="V1290" s="119" t="n">
        <v>6.62</v>
      </c>
      <c r="W1290" s="119"/>
      <c r="X1290" s="110" t="s">
        <v>2063</v>
      </c>
      <c r="Y1290" s="110" t="s">
        <v>2064</v>
      </c>
      <c r="Z1290" s="110" t="s">
        <v>2978</v>
      </c>
      <c r="AA1290" s="110" t="s">
        <v>537</v>
      </c>
      <c r="AB1290" s="110" t="s">
        <v>244</v>
      </c>
      <c r="AC1290" s="110" t="s">
        <v>538</v>
      </c>
      <c r="AD1290" s="110" t="n">
        <f aca="false">IF(OR(F1290="",Q1290="",R1290=""),"",ROUND(IF(P1290="incl.",F1290/(1+Q1290),F1290)/IF(S1290="per pack",R1290,1),2))</f>
        <v>6.62</v>
      </c>
      <c r="AE1290" s="110" t="str">
        <f aca="false">IF(AND(AC1290="yes",ISNUMBER(F1290),IF(Compare!$H$5="All mapped",TRUE(),IF(Compare!$H$5="EXACT only",J1290="EXACT",OR(J1290="EXACT",J1290="CLOSE")))),"yes","no")</f>
        <v>yes</v>
      </c>
      <c r="AF1290" s="110" t="n">
        <f aca="false">IF(ISNUMBER(H1290),COUNTIFS($B$7:$B$3000,B1290,$C$7:$C$3000,C1290,$H$7:$H$3000,"&lt;"&amp;H1290,$AH$7:$AH$3000,"yes")+COUNTIFS($B$7:B1290,B1290,$C$7:C1290,C1290,$H$7:H1290,H1290,$AH$7:AH1290,"yes"),"")</f>
        <v>3</v>
      </c>
      <c r="AG1290" s="110" t="n">
        <f aca="false">IF(ISNUMBER(I1290),COUNTIFS($B$7:$B$3000,B1290,$C$7:$C$3000,C1290,$I$7:$I$3000,"&lt;"&amp;I1290,$AI$7:$AI$3000,"yes")+COUNTIFS($B$7:B1290,B1290,$C$7:C1290,C1290,$I$7:I1290,I1290,$AI$7:AI1290,"yes"),"")</f>
        <v>3</v>
      </c>
      <c r="AH1290" s="110" t="str">
        <f aca="false">IF(ISNUMBER(H1290),"yes","no")</f>
        <v>yes</v>
      </c>
      <c r="AI1290" s="110" t="str">
        <f aca="false">IF(ISNUMBER(I1290),"yes","no")</f>
        <v>yes</v>
      </c>
      <c r="AJ1290" s="120" t="n">
        <v>46297</v>
      </c>
      <c r="AK1290" s="110"/>
    </row>
    <row r="1291" customFormat="false" ht="35.05" hidden="false" customHeight="false" outlineLevel="0" collapsed="false">
      <c r="B1291" s="36" t="s">
        <v>80</v>
      </c>
      <c r="C1291" s="98" t="s">
        <v>17</v>
      </c>
      <c r="D1291" s="98" t="s">
        <v>338</v>
      </c>
      <c r="E1291" s="110" t="s">
        <v>4111</v>
      </c>
      <c r="F1291" s="99" t="n">
        <v>126</v>
      </c>
      <c r="G1291" s="98" t="s">
        <v>333</v>
      </c>
      <c r="H1291" s="112" t="n">
        <f aca="false">IF(AND(AE1291="yes",ISNUMBER(AD1291)),AD1291,"")</f>
        <v>126</v>
      </c>
      <c r="I1291" s="95" t="n">
        <f aca="false">IF(AND(AE1291="yes",ISNUMBER(AD1291),ISNUMBER(INDEX(Sources!$G$7:$G$10,MATCH(AB1291,Sources!$B$7:$B$10,0)))),ROUND(AD1291/INDEX(Sources!$G$7:$G$10,MATCH(AB1291,Sources!$B$7:$B$10,0)),6),"")</f>
        <v>5.158941</v>
      </c>
      <c r="J1291" s="98" t="s">
        <v>530</v>
      </c>
      <c r="K1291" s="98" t="s">
        <v>2059</v>
      </c>
      <c r="L1291" s="96"/>
      <c r="M1291" s="110" t="s">
        <v>4112</v>
      </c>
      <c r="N1291" s="117" t="s">
        <v>4113</v>
      </c>
      <c r="O1291" s="110" t="s">
        <v>388</v>
      </c>
      <c r="P1291" s="110" t="s">
        <v>590</v>
      </c>
      <c r="Q1291" s="118" t="n">
        <v>0.21</v>
      </c>
      <c r="R1291" s="110" t="n">
        <v>1</v>
      </c>
      <c r="S1291" s="110" t="s">
        <v>632</v>
      </c>
      <c r="T1291" s="110" t="s">
        <v>530</v>
      </c>
      <c r="U1291" s="110" t="s">
        <v>2913</v>
      </c>
      <c r="V1291" s="119" t="n">
        <v>126</v>
      </c>
      <c r="W1291" s="119"/>
      <c r="X1291" s="110" t="s">
        <v>2063</v>
      </c>
      <c r="Y1291" s="110" t="s">
        <v>2064</v>
      </c>
      <c r="Z1291" s="110" t="s">
        <v>3167</v>
      </c>
      <c r="AA1291" s="110" t="s">
        <v>537</v>
      </c>
      <c r="AB1291" s="110" t="s">
        <v>333</v>
      </c>
      <c r="AC1291" s="110" t="s">
        <v>538</v>
      </c>
      <c r="AD1291" s="110" t="n">
        <f aca="false">IF(OR(F1291="",Q1291="",R1291=""),"",ROUND(IF(P1291="incl.",F1291/(1+Q1291),F1291)/IF(S1291="per pack",R1291,1),2))</f>
        <v>126</v>
      </c>
      <c r="AE1291" s="110" t="str">
        <f aca="false">IF(AND(AC1291="yes",ISNUMBER(F1291),IF(Compare!$H$5="All mapped",TRUE(),IF(Compare!$H$5="EXACT only",J1291="EXACT",OR(J1291="EXACT",J1291="CLOSE")))),"yes","no")</f>
        <v>yes</v>
      </c>
      <c r="AF1291" s="110" t="n">
        <f aca="false">IF(ISNUMBER(H1291),COUNTIFS($B$7:$B$3000,B1291,$C$7:$C$3000,C1291,$H$7:$H$3000,"&lt;"&amp;H1291,$AH$7:$AH$3000,"yes")+COUNTIFS($B$7:B1291,B1291,$C$7:C1291,C1291,$H$7:H1291,H1291,$AH$7:AH1291,"yes"),"")</f>
        <v>4</v>
      </c>
      <c r="AG1291" s="110" t="n">
        <f aca="false">IF(ISNUMBER(I1291),COUNTIFS($B$7:$B$3000,B1291,$C$7:$C$3000,C1291,$I$7:$I$3000,"&lt;"&amp;I1291,$AI$7:$AI$3000,"yes")+COUNTIFS($B$7:B1291,B1291,$C$7:C1291,C1291,$I$7:I1291,I1291,$AI$7:AI1291,"yes"),"")</f>
        <v>4</v>
      </c>
      <c r="AH1291" s="110" t="str">
        <f aca="false">IF(ISNUMBER(H1291),"yes","no")</f>
        <v>yes</v>
      </c>
      <c r="AI1291" s="110" t="str">
        <f aca="false">IF(ISNUMBER(I1291),"yes","no")</f>
        <v>yes</v>
      </c>
      <c r="AJ1291" s="120" t="n">
        <v>46297</v>
      </c>
      <c r="AK1291" s="110"/>
    </row>
    <row r="1292" customFormat="false" ht="35.05" hidden="false" customHeight="false" outlineLevel="0" collapsed="false">
      <c r="B1292" s="36" t="s">
        <v>80</v>
      </c>
      <c r="C1292" s="98" t="s">
        <v>17</v>
      </c>
      <c r="D1292" s="98" t="s">
        <v>342</v>
      </c>
      <c r="E1292" s="110" t="s">
        <v>4114</v>
      </c>
      <c r="F1292" s="99" t="n">
        <v>264</v>
      </c>
      <c r="G1292" s="98" t="s">
        <v>333</v>
      </c>
      <c r="H1292" s="112" t="n">
        <f aca="false">IF(AND(AE1292="yes",ISNUMBER(AD1292)),AD1292,"")</f>
        <v>264</v>
      </c>
      <c r="I1292" s="95" t="n">
        <f aca="false">IF(AND(AE1292="yes",ISNUMBER(AD1292),ISNUMBER(INDEX(Sources!$G$7:$G$10,MATCH(AB1292,Sources!$B$7:$B$10,0)))),ROUND(AD1292/INDEX(Sources!$G$7:$G$10,MATCH(AB1292,Sources!$B$7:$B$10,0)),6),"")</f>
        <v>10.80921</v>
      </c>
      <c r="J1292" s="98" t="s">
        <v>530</v>
      </c>
      <c r="K1292" s="98" t="s">
        <v>2059</v>
      </c>
      <c r="L1292" s="96"/>
      <c r="M1292" s="110" t="s">
        <v>4115</v>
      </c>
      <c r="N1292" s="117" t="s">
        <v>4116</v>
      </c>
      <c r="O1292" s="110" t="s">
        <v>646</v>
      </c>
      <c r="P1292" s="110" t="s">
        <v>590</v>
      </c>
      <c r="Q1292" s="118" t="n">
        <v>0.21</v>
      </c>
      <c r="R1292" s="110" t="n">
        <v>1</v>
      </c>
      <c r="S1292" s="110" t="s">
        <v>632</v>
      </c>
      <c r="T1292" s="110" t="s">
        <v>530</v>
      </c>
      <c r="U1292" s="110" t="s">
        <v>2913</v>
      </c>
      <c r="V1292" s="119" t="n">
        <v>264</v>
      </c>
      <c r="W1292" s="119"/>
      <c r="X1292" s="110" t="s">
        <v>2063</v>
      </c>
      <c r="Y1292" s="110" t="s">
        <v>2064</v>
      </c>
      <c r="Z1292" s="110" t="s">
        <v>2989</v>
      </c>
      <c r="AA1292" s="110" t="s">
        <v>537</v>
      </c>
      <c r="AB1292" s="110" t="s">
        <v>333</v>
      </c>
      <c r="AC1292" s="110" t="s">
        <v>538</v>
      </c>
      <c r="AD1292" s="110" t="n">
        <f aca="false">IF(OR(F1292="",Q1292="",R1292=""),"",ROUND(IF(P1292="incl.",F1292/(1+Q1292),F1292)/IF(S1292="per pack",R1292,1),2))</f>
        <v>264</v>
      </c>
      <c r="AE1292" s="110" t="str">
        <f aca="false">IF(AND(AC1292="yes",ISNUMBER(F1292),IF(Compare!$H$5="All mapped",TRUE(),IF(Compare!$H$5="EXACT only",J1292="EXACT",OR(J1292="EXACT",J1292="CLOSE")))),"yes","no")</f>
        <v>yes</v>
      </c>
      <c r="AF1292" s="110" t="n">
        <f aca="false">IF(ISNUMBER(H1292),COUNTIFS($B$7:$B$3000,B1292,$C$7:$C$3000,C1292,$H$7:$H$3000,"&lt;"&amp;H1292,$AH$7:$AH$3000,"yes")+COUNTIFS($B$7:B1292,B1292,$C$7:C1292,C1292,$H$7:H1292,H1292,$AH$7:AH1292,"yes"),"")</f>
        <v>5</v>
      </c>
      <c r="AG1292" s="110" t="n">
        <f aca="false">IF(ISNUMBER(I1292),COUNTIFS($B$7:$B$3000,B1292,$C$7:$C$3000,C1292,$I$7:$I$3000,"&lt;"&amp;I1292,$AI$7:$AI$3000,"yes")+COUNTIFS($B$7:B1292,B1292,$C$7:C1292,C1292,$I$7:I1292,I1292,$AI$7:AI1292,"yes"),"")</f>
        <v>5</v>
      </c>
      <c r="AH1292" s="110" t="str">
        <f aca="false">IF(ISNUMBER(H1292),"yes","no")</f>
        <v>yes</v>
      </c>
      <c r="AI1292" s="110" t="str">
        <f aca="false">IF(ISNUMBER(I1292),"yes","no")</f>
        <v>yes</v>
      </c>
      <c r="AJ1292" s="120" t="n">
        <v>46297</v>
      </c>
      <c r="AK1292" s="110"/>
    </row>
    <row r="1293" customFormat="false" ht="35.05" hidden="false" customHeight="false" outlineLevel="0" collapsed="false">
      <c r="B1293" s="36" t="s">
        <v>80</v>
      </c>
      <c r="C1293" s="98" t="s">
        <v>17</v>
      </c>
      <c r="D1293" s="98" t="s">
        <v>350</v>
      </c>
      <c r="E1293" s="110" t="s">
        <v>4117</v>
      </c>
      <c r="F1293" s="99" t="n">
        <v>111</v>
      </c>
      <c r="G1293" s="98" t="s">
        <v>333</v>
      </c>
      <c r="H1293" s="112" t="n">
        <f aca="false">IF(AND(AE1293="yes",ISNUMBER(AD1293)),AD1293,"")</f>
        <v>91.74</v>
      </c>
      <c r="I1293" s="95" t="n">
        <f aca="false">IF(AND(AE1293="yes",ISNUMBER(AD1293),ISNUMBER(INDEX(Sources!$G$7:$G$10,MATCH(AB1293,Sources!$B$7:$B$10,0)))),ROUND(AD1293/INDEX(Sources!$G$7:$G$10,MATCH(AB1293,Sources!$B$7:$B$10,0)),6),"")</f>
        <v>3.756201</v>
      </c>
      <c r="J1293" s="98" t="s">
        <v>530</v>
      </c>
      <c r="K1293" s="98" t="s">
        <v>2059</v>
      </c>
      <c r="L1293" s="96"/>
      <c r="M1293" s="110" t="s">
        <v>4118</v>
      </c>
      <c r="N1293" s="117" t="s">
        <v>4119</v>
      </c>
      <c r="O1293" s="110" t="s">
        <v>2997</v>
      </c>
      <c r="P1293" s="110" t="s">
        <v>265</v>
      </c>
      <c r="Q1293" s="118" t="n">
        <v>0.21</v>
      </c>
      <c r="R1293" s="110" t="n">
        <v>1</v>
      </c>
      <c r="S1293" s="110" t="s">
        <v>632</v>
      </c>
      <c r="T1293" s="110" t="s">
        <v>530</v>
      </c>
      <c r="U1293" s="110" t="s">
        <v>2918</v>
      </c>
      <c r="V1293" s="119" t="n">
        <v>91.74</v>
      </c>
      <c r="W1293" s="119"/>
      <c r="X1293" s="110" t="s">
        <v>2063</v>
      </c>
      <c r="Y1293" s="110" t="s">
        <v>2064</v>
      </c>
      <c r="Z1293" s="110" t="s">
        <v>2349</v>
      </c>
      <c r="AA1293" s="110" t="s">
        <v>537</v>
      </c>
      <c r="AB1293" s="110" t="s">
        <v>333</v>
      </c>
      <c r="AC1293" s="110" t="s">
        <v>538</v>
      </c>
      <c r="AD1293" s="110" t="n">
        <f aca="false">IF(OR(F1293="",Q1293="",R1293=""),"",ROUND(IF(P1293="incl.",F1293/(1+Q1293),F1293)/IF(S1293="per pack",R1293,1),2))</f>
        <v>91.74</v>
      </c>
      <c r="AE1293" s="110" t="str">
        <f aca="false">IF(AND(AC1293="yes",ISNUMBER(F1293),IF(Compare!$H$5="All mapped",TRUE(),IF(Compare!$H$5="EXACT only",J1293="EXACT",OR(J1293="EXACT",J1293="CLOSE")))),"yes","no")</f>
        <v>yes</v>
      </c>
      <c r="AF1293" s="110" t="n">
        <f aca="false">IF(ISNUMBER(H1293),COUNTIFS($B$7:$B$3000,B1293,$C$7:$C$3000,C1293,$H$7:$H$3000,"&lt;"&amp;H1293,$AH$7:$AH$3000,"yes")+COUNTIFS($B$7:B1293,B1293,$C$7:C1293,C1293,$H$7:H1293,H1293,$AH$7:AH1293,"yes"),"")</f>
        <v>3</v>
      </c>
      <c r="AG1293" s="110" t="n">
        <f aca="false">IF(ISNUMBER(I1293),COUNTIFS($B$7:$B$3000,B1293,$C$7:$C$3000,C1293,$I$7:$I$3000,"&lt;"&amp;I1293,$AI$7:$AI$3000,"yes")+COUNTIFS($B$7:B1293,B1293,$C$7:C1293,C1293,$I$7:I1293,I1293,$AI$7:AI1293,"yes"),"")</f>
        <v>3</v>
      </c>
      <c r="AH1293" s="110" t="str">
        <f aca="false">IF(ISNUMBER(H1293),"yes","no")</f>
        <v>yes</v>
      </c>
      <c r="AI1293" s="110" t="str">
        <f aca="false">IF(ISNUMBER(I1293),"yes","no")</f>
        <v>yes</v>
      </c>
      <c r="AJ1293" s="120" t="n">
        <v>46297</v>
      </c>
      <c r="AK1293" s="110"/>
    </row>
    <row r="1294" customFormat="false" ht="35.05" hidden="false" customHeight="false" outlineLevel="0" collapsed="false">
      <c r="B1294" s="36" t="s">
        <v>80</v>
      </c>
      <c r="C1294" s="98" t="s">
        <v>17</v>
      </c>
      <c r="D1294" s="98" t="s">
        <v>357</v>
      </c>
      <c r="E1294" s="110" t="s">
        <v>4120</v>
      </c>
      <c r="F1294" s="99" t="n">
        <v>67.44</v>
      </c>
      <c r="G1294" s="98" t="s">
        <v>333</v>
      </c>
      <c r="H1294" s="112" t="n">
        <f aca="false">IF(AND(AE1294="yes",ISNUMBER(AD1294)),AD1294,"")</f>
        <v>67.44</v>
      </c>
      <c r="I1294" s="95" t="n">
        <f aca="false">IF(AND(AE1294="yes",ISNUMBER(AD1294),ISNUMBER(INDEX(Sources!$G$7:$G$10,MATCH(AB1294,Sources!$B$7:$B$10,0)))),ROUND(AD1294/INDEX(Sources!$G$7:$G$10,MATCH(AB1294,Sources!$B$7:$B$10,0)),6),"")</f>
        <v>2.761262</v>
      </c>
      <c r="J1294" s="98" t="s">
        <v>530</v>
      </c>
      <c r="K1294" s="98" t="s">
        <v>2059</v>
      </c>
      <c r="L1294" s="96"/>
      <c r="M1294" s="110" t="s">
        <v>4121</v>
      </c>
      <c r="N1294" s="117" t="s">
        <v>4122</v>
      </c>
      <c r="O1294" s="110" t="s">
        <v>3581</v>
      </c>
      <c r="P1294" s="110" t="s">
        <v>590</v>
      </c>
      <c r="Q1294" s="118" t="n">
        <v>0.21</v>
      </c>
      <c r="R1294" s="110" t="n">
        <v>1</v>
      </c>
      <c r="S1294" s="110" t="s">
        <v>632</v>
      </c>
      <c r="T1294" s="110" t="s">
        <v>530</v>
      </c>
      <c r="U1294" s="110" t="s">
        <v>2913</v>
      </c>
      <c r="V1294" s="119" t="n">
        <v>67.44</v>
      </c>
      <c r="W1294" s="119"/>
      <c r="X1294" s="110" t="s">
        <v>2063</v>
      </c>
      <c r="Y1294" s="110" t="s">
        <v>2064</v>
      </c>
      <c r="Z1294" s="110" t="s">
        <v>3582</v>
      </c>
      <c r="AA1294" s="110" t="s">
        <v>537</v>
      </c>
      <c r="AB1294" s="110" t="s">
        <v>333</v>
      </c>
      <c r="AC1294" s="110" t="s">
        <v>538</v>
      </c>
      <c r="AD1294" s="110" t="n">
        <f aca="false">IF(OR(F1294="",Q1294="",R1294=""),"",ROUND(IF(P1294="incl.",F1294/(1+Q1294),F1294)/IF(S1294="per pack",R1294,1),2))</f>
        <v>67.44</v>
      </c>
      <c r="AE1294" s="110" t="str">
        <f aca="false">IF(AND(AC1294="yes",ISNUMBER(F1294),IF(Compare!$H$5="All mapped",TRUE(),IF(Compare!$H$5="EXACT only",J1294="EXACT",OR(J1294="EXACT",J1294="CLOSE")))),"yes","no")</f>
        <v>yes</v>
      </c>
      <c r="AF1294" s="110" t="n">
        <f aca="false">IF(ISNUMBER(H1294),COUNTIFS($B$7:$B$3000,B1294,$C$7:$C$3000,C1294,$H$7:$H$3000,"&lt;"&amp;H1294,$AH$7:$AH$3000,"yes")+COUNTIFS($B$7:B1294,B1294,$C$7:C1294,C1294,$H$7:H1294,H1294,$AH$7:AH1294,"yes"),"")</f>
        <v>1</v>
      </c>
      <c r="AG1294" s="110" t="n">
        <f aca="false">IF(ISNUMBER(I1294),COUNTIFS($B$7:$B$3000,B1294,$C$7:$C$3000,C1294,$I$7:$I$3000,"&lt;"&amp;I1294,$AI$7:$AI$3000,"yes")+COUNTIFS($B$7:B1294,B1294,$C$7:C1294,C1294,$I$7:I1294,I1294,$AI$7:AI1294,"yes"),"")</f>
        <v>1</v>
      </c>
      <c r="AH1294" s="110" t="str">
        <f aca="false">IF(ISNUMBER(H1294),"yes","no")</f>
        <v>yes</v>
      </c>
      <c r="AI1294" s="110" t="str">
        <f aca="false">IF(ISNUMBER(I1294),"yes","no")</f>
        <v>yes</v>
      </c>
      <c r="AJ1294" s="120" t="n">
        <v>46297</v>
      </c>
      <c r="AK1294" s="110"/>
    </row>
    <row r="1295" customFormat="false" ht="23.85" hidden="false" customHeight="false" outlineLevel="0" collapsed="false">
      <c r="B1295" s="36" t="s">
        <v>80</v>
      </c>
      <c r="C1295" s="98" t="s">
        <v>17</v>
      </c>
      <c r="D1295" s="98" t="s">
        <v>361</v>
      </c>
      <c r="E1295" s="110" t="s">
        <v>4120</v>
      </c>
      <c r="F1295" s="99" t="n">
        <v>70</v>
      </c>
      <c r="G1295" s="98" t="s">
        <v>333</v>
      </c>
      <c r="H1295" s="112" t="n">
        <f aca="false">IF(AND(AE1295="yes",ISNUMBER(AD1295)),AD1295,"")</f>
        <v>70</v>
      </c>
      <c r="I1295" s="95" t="n">
        <f aca="false">IF(AND(AE1295="yes",ISNUMBER(AD1295),ISNUMBER(INDEX(Sources!$G$7:$G$10,MATCH(AB1295,Sources!$B$7:$B$10,0)))),ROUND(AD1295/INDEX(Sources!$G$7:$G$10,MATCH(AB1295,Sources!$B$7:$B$10,0)),6),"")</f>
        <v>2.866079</v>
      </c>
      <c r="J1295" s="98" t="s">
        <v>530</v>
      </c>
      <c r="K1295" s="98" t="s">
        <v>2059</v>
      </c>
      <c r="L1295" s="96"/>
      <c r="M1295" s="110" t="s">
        <v>4123</v>
      </c>
      <c r="N1295" s="117" t="s">
        <v>4124</v>
      </c>
      <c r="O1295" s="110" t="s">
        <v>361</v>
      </c>
      <c r="P1295" s="110" t="s">
        <v>590</v>
      </c>
      <c r="Q1295" s="118" t="n">
        <v>0.21</v>
      </c>
      <c r="R1295" s="110" t="n">
        <v>1</v>
      </c>
      <c r="S1295" s="110" t="s">
        <v>632</v>
      </c>
      <c r="T1295" s="110" t="s">
        <v>530</v>
      </c>
      <c r="U1295" s="110" t="s">
        <v>2913</v>
      </c>
      <c r="V1295" s="119" t="n">
        <v>70</v>
      </c>
      <c r="W1295" s="119"/>
      <c r="X1295" s="110" t="s">
        <v>2063</v>
      </c>
      <c r="Y1295" s="110" t="s">
        <v>2064</v>
      </c>
      <c r="Z1295" s="110" t="s">
        <v>4125</v>
      </c>
      <c r="AA1295" s="110" t="s">
        <v>537</v>
      </c>
      <c r="AB1295" s="110" t="s">
        <v>333</v>
      </c>
      <c r="AC1295" s="110" t="s">
        <v>538</v>
      </c>
      <c r="AD1295" s="110" t="n">
        <f aca="false">IF(OR(F1295="",Q1295="",R1295=""),"",ROUND(IF(P1295="incl.",F1295/(1+Q1295),F1295)/IF(S1295="per pack",R1295,1),2))</f>
        <v>70</v>
      </c>
      <c r="AE1295" s="110" t="str">
        <f aca="false">IF(AND(AC1295="yes",ISNUMBER(F1295),IF(Compare!$H$5="All mapped",TRUE(),IF(Compare!$H$5="EXACT only",J1295="EXACT",OR(J1295="EXACT",J1295="CLOSE")))),"yes","no")</f>
        <v>yes</v>
      </c>
      <c r="AF1295" s="110" t="n">
        <f aca="false">IF(ISNUMBER(H1295),COUNTIFS($B$7:$B$3000,B1295,$C$7:$C$3000,C1295,$H$7:$H$3000,"&lt;"&amp;H1295,$AH$7:$AH$3000,"yes")+COUNTIFS($B$7:B1295,B1295,$C$7:C1295,C1295,$H$7:H1295,H1295,$AH$7:AH1295,"yes"),"")</f>
        <v>2</v>
      </c>
      <c r="AG1295" s="110" t="n">
        <f aca="false">IF(ISNUMBER(I1295),COUNTIFS($B$7:$B$3000,B1295,$C$7:$C$3000,C1295,$I$7:$I$3000,"&lt;"&amp;I1295,$AI$7:$AI$3000,"yes")+COUNTIFS($B$7:B1295,B1295,$C$7:C1295,C1295,$I$7:I1295,I1295,$AI$7:AI1295,"yes"),"")</f>
        <v>2</v>
      </c>
      <c r="AH1295" s="110" t="str">
        <f aca="false">IF(ISNUMBER(H1295),"yes","no")</f>
        <v>yes</v>
      </c>
      <c r="AI1295" s="110" t="str">
        <f aca="false">IF(ISNUMBER(I1295),"yes","no")</f>
        <v>yes</v>
      </c>
      <c r="AJ1295" s="120" t="n">
        <v>46297</v>
      </c>
      <c r="AK1295" s="110"/>
    </row>
    <row r="1296" customFormat="false" ht="23.85" hidden="false" customHeight="false" outlineLevel="0" collapsed="false">
      <c r="B1296" s="36" t="s">
        <v>80</v>
      </c>
      <c r="C1296" s="98" t="s">
        <v>18</v>
      </c>
      <c r="D1296" s="98" t="s">
        <v>3002</v>
      </c>
      <c r="E1296" s="110" t="s">
        <v>4126</v>
      </c>
      <c r="F1296" s="99" t="n">
        <v>6.05</v>
      </c>
      <c r="G1296" s="98" t="s">
        <v>244</v>
      </c>
      <c r="H1296" s="112" t="n">
        <f aca="false">IF(AND(AE1296="yes",ISNUMBER(AD1296)),AD1296,"")</f>
        <v>6.05</v>
      </c>
      <c r="I1296" s="95" t="n">
        <f aca="false">IF(AND(AE1296="yes",ISNUMBER(AD1296),ISNUMBER(INDEX(Sources!$G$7:$G$10,MATCH(AB1296,Sources!$B$7:$B$10,0)))),ROUND(AD1296/INDEX(Sources!$G$7:$G$10,MATCH(AB1296,Sources!$B$7:$B$10,0)),6),"")</f>
        <v>6.05</v>
      </c>
      <c r="J1296" s="98" t="s">
        <v>530</v>
      </c>
      <c r="K1296" s="98" t="s">
        <v>2059</v>
      </c>
      <c r="L1296" s="96"/>
      <c r="M1296" s="110" t="s">
        <v>4127</v>
      </c>
      <c r="N1296" s="117" t="s">
        <v>4128</v>
      </c>
      <c r="O1296" s="110" t="s">
        <v>2396</v>
      </c>
      <c r="P1296" s="110" t="s">
        <v>590</v>
      </c>
      <c r="Q1296" s="118" t="n">
        <v>0.23</v>
      </c>
      <c r="R1296" s="110" t="n">
        <v>1</v>
      </c>
      <c r="S1296" s="110" t="s">
        <v>632</v>
      </c>
      <c r="T1296" s="110" t="s">
        <v>530</v>
      </c>
      <c r="U1296" s="110" t="s">
        <v>2913</v>
      </c>
      <c r="V1296" s="119" t="n">
        <v>6.05</v>
      </c>
      <c r="W1296" s="119"/>
      <c r="X1296" s="110" t="s">
        <v>2063</v>
      </c>
      <c r="Y1296" s="110" t="s">
        <v>2064</v>
      </c>
      <c r="Z1296" s="110" t="s">
        <v>3268</v>
      </c>
      <c r="AA1296" s="110" t="s">
        <v>537</v>
      </c>
      <c r="AB1296" s="110" t="s">
        <v>244</v>
      </c>
      <c r="AC1296" s="110" t="s">
        <v>538</v>
      </c>
      <c r="AD1296" s="110" t="n">
        <f aca="false">IF(OR(F1296="",Q1296="",R1296=""),"",ROUND(IF(P1296="incl.",F1296/(1+Q1296),F1296)/IF(S1296="per pack",R1296,1),2))</f>
        <v>6.05</v>
      </c>
      <c r="AE1296" s="110" t="str">
        <f aca="false">IF(AND(AC1296="yes",ISNUMBER(F1296),IF(Compare!$H$5="All mapped",TRUE(),IF(Compare!$H$5="EXACT only",J1296="EXACT",OR(J1296="EXACT",J1296="CLOSE")))),"yes","no")</f>
        <v>yes</v>
      </c>
      <c r="AF1296" s="110" t="n">
        <f aca="false">IF(ISNUMBER(H1296),COUNTIFS($B$7:$B$3000,B1296,$C$7:$C$3000,C1296,$H$7:$H$3000,"&lt;"&amp;H1296,$AH$7:$AH$3000,"yes")+COUNTIFS($B$7:B1296,B1296,$C$7:C1296,C1296,$H$7:H1296,H1296,$AH$7:AH1296,"yes"),"")</f>
        <v>3</v>
      </c>
      <c r="AG1296" s="110" t="n">
        <f aca="false">IF(ISNUMBER(I1296),COUNTIFS($B$7:$B$3000,B1296,$C$7:$C$3000,C1296,$I$7:$I$3000,"&lt;"&amp;I1296,$AI$7:$AI$3000,"yes")+COUNTIFS($B$7:B1296,B1296,$C$7:C1296,C1296,$I$7:I1296,I1296,$AI$7:AI1296,"yes"),"")</f>
        <v>3</v>
      </c>
      <c r="AH1296" s="110" t="str">
        <f aca="false">IF(ISNUMBER(H1296),"yes","no")</f>
        <v>yes</v>
      </c>
      <c r="AI1296" s="110" t="str">
        <f aca="false">IF(ISNUMBER(I1296),"yes","no")</f>
        <v>yes</v>
      </c>
      <c r="AJ1296" s="120" t="n">
        <v>46297</v>
      </c>
      <c r="AK1296" s="110"/>
    </row>
    <row r="1297" customFormat="false" ht="23.85" hidden="false" customHeight="false" outlineLevel="0" collapsed="false">
      <c r="B1297" s="36" t="s">
        <v>80</v>
      </c>
      <c r="C1297" s="98" t="s">
        <v>18</v>
      </c>
      <c r="D1297" s="98" t="s">
        <v>3007</v>
      </c>
      <c r="E1297" s="110" t="s">
        <v>4129</v>
      </c>
      <c r="F1297" s="99" t="n">
        <v>4.97</v>
      </c>
      <c r="G1297" s="98" t="s">
        <v>244</v>
      </c>
      <c r="H1297" s="112" t="n">
        <f aca="false">IF(AND(AE1297="yes",ISNUMBER(AD1297)),AD1297,"")</f>
        <v>4.97</v>
      </c>
      <c r="I1297" s="95" t="n">
        <f aca="false">IF(AND(AE1297="yes",ISNUMBER(AD1297),ISNUMBER(INDEX(Sources!$G$7:$G$10,MATCH(AB1297,Sources!$B$7:$B$10,0)))),ROUND(AD1297/INDEX(Sources!$G$7:$G$10,MATCH(AB1297,Sources!$B$7:$B$10,0)),6),"")</f>
        <v>4.97</v>
      </c>
      <c r="J1297" s="98" t="s">
        <v>530</v>
      </c>
      <c r="K1297" s="98" t="s">
        <v>2059</v>
      </c>
      <c r="L1297" s="96"/>
      <c r="M1297" s="110" t="s">
        <v>4130</v>
      </c>
      <c r="N1297" s="117" t="s">
        <v>3010</v>
      </c>
      <c r="O1297" s="110" t="s">
        <v>3011</v>
      </c>
      <c r="P1297" s="110" t="s">
        <v>590</v>
      </c>
      <c r="Q1297" s="118" t="n">
        <v>0.23</v>
      </c>
      <c r="R1297" s="110" t="n">
        <v>1</v>
      </c>
      <c r="S1297" s="110" t="s">
        <v>632</v>
      </c>
      <c r="T1297" s="110" t="s">
        <v>530</v>
      </c>
      <c r="U1297" s="110" t="s">
        <v>2913</v>
      </c>
      <c r="V1297" s="119" t="n">
        <v>4.97</v>
      </c>
      <c r="W1297" s="119"/>
      <c r="X1297" s="110" t="s">
        <v>2063</v>
      </c>
      <c r="Y1297" s="110" t="s">
        <v>2064</v>
      </c>
      <c r="Z1297" s="110" t="s">
        <v>3012</v>
      </c>
      <c r="AA1297" s="110" t="s">
        <v>537</v>
      </c>
      <c r="AB1297" s="110" t="s">
        <v>244</v>
      </c>
      <c r="AC1297" s="110" t="s">
        <v>538</v>
      </c>
      <c r="AD1297" s="110" t="n">
        <f aca="false">IF(OR(F1297="",Q1297="",R1297=""),"",ROUND(IF(P1297="incl.",F1297/(1+Q1297),F1297)/IF(S1297="per pack",R1297,1),2))</f>
        <v>4.97</v>
      </c>
      <c r="AE1297" s="110" t="str">
        <f aca="false">IF(AND(AC1297="yes",ISNUMBER(F1297),IF(Compare!$H$5="All mapped",TRUE(),IF(Compare!$H$5="EXACT only",J1297="EXACT",OR(J1297="EXACT",J1297="CLOSE")))),"yes","no")</f>
        <v>yes</v>
      </c>
      <c r="AF1297" s="110" t="n">
        <f aca="false">IF(ISNUMBER(H1297),COUNTIFS($B$7:$B$3000,B1297,$C$7:$C$3000,C1297,$H$7:$H$3000,"&lt;"&amp;H1297,$AH$7:$AH$3000,"yes")+COUNTIFS($B$7:B1297,B1297,$C$7:C1297,C1297,$H$7:H1297,H1297,$AH$7:AH1297,"yes"),"")</f>
        <v>2</v>
      </c>
      <c r="AG1297" s="110" t="n">
        <f aca="false">IF(ISNUMBER(I1297),COUNTIFS($B$7:$B$3000,B1297,$C$7:$C$3000,C1297,$I$7:$I$3000,"&lt;"&amp;I1297,$AI$7:$AI$3000,"yes")+COUNTIFS($B$7:B1297,B1297,$C$7:C1297,C1297,$I$7:I1297,I1297,$AI$7:AI1297,"yes"),"")</f>
        <v>2</v>
      </c>
      <c r="AH1297" s="110" t="str">
        <f aca="false">IF(ISNUMBER(H1297),"yes","no")</f>
        <v>yes</v>
      </c>
      <c r="AI1297" s="110" t="str">
        <f aca="false">IF(ISNUMBER(I1297),"yes","no")</f>
        <v>yes</v>
      </c>
      <c r="AJ1297" s="120" t="n">
        <v>46297</v>
      </c>
      <c r="AK1297" s="110"/>
    </row>
    <row r="1298" customFormat="false" ht="23.85" hidden="false" customHeight="false" outlineLevel="0" collapsed="false">
      <c r="B1298" s="36" t="s">
        <v>80</v>
      </c>
      <c r="C1298" s="98" t="s">
        <v>18</v>
      </c>
      <c r="D1298" s="98" t="s">
        <v>365</v>
      </c>
      <c r="E1298" s="110" t="s">
        <v>4131</v>
      </c>
      <c r="F1298" s="99" t="n">
        <v>12.64</v>
      </c>
      <c r="G1298" s="98" t="s">
        <v>244</v>
      </c>
      <c r="H1298" s="112" t="n">
        <f aca="false">IF(AND(AE1298="yes",ISNUMBER(AD1298)),AD1298,"")</f>
        <v>10.28</v>
      </c>
      <c r="I1298" s="95" t="n">
        <f aca="false">IF(AND(AE1298="yes",ISNUMBER(AD1298),ISNUMBER(INDEX(Sources!$G$7:$G$10,MATCH(AB1298,Sources!$B$7:$B$10,0)))),ROUND(AD1298/INDEX(Sources!$G$7:$G$10,MATCH(AB1298,Sources!$B$7:$B$10,0)),6),"")</f>
        <v>10.28</v>
      </c>
      <c r="J1298" s="98" t="s">
        <v>530</v>
      </c>
      <c r="K1298" s="98" t="s">
        <v>2059</v>
      </c>
      <c r="L1298" s="96"/>
      <c r="M1298" s="110" t="s">
        <v>4132</v>
      </c>
      <c r="N1298" s="117" t="s">
        <v>4133</v>
      </c>
      <c r="O1298" s="110" t="s">
        <v>3897</v>
      </c>
      <c r="P1298" s="110" t="s">
        <v>265</v>
      </c>
      <c r="Q1298" s="118" t="n">
        <v>0.23</v>
      </c>
      <c r="R1298" s="110" t="n">
        <v>1</v>
      </c>
      <c r="S1298" s="110" t="s">
        <v>632</v>
      </c>
      <c r="T1298" s="110" t="s">
        <v>530</v>
      </c>
      <c r="U1298" s="110" t="s">
        <v>2918</v>
      </c>
      <c r="V1298" s="119" t="n">
        <v>10.28</v>
      </c>
      <c r="W1298" s="119"/>
      <c r="X1298" s="110" t="s">
        <v>2063</v>
      </c>
      <c r="Y1298" s="110" t="s">
        <v>2064</v>
      </c>
      <c r="Z1298" s="110" t="s">
        <v>3016</v>
      </c>
      <c r="AA1298" s="110" t="s">
        <v>537</v>
      </c>
      <c r="AB1298" s="110" t="s">
        <v>244</v>
      </c>
      <c r="AC1298" s="110" t="s">
        <v>538</v>
      </c>
      <c r="AD1298" s="110" t="n">
        <f aca="false">IF(OR(F1298="",Q1298="",R1298=""),"",ROUND(IF(P1298="incl.",F1298/(1+Q1298),F1298)/IF(S1298="per pack",R1298,1),2))</f>
        <v>10.28</v>
      </c>
      <c r="AE1298" s="110" t="str">
        <f aca="false">IF(AND(AC1298="yes",ISNUMBER(F1298),IF(Compare!$H$5="All mapped",TRUE(),IF(Compare!$H$5="EXACT only",J1298="EXACT",OR(J1298="EXACT",J1298="CLOSE")))),"yes","no")</f>
        <v>yes</v>
      </c>
      <c r="AF1298" s="110" t="n">
        <f aca="false">IF(ISNUMBER(H1298),COUNTIFS($B$7:$B$3000,B1298,$C$7:$C$3000,C1298,$H$7:$H$3000,"&lt;"&amp;H1298,$AH$7:$AH$3000,"yes")+COUNTIFS($B$7:B1298,B1298,$C$7:C1298,C1298,$H$7:H1298,H1298,$AH$7:AH1298,"yes"),"")</f>
        <v>5</v>
      </c>
      <c r="AG1298" s="110" t="n">
        <f aca="false">IF(ISNUMBER(I1298),COUNTIFS($B$7:$B$3000,B1298,$C$7:$C$3000,C1298,$I$7:$I$3000,"&lt;"&amp;I1298,$AI$7:$AI$3000,"yes")+COUNTIFS($B$7:B1298,B1298,$C$7:C1298,C1298,$I$7:I1298,I1298,$AI$7:AI1298,"yes"),"")</f>
        <v>5</v>
      </c>
      <c r="AH1298" s="110" t="str">
        <f aca="false">IF(ISNUMBER(H1298),"yes","no")</f>
        <v>yes</v>
      </c>
      <c r="AI1298" s="110" t="str">
        <f aca="false">IF(ISNUMBER(I1298),"yes","no")</f>
        <v>yes</v>
      </c>
      <c r="AJ1298" s="120" t="n">
        <v>46297</v>
      </c>
      <c r="AK1298" s="110"/>
    </row>
    <row r="1299" customFormat="false" ht="23.85" hidden="false" customHeight="false" outlineLevel="0" collapsed="false">
      <c r="B1299" s="36" t="s">
        <v>80</v>
      </c>
      <c r="C1299" s="98" t="s">
        <v>18</v>
      </c>
      <c r="D1299" s="98" t="s">
        <v>369</v>
      </c>
      <c r="E1299" s="110" t="s">
        <v>4134</v>
      </c>
      <c r="F1299" s="99" t="n">
        <v>11.76</v>
      </c>
      <c r="G1299" s="98" t="s">
        <v>244</v>
      </c>
      <c r="H1299" s="112" t="n">
        <f aca="false">IF(AND(AE1299="yes",ISNUMBER(AD1299)),AD1299,"")</f>
        <v>9.56</v>
      </c>
      <c r="I1299" s="95" t="n">
        <f aca="false">IF(AND(AE1299="yes",ISNUMBER(AD1299),ISNUMBER(INDEX(Sources!$G$7:$G$10,MATCH(AB1299,Sources!$B$7:$B$10,0)))),ROUND(AD1299/INDEX(Sources!$G$7:$G$10,MATCH(AB1299,Sources!$B$7:$B$10,0)),6),"")</f>
        <v>9.56</v>
      </c>
      <c r="J1299" s="98" t="s">
        <v>530</v>
      </c>
      <c r="K1299" s="98" t="s">
        <v>2059</v>
      </c>
      <c r="L1299" s="96"/>
      <c r="M1299" s="110" t="s">
        <v>4135</v>
      </c>
      <c r="N1299" s="117" t="s">
        <v>4136</v>
      </c>
      <c r="O1299" s="110" t="s">
        <v>4137</v>
      </c>
      <c r="P1299" s="110" t="s">
        <v>265</v>
      </c>
      <c r="Q1299" s="118" t="n">
        <v>0.23</v>
      </c>
      <c r="R1299" s="110" t="n">
        <v>1</v>
      </c>
      <c r="S1299" s="110" t="s">
        <v>632</v>
      </c>
      <c r="T1299" s="110" t="s">
        <v>530</v>
      </c>
      <c r="U1299" s="110" t="s">
        <v>2918</v>
      </c>
      <c r="V1299" s="119" t="n">
        <v>9.56</v>
      </c>
      <c r="W1299" s="119"/>
      <c r="X1299" s="110" t="s">
        <v>2063</v>
      </c>
      <c r="Y1299" s="110" t="s">
        <v>2064</v>
      </c>
      <c r="Z1299" s="110" t="s">
        <v>4138</v>
      </c>
      <c r="AA1299" s="110" t="s">
        <v>537</v>
      </c>
      <c r="AB1299" s="110" t="s">
        <v>244</v>
      </c>
      <c r="AC1299" s="110" t="s">
        <v>538</v>
      </c>
      <c r="AD1299" s="110" t="n">
        <f aca="false">IF(OR(F1299="",Q1299="",R1299=""),"",ROUND(IF(P1299="incl.",F1299/(1+Q1299),F1299)/IF(S1299="per pack",R1299,1),2))</f>
        <v>9.56</v>
      </c>
      <c r="AE1299" s="110" t="str">
        <f aca="false">IF(AND(AC1299="yes",ISNUMBER(F1299),IF(Compare!$H$5="All mapped",TRUE(),IF(Compare!$H$5="EXACT only",J1299="EXACT",OR(J1299="EXACT",J1299="CLOSE")))),"yes","no")</f>
        <v>yes</v>
      </c>
      <c r="AF1299" s="110" t="n">
        <f aca="false">IF(ISNUMBER(H1299),COUNTIFS($B$7:$B$3000,B1299,$C$7:$C$3000,C1299,$H$7:$H$3000,"&lt;"&amp;H1299,$AH$7:$AH$3000,"yes")+COUNTIFS($B$7:B1299,B1299,$C$7:C1299,C1299,$H$7:H1299,H1299,$AH$7:AH1299,"yes"),"")</f>
        <v>4</v>
      </c>
      <c r="AG1299" s="110" t="n">
        <f aca="false">IF(ISNUMBER(I1299),COUNTIFS($B$7:$B$3000,B1299,$C$7:$C$3000,C1299,$I$7:$I$3000,"&lt;"&amp;I1299,$AI$7:$AI$3000,"yes")+COUNTIFS($B$7:B1299,B1299,$C$7:C1299,C1299,$I$7:I1299,I1299,$AI$7:AI1299,"yes"),"")</f>
        <v>4</v>
      </c>
      <c r="AH1299" s="110" t="str">
        <f aca="false">IF(ISNUMBER(H1299),"yes","no")</f>
        <v>yes</v>
      </c>
      <c r="AI1299" s="110" t="str">
        <f aca="false">IF(ISNUMBER(I1299),"yes","no")</f>
        <v>yes</v>
      </c>
      <c r="AJ1299" s="120" t="n">
        <v>46297</v>
      </c>
      <c r="AK1299" s="110"/>
    </row>
    <row r="1300" customFormat="false" ht="23.85" hidden="false" customHeight="false" outlineLevel="0" collapsed="false">
      <c r="B1300" s="36" t="s">
        <v>80</v>
      </c>
      <c r="C1300" s="98" t="s">
        <v>18</v>
      </c>
      <c r="D1300" s="98" t="s">
        <v>3021</v>
      </c>
      <c r="E1300" s="110" t="s">
        <v>4120</v>
      </c>
      <c r="F1300" s="99" t="n">
        <v>3.18</v>
      </c>
      <c r="G1300" s="98" t="s">
        <v>244</v>
      </c>
      <c r="H1300" s="112" t="n">
        <f aca="false">IF(AND(AE1300="yes",ISNUMBER(AD1300)),AD1300,"")</f>
        <v>3.18</v>
      </c>
      <c r="I1300" s="95" t="n">
        <f aca="false">IF(AND(AE1300="yes",ISNUMBER(AD1300),ISNUMBER(INDEX(Sources!$G$7:$G$10,MATCH(AB1300,Sources!$B$7:$B$10,0)))),ROUND(AD1300/INDEX(Sources!$G$7:$G$10,MATCH(AB1300,Sources!$B$7:$B$10,0)),6),"")</f>
        <v>3.18</v>
      </c>
      <c r="J1300" s="98" t="s">
        <v>530</v>
      </c>
      <c r="K1300" s="98" t="s">
        <v>2059</v>
      </c>
      <c r="L1300" s="96"/>
      <c r="M1300" s="110" t="s">
        <v>4139</v>
      </c>
      <c r="N1300" s="117" t="s">
        <v>3023</v>
      </c>
      <c r="O1300" s="110" t="s">
        <v>3024</v>
      </c>
      <c r="P1300" s="110" t="s">
        <v>590</v>
      </c>
      <c r="Q1300" s="118" t="n">
        <v>0.23</v>
      </c>
      <c r="R1300" s="110" t="n">
        <v>1</v>
      </c>
      <c r="S1300" s="110" t="s">
        <v>632</v>
      </c>
      <c r="T1300" s="110" t="s">
        <v>530</v>
      </c>
      <c r="U1300" s="110" t="s">
        <v>2913</v>
      </c>
      <c r="V1300" s="119" t="n">
        <v>3.18</v>
      </c>
      <c r="W1300" s="119"/>
      <c r="X1300" s="110" t="s">
        <v>2063</v>
      </c>
      <c r="Y1300" s="110" t="s">
        <v>2064</v>
      </c>
      <c r="Z1300" s="110" t="s">
        <v>3025</v>
      </c>
      <c r="AA1300" s="110" t="s">
        <v>537</v>
      </c>
      <c r="AB1300" s="110" t="s">
        <v>244</v>
      </c>
      <c r="AC1300" s="110" t="s">
        <v>538</v>
      </c>
      <c r="AD1300" s="110" t="n">
        <f aca="false">IF(OR(F1300="",Q1300="",R1300=""),"",ROUND(IF(P1300="incl.",F1300/(1+Q1300),F1300)/IF(S1300="per pack",R1300,1),2))</f>
        <v>3.18</v>
      </c>
      <c r="AE1300" s="110" t="str">
        <f aca="false">IF(AND(AC1300="yes",ISNUMBER(F1300),IF(Compare!$H$5="All mapped",TRUE(),IF(Compare!$H$5="EXACT only",J1300="EXACT",OR(J1300="EXACT",J1300="CLOSE")))),"yes","no")</f>
        <v>yes</v>
      </c>
      <c r="AF1300" s="110" t="n">
        <f aca="false">IF(ISNUMBER(H1300),COUNTIFS($B$7:$B$3000,B1300,$C$7:$C$3000,C1300,$H$7:$H$3000,"&lt;"&amp;H1300,$AH$7:$AH$3000,"yes")+COUNTIFS($B$7:B1300,B1300,$C$7:C1300,C1300,$H$7:H1300,H1300,$AH$7:AH1300,"yes"),"")</f>
        <v>1</v>
      </c>
      <c r="AG1300" s="110" t="n">
        <f aca="false">IF(ISNUMBER(I1300),COUNTIFS($B$7:$B$3000,B1300,$C$7:$C$3000,C1300,$I$7:$I$3000,"&lt;"&amp;I1300,$AI$7:$AI$3000,"yes")+COUNTIFS($B$7:B1300,B1300,$C$7:C1300,C1300,$I$7:I1300,I1300,$AI$7:AI1300,"yes"),"")</f>
        <v>1</v>
      </c>
      <c r="AH1300" s="110" t="str">
        <f aca="false">IF(ISNUMBER(H1300),"yes","no")</f>
        <v>yes</v>
      </c>
      <c r="AI1300" s="110" t="str">
        <f aca="false">IF(ISNUMBER(I1300),"yes","no")</f>
        <v>yes</v>
      </c>
      <c r="AJ1300" s="120" t="n">
        <v>46297</v>
      </c>
      <c r="AK1300" s="110"/>
    </row>
    <row r="1301" customFormat="false" ht="23.85" hidden="false" customHeight="false" outlineLevel="0" collapsed="false">
      <c r="B1301" s="36" t="s">
        <v>81</v>
      </c>
      <c r="C1301" s="98" t="s">
        <v>14</v>
      </c>
      <c r="D1301" s="98" t="s">
        <v>373</v>
      </c>
      <c r="E1301" s="110" t="s">
        <v>4140</v>
      </c>
      <c r="F1301" s="99" t="n">
        <v>10.02</v>
      </c>
      <c r="G1301" s="98" t="s">
        <v>374</v>
      </c>
      <c r="H1301" s="112" t="n">
        <f aca="false">IF(AND(AE1301="yes",ISNUMBER(AD1301)),AD1301,"")</f>
        <v>10.02</v>
      </c>
      <c r="I1301" s="95" t="n">
        <f aca="false">IF(AND(AE1301="yes",ISNUMBER(AD1301),ISNUMBER(INDEX(Sources!$G$7:$G$10,MATCH(AB1301,Sources!$B$7:$B$10,0)))),ROUND(AD1301/INDEX(Sources!$G$7:$G$10,MATCH(AB1301,Sources!$B$7:$B$10,0)),6),"")</f>
        <v>1.898575</v>
      </c>
      <c r="J1301" s="98" t="s">
        <v>530</v>
      </c>
      <c r="K1301" s="98" t="s">
        <v>2059</v>
      </c>
      <c r="L1301" s="96"/>
      <c r="M1301" s="110" t="s">
        <v>4141</v>
      </c>
      <c r="N1301" s="117" t="s">
        <v>4142</v>
      </c>
      <c r="O1301" s="110" t="s">
        <v>3029</v>
      </c>
      <c r="P1301" s="110" t="s">
        <v>590</v>
      </c>
      <c r="Q1301" s="118" t="n">
        <v>0.21</v>
      </c>
      <c r="R1301" s="110" t="n">
        <v>1</v>
      </c>
      <c r="S1301" s="110" t="s">
        <v>632</v>
      </c>
      <c r="T1301" s="110" t="s">
        <v>530</v>
      </c>
      <c r="U1301" s="110" t="s">
        <v>2913</v>
      </c>
      <c r="V1301" s="119" t="n">
        <v>10.02</v>
      </c>
      <c r="W1301" s="119"/>
      <c r="X1301" s="110" t="s">
        <v>2063</v>
      </c>
      <c r="Y1301" s="110" t="s">
        <v>2064</v>
      </c>
      <c r="Z1301" s="110"/>
      <c r="AA1301" s="110" t="s">
        <v>537</v>
      </c>
      <c r="AB1301" s="110" t="s">
        <v>374</v>
      </c>
      <c r="AC1301" s="110" t="s">
        <v>538</v>
      </c>
      <c r="AD1301" s="110" t="n">
        <f aca="false">IF(OR(F1301="",Q1301="",R1301=""),"",ROUND(IF(P1301="incl.",F1301/(1+Q1301),F1301)/IF(S1301="per pack",R1301,1),2))</f>
        <v>10.02</v>
      </c>
      <c r="AE1301" s="110" t="str">
        <f aca="false">IF(AND(AC1301="yes",ISNUMBER(F1301),IF(Compare!$H$5="All mapped",TRUE(),IF(Compare!$H$5="EXACT only",J1301="EXACT",OR(J1301="EXACT",J1301="CLOSE")))),"yes","no")</f>
        <v>yes</v>
      </c>
      <c r="AF1301" s="110" t="n">
        <f aca="false">IF(ISNUMBER(H1301),COUNTIFS($B$7:$B$3000,B1301,$C$7:$C$3000,C1301,$H$7:$H$3000,"&lt;"&amp;H1301,$AH$7:$AH$3000,"yes")+COUNTIFS($B$7:B1301,B1301,$C$7:C1301,C1301,$H$7:H1301,H1301,$AH$7:AH1301,"yes"),"")</f>
        <v>3</v>
      </c>
      <c r="AG1301" s="110" t="n">
        <f aca="false">IF(ISNUMBER(I1301),COUNTIFS($B$7:$B$3000,B1301,$C$7:$C$3000,C1301,$I$7:$I$3000,"&lt;"&amp;I1301,$AI$7:$AI$3000,"yes")+COUNTIFS($B$7:B1301,B1301,$C$7:C1301,C1301,$I$7:I1301,I1301,$AI$7:AI1301,"yes"),"")</f>
        <v>3</v>
      </c>
      <c r="AH1301" s="110" t="str">
        <f aca="false">IF(ISNUMBER(H1301),"yes","no")</f>
        <v>yes</v>
      </c>
      <c r="AI1301" s="110" t="str">
        <f aca="false">IF(ISNUMBER(I1301),"yes","no")</f>
        <v>yes</v>
      </c>
      <c r="AJ1301" s="120" t="n">
        <v>46297</v>
      </c>
      <c r="AK1301" s="110"/>
    </row>
    <row r="1302" customFormat="false" ht="46.25" hidden="false" customHeight="false" outlineLevel="0" collapsed="false">
      <c r="B1302" s="36" t="s">
        <v>81</v>
      </c>
      <c r="C1302" s="98" t="s">
        <v>14</v>
      </c>
      <c r="D1302" s="98" t="s">
        <v>4143</v>
      </c>
      <c r="E1302" s="110" t="s">
        <v>4144</v>
      </c>
      <c r="F1302" s="99" t="n">
        <v>134.2</v>
      </c>
      <c r="G1302" s="98" t="s">
        <v>374</v>
      </c>
      <c r="H1302" s="112" t="n">
        <f aca="false">IF(AND(AE1302="yes",ISNUMBER(AD1302)),AD1302,"")</f>
        <v>11.18</v>
      </c>
      <c r="I1302" s="95" t="n">
        <f aca="false">IF(AND(AE1302="yes",ISNUMBER(AD1302),ISNUMBER(INDEX(Sources!$G$7:$G$10,MATCH(AB1302,Sources!$B$7:$B$10,0)))),ROUND(AD1302/INDEX(Sources!$G$7:$G$10,MATCH(AB1302,Sources!$B$7:$B$10,0)),6),"")</f>
        <v>2.11837</v>
      </c>
      <c r="J1302" s="98" t="s">
        <v>530</v>
      </c>
      <c r="K1302" s="98" t="s">
        <v>2059</v>
      </c>
      <c r="L1302" s="96"/>
      <c r="M1302" s="110" t="s">
        <v>4145</v>
      </c>
      <c r="N1302" s="117" t="s">
        <v>4146</v>
      </c>
      <c r="O1302" s="110" t="s">
        <v>317</v>
      </c>
      <c r="P1302" s="110" t="s">
        <v>590</v>
      </c>
      <c r="Q1302" s="118" t="n">
        <v>0.21</v>
      </c>
      <c r="R1302" s="110" t="n">
        <v>12</v>
      </c>
      <c r="S1302" s="110" t="s">
        <v>625</v>
      </c>
      <c r="T1302" s="110" t="s">
        <v>530</v>
      </c>
      <c r="U1302" s="110" t="s">
        <v>2913</v>
      </c>
      <c r="V1302" s="119" t="n">
        <v>11.18</v>
      </c>
      <c r="W1302" s="119"/>
      <c r="X1302" s="110" t="s">
        <v>2063</v>
      </c>
      <c r="Y1302" s="110" t="s">
        <v>2064</v>
      </c>
      <c r="Z1302" s="110" t="s">
        <v>4147</v>
      </c>
      <c r="AA1302" s="110" t="s">
        <v>537</v>
      </c>
      <c r="AB1302" s="110" t="s">
        <v>374</v>
      </c>
      <c r="AC1302" s="110" t="s">
        <v>538</v>
      </c>
      <c r="AD1302" s="110" t="n">
        <f aca="false">IF(OR(F1302="",Q1302="",R1302=""),"",ROUND(IF(P1302="incl.",F1302/(1+Q1302),F1302)/IF(S1302="per pack",R1302,1),2))</f>
        <v>11.18</v>
      </c>
      <c r="AE1302" s="110" t="str">
        <f aca="false">IF(AND(AC1302="yes",ISNUMBER(F1302),IF(Compare!$H$5="All mapped",TRUE(),IF(Compare!$H$5="EXACT only",J1302="EXACT",OR(J1302="EXACT",J1302="CLOSE")))),"yes","no")</f>
        <v>yes</v>
      </c>
      <c r="AF1302" s="110" t="n">
        <f aca="false">IF(ISNUMBER(H1302),COUNTIFS($B$7:$B$3000,B1302,$C$7:$C$3000,C1302,$H$7:$H$3000,"&lt;"&amp;H1302,$AH$7:$AH$3000,"yes")+COUNTIFS($B$7:B1302,B1302,$C$7:C1302,C1302,$H$7:H1302,H1302,$AH$7:AH1302,"yes"),"")</f>
        <v>4</v>
      </c>
      <c r="AG1302" s="110" t="n">
        <f aca="false">IF(ISNUMBER(I1302),COUNTIFS($B$7:$B$3000,B1302,$C$7:$C$3000,C1302,$I$7:$I$3000,"&lt;"&amp;I1302,$AI$7:$AI$3000,"yes")+COUNTIFS($B$7:B1302,B1302,$C$7:C1302,C1302,$I$7:I1302,I1302,$AI$7:AI1302,"yes"),"")</f>
        <v>4</v>
      </c>
      <c r="AH1302" s="110" t="str">
        <f aca="false">IF(ISNUMBER(H1302),"yes","no")</f>
        <v>yes</v>
      </c>
      <c r="AI1302" s="110" t="str">
        <f aca="false">IF(ISNUMBER(I1302),"yes","no")</f>
        <v>yes</v>
      </c>
      <c r="AJ1302" s="120" t="n">
        <v>46297</v>
      </c>
      <c r="AK1302" s="110"/>
    </row>
    <row r="1303" customFormat="false" ht="35.05" hidden="false" customHeight="false" outlineLevel="0" collapsed="false">
      <c r="B1303" s="36" t="s">
        <v>81</v>
      </c>
      <c r="C1303" s="98" t="s">
        <v>14</v>
      </c>
      <c r="D1303" s="98" t="s">
        <v>346</v>
      </c>
      <c r="E1303" s="110" t="s">
        <v>4148</v>
      </c>
      <c r="F1303" s="99" t="n">
        <v>19.99</v>
      </c>
      <c r="G1303" s="98" t="s">
        <v>374</v>
      </c>
      <c r="H1303" s="112" t="n">
        <f aca="false">IF(AND(AE1303="yes",ISNUMBER(AD1303)),AD1303,"")</f>
        <v>16.52</v>
      </c>
      <c r="I1303" s="95" t="n">
        <f aca="false">IF(AND(AE1303="yes",ISNUMBER(AD1303),ISNUMBER(INDEX(Sources!$G$7:$G$10,MATCH(AB1303,Sources!$B$7:$B$10,0)))),ROUND(AD1303/INDEX(Sources!$G$7:$G$10,MATCH(AB1303,Sources!$B$7:$B$10,0)),6),"")</f>
        <v>3.130186</v>
      </c>
      <c r="J1303" s="98" t="s">
        <v>530</v>
      </c>
      <c r="K1303" s="98" t="s">
        <v>2059</v>
      </c>
      <c r="L1303" s="96"/>
      <c r="M1303" s="110" t="s">
        <v>4149</v>
      </c>
      <c r="N1303" s="117" t="s">
        <v>4150</v>
      </c>
      <c r="O1303" s="110" t="s">
        <v>565</v>
      </c>
      <c r="P1303" s="110" t="s">
        <v>265</v>
      </c>
      <c r="Q1303" s="118" t="n">
        <v>0.21</v>
      </c>
      <c r="R1303" s="110" t="n">
        <v>1</v>
      </c>
      <c r="S1303" s="110" t="s">
        <v>632</v>
      </c>
      <c r="T1303" s="110" t="s">
        <v>530</v>
      </c>
      <c r="U1303" s="110" t="s">
        <v>2918</v>
      </c>
      <c r="V1303" s="119" t="n">
        <v>16.52</v>
      </c>
      <c r="W1303" s="119"/>
      <c r="X1303" s="110" t="s">
        <v>2063</v>
      </c>
      <c r="Y1303" s="110" t="s">
        <v>2064</v>
      </c>
      <c r="Z1303" s="110"/>
      <c r="AA1303" s="110" t="s">
        <v>537</v>
      </c>
      <c r="AB1303" s="110" t="s">
        <v>374</v>
      </c>
      <c r="AC1303" s="110" t="s">
        <v>538</v>
      </c>
      <c r="AD1303" s="110" t="n">
        <f aca="false">IF(OR(F1303="",Q1303="",R1303=""),"",ROUND(IF(P1303="incl.",F1303/(1+Q1303),F1303)/IF(S1303="per pack",R1303,1),2))</f>
        <v>16.52</v>
      </c>
      <c r="AE1303" s="110" t="str">
        <f aca="false">IF(AND(AC1303="yes",ISNUMBER(F1303),IF(Compare!$H$5="All mapped",TRUE(),IF(Compare!$H$5="EXACT only",J1303="EXACT",OR(J1303="EXACT",J1303="CLOSE")))),"yes","no")</f>
        <v>yes</v>
      </c>
      <c r="AF1303" s="110" t="n">
        <f aca="false">IF(ISNUMBER(H1303),COUNTIFS($B$7:$B$3000,B1303,$C$7:$C$3000,C1303,$H$7:$H$3000,"&lt;"&amp;H1303,$AH$7:$AH$3000,"yes")+COUNTIFS($B$7:B1303,B1303,$C$7:C1303,C1303,$H$7:H1303,H1303,$AH$7:AH1303,"yes"),"")</f>
        <v>5</v>
      </c>
      <c r="AG1303" s="110" t="n">
        <f aca="false">IF(ISNUMBER(I1303),COUNTIFS($B$7:$B$3000,B1303,$C$7:$C$3000,C1303,$I$7:$I$3000,"&lt;"&amp;I1303,$AI$7:$AI$3000,"yes")+COUNTIFS($B$7:B1303,B1303,$C$7:C1303,C1303,$I$7:I1303,I1303,$AI$7:AI1303,"yes"),"")</f>
        <v>5</v>
      </c>
      <c r="AH1303" s="110" t="str">
        <f aca="false">IF(ISNUMBER(H1303),"yes","no")</f>
        <v>yes</v>
      </c>
      <c r="AI1303" s="110" t="str">
        <f aca="false">IF(ISNUMBER(I1303),"yes","no")</f>
        <v>yes</v>
      </c>
      <c r="AJ1303" s="120" t="n">
        <v>46297</v>
      </c>
      <c r="AK1303" s="110"/>
    </row>
    <row r="1304" customFormat="false" ht="35.05" hidden="false" customHeight="false" outlineLevel="0" collapsed="false">
      <c r="B1304" s="36" t="s">
        <v>81</v>
      </c>
      <c r="C1304" s="98" t="s">
        <v>14</v>
      </c>
      <c r="D1304" s="98" t="s">
        <v>395</v>
      </c>
      <c r="E1304" s="110" t="s">
        <v>4151</v>
      </c>
      <c r="F1304" s="99" t="n">
        <v>1</v>
      </c>
      <c r="G1304" s="98" t="s">
        <v>244</v>
      </c>
      <c r="H1304" s="112" t="n">
        <f aca="false">IF(AND(AE1304="yes",ISNUMBER(AD1304)),AD1304,"")</f>
        <v>1</v>
      </c>
      <c r="I1304" s="95" t="n">
        <f aca="false">IF(AND(AE1304="yes",ISNUMBER(AD1304),ISNUMBER(INDEX(Sources!$G$7:$G$10,MATCH(AB1304,Sources!$B$7:$B$10,0)))),ROUND(AD1304/INDEX(Sources!$G$7:$G$10,MATCH(AB1304,Sources!$B$7:$B$10,0)),6),"")</f>
        <v>1</v>
      </c>
      <c r="J1304" s="98" t="s">
        <v>530</v>
      </c>
      <c r="K1304" s="98" t="s">
        <v>2059</v>
      </c>
      <c r="L1304" s="96"/>
      <c r="M1304" s="110" t="s">
        <v>4152</v>
      </c>
      <c r="N1304" s="117" t="s">
        <v>4153</v>
      </c>
      <c r="O1304" s="110" t="s">
        <v>572</v>
      </c>
      <c r="P1304" s="110" t="s">
        <v>590</v>
      </c>
      <c r="Q1304" s="118" t="n">
        <v>0.21</v>
      </c>
      <c r="R1304" s="110" t="n">
        <v>1</v>
      </c>
      <c r="S1304" s="110" t="s">
        <v>632</v>
      </c>
      <c r="T1304" s="110" t="s">
        <v>530</v>
      </c>
      <c r="U1304" s="110" t="s">
        <v>2913</v>
      </c>
      <c r="V1304" s="119" t="n">
        <v>1</v>
      </c>
      <c r="W1304" s="119"/>
      <c r="X1304" s="110" t="s">
        <v>2063</v>
      </c>
      <c r="Y1304" s="110" t="s">
        <v>2064</v>
      </c>
      <c r="Z1304" s="110" t="s">
        <v>2925</v>
      </c>
      <c r="AA1304" s="110" t="s">
        <v>537</v>
      </c>
      <c r="AB1304" s="110" t="s">
        <v>244</v>
      </c>
      <c r="AC1304" s="110" t="s">
        <v>538</v>
      </c>
      <c r="AD1304" s="110" t="n">
        <f aca="false">IF(OR(F1304="",Q1304="",R1304=""),"",ROUND(IF(P1304="incl.",F1304/(1+Q1304),F1304)/IF(S1304="per pack",R1304,1),2))</f>
        <v>1</v>
      </c>
      <c r="AE1304" s="110" t="str">
        <f aca="false">IF(AND(AC1304="yes",ISNUMBER(F1304),IF(Compare!$H$5="All mapped",TRUE(),IF(Compare!$H$5="EXACT only",J1304="EXACT",OR(J1304="EXACT",J1304="CLOSE")))),"yes","no")</f>
        <v>yes</v>
      </c>
      <c r="AF1304" s="110" t="n">
        <f aca="false">IF(ISNUMBER(H1304),COUNTIFS($B$7:$B$3000,B1304,$C$7:$C$3000,C1304,$H$7:$H$3000,"&lt;"&amp;H1304,$AH$7:$AH$3000,"yes")+COUNTIFS($B$7:B1304,B1304,$C$7:C1304,C1304,$H$7:H1304,H1304,$AH$7:AH1304,"yes"),"")</f>
        <v>1</v>
      </c>
      <c r="AG1304" s="110" t="n">
        <f aca="false">IF(ISNUMBER(I1304),COUNTIFS($B$7:$B$3000,B1304,$C$7:$C$3000,C1304,$I$7:$I$3000,"&lt;"&amp;I1304,$AI$7:$AI$3000,"yes")+COUNTIFS($B$7:B1304,B1304,$C$7:C1304,C1304,$I$7:I1304,I1304,$AI$7:AI1304,"yes"),"")</f>
        <v>2</v>
      </c>
      <c r="AH1304" s="110" t="str">
        <f aca="false">IF(ISNUMBER(H1304),"yes","no")</f>
        <v>yes</v>
      </c>
      <c r="AI1304" s="110" t="str">
        <f aca="false">IF(ISNUMBER(I1304),"yes","no")</f>
        <v>yes</v>
      </c>
      <c r="AJ1304" s="120" t="n">
        <v>46297</v>
      </c>
      <c r="AK1304" s="110"/>
    </row>
    <row r="1305" customFormat="false" ht="23.85" hidden="false" customHeight="false" outlineLevel="0" collapsed="false">
      <c r="B1305" s="36" t="s">
        <v>81</v>
      </c>
      <c r="C1305" s="98" t="s">
        <v>14</v>
      </c>
      <c r="D1305" s="98" t="s">
        <v>403</v>
      </c>
      <c r="E1305" s="110" t="s">
        <v>4154</v>
      </c>
      <c r="F1305" s="99" t="n">
        <v>5.2</v>
      </c>
      <c r="G1305" s="98" t="s">
        <v>374</v>
      </c>
      <c r="H1305" s="112" t="n">
        <f aca="false">IF(AND(AE1305="yes",ISNUMBER(AD1305)),AD1305,"")</f>
        <v>5.2</v>
      </c>
      <c r="I1305" s="95" t="n">
        <f aca="false">IF(AND(AE1305="yes",ISNUMBER(AD1305),ISNUMBER(INDEX(Sources!$G$7:$G$10,MATCH(AB1305,Sources!$B$7:$B$10,0)))),ROUND(AD1305/INDEX(Sources!$G$7:$G$10,MATCH(AB1305,Sources!$B$7:$B$10,0)),6),"")</f>
        <v>0.985289</v>
      </c>
      <c r="J1305" s="98" t="s">
        <v>530</v>
      </c>
      <c r="K1305" s="98" t="s">
        <v>2059</v>
      </c>
      <c r="L1305" s="96"/>
      <c r="M1305" s="110" t="s">
        <v>4155</v>
      </c>
      <c r="N1305" s="117" t="s">
        <v>4156</v>
      </c>
      <c r="O1305" s="110" t="s">
        <v>668</v>
      </c>
      <c r="P1305" s="110" t="s">
        <v>590</v>
      </c>
      <c r="Q1305" s="118" t="n">
        <v>0.21</v>
      </c>
      <c r="R1305" s="110" t="n">
        <v>1</v>
      </c>
      <c r="S1305" s="110" t="s">
        <v>632</v>
      </c>
      <c r="T1305" s="110" t="s">
        <v>530</v>
      </c>
      <c r="U1305" s="110" t="s">
        <v>2913</v>
      </c>
      <c r="V1305" s="119" t="n">
        <v>5.2</v>
      </c>
      <c r="W1305" s="119"/>
      <c r="X1305" s="110" t="s">
        <v>2063</v>
      </c>
      <c r="Y1305" s="110" t="s">
        <v>2064</v>
      </c>
      <c r="Z1305" s="110"/>
      <c r="AA1305" s="110" t="s">
        <v>537</v>
      </c>
      <c r="AB1305" s="110" t="s">
        <v>374</v>
      </c>
      <c r="AC1305" s="110" t="s">
        <v>538</v>
      </c>
      <c r="AD1305" s="110" t="n">
        <f aca="false">IF(OR(F1305="",Q1305="",R1305=""),"",ROUND(IF(P1305="incl.",F1305/(1+Q1305),F1305)/IF(S1305="per pack",R1305,1),2))</f>
        <v>5.2</v>
      </c>
      <c r="AE1305" s="110" t="str">
        <f aca="false">IF(AND(AC1305="yes",ISNUMBER(F1305),IF(Compare!$H$5="All mapped",TRUE(),IF(Compare!$H$5="EXACT only",J1305="EXACT",OR(J1305="EXACT",J1305="CLOSE")))),"yes","no")</f>
        <v>yes</v>
      </c>
      <c r="AF1305" s="110" t="n">
        <f aca="false">IF(ISNUMBER(H1305),COUNTIFS($B$7:$B$3000,B1305,$C$7:$C$3000,C1305,$H$7:$H$3000,"&lt;"&amp;H1305,$AH$7:$AH$3000,"yes")+COUNTIFS($B$7:B1305,B1305,$C$7:C1305,C1305,$H$7:H1305,H1305,$AH$7:AH1305,"yes"),"")</f>
        <v>2</v>
      </c>
      <c r="AG1305" s="110" t="n">
        <f aca="false">IF(ISNUMBER(I1305),COUNTIFS($B$7:$B$3000,B1305,$C$7:$C$3000,C1305,$I$7:$I$3000,"&lt;"&amp;I1305,$AI$7:$AI$3000,"yes")+COUNTIFS($B$7:B1305,B1305,$C$7:C1305,C1305,$I$7:I1305,I1305,$AI$7:AI1305,"yes"),"")</f>
        <v>1</v>
      </c>
      <c r="AH1305" s="110" t="str">
        <f aca="false">IF(ISNUMBER(H1305),"yes","no")</f>
        <v>yes</v>
      </c>
      <c r="AI1305" s="110" t="str">
        <f aca="false">IF(ISNUMBER(I1305),"yes","no")</f>
        <v>yes</v>
      </c>
      <c r="AJ1305" s="120" t="n">
        <v>46297</v>
      </c>
      <c r="AK1305" s="110"/>
    </row>
    <row r="1306" customFormat="false" ht="35.05" hidden="false" customHeight="false" outlineLevel="0" collapsed="false">
      <c r="B1306" s="36" t="s">
        <v>81</v>
      </c>
      <c r="C1306" s="98" t="s">
        <v>15</v>
      </c>
      <c r="D1306" s="98" t="s">
        <v>243</v>
      </c>
      <c r="E1306" s="110" t="s">
        <v>4157</v>
      </c>
      <c r="F1306" s="99" t="n">
        <v>3.65</v>
      </c>
      <c r="G1306" s="98" t="s">
        <v>244</v>
      </c>
      <c r="H1306" s="112" t="n">
        <f aca="false">IF(AND(AE1306="yes",ISNUMBER(AD1306)),AD1306,"")</f>
        <v>3.65</v>
      </c>
      <c r="I1306" s="95" t="n">
        <f aca="false">IF(AND(AE1306="yes",ISNUMBER(AD1306),ISNUMBER(INDEX(Sources!$G$7:$G$10,MATCH(AB1306,Sources!$B$7:$B$10,0)))),ROUND(AD1306/INDEX(Sources!$G$7:$G$10,MATCH(AB1306,Sources!$B$7:$B$10,0)),6),"")</f>
        <v>3.65</v>
      </c>
      <c r="J1306" s="98" t="s">
        <v>530</v>
      </c>
      <c r="K1306" s="98" t="s">
        <v>2059</v>
      </c>
      <c r="L1306" s="96"/>
      <c r="M1306" s="110" t="s">
        <v>4158</v>
      </c>
      <c r="N1306" s="117" t="s">
        <v>4159</v>
      </c>
      <c r="O1306" s="110" t="s">
        <v>2932</v>
      </c>
      <c r="P1306" s="110" t="s">
        <v>590</v>
      </c>
      <c r="Q1306" s="118" t="n">
        <v>0.2</v>
      </c>
      <c r="R1306" s="110" t="n">
        <v>1</v>
      </c>
      <c r="S1306" s="110" t="s">
        <v>632</v>
      </c>
      <c r="T1306" s="110" t="s">
        <v>530</v>
      </c>
      <c r="U1306" s="110" t="s">
        <v>2913</v>
      </c>
      <c r="V1306" s="119" t="n">
        <v>3.65</v>
      </c>
      <c r="W1306" s="119"/>
      <c r="X1306" s="110" t="s">
        <v>2063</v>
      </c>
      <c r="Y1306" s="110" t="s">
        <v>2064</v>
      </c>
      <c r="Z1306" s="110" t="s">
        <v>2164</v>
      </c>
      <c r="AA1306" s="110" t="s">
        <v>537</v>
      </c>
      <c r="AB1306" s="110" t="s">
        <v>244</v>
      </c>
      <c r="AC1306" s="110" t="s">
        <v>538</v>
      </c>
      <c r="AD1306" s="110" t="n">
        <f aca="false">IF(OR(F1306="",Q1306="",R1306=""),"",ROUND(IF(P1306="incl.",F1306/(1+Q1306),F1306)/IF(S1306="per pack",R1306,1),2))</f>
        <v>3.65</v>
      </c>
      <c r="AE1306" s="110" t="str">
        <f aca="false">IF(AND(AC1306="yes",ISNUMBER(F1306),IF(Compare!$H$5="All mapped",TRUE(),IF(Compare!$H$5="EXACT only",J1306="EXACT",OR(J1306="EXACT",J1306="CLOSE")))),"yes","no")</f>
        <v>yes</v>
      </c>
      <c r="AF1306" s="110" t="n">
        <f aca="false">IF(ISNUMBER(H1306),COUNTIFS($B$7:$B$3000,B1306,$C$7:$C$3000,C1306,$H$7:$H$3000,"&lt;"&amp;H1306,$AH$7:$AH$3000,"yes")+COUNTIFS($B$7:B1306,B1306,$C$7:C1306,C1306,$H$7:H1306,H1306,$AH$7:AH1306,"yes"),"")</f>
        <v>4</v>
      </c>
      <c r="AG1306" s="110" t="n">
        <f aca="false">IF(ISNUMBER(I1306),COUNTIFS($B$7:$B$3000,B1306,$C$7:$C$3000,C1306,$I$7:$I$3000,"&lt;"&amp;I1306,$AI$7:$AI$3000,"yes")+COUNTIFS($B$7:B1306,B1306,$C$7:C1306,C1306,$I$7:I1306,I1306,$AI$7:AI1306,"yes"),"")</f>
        <v>4</v>
      </c>
      <c r="AH1306" s="110" t="str">
        <f aca="false">IF(ISNUMBER(H1306),"yes","no")</f>
        <v>yes</v>
      </c>
      <c r="AI1306" s="110" t="str">
        <f aca="false">IF(ISNUMBER(I1306),"yes","no")</f>
        <v>yes</v>
      </c>
      <c r="AJ1306" s="120" t="n">
        <v>46297</v>
      </c>
      <c r="AK1306" s="110"/>
    </row>
    <row r="1307" customFormat="false" ht="46.25" hidden="false" customHeight="false" outlineLevel="0" collapsed="false">
      <c r="B1307" s="36" t="s">
        <v>81</v>
      </c>
      <c r="C1307" s="98" t="s">
        <v>15</v>
      </c>
      <c r="D1307" s="98" t="s">
        <v>277</v>
      </c>
      <c r="E1307" s="110" t="s">
        <v>4160</v>
      </c>
      <c r="F1307" s="99" t="n">
        <v>22.49</v>
      </c>
      <c r="G1307" s="98" t="s">
        <v>244</v>
      </c>
      <c r="H1307" s="112" t="n">
        <f aca="false">IF(AND(AE1307="yes",ISNUMBER(AD1307)),AD1307,"")</f>
        <v>1.87</v>
      </c>
      <c r="I1307" s="95" t="n">
        <f aca="false">IF(AND(AE1307="yes",ISNUMBER(AD1307),ISNUMBER(INDEX(Sources!$G$7:$G$10,MATCH(AB1307,Sources!$B$7:$B$10,0)))),ROUND(AD1307/INDEX(Sources!$G$7:$G$10,MATCH(AB1307,Sources!$B$7:$B$10,0)),6),"")</f>
        <v>1.87</v>
      </c>
      <c r="J1307" s="98" t="s">
        <v>530</v>
      </c>
      <c r="K1307" s="98" t="s">
        <v>2059</v>
      </c>
      <c r="L1307" s="96"/>
      <c r="M1307" s="110" t="s">
        <v>4161</v>
      </c>
      <c r="N1307" s="117" t="s">
        <v>4162</v>
      </c>
      <c r="O1307" s="110" t="s">
        <v>317</v>
      </c>
      <c r="P1307" s="110" t="s">
        <v>590</v>
      </c>
      <c r="Q1307" s="118" t="n">
        <v>0.2</v>
      </c>
      <c r="R1307" s="110" t="n">
        <v>12</v>
      </c>
      <c r="S1307" s="110" t="s">
        <v>625</v>
      </c>
      <c r="T1307" s="110" t="s">
        <v>530</v>
      </c>
      <c r="U1307" s="110" t="s">
        <v>2913</v>
      </c>
      <c r="V1307" s="119" t="n">
        <v>1.87</v>
      </c>
      <c r="W1307" s="119"/>
      <c r="X1307" s="110" t="s">
        <v>2063</v>
      </c>
      <c r="Y1307" s="110" t="s">
        <v>2064</v>
      </c>
      <c r="Z1307" s="110" t="s">
        <v>3922</v>
      </c>
      <c r="AA1307" s="110" t="s">
        <v>537</v>
      </c>
      <c r="AB1307" s="110" t="s">
        <v>244</v>
      </c>
      <c r="AC1307" s="110" t="s">
        <v>538</v>
      </c>
      <c r="AD1307" s="110" t="n">
        <f aca="false">IF(OR(F1307="",Q1307="",R1307=""),"",ROUND(IF(P1307="incl.",F1307/(1+Q1307),F1307)/IF(S1307="per pack",R1307,1),2))</f>
        <v>1.87</v>
      </c>
      <c r="AE1307" s="110" t="str">
        <f aca="false">IF(AND(AC1307="yes",ISNUMBER(F1307),IF(Compare!$H$5="All mapped",TRUE(),IF(Compare!$H$5="EXACT only",J1307="EXACT",OR(J1307="EXACT",J1307="CLOSE")))),"yes","no")</f>
        <v>yes</v>
      </c>
      <c r="AF1307" s="110" t="n">
        <f aca="false">IF(ISNUMBER(H1307),COUNTIFS($B$7:$B$3000,B1307,$C$7:$C$3000,C1307,$H$7:$H$3000,"&lt;"&amp;H1307,$AH$7:$AH$3000,"yes")+COUNTIFS($B$7:B1307,B1307,$C$7:C1307,C1307,$H$7:H1307,H1307,$AH$7:AH1307,"yes"),"")</f>
        <v>1</v>
      </c>
      <c r="AG1307" s="110" t="n">
        <f aca="false">IF(ISNUMBER(I1307),COUNTIFS($B$7:$B$3000,B1307,$C$7:$C$3000,C1307,$I$7:$I$3000,"&lt;"&amp;I1307,$AI$7:$AI$3000,"yes")+COUNTIFS($B$7:B1307,B1307,$C$7:C1307,C1307,$I$7:I1307,I1307,$AI$7:AI1307,"yes"),"")</f>
        <v>1</v>
      </c>
      <c r="AH1307" s="110" t="str">
        <f aca="false">IF(ISNUMBER(H1307),"yes","no")</f>
        <v>yes</v>
      </c>
      <c r="AI1307" s="110" t="str">
        <f aca="false">IF(ISNUMBER(I1307),"yes","no")</f>
        <v>yes</v>
      </c>
      <c r="AJ1307" s="120" t="n">
        <v>46297</v>
      </c>
      <c r="AK1307" s="110"/>
    </row>
    <row r="1308" customFormat="false" ht="23.85" hidden="false" customHeight="false" outlineLevel="0" collapsed="false">
      <c r="B1308" s="36" t="s">
        <v>81</v>
      </c>
      <c r="C1308" s="98" t="s">
        <v>15</v>
      </c>
      <c r="D1308" s="98" t="s">
        <v>269</v>
      </c>
      <c r="E1308" s="110" t="s">
        <v>4163</v>
      </c>
      <c r="F1308" s="99" t="n">
        <v>5.59</v>
      </c>
      <c r="G1308" s="98" t="s">
        <v>244</v>
      </c>
      <c r="H1308" s="112" t="n">
        <f aca="false">IF(AND(AE1308="yes",ISNUMBER(AD1308)),AD1308,"")</f>
        <v>5.59</v>
      </c>
      <c r="I1308" s="95" t="n">
        <f aca="false">IF(AND(AE1308="yes",ISNUMBER(AD1308),ISNUMBER(INDEX(Sources!$G$7:$G$10,MATCH(AB1308,Sources!$B$7:$B$10,0)))),ROUND(AD1308/INDEX(Sources!$G$7:$G$10,MATCH(AB1308,Sources!$B$7:$B$10,0)),6),"")</f>
        <v>5.59</v>
      </c>
      <c r="J1308" s="98" t="s">
        <v>530</v>
      </c>
      <c r="K1308" s="98" t="s">
        <v>2059</v>
      </c>
      <c r="L1308" s="96"/>
      <c r="M1308" s="110" t="s">
        <v>4164</v>
      </c>
      <c r="N1308" s="117" t="s">
        <v>4165</v>
      </c>
      <c r="O1308" s="110" t="s">
        <v>589</v>
      </c>
      <c r="P1308" s="110" t="s">
        <v>590</v>
      </c>
      <c r="Q1308" s="118" t="n">
        <v>0.2</v>
      </c>
      <c r="R1308" s="110" t="n">
        <v>1</v>
      </c>
      <c r="S1308" s="110" t="s">
        <v>632</v>
      </c>
      <c r="T1308" s="110" t="s">
        <v>530</v>
      </c>
      <c r="U1308" s="110" t="s">
        <v>2913</v>
      </c>
      <c r="V1308" s="119" t="n">
        <v>5.59</v>
      </c>
      <c r="W1308" s="119"/>
      <c r="X1308" s="110" t="s">
        <v>2063</v>
      </c>
      <c r="Y1308" s="110" t="s">
        <v>2064</v>
      </c>
      <c r="Z1308" s="110" t="s">
        <v>3216</v>
      </c>
      <c r="AA1308" s="110" t="s">
        <v>537</v>
      </c>
      <c r="AB1308" s="110" t="s">
        <v>244</v>
      </c>
      <c r="AC1308" s="110" t="s">
        <v>538</v>
      </c>
      <c r="AD1308" s="110" t="n">
        <f aca="false">IF(OR(F1308="",Q1308="",R1308=""),"",ROUND(IF(P1308="incl.",F1308/(1+Q1308),F1308)/IF(S1308="per pack",R1308,1),2))</f>
        <v>5.59</v>
      </c>
      <c r="AE1308" s="110" t="str">
        <f aca="false">IF(AND(AC1308="yes",ISNUMBER(F1308),IF(Compare!$H$5="All mapped",TRUE(),IF(Compare!$H$5="EXACT only",J1308="EXACT",OR(J1308="EXACT",J1308="CLOSE")))),"yes","no")</f>
        <v>yes</v>
      </c>
      <c r="AF1308" s="110" t="n">
        <f aca="false">IF(ISNUMBER(H1308),COUNTIFS($B$7:$B$3000,B1308,$C$7:$C$3000,C1308,$H$7:$H$3000,"&lt;"&amp;H1308,$AH$7:$AH$3000,"yes")+COUNTIFS($B$7:B1308,B1308,$C$7:C1308,C1308,$H$7:H1308,H1308,$AH$7:AH1308,"yes"),"")</f>
        <v>6</v>
      </c>
      <c r="AG1308" s="110" t="n">
        <f aca="false">IF(ISNUMBER(I1308),COUNTIFS($B$7:$B$3000,B1308,$C$7:$C$3000,C1308,$I$7:$I$3000,"&lt;"&amp;I1308,$AI$7:$AI$3000,"yes")+COUNTIFS($B$7:B1308,B1308,$C$7:C1308,C1308,$I$7:I1308,I1308,$AI$7:AI1308,"yes"),"")</f>
        <v>6</v>
      </c>
      <c r="AH1308" s="110" t="str">
        <f aca="false">IF(ISNUMBER(H1308),"yes","no")</f>
        <v>yes</v>
      </c>
      <c r="AI1308" s="110" t="str">
        <f aca="false">IF(ISNUMBER(I1308),"yes","no")</f>
        <v>yes</v>
      </c>
      <c r="AJ1308" s="120" t="n">
        <v>46297</v>
      </c>
      <c r="AK1308" s="110"/>
    </row>
    <row r="1309" customFormat="false" ht="23.85" hidden="false" customHeight="false" outlineLevel="0" collapsed="false">
      <c r="B1309" s="36" t="s">
        <v>81</v>
      </c>
      <c r="C1309" s="98" t="s">
        <v>15</v>
      </c>
      <c r="D1309" s="98" t="s">
        <v>264</v>
      </c>
      <c r="E1309" s="110" t="s">
        <v>4166</v>
      </c>
      <c r="F1309" s="99" t="n">
        <v>9</v>
      </c>
      <c r="G1309" s="98" t="s">
        <v>244</v>
      </c>
      <c r="H1309" s="112" t="n">
        <f aca="false">IF(AND(AE1309="yes",ISNUMBER(AD1309)),AD1309,"")</f>
        <v>9</v>
      </c>
      <c r="I1309" s="95" t="n">
        <f aca="false">IF(AND(AE1309="yes",ISNUMBER(AD1309),ISNUMBER(INDEX(Sources!$G$7:$G$10,MATCH(AB1309,Sources!$B$7:$B$10,0)))),ROUND(AD1309/INDEX(Sources!$G$7:$G$10,MATCH(AB1309,Sources!$B$7:$B$10,0)),6),"")</f>
        <v>9</v>
      </c>
      <c r="J1309" s="98" t="s">
        <v>530</v>
      </c>
      <c r="K1309" s="98" t="s">
        <v>2059</v>
      </c>
      <c r="L1309" s="96"/>
      <c r="M1309" s="110" t="s">
        <v>4167</v>
      </c>
      <c r="N1309" s="117" t="s">
        <v>4168</v>
      </c>
      <c r="O1309" s="110" t="s">
        <v>2944</v>
      </c>
      <c r="P1309" s="110" t="s">
        <v>590</v>
      </c>
      <c r="Q1309" s="118" t="n">
        <v>0.2</v>
      </c>
      <c r="R1309" s="110" t="n">
        <v>1</v>
      </c>
      <c r="S1309" s="110" t="s">
        <v>632</v>
      </c>
      <c r="T1309" s="110" t="s">
        <v>530</v>
      </c>
      <c r="U1309" s="110" t="s">
        <v>2913</v>
      </c>
      <c r="V1309" s="119" t="n">
        <v>9</v>
      </c>
      <c r="W1309" s="119"/>
      <c r="X1309" s="110" t="s">
        <v>2063</v>
      </c>
      <c r="Y1309" s="110" t="s">
        <v>2064</v>
      </c>
      <c r="Z1309" s="110"/>
      <c r="AA1309" s="110" t="s">
        <v>537</v>
      </c>
      <c r="AB1309" s="110" t="s">
        <v>244</v>
      </c>
      <c r="AC1309" s="110" t="s">
        <v>538</v>
      </c>
      <c r="AD1309" s="110" t="n">
        <f aca="false">IF(OR(F1309="",Q1309="",R1309=""),"",ROUND(IF(P1309="incl.",F1309/(1+Q1309),F1309)/IF(S1309="per pack",R1309,1),2))</f>
        <v>9</v>
      </c>
      <c r="AE1309" s="110" t="str">
        <f aca="false">IF(AND(AC1309="yes",ISNUMBER(F1309),IF(Compare!$H$5="All mapped",TRUE(),IF(Compare!$H$5="EXACT only",J1309="EXACT",OR(J1309="EXACT",J1309="CLOSE")))),"yes","no")</f>
        <v>yes</v>
      </c>
      <c r="AF1309" s="110" t="n">
        <f aca="false">IF(ISNUMBER(H1309),COUNTIFS($B$7:$B$3000,B1309,$C$7:$C$3000,C1309,$H$7:$H$3000,"&lt;"&amp;H1309,$AH$7:$AH$3000,"yes")+COUNTIFS($B$7:B1309,B1309,$C$7:C1309,C1309,$H$7:H1309,H1309,$AH$7:AH1309,"yes"),"")</f>
        <v>7</v>
      </c>
      <c r="AG1309" s="110" t="n">
        <f aca="false">IF(ISNUMBER(I1309),COUNTIFS($B$7:$B$3000,B1309,$C$7:$C$3000,C1309,$I$7:$I$3000,"&lt;"&amp;I1309,$AI$7:$AI$3000,"yes")+COUNTIFS($B$7:B1309,B1309,$C$7:C1309,C1309,$I$7:I1309,I1309,$AI$7:AI1309,"yes"),"")</f>
        <v>7</v>
      </c>
      <c r="AH1309" s="110" t="str">
        <f aca="false">IF(ISNUMBER(H1309),"yes","no")</f>
        <v>yes</v>
      </c>
      <c r="AI1309" s="110" t="str">
        <f aca="false">IF(ISNUMBER(I1309),"yes","no")</f>
        <v>yes</v>
      </c>
      <c r="AJ1309" s="120" t="n">
        <v>46297</v>
      </c>
      <c r="AK1309" s="110"/>
    </row>
    <row r="1310" customFormat="false" ht="35.05" hidden="false" customHeight="false" outlineLevel="0" collapsed="false">
      <c r="B1310" s="36" t="s">
        <v>81</v>
      </c>
      <c r="C1310" s="98" t="s">
        <v>15</v>
      </c>
      <c r="D1310" s="98" t="s">
        <v>273</v>
      </c>
      <c r="E1310" s="110" t="s">
        <v>4169</v>
      </c>
      <c r="F1310" s="99" t="n">
        <v>6.39</v>
      </c>
      <c r="G1310" s="98" t="s">
        <v>244</v>
      </c>
      <c r="H1310" s="112" t="n">
        <f aca="false">IF(AND(AE1310="yes",ISNUMBER(AD1310)),AD1310,"")</f>
        <v>5.33</v>
      </c>
      <c r="I1310" s="95" t="n">
        <f aca="false">IF(AND(AE1310="yes",ISNUMBER(AD1310),ISNUMBER(INDEX(Sources!$G$7:$G$10,MATCH(AB1310,Sources!$B$7:$B$10,0)))),ROUND(AD1310/INDEX(Sources!$G$7:$G$10,MATCH(AB1310,Sources!$B$7:$B$10,0)),6),"")</f>
        <v>5.33</v>
      </c>
      <c r="J1310" s="98" t="s">
        <v>530</v>
      </c>
      <c r="K1310" s="98" t="s">
        <v>2059</v>
      </c>
      <c r="L1310" s="96"/>
      <c r="M1310" s="110" t="s">
        <v>4170</v>
      </c>
      <c r="N1310" s="117" t="s">
        <v>4171</v>
      </c>
      <c r="O1310" s="110" t="s">
        <v>598</v>
      </c>
      <c r="P1310" s="110" t="s">
        <v>265</v>
      </c>
      <c r="Q1310" s="118" t="n">
        <v>0.2</v>
      </c>
      <c r="R1310" s="110" t="n">
        <v>1</v>
      </c>
      <c r="S1310" s="110" t="s">
        <v>632</v>
      </c>
      <c r="T1310" s="110" t="s">
        <v>530</v>
      </c>
      <c r="U1310" s="110" t="s">
        <v>2918</v>
      </c>
      <c r="V1310" s="119" t="n">
        <v>5.33</v>
      </c>
      <c r="W1310" s="119"/>
      <c r="X1310" s="110" t="s">
        <v>2063</v>
      </c>
      <c r="Y1310" s="110" t="s">
        <v>2064</v>
      </c>
      <c r="Z1310" s="110" t="s">
        <v>2130</v>
      </c>
      <c r="AA1310" s="110" t="s">
        <v>537</v>
      </c>
      <c r="AB1310" s="110" t="s">
        <v>244</v>
      </c>
      <c r="AC1310" s="110" t="s">
        <v>538</v>
      </c>
      <c r="AD1310" s="110" t="n">
        <f aca="false">IF(OR(F1310="",Q1310="",R1310=""),"",ROUND(IF(P1310="incl.",F1310/(1+Q1310),F1310)/IF(S1310="per pack",R1310,1),2))</f>
        <v>5.33</v>
      </c>
      <c r="AE1310" s="110" t="str">
        <f aca="false">IF(AND(AC1310="yes",ISNUMBER(F1310),IF(Compare!$H$5="All mapped",TRUE(),IF(Compare!$H$5="EXACT only",J1310="EXACT",OR(J1310="EXACT",J1310="CLOSE")))),"yes","no")</f>
        <v>yes</v>
      </c>
      <c r="AF1310" s="110" t="n">
        <f aca="false">IF(ISNUMBER(H1310),COUNTIFS($B$7:$B$3000,B1310,$C$7:$C$3000,C1310,$H$7:$H$3000,"&lt;"&amp;H1310,$AH$7:$AH$3000,"yes")+COUNTIFS($B$7:B1310,B1310,$C$7:C1310,C1310,$H$7:H1310,H1310,$AH$7:AH1310,"yes"),"")</f>
        <v>5</v>
      </c>
      <c r="AG1310" s="110" t="n">
        <f aca="false">IF(ISNUMBER(I1310),COUNTIFS($B$7:$B$3000,B1310,$C$7:$C$3000,C1310,$I$7:$I$3000,"&lt;"&amp;I1310,$AI$7:$AI$3000,"yes")+COUNTIFS($B$7:B1310,B1310,$C$7:C1310,C1310,$I$7:I1310,I1310,$AI$7:AI1310,"yes"),"")</f>
        <v>5</v>
      </c>
      <c r="AH1310" s="110" t="str">
        <f aca="false">IF(ISNUMBER(H1310),"yes","no")</f>
        <v>yes</v>
      </c>
      <c r="AI1310" s="110" t="str">
        <f aca="false">IF(ISNUMBER(I1310),"yes","no")</f>
        <v>yes</v>
      </c>
      <c r="AJ1310" s="120" t="n">
        <v>46297</v>
      </c>
      <c r="AK1310" s="110"/>
    </row>
    <row r="1311" customFormat="false" ht="46.25" hidden="false" customHeight="false" outlineLevel="0" collapsed="false">
      <c r="B1311" s="36" t="s">
        <v>81</v>
      </c>
      <c r="C1311" s="98" t="s">
        <v>15</v>
      </c>
      <c r="D1311" s="98" t="s">
        <v>281</v>
      </c>
      <c r="E1311" s="110" t="s">
        <v>4172</v>
      </c>
      <c r="F1311" s="99" t="n">
        <v>2.28</v>
      </c>
      <c r="G1311" s="98" t="s">
        <v>244</v>
      </c>
      <c r="H1311" s="112" t="n">
        <f aca="false">IF(AND(AE1311="yes",ISNUMBER(AD1311)),AD1311,"")</f>
        <v>2.28</v>
      </c>
      <c r="I1311" s="95" t="n">
        <f aca="false">IF(AND(AE1311="yes",ISNUMBER(AD1311),ISNUMBER(INDEX(Sources!$G$7:$G$10,MATCH(AB1311,Sources!$B$7:$B$10,0)))),ROUND(AD1311/INDEX(Sources!$G$7:$G$10,MATCH(AB1311,Sources!$B$7:$B$10,0)),6),"")</f>
        <v>2.28</v>
      </c>
      <c r="J1311" s="98" t="s">
        <v>530</v>
      </c>
      <c r="K1311" s="98" t="s">
        <v>2059</v>
      </c>
      <c r="L1311" s="96"/>
      <c r="M1311" s="110" t="s">
        <v>4173</v>
      </c>
      <c r="N1311" s="117" t="s">
        <v>4174</v>
      </c>
      <c r="O1311" s="110" t="s">
        <v>2952</v>
      </c>
      <c r="P1311" s="110" t="s">
        <v>590</v>
      </c>
      <c r="Q1311" s="118" t="n">
        <v>0.2</v>
      </c>
      <c r="R1311" s="110" t="n">
        <v>1</v>
      </c>
      <c r="S1311" s="110" t="s">
        <v>632</v>
      </c>
      <c r="T1311" s="110" t="s">
        <v>530</v>
      </c>
      <c r="U1311" s="110" t="s">
        <v>2913</v>
      </c>
      <c r="V1311" s="119" t="n">
        <v>2.28</v>
      </c>
      <c r="W1311" s="119"/>
      <c r="X1311" s="110" t="s">
        <v>2063</v>
      </c>
      <c r="Y1311" s="110" t="s">
        <v>2064</v>
      </c>
      <c r="Z1311" s="110" t="s">
        <v>2953</v>
      </c>
      <c r="AA1311" s="110" t="s">
        <v>537</v>
      </c>
      <c r="AB1311" s="110" t="s">
        <v>244</v>
      </c>
      <c r="AC1311" s="110" t="s">
        <v>538</v>
      </c>
      <c r="AD1311" s="110" t="n">
        <f aca="false">IF(OR(F1311="",Q1311="",R1311=""),"",ROUND(IF(P1311="incl.",F1311/(1+Q1311),F1311)/IF(S1311="per pack",R1311,1),2))</f>
        <v>2.28</v>
      </c>
      <c r="AE1311" s="110" t="str">
        <f aca="false">IF(AND(AC1311="yes",ISNUMBER(F1311),IF(Compare!$H$5="All mapped",TRUE(),IF(Compare!$H$5="EXACT only",J1311="EXACT",OR(J1311="EXACT",J1311="CLOSE")))),"yes","no")</f>
        <v>yes</v>
      </c>
      <c r="AF1311" s="110" t="n">
        <f aca="false">IF(ISNUMBER(H1311),COUNTIFS($B$7:$B$3000,B1311,$C$7:$C$3000,C1311,$H$7:$H$3000,"&lt;"&amp;H1311,$AH$7:$AH$3000,"yes")+COUNTIFS($B$7:B1311,B1311,$C$7:C1311,C1311,$H$7:H1311,H1311,$AH$7:AH1311,"yes"),"")</f>
        <v>3</v>
      </c>
      <c r="AG1311" s="110" t="n">
        <f aca="false">IF(ISNUMBER(I1311),COUNTIFS($B$7:$B$3000,B1311,$C$7:$C$3000,C1311,$I$7:$I$3000,"&lt;"&amp;I1311,$AI$7:$AI$3000,"yes")+COUNTIFS($B$7:B1311,B1311,$C$7:C1311,C1311,$I$7:I1311,I1311,$AI$7:AI1311,"yes"),"")</f>
        <v>3</v>
      </c>
      <c r="AH1311" s="110" t="str">
        <f aca="false">IF(ISNUMBER(H1311),"yes","no")</f>
        <v>yes</v>
      </c>
      <c r="AI1311" s="110" t="str">
        <f aca="false">IF(ISNUMBER(I1311),"yes","no")</f>
        <v>yes</v>
      </c>
      <c r="AJ1311" s="120" t="n">
        <v>46297</v>
      </c>
      <c r="AK1311" s="110"/>
    </row>
    <row r="1312" customFormat="false" ht="35.05" hidden="false" customHeight="false" outlineLevel="0" collapsed="false">
      <c r="B1312" s="36" t="s">
        <v>81</v>
      </c>
      <c r="C1312" s="98" t="s">
        <v>15</v>
      </c>
      <c r="D1312" s="98" t="s">
        <v>293</v>
      </c>
      <c r="E1312" s="110" t="s">
        <v>4175</v>
      </c>
      <c r="F1312" s="99" t="n">
        <v>2.1</v>
      </c>
      <c r="G1312" s="98" t="s">
        <v>244</v>
      </c>
      <c r="H1312" s="112" t="n">
        <f aca="false">IF(AND(AE1312="yes",ISNUMBER(AD1312)),AD1312,"")</f>
        <v>2.1</v>
      </c>
      <c r="I1312" s="95" t="n">
        <f aca="false">IF(AND(AE1312="yes",ISNUMBER(AD1312),ISNUMBER(INDEX(Sources!$G$7:$G$10,MATCH(AB1312,Sources!$B$7:$B$10,0)))),ROUND(AD1312/INDEX(Sources!$G$7:$G$10,MATCH(AB1312,Sources!$B$7:$B$10,0)),6),"")</f>
        <v>2.1</v>
      </c>
      <c r="J1312" s="98" t="s">
        <v>530</v>
      </c>
      <c r="K1312" s="98" t="s">
        <v>2059</v>
      </c>
      <c r="L1312" s="96"/>
      <c r="M1312" s="110" t="s">
        <v>4176</v>
      </c>
      <c r="N1312" s="117" t="s">
        <v>4177</v>
      </c>
      <c r="O1312" s="110" t="s">
        <v>2957</v>
      </c>
      <c r="P1312" s="110" t="s">
        <v>590</v>
      </c>
      <c r="Q1312" s="118" t="n">
        <v>0.2</v>
      </c>
      <c r="R1312" s="110" t="n">
        <v>1</v>
      </c>
      <c r="S1312" s="110" t="s">
        <v>632</v>
      </c>
      <c r="T1312" s="110" t="s">
        <v>530</v>
      </c>
      <c r="U1312" s="110" t="s">
        <v>2913</v>
      </c>
      <c r="V1312" s="119" t="n">
        <v>2.1</v>
      </c>
      <c r="W1312" s="119"/>
      <c r="X1312" s="110" t="s">
        <v>2063</v>
      </c>
      <c r="Y1312" s="110" t="s">
        <v>2064</v>
      </c>
      <c r="Z1312" s="110" t="s">
        <v>2958</v>
      </c>
      <c r="AA1312" s="110" t="s">
        <v>537</v>
      </c>
      <c r="AB1312" s="110" t="s">
        <v>244</v>
      </c>
      <c r="AC1312" s="110" t="s">
        <v>538</v>
      </c>
      <c r="AD1312" s="110" t="n">
        <f aca="false">IF(OR(F1312="",Q1312="",R1312=""),"",ROUND(IF(P1312="incl.",F1312/(1+Q1312),F1312)/IF(S1312="per pack",R1312,1),2))</f>
        <v>2.1</v>
      </c>
      <c r="AE1312" s="110" t="str">
        <f aca="false">IF(AND(AC1312="yes",ISNUMBER(F1312),IF(Compare!$H$5="All mapped",TRUE(),IF(Compare!$H$5="EXACT only",J1312="EXACT",OR(J1312="EXACT",J1312="CLOSE")))),"yes","no")</f>
        <v>yes</v>
      </c>
      <c r="AF1312" s="110" t="n">
        <f aca="false">IF(ISNUMBER(H1312),COUNTIFS($B$7:$B$3000,B1312,$C$7:$C$3000,C1312,$H$7:$H$3000,"&lt;"&amp;H1312,$AH$7:$AH$3000,"yes")+COUNTIFS($B$7:B1312,B1312,$C$7:C1312,C1312,$H$7:H1312,H1312,$AH$7:AH1312,"yes"),"")</f>
        <v>2</v>
      </c>
      <c r="AG1312" s="110" t="n">
        <f aca="false">IF(ISNUMBER(I1312),COUNTIFS($B$7:$B$3000,B1312,$C$7:$C$3000,C1312,$I$7:$I$3000,"&lt;"&amp;I1312,$AI$7:$AI$3000,"yes")+COUNTIFS($B$7:B1312,B1312,$C$7:C1312,C1312,$I$7:I1312,I1312,$AI$7:AI1312,"yes"),"")</f>
        <v>2</v>
      </c>
      <c r="AH1312" s="110" t="str">
        <f aca="false">IF(ISNUMBER(H1312),"yes","no")</f>
        <v>yes</v>
      </c>
      <c r="AI1312" s="110" t="str">
        <f aca="false">IF(ISNUMBER(I1312),"yes","no")</f>
        <v>yes</v>
      </c>
      <c r="AJ1312" s="120" t="n">
        <v>46297</v>
      </c>
      <c r="AK1312" s="110"/>
    </row>
    <row r="1313" customFormat="false" ht="23.85" hidden="false" customHeight="false" outlineLevel="0" collapsed="false">
      <c r="B1313" s="36" t="s">
        <v>81</v>
      </c>
      <c r="C1313" s="98" t="s">
        <v>16</v>
      </c>
      <c r="D1313" s="98" t="s">
        <v>296</v>
      </c>
      <c r="E1313" s="110" t="s">
        <v>4157</v>
      </c>
      <c r="F1313" s="99" t="n">
        <v>3.65</v>
      </c>
      <c r="G1313" s="98" t="s">
        <v>244</v>
      </c>
      <c r="H1313" s="112" t="n">
        <f aca="false">IF(AND(AE1313="yes",ISNUMBER(AD1313)),AD1313,"")</f>
        <v>3.65</v>
      </c>
      <c r="I1313" s="95" t="n">
        <f aca="false">IF(AND(AE1313="yes",ISNUMBER(AD1313),ISNUMBER(INDEX(Sources!$G$7:$G$10,MATCH(AB1313,Sources!$B$7:$B$10,0)))),ROUND(AD1313/INDEX(Sources!$G$7:$G$10,MATCH(AB1313,Sources!$B$7:$B$10,0)),6),"")</f>
        <v>3.65</v>
      </c>
      <c r="J1313" s="98" t="s">
        <v>530</v>
      </c>
      <c r="K1313" s="98" t="s">
        <v>2059</v>
      </c>
      <c r="L1313" s="96"/>
      <c r="M1313" s="110" t="s">
        <v>4178</v>
      </c>
      <c r="N1313" s="117" t="s">
        <v>4179</v>
      </c>
      <c r="O1313" s="110" t="s">
        <v>296</v>
      </c>
      <c r="P1313" s="110" t="s">
        <v>590</v>
      </c>
      <c r="Q1313" s="118" t="n">
        <v>0.19</v>
      </c>
      <c r="R1313" s="110" t="n">
        <v>1</v>
      </c>
      <c r="S1313" s="110" t="s">
        <v>632</v>
      </c>
      <c r="T1313" s="110" t="s">
        <v>530</v>
      </c>
      <c r="U1313" s="110" t="s">
        <v>2913</v>
      </c>
      <c r="V1313" s="119" t="n">
        <v>3.65</v>
      </c>
      <c r="W1313" s="119"/>
      <c r="X1313" s="110" t="s">
        <v>2063</v>
      </c>
      <c r="Y1313" s="110" t="s">
        <v>2064</v>
      </c>
      <c r="Z1313" s="110" t="s">
        <v>2164</v>
      </c>
      <c r="AA1313" s="110" t="s">
        <v>537</v>
      </c>
      <c r="AB1313" s="110" t="s">
        <v>244</v>
      </c>
      <c r="AC1313" s="110" t="s">
        <v>538</v>
      </c>
      <c r="AD1313" s="110" t="n">
        <f aca="false">IF(OR(F1313="",Q1313="",R1313=""),"",ROUND(IF(P1313="incl.",F1313/(1+Q1313),F1313)/IF(S1313="per pack",R1313,1),2))</f>
        <v>3.65</v>
      </c>
      <c r="AE1313" s="110" t="str">
        <f aca="false">IF(AND(AC1313="yes",ISNUMBER(F1313),IF(Compare!$H$5="All mapped",TRUE(),IF(Compare!$H$5="EXACT only",J1313="EXACT",OR(J1313="EXACT",J1313="CLOSE")))),"yes","no")</f>
        <v>yes</v>
      </c>
      <c r="AF1313" s="110" t="n">
        <f aca="false">IF(ISNUMBER(H1313),COUNTIFS($B$7:$B$3000,B1313,$C$7:$C$3000,C1313,$H$7:$H$3000,"&lt;"&amp;H1313,$AH$7:$AH$3000,"yes")+COUNTIFS($B$7:B1313,B1313,$C$7:C1313,C1313,$H$7:H1313,H1313,$AH$7:AH1313,"yes"),"")</f>
        <v>6</v>
      </c>
      <c r="AG1313" s="110" t="n">
        <f aca="false">IF(ISNUMBER(I1313),COUNTIFS($B$7:$B$3000,B1313,$C$7:$C$3000,C1313,$I$7:$I$3000,"&lt;"&amp;I1313,$AI$7:$AI$3000,"yes")+COUNTIFS($B$7:B1313,B1313,$C$7:C1313,C1313,$I$7:I1313,I1313,$AI$7:AI1313,"yes"),"")</f>
        <v>6</v>
      </c>
      <c r="AH1313" s="110" t="str">
        <f aca="false">IF(ISNUMBER(H1313),"yes","no")</f>
        <v>yes</v>
      </c>
      <c r="AI1313" s="110" t="str">
        <f aca="false">IF(ISNUMBER(I1313),"yes","no")</f>
        <v>yes</v>
      </c>
      <c r="AJ1313" s="120" t="n">
        <v>46297</v>
      </c>
      <c r="AK1313" s="110"/>
    </row>
    <row r="1314" customFormat="false" ht="46.25" hidden="false" customHeight="false" outlineLevel="0" collapsed="false">
      <c r="B1314" s="36" t="s">
        <v>81</v>
      </c>
      <c r="C1314" s="98" t="s">
        <v>16</v>
      </c>
      <c r="D1314" s="98" t="s">
        <v>317</v>
      </c>
      <c r="E1314" s="110" t="s">
        <v>4160</v>
      </c>
      <c r="F1314" s="99" t="n">
        <v>20.99</v>
      </c>
      <c r="G1314" s="98" t="s">
        <v>244</v>
      </c>
      <c r="H1314" s="112" t="n">
        <f aca="false">IF(AND(AE1314="yes",ISNUMBER(AD1314)),AD1314,"")</f>
        <v>1.75</v>
      </c>
      <c r="I1314" s="95" t="n">
        <f aca="false">IF(AND(AE1314="yes",ISNUMBER(AD1314),ISNUMBER(INDEX(Sources!$G$7:$G$10,MATCH(AB1314,Sources!$B$7:$B$10,0)))),ROUND(AD1314/INDEX(Sources!$G$7:$G$10,MATCH(AB1314,Sources!$B$7:$B$10,0)),6),"")</f>
        <v>1.75</v>
      </c>
      <c r="J1314" s="98" t="s">
        <v>530</v>
      </c>
      <c r="K1314" s="98" t="s">
        <v>2059</v>
      </c>
      <c r="L1314" s="96"/>
      <c r="M1314" s="110" t="s">
        <v>4180</v>
      </c>
      <c r="N1314" s="117" t="s">
        <v>4181</v>
      </c>
      <c r="O1314" s="110" t="s">
        <v>317</v>
      </c>
      <c r="P1314" s="110" t="s">
        <v>590</v>
      </c>
      <c r="Q1314" s="118" t="n">
        <v>0.19</v>
      </c>
      <c r="R1314" s="110" t="n">
        <v>12</v>
      </c>
      <c r="S1314" s="110" t="s">
        <v>625</v>
      </c>
      <c r="T1314" s="110" t="s">
        <v>530</v>
      </c>
      <c r="U1314" s="110" t="s">
        <v>2913</v>
      </c>
      <c r="V1314" s="119" t="n">
        <v>1.75</v>
      </c>
      <c r="W1314" s="119"/>
      <c r="X1314" s="110" t="s">
        <v>2063</v>
      </c>
      <c r="Y1314" s="110" t="s">
        <v>2064</v>
      </c>
      <c r="Z1314" s="110" t="s">
        <v>2638</v>
      </c>
      <c r="AA1314" s="110" t="s">
        <v>537</v>
      </c>
      <c r="AB1314" s="110" t="s">
        <v>244</v>
      </c>
      <c r="AC1314" s="110" t="s">
        <v>538</v>
      </c>
      <c r="AD1314" s="110" t="n">
        <f aca="false">IF(OR(F1314="",Q1314="",R1314=""),"",ROUND(IF(P1314="incl.",F1314/(1+Q1314),F1314)/IF(S1314="per pack",R1314,1),2))</f>
        <v>1.75</v>
      </c>
      <c r="AE1314" s="110" t="str">
        <f aca="false">IF(AND(AC1314="yes",ISNUMBER(F1314),IF(Compare!$H$5="All mapped",TRUE(),IF(Compare!$H$5="EXACT only",J1314="EXACT",OR(J1314="EXACT",J1314="CLOSE")))),"yes","no")</f>
        <v>yes</v>
      </c>
      <c r="AF1314" s="110" t="n">
        <f aca="false">IF(ISNUMBER(H1314),COUNTIFS($B$7:$B$3000,B1314,$C$7:$C$3000,C1314,$H$7:$H$3000,"&lt;"&amp;H1314,$AH$7:$AH$3000,"yes")+COUNTIFS($B$7:B1314,B1314,$C$7:C1314,C1314,$H$7:H1314,H1314,$AH$7:AH1314,"yes"),"")</f>
        <v>1</v>
      </c>
      <c r="AG1314" s="110" t="n">
        <f aca="false">IF(ISNUMBER(I1314),COUNTIFS($B$7:$B$3000,B1314,$C$7:$C$3000,C1314,$I$7:$I$3000,"&lt;"&amp;I1314,$AI$7:$AI$3000,"yes")+COUNTIFS($B$7:B1314,B1314,$C$7:C1314,C1314,$I$7:I1314,I1314,$AI$7:AI1314,"yes"),"")</f>
        <v>1</v>
      </c>
      <c r="AH1314" s="110" t="str">
        <f aca="false">IF(ISNUMBER(H1314),"yes","no")</f>
        <v>yes</v>
      </c>
      <c r="AI1314" s="110" t="str">
        <f aca="false">IF(ISNUMBER(I1314),"yes","no")</f>
        <v>yes</v>
      </c>
      <c r="AJ1314" s="120" t="n">
        <v>46297</v>
      </c>
      <c r="AK1314" s="110"/>
    </row>
    <row r="1315" customFormat="false" ht="35.05" hidden="false" customHeight="false" outlineLevel="0" collapsed="false">
      <c r="B1315" s="36" t="s">
        <v>81</v>
      </c>
      <c r="C1315" s="98" t="s">
        <v>16</v>
      </c>
      <c r="D1315" s="98" t="s">
        <v>305</v>
      </c>
      <c r="E1315" s="110" t="s">
        <v>4182</v>
      </c>
      <c r="F1315" s="99" t="n">
        <v>2.58</v>
      </c>
      <c r="G1315" s="98" t="s">
        <v>244</v>
      </c>
      <c r="H1315" s="112" t="n">
        <f aca="false">IF(AND(AE1315="yes",ISNUMBER(AD1315)),AD1315,"")</f>
        <v>2.17</v>
      </c>
      <c r="I1315" s="95" t="n">
        <f aca="false">IF(AND(AE1315="yes",ISNUMBER(AD1315),ISNUMBER(INDEX(Sources!$G$7:$G$10,MATCH(AB1315,Sources!$B$7:$B$10,0)))),ROUND(AD1315/INDEX(Sources!$G$7:$G$10,MATCH(AB1315,Sources!$B$7:$B$10,0)),6),"")</f>
        <v>2.17</v>
      </c>
      <c r="J1315" s="98" t="s">
        <v>530</v>
      </c>
      <c r="K1315" s="98" t="s">
        <v>2059</v>
      </c>
      <c r="L1315" s="96"/>
      <c r="M1315" s="110" t="s">
        <v>4183</v>
      </c>
      <c r="N1315" s="117" t="s">
        <v>4184</v>
      </c>
      <c r="O1315" s="110" t="s">
        <v>2965</v>
      </c>
      <c r="P1315" s="110" t="s">
        <v>265</v>
      </c>
      <c r="Q1315" s="118" t="n">
        <v>0.19</v>
      </c>
      <c r="R1315" s="110" t="n">
        <v>1</v>
      </c>
      <c r="S1315" s="110" t="s">
        <v>632</v>
      </c>
      <c r="T1315" s="110" t="s">
        <v>530</v>
      </c>
      <c r="U1315" s="110" t="s">
        <v>2918</v>
      </c>
      <c r="V1315" s="119" t="n">
        <v>2.17</v>
      </c>
      <c r="W1315" s="119"/>
      <c r="X1315" s="110" t="s">
        <v>2063</v>
      </c>
      <c r="Y1315" s="110" t="s">
        <v>2064</v>
      </c>
      <c r="Z1315" s="110" t="s">
        <v>2156</v>
      </c>
      <c r="AA1315" s="110" t="s">
        <v>537</v>
      </c>
      <c r="AB1315" s="110" t="s">
        <v>244</v>
      </c>
      <c r="AC1315" s="110" t="s">
        <v>538</v>
      </c>
      <c r="AD1315" s="110" t="n">
        <f aca="false">IF(OR(F1315="",Q1315="",R1315=""),"",ROUND(IF(P1315="incl.",F1315/(1+Q1315),F1315)/IF(S1315="per pack",R1315,1),2))</f>
        <v>2.17</v>
      </c>
      <c r="AE1315" s="110" t="str">
        <f aca="false">IF(AND(AC1315="yes",ISNUMBER(F1315),IF(Compare!$H$5="All mapped",TRUE(),IF(Compare!$H$5="EXACT only",J1315="EXACT",OR(J1315="EXACT",J1315="CLOSE")))),"yes","no")</f>
        <v>yes</v>
      </c>
      <c r="AF1315" s="110" t="n">
        <f aca="false">IF(ISNUMBER(H1315),COUNTIFS($B$7:$B$3000,B1315,$C$7:$C$3000,C1315,$H$7:$H$3000,"&lt;"&amp;H1315,$AH$7:$AH$3000,"yes")+COUNTIFS($B$7:B1315,B1315,$C$7:C1315,C1315,$H$7:H1315,H1315,$AH$7:AH1315,"yes"),"")</f>
        <v>2</v>
      </c>
      <c r="AG1315" s="110" t="n">
        <f aca="false">IF(ISNUMBER(I1315),COUNTIFS($B$7:$B$3000,B1315,$C$7:$C$3000,C1315,$I$7:$I$3000,"&lt;"&amp;I1315,$AI$7:$AI$3000,"yes")+COUNTIFS($B$7:B1315,B1315,$C$7:C1315,C1315,$I$7:I1315,I1315,$AI$7:AI1315,"yes"),"")</f>
        <v>2</v>
      </c>
      <c r="AH1315" s="110" t="str">
        <f aca="false">IF(ISNUMBER(H1315),"yes","no")</f>
        <v>yes</v>
      </c>
      <c r="AI1315" s="110" t="str">
        <f aca="false">IF(ISNUMBER(I1315),"yes","no")</f>
        <v>yes</v>
      </c>
      <c r="AJ1315" s="120" t="n">
        <v>46297</v>
      </c>
      <c r="AK1315" s="110"/>
    </row>
    <row r="1316" customFormat="false" ht="35.05" hidden="false" customHeight="false" outlineLevel="0" collapsed="false">
      <c r="B1316" s="36" t="s">
        <v>81</v>
      </c>
      <c r="C1316" s="98" t="s">
        <v>16</v>
      </c>
      <c r="D1316" s="98" t="s">
        <v>311</v>
      </c>
      <c r="E1316" s="110" t="s">
        <v>4163</v>
      </c>
      <c r="F1316" s="99" t="n">
        <v>2.49</v>
      </c>
      <c r="G1316" s="98" t="s">
        <v>244</v>
      </c>
      <c r="H1316" s="112" t="n">
        <f aca="false">IF(AND(AE1316="yes",ISNUMBER(AD1316)),AD1316,"")</f>
        <v>2.49</v>
      </c>
      <c r="I1316" s="95" t="n">
        <f aca="false">IF(AND(AE1316="yes",ISNUMBER(AD1316),ISNUMBER(INDEX(Sources!$G$7:$G$10,MATCH(AB1316,Sources!$B$7:$B$10,0)))),ROUND(AD1316/INDEX(Sources!$G$7:$G$10,MATCH(AB1316,Sources!$B$7:$B$10,0)),6),"")</f>
        <v>2.49</v>
      </c>
      <c r="J1316" s="98" t="s">
        <v>530</v>
      </c>
      <c r="K1316" s="98" t="s">
        <v>2059</v>
      </c>
      <c r="L1316" s="96"/>
      <c r="M1316" s="110" t="s">
        <v>4185</v>
      </c>
      <c r="N1316" s="117" t="s">
        <v>4186</v>
      </c>
      <c r="O1316" s="110" t="s">
        <v>589</v>
      </c>
      <c r="P1316" s="110" t="s">
        <v>590</v>
      </c>
      <c r="Q1316" s="118" t="n">
        <v>0.19</v>
      </c>
      <c r="R1316" s="110" t="n">
        <v>1</v>
      </c>
      <c r="S1316" s="110" t="s">
        <v>632</v>
      </c>
      <c r="T1316" s="110" t="s">
        <v>530</v>
      </c>
      <c r="U1316" s="110" t="s">
        <v>2913</v>
      </c>
      <c r="V1316" s="119" t="n">
        <v>2.49</v>
      </c>
      <c r="W1316" s="119"/>
      <c r="X1316" s="110" t="s">
        <v>2063</v>
      </c>
      <c r="Y1316" s="110" t="s">
        <v>2064</v>
      </c>
      <c r="Z1316" s="110" t="s">
        <v>3236</v>
      </c>
      <c r="AA1316" s="110" t="s">
        <v>537</v>
      </c>
      <c r="AB1316" s="110" t="s">
        <v>244</v>
      </c>
      <c r="AC1316" s="110" t="s">
        <v>538</v>
      </c>
      <c r="AD1316" s="110" t="n">
        <f aca="false">IF(OR(F1316="",Q1316="",R1316=""),"",ROUND(IF(P1316="incl.",F1316/(1+Q1316),F1316)/IF(S1316="per pack",R1316,1),2))</f>
        <v>2.49</v>
      </c>
      <c r="AE1316" s="110" t="str">
        <f aca="false">IF(AND(AC1316="yes",ISNUMBER(F1316),IF(Compare!$H$5="All mapped",TRUE(),IF(Compare!$H$5="EXACT only",J1316="EXACT",OR(J1316="EXACT",J1316="CLOSE")))),"yes","no")</f>
        <v>yes</v>
      </c>
      <c r="AF1316" s="110" t="n">
        <f aca="false">IF(ISNUMBER(H1316),COUNTIFS($B$7:$B$3000,B1316,$C$7:$C$3000,C1316,$H$7:$H$3000,"&lt;"&amp;H1316,$AH$7:$AH$3000,"yes")+COUNTIFS($B$7:B1316,B1316,$C$7:C1316,C1316,$H$7:H1316,H1316,$AH$7:AH1316,"yes"),"")</f>
        <v>5</v>
      </c>
      <c r="AG1316" s="110" t="n">
        <f aca="false">IF(ISNUMBER(I1316),COUNTIFS($B$7:$B$3000,B1316,$C$7:$C$3000,C1316,$I$7:$I$3000,"&lt;"&amp;I1316,$AI$7:$AI$3000,"yes")+COUNTIFS($B$7:B1316,B1316,$C$7:C1316,C1316,$I$7:I1316,I1316,$AI$7:AI1316,"yes"),"")</f>
        <v>5</v>
      </c>
      <c r="AH1316" s="110" t="str">
        <f aca="false">IF(ISNUMBER(H1316),"yes","no")</f>
        <v>yes</v>
      </c>
      <c r="AI1316" s="110" t="str">
        <f aca="false">IF(ISNUMBER(I1316),"yes","no")</f>
        <v>yes</v>
      </c>
      <c r="AJ1316" s="120" t="n">
        <v>46297</v>
      </c>
      <c r="AK1316" s="110"/>
    </row>
    <row r="1317" customFormat="false" ht="23.85" hidden="false" customHeight="false" outlineLevel="0" collapsed="false">
      <c r="B1317" s="36" t="s">
        <v>81</v>
      </c>
      <c r="C1317" s="98" t="s">
        <v>16</v>
      </c>
      <c r="D1317" s="98" t="s">
        <v>309</v>
      </c>
      <c r="E1317" s="110" t="s">
        <v>4166</v>
      </c>
      <c r="F1317" s="99" t="n">
        <v>9</v>
      </c>
      <c r="G1317" s="98" t="s">
        <v>244</v>
      </c>
      <c r="H1317" s="112" t="n">
        <f aca="false">IF(AND(AE1317="yes",ISNUMBER(AD1317)),AD1317,"")</f>
        <v>9</v>
      </c>
      <c r="I1317" s="95" t="n">
        <f aca="false">IF(AND(AE1317="yes",ISNUMBER(AD1317),ISNUMBER(INDEX(Sources!$G$7:$G$10,MATCH(AB1317,Sources!$B$7:$B$10,0)))),ROUND(AD1317/INDEX(Sources!$G$7:$G$10,MATCH(AB1317,Sources!$B$7:$B$10,0)),6),"")</f>
        <v>9</v>
      </c>
      <c r="J1317" s="98" t="s">
        <v>530</v>
      </c>
      <c r="K1317" s="98" t="s">
        <v>2059</v>
      </c>
      <c r="L1317" s="96"/>
      <c r="M1317" s="110" t="s">
        <v>4187</v>
      </c>
      <c r="N1317" s="117" t="s">
        <v>4168</v>
      </c>
      <c r="O1317" s="110" t="s">
        <v>2944</v>
      </c>
      <c r="P1317" s="110" t="s">
        <v>590</v>
      </c>
      <c r="Q1317" s="118" t="n">
        <v>0.19</v>
      </c>
      <c r="R1317" s="110" t="n">
        <v>1</v>
      </c>
      <c r="S1317" s="110" t="s">
        <v>632</v>
      </c>
      <c r="T1317" s="110" t="s">
        <v>530</v>
      </c>
      <c r="U1317" s="110" t="s">
        <v>2913</v>
      </c>
      <c r="V1317" s="119" t="n">
        <v>9</v>
      </c>
      <c r="W1317" s="119"/>
      <c r="X1317" s="110" t="s">
        <v>2063</v>
      </c>
      <c r="Y1317" s="110" t="s">
        <v>2064</v>
      </c>
      <c r="Z1317" s="110" t="s">
        <v>2970</v>
      </c>
      <c r="AA1317" s="110" t="s">
        <v>537</v>
      </c>
      <c r="AB1317" s="110" t="s">
        <v>244</v>
      </c>
      <c r="AC1317" s="110" t="s">
        <v>538</v>
      </c>
      <c r="AD1317" s="110" t="n">
        <f aca="false">IF(OR(F1317="",Q1317="",R1317=""),"",ROUND(IF(P1317="incl.",F1317/(1+Q1317),F1317)/IF(S1317="per pack",R1317,1),2))</f>
        <v>9</v>
      </c>
      <c r="AE1317" s="110" t="str">
        <f aca="false">IF(AND(AC1317="yes",ISNUMBER(F1317),IF(Compare!$H$5="All mapped",TRUE(),IF(Compare!$H$5="EXACT only",J1317="EXACT",OR(J1317="EXACT",J1317="CLOSE")))),"yes","no")</f>
        <v>yes</v>
      </c>
      <c r="AF1317" s="110" t="n">
        <f aca="false">IF(ISNUMBER(H1317),COUNTIFS($B$7:$B$3000,B1317,$C$7:$C$3000,C1317,$H$7:$H$3000,"&lt;"&amp;H1317,$AH$7:$AH$3000,"yes")+COUNTIFS($B$7:B1317,B1317,$C$7:C1317,C1317,$H$7:H1317,H1317,$AH$7:AH1317,"yes"),"")</f>
        <v>7</v>
      </c>
      <c r="AG1317" s="110" t="n">
        <f aca="false">IF(ISNUMBER(I1317),COUNTIFS($B$7:$B$3000,B1317,$C$7:$C$3000,C1317,$I$7:$I$3000,"&lt;"&amp;I1317,$AI$7:$AI$3000,"yes")+COUNTIFS($B$7:B1317,B1317,$C$7:C1317,C1317,$I$7:I1317,I1317,$AI$7:AI1317,"yes"),"")</f>
        <v>7</v>
      </c>
      <c r="AH1317" s="110" t="str">
        <f aca="false">IF(ISNUMBER(H1317),"yes","no")</f>
        <v>yes</v>
      </c>
      <c r="AI1317" s="110" t="str">
        <f aca="false">IF(ISNUMBER(I1317),"yes","no")</f>
        <v>yes</v>
      </c>
      <c r="AJ1317" s="120" t="n">
        <v>46297</v>
      </c>
      <c r="AK1317" s="110"/>
    </row>
    <row r="1318" customFormat="false" ht="35.05" hidden="false" customHeight="false" outlineLevel="0" collapsed="false">
      <c r="B1318" s="36" t="s">
        <v>81</v>
      </c>
      <c r="C1318" s="98" t="s">
        <v>16</v>
      </c>
      <c r="D1318" s="98" t="s">
        <v>321</v>
      </c>
      <c r="E1318" s="110" t="s">
        <v>4172</v>
      </c>
      <c r="F1318" s="99" t="n">
        <v>2.28</v>
      </c>
      <c r="G1318" s="98" t="s">
        <v>244</v>
      </c>
      <c r="H1318" s="112" t="n">
        <f aca="false">IF(AND(AE1318="yes",ISNUMBER(AD1318)),AD1318,"")</f>
        <v>2.28</v>
      </c>
      <c r="I1318" s="95" t="n">
        <f aca="false">IF(AND(AE1318="yes",ISNUMBER(AD1318),ISNUMBER(INDEX(Sources!$G$7:$G$10,MATCH(AB1318,Sources!$B$7:$B$10,0)))),ROUND(AD1318/INDEX(Sources!$G$7:$G$10,MATCH(AB1318,Sources!$B$7:$B$10,0)),6),"")</f>
        <v>2.28</v>
      </c>
      <c r="J1318" s="98" t="s">
        <v>530</v>
      </c>
      <c r="K1318" s="98" t="s">
        <v>2059</v>
      </c>
      <c r="L1318" s="96"/>
      <c r="M1318" s="110" t="s">
        <v>4188</v>
      </c>
      <c r="N1318" s="117" t="s">
        <v>4189</v>
      </c>
      <c r="O1318" s="110" t="s">
        <v>2952</v>
      </c>
      <c r="P1318" s="110" t="s">
        <v>590</v>
      </c>
      <c r="Q1318" s="118" t="n">
        <v>0.19</v>
      </c>
      <c r="R1318" s="110" t="n">
        <v>1</v>
      </c>
      <c r="S1318" s="110" t="s">
        <v>632</v>
      </c>
      <c r="T1318" s="110" t="s">
        <v>530</v>
      </c>
      <c r="U1318" s="110" t="s">
        <v>2913</v>
      </c>
      <c r="V1318" s="119" t="n">
        <v>2.28</v>
      </c>
      <c r="W1318" s="119"/>
      <c r="X1318" s="110" t="s">
        <v>2063</v>
      </c>
      <c r="Y1318" s="110" t="s">
        <v>2064</v>
      </c>
      <c r="Z1318" s="110" t="s">
        <v>2978</v>
      </c>
      <c r="AA1318" s="110" t="s">
        <v>537</v>
      </c>
      <c r="AB1318" s="110" t="s">
        <v>244</v>
      </c>
      <c r="AC1318" s="110" t="s">
        <v>538</v>
      </c>
      <c r="AD1318" s="110" t="n">
        <f aca="false">IF(OR(F1318="",Q1318="",R1318=""),"",ROUND(IF(P1318="incl.",F1318/(1+Q1318),F1318)/IF(S1318="per pack",R1318,1),2))</f>
        <v>2.28</v>
      </c>
      <c r="AE1318" s="110" t="str">
        <f aca="false">IF(AND(AC1318="yes",ISNUMBER(F1318),IF(Compare!$H$5="All mapped",TRUE(),IF(Compare!$H$5="EXACT only",J1318="EXACT",OR(J1318="EXACT",J1318="CLOSE")))),"yes","no")</f>
        <v>yes</v>
      </c>
      <c r="AF1318" s="110" t="n">
        <f aca="false">IF(ISNUMBER(H1318),COUNTIFS($B$7:$B$3000,B1318,$C$7:$C$3000,C1318,$H$7:$H$3000,"&lt;"&amp;H1318,$AH$7:$AH$3000,"yes")+COUNTIFS($B$7:B1318,B1318,$C$7:C1318,C1318,$H$7:H1318,H1318,$AH$7:AH1318,"yes"),"")</f>
        <v>4</v>
      </c>
      <c r="AG1318" s="110" t="n">
        <f aca="false">IF(ISNUMBER(I1318),COUNTIFS($B$7:$B$3000,B1318,$C$7:$C$3000,C1318,$I$7:$I$3000,"&lt;"&amp;I1318,$AI$7:$AI$3000,"yes")+COUNTIFS($B$7:B1318,B1318,$C$7:C1318,C1318,$I$7:I1318,I1318,$AI$7:AI1318,"yes"),"")</f>
        <v>4</v>
      </c>
      <c r="AH1318" s="110" t="str">
        <f aca="false">IF(ISNUMBER(H1318),"yes","no")</f>
        <v>yes</v>
      </c>
      <c r="AI1318" s="110" t="str">
        <f aca="false">IF(ISNUMBER(I1318),"yes","no")</f>
        <v>yes</v>
      </c>
      <c r="AJ1318" s="120" t="n">
        <v>46297</v>
      </c>
      <c r="AK1318" s="110"/>
    </row>
    <row r="1319" customFormat="false" ht="35.05" hidden="false" customHeight="false" outlineLevel="0" collapsed="false">
      <c r="B1319" s="36" t="s">
        <v>81</v>
      </c>
      <c r="C1319" s="98" t="s">
        <v>16</v>
      </c>
      <c r="D1319" s="98" t="s">
        <v>321</v>
      </c>
      <c r="E1319" s="110" t="s">
        <v>4190</v>
      </c>
      <c r="F1319" s="99" t="n">
        <v>2.2</v>
      </c>
      <c r="G1319" s="98" t="s">
        <v>244</v>
      </c>
      <c r="H1319" s="112" t="n">
        <f aca="false">IF(AND(AE1319="yes",ISNUMBER(AD1319)),AD1319,"")</f>
        <v>2.2</v>
      </c>
      <c r="I1319" s="95" t="n">
        <f aca="false">IF(AND(AE1319="yes",ISNUMBER(AD1319),ISNUMBER(INDEX(Sources!$G$7:$G$10,MATCH(AB1319,Sources!$B$7:$B$10,0)))),ROUND(AD1319/INDEX(Sources!$G$7:$G$10,MATCH(AB1319,Sources!$B$7:$B$10,0)),6),"")</f>
        <v>2.2</v>
      </c>
      <c r="J1319" s="98" t="s">
        <v>530</v>
      </c>
      <c r="K1319" s="98" t="s">
        <v>2059</v>
      </c>
      <c r="L1319" s="96"/>
      <c r="M1319" s="110" t="s">
        <v>4191</v>
      </c>
      <c r="N1319" s="117" t="s">
        <v>4192</v>
      </c>
      <c r="O1319" s="110" t="s">
        <v>2977</v>
      </c>
      <c r="P1319" s="110" t="s">
        <v>590</v>
      </c>
      <c r="Q1319" s="118" t="n">
        <v>0.19</v>
      </c>
      <c r="R1319" s="110" t="n">
        <v>1</v>
      </c>
      <c r="S1319" s="110" t="s">
        <v>632</v>
      </c>
      <c r="T1319" s="110" t="s">
        <v>530</v>
      </c>
      <c r="U1319" s="110" t="s">
        <v>2913</v>
      </c>
      <c r="V1319" s="119" t="n">
        <v>2.2</v>
      </c>
      <c r="W1319" s="119"/>
      <c r="X1319" s="110" t="s">
        <v>2063</v>
      </c>
      <c r="Y1319" s="110" t="s">
        <v>2064</v>
      </c>
      <c r="Z1319" s="110" t="s">
        <v>2978</v>
      </c>
      <c r="AA1319" s="110" t="s">
        <v>537</v>
      </c>
      <c r="AB1319" s="110" t="s">
        <v>244</v>
      </c>
      <c r="AC1319" s="110" t="s">
        <v>538</v>
      </c>
      <c r="AD1319" s="110" t="n">
        <f aca="false">IF(OR(F1319="",Q1319="",R1319=""),"",ROUND(IF(P1319="incl.",F1319/(1+Q1319),F1319)/IF(S1319="per pack",R1319,1),2))</f>
        <v>2.2</v>
      </c>
      <c r="AE1319" s="110" t="str">
        <f aca="false">IF(AND(AC1319="yes",ISNUMBER(F1319),IF(Compare!$H$5="All mapped",TRUE(),IF(Compare!$H$5="EXACT only",J1319="EXACT",OR(J1319="EXACT",J1319="CLOSE")))),"yes","no")</f>
        <v>yes</v>
      </c>
      <c r="AF1319" s="110" t="n">
        <f aca="false">IF(ISNUMBER(H1319),COUNTIFS($B$7:$B$3000,B1319,$C$7:$C$3000,C1319,$H$7:$H$3000,"&lt;"&amp;H1319,$AH$7:$AH$3000,"yes")+COUNTIFS($B$7:B1319,B1319,$C$7:C1319,C1319,$H$7:H1319,H1319,$AH$7:AH1319,"yes"),"")</f>
        <v>3</v>
      </c>
      <c r="AG1319" s="110" t="n">
        <f aca="false">IF(ISNUMBER(I1319),COUNTIFS($B$7:$B$3000,B1319,$C$7:$C$3000,C1319,$I$7:$I$3000,"&lt;"&amp;I1319,$AI$7:$AI$3000,"yes")+COUNTIFS($B$7:B1319,B1319,$C$7:C1319,C1319,$I$7:I1319,I1319,$AI$7:AI1319,"yes"),"")</f>
        <v>3</v>
      </c>
      <c r="AH1319" s="110" t="str">
        <f aca="false">IF(ISNUMBER(H1319),"yes","no")</f>
        <v>yes</v>
      </c>
      <c r="AI1319" s="110" t="str">
        <f aca="false">IF(ISNUMBER(I1319),"yes","no")</f>
        <v>yes</v>
      </c>
      <c r="AJ1319" s="120" t="n">
        <v>46297</v>
      </c>
      <c r="AK1319" s="110"/>
    </row>
    <row r="1320" customFormat="false" ht="23.85" hidden="false" customHeight="false" outlineLevel="0" collapsed="false">
      <c r="B1320" s="36" t="s">
        <v>81</v>
      </c>
      <c r="C1320" s="98" t="s">
        <v>17</v>
      </c>
      <c r="D1320" s="98" t="s">
        <v>338</v>
      </c>
      <c r="E1320" s="110" t="s">
        <v>4193</v>
      </c>
      <c r="F1320" s="99" t="n">
        <v>53</v>
      </c>
      <c r="G1320" s="98" t="s">
        <v>333</v>
      </c>
      <c r="H1320" s="112" t="n">
        <f aca="false">IF(AND(AE1320="yes",ISNUMBER(AD1320)),AD1320,"")</f>
        <v>53</v>
      </c>
      <c r="I1320" s="95" t="n">
        <f aca="false">IF(AND(AE1320="yes",ISNUMBER(AD1320),ISNUMBER(INDEX(Sources!$G$7:$G$10,MATCH(AB1320,Sources!$B$7:$B$10,0)))),ROUND(AD1320/INDEX(Sources!$G$7:$G$10,MATCH(AB1320,Sources!$B$7:$B$10,0)),6),"")</f>
        <v>2.170031</v>
      </c>
      <c r="J1320" s="98" t="s">
        <v>530</v>
      </c>
      <c r="K1320" s="98" t="s">
        <v>2059</v>
      </c>
      <c r="L1320" s="96"/>
      <c r="M1320" s="110" t="s">
        <v>4194</v>
      </c>
      <c r="N1320" s="117" t="s">
        <v>4195</v>
      </c>
      <c r="O1320" s="110" t="s">
        <v>2412</v>
      </c>
      <c r="P1320" s="110" t="s">
        <v>590</v>
      </c>
      <c r="Q1320" s="118" t="n">
        <v>0.21</v>
      </c>
      <c r="R1320" s="110" t="n">
        <v>1</v>
      </c>
      <c r="S1320" s="110" t="s">
        <v>632</v>
      </c>
      <c r="T1320" s="110" t="s">
        <v>530</v>
      </c>
      <c r="U1320" s="110" t="s">
        <v>2913</v>
      </c>
      <c r="V1320" s="119" t="n">
        <v>53</v>
      </c>
      <c r="W1320" s="119"/>
      <c r="X1320" s="110" t="s">
        <v>2063</v>
      </c>
      <c r="Y1320" s="110" t="s">
        <v>2064</v>
      </c>
      <c r="Z1320" s="110" t="s">
        <v>2413</v>
      </c>
      <c r="AA1320" s="110" t="s">
        <v>537</v>
      </c>
      <c r="AB1320" s="110" t="s">
        <v>333</v>
      </c>
      <c r="AC1320" s="110" t="s">
        <v>538</v>
      </c>
      <c r="AD1320" s="110" t="n">
        <f aca="false">IF(OR(F1320="",Q1320="",R1320=""),"",ROUND(IF(P1320="incl.",F1320/(1+Q1320),F1320)/IF(S1320="per pack",R1320,1),2))</f>
        <v>53</v>
      </c>
      <c r="AE1320" s="110" t="str">
        <f aca="false">IF(AND(AC1320="yes",ISNUMBER(F1320),IF(Compare!$H$5="All mapped",TRUE(),IF(Compare!$H$5="EXACT only",J1320="EXACT",OR(J1320="EXACT",J1320="CLOSE")))),"yes","no")</f>
        <v>yes</v>
      </c>
      <c r="AF1320" s="110" t="n">
        <f aca="false">IF(ISNUMBER(H1320),COUNTIFS($B$7:$B$3000,B1320,$C$7:$C$3000,C1320,$H$7:$H$3000,"&lt;"&amp;H1320,$AH$7:$AH$3000,"yes")+COUNTIFS($B$7:B1320,B1320,$C$7:C1320,C1320,$H$7:H1320,H1320,$AH$7:AH1320,"yes"),"")</f>
        <v>3</v>
      </c>
      <c r="AG1320" s="110" t="n">
        <f aca="false">IF(ISNUMBER(I1320),COUNTIFS($B$7:$B$3000,B1320,$C$7:$C$3000,C1320,$I$7:$I$3000,"&lt;"&amp;I1320,$AI$7:$AI$3000,"yes")+COUNTIFS($B$7:B1320,B1320,$C$7:C1320,C1320,$I$7:I1320,I1320,$AI$7:AI1320,"yes"),"")</f>
        <v>3</v>
      </c>
      <c r="AH1320" s="110" t="str">
        <f aca="false">IF(ISNUMBER(H1320),"yes","no")</f>
        <v>yes</v>
      </c>
      <c r="AI1320" s="110" t="str">
        <f aca="false">IF(ISNUMBER(I1320),"yes","no")</f>
        <v>yes</v>
      </c>
      <c r="AJ1320" s="120" t="n">
        <v>46297</v>
      </c>
      <c r="AK1320" s="110"/>
    </row>
    <row r="1321" customFormat="false" ht="35.05" hidden="false" customHeight="false" outlineLevel="0" collapsed="false">
      <c r="B1321" s="36" t="s">
        <v>81</v>
      </c>
      <c r="C1321" s="98" t="s">
        <v>17</v>
      </c>
      <c r="D1321" s="98" t="s">
        <v>342</v>
      </c>
      <c r="E1321" s="110" t="s">
        <v>4196</v>
      </c>
      <c r="F1321" s="99" t="n">
        <v>39</v>
      </c>
      <c r="G1321" s="98" t="s">
        <v>333</v>
      </c>
      <c r="H1321" s="112" t="n">
        <f aca="false">IF(AND(AE1321="yes",ISNUMBER(AD1321)),AD1321,"")</f>
        <v>39</v>
      </c>
      <c r="I1321" s="95" t="n">
        <f aca="false">IF(AND(AE1321="yes",ISNUMBER(AD1321),ISNUMBER(INDEX(Sources!$G$7:$G$10,MATCH(AB1321,Sources!$B$7:$B$10,0)))),ROUND(AD1321/INDEX(Sources!$G$7:$G$10,MATCH(AB1321,Sources!$B$7:$B$10,0)),6),"")</f>
        <v>1.596815</v>
      </c>
      <c r="J1321" s="98" t="s">
        <v>530</v>
      </c>
      <c r="K1321" s="98" t="s">
        <v>2059</v>
      </c>
      <c r="L1321" s="96"/>
      <c r="M1321" s="110" t="s">
        <v>4197</v>
      </c>
      <c r="N1321" s="117" t="s">
        <v>4198</v>
      </c>
      <c r="O1321" s="110" t="s">
        <v>1138</v>
      </c>
      <c r="P1321" s="110" t="s">
        <v>590</v>
      </c>
      <c r="Q1321" s="118" t="n">
        <v>0.21</v>
      </c>
      <c r="R1321" s="110" t="n">
        <v>1</v>
      </c>
      <c r="S1321" s="110" t="s">
        <v>632</v>
      </c>
      <c r="T1321" s="110" t="s">
        <v>530</v>
      </c>
      <c r="U1321" s="110" t="s">
        <v>2913</v>
      </c>
      <c r="V1321" s="119" t="n">
        <v>39</v>
      </c>
      <c r="W1321" s="119"/>
      <c r="X1321" s="110" t="s">
        <v>2063</v>
      </c>
      <c r="Y1321" s="110" t="s">
        <v>2064</v>
      </c>
      <c r="Z1321" s="110" t="s">
        <v>2989</v>
      </c>
      <c r="AA1321" s="110" t="s">
        <v>537</v>
      </c>
      <c r="AB1321" s="110" t="s">
        <v>333</v>
      </c>
      <c r="AC1321" s="110" t="s">
        <v>538</v>
      </c>
      <c r="AD1321" s="110" t="n">
        <f aca="false">IF(OR(F1321="",Q1321="",R1321=""),"",ROUND(IF(P1321="incl.",F1321/(1+Q1321),F1321)/IF(S1321="per pack",R1321,1),2))</f>
        <v>39</v>
      </c>
      <c r="AE1321" s="110" t="str">
        <f aca="false">IF(AND(AC1321="yes",ISNUMBER(F1321),IF(Compare!$H$5="All mapped",TRUE(),IF(Compare!$H$5="EXACT only",J1321="EXACT",OR(J1321="EXACT",J1321="CLOSE")))),"yes","no")</f>
        <v>yes</v>
      </c>
      <c r="AF1321" s="110" t="n">
        <f aca="false">IF(ISNUMBER(H1321),COUNTIFS($B$7:$B$3000,B1321,$C$7:$C$3000,C1321,$H$7:$H$3000,"&lt;"&amp;H1321,$AH$7:$AH$3000,"yes")+COUNTIFS($B$7:B1321,B1321,$C$7:C1321,C1321,$H$7:H1321,H1321,$AH$7:AH1321,"yes"),"")</f>
        <v>2</v>
      </c>
      <c r="AG1321" s="110" t="n">
        <f aca="false">IF(ISNUMBER(I1321),COUNTIFS($B$7:$B$3000,B1321,$C$7:$C$3000,C1321,$I$7:$I$3000,"&lt;"&amp;I1321,$AI$7:$AI$3000,"yes")+COUNTIFS($B$7:B1321,B1321,$C$7:C1321,C1321,$I$7:I1321,I1321,$AI$7:AI1321,"yes"),"")</f>
        <v>2</v>
      </c>
      <c r="AH1321" s="110" t="str">
        <f aca="false">IF(ISNUMBER(H1321),"yes","no")</f>
        <v>yes</v>
      </c>
      <c r="AI1321" s="110" t="str">
        <f aca="false">IF(ISNUMBER(I1321),"yes","no")</f>
        <v>yes</v>
      </c>
      <c r="AJ1321" s="120" t="n">
        <v>46297</v>
      </c>
      <c r="AK1321" s="110"/>
    </row>
    <row r="1322" customFormat="false" ht="46.25" hidden="false" customHeight="false" outlineLevel="0" collapsed="false">
      <c r="B1322" s="36" t="s">
        <v>81</v>
      </c>
      <c r="C1322" s="98" t="s">
        <v>17</v>
      </c>
      <c r="D1322" s="98" t="s">
        <v>346</v>
      </c>
      <c r="E1322" s="110" t="s">
        <v>4199</v>
      </c>
      <c r="F1322" s="99" t="n">
        <v>91</v>
      </c>
      <c r="G1322" s="98" t="s">
        <v>333</v>
      </c>
      <c r="H1322" s="112" t="n">
        <f aca="false">IF(AND(AE1322="yes",ISNUMBER(AD1322)),AD1322,"")</f>
        <v>91</v>
      </c>
      <c r="I1322" s="95" t="n">
        <f aca="false">IF(AND(AE1322="yes",ISNUMBER(AD1322),ISNUMBER(INDEX(Sources!$G$7:$G$10,MATCH(AB1322,Sources!$B$7:$B$10,0)))),ROUND(AD1322/INDEX(Sources!$G$7:$G$10,MATCH(AB1322,Sources!$B$7:$B$10,0)),6),"")</f>
        <v>3.725902</v>
      </c>
      <c r="J1322" s="98" t="s">
        <v>530</v>
      </c>
      <c r="K1322" s="98" t="s">
        <v>2059</v>
      </c>
      <c r="L1322" s="96"/>
      <c r="M1322" s="110" t="s">
        <v>4200</v>
      </c>
      <c r="N1322" s="117" t="s">
        <v>4201</v>
      </c>
      <c r="O1322" s="110" t="s">
        <v>565</v>
      </c>
      <c r="P1322" s="110" t="s">
        <v>590</v>
      </c>
      <c r="Q1322" s="118" t="n">
        <v>0.21</v>
      </c>
      <c r="R1322" s="110" t="n">
        <v>1</v>
      </c>
      <c r="S1322" s="110" t="s">
        <v>632</v>
      </c>
      <c r="T1322" s="110" t="s">
        <v>530</v>
      </c>
      <c r="U1322" s="110" t="s">
        <v>2913</v>
      </c>
      <c r="V1322" s="119" t="n">
        <v>91</v>
      </c>
      <c r="W1322" s="119"/>
      <c r="X1322" s="110" t="s">
        <v>2063</v>
      </c>
      <c r="Y1322" s="110" t="s">
        <v>2064</v>
      </c>
      <c r="Z1322" s="110" t="s">
        <v>2993</v>
      </c>
      <c r="AA1322" s="110" t="s">
        <v>537</v>
      </c>
      <c r="AB1322" s="110" t="s">
        <v>333</v>
      </c>
      <c r="AC1322" s="110" t="s">
        <v>538</v>
      </c>
      <c r="AD1322" s="110" t="n">
        <f aca="false">IF(OR(F1322="",Q1322="",R1322=""),"",ROUND(IF(P1322="incl.",F1322/(1+Q1322),F1322)/IF(S1322="per pack",R1322,1),2))</f>
        <v>91</v>
      </c>
      <c r="AE1322" s="110" t="str">
        <f aca="false">IF(AND(AC1322="yes",ISNUMBER(F1322),IF(Compare!$H$5="All mapped",TRUE(),IF(Compare!$H$5="EXACT only",J1322="EXACT",OR(J1322="EXACT",J1322="CLOSE")))),"yes","no")</f>
        <v>yes</v>
      </c>
      <c r="AF1322" s="110" t="n">
        <f aca="false">IF(ISNUMBER(H1322),COUNTIFS($B$7:$B$3000,B1322,$C$7:$C$3000,C1322,$H$7:$H$3000,"&lt;"&amp;H1322,$AH$7:$AH$3000,"yes")+COUNTIFS($B$7:B1322,B1322,$C$7:C1322,C1322,$H$7:H1322,H1322,$AH$7:AH1322,"yes"),"")</f>
        <v>4</v>
      </c>
      <c r="AG1322" s="110" t="n">
        <f aca="false">IF(ISNUMBER(I1322),COUNTIFS($B$7:$B$3000,B1322,$C$7:$C$3000,C1322,$I$7:$I$3000,"&lt;"&amp;I1322,$AI$7:$AI$3000,"yes")+COUNTIFS($B$7:B1322,B1322,$C$7:C1322,C1322,$I$7:I1322,I1322,$AI$7:AI1322,"yes"),"")</f>
        <v>4</v>
      </c>
      <c r="AH1322" s="110" t="str">
        <f aca="false">IF(ISNUMBER(H1322),"yes","no")</f>
        <v>yes</v>
      </c>
      <c r="AI1322" s="110" t="str">
        <f aca="false">IF(ISNUMBER(I1322),"yes","no")</f>
        <v>yes</v>
      </c>
      <c r="AJ1322" s="120" t="n">
        <v>46297</v>
      </c>
      <c r="AK1322" s="110"/>
    </row>
    <row r="1323" customFormat="false" ht="35.05" hidden="false" customHeight="false" outlineLevel="0" collapsed="false">
      <c r="B1323" s="36" t="s">
        <v>81</v>
      </c>
      <c r="C1323" s="98" t="s">
        <v>17</v>
      </c>
      <c r="D1323" s="98" t="s">
        <v>350</v>
      </c>
      <c r="E1323" s="110" t="s">
        <v>4202</v>
      </c>
      <c r="F1323" s="99" t="n">
        <v>39</v>
      </c>
      <c r="G1323" s="98" t="s">
        <v>333</v>
      </c>
      <c r="H1323" s="112" t="n">
        <f aca="false">IF(AND(AE1323="yes",ISNUMBER(AD1323)),AD1323,"")</f>
        <v>32.23</v>
      </c>
      <c r="I1323" s="95" t="n">
        <f aca="false">IF(AND(AE1323="yes",ISNUMBER(AD1323),ISNUMBER(INDEX(Sources!$G$7:$G$10,MATCH(AB1323,Sources!$B$7:$B$10,0)))),ROUND(AD1323/INDEX(Sources!$G$7:$G$10,MATCH(AB1323,Sources!$B$7:$B$10,0)),6),"")</f>
        <v>1.319624</v>
      </c>
      <c r="J1323" s="98" t="s">
        <v>530</v>
      </c>
      <c r="K1323" s="98" t="s">
        <v>2059</v>
      </c>
      <c r="L1323" s="96"/>
      <c r="M1323" s="110" t="s">
        <v>4203</v>
      </c>
      <c r="N1323" s="117" t="s">
        <v>4204</v>
      </c>
      <c r="O1323" s="110" t="s">
        <v>2997</v>
      </c>
      <c r="P1323" s="110" t="s">
        <v>265</v>
      </c>
      <c r="Q1323" s="118" t="n">
        <v>0.21</v>
      </c>
      <c r="R1323" s="110" t="n">
        <v>1</v>
      </c>
      <c r="S1323" s="110" t="s">
        <v>632</v>
      </c>
      <c r="T1323" s="110" t="s">
        <v>530</v>
      </c>
      <c r="U1323" s="110" t="s">
        <v>2918</v>
      </c>
      <c r="V1323" s="119" t="n">
        <v>32.23</v>
      </c>
      <c r="W1323" s="119"/>
      <c r="X1323" s="110" t="s">
        <v>2063</v>
      </c>
      <c r="Y1323" s="110" t="s">
        <v>2064</v>
      </c>
      <c r="Z1323" s="110" t="s">
        <v>2349</v>
      </c>
      <c r="AA1323" s="110" t="s">
        <v>537</v>
      </c>
      <c r="AB1323" s="110" t="s">
        <v>333</v>
      </c>
      <c r="AC1323" s="110" t="s">
        <v>538</v>
      </c>
      <c r="AD1323" s="110" t="n">
        <f aca="false">IF(OR(F1323="",Q1323="",R1323=""),"",ROUND(IF(P1323="incl.",F1323/(1+Q1323),F1323)/IF(S1323="per pack",R1323,1),2))</f>
        <v>32.23</v>
      </c>
      <c r="AE1323" s="110" t="str">
        <f aca="false">IF(AND(AC1323="yes",ISNUMBER(F1323),IF(Compare!$H$5="All mapped",TRUE(),IF(Compare!$H$5="EXACT only",J1323="EXACT",OR(J1323="EXACT",J1323="CLOSE")))),"yes","no")</f>
        <v>yes</v>
      </c>
      <c r="AF1323" s="110" t="n">
        <f aca="false">IF(ISNUMBER(H1323),COUNTIFS($B$7:$B$3000,B1323,$C$7:$C$3000,C1323,$H$7:$H$3000,"&lt;"&amp;H1323,$AH$7:$AH$3000,"yes")+COUNTIFS($B$7:B1323,B1323,$C$7:C1323,C1323,$H$7:H1323,H1323,$AH$7:AH1323,"yes"),"")</f>
        <v>1</v>
      </c>
      <c r="AG1323" s="110" t="n">
        <f aca="false">IF(ISNUMBER(I1323),COUNTIFS($B$7:$B$3000,B1323,$C$7:$C$3000,C1323,$I$7:$I$3000,"&lt;"&amp;I1323,$AI$7:$AI$3000,"yes")+COUNTIFS($B$7:B1323,B1323,$C$7:C1323,C1323,$I$7:I1323,I1323,$AI$7:AI1323,"yes"),"")</f>
        <v>1</v>
      </c>
      <c r="AH1323" s="110" t="str">
        <f aca="false">IF(ISNUMBER(H1323),"yes","no")</f>
        <v>yes</v>
      </c>
      <c r="AI1323" s="110" t="str">
        <f aca="false">IF(ISNUMBER(I1323),"yes","no")</f>
        <v>yes</v>
      </c>
      <c r="AJ1323" s="120" t="n">
        <v>46297</v>
      </c>
      <c r="AK1323" s="110"/>
    </row>
    <row r="1324" customFormat="false" ht="23.85" hidden="false" customHeight="false" outlineLevel="0" collapsed="false">
      <c r="B1324" s="36" t="s">
        <v>81</v>
      </c>
      <c r="C1324" s="98" t="s">
        <v>17</v>
      </c>
      <c r="D1324" s="98" t="s">
        <v>361</v>
      </c>
      <c r="E1324" s="110" t="s">
        <v>4205</v>
      </c>
      <c r="F1324" s="99" t="n">
        <v>103</v>
      </c>
      <c r="G1324" s="98" t="s">
        <v>333</v>
      </c>
      <c r="H1324" s="112" t="n">
        <f aca="false">IF(AND(AE1324="yes",ISNUMBER(AD1324)),AD1324,"")</f>
        <v>103</v>
      </c>
      <c r="I1324" s="95" t="n">
        <f aca="false">IF(AND(AE1324="yes",ISNUMBER(AD1324),ISNUMBER(INDEX(Sources!$G$7:$G$10,MATCH(AB1324,Sources!$B$7:$B$10,0)))),ROUND(AD1324/INDEX(Sources!$G$7:$G$10,MATCH(AB1324,Sources!$B$7:$B$10,0)),6),"")</f>
        <v>4.21723</v>
      </c>
      <c r="J1324" s="98" t="s">
        <v>530</v>
      </c>
      <c r="K1324" s="98" t="s">
        <v>2059</v>
      </c>
      <c r="L1324" s="96"/>
      <c r="M1324" s="110" t="s">
        <v>4206</v>
      </c>
      <c r="N1324" s="117" t="s">
        <v>4207</v>
      </c>
      <c r="O1324" s="110" t="s">
        <v>642</v>
      </c>
      <c r="P1324" s="110" t="s">
        <v>590</v>
      </c>
      <c r="Q1324" s="118" t="n">
        <v>0.21</v>
      </c>
      <c r="R1324" s="110" t="n">
        <v>1</v>
      </c>
      <c r="S1324" s="110" t="s">
        <v>632</v>
      </c>
      <c r="T1324" s="110" t="s">
        <v>530</v>
      </c>
      <c r="U1324" s="110" t="s">
        <v>2913</v>
      </c>
      <c r="V1324" s="119" t="n">
        <v>103</v>
      </c>
      <c r="W1324" s="119"/>
      <c r="X1324" s="110" t="s">
        <v>2063</v>
      </c>
      <c r="Y1324" s="110" t="s">
        <v>2064</v>
      </c>
      <c r="Z1324" s="110" t="s">
        <v>4208</v>
      </c>
      <c r="AA1324" s="110" t="s">
        <v>537</v>
      </c>
      <c r="AB1324" s="110" t="s">
        <v>333</v>
      </c>
      <c r="AC1324" s="110" t="s">
        <v>538</v>
      </c>
      <c r="AD1324" s="110" t="n">
        <f aca="false">IF(OR(F1324="",Q1324="",R1324=""),"",ROUND(IF(P1324="incl.",F1324/(1+Q1324),F1324)/IF(S1324="per pack",R1324,1),2))</f>
        <v>103</v>
      </c>
      <c r="AE1324" s="110" t="str">
        <f aca="false">IF(AND(AC1324="yes",ISNUMBER(F1324),IF(Compare!$H$5="All mapped",TRUE(),IF(Compare!$H$5="EXACT only",J1324="EXACT",OR(J1324="EXACT",J1324="CLOSE")))),"yes","no")</f>
        <v>yes</v>
      </c>
      <c r="AF1324" s="110" t="n">
        <f aca="false">IF(ISNUMBER(H1324),COUNTIFS($B$7:$B$3000,B1324,$C$7:$C$3000,C1324,$H$7:$H$3000,"&lt;"&amp;H1324,$AH$7:$AH$3000,"yes")+COUNTIFS($B$7:B1324,B1324,$C$7:C1324,C1324,$H$7:H1324,H1324,$AH$7:AH1324,"yes"),"")</f>
        <v>5</v>
      </c>
      <c r="AG1324" s="110" t="n">
        <f aca="false">IF(ISNUMBER(I1324),COUNTIFS($B$7:$B$3000,B1324,$C$7:$C$3000,C1324,$I$7:$I$3000,"&lt;"&amp;I1324,$AI$7:$AI$3000,"yes")+COUNTIFS($B$7:B1324,B1324,$C$7:C1324,C1324,$I$7:I1324,I1324,$AI$7:AI1324,"yes"),"")</f>
        <v>5</v>
      </c>
      <c r="AH1324" s="110" t="str">
        <f aca="false">IF(ISNUMBER(H1324),"yes","no")</f>
        <v>yes</v>
      </c>
      <c r="AI1324" s="110" t="str">
        <f aca="false">IF(ISNUMBER(I1324),"yes","no")</f>
        <v>yes</v>
      </c>
      <c r="AJ1324" s="120" t="n">
        <v>46297</v>
      </c>
      <c r="AK1324" s="110"/>
    </row>
    <row r="1325" customFormat="false" ht="23.85" hidden="false" customHeight="false" outlineLevel="0" collapsed="false">
      <c r="B1325" s="36" t="s">
        <v>81</v>
      </c>
      <c r="C1325" s="98" t="s">
        <v>18</v>
      </c>
      <c r="D1325" s="98" t="s">
        <v>3002</v>
      </c>
      <c r="E1325" s="110" t="s">
        <v>4209</v>
      </c>
      <c r="F1325" s="99" t="n">
        <v>2.6</v>
      </c>
      <c r="G1325" s="98" t="s">
        <v>244</v>
      </c>
      <c r="H1325" s="112" t="n">
        <f aca="false">IF(AND(AE1325="yes",ISNUMBER(AD1325)),AD1325,"")</f>
        <v>2.6</v>
      </c>
      <c r="I1325" s="95" t="n">
        <f aca="false">IF(AND(AE1325="yes",ISNUMBER(AD1325),ISNUMBER(INDEX(Sources!$G$7:$G$10,MATCH(AB1325,Sources!$B$7:$B$10,0)))),ROUND(AD1325/INDEX(Sources!$G$7:$G$10,MATCH(AB1325,Sources!$B$7:$B$10,0)),6),"")</f>
        <v>2.6</v>
      </c>
      <c r="J1325" s="98" t="s">
        <v>530</v>
      </c>
      <c r="K1325" s="98" t="s">
        <v>2059</v>
      </c>
      <c r="L1325" s="96"/>
      <c r="M1325" s="110" t="s">
        <v>4210</v>
      </c>
      <c r="N1325" s="117" t="s">
        <v>4128</v>
      </c>
      <c r="O1325" s="110" t="s">
        <v>2396</v>
      </c>
      <c r="P1325" s="110" t="s">
        <v>590</v>
      </c>
      <c r="Q1325" s="118" t="n">
        <v>0.23</v>
      </c>
      <c r="R1325" s="110" t="n">
        <v>1</v>
      </c>
      <c r="S1325" s="110" t="s">
        <v>632</v>
      </c>
      <c r="T1325" s="110" t="s">
        <v>530</v>
      </c>
      <c r="U1325" s="110" t="s">
        <v>2913</v>
      </c>
      <c r="V1325" s="119" t="n">
        <v>2.6</v>
      </c>
      <c r="W1325" s="119"/>
      <c r="X1325" s="110" t="s">
        <v>2063</v>
      </c>
      <c r="Y1325" s="110" t="s">
        <v>2064</v>
      </c>
      <c r="Z1325" s="110" t="s">
        <v>3346</v>
      </c>
      <c r="AA1325" s="110" t="s">
        <v>537</v>
      </c>
      <c r="AB1325" s="110" t="s">
        <v>244</v>
      </c>
      <c r="AC1325" s="110" t="s">
        <v>538</v>
      </c>
      <c r="AD1325" s="110" t="n">
        <f aca="false">IF(OR(F1325="",Q1325="",R1325=""),"",ROUND(IF(P1325="incl.",F1325/(1+Q1325),F1325)/IF(S1325="per pack",R1325,1),2))</f>
        <v>2.6</v>
      </c>
      <c r="AE1325" s="110" t="str">
        <f aca="false">IF(AND(AC1325="yes",ISNUMBER(F1325),IF(Compare!$H$5="All mapped",TRUE(),IF(Compare!$H$5="EXACT only",J1325="EXACT",OR(J1325="EXACT",J1325="CLOSE")))),"yes","no")</f>
        <v>yes</v>
      </c>
      <c r="AF1325" s="110" t="n">
        <f aca="false">IF(ISNUMBER(H1325),COUNTIFS($B$7:$B$3000,B1325,$C$7:$C$3000,C1325,$H$7:$H$3000,"&lt;"&amp;H1325,$AH$7:$AH$3000,"yes")+COUNTIFS($B$7:B1325,B1325,$C$7:C1325,C1325,$H$7:H1325,H1325,$AH$7:AH1325,"yes"),"")</f>
        <v>4</v>
      </c>
      <c r="AG1325" s="110" t="n">
        <f aca="false">IF(ISNUMBER(I1325),COUNTIFS($B$7:$B$3000,B1325,$C$7:$C$3000,C1325,$I$7:$I$3000,"&lt;"&amp;I1325,$AI$7:$AI$3000,"yes")+COUNTIFS($B$7:B1325,B1325,$C$7:C1325,C1325,$I$7:I1325,I1325,$AI$7:AI1325,"yes"),"")</f>
        <v>4</v>
      </c>
      <c r="AH1325" s="110" t="str">
        <f aca="false">IF(ISNUMBER(H1325),"yes","no")</f>
        <v>yes</v>
      </c>
      <c r="AI1325" s="110" t="str">
        <f aca="false">IF(ISNUMBER(I1325),"yes","no")</f>
        <v>yes</v>
      </c>
      <c r="AJ1325" s="120" t="n">
        <v>46297</v>
      </c>
      <c r="AK1325" s="110"/>
    </row>
    <row r="1326" customFormat="false" ht="23.85" hidden="false" customHeight="false" outlineLevel="0" collapsed="false">
      <c r="B1326" s="36" t="s">
        <v>81</v>
      </c>
      <c r="C1326" s="98" t="s">
        <v>18</v>
      </c>
      <c r="D1326" s="98" t="s">
        <v>3007</v>
      </c>
      <c r="E1326" s="110" t="s">
        <v>4211</v>
      </c>
      <c r="F1326" s="99" t="n">
        <v>2.28</v>
      </c>
      <c r="G1326" s="98" t="s">
        <v>244</v>
      </c>
      <c r="H1326" s="112" t="n">
        <f aca="false">IF(AND(AE1326="yes",ISNUMBER(AD1326)),AD1326,"")</f>
        <v>2.28</v>
      </c>
      <c r="I1326" s="95" t="n">
        <f aca="false">IF(AND(AE1326="yes",ISNUMBER(AD1326),ISNUMBER(INDEX(Sources!$G$7:$G$10,MATCH(AB1326,Sources!$B$7:$B$10,0)))),ROUND(AD1326/INDEX(Sources!$G$7:$G$10,MATCH(AB1326,Sources!$B$7:$B$10,0)),6),"")</f>
        <v>2.28</v>
      </c>
      <c r="J1326" s="98" t="s">
        <v>530</v>
      </c>
      <c r="K1326" s="98" t="s">
        <v>2059</v>
      </c>
      <c r="L1326" s="96"/>
      <c r="M1326" s="110" t="s">
        <v>4212</v>
      </c>
      <c r="N1326" s="117" t="s">
        <v>3010</v>
      </c>
      <c r="O1326" s="110" t="s">
        <v>3011</v>
      </c>
      <c r="P1326" s="110" t="s">
        <v>590</v>
      </c>
      <c r="Q1326" s="118" t="n">
        <v>0.23</v>
      </c>
      <c r="R1326" s="110" t="n">
        <v>1</v>
      </c>
      <c r="S1326" s="110" t="s">
        <v>632</v>
      </c>
      <c r="T1326" s="110" t="s">
        <v>530</v>
      </c>
      <c r="U1326" s="110" t="s">
        <v>2913</v>
      </c>
      <c r="V1326" s="119" t="n">
        <v>2.28</v>
      </c>
      <c r="W1326" s="119"/>
      <c r="X1326" s="110" t="s">
        <v>2063</v>
      </c>
      <c r="Y1326" s="110" t="s">
        <v>2064</v>
      </c>
      <c r="Z1326" s="110" t="s">
        <v>3012</v>
      </c>
      <c r="AA1326" s="110" t="s">
        <v>537</v>
      </c>
      <c r="AB1326" s="110" t="s">
        <v>244</v>
      </c>
      <c r="AC1326" s="110" t="s">
        <v>538</v>
      </c>
      <c r="AD1326" s="110" t="n">
        <f aca="false">IF(OR(F1326="",Q1326="",R1326=""),"",ROUND(IF(P1326="incl.",F1326/(1+Q1326),F1326)/IF(S1326="per pack",R1326,1),2))</f>
        <v>2.28</v>
      </c>
      <c r="AE1326" s="110" t="str">
        <f aca="false">IF(AND(AC1326="yes",ISNUMBER(F1326),IF(Compare!$H$5="All mapped",TRUE(),IF(Compare!$H$5="EXACT only",J1326="EXACT",OR(J1326="EXACT",J1326="CLOSE")))),"yes","no")</f>
        <v>yes</v>
      </c>
      <c r="AF1326" s="110" t="n">
        <f aca="false">IF(ISNUMBER(H1326),COUNTIFS($B$7:$B$3000,B1326,$C$7:$C$3000,C1326,$H$7:$H$3000,"&lt;"&amp;H1326,$AH$7:$AH$3000,"yes")+COUNTIFS($B$7:B1326,B1326,$C$7:C1326,C1326,$H$7:H1326,H1326,$AH$7:AH1326,"yes"),"")</f>
        <v>3</v>
      </c>
      <c r="AG1326" s="110" t="n">
        <f aca="false">IF(ISNUMBER(I1326),COUNTIFS($B$7:$B$3000,B1326,$C$7:$C$3000,C1326,$I$7:$I$3000,"&lt;"&amp;I1326,$AI$7:$AI$3000,"yes")+COUNTIFS($B$7:B1326,B1326,$C$7:C1326,C1326,$I$7:I1326,I1326,$AI$7:AI1326,"yes"),"")</f>
        <v>3</v>
      </c>
      <c r="AH1326" s="110" t="str">
        <f aca="false">IF(ISNUMBER(H1326),"yes","no")</f>
        <v>yes</v>
      </c>
      <c r="AI1326" s="110" t="str">
        <f aca="false">IF(ISNUMBER(I1326),"yes","no")</f>
        <v>yes</v>
      </c>
      <c r="AJ1326" s="120" t="n">
        <v>46297</v>
      </c>
      <c r="AK1326" s="110"/>
    </row>
    <row r="1327" customFormat="false" ht="35.05" hidden="false" customHeight="false" outlineLevel="0" collapsed="false">
      <c r="B1327" s="36" t="s">
        <v>81</v>
      </c>
      <c r="C1327" s="98" t="s">
        <v>18</v>
      </c>
      <c r="D1327" s="98" t="s">
        <v>365</v>
      </c>
      <c r="E1327" s="110" t="s">
        <v>4196</v>
      </c>
      <c r="F1327" s="99" t="n">
        <v>1.87</v>
      </c>
      <c r="G1327" s="98" t="s">
        <v>244</v>
      </c>
      <c r="H1327" s="112" t="n">
        <f aca="false">IF(AND(AE1327="yes",ISNUMBER(AD1327)),AD1327,"")</f>
        <v>1.52</v>
      </c>
      <c r="I1327" s="95" t="n">
        <f aca="false">IF(AND(AE1327="yes",ISNUMBER(AD1327),ISNUMBER(INDEX(Sources!$G$7:$G$10,MATCH(AB1327,Sources!$B$7:$B$10,0)))),ROUND(AD1327/INDEX(Sources!$G$7:$G$10,MATCH(AB1327,Sources!$B$7:$B$10,0)),6),"")</f>
        <v>1.52</v>
      </c>
      <c r="J1327" s="98" t="s">
        <v>530</v>
      </c>
      <c r="K1327" s="98" t="s">
        <v>2059</v>
      </c>
      <c r="L1327" s="96"/>
      <c r="M1327" s="110" t="s">
        <v>4213</v>
      </c>
      <c r="N1327" s="117" t="s">
        <v>4214</v>
      </c>
      <c r="O1327" s="110" t="s">
        <v>3015</v>
      </c>
      <c r="P1327" s="110" t="s">
        <v>265</v>
      </c>
      <c r="Q1327" s="118" t="n">
        <v>0.23</v>
      </c>
      <c r="R1327" s="110" t="n">
        <v>1</v>
      </c>
      <c r="S1327" s="110" t="s">
        <v>632</v>
      </c>
      <c r="T1327" s="110" t="s">
        <v>530</v>
      </c>
      <c r="U1327" s="110" t="s">
        <v>2918</v>
      </c>
      <c r="V1327" s="119" t="n">
        <v>1.52</v>
      </c>
      <c r="W1327" s="119"/>
      <c r="X1327" s="110" t="s">
        <v>2063</v>
      </c>
      <c r="Y1327" s="110" t="s">
        <v>2064</v>
      </c>
      <c r="Z1327" s="110" t="s">
        <v>3016</v>
      </c>
      <c r="AA1327" s="110" t="s">
        <v>537</v>
      </c>
      <c r="AB1327" s="110" t="s">
        <v>244</v>
      </c>
      <c r="AC1327" s="110" t="s">
        <v>538</v>
      </c>
      <c r="AD1327" s="110" t="n">
        <f aca="false">IF(OR(F1327="",Q1327="",R1327=""),"",ROUND(IF(P1327="incl.",F1327/(1+Q1327),F1327)/IF(S1327="per pack",R1327,1),2))</f>
        <v>1.52</v>
      </c>
      <c r="AE1327" s="110" t="str">
        <f aca="false">IF(AND(AC1327="yes",ISNUMBER(F1327),IF(Compare!$H$5="All mapped",TRUE(),IF(Compare!$H$5="EXACT only",J1327="EXACT",OR(J1327="EXACT",J1327="CLOSE")))),"yes","no")</f>
        <v>yes</v>
      </c>
      <c r="AF1327" s="110" t="n">
        <f aca="false">IF(ISNUMBER(H1327),COUNTIFS($B$7:$B$3000,B1327,$C$7:$C$3000,C1327,$H$7:$H$3000,"&lt;"&amp;H1327,$AH$7:$AH$3000,"yes")+COUNTIFS($B$7:B1327,B1327,$C$7:C1327,C1327,$H$7:H1327,H1327,$AH$7:AH1327,"yes"),"")</f>
        <v>2</v>
      </c>
      <c r="AG1327" s="110" t="n">
        <f aca="false">IF(ISNUMBER(I1327),COUNTIFS($B$7:$B$3000,B1327,$C$7:$C$3000,C1327,$I$7:$I$3000,"&lt;"&amp;I1327,$AI$7:$AI$3000,"yes")+COUNTIFS($B$7:B1327,B1327,$C$7:C1327,C1327,$I$7:I1327,I1327,$AI$7:AI1327,"yes"),"")</f>
        <v>2</v>
      </c>
      <c r="AH1327" s="110" t="str">
        <f aca="false">IF(ISNUMBER(H1327),"yes","no")</f>
        <v>yes</v>
      </c>
      <c r="AI1327" s="110" t="str">
        <f aca="false">IF(ISNUMBER(I1327),"yes","no")</f>
        <v>yes</v>
      </c>
      <c r="AJ1327" s="120" t="n">
        <v>46297</v>
      </c>
      <c r="AK1327" s="110"/>
    </row>
    <row r="1328" customFormat="false" ht="35.05" hidden="false" customHeight="false" outlineLevel="0" collapsed="false">
      <c r="B1328" s="36" t="s">
        <v>81</v>
      </c>
      <c r="C1328" s="98" t="s">
        <v>18</v>
      </c>
      <c r="D1328" s="98" t="s">
        <v>369</v>
      </c>
      <c r="E1328" s="110" t="s">
        <v>4215</v>
      </c>
      <c r="F1328" s="99" t="n">
        <v>3.66</v>
      </c>
      <c r="G1328" s="98" t="s">
        <v>244</v>
      </c>
      <c r="H1328" s="112" t="n">
        <f aca="false">IF(AND(AE1328="yes",ISNUMBER(AD1328)),AD1328,"")</f>
        <v>2.98</v>
      </c>
      <c r="I1328" s="95" t="n">
        <f aca="false">IF(AND(AE1328="yes",ISNUMBER(AD1328),ISNUMBER(INDEX(Sources!$G$7:$G$10,MATCH(AB1328,Sources!$B$7:$B$10,0)))),ROUND(AD1328/INDEX(Sources!$G$7:$G$10,MATCH(AB1328,Sources!$B$7:$B$10,0)),6),"")</f>
        <v>2.98</v>
      </c>
      <c r="J1328" s="98" t="s">
        <v>530</v>
      </c>
      <c r="K1328" s="98" t="s">
        <v>2059</v>
      </c>
      <c r="L1328" s="96"/>
      <c r="M1328" s="110" t="s">
        <v>4216</v>
      </c>
      <c r="N1328" s="117" t="s">
        <v>4217</v>
      </c>
      <c r="O1328" s="110" t="s">
        <v>565</v>
      </c>
      <c r="P1328" s="110" t="s">
        <v>265</v>
      </c>
      <c r="Q1328" s="118" t="n">
        <v>0.23</v>
      </c>
      <c r="R1328" s="110" t="n">
        <v>1</v>
      </c>
      <c r="S1328" s="110" t="s">
        <v>632</v>
      </c>
      <c r="T1328" s="110" t="s">
        <v>530</v>
      </c>
      <c r="U1328" s="110" t="s">
        <v>2918</v>
      </c>
      <c r="V1328" s="119" t="n">
        <v>2.98</v>
      </c>
      <c r="W1328" s="119"/>
      <c r="X1328" s="110" t="s">
        <v>2063</v>
      </c>
      <c r="Y1328" s="110" t="s">
        <v>2064</v>
      </c>
      <c r="Z1328" s="110" t="s">
        <v>4138</v>
      </c>
      <c r="AA1328" s="110" t="s">
        <v>537</v>
      </c>
      <c r="AB1328" s="110" t="s">
        <v>244</v>
      </c>
      <c r="AC1328" s="110" t="s">
        <v>538</v>
      </c>
      <c r="AD1328" s="110" t="n">
        <f aca="false">IF(OR(F1328="",Q1328="",R1328=""),"",ROUND(IF(P1328="incl.",F1328/(1+Q1328),F1328)/IF(S1328="per pack",R1328,1),2))</f>
        <v>2.98</v>
      </c>
      <c r="AE1328" s="110" t="str">
        <f aca="false">IF(AND(AC1328="yes",ISNUMBER(F1328),IF(Compare!$H$5="All mapped",TRUE(),IF(Compare!$H$5="EXACT only",J1328="EXACT",OR(J1328="EXACT",J1328="CLOSE")))),"yes","no")</f>
        <v>yes</v>
      </c>
      <c r="AF1328" s="110" t="n">
        <f aca="false">IF(ISNUMBER(H1328),COUNTIFS($B$7:$B$3000,B1328,$C$7:$C$3000,C1328,$H$7:$H$3000,"&lt;"&amp;H1328,$AH$7:$AH$3000,"yes")+COUNTIFS($B$7:B1328,B1328,$C$7:C1328,C1328,$H$7:H1328,H1328,$AH$7:AH1328,"yes"),"")</f>
        <v>5</v>
      </c>
      <c r="AG1328" s="110" t="n">
        <f aca="false">IF(ISNUMBER(I1328),COUNTIFS($B$7:$B$3000,B1328,$C$7:$C$3000,C1328,$I$7:$I$3000,"&lt;"&amp;I1328,$AI$7:$AI$3000,"yes")+COUNTIFS($B$7:B1328,B1328,$C$7:C1328,C1328,$I$7:I1328,I1328,$AI$7:AI1328,"yes"),"")</f>
        <v>5</v>
      </c>
      <c r="AH1328" s="110" t="str">
        <f aca="false">IF(ISNUMBER(H1328),"yes","no")</f>
        <v>yes</v>
      </c>
      <c r="AI1328" s="110" t="str">
        <f aca="false">IF(ISNUMBER(I1328),"yes","no")</f>
        <v>yes</v>
      </c>
      <c r="AJ1328" s="120" t="n">
        <v>46297</v>
      </c>
      <c r="AK1328" s="110"/>
    </row>
    <row r="1329" customFormat="false" ht="23.85" hidden="false" customHeight="false" outlineLevel="0" collapsed="false">
      <c r="B1329" s="36" t="s">
        <v>81</v>
      </c>
      <c r="C1329" s="98" t="s">
        <v>18</v>
      </c>
      <c r="D1329" s="98" t="s">
        <v>3021</v>
      </c>
      <c r="E1329" s="110" t="s">
        <v>4218</v>
      </c>
      <c r="F1329" s="99" t="n">
        <v>1.35</v>
      </c>
      <c r="G1329" s="98" t="s">
        <v>244</v>
      </c>
      <c r="H1329" s="112" t="n">
        <f aca="false">IF(AND(AE1329="yes",ISNUMBER(AD1329)),AD1329,"")</f>
        <v>1.35</v>
      </c>
      <c r="I1329" s="95" t="n">
        <f aca="false">IF(AND(AE1329="yes",ISNUMBER(AD1329),ISNUMBER(INDEX(Sources!$G$7:$G$10,MATCH(AB1329,Sources!$B$7:$B$10,0)))),ROUND(AD1329/INDEX(Sources!$G$7:$G$10,MATCH(AB1329,Sources!$B$7:$B$10,0)),6),"")</f>
        <v>1.35</v>
      </c>
      <c r="J1329" s="98" t="s">
        <v>530</v>
      </c>
      <c r="K1329" s="98" t="s">
        <v>2059</v>
      </c>
      <c r="L1329" s="96"/>
      <c r="M1329" s="110" t="s">
        <v>4219</v>
      </c>
      <c r="N1329" s="117" t="s">
        <v>3023</v>
      </c>
      <c r="O1329" s="110" t="s">
        <v>3024</v>
      </c>
      <c r="P1329" s="110" t="s">
        <v>590</v>
      </c>
      <c r="Q1329" s="118" t="n">
        <v>0.23</v>
      </c>
      <c r="R1329" s="110" t="n">
        <v>1</v>
      </c>
      <c r="S1329" s="110" t="s">
        <v>632</v>
      </c>
      <c r="T1329" s="110" t="s">
        <v>530</v>
      </c>
      <c r="U1329" s="110" t="s">
        <v>2913</v>
      </c>
      <c r="V1329" s="119" t="n">
        <v>1.35</v>
      </c>
      <c r="W1329" s="119"/>
      <c r="X1329" s="110" t="s">
        <v>2063</v>
      </c>
      <c r="Y1329" s="110" t="s">
        <v>2064</v>
      </c>
      <c r="Z1329" s="110" t="s">
        <v>3025</v>
      </c>
      <c r="AA1329" s="110" t="s">
        <v>537</v>
      </c>
      <c r="AB1329" s="110" t="s">
        <v>244</v>
      </c>
      <c r="AC1329" s="110" t="s">
        <v>538</v>
      </c>
      <c r="AD1329" s="110" t="n">
        <f aca="false">IF(OR(F1329="",Q1329="",R1329=""),"",ROUND(IF(P1329="incl.",F1329/(1+Q1329),F1329)/IF(S1329="per pack",R1329,1),2))</f>
        <v>1.35</v>
      </c>
      <c r="AE1329" s="110" t="str">
        <f aca="false">IF(AND(AC1329="yes",ISNUMBER(F1329),IF(Compare!$H$5="All mapped",TRUE(),IF(Compare!$H$5="EXACT only",J1329="EXACT",OR(J1329="EXACT",J1329="CLOSE")))),"yes","no")</f>
        <v>yes</v>
      </c>
      <c r="AF1329" s="110" t="n">
        <f aca="false">IF(ISNUMBER(H1329),COUNTIFS($B$7:$B$3000,B1329,$C$7:$C$3000,C1329,$H$7:$H$3000,"&lt;"&amp;H1329,$AH$7:$AH$3000,"yes")+COUNTIFS($B$7:B1329,B1329,$C$7:C1329,C1329,$H$7:H1329,H1329,$AH$7:AH1329,"yes"),"")</f>
        <v>1</v>
      </c>
      <c r="AG1329" s="110" t="n">
        <f aca="false">IF(ISNUMBER(I1329),COUNTIFS($B$7:$B$3000,B1329,$C$7:$C$3000,C1329,$I$7:$I$3000,"&lt;"&amp;I1329,$AI$7:$AI$3000,"yes")+COUNTIFS($B$7:B1329,B1329,$C$7:C1329,C1329,$I$7:I1329,I1329,$AI$7:AI1329,"yes"),"")</f>
        <v>1</v>
      </c>
      <c r="AH1329" s="110" t="str">
        <f aca="false">IF(ISNUMBER(H1329),"yes","no")</f>
        <v>yes</v>
      </c>
      <c r="AI1329" s="110" t="str">
        <f aca="false">IF(ISNUMBER(I1329),"yes","no")</f>
        <v>yes</v>
      </c>
      <c r="AJ1329" s="120" t="n">
        <v>46297</v>
      </c>
      <c r="AK1329" s="110"/>
    </row>
    <row r="1330" customFormat="false" ht="23.85" hidden="false" customHeight="false" outlineLevel="0" collapsed="false">
      <c r="B1330" s="36" t="s">
        <v>82</v>
      </c>
      <c r="C1330" s="98" t="s">
        <v>14</v>
      </c>
      <c r="D1330" s="98" t="s">
        <v>373</v>
      </c>
      <c r="E1330" s="110" t="s">
        <v>4220</v>
      </c>
      <c r="F1330" s="99" t="n">
        <v>12.8</v>
      </c>
      <c r="G1330" s="98" t="s">
        <v>374</v>
      </c>
      <c r="H1330" s="112" t="n">
        <f aca="false">IF(AND(AE1330="yes",ISNUMBER(AD1330)),AD1330,"")</f>
        <v>12.8</v>
      </c>
      <c r="I1330" s="95" t="n">
        <f aca="false">IF(AND(AE1330="yes",ISNUMBER(AD1330),ISNUMBER(INDEX(Sources!$G$7:$G$10,MATCH(AB1330,Sources!$B$7:$B$10,0)))),ROUND(AD1330/INDEX(Sources!$G$7:$G$10,MATCH(AB1330,Sources!$B$7:$B$10,0)),6),"")</f>
        <v>2.425326</v>
      </c>
      <c r="J1330" s="98" t="s">
        <v>530</v>
      </c>
      <c r="K1330" s="98" t="s">
        <v>2059</v>
      </c>
      <c r="L1330" s="96"/>
      <c r="M1330" s="110" t="s">
        <v>4221</v>
      </c>
      <c r="N1330" s="117" t="s">
        <v>4222</v>
      </c>
      <c r="O1330" s="110" t="s">
        <v>3029</v>
      </c>
      <c r="P1330" s="110" t="s">
        <v>590</v>
      </c>
      <c r="Q1330" s="118" t="n">
        <v>0.21</v>
      </c>
      <c r="R1330" s="110" t="n">
        <v>1</v>
      </c>
      <c r="S1330" s="110" t="s">
        <v>632</v>
      </c>
      <c r="T1330" s="110" t="s">
        <v>530</v>
      </c>
      <c r="U1330" s="110" t="s">
        <v>2913</v>
      </c>
      <c r="V1330" s="119" t="n">
        <v>12.8</v>
      </c>
      <c r="W1330" s="119"/>
      <c r="X1330" s="110" t="s">
        <v>2063</v>
      </c>
      <c r="Y1330" s="110" t="s">
        <v>2064</v>
      </c>
      <c r="Z1330" s="110"/>
      <c r="AA1330" s="110" t="s">
        <v>537</v>
      </c>
      <c r="AB1330" s="110" t="s">
        <v>374</v>
      </c>
      <c r="AC1330" s="110" t="s">
        <v>538</v>
      </c>
      <c r="AD1330" s="110" t="n">
        <f aca="false">IF(OR(F1330="",Q1330="",R1330=""),"",ROUND(IF(P1330="incl.",F1330/(1+Q1330),F1330)/IF(S1330="per pack",R1330,1),2))</f>
        <v>12.8</v>
      </c>
      <c r="AE1330" s="110" t="str">
        <f aca="false">IF(AND(AC1330="yes",ISNUMBER(F1330),IF(Compare!$H$5="All mapped",TRUE(),IF(Compare!$H$5="EXACT only",J1330="EXACT",OR(J1330="EXACT",J1330="CLOSE")))),"yes","no")</f>
        <v>yes</v>
      </c>
      <c r="AF1330" s="110" t="n">
        <f aca="false">IF(ISNUMBER(H1330),COUNTIFS($B$7:$B$3000,B1330,$C$7:$C$3000,C1330,$H$7:$H$3000,"&lt;"&amp;H1330,$AH$7:$AH$3000,"yes")+COUNTIFS($B$7:B1330,B1330,$C$7:C1330,C1330,$H$7:H1330,H1330,$AH$7:AH1330,"yes"),"")</f>
        <v>4</v>
      </c>
      <c r="AG1330" s="110" t="n">
        <f aca="false">IF(ISNUMBER(I1330),COUNTIFS($B$7:$B$3000,B1330,$C$7:$C$3000,C1330,$I$7:$I$3000,"&lt;"&amp;I1330,$AI$7:$AI$3000,"yes")+COUNTIFS($B$7:B1330,B1330,$C$7:C1330,C1330,$I$7:I1330,I1330,$AI$7:AI1330,"yes"),"")</f>
        <v>4</v>
      </c>
      <c r="AH1330" s="110" t="str">
        <f aca="false">IF(ISNUMBER(H1330),"yes","no")</f>
        <v>yes</v>
      </c>
      <c r="AI1330" s="110" t="str">
        <f aca="false">IF(ISNUMBER(I1330),"yes","no")</f>
        <v>yes</v>
      </c>
      <c r="AJ1330" s="120" t="n">
        <v>46297</v>
      </c>
      <c r="AK1330" s="110"/>
    </row>
    <row r="1331" customFormat="false" ht="23.85" hidden="false" customHeight="false" outlineLevel="0" collapsed="false">
      <c r="B1331" s="36" t="s">
        <v>82</v>
      </c>
      <c r="C1331" s="98" t="s">
        <v>14</v>
      </c>
      <c r="D1331" s="98" t="s">
        <v>378</v>
      </c>
      <c r="E1331" s="110" t="s">
        <v>4223</v>
      </c>
      <c r="F1331" s="99" t="n">
        <v>13.07</v>
      </c>
      <c r="G1331" s="98" t="s">
        <v>374</v>
      </c>
      <c r="H1331" s="112" t="n">
        <f aca="false">IF(AND(AE1331="yes",ISNUMBER(AD1331)),AD1331,"")</f>
        <v>10.8</v>
      </c>
      <c r="I1331" s="95" t="n">
        <f aca="false">IF(AND(AE1331="yes",ISNUMBER(AD1331),ISNUMBER(INDEX(Sources!$G$7:$G$10,MATCH(AB1331,Sources!$B$7:$B$10,0)))),ROUND(AD1331/INDEX(Sources!$G$7:$G$10,MATCH(AB1331,Sources!$B$7:$B$10,0)),6),"")</f>
        <v>2.046369</v>
      </c>
      <c r="J1331" s="98" t="s">
        <v>530</v>
      </c>
      <c r="K1331" s="98" t="s">
        <v>2059</v>
      </c>
      <c r="L1331" s="96"/>
      <c r="M1331" s="110" t="s">
        <v>4224</v>
      </c>
      <c r="N1331" s="117" t="s">
        <v>4225</v>
      </c>
      <c r="O1331" s="110" t="s">
        <v>2917</v>
      </c>
      <c r="P1331" s="110" t="s">
        <v>265</v>
      </c>
      <c r="Q1331" s="118" t="n">
        <v>0.21</v>
      </c>
      <c r="R1331" s="110" t="n">
        <v>1</v>
      </c>
      <c r="S1331" s="110" t="s">
        <v>632</v>
      </c>
      <c r="T1331" s="110" t="s">
        <v>530</v>
      </c>
      <c r="U1331" s="110" t="s">
        <v>2918</v>
      </c>
      <c r="V1331" s="119" t="n">
        <v>10.8</v>
      </c>
      <c r="W1331" s="119"/>
      <c r="X1331" s="110" t="s">
        <v>2063</v>
      </c>
      <c r="Y1331" s="110" t="s">
        <v>2064</v>
      </c>
      <c r="Z1331" s="110"/>
      <c r="AA1331" s="110" t="s">
        <v>537</v>
      </c>
      <c r="AB1331" s="110" t="s">
        <v>374</v>
      </c>
      <c r="AC1331" s="110" t="s">
        <v>538</v>
      </c>
      <c r="AD1331" s="110" t="n">
        <f aca="false">IF(OR(F1331="",Q1331="",R1331=""),"",ROUND(IF(P1331="incl.",F1331/(1+Q1331),F1331)/IF(S1331="per pack",R1331,1),2))</f>
        <v>10.8</v>
      </c>
      <c r="AE1331" s="110" t="str">
        <f aca="false">IF(AND(AC1331="yes",ISNUMBER(F1331),IF(Compare!$H$5="All mapped",TRUE(),IF(Compare!$H$5="EXACT only",J1331="EXACT",OR(J1331="EXACT",J1331="CLOSE")))),"yes","no")</f>
        <v>yes</v>
      </c>
      <c r="AF1331" s="110" t="n">
        <f aca="false">IF(ISNUMBER(H1331),COUNTIFS($B$7:$B$3000,B1331,$C$7:$C$3000,C1331,$H$7:$H$3000,"&lt;"&amp;H1331,$AH$7:$AH$3000,"yes")+COUNTIFS($B$7:B1331,B1331,$C$7:C1331,C1331,$H$7:H1331,H1331,$AH$7:AH1331,"yes"),"")</f>
        <v>3</v>
      </c>
      <c r="AG1331" s="110" t="n">
        <f aca="false">IF(ISNUMBER(I1331),COUNTIFS($B$7:$B$3000,B1331,$C$7:$C$3000,C1331,$I$7:$I$3000,"&lt;"&amp;I1331,$AI$7:$AI$3000,"yes")+COUNTIFS($B$7:B1331,B1331,$C$7:C1331,C1331,$I$7:I1331,I1331,$AI$7:AI1331,"yes"),"")</f>
        <v>3</v>
      </c>
      <c r="AH1331" s="110" t="str">
        <f aca="false">IF(ISNUMBER(H1331),"yes","no")</f>
        <v>yes</v>
      </c>
      <c r="AI1331" s="110" t="str">
        <f aca="false">IF(ISNUMBER(I1331),"yes","no")</f>
        <v>yes</v>
      </c>
      <c r="AJ1331" s="120" t="n">
        <v>46297</v>
      </c>
      <c r="AK1331" s="110"/>
    </row>
    <row r="1332" customFormat="false" ht="35.05" hidden="false" customHeight="false" outlineLevel="0" collapsed="false">
      <c r="B1332" s="36" t="s">
        <v>82</v>
      </c>
      <c r="C1332" s="98" t="s">
        <v>14</v>
      </c>
      <c r="D1332" s="98" t="s">
        <v>346</v>
      </c>
      <c r="E1332" s="110" t="s">
        <v>4226</v>
      </c>
      <c r="F1332" s="99" t="n">
        <v>23.49</v>
      </c>
      <c r="G1332" s="98" t="s">
        <v>374</v>
      </c>
      <c r="H1332" s="112" t="n">
        <f aca="false">IF(AND(AE1332="yes",ISNUMBER(AD1332)),AD1332,"")</f>
        <v>19.41</v>
      </c>
      <c r="I1332" s="95" t="n">
        <f aca="false">IF(AND(AE1332="yes",ISNUMBER(AD1332),ISNUMBER(INDEX(Sources!$G$7:$G$10,MATCH(AB1332,Sources!$B$7:$B$10,0)))),ROUND(AD1332/INDEX(Sources!$G$7:$G$10,MATCH(AB1332,Sources!$B$7:$B$10,0)),6),"")</f>
        <v>3.677779</v>
      </c>
      <c r="J1332" s="98" t="s">
        <v>530</v>
      </c>
      <c r="K1332" s="98" t="s">
        <v>2059</v>
      </c>
      <c r="L1332" s="96"/>
      <c r="M1332" s="110" t="s">
        <v>4227</v>
      </c>
      <c r="N1332" s="117" t="s">
        <v>4228</v>
      </c>
      <c r="O1332" s="110" t="s">
        <v>565</v>
      </c>
      <c r="P1332" s="110" t="s">
        <v>265</v>
      </c>
      <c r="Q1332" s="118" t="n">
        <v>0.21</v>
      </c>
      <c r="R1332" s="110" t="n">
        <v>1</v>
      </c>
      <c r="S1332" s="110" t="s">
        <v>632</v>
      </c>
      <c r="T1332" s="110" t="s">
        <v>530</v>
      </c>
      <c r="U1332" s="110" t="s">
        <v>2918</v>
      </c>
      <c r="V1332" s="119" t="n">
        <v>19.41</v>
      </c>
      <c r="W1332" s="119"/>
      <c r="X1332" s="110" t="s">
        <v>2063</v>
      </c>
      <c r="Y1332" s="110" t="s">
        <v>2064</v>
      </c>
      <c r="Z1332" s="110"/>
      <c r="AA1332" s="110" t="s">
        <v>537</v>
      </c>
      <c r="AB1332" s="110" t="s">
        <v>374</v>
      </c>
      <c r="AC1332" s="110" t="s">
        <v>538</v>
      </c>
      <c r="AD1332" s="110" t="n">
        <f aca="false">IF(OR(F1332="",Q1332="",R1332=""),"",ROUND(IF(P1332="incl.",F1332/(1+Q1332),F1332)/IF(S1332="per pack",R1332,1),2))</f>
        <v>19.41</v>
      </c>
      <c r="AE1332" s="110" t="str">
        <f aca="false">IF(AND(AC1332="yes",ISNUMBER(F1332),IF(Compare!$H$5="All mapped",TRUE(),IF(Compare!$H$5="EXACT only",J1332="EXACT",OR(J1332="EXACT",J1332="CLOSE")))),"yes","no")</f>
        <v>yes</v>
      </c>
      <c r="AF1332" s="110" t="n">
        <f aca="false">IF(ISNUMBER(H1332),COUNTIFS($B$7:$B$3000,B1332,$C$7:$C$3000,C1332,$H$7:$H$3000,"&lt;"&amp;H1332,$AH$7:$AH$3000,"yes")+COUNTIFS($B$7:B1332,B1332,$C$7:C1332,C1332,$H$7:H1332,H1332,$AH$7:AH1332,"yes"),"")</f>
        <v>5</v>
      </c>
      <c r="AG1332" s="110" t="n">
        <f aca="false">IF(ISNUMBER(I1332),COUNTIFS($B$7:$B$3000,B1332,$C$7:$C$3000,C1332,$I$7:$I$3000,"&lt;"&amp;I1332,$AI$7:$AI$3000,"yes")+COUNTIFS($B$7:B1332,B1332,$C$7:C1332,C1332,$I$7:I1332,I1332,$AI$7:AI1332,"yes"),"")</f>
        <v>5</v>
      </c>
      <c r="AH1332" s="110" t="str">
        <f aca="false">IF(ISNUMBER(H1332),"yes","no")</f>
        <v>yes</v>
      </c>
      <c r="AI1332" s="110" t="str">
        <f aca="false">IF(ISNUMBER(I1332),"yes","no")</f>
        <v>yes</v>
      </c>
      <c r="AJ1332" s="120" t="n">
        <v>46297</v>
      </c>
      <c r="AK1332" s="110"/>
    </row>
    <row r="1333" customFormat="false" ht="23.85" hidden="false" customHeight="false" outlineLevel="0" collapsed="false">
      <c r="B1333" s="36" t="s">
        <v>82</v>
      </c>
      <c r="C1333" s="98" t="s">
        <v>14</v>
      </c>
      <c r="D1333" s="98" t="s">
        <v>395</v>
      </c>
      <c r="E1333" s="110" t="s">
        <v>4229</v>
      </c>
      <c r="F1333" s="99" t="n">
        <v>1.58</v>
      </c>
      <c r="G1333" s="98" t="s">
        <v>244</v>
      </c>
      <c r="H1333" s="112" t="n">
        <f aca="false">IF(AND(AE1333="yes",ISNUMBER(AD1333)),AD1333,"")</f>
        <v>1.58</v>
      </c>
      <c r="I1333" s="95" t="n">
        <f aca="false">IF(AND(AE1333="yes",ISNUMBER(AD1333),ISNUMBER(INDEX(Sources!$G$7:$G$10,MATCH(AB1333,Sources!$B$7:$B$10,0)))),ROUND(AD1333/INDEX(Sources!$G$7:$G$10,MATCH(AB1333,Sources!$B$7:$B$10,0)),6),"")</f>
        <v>1.58</v>
      </c>
      <c r="J1333" s="98" t="s">
        <v>530</v>
      </c>
      <c r="K1333" s="98" t="s">
        <v>2059</v>
      </c>
      <c r="L1333" s="96"/>
      <c r="M1333" s="110" t="s">
        <v>4230</v>
      </c>
      <c r="N1333" s="117" t="s">
        <v>4231</v>
      </c>
      <c r="O1333" s="110" t="s">
        <v>572</v>
      </c>
      <c r="P1333" s="110" t="s">
        <v>590</v>
      </c>
      <c r="Q1333" s="118" t="n">
        <v>0.21</v>
      </c>
      <c r="R1333" s="110" t="n">
        <v>1</v>
      </c>
      <c r="S1333" s="110" t="s">
        <v>632</v>
      </c>
      <c r="T1333" s="110" t="s">
        <v>530</v>
      </c>
      <c r="U1333" s="110" t="s">
        <v>2913</v>
      </c>
      <c r="V1333" s="119" t="n">
        <v>1.58</v>
      </c>
      <c r="W1333" s="119"/>
      <c r="X1333" s="110" t="s">
        <v>2063</v>
      </c>
      <c r="Y1333" s="110" t="s">
        <v>2064</v>
      </c>
      <c r="Z1333" s="110" t="s">
        <v>2925</v>
      </c>
      <c r="AA1333" s="110" t="s">
        <v>537</v>
      </c>
      <c r="AB1333" s="110" t="s">
        <v>244</v>
      </c>
      <c r="AC1333" s="110" t="s">
        <v>538</v>
      </c>
      <c r="AD1333" s="110" t="n">
        <f aca="false">IF(OR(F1333="",Q1333="",R1333=""),"",ROUND(IF(P1333="incl.",F1333/(1+Q1333),F1333)/IF(S1333="per pack",R1333,1),2))</f>
        <v>1.58</v>
      </c>
      <c r="AE1333" s="110" t="str">
        <f aca="false">IF(AND(AC1333="yes",ISNUMBER(F1333),IF(Compare!$H$5="All mapped",TRUE(),IF(Compare!$H$5="EXACT only",J1333="EXACT",OR(J1333="EXACT",J1333="CLOSE")))),"yes","no")</f>
        <v>yes</v>
      </c>
      <c r="AF1333" s="110" t="n">
        <f aca="false">IF(ISNUMBER(H1333),COUNTIFS($B$7:$B$3000,B1333,$C$7:$C$3000,C1333,$H$7:$H$3000,"&lt;"&amp;H1333,$AH$7:$AH$3000,"yes")+COUNTIFS($B$7:B1333,B1333,$C$7:C1333,C1333,$H$7:H1333,H1333,$AH$7:AH1333,"yes"),"")</f>
        <v>1</v>
      </c>
      <c r="AG1333" s="110" t="n">
        <f aca="false">IF(ISNUMBER(I1333),COUNTIFS($B$7:$B$3000,B1333,$C$7:$C$3000,C1333,$I$7:$I$3000,"&lt;"&amp;I1333,$AI$7:$AI$3000,"yes")+COUNTIFS($B$7:B1333,B1333,$C$7:C1333,C1333,$I$7:I1333,I1333,$AI$7:AI1333,"yes"),"")</f>
        <v>2</v>
      </c>
      <c r="AH1333" s="110" t="str">
        <f aca="false">IF(ISNUMBER(H1333),"yes","no")</f>
        <v>yes</v>
      </c>
      <c r="AI1333" s="110" t="str">
        <f aca="false">IF(ISNUMBER(I1333),"yes","no")</f>
        <v>yes</v>
      </c>
      <c r="AJ1333" s="120" t="n">
        <v>46297</v>
      </c>
      <c r="AK1333" s="110"/>
    </row>
    <row r="1334" customFormat="false" ht="23.85" hidden="false" customHeight="false" outlineLevel="0" collapsed="false">
      <c r="B1334" s="36" t="s">
        <v>82</v>
      </c>
      <c r="C1334" s="98" t="s">
        <v>14</v>
      </c>
      <c r="D1334" s="98" t="s">
        <v>403</v>
      </c>
      <c r="E1334" s="110" t="s">
        <v>4232</v>
      </c>
      <c r="F1334" s="99" t="n">
        <v>6.77</v>
      </c>
      <c r="G1334" s="98" t="s">
        <v>374</v>
      </c>
      <c r="H1334" s="112" t="n">
        <f aca="false">IF(AND(AE1334="yes",ISNUMBER(AD1334)),AD1334,"")</f>
        <v>6.77</v>
      </c>
      <c r="I1334" s="95" t="n">
        <f aca="false">IF(AND(AE1334="yes",ISNUMBER(AD1334),ISNUMBER(INDEX(Sources!$G$7:$G$10,MATCH(AB1334,Sources!$B$7:$B$10,0)))),ROUND(AD1334/INDEX(Sources!$G$7:$G$10,MATCH(AB1334,Sources!$B$7:$B$10,0)),6),"")</f>
        <v>1.28277</v>
      </c>
      <c r="J1334" s="98" t="s">
        <v>530</v>
      </c>
      <c r="K1334" s="98" t="s">
        <v>2059</v>
      </c>
      <c r="L1334" s="96"/>
      <c r="M1334" s="110" t="s">
        <v>4233</v>
      </c>
      <c r="N1334" s="117" t="s">
        <v>4234</v>
      </c>
      <c r="O1334" s="110" t="s">
        <v>668</v>
      </c>
      <c r="P1334" s="110" t="s">
        <v>590</v>
      </c>
      <c r="Q1334" s="118" t="n">
        <v>0.21</v>
      </c>
      <c r="R1334" s="110" t="n">
        <v>1</v>
      </c>
      <c r="S1334" s="110" t="s">
        <v>632</v>
      </c>
      <c r="T1334" s="110" t="s">
        <v>530</v>
      </c>
      <c r="U1334" s="110" t="s">
        <v>2913</v>
      </c>
      <c r="V1334" s="119" t="n">
        <v>6.77</v>
      </c>
      <c r="W1334" s="119"/>
      <c r="X1334" s="110" t="s">
        <v>2063</v>
      </c>
      <c r="Y1334" s="110" t="s">
        <v>2064</v>
      </c>
      <c r="Z1334" s="110"/>
      <c r="AA1334" s="110" t="s">
        <v>537</v>
      </c>
      <c r="AB1334" s="110" t="s">
        <v>374</v>
      </c>
      <c r="AC1334" s="110" t="s">
        <v>538</v>
      </c>
      <c r="AD1334" s="110" t="n">
        <f aca="false">IF(OR(F1334="",Q1334="",R1334=""),"",ROUND(IF(P1334="incl.",F1334/(1+Q1334),F1334)/IF(S1334="per pack",R1334,1),2))</f>
        <v>6.77</v>
      </c>
      <c r="AE1334" s="110" t="str">
        <f aca="false">IF(AND(AC1334="yes",ISNUMBER(F1334),IF(Compare!$H$5="All mapped",TRUE(),IF(Compare!$H$5="EXACT only",J1334="EXACT",OR(J1334="EXACT",J1334="CLOSE")))),"yes","no")</f>
        <v>yes</v>
      </c>
      <c r="AF1334" s="110" t="n">
        <f aca="false">IF(ISNUMBER(H1334),COUNTIFS($B$7:$B$3000,B1334,$C$7:$C$3000,C1334,$H$7:$H$3000,"&lt;"&amp;H1334,$AH$7:$AH$3000,"yes")+COUNTIFS($B$7:B1334,B1334,$C$7:C1334,C1334,$H$7:H1334,H1334,$AH$7:AH1334,"yes"),"")</f>
        <v>2</v>
      </c>
      <c r="AG1334" s="110" t="n">
        <f aca="false">IF(ISNUMBER(I1334),COUNTIFS($B$7:$B$3000,B1334,$C$7:$C$3000,C1334,$I$7:$I$3000,"&lt;"&amp;I1334,$AI$7:$AI$3000,"yes")+COUNTIFS($B$7:B1334,B1334,$C$7:C1334,C1334,$I$7:I1334,I1334,$AI$7:AI1334,"yes"),"")</f>
        <v>1</v>
      </c>
      <c r="AH1334" s="110" t="str">
        <f aca="false">IF(ISNUMBER(H1334),"yes","no")</f>
        <v>yes</v>
      </c>
      <c r="AI1334" s="110" t="str">
        <f aca="false">IF(ISNUMBER(I1334),"yes","no")</f>
        <v>yes</v>
      </c>
      <c r="AJ1334" s="120" t="n">
        <v>46297</v>
      </c>
      <c r="AK1334" s="110"/>
    </row>
    <row r="1335" customFormat="false" ht="35.05" hidden="false" customHeight="false" outlineLevel="0" collapsed="false">
      <c r="B1335" s="36" t="s">
        <v>82</v>
      </c>
      <c r="C1335" s="98" t="s">
        <v>15</v>
      </c>
      <c r="D1335" s="98" t="s">
        <v>243</v>
      </c>
      <c r="E1335" s="110" t="s">
        <v>4235</v>
      </c>
      <c r="F1335" s="99" t="n">
        <v>2.07</v>
      </c>
      <c r="G1335" s="98" t="s">
        <v>244</v>
      </c>
      <c r="H1335" s="112" t="n">
        <f aca="false">IF(AND(AE1335="yes",ISNUMBER(AD1335)),AD1335,"")</f>
        <v>2.07</v>
      </c>
      <c r="I1335" s="95" t="n">
        <f aca="false">IF(AND(AE1335="yes",ISNUMBER(AD1335),ISNUMBER(INDEX(Sources!$G$7:$G$10,MATCH(AB1335,Sources!$B$7:$B$10,0)))),ROUND(AD1335/INDEX(Sources!$G$7:$G$10,MATCH(AB1335,Sources!$B$7:$B$10,0)),6),"")</f>
        <v>2.07</v>
      </c>
      <c r="J1335" s="98" t="s">
        <v>530</v>
      </c>
      <c r="K1335" s="98" t="s">
        <v>2059</v>
      </c>
      <c r="L1335" s="96"/>
      <c r="M1335" s="110" t="s">
        <v>4236</v>
      </c>
      <c r="N1335" s="117" t="s">
        <v>4237</v>
      </c>
      <c r="O1335" s="110" t="s">
        <v>2932</v>
      </c>
      <c r="P1335" s="110" t="s">
        <v>590</v>
      </c>
      <c r="Q1335" s="118" t="n">
        <v>0.2</v>
      </c>
      <c r="R1335" s="110" t="n">
        <v>1</v>
      </c>
      <c r="S1335" s="110" t="s">
        <v>632</v>
      </c>
      <c r="T1335" s="110" t="s">
        <v>530</v>
      </c>
      <c r="U1335" s="110" t="s">
        <v>2913</v>
      </c>
      <c r="V1335" s="119" t="n">
        <v>2.07</v>
      </c>
      <c r="W1335" s="119"/>
      <c r="X1335" s="110" t="s">
        <v>2063</v>
      </c>
      <c r="Y1335" s="110" t="s">
        <v>2064</v>
      </c>
      <c r="Z1335" s="110" t="s">
        <v>2164</v>
      </c>
      <c r="AA1335" s="110" t="s">
        <v>537</v>
      </c>
      <c r="AB1335" s="110" t="s">
        <v>244</v>
      </c>
      <c r="AC1335" s="110" t="s">
        <v>538</v>
      </c>
      <c r="AD1335" s="110" t="n">
        <f aca="false">IF(OR(F1335="",Q1335="",R1335=""),"",ROUND(IF(P1335="incl.",F1335/(1+Q1335),F1335)/IF(S1335="per pack",R1335,1),2))</f>
        <v>2.07</v>
      </c>
      <c r="AE1335" s="110" t="str">
        <f aca="false">IF(AND(AC1335="yes",ISNUMBER(F1335),IF(Compare!$H$5="All mapped",TRUE(),IF(Compare!$H$5="EXACT only",J1335="EXACT",OR(J1335="EXACT",J1335="CLOSE")))),"yes","no")</f>
        <v>yes</v>
      </c>
      <c r="AF1335" s="110" t="n">
        <f aca="false">IF(ISNUMBER(H1335),COUNTIFS($B$7:$B$3000,B1335,$C$7:$C$3000,C1335,$H$7:$H$3000,"&lt;"&amp;H1335,$AH$7:$AH$3000,"yes")+COUNTIFS($B$7:B1335,B1335,$C$7:C1335,C1335,$H$7:H1335,H1335,$AH$7:AH1335,"yes"),"")</f>
        <v>1</v>
      </c>
      <c r="AG1335" s="110" t="n">
        <f aca="false">IF(ISNUMBER(I1335),COUNTIFS($B$7:$B$3000,B1335,$C$7:$C$3000,C1335,$I$7:$I$3000,"&lt;"&amp;I1335,$AI$7:$AI$3000,"yes")+COUNTIFS($B$7:B1335,B1335,$C$7:C1335,C1335,$I$7:I1335,I1335,$AI$7:AI1335,"yes"),"")</f>
        <v>1</v>
      </c>
      <c r="AH1335" s="110" t="str">
        <f aca="false">IF(ISNUMBER(H1335),"yes","no")</f>
        <v>yes</v>
      </c>
      <c r="AI1335" s="110" t="str">
        <f aca="false">IF(ISNUMBER(I1335),"yes","no")</f>
        <v>yes</v>
      </c>
      <c r="AJ1335" s="120" t="n">
        <v>46297</v>
      </c>
      <c r="AK1335" s="110"/>
    </row>
    <row r="1336" customFormat="false" ht="35.05" hidden="false" customHeight="false" outlineLevel="0" collapsed="false">
      <c r="B1336" s="36" t="s">
        <v>82</v>
      </c>
      <c r="C1336" s="98" t="s">
        <v>15</v>
      </c>
      <c r="D1336" s="98" t="s">
        <v>261</v>
      </c>
      <c r="E1336" s="110" t="s">
        <v>4238</v>
      </c>
      <c r="F1336" s="99" t="n">
        <v>4</v>
      </c>
      <c r="G1336" s="98" t="s">
        <v>244</v>
      </c>
      <c r="H1336" s="112" t="n">
        <f aca="false">IF(AND(AE1336="yes",ISNUMBER(AD1336)),AD1336,"")</f>
        <v>4</v>
      </c>
      <c r="I1336" s="95" t="n">
        <f aca="false">IF(AND(AE1336="yes",ISNUMBER(AD1336),ISNUMBER(INDEX(Sources!$G$7:$G$10,MATCH(AB1336,Sources!$B$7:$B$10,0)))),ROUND(AD1336/INDEX(Sources!$G$7:$G$10,MATCH(AB1336,Sources!$B$7:$B$10,0)),6),"")</f>
        <v>4</v>
      </c>
      <c r="J1336" s="98" t="s">
        <v>530</v>
      </c>
      <c r="K1336" s="98" t="s">
        <v>2059</v>
      </c>
      <c r="L1336" s="96"/>
      <c r="M1336" s="110" t="s">
        <v>4239</v>
      </c>
      <c r="N1336" s="117" t="s">
        <v>4240</v>
      </c>
      <c r="O1336" s="110"/>
      <c r="P1336" s="110" t="s">
        <v>590</v>
      </c>
      <c r="Q1336" s="118" t="n">
        <v>0.2</v>
      </c>
      <c r="R1336" s="110" t="n">
        <v>1</v>
      </c>
      <c r="S1336" s="110" t="s">
        <v>632</v>
      </c>
      <c r="T1336" s="110" t="s">
        <v>530</v>
      </c>
      <c r="U1336" s="110" t="s">
        <v>2913</v>
      </c>
      <c r="V1336" s="119" t="n">
        <v>4</v>
      </c>
      <c r="W1336" s="119"/>
      <c r="X1336" s="110" t="s">
        <v>2063</v>
      </c>
      <c r="Y1336" s="110" t="s">
        <v>2064</v>
      </c>
      <c r="Z1336" s="110"/>
      <c r="AA1336" s="110" t="s">
        <v>537</v>
      </c>
      <c r="AB1336" s="110" t="s">
        <v>244</v>
      </c>
      <c r="AC1336" s="110" t="s">
        <v>538</v>
      </c>
      <c r="AD1336" s="110" t="n">
        <f aca="false">IF(OR(F1336="",Q1336="",R1336=""),"",ROUND(IF(P1336="incl.",F1336/(1+Q1336),F1336)/IF(S1336="per pack",R1336,1),2))</f>
        <v>4</v>
      </c>
      <c r="AE1336" s="110" t="str">
        <f aca="false">IF(AND(AC1336="yes",ISNUMBER(F1336),IF(Compare!$H$5="All mapped",TRUE(),IF(Compare!$H$5="EXACT only",J1336="EXACT",OR(J1336="EXACT",J1336="CLOSE")))),"yes","no")</f>
        <v>yes</v>
      </c>
      <c r="AF1336" s="110" t="n">
        <f aca="false">IF(ISNUMBER(H1336),COUNTIFS($B$7:$B$3000,B1336,$C$7:$C$3000,C1336,$H$7:$H$3000,"&lt;"&amp;H1336,$AH$7:$AH$3000,"yes")+COUNTIFS($B$7:B1336,B1336,$C$7:C1336,C1336,$H$7:H1336,H1336,$AH$7:AH1336,"yes"),"")</f>
        <v>4</v>
      </c>
      <c r="AG1336" s="110" t="n">
        <f aca="false">IF(ISNUMBER(I1336),COUNTIFS($B$7:$B$3000,B1336,$C$7:$C$3000,C1336,$I$7:$I$3000,"&lt;"&amp;I1336,$AI$7:$AI$3000,"yes")+COUNTIFS($B$7:B1336,B1336,$C$7:C1336,C1336,$I$7:I1336,I1336,$AI$7:AI1336,"yes"),"")</f>
        <v>4</v>
      </c>
      <c r="AH1336" s="110" t="str">
        <f aca="false">IF(ISNUMBER(H1336),"yes","no")</f>
        <v>yes</v>
      </c>
      <c r="AI1336" s="110" t="str">
        <f aca="false">IF(ISNUMBER(I1336),"yes","no")</f>
        <v>yes</v>
      </c>
      <c r="AJ1336" s="120" t="n">
        <v>46297</v>
      </c>
      <c r="AK1336" s="110"/>
    </row>
    <row r="1337" customFormat="false" ht="23.85" hidden="false" customHeight="false" outlineLevel="0" collapsed="false">
      <c r="B1337" s="36" t="s">
        <v>82</v>
      </c>
      <c r="C1337" s="98" t="s">
        <v>15</v>
      </c>
      <c r="D1337" s="98" t="s">
        <v>264</v>
      </c>
      <c r="E1337" s="110" t="s">
        <v>4241</v>
      </c>
      <c r="F1337" s="99" t="n">
        <v>10.5</v>
      </c>
      <c r="G1337" s="98" t="s">
        <v>244</v>
      </c>
      <c r="H1337" s="112" t="n">
        <f aca="false">IF(AND(AE1337="yes",ISNUMBER(AD1337)),AD1337,"")</f>
        <v>10.5</v>
      </c>
      <c r="I1337" s="95" t="n">
        <f aca="false">IF(AND(AE1337="yes",ISNUMBER(AD1337),ISNUMBER(INDEX(Sources!$G$7:$G$10,MATCH(AB1337,Sources!$B$7:$B$10,0)))),ROUND(AD1337/INDEX(Sources!$G$7:$G$10,MATCH(AB1337,Sources!$B$7:$B$10,0)),6),"")</f>
        <v>10.5</v>
      </c>
      <c r="J1337" s="98" t="s">
        <v>530</v>
      </c>
      <c r="K1337" s="98" t="s">
        <v>2059</v>
      </c>
      <c r="L1337" s="96"/>
      <c r="M1337" s="110" t="s">
        <v>4242</v>
      </c>
      <c r="N1337" s="117" t="s">
        <v>4243</v>
      </c>
      <c r="O1337" s="110" t="s">
        <v>2944</v>
      </c>
      <c r="P1337" s="110" t="s">
        <v>590</v>
      </c>
      <c r="Q1337" s="118" t="n">
        <v>0.2</v>
      </c>
      <c r="R1337" s="110" t="n">
        <v>1</v>
      </c>
      <c r="S1337" s="110" t="s">
        <v>632</v>
      </c>
      <c r="T1337" s="110" t="s">
        <v>530</v>
      </c>
      <c r="U1337" s="110" t="s">
        <v>2913</v>
      </c>
      <c r="V1337" s="119" t="n">
        <v>10.5</v>
      </c>
      <c r="W1337" s="119"/>
      <c r="X1337" s="110" t="s">
        <v>2063</v>
      </c>
      <c r="Y1337" s="110" t="s">
        <v>2064</v>
      </c>
      <c r="Z1337" s="110"/>
      <c r="AA1337" s="110" t="s">
        <v>537</v>
      </c>
      <c r="AB1337" s="110" t="s">
        <v>244</v>
      </c>
      <c r="AC1337" s="110" t="s">
        <v>538</v>
      </c>
      <c r="AD1337" s="110" t="n">
        <f aca="false">IF(OR(F1337="",Q1337="",R1337=""),"",ROUND(IF(P1337="incl.",F1337/(1+Q1337),F1337)/IF(S1337="per pack",R1337,1),2))</f>
        <v>10.5</v>
      </c>
      <c r="AE1337" s="110" t="str">
        <f aca="false">IF(AND(AC1337="yes",ISNUMBER(F1337),IF(Compare!$H$5="All mapped",TRUE(),IF(Compare!$H$5="EXACT only",J1337="EXACT",OR(J1337="EXACT",J1337="CLOSE")))),"yes","no")</f>
        <v>yes</v>
      </c>
      <c r="AF1337" s="110" t="n">
        <f aca="false">IF(ISNUMBER(H1337),COUNTIFS($B$7:$B$3000,B1337,$C$7:$C$3000,C1337,$H$7:$H$3000,"&lt;"&amp;H1337,$AH$7:$AH$3000,"yes")+COUNTIFS($B$7:B1337,B1337,$C$7:C1337,C1337,$H$7:H1337,H1337,$AH$7:AH1337,"yes"),"")</f>
        <v>6</v>
      </c>
      <c r="AG1337" s="110" t="n">
        <f aca="false">IF(ISNUMBER(I1337),COUNTIFS($B$7:$B$3000,B1337,$C$7:$C$3000,C1337,$I$7:$I$3000,"&lt;"&amp;I1337,$AI$7:$AI$3000,"yes")+COUNTIFS($B$7:B1337,B1337,$C$7:C1337,C1337,$I$7:I1337,I1337,$AI$7:AI1337,"yes"),"")</f>
        <v>6</v>
      </c>
      <c r="AH1337" s="110" t="str">
        <f aca="false">IF(ISNUMBER(H1337),"yes","no")</f>
        <v>yes</v>
      </c>
      <c r="AI1337" s="110" t="str">
        <f aca="false">IF(ISNUMBER(I1337),"yes","no")</f>
        <v>yes</v>
      </c>
      <c r="AJ1337" s="120" t="n">
        <v>46297</v>
      </c>
      <c r="AK1337" s="110"/>
    </row>
    <row r="1338" customFormat="false" ht="35.05" hidden="false" customHeight="false" outlineLevel="0" collapsed="false">
      <c r="B1338" s="36" t="s">
        <v>82</v>
      </c>
      <c r="C1338" s="98" t="s">
        <v>15</v>
      </c>
      <c r="D1338" s="98" t="s">
        <v>273</v>
      </c>
      <c r="E1338" s="110" t="s">
        <v>4244</v>
      </c>
      <c r="F1338" s="99" t="n">
        <v>5.39</v>
      </c>
      <c r="G1338" s="98" t="s">
        <v>244</v>
      </c>
      <c r="H1338" s="112" t="n">
        <f aca="false">IF(AND(AE1338="yes",ISNUMBER(AD1338)),AD1338,"")</f>
        <v>4.49</v>
      </c>
      <c r="I1338" s="95" t="n">
        <f aca="false">IF(AND(AE1338="yes",ISNUMBER(AD1338),ISNUMBER(INDEX(Sources!$G$7:$G$10,MATCH(AB1338,Sources!$B$7:$B$10,0)))),ROUND(AD1338/INDEX(Sources!$G$7:$G$10,MATCH(AB1338,Sources!$B$7:$B$10,0)),6),"")</f>
        <v>4.49</v>
      </c>
      <c r="J1338" s="98" t="s">
        <v>530</v>
      </c>
      <c r="K1338" s="98" t="s">
        <v>2059</v>
      </c>
      <c r="L1338" s="96"/>
      <c r="M1338" s="110" t="s">
        <v>4245</v>
      </c>
      <c r="N1338" s="117" t="s">
        <v>4246</v>
      </c>
      <c r="O1338" s="110" t="s">
        <v>598</v>
      </c>
      <c r="P1338" s="110" t="s">
        <v>265</v>
      </c>
      <c r="Q1338" s="118" t="n">
        <v>0.2</v>
      </c>
      <c r="R1338" s="110" t="n">
        <v>1</v>
      </c>
      <c r="S1338" s="110" t="s">
        <v>632</v>
      </c>
      <c r="T1338" s="110" t="s">
        <v>530</v>
      </c>
      <c r="U1338" s="110" t="s">
        <v>2918</v>
      </c>
      <c r="V1338" s="119" t="n">
        <v>4.49</v>
      </c>
      <c r="W1338" s="119"/>
      <c r="X1338" s="110" t="s">
        <v>2063</v>
      </c>
      <c r="Y1338" s="110" t="s">
        <v>2064</v>
      </c>
      <c r="Z1338" s="110" t="s">
        <v>2130</v>
      </c>
      <c r="AA1338" s="110" t="s">
        <v>537</v>
      </c>
      <c r="AB1338" s="110" t="s">
        <v>244</v>
      </c>
      <c r="AC1338" s="110" t="s">
        <v>538</v>
      </c>
      <c r="AD1338" s="110" t="n">
        <f aca="false">IF(OR(F1338="",Q1338="",R1338=""),"",ROUND(IF(P1338="incl.",F1338/(1+Q1338),F1338)/IF(S1338="per pack",R1338,1),2))</f>
        <v>4.49</v>
      </c>
      <c r="AE1338" s="110" t="str">
        <f aca="false">IF(AND(AC1338="yes",ISNUMBER(F1338),IF(Compare!$H$5="All mapped",TRUE(),IF(Compare!$H$5="EXACT only",J1338="EXACT",OR(J1338="EXACT",J1338="CLOSE")))),"yes","no")</f>
        <v>yes</v>
      </c>
      <c r="AF1338" s="110" t="n">
        <f aca="false">IF(ISNUMBER(H1338),COUNTIFS($B$7:$B$3000,B1338,$C$7:$C$3000,C1338,$H$7:$H$3000,"&lt;"&amp;H1338,$AH$7:$AH$3000,"yes")+COUNTIFS($B$7:B1338,B1338,$C$7:C1338,C1338,$H$7:H1338,H1338,$AH$7:AH1338,"yes"),"")</f>
        <v>5</v>
      </c>
      <c r="AG1338" s="110" t="n">
        <f aca="false">IF(ISNUMBER(I1338),COUNTIFS($B$7:$B$3000,B1338,$C$7:$C$3000,C1338,$I$7:$I$3000,"&lt;"&amp;I1338,$AI$7:$AI$3000,"yes")+COUNTIFS($B$7:B1338,B1338,$C$7:C1338,C1338,$I$7:I1338,I1338,$AI$7:AI1338,"yes"),"")</f>
        <v>5</v>
      </c>
      <c r="AH1338" s="110" t="str">
        <f aca="false">IF(ISNUMBER(H1338),"yes","no")</f>
        <v>yes</v>
      </c>
      <c r="AI1338" s="110" t="str">
        <f aca="false">IF(ISNUMBER(I1338),"yes","no")</f>
        <v>yes</v>
      </c>
      <c r="AJ1338" s="120" t="n">
        <v>46297</v>
      </c>
      <c r="AK1338" s="110"/>
    </row>
    <row r="1339" customFormat="false" ht="46.25" hidden="false" customHeight="false" outlineLevel="0" collapsed="false">
      <c r="B1339" s="36" t="s">
        <v>82</v>
      </c>
      <c r="C1339" s="98" t="s">
        <v>15</v>
      </c>
      <c r="D1339" s="98" t="s">
        <v>281</v>
      </c>
      <c r="E1339" s="110" t="s">
        <v>4247</v>
      </c>
      <c r="F1339" s="99" t="n">
        <v>3.02</v>
      </c>
      <c r="G1339" s="98" t="s">
        <v>244</v>
      </c>
      <c r="H1339" s="112" t="n">
        <f aca="false">IF(AND(AE1339="yes",ISNUMBER(AD1339)),AD1339,"")</f>
        <v>3.02</v>
      </c>
      <c r="I1339" s="95" t="n">
        <f aca="false">IF(AND(AE1339="yes",ISNUMBER(AD1339),ISNUMBER(INDEX(Sources!$G$7:$G$10,MATCH(AB1339,Sources!$B$7:$B$10,0)))),ROUND(AD1339/INDEX(Sources!$G$7:$G$10,MATCH(AB1339,Sources!$B$7:$B$10,0)),6),"")</f>
        <v>3.02</v>
      </c>
      <c r="J1339" s="98" t="s">
        <v>530</v>
      </c>
      <c r="K1339" s="98" t="s">
        <v>2059</v>
      </c>
      <c r="L1339" s="96"/>
      <c r="M1339" s="110" t="s">
        <v>4248</v>
      </c>
      <c r="N1339" s="117" t="s">
        <v>4249</v>
      </c>
      <c r="O1339" s="110" t="s">
        <v>2952</v>
      </c>
      <c r="P1339" s="110" t="s">
        <v>590</v>
      </c>
      <c r="Q1339" s="118" t="n">
        <v>0.2</v>
      </c>
      <c r="R1339" s="110" t="n">
        <v>1</v>
      </c>
      <c r="S1339" s="110" t="s">
        <v>632</v>
      </c>
      <c r="T1339" s="110" t="s">
        <v>530</v>
      </c>
      <c r="U1339" s="110" t="s">
        <v>2913</v>
      </c>
      <c r="V1339" s="119" t="n">
        <v>3.02</v>
      </c>
      <c r="W1339" s="119"/>
      <c r="X1339" s="110" t="s">
        <v>2063</v>
      </c>
      <c r="Y1339" s="110" t="s">
        <v>2064</v>
      </c>
      <c r="Z1339" s="110" t="s">
        <v>2953</v>
      </c>
      <c r="AA1339" s="110" t="s">
        <v>537</v>
      </c>
      <c r="AB1339" s="110" t="s">
        <v>244</v>
      </c>
      <c r="AC1339" s="110" t="s">
        <v>538</v>
      </c>
      <c r="AD1339" s="110" t="n">
        <f aca="false">IF(OR(F1339="",Q1339="",R1339=""),"",ROUND(IF(P1339="incl.",F1339/(1+Q1339),F1339)/IF(S1339="per pack",R1339,1),2))</f>
        <v>3.02</v>
      </c>
      <c r="AE1339" s="110" t="str">
        <f aca="false">IF(AND(AC1339="yes",ISNUMBER(F1339),IF(Compare!$H$5="All mapped",TRUE(),IF(Compare!$H$5="EXACT only",J1339="EXACT",OR(J1339="EXACT",J1339="CLOSE")))),"yes","no")</f>
        <v>yes</v>
      </c>
      <c r="AF1339" s="110" t="n">
        <f aca="false">IF(ISNUMBER(H1339),COUNTIFS($B$7:$B$3000,B1339,$C$7:$C$3000,C1339,$H$7:$H$3000,"&lt;"&amp;H1339,$AH$7:$AH$3000,"yes")+COUNTIFS($B$7:B1339,B1339,$C$7:C1339,C1339,$H$7:H1339,H1339,$AH$7:AH1339,"yes"),"")</f>
        <v>3</v>
      </c>
      <c r="AG1339" s="110" t="n">
        <f aca="false">IF(ISNUMBER(I1339),COUNTIFS($B$7:$B$3000,B1339,$C$7:$C$3000,C1339,$I$7:$I$3000,"&lt;"&amp;I1339,$AI$7:$AI$3000,"yes")+COUNTIFS($B$7:B1339,B1339,$C$7:C1339,C1339,$I$7:I1339,I1339,$AI$7:AI1339,"yes"),"")</f>
        <v>3</v>
      </c>
      <c r="AH1339" s="110" t="str">
        <f aca="false">IF(ISNUMBER(H1339),"yes","no")</f>
        <v>yes</v>
      </c>
      <c r="AI1339" s="110" t="str">
        <f aca="false">IF(ISNUMBER(I1339),"yes","no")</f>
        <v>yes</v>
      </c>
      <c r="AJ1339" s="120" t="n">
        <v>46297</v>
      </c>
      <c r="AK1339" s="110"/>
    </row>
    <row r="1340" customFormat="false" ht="23.85" hidden="false" customHeight="false" outlineLevel="0" collapsed="false">
      <c r="B1340" s="36" t="s">
        <v>82</v>
      </c>
      <c r="C1340" s="98" t="s">
        <v>15</v>
      </c>
      <c r="D1340" s="98" t="s">
        <v>285</v>
      </c>
      <c r="E1340" s="110" t="s">
        <v>4250</v>
      </c>
      <c r="F1340" s="99" t="n">
        <v>13.2</v>
      </c>
      <c r="G1340" s="98" t="s">
        <v>244</v>
      </c>
      <c r="H1340" s="112" t="n">
        <f aca="false">IF(AND(AE1340="yes",ISNUMBER(AD1340)),AD1340,"")</f>
        <v>13.2</v>
      </c>
      <c r="I1340" s="95" t="n">
        <f aca="false">IF(AND(AE1340="yes",ISNUMBER(AD1340),ISNUMBER(INDEX(Sources!$G$7:$G$10,MATCH(AB1340,Sources!$B$7:$B$10,0)))),ROUND(AD1340/INDEX(Sources!$G$7:$G$10,MATCH(AB1340,Sources!$B$7:$B$10,0)),6),"")</f>
        <v>13.2</v>
      </c>
      <c r="J1340" s="98" t="s">
        <v>530</v>
      </c>
      <c r="K1340" s="98" t="s">
        <v>2059</v>
      </c>
      <c r="L1340" s="96"/>
      <c r="M1340" s="110" t="s">
        <v>4251</v>
      </c>
      <c r="N1340" s="117" t="s">
        <v>4252</v>
      </c>
      <c r="O1340" s="110" t="s">
        <v>733</v>
      </c>
      <c r="P1340" s="110" t="s">
        <v>590</v>
      </c>
      <c r="Q1340" s="118" t="n">
        <v>0.2</v>
      </c>
      <c r="R1340" s="110" t="n">
        <v>1</v>
      </c>
      <c r="S1340" s="110" t="s">
        <v>632</v>
      </c>
      <c r="T1340" s="110" t="s">
        <v>530</v>
      </c>
      <c r="U1340" s="110" t="s">
        <v>2913</v>
      </c>
      <c r="V1340" s="119" t="n">
        <v>13.2</v>
      </c>
      <c r="W1340" s="119"/>
      <c r="X1340" s="110" t="s">
        <v>2063</v>
      </c>
      <c r="Y1340" s="110" t="s">
        <v>2064</v>
      </c>
      <c r="Z1340" s="110" t="s">
        <v>4253</v>
      </c>
      <c r="AA1340" s="110" t="s">
        <v>537</v>
      </c>
      <c r="AB1340" s="110" t="s">
        <v>244</v>
      </c>
      <c r="AC1340" s="110" t="s">
        <v>538</v>
      </c>
      <c r="AD1340" s="110" t="n">
        <f aca="false">IF(OR(F1340="",Q1340="",R1340=""),"",ROUND(IF(P1340="incl.",F1340/(1+Q1340),F1340)/IF(S1340="per pack",R1340,1),2))</f>
        <v>13.2</v>
      </c>
      <c r="AE1340" s="110" t="str">
        <f aca="false">IF(AND(AC1340="yes",ISNUMBER(F1340),IF(Compare!$H$5="All mapped",TRUE(),IF(Compare!$H$5="EXACT only",J1340="EXACT",OR(J1340="EXACT",J1340="CLOSE")))),"yes","no")</f>
        <v>yes</v>
      </c>
      <c r="AF1340" s="110" t="n">
        <f aca="false">IF(ISNUMBER(H1340),COUNTIFS($B$7:$B$3000,B1340,$C$7:$C$3000,C1340,$H$7:$H$3000,"&lt;"&amp;H1340,$AH$7:$AH$3000,"yes")+COUNTIFS($B$7:B1340,B1340,$C$7:C1340,C1340,$H$7:H1340,H1340,$AH$7:AH1340,"yes"),"")</f>
        <v>7</v>
      </c>
      <c r="AG1340" s="110" t="n">
        <f aca="false">IF(ISNUMBER(I1340),COUNTIFS($B$7:$B$3000,B1340,$C$7:$C$3000,C1340,$I$7:$I$3000,"&lt;"&amp;I1340,$AI$7:$AI$3000,"yes")+COUNTIFS($B$7:B1340,B1340,$C$7:C1340,C1340,$I$7:I1340,I1340,$AI$7:AI1340,"yes"),"")</f>
        <v>7</v>
      </c>
      <c r="AH1340" s="110" t="str">
        <f aca="false">IF(ISNUMBER(H1340),"yes","no")</f>
        <v>yes</v>
      </c>
      <c r="AI1340" s="110" t="str">
        <f aca="false">IF(ISNUMBER(I1340),"yes","no")</f>
        <v>yes</v>
      </c>
      <c r="AJ1340" s="120" t="n">
        <v>46297</v>
      </c>
      <c r="AK1340" s="110"/>
    </row>
    <row r="1341" customFormat="false" ht="35.05" hidden="false" customHeight="false" outlineLevel="0" collapsed="false">
      <c r="B1341" s="36" t="s">
        <v>82</v>
      </c>
      <c r="C1341" s="98" t="s">
        <v>15</v>
      </c>
      <c r="D1341" s="98" t="s">
        <v>293</v>
      </c>
      <c r="E1341" s="110" t="s">
        <v>4254</v>
      </c>
      <c r="F1341" s="99" t="n">
        <v>2.5</v>
      </c>
      <c r="G1341" s="98" t="s">
        <v>244</v>
      </c>
      <c r="H1341" s="112" t="n">
        <f aca="false">IF(AND(AE1341="yes",ISNUMBER(AD1341)),AD1341,"")</f>
        <v>2.5</v>
      </c>
      <c r="I1341" s="95" t="n">
        <f aca="false">IF(AND(AE1341="yes",ISNUMBER(AD1341),ISNUMBER(INDEX(Sources!$G$7:$G$10,MATCH(AB1341,Sources!$B$7:$B$10,0)))),ROUND(AD1341/INDEX(Sources!$G$7:$G$10,MATCH(AB1341,Sources!$B$7:$B$10,0)),6),"")</f>
        <v>2.5</v>
      </c>
      <c r="J1341" s="98" t="s">
        <v>530</v>
      </c>
      <c r="K1341" s="98" t="s">
        <v>2059</v>
      </c>
      <c r="L1341" s="96"/>
      <c r="M1341" s="110" t="s">
        <v>4255</v>
      </c>
      <c r="N1341" s="117" t="s">
        <v>4256</v>
      </c>
      <c r="O1341" s="110" t="s">
        <v>2957</v>
      </c>
      <c r="P1341" s="110" t="s">
        <v>590</v>
      </c>
      <c r="Q1341" s="118" t="n">
        <v>0.2</v>
      </c>
      <c r="R1341" s="110" t="n">
        <v>1</v>
      </c>
      <c r="S1341" s="110" t="s">
        <v>632</v>
      </c>
      <c r="T1341" s="110" t="s">
        <v>530</v>
      </c>
      <c r="U1341" s="110" t="s">
        <v>2913</v>
      </c>
      <c r="V1341" s="119" t="n">
        <v>2.5</v>
      </c>
      <c r="W1341" s="119"/>
      <c r="X1341" s="110" t="s">
        <v>2063</v>
      </c>
      <c r="Y1341" s="110" t="s">
        <v>2064</v>
      </c>
      <c r="Z1341" s="110" t="s">
        <v>2958</v>
      </c>
      <c r="AA1341" s="110" t="s">
        <v>537</v>
      </c>
      <c r="AB1341" s="110" t="s">
        <v>244</v>
      </c>
      <c r="AC1341" s="110" t="s">
        <v>538</v>
      </c>
      <c r="AD1341" s="110" t="n">
        <f aca="false">IF(OR(F1341="",Q1341="",R1341=""),"",ROUND(IF(P1341="incl.",F1341/(1+Q1341),F1341)/IF(S1341="per pack",R1341,1),2))</f>
        <v>2.5</v>
      </c>
      <c r="AE1341" s="110" t="str">
        <f aca="false">IF(AND(AC1341="yes",ISNUMBER(F1341),IF(Compare!$H$5="All mapped",TRUE(),IF(Compare!$H$5="EXACT only",J1341="EXACT",OR(J1341="EXACT",J1341="CLOSE")))),"yes","no")</f>
        <v>yes</v>
      </c>
      <c r="AF1341" s="110" t="n">
        <f aca="false">IF(ISNUMBER(H1341),COUNTIFS($B$7:$B$3000,B1341,$C$7:$C$3000,C1341,$H$7:$H$3000,"&lt;"&amp;H1341,$AH$7:$AH$3000,"yes")+COUNTIFS($B$7:B1341,B1341,$C$7:C1341,C1341,$H$7:H1341,H1341,$AH$7:AH1341,"yes"),"")</f>
        <v>2</v>
      </c>
      <c r="AG1341" s="110" t="n">
        <f aca="false">IF(ISNUMBER(I1341),COUNTIFS($B$7:$B$3000,B1341,$C$7:$C$3000,C1341,$I$7:$I$3000,"&lt;"&amp;I1341,$AI$7:$AI$3000,"yes")+COUNTIFS($B$7:B1341,B1341,$C$7:C1341,C1341,$I$7:I1341,I1341,$AI$7:AI1341,"yes"),"")</f>
        <v>2</v>
      </c>
      <c r="AH1341" s="110" t="str">
        <f aca="false">IF(ISNUMBER(H1341),"yes","no")</f>
        <v>yes</v>
      </c>
      <c r="AI1341" s="110" t="str">
        <f aca="false">IF(ISNUMBER(I1341),"yes","no")</f>
        <v>yes</v>
      </c>
      <c r="AJ1341" s="120" t="n">
        <v>46297</v>
      </c>
      <c r="AK1341" s="110"/>
    </row>
    <row r="1342" customFormat="false" ht="35.05" hidden="false" customHeight="false" outlineLevel="0" collapsed="false">
      <c r="B1342" s="36" t="s">
        <v>82</v>
      </c>
      <c r="C1342" s="98" t="s">
        <v>16</v>
      </c>
      <c r="D1342" s="98" t="s">
        <v>296</v>
      </c>
      <c r="E1342" s="110" t="s">
        <v>4235</v>
      </c>
      <c r="F1342" s="99" t="n">
        <v>2.07</v>
      </c>
      <c r="G1342" s="98" t="s">
        <v>244</v>
      </c>
      <c r="H1342" s="112" t="n">
        <f aca="false">IF(AND(AE1342="yes",ISNUMBER(AD1342)),AD1342,"")</f>
        <v>2.07</v>
      </c>
      <c r="I1342" s="95" t="n">
        <f aca="false">IF(AND(AE1342="yes",ISNUMBER(AD1342),ISNUMBER(INDEX(Sources!$G$7:$G$10,MATCH(AB1342,Sources!$B$7:$B$10,0)))),ROUND(AD1342/INDEX(Sources!$G$7:$G$10,MATCH(AB1342,Sources!$B$7:$B$10,0)),6),"")</f>
        <v>2.07</v>
      </c>
      <c r="J1342" s="98" t="s">
        <v>530</v>
      </c>
      <c r="K1342" s="98" t="s">
        <v>2059</v>
      </c>
      <c r="L1342" s="96"/>
      <c r="M1342" s="110" t="s">
        <v>4257</v>
      </c>
      <c r="N1342" s="117" t="s">
        <v>4258</v>
      </c>
      <c r="O1342" s="110" t="s">
        <v>3149</v>
      </c>
      <c r="P1342" s="110" t="s">
        <v>590</v>
      </c>
      <c r="Q1342" s="118" t="n">
        <v>0.19</v>
      </c>
      <c r="R1342" s="110" t="n">
        <v>1</v>
      </c>
      <c r="S1342" s="110" t="s">
        <v>632</v>
      </c>
      <c r="T1342" s="110" t="s">
        <v>530</v>
      </c>
      <c r="U1342" s="110" t="s">
        <v>2913</v>
      </c>
      <c r="V1342" s="119" t="n">
        <v>2.07</v>
      </c>
      <c r="W1342" s="119"/>
      <c r="X1342" s="110" t="s">
        <v>2063</v>
      </c>
      <c r="Y1342" s="110" t="s">
        <v>2064</v>
      </c>
      <c r="Z1342" s="110" t="s">
        <v>2164</v>
      </c>
      <c r="AA1342" s="110" t="s">
        <v>537</v>
      </c>
      <c r="AB1342" s="110" t="s">
        <v>244</v>
      </c>
      <c r="AC1342" s="110" t="s">
        <v>538</v>
      </c>
      <c r="AD1342" s="110" t="n">
        <f aca="false">IF(OR(F1342="",Q1342="",R1342=""),"",ROUND(IF(P1342="incl.",F1342/(1+Q1342),F1342)/IF(S1342="per pack",R1342,1),2))</f>
        <v>2.07</v>
      </c>
      <c r="AE1342" s="110" t="str">
        <f aca="false">IF(AND(AC1342="yes",ISNUMBER(F1342),IF(Compare!$H$5="All mapped",TRUE(),IF(Compare!$H$5="EXACT only",J1342="EXACT",OR(J1342="EXACT",J1342="CLOSE")))),"yes","no")</f>
        <v>yes</v>
      </c>
      <c r="AF1342" s="110" t="n">
        <f aca="false">IF(ISNUMBER(H1342),COUNTIFS($B$7:$B$3000,B1342,$C$7:$C$3000,C1342,$H$7:$H$3000,"&lt;"&amp;H1342,$AH$7:$AH$3000,"yes")+COUNTIFS($B$7:B1342,B1342,$C$7:C1342,C1342,$H$7:H1342,H1342,$AH$7:AH1342,"yes"),"")</f>
        <v>1</v>
      </c>
      <c r="AG1342" s="110" t="n">
        <f aca="false">IF(ISNUMBER(I1342),COUNTIFS($B$7:$B$3000,B1342,$C$7:$C$3000,C1342,$I$7:$I$3000,"&lt;"&amp;I1342,$AI$7:$AI$3000,"yes")+COUNTIFS($B$7:B1342,B1342,$C$7:C1342,C1342,$I$7:I1342,I1342,$AI$7:AI1342,"yes"),"")</f>
        <v>1</v>
      </c>
      <c r="AH1342" s="110" t="str">
        <f aca="false">IF(ISNUMBER(H1342),"yes","no")</f>
        <v>yes</v>
      </c>
      <c r="AI1342" s="110" t="str">
        <f aca="false">IF(ISNUMBER(I1342),"yes","no")</f>
        <v>yes</v>
      </c>
      <c r="AJ1342" s="120" t="n">
        <v>46297</v>
      </c>
      <c r="AK1342" s="110"/>
    </row>
    <row r="1343" customFormat="false" ht="35.05" hidden="false" customHeight="false" outlineLevel="0" collapsed="false">
      <c r="B1343" s="36" t="s">
        <v>82</v>
      </c>
      <c r="C1343" s="98" t="s">
        <v>16</v>
      </c>
      <c r="D1343" s="98" t="s">
        <v>305</v>
      </c>
      <c r="E1343" s="110" t="s">
        <v>4259</v>
      </c>
      <c r="F1343" s="99" t="n">
        <v>3.02</v>
      </c>
      <c r="G1343" s="98" t="s">
        <v>244</v>
      </c>
      <c r="H1343" s="112" t="n">
        <f aca="false">IF(AND(AE1343="yes",ISNUMBER(AD1343)),AD1343,"")</f>
        <v>2.54</v>
      </c>
      <c r="I1343" s="95" t="n">
        <f aca="false">IF(AND(AE1343="yes",ISNUMBER(AD1343),ISNUMBER(INDEX(Sources!$G$7:$G$10,MATCH(AB1343,Sources!$B$7:$B$10,0)))),ROUND(AD1343/INDEX(Sources!$G$7:$G$10,MATCH(AB1343,Sources!$B$7:$B$10,0)),6),"")</f>
        <v>2.54</v>
      </c>
      <c r="J1343" s="98" t="s">
        <v>530</v>
      </c>
      <c r="K1343" s="98" t="s">
        <v>2059</v>
      </c>
      <c r="L1343" s="96"/>
      <c r="M1343" s="110" t="s">
        <v>4260</v>
      </c>
      <c r="N1343" s="117" t="s">
        <v>4261</v>
      </c>
      <c r="O1343" s="110" t="s">
        <v>2965</v>
      </c>
      <c r="P1343" s="110" t="s">
        <v>265</v>
      </c>
      <c r="Q1343" s="118" t="n">
        <v>0.19</v>
      </c>
      <c r="R1343" s="110" t="n">
        <v>1</v>
      </c>
      <c r="S1343" s="110" t="s">
        <v>632</v>
      </c>
      <c r="T1343" s="110" t="s">
        <v>530</v>
      </c>
      <c r="U1343" s="110" t="s">
        <v>2918</v>
      </c>
      <c r="V1343" s="119" t="n">
        <v>2.54</v>
      </c>
      <c r="W1343" s="119"/>
      <c r="X1343" s="110" t="s">
        <v>2063</v>
      </c>
      <c r="Y1343" s="110" t="s">
        <v>2064</v>
      </c>
      <c r="Z1343" s="110" t="s">
        <v>2156</v>
      </c>
      <c r="AA1343" s="110" t="s">
        <v>537</v>
      </c>
      <c r="AB1343" s="110" t="s">
        <v>244</v>
      </c>
      <c r="AC1343" s="110" t="s">
        <v>538</v>
      </c>
      <c r="AD1343" s="110" t="n">
        <f aca="false">IF(OR(F1343="",Q1343="",R1343=""),"",ROUND(IF(P1343="incl.",F1343/(1+Q1343),F1343)/IF(S1343="per pack",R1343,1),2))</f>
        <v>2.54</v>
      </c>
      <c r="AE1343" s="110" t="str">
        <f aca="false">IF(AND(AC1343="yes",ISNUMBER(F1343),IF(Compare!$H$5="All mapped",TRUE(),IF(Compare!$H$5="EXACT only",J1343="EXACT",OR(J1343="EXACT",J1343="CLOSE")))),"yes","no")</f>
        <v>yes</v>
      </c>
      <c r="AF1343" s="110" t="n">
        <f aca="false">IF(ISNUMBER(H1343),COUNTIFS($B$7:$B$3000,B1343,$C$7:$C$3000,C1343,$H$7:$H$3000,"&lt;"&amp;H1343,$AH$7:$AH$3000,"yes")+COUNTIFS($B$7:B1343,B1343,$C$7:C1343,C1343,$H$7:H1343,H1343,$AH$7:AH1343,"yes"),"")</f>
        <v>3</v>
      </c>
      <c r="AG1343" s="110" t="n">
        <f aca="false">IF(ISNUMBER(I1343),COUNTIFS($B$7:$B$3000,B1343,$C$7:$C$3000,C1343,$I$7:$I$3000,"&lt;"&amp;I1343,$AI$7:$AI$3000,"yes")+COUNTIFS($B$7:B1343,B1343,$C$7:C1343,C1343,$I$7:I1343,I1343,$AI$7:AI1343,"yes"),"")</f>
        <v>3</v>
      </c>
      <c r="AH1343" s="110" t="str">
        <f aca="false">IF(ISNUMBER(H1343),"yes","no")</f>
        <v>yes</v>
      </c>
      <c r="AI1343" s="110" t="str">
        <f aca="false">IF(ISNUMBER(I1343),"yes","no")</f>
        <v>yes</v>
      </c>
      <c r="AJ1343" s="120" t="n">
        <v>46297</v>
      </c>
      <c r="AK1343" s="110"/>
    </row>
    <row r="1344" customFormat="false" ht="23.85" hidden="false" customHeight="false" outlineLevel="0" collapsed="false">
      <c r="B1344" s="36" t="s">
        <v>82</v>
      </c>
      <c r="C1344" s="98" t="s">
        <v>16</v>
      </c>
      <c r="D1344" s="98" t="s">
        <v>309</v>
      </c>
      <c r="E1344" s="110" t="s">
        <v>4241</v>
      </c>
      <c r="F1344" s="99" t="n">
        <v>10.5</v>
      </c>
      <c r="G1344" s="98" t="s">
        <v>244</v>
      </c>
      <c r="H1344" s="112" t="n">
        <f aca="false">IF(AND(AE1344="yes",ISNUMBER(AD1344)),AD1344,"")</f>
        <v>10.5</v>
      </c>
      <c r="I1344" s="95" t="n">
        <f aca="false">IF(AND(AE1344="yes",ISNUMBER(AD1344),ISNUMBER(INDEX(Sources!$G$7:$G$10,MATCH(AB1344,Sources!$B$7:$B$10,0)))),ROUND(AD1344/INDEX(Sources!$G$7:$G$10,MATCH(AB1344,Sources!$B$7:$B$10,0)),6),"")</f>
        <v>10.5</v>
      </c>
      <c r="J1344" s="98" t="s">
        <v>530</v>
      </c>
      <c r="K1344" s="98" t="s">
        <v>2059</v>
      </c>
      <c r="L1344" s="96"/>
      <c r="M1344" s="110" t="s">
        <v>4262</v>
      </c>
      <c r="N1344" s="117" t="s">
        <v>4243</v>
      </c>
      <c r="O1344" s="110" t="s">
        <v>2944</v>
      </c>
      <c r="P1344" s="110" t="s">
        <v>590</v>
      </c>
      <c r="Q1344" s="118" t="n">
        <v>0.19</v>
      </c>
      <c r="R1344" s="110" t="n">
        <v>1</v>
      </c>
      <c r="S1344" s="110" t="s">
        <v>632</v>
      </c>
      <c r="T1344" s="110" t="s">
        <v>530</v>
      </c>
      <c r="U1344" s="110" t="s">
        <v>2913</v>
      </c>
      <c r="V1344" s="119" t="n">
        <v>10.5</v>
      </c>
      <c r="W1344" s="119"/>
      <c r="X1344" s="110" t="s">
        <v>2063</v>
      </c>
      <c r="Y1344" s="110" t="s">
        <v>2064</v>
      </c>
      <c r="Z1344" s="110" t="s">
        <v>2970</v>
      </c>
      <c r="AA1344" s="110" t="s">
        <v>537</v>
      </c>
      <c r="AB1344" s="110" t="s">
        <v>244</v>
      </c>
      <c r="AC1344" s="110" t="s">
        <v>538</v>
      </c>
      <c r="AD1344" s="110" t="n">
        <f aca="false">IF(OR(F1344="",Q1344="",R1344=""),"",ROUND(IF(P1344="incl.",F1344/(1+Q1344),F1344)/IF(S1344="per pack",R1344,1),2))</f>
        <v>10.5</v>
      </c>
      <c r="AE1344" s="110" t="str">
        <f aca="false">IF(AND(AC1344="yes",ISNUMBER(F1344),IF(Compare!$H$5="All mapped",TRUE(),IF(Compare!$H$5="EXACT only",J1344="EXACT",OR(J1344="EXACT",J1344="CLOSE")))),"yes","no")</f>
        <v>yes</v>
      </c>
      <c r="AF1344" s="110" t="n">
        <f aca="false">IF(ISNUMBER(H1344),COUNTIFS($B$7:$B$3000,B1344,$C$7:$C$3000,C1344,$H$7:$H$3000,"&lt;"&amp;H1344,$AH$7:$AH$3000,"yes")+COUNTIFS($B$7:B1344,B1344,$C$7:C1344,C1344,$H$7:H1344,H1344,$AH$7:AH1344,"yes"),"")</f>
        <v>7</v>
      </c>
      <c r="AG1344" s="110" t="n">
        <f aca="false">IF(ISNUMBER(I1344),COUNTIFS($B$7:$B$3000,B1344,$C$7:$C$3000,C1344,$I$7:$I$3000,"&lt;"&amp;I1344,$AI$7:$AI$3000,"yes")+COUNTIFS($B$7:B1344,B1344,$C$7:C1344,C1344,$I$7:I1344,I1344,$AI$7:AI1344,"yes"),"")</f>
        <v>7</v>
      </c>
      <c r="AH1344" s="110" t="str">
        <f aca="false">IF(ISNUMBER(H1344),"yes","no")</f>
        <v>yes</v>
      </c>
      <c r="AI1344" s="110" t="str">
        <f aca="false">IF(ISNUMBER(I1344),"yes","no")</f>
        <v>yes</v>
      </c>
      <c r="AJ1344" s="120" t="n">
        <v>46297</v>
      </c>
      <c r="AK1344" s="110"/>
    </row>
    <row r="1345" customFormat="false" ht="35.05" hidden="false" customHeight="false" outlineLevel="0" collapsed="false">
      <c r="B1345" s="36" t="s">
        <v>82</v>
      </c>
      <c r="C1345" s="98" t="s">
        <v>16</v>
      </c>
      <c r="D1345" s="98" t="s">
        <v>321</v>
      </c>
      <c r="E1345" s="110" t="s">
        <v>4247</v>
      </c>
      <c r="F1345" s="99" t="n">
        <v>3.02</v>
      </c>
      <c r="G1345" s="98" t="s">
        <v>244</v>
      </c>
      <c r="H1345" s="112" t="n">
        <f aca="false">IF(AND(AE1345="yes",ISNUMBER(AD1345)),AD1345,"")</f>
        <v>3.02</v>
      </c>
      <c r="I1345" s="95" t="n">
        <f aca="false">IF(AND(AE1345="yes",ISNUMBER(AD1345),ISNUMBER(INDEX(Sources!$G$7:$G$10,MATCH(AB1345,Sources!$B$7:$B$10,0)))),ROUND(AD1345/INDEX(Sources!$G$7:$G$10,MATCH(AB1345,Sources!$B$7:$B$10,0)),6),"")</f>
        <v>3.02</v>
      </c>
      <c r="J1345" s="98" t="s">
        <v>530</v>
      </c>
      <c r="K1345" s="98" t="s">
        <v>2059</v>
      </c>
      <c r="L1345" s="96"/>
      <c r="M1345" s="110" t="s">
        <v>4263</v>
      </c>
      <c r="N1345" s="117" t="s">
        <v>4264</v>
      </c>
      <c r="O1345" s="110" t="s">
        <v>2952</v>
      </c>
      <c r="P1345" s="110" t="s">
        <v>590</v>
      </c>
      <c r="Q1345" s="118" t="n">
        <v>0.19</v>
      </c>
      <c r="R1345" s="110" t="n">
        <v>1</v>
      </c>
      <c r="S1345" s="110" t="s">
        <v>632</v>
      </c>
      <c r="T1345" s="110" t="s">
        <v>530</v>
      </c>
      <c r="U1345" s="110" t="s">
        <v>2913</v>
      </c>
      <c r="V1345" s="119" t="n">
        <v>3.02</v>
      </c>
      <c r="W1345" s="119"/>
      <c r="X1345" s="110" t="s">
        <v>2063</v>
      </c>
      <c r="Y1345" s="110" t="s">
        <v>2064</v>
      </c>
      <c r="Z1345" s="110" t="s">
        <v>2978</v>
      </c>
      <c r="AA1345" s="110" t="s">
        <v>537</v>
      </c>
      <c r="AB1345" s="110" t="s">
        <v>244</v>
      </c>
      <c r="AC1345" s="110" t="s">
        <v>538</v>
      </c>
      <c r="AD1345" s="110" t="n">
        <f aca="false">IF(OR(F1345="",Q1345="",R1345=""),"",ROUND(IF(P1345="incl.",F1345/(1+Q1345),F1345)/IF(S1345="per pack",R1345,1),2))</f>
        <v>3.02</v>
      </c>
      <c r="AE1345" s="110" t="str">
        <f aca="false">IF(AND(AC1345="yes",ISNUMBER(F1345),IF(Compare!$H$5="All mapped",TRUE(),IF(Compare!$H$5="EXACT only",J1345="EXACT",OR(J1345="EXACT",J1345="CLOSE")))),"yes","no")</f>
        <v>yes</v>
      </c>
      <c r="AF1345" s="110" t="n">
        <f aca="false">IF(ISNUMBER(H1345),COUNTIFS($B$7:$B$3000,B1345,$C$7:$C$3000,C1345,$H$7:$H$3000,"&lt;"&amp;H1345,$AH$7:$AH$3000,"yes")+COUNTIFS($B$7:B1345,B1345,$C$7:C1345,C1345,$H$7:H1345,H1345,$AH$7:AH1345,"yes"),"")</f>
        <v>6</v>
      </c>
      <c r="AG1345" s="110" t="n">
        <f aca="false">IF(ISNUMBER(I1345),COUNTIFS($B$7:$B$3000,B1345,$C$7:$C$3000,C1345,$I$7:$I$3000,"&lt;"&amp;I1345,$AI$7:$AI$3000,"yes")+COUNTIFS($B$7:B1345,B1345,$C$7:C1345,C1345,$I$7:I1345,I1345,$AI$7:AI1345,"yes"),"")</f>
        <v>6</v>
      </c>
      <c r="AH1345" s="110" t="str">
        <f aca="false">IF(ISNUMBER(H1345),"yes","no")</f>
        <v>yes</v>
      </c>
      <c r="AI1345" s="110" t="str">
        <f aca="false">IF(ISNUMBER(I1345),"yes","no")</f>
        <v>yes</v>
      </c>
      <c r="AJ1345" s="120" t="n">
        <v>46297</v>
      </c>
      <c r="AK1345" s="110"/>
    </row>
    <row r="1346" customFormat="false" ht="35.05" hidden="false" customHeight="false" outlineLevel="0" collapsed="false">
      <c r="B1346" s="36" t="s">
        <v>82</v>
      </c>
      <c r="C1346" s="98" t="s">
        <v>16</v>
      </c>
      <c r="D1346" s="98" t="s">
        <v>321</v>
      </c>
      <c r="E1346" s="110" t="s">
        <v>4265</v>
      </c>
      <c r="F1346" s="99" t="n">
        <v>2.46</v>
      </c>
      <c r="G1346" s="98" t="s">
        <v>244</v>
      </c>
      <c r="H1346" s="112" t="n">
        <f aca="false">IF(AND(AE1346="yes",ISNUMBER(AD1346)),AD1346,"")</f>
        <v>2.46</v>
      </c>
      <c r="I1346" s="95" t="n">
        <f aca="false">IF(AND(AE1346="yes",ISNUMBER(AD1346),ISNUMBER(INDEX(Sources!$G$7:$G$10,MATCH(AB1346,Sources!$B$7:$B$10,0)))),ROUND(AD1346/INDEX(Sources!$G$7:$G$10,MATCH(AB1346,Sources!$B$7:$B$10,0)),6),"")</f>
        <v>2.46</v>
      </c>
      <c r="J1346" s="98" t="s">
        <v>530</v>
      </c>
      <c r="K1346" s="98" t="s">
        <v>2059</v>
      </c>
      <c r="L1346" s="96"/>
      <c r="M1346" s="110" t="s">
        <v>4266</v>
      </c>
      <c r="N1346" s="117" t="s">
        <v>4267</v>
      </c>
      <c r="O1346" s="110" t="s">
        <v>2977</v>
      </c>
      <c r="P1346" s="110" t="s">
        <v>590</v>
      </c>
      <c r="Q1346" s="118" t="n">
        <v>0.19</v>
      </c>
      <c r="R1346" s="110" t="n">
        <v>1</v>
      </c>
      <c r="S1346" s="110" t="s">
        <v>632</v>
      </c>
      <c r="T1346" s="110" t="s">
        <v>530</v>
      </c>
      <c r="U1346" s="110" t="s">
        <v>2913</v>
      </c>
      <c r="V1346" s="119" t="n">
        <v>2.46</v>
      </c>
      <c r="W1346" s="119"/>
      <c r="X1346" s="110" t="s">
        <v>2063</v>
      </c>
      <c r="Y1346" s="110" t="s">
        <v>2064</v>
      </c>
      <c r="Z1346" s="110" t="s">
        <v>2978</v>
      </c>
      <c r="AA1346" s="110" t="s">
        <v>537</v>
      </c>
      <c r="AB1346" s="110" t="s">
        <v>244</v>
      </c>
      <c r="AC1346" s="110" t="s">
        <v>538</v>
      </c>
      <c r="AD1346" s="110" t="n">
        <f aca="false">IF(OR(F1346="",Q1346="",R1346=""),"",ROUND(IF(P1346="incl.",F1346/(1+Q1346),F1346)/IF(S1346="per pack",R1346,1),2))</f>
        <v>2.46</v>
      </c>
      <c r="AE1346" s="110" t="str">
        <f aca="false">IF(AND(AC1346="yes",ISNUMBER(F1346),IF(Compare!$H$5="All mapped",TRUE(),IF(Compare!$H$5="EXACT only",J1346="EXACT",OR(J1346="EXACT",J1346="CLOSE")))),"yes","no")</f>
        <v>yes</v>
      </c>
      <c r="AF1346" s="110" t="n">
        <f aca="false">IF(ISNUMBER(H1346),COUNTIFS($B$7:$B$3000,B1346,$C$7:$C$3000,C1346,$H$7:$H$3000,"&lt;"&amp;H1346,$AH$7:$AH$3000,"yes")+COUNTIFS($B$7:B1346,B1346,$C$7:C1346,C1346,$H$7:H1346,H1346,$AH$7:AH1346,"yes"),"")</f>
        <v>2</v>
      </c>
      <c r="AG1346" s="110" t="n">
        <f aca="false">IF(ISNUMBER(I1346),COUNTIFS($B$7:$B$3000,B1346,$C$7:$C$3000,C1346,$I$7:$I$3000,"&lt;"&amp;I1346,$AI$7:$AI$3000,"yes")+COUNTIFS($B$7:B1346,B1346,$C$7:C1346,C1346,$I$7:I1346,I1346,$AI$7:AI1346,"yes"),"")</f>
        <v>2</v>
      </c>
      <c r="AH1346" s="110" t="str">
        <f aca="false">IF(ISNUMBER(H1346),"yes","no")</f>
        <v>yes</v>
      </c>
      <c r="AI1346" s="110" t="str">
        <f aca="false">IF(ISNUMBER(I1346),"yes","no")</f>
        <v>yes</v>
      </c>
      <c r="AJ1346" s="120" t="n">
        <v>46297</v>
      </c>
      <c r="AK1346" s="110"/>
    </row>
    <row r="1347" customFormat="false" ht="35.05" hidden="false" customHeight="false" outlineLevel="0" collapsed="false">
      <c r="B1347" s="36" t="s">
        <v>82</v>
      </c>
      <c r="C1347" s="98" t="s">
        <v>16</v>
      </c>
      <c r="D1347" s="98" t="s">
        <v>321</v>
      </c>
      <c r="E1347" s="110" t="s">
        <v>4268</v>
      </c>
      <c r="F1347" s="99" t="n">
        <v>2.88</v>
      </c>
      <c r="G1347" s="98" t="s">
        <v>244</v>
      </c>
      <c r="H1347" s="112" t="n">
        <f aca="false">IF(AND(AE1347="yes",ISNUMBER(AD1347)),AD1347,"")</f>
        <v>2.88</v>
      </c>
      <c r="I1347" s="95" t="n">
        <f aca="false">IF(AND(AE1347="yes",ISNUMBER(AD1347),ISNUMBER(INDEX(Sources!$G$7:$G$10,MATCH(AB1347,Sources!$B$7:$B$10,0)))),ROUND(AD1347/INDEX(Sources!$G$7:$G$10,MATCH(AB1347,Sources!$B$7:$B$10,0)),6),"")</f>
        <v>2.88</v>
      </c>
      <c r="J1347" s="98" t="s">
        <v>530</v>
      </c>
      <c r="K1347" s="98" t="s">
        <v>2059</v>
      </c>
      <c r="L1347" s="96"/>
      <c r="M1347" s="110" t="s">
        <v>4269</v>
      </c>
      <c r="N1347" s="117" t="s">
        <v>4270</v>
      </c>
      <c r="O1347" s="110" t="s">
        <v>2944</v>
      </c>
      <c r="P1347" s="110" t="s">
        <v>590</v>
      </c>
      <c r="Q1347" s="118" t="n">
        <v>0.19</v>
      </c>
      <c r="R1347" s="110" t="n">
        <v>1</v>
      </c>
      <c r="S1347" s="110" t="s">
        <v>632</v>
      </c>
      <c r="T1347" s="110" t="s">
        <v>530</v>
      </c>
      <c r="U1347" s="110" t="s">
        <v>2913</v>
      </c>
      <c r="V1347" s="119" t="n">
        <v>2.88</v>
      </c>
      <c r="W1347" s="119"/>
      <c r="X1347" s="110" t="s">
        <v>2063</v>
      </c>
      <c r="Y1347" s="110" t="s">
        <v>2064</v>
      </c>
      <c r="Z1347" s="110" t="s">
        <v>2978</v>
      </c>
      <c r="AA1347" s="110" t="s">
        <v>537</v>
      </c>
      <c r="AB1347" s="110" t="s">
        <v>244</v>
      </c>
      <c r="AC1347" s="110" t="s">
        <v>538</v>
      </c>
      <c r="AD1347" s="110" t="n">
        <f aca="false">IF(OR(F1347="",Q1347="",R1347=""),"",ROUND(IF(P1347="incl.",F1347/(1+Q1347),F1347)/IF(S1347="per pack",R1347,1),2))</f>
        <v>2.88</v>
      </c>
      <c r="AE1347" s="110" t="str">
        <f aca="false">IF(AND(AC1347="yes",ISNUMBER(F1347),IF(Compare!$H$5="All mapped",TRUE(),IF(Compare!$H$5="EXACT only",J1347="EXACT",OR(J1347="EXACT",J1347="CLOSE")))),"yes","no")</f>
        <v>yes</v>
      </c>
      <c r="AF1347" s="110" t="n">
        <f aca="false">IF(ISNUMBER(H1347),COUNTIFS($B$7:$B$3000,B1347,$C$7:$C$3000,C1347,$H$7:$H$3000,"&lt;"&amp;H1347,$AH$7:$AH$3000,"yes")+COUNTIFS($B$7:B1347,B1347,$C$7:C1347,C1347,$H$7:H1347,H1347,$AH$7:AH1347,"yes"),"")</f>
        <v>4</v>
      </c>
      <c r="AG1347" s="110" t="n">
        <f aca="false">IF(ISNUMBER(I1347),COUNTIFS($B$7:$B$3000,B1347,$C$7:$C$3000,C1347,$I$7:$I$3000,"&lt;"&amp;I1347,$AI$7:$AI$3000,"yes")+COUNTIFS($B$7:B1347,B1347,$C$7:C1347,C1347,$I$7:I1347,I1347,$AI$7:AI1347,"yes"),"")</f>
        <v>4</v>
      </c>
      <c r="AH1347" s="110" t="str">
        <f aca="false">IF(ISNUMBER(H1347),"yes","no")</f>
        <v>yes</v>
      </c>
      <c r="AI1347" s="110" t="str">
        <f aca="false">IF(ISNUMBER(I1347),"yes","no")</f>
        <v>yes</v>
      </c>
      <c r="AJ1347" s="120" t="n">
        <v>46297</v>
      </c>
      <c r="AK1347" s="110"/>
    </row>
    <row r="1348" customFormat="false" ht="35.05" hidden="false" customHeight="false" outlineLevel="0" collapsed="false">
      <c r="B1348" s="36" t="s">
        <v>82</v>
      </c>
      <c r="C1348" s="98" t="s">
        <v>16</v>
      </c>
      <c r="D1348" s="98" t="s">
        <v>321</v>
      </c>
      <c r="E1348" s="110" t="s">
        <v>4271</v>
      </c>
      <c r="F1348" s="99" t="n">
        <v>2.93</v>
      </c>
      <c r="G1348" s="98" t="s">
        <v>244</v>
      </c>
      <c r="H1348" s="112" t="n">
        <f aca="false">IF(AND(AE1348="yes",ISNUMBER(AD1348)),AD1348,"")</f>
        <v>2.93</v>
      </c>
      <c r="I1348" s="95" t="n">
        <f aca="false">IF(AND(AE1348="yes",ISNUMBER(AD1348),ISNUMBER(INDEX(Sources!$G$7:$G$10,MATCH(AB1348,Sources!$B$7:$B$10,0)))),ROUND(AD1348/INDEX(Sources!$G$7:$G$10,MATCH(AB1348,Sources!$B$7:$B$10,0)),6),"")</f>
        <v>2.93</v>
      </c>
      <c r="J1348" s="98" t="s">
        <v>530</v>
      </c>
      <c r="K1348" s="98" t="s">
        <v>2059</v>
      </c>
      <c r="L1348" s="96"/>
      <c r="M1348" s="110" t="s">
        <v>4272</v>
      </c>
      <c r="N1348" s="117" t="s">
        <v>4273</v>
      </c>
      <c r="O1348" s="110" t="s">
        <v>589</v>
      </c>
      <c r="P1348" s="110" t="s">
        <v>590</v>
      </c>
      <c r="Q1348" s="118" t="n">
        <v>0.19</v>
      </c>
      <c r="R1348" s="110" t="n">
        <v>1</v>
      </c>
      <c r="S1348" s="110" t="s">
        <v>632</v>
      </c>
      <c r="T1348" s="110" t="s">
        <v>530</v>
      </c>
      <c r="U1348" s="110" t="s">
        <v>2913</v>
      </c>
      <c r="V1348" s="119" t="n">
        <v>2.93</v>
      </c>
      <c r="W1348" s="119"/>
      <c r="X1348" s="110" t="s">
        <v>2063</v>
      </c>
      <c r="Y1348" s="110" t="s">
        <v>2064</v>
      </c>
      <c r="Z1348" s="110" t="s">
        <v>2978</v>
      </c>
      <c r="AA1348" s="110" t="s">
        <v>537</v>
      </c>
      <c r="AB1348" s="110" t="s">
        <v>244</v>
      </c>
      <c r="AC1348" s="110" t="s">
        <v>538</v>
      </c>
      <c r="AD1348" s="110" t="n">
        <f aca="false">IF(OR(F1348="",Q1348="",R1348=""),"",ROUND(IF(P1348="incl.",F1348/(1+Q1348),F1348)/IF(S1348="per pack",R1348,1),2))</f>
        <v>2.93</v>
      </c>
      <c r="AE1348" s="110" t="str">
        <f aca="false">IF(AND(AC1348="yes",ISNUMBER(F1348),IF(Compare!$H$5="All mapped",TRUE(),IF(Compare!$H$5="EXACT only",J1348="EXACT",OR(J1348="EXACT",J1348="CLOSE")))),"yes","no")</f>
        <v>yes</v>
      </c>
      <c r="AF1348" s="110" t="n">
        <f aca="false">IF(ISNUMBER(H1348),COUNTIFS($B$7:$B$3000,B1348,$C$7:$C$3000,C1348,$H$7:$H$3000,"&lt;"&amp;H1348,$AH$7:$AH$3000,"yes")+COUNTIFS($B$7:B1348,B1348,$C$7:C1348,C1348,$H$7:H1348,H1348,$AH$7:AH1348,"yes"),"")</f>
        <v>5</v>
      </c>
      <c r="AG1348" s="110" t="n">
        <f aca="false">IF(ISNUMBER(I1348),COUNTIFS($B$7:$B$3000,B1348,$C$7:$C$3000,C1348,$I$7:$I$3000,"&lt;"&amp;I1348,$AI$7:$AI$3000,"yes")+COUNTIFS($B$7:B1348,B1348,$C$7:C1348,C1348,$I$7:I1348,I1348,$AI$7:AI1348,"yes"),"")</f>
        <v>5</v>
      </c>
      <c r="AH1348" s="110" t="str">
        <f aca="false">IF(ISNUMBER(H1348),"yes","no")</f>
        <v>yes</v>
      </c>
      <c r="AI1348" s="110" t="str">
        <f aca="false">IF(ISNUMBER(I1348),"yes","no")</f>
        <v>yes</v>
      </c>
      <c r="AJ1348" s="120" t="n">
        <v>46297</v>
      </c>
      <c r="AK1348" s="110"/>
    </row>
    <row r="1349" customFormat="false" ht="23.85" hidden="false" customHeight="false" outlineLevel="0" collapsed="false">
      <c r="B1349" s="36" t="s">
        <v>82</v>
      </c>
      <c r="C1349" s="98" t="s">
        <v>17</v>
      </c>
      <c r="D1349" s="98" t="s">
        <v>338</v>
      </c>
      <c r="E1349" s="110" t="s">
        <v>4274</v>
      </c>
      <c r="F1349" s="99" t="n">
        <v>71</v>
      </c>
      <c r="G1349" s="98" t="s">
        <v>333</v>
      </c>
      <c r="H1349" s="112" t="n">
        <f aca="false">IF(AND(AE1349="yes",ISNUMBER(AD1349)),AD1349,"")</f>
        <v>71</v>
      </c>
      <c r="I1349" s="95" t="n">
        <f aca="false">IF(AND(AE1349="yes",ISNUMBER(AD1349),ISNUMBER(INDEX(Sources!$G$7:$G$10,MATCH(AB1349,Sources!$B$7:$B$10,0)))),ROUND(AD1349/INDEX(Sources!$G$7:$G$10,MATCH(AB1349,Sources!$B$7:$B$10,0)),6),"")</f>
        <v>2.907022</v>
      </c>
      <c r="J1349" s="98" t="s">
        <v>530</v>
      </c>
      <c r="K1349" s="98" t="s">
        <v>2059</v>
      </c>
      <c r="L1349" s="96"/>
      <c r="M1349" s="110" t="s">
        <v>4275</v>
      </c>
      <c r="N1349" s="117" t="s">
        <v>4276</v>
      </c>
      <c r="O1349" s="110" t="s">
        <v>2412</v>
      </c>
      <c r="P1349" s="110" t="s">
        <v>590</v>
      </c>
      <c r="Q1349" s="118" t="n">
        <v>0.21</v>
      </c>
      <c r="R1349" s="110" t="n">
        <v>1</v>
      </c>
      <c r="S1349" s="110" t="s">
        <v>632</v>
      </c>
      <c r="T1349" s="110" t="s">
        <v>530</v>
      </c>
      <c r="U1349" s="110" t="s">
        <v>2913</v>
      </c>
      <c r="V1349" s="119" t="n">
        <v>71</v>
      </c>
      <c r="W1349" s="119"/>
      <c r="X1349" s="110" t="s">
        <v>2063</v>
      </c>
      <c r="Y1349" s="110" t="s">
        <v>2064</v>
      </c>
      <c r="Z1349" s="110" t="s">
        <v>2413</v>
      </c>
      <c r="AA1349" s="110" t="s">
        <v>537</v>
      </c>
      <c r="AB1349" s="110" t="s">
        <v>333</v>
      </c>
      <c r="AC1349" s="110" t="s">
        <v>538</v>
      </c>
      <c r="AD1349" s="110" t="n">
        <f aca="false">IF(OR(F1349="",Q1349="",R1349=""),"",ROUND(IF(P1349="incl.",F1349/(1+Q1349),F1349)/IF(S1349="per pack",R1349,1),2))</f>
        <v>71</v>
      </c>
      <c r="AE1349" s="110" t="str">
        <f aca="false">IF(AND(AC1349="yes",ISNUMBER(F1349),IF(Compare!$H$5="All mapped",TRUE(),IF(Compare!$H$5="EXACT only",J1349="EXACT",OR(J1349="EXACT",J1349="CLOSE")))),"yes","no")</f>
        <v>yes</v>
      </c>
      <c r="AF1349" s="110" t="n">
        <f aca="false">IF(ISNUMBER(H1349),COUNTIFS($B$7:$B$3000,B1349,$C$7:$C$3000,C1349,$H$7:$H$3000,"&lt;"&amp;H1349,$AH$7:$AH$3000,"yes")+COUNTIFS($B$7:B1349,B1349,$C$7:C1349,C1349,$H$7:H1349,H1349,$AH$7:AH1349,"yes"),"")</f>
        <v>2</v>
      </c>
      <c r="AG1349" s="110" t="n">
        <f aca="false">IF(ISNUMBER(I1349),COUNTIFS($B$7:$B$3000,B1349,$C$7:$C$3000,C1349,$I$7:$I$3000,"&lt;"&amp;I1349,$AI$7:$AI$3000,"yes")+COUNTIFS($B$7:B1349,B1349,$C$7:C1349,C1349,$I$7:I1349,I1349,$AI$7:AI1349,"yes"),"")</f>
        <v>2</v>
      </c>
      <c r="AH1349" s="110" t="str">
        <f aca="false">IF(ISNUMBER(H1349),"yes","no")</f>
        <v>yes</v>
      </c>
      <c r="AI1349" s="110" t="str">
        <f aca="false">IF(ISNUMBER(I1349),"yes","no")</f>
        <v>yes</v>
      </c>
      <c r="AJ1349" s="120" t="n">
        <v>46297</v>
      </c>
      <c r="AK1349" s="110"/>
    </row>
    <row r="1350" customFormat="false" ht="35.05" hidden="false" customHeight="false" outlineLevel="0" collapsed="false">
      <c r="B1350" s="36" t="s">
        <v>82</v>
      </c>
      <c r="C1350" s="98" t="s">
        <v>17</v>
      </c>
      <c r="D1350" s="98" t="s">
        <v>342</v>
      </c>
      <c r="E1350" s="110" t="s">
        <v>4277</v>
      </c>
      <c r="F1350" s="99" t="n">
        <v>125</v>
      </c>
      <c r="G1350" s="98" t="s">
        <v>333</v>
      </c>
      <c r="H1350" s="112" t="n">
        <f aca="false">IF(AND(AE1350="yes",ISNUMBER(AD1350)),AD1350,"")</f>
        <v>125</v>
      </c>
      <c r="I1350" s="95" t="n">
        <f aca="false">IF(AND(AE1350="yes",ISNUMBER(AD1350),ISNUMBER(INDEX(Sources!$G$7:$G$10,MATCH(AB1350,Sources!$B$7:$B$10,0)))),ROUND(AD1350/INDEX(Sources!$G$7:$G$10,MATCH(AB1350,Sources!$B$7:$B$10,0)),6),"")</f>
        <v>5.117997</v>
      </c>
      <c r="J1350" s="98" t="s">
        <v>530</v>
      </c>
      <c r="K1350" s="98" t="s">
        <v>2059</v>
      </c>
      <c r="L1350" s="96"/>
      <c r="M1350" s="110" t="s">
        <v>4278</v>
      </c>
      <c r="N1350" s="117" t="s">
        <v>4279</v>
      </c>
      <c r="O1350" s="110" t="s">
        <v>642</v>
      </c>
      <c r="P1350" s="110" t="s">
        <v>590</v>
      </c>
      <c r="Q1350" s="118" t="n">
        <v>0.21</v>
      </c>
      <c r="R1350" s="110" t="n">
        <v>1</v>
      </c>
      <c r="S1350" s="110" t="s">
        <v>632</v>
      </c>
      <c r="T1350" s="110" t="s">
        <v>530</v>
      </c>
      <c r="U1350" s="110" t="s">
        <v>2913</v>
      </c>
      <c r="V1350" s="119" t="n">
        <v>125</v>
      </c>
      <c r="W1350" s="119"/>
      <c r="X1350" s="110" t="s">
        <v>2063</v>
      </c>
      <c r="Y1350" s="110" t="s">
        <v>2064</v>
      </c>
      <c r="Z1350" s="110" t="s">
        <v>2400</v>
      </c>
      <c r="AA1350" s="110" t="s">
        <v>537</v>
      </c>
      <c r="AB1350" s="110" t="s">
        <v>333</v>
      </c>
      <c r="AC1350" s="110" t="s">
        <v>538</v>
      </c>
      <c r="AD1350" s="110" t="n">
        <f aca="false">IF(OR(F1350="",Q1350="",R1350=""),"",ROUND(IF(P1350="incl.",F1350/(1+Q1350),F1350)/IF(S1350="per pack",R1350,1),2))</f>
        <v>125</v>
      </c>
      <c r="AE1350" s="110" t="str">
        <f aca="false">IF(AND(AC1350="yes",ISNUMBER(F1350),IF(Compare!$H$5="All mapped",TRUE(),IF(Compare!$H$5="EXACT only",J1350="EXACT",OR(J1350="EXACT",J1350="CLOSE")))),"yes","no")</f>
        <v>yes</v>
      </c>
      <c r="AF1350" s="110" t="n">
        <f aca="false">IF(ISNUMBER(H1350),COUNTIFS($B$7:$B$3000,B1350,$C$7:$C$3000,C1350,$H$7:$H$3000,"&lt;"&amp;H1350,$AH$7:$AH$3000,"yes")+COUNTIFS($B$7:B1350,B1350,$C$7:C1350,C1350,$H$7:H1350,H1350,$AH$7:AH1350,"yes"),"")</f>
        <v>4</v>
      </c>
      <c r="AG1350" s="110" t="n">
        <f aca="false">IF(ISNUMBER(I1350),COUNTIFS($B$7:$B$3000,B1350,$C$7:$C$3000,C1350,$I$7:$I$3000,"&lt;"&amp;I1350,$AI$7:$AI$3000,"yes")+COUNTIFS($B$7:B1350,B1350,$C$7:C1350,C1350,$I$7:I1350,I1350,$AI$7:AI1350,"yes"),"")</f>
        <v>4</v>
      </c>
      <c r="AH1350" s="110" t="str">
        <f aca="false">IF(ISNUMBER(H1350),"yes","no")</f>
        <v>yes</v>
      </c>
      <c r="AI1350" s="110" t="str">
        <f aca="false">IF(ISNUMBER(I1350),"yes","no")</f>
        <v>yes</v>
      </c>
      <c r="AJ1350" s="120" t="n">
        <v>46297</v>
      </c>
      <c r="AK1350" s="110"/>
    </row>
    <row r="1351" customFormat="false" ht="46.25" hidden="false" customHeight="false" outlineLevel="0" collapsed="false">
      <c r="B1351" s="36" t="s">
        <v>82</v>
      </c>
      <c r="C1351" s="98" t="s">
        <v>17</v>
      </c>
      <c r="D1351" s="98" t="s">
        <v>346</v>
      </c>
      <c r="E1351" s="110" t="s">
        <v>4280</v>
      </c>
      <c r="F1351" s="99" t="n">
        <v>102</v>
      </c>
      <c r="G1351" s="98" t="s">
        <v>333</v>
      </c>
      <c r="H1351" s="112" t="n">
        <f aca="false">IF(AND(AE1351="yes",ISNUMBER(AD1351)),AD1351,"")</f>
        <v>102</v>
      </c>
      <c r="I1351" s="95" t="n">
        <f aca="false">IF(AND(AE1351="yes",ISNUMBER(AD1351),ISNUMBER(INDEX(Sources!$G$7:$G$10,MATCH(AB1351,Sources!$B$7:$B$10,0)))),ROUND(AD1351/INDEX(Sources!$G$7:$G$10,MATCH(AB1351,Sources!$B$7:$B$10,0)),6),"")</f>
        <v>4.176286</v>
      </c>
      <c r="J1351" s="98" t="s">
        <v>530</v>
      </c>
      <c r="K1351" s="98" t="s">
        <v>2059</v>
      </c>
      <c r="L1351" s="96"/>
      <c r="M1351" s="110" t="s">
        <v>4281</v>
      </c>
      <c r="N1351" s="117" t="s">
        <v>4282</v>
      </c>
      <c r="O1351" s="110" t="s">
        <v>565</v>
      </c>
      <c r="P1351" s="110" t="s">
        <v>590</v>
      </c>
      <c r="Q1351" s="118" t="n">
        <v>0.21</v>
      </c>
      <c r="R1351" s="110" t="n">
        <v>1</v>
      </c>
      <c r="S1351" s="110" t="s">
        <v>632</v>
      </c>
      <c r="T1351" s="110" t="s">
        <v>530</v>
      </c>
      <c r="U1351" s="110" t="s">
        <v>2913</v>
      </c>
      <c r="V1351" s="119" t="n">
        <v>102</v>
      </c>
      <c r="W1351" s="119"/>
      <c r="X1351" s="110" t="s">
        <v>2063</v>
      </c>
      <c r="Y1351" s="110" t="s">
        <v>2064</v>
      </c>
      <c r="Z1351" s="110" t="s">
        <v>2993</v>
      </c>
      <c r="AA1351" s="110" t="s">
        <v>537</v>
      </c>
      <c r="AB1351" s="110" t="s">
        <v>333</v>
      </c>
      <c r="AC1351" s="110" t="s">
        <v>538</v>
      </c>
      <c r="AD1351" s="110" t="n">
        <f aca="false">IF(OR(F1351="",Q1351="",R1351=""),"",ROUND(IF(P1351="incl.",F1351/(1+Q1351),F1351)/IF(S1351="per pack",R1351,1),2))</f>
        <v>102</v>
      </c>
      <c r="AE1351" s="110" t="str">
        <f aca="false">IF(AND(AC1351="yes",ISNUMBER(F1351),IF(Compare!$H$5="All mapped",TRUE(),IF(Compare!$H$5="EXACT only",J1351="EXACT",OR(J1351="EXACT",J1351="CLOSE")))),"yes","no")</f>
        <v>yes</v>
      </c>
      <c r="AF1351" s="110" t="n">
        <f aca="false">IF(ISNUMBER(H1351),COUNTIFS($B$7:$B$3000,B1351,$C$7:$C$3000,C1351,$H$7:$H$3000,"&lt;"&amp;H1351,$AH$7:$AH$3000,"yes")+COUNTIFS($B$7:B1351,B1351,$C$7:C1351,C1351,$H$7:H1351,H1351,$AH$7:AH1351,"yes"),"")</f>
        <v>3</v>
      </c>
      <c r="AG1351" s="110" t="n">
        <f aca="false">IF(ISNUMBER(I1351),COUNTIFS($B$7:$B$3000,B1351,$C$7:$C$3000,C1351,$I$7:$I$3000,"&lt;"&amp;I1351,$AI$7:$AI$3000,"yes")+COUNTIFS($B$7:B1351,B1351,$C$7:C1351,C1351,$I$7:I1351,I1351,$AI$7:AI1351,"yes"),"")</f>
        <v>3</v>
      </c>
      <c r="AH1351" s="110" t="str">
        <f aca="false">IF(ISNUMBER(H1351),"yes","no")</f>
        <v>yes</v>
      </c>
      <c r="AI1351" s="110" t="str">
        <f aca="false">IF(ISNUMBER(I1351),"yes","no")</f>
        <v>yes</v>
      </c>
      <c r="AJ1351" s="120" t="n">
        <v>46297</v>
      </c>
      <c r="AK1351" s="110"/>
    </row>
    <row r="1352" customFormat="false" ht="35.05" hidden="false" customHeight="false" outlineLevel="0" collapsed="false">
      <c r="B1352" s="36" t="s">
        <v>82</v>
      </c>
      <c r="C1352" s="98" t="s">
        <v>17</v>
      </c>
      <c r="D1352" s="98" t="s">
        <v>350</v>
      </c>
      <c r="E1352" s="110" t="s">
        <v>4283</v>
      </c>
      <c r="F1352" s="99" t="n">
        <v>48</v>
      </c>
      <c r="G1352" s="98" t="s">
        <v>333</v>
      </c>
      <c r="H1352" s="112" t="n">
        <f aca="false">IF(AND(AE1352="yes",ISNUMBER(AD1352)),AD1352,"")</f>
        <v>39.67</v>
      </c>
      <c r="I1352" s="95" t="n">
        <f aca="false">IF(AND(AE1352="yes",ISNUMBER(AD1352),ISNUMBER(INDEX(Sources!$G$7:$G$10,MATCH(AB1352,Sources!$B$7:$B$10,0)))),ROUND(AD1352/INDEX(Sources!$G$7:$G$10,MATCH(AB1352,Sources!$B$7:$B$10,0)),6),"")</f>
        <v>1.624248</v>
      </c>
      <c r="J1352" s="98" t="s">
        <v>530</v>
      </c>
      <c r="K1352" s="98" t="s">
        <v>2059</v>
      </c>
      <c r="L1352" s="96"/>
      <c r="M1352" s="110" t="s">
        <v>4284</v>
      </c>
      <c r="N1352" s="117" t="s">
        <v>4285</v>
      </c>
      <c r="O1352" s="110" t="s">
        <v>2997</v>
      </c>
      <c r="P1352" s="110" t="s">
        <v>265</v>
      </c>
      <c r="Q1352" s="118" t="n">
        <v>0.21</v>
      </c>
      <c r="R1352" s="110" t="n">
        <v>1</v>
      </c>
      <c r="S1352" s="110" t="s">
        <v>632</v>
      </c>
      <c r="T1352" s="110" t="s">
        <v>530</v>
      </c>
      <c r="U1352" s="110" t="s">
        <v>2918</v>
      </c>
      <c r="V1352" s="119" t="n">
        <v>39.67</v>
      </c>
      <c r="W1352" s="119"/>
      <c r="X1352" s="110" t="s">
        <v>2063</v>
      </c>
      <c r="Y1352" s="110" t="s">
        <v>2064</v>
      </c>
      <c r="Z1352" s="110" t="s">
        <v>2344</v>
      </c>
      <c r="AA1352" s="110" t="s">
        <v>537</v>
      </c>
      <c r="AB1352" s="110" t="s">
        <v>333</v>
      </c>
      <c r="AC1352" s="110" t="s">
        <v>538</v>
      </c>
      <c r="AD1352" s="110" t="n">
        <f aca="false">IF(OR(F1352="",Q1352="",R1352=""),"",ROUND(IF(P1352="incl.",F1352/(1+Q1352),F1352)/IF(S1352="per pack",R1352,1),2))</f>
        <v>39.67</v>
      </c>
      <c r="AE1352" s="110" t="str">
        <f aca="false">IF(AND(AC1352="yes",ISNUMBER(F1352),IF(Compare!$H$5="All mapped",TRUE(),IF(Compare!$H$5="EXACT only",J1352="EXACT",OR(J1352="EXACT",J1352="CLOSE")))),"yes","no")</f>
        <v>yes</v>
      </c>
      <c r="AF1352" s="110" t="n">
        <f aca="false">IF(ISNUMBER(H1352),COUNTIFS($B$7:$B$3000,B1352,$C$7:$C$3000,C1352,$H$7:$H$3000,"&lt;"&amp;H1352,$AH$7:$AH$3000,"yes")+COUNTIFS($B$7:B1352,B1352,$C$7:C1352,C1352,$H$7:H1352,H1352,$AH$7:AH1352,"yes"),"")</f>
        <v>1</v>
      </c>
      <c r="AG1352" s="110" t="n">
        <f aca="false">IF(ISNUMBER(I1352),COUNTIFS($B$7:$B$3000,B1352,$C$7:$C$3000,C1352,$I$7:$I$3000,"&lt;"&amp;I1352,$AI$7:$AI$3000,"yes")+COUNTIFS($B$7:B1352,B1352,$C$7:C1352,C1352,$I$7:I1352,I1352,$AI$7:AI1352,"yes"),"")</f>
        <v>1</v>
      </c>
      <c r="AH1352" s="110" t="str">
        <f aca="false">IF(ISNUMBER(H1352),"yes","no")</f>
        <v>yes</v>
      </c>
      <c r="AI1352" s="110" t="str">
        <f aca="false">IF(ISNUMBER(I1352),"yes","no")</f>
        <v>yes</v>
      </c>
      <c r="AJ1352" s="120" t="n">
        <v>46297</v>
      </c>
      <c r="AK1352" s="110"/>
    </row>
    <row r="1353" customFormat="false" ht="23.85" hidden="false" customHeight="false" outlineLevel="0" collapsed="false">
      <c r="B1353" s="36" t="s">
        <v>82</v>
      </c>
      <c r="C1353" s="98" t="s">
        <v>17</v>
      </c>
      <c r="D1353" s="98" t="s">
        <v>361</v>
      </c>
      <c r="E1353" s="110" t="s">
        <v>4286</v>
      </c>
      <c r="F1353" s="99" t="n">
        <v>125</v>
      </c>
      <c r="G1353" s="98" t="s">
        <v>333</v>
      </c>
      <c r="H1353" s="112" t="n">
        <f aca="false">IF(AND(AE1353="yes",ISNUMBER(AD1353)),AD1353,"")</f>
        <v>125</v>
      </c>
      <c r="I1353" s="95" t="n">
        <f aca="false">IF(AND(AE1353="yes",ISNUMBER(AD1353),ISNUMBER(INDEX(Sources!$G$7:$G$10,MATCH(AB1353,Sources!$B$7:$B$10,0)))),ROUND(AD1353/INDEX(Sources!$G$7:$G$10,MATCH(AB1353,Sources!$B$7:$B$10,0)),6),"")</f>
        <v>5.117997</v>
      </c>
      <c r="J1353" s="98" t="s">
        <v>530</v>
      </c>
      <c r="K1353" s="98" t="s">
        <v>2059</v>
      </c>
      <c r="L1353" s="96"/>
      <c r="M1353" s="110" t="s">
        <v>4287</v>
      </c>
      <c r="N1353" s="117" t="s">
        <v>4288</v>
      </c>
      <c r="O1353" s="110" t="s">
        <v>642</v>
      </c>
      <c r="P1353" s="110" t="s">
        <v>590</v>
      </c>
      <c r="Q1353" s="118" t="n">
        <v>0.21</v>
      </c>
      <c r="R1353" s="110" t="n">
        <v>1</v>
      </c>
      <c r="S1353" s="110" t="s">
        <v>632</v>
      </c>
      <c r="T1353" s="110" t="s">
        <v>530</v>
      </c>
      <c r="U1353" s="110" t="s">
        <v>2913</v>
      </c>
      <c r="V1353" s="119" t="n">
        <v>125</v>
      </c>
      <c r="W1353" s="119"/>
      <c r="X1353" s="110" t="s">
        <v>2063</v>
      </c>
      <c r="Y1353" s="110" t="s">
        <v>2064</v>
      </c>
      <c r="Z1353" s="110" t="s">
        <v>4289</v>
      </c>
      <c r="AA1353" s="110" t="s">
        <v>537</v>
      </c>
      <c r="AB1353" s="110" t="s">
        <v>333</v>
      </c>
      <c r="AC1353" s="110" t="s">
        <v>538</v>
      </c>
      <c r="AD1353" s="110" t="n">
        <f aca="false">IF(OR(F1353="",Q1353="",R1353=""),"",ROUND(IF(P1353="incl.",F1353/(1+Q1353),F1353)/IF(S1353="per pack",R1353,1),2))</f>
        <v>125</v>
      </c>
      <c r="AE1353" s="110" t="str">
        <f aca="false">IF(AND(AC1353="yes",ISNUMBER(F1353),IF(Compare!$H$5="All mapped",TRUE(),IF(Compare!$H$5="EXACT only",J1353="EXACT",OR(J1353="EXACT",J1353="CLOSE")))),"yes","no")</f>
        <v>yes</v>
      </c>
      <c r="AF1353" s="110" t="n">
        <f aca="false">IF(ISNUMBER(H1353),COUNTIFS($B$7:$B$3000,B1353,$C$7:$C$3000,C1353,$H$7:$H$3000,"&lt;"&amp;H1353,$AH$7:$AH$3000,"yes")+COUNTIFS($B$7:B1353,B1353,$C$7:C1353,C1353,$H$7:H1353,H1353,$AH$7:AH1353,"yes"),"")</f>
        <v>5</v>
      </c>
      <c r="AG1353" s="110" t="n">
        <f aca="false">IF(ISNUMBER(I1353),COUNTIFS($B$7:$B$3000,B1353,$C$7:$C$3000,C1353,$I$7:$I$3000,"&lt;"&amp;I1353,$AI$7:$AI$3000,"yes")+COUNTIFS($B$7:B1353,B1353,$C$7:C1353,C1353,$I$7:I1353,I1353,$AI$7:AI1353,"yes"),"")</f>
        <v>5</v>
      </c>
      <c r="AH1353" s="110" t="str">
        <f aca="false">IF(ISNUMBER(H1353),"yes","no")</f>
        <v>yes</v>
      </c>
      <c r="AI1353" s="110" t="str">
        <f aca="false">IF(ISNUMBER(I1353),"yes","no")</f>
        <v>yes</v>
      </c>
      <c r="AJ1353" s="120" t="n">
        <v>46297</v>
      </c>
      <c r="AK1353" s="110"/>
    </row>
    <row r="1354" customFormat="false" ht="23.85" hidden="false" customHeight="false" outlineLevel="0" collapsed="false">
      <c r="B1354" s="36" t="s">
        <v>82</v>
      </c>
      <c r="C1354" s="98" t="s">
        <v>18</v>
      </c>
      <c r="D1354" s="98" t="s">
        <v>3002</v>
      </c>
      <c r="E1354" s="110" t="s">
        <v>4290</v>
      </c>
      <c r="F1354" s="99" t="n">
        <v>2.8</v>
      </c>
      <c r="G1354" s="98" t="s">
        <v>244</v>
      </c>
      <c r="H1354" s="112" t="n">
        <f aca="false">IF(AND(AE1354="yes",ISNUMBER(AD1354)),AD1354,"")</f>
        <v>2.8</v>
      </c>
      <c r="I1354" s="95" t="n">
        <f aca="false">IF(AND(AE1354="yes",ISNUMBER(AD1354),ISNUMBER(INDEX(Sources!$G$7:$G$10,MATCH(AB1354,Sources!$B$7:$B$10,0)))),ROUND(AD1354/INDEX(Sources!$G$7:$G$10,MATCH(AB1354,Sources!$B$7:$B$10,0)),6),"")</f>
        <v>2.8</v>
      </c>
      <c r="J1354" s="98" t="s">
        <v>530</v>
      </c>
      <c r="K1354" s="98" t="s">
        <v>2059</v>
      </c>
      <c r="L1354" s="96"/>
      <c r="M1354" s="110" t="s">
        <v>4291</v>
      </c>
      <c r="N1354" s="117" t="s">
        <v>4128</v>
      </c>
      <c r="O1354" s="110" t="s">
        <v>2396</v>
      </c>
      <c r="P1354" s="110" t="s">
        <v>590</v>
      </c>
      <c r="Q1354" s="118" t="n">
        <v>0.23</v>
      </c>
      <c r="R1354" s="110" t="n">
        <v>1</v>
      </c>
      <c r="S1354" s="110" t="s">
        <v>632</v>
      </c>
      <c r="T1354" s="110" t="s">
        <v>530</v>
      </c>
      <c r="U1354" s="110" t="s">
        <v>2913</v>
      </c>
      <c r="V1354" s="119" t="n">
        <v>2.8</v>
      </c>
      <c r="W1354" s="119"/>
      <c r="X1354" s="110" t="s">
        <v>2063</v>
      </c>
      <c r="Y1354" s="110" t="s">
        <v>2064</v>
      </c>
      <c r="Z1354" s="110" t="s">
        <v>3006</v>
      </c>
      <c r="AA1354" s="110" t="s">
        <v>537</v>
      </c>
      <c r="AB1354" s="110" t="s">
        <v>244</v>
      </c>
      <c r="AC1354" s="110" t="s">
        <v>538</v>
      </c>
      <c r="AD1354" s="110" t="n">
        <f aca="false">IF(OR(F1354="",Q1354="",R1354=""),"",ROUND(IF(P1354="incl.",F1354/(1+Q1354),F1354)/IF(S1354="per pack",R1354,1),2))</f>
        <v>2.8</v>
      </c>
      <c r="AE1354" s="110" t="str">
        <f aca="false">IF(AND(AC1354="yes",ISNUMBER(F1354),IF(Compare!$H$5="All mapped",TRUE(),IF(Compare!$H$5="EXACT only",J1354="EXACT",OR(J1354="EXACT",J1354="CLOSE")))),"yes","no")</f>
        <v>yes</v>
      </c>
      <c r="AF1354" s="110" t="n">
        <f aca="false">IF(ISNUMBER(H1354),COUNTIFS($B$7:$B$3000,B1354,$C$7:$C$3000,C1354,$H$7:$H$3000,"&lt;"&amp;H1354,$AH$7:$AH$3000,"yes")+COUNTIFS($B$7:B1354,B1354,$C$7:C1354,C1354,$H$7:H1354,H1354,$AH$7:AH1354,"yes"),"")</f>
        <v>4</v>
      </c>
      <c r="AG1354" s="110" t="n">
        <f aca="false">IF(ISNUMBER(I1354),COUNTIFS($B$7:$B$3000,B1354,$C$7:$C$3000,C1354,$I$7:$I$3000,"&lt;"&amp;I1354,$AI$7:$AI$3000,"yes")+COUNTIFS($B$7:B1354,B1354,$C$7:C1354,C1354,$I$7:I1354,I1354,$AI$7:AI1354,"yes"),"")</f>
        <v>4</v>
      </c>
      <c r="AH1354" s="110" t="str">
        <f aca="false">IF(ISNUMBER(H1354),"yes","no")</f>
        <v>yes</v>
      </c>
      <c r="AI1354" s="110" t="str">
        <f aca="false">IF(ISNUMBER(I1354),"yes","no")</f>
        <v>yes</v>
      </c>
      <c r="AJ1354" s="120" t="n">
        <v>46297</v>
      </c>
      <c r="AK1354" s="110"/>
    </row>
    <row r="1355" customFormat="false" ht="23.85" hidden="false" customHeight="false" outlineLevel="0" collapsed="false">
      <c r="B1355" s="36" t="s">
        <v>82</v>
      </c>
      <c r="C1355" s="98" t="s">
        <v>18</v>
      </c>
      <c r="D1355" s="98" t="s">
        <v>3007</v>
      </c>
      <c r="E1355" s="110" t="s">
        <v>4292</v>
      </c>
      <c r="F1355" s="99" t="n">
        <v>2.48</v>
      </c>
      <c r="G1355" s="98" t="s">
        <v>244</v>
      </c>
      <c r="H1355" s="112" t="n">
        <f aca="false">IF(AND(AE1355="yes",ISNUMBER(AD1355)),AD1355,"")</f>
        <v>2.48</v>
      </c>
      <c r="I1355" s="95" t="n">
        <f aca="false">IF(AND(AE1355="yes",ISNUMBER(AD1355),ISNUMBER(INDEX(Sources!$G$7:$G$10,MATCH(AB1355,Sources!$B$7:$B$10,0)))),ROUND(AD1355/INDEX(Sources!$G$7:$G$10,MATCH(AB1355,Sources!$B$7:$B$10,0)),6),"")</f>
        <v>2.48</v>
      </c>
      <c r="J1355" s="98" t="s">
        <v>530</v>
      </c>
      <c r="K1355" s="98" t="s">
        <v>2059</v>
      </c>
      <c r="L1355" s="96"/>
      <c r="M1355" s="110" t="s">
        <v>4293</v>
      </c>
      <c r="N1355" s="117" t="s">
        <v>3010</v>
      </c>
      <c r="O1355" s="110" t="s">
        <v>3011</v>
      </c>
      <c r="P1355" s="110" t="s">
        <v>590</v>
      </c>
      <c r="Q1355" s="118" t="n">
        <v>0.23</v>
      </c>
      <c r="R1355" s="110" t="n">
        <v>1</v>
      </c>
      <c r="S1355" s="110" t="s">
        <v>632</v>
      </c>
      <c r="T1355" s="110" t="s">
        <v>530</v>
      </c>
      <c r="U1355" s="110" t="s">
        <v>2913</v>
      </c>
      <c r="V1355" s="119" t="n">
        <v>2.48</v>
      </c>
      <c r="W1355" s="119"/>
      <c r="X1355" s="110" t="s">
        <v>2063</v>
      </c>
      <c r="Y1355" s="110" t="s">
        <v>2064</v>
      </c>
      <c r="Z1355" s="110" t="s">
        <v>3012</v>
      </c>
      <c r="AA1355" s="110" t="s">
        <v>537</v>
      </c>
      <c r="AB1355" s="110" t="s">
        <v>244</v>
      </c>
      <c r="AC1355" s="110" t="s">
        <v>538</v>
      </c>
      <c r="AD1355" s="110" t="n">
        <f aca="false">IF(OR(F1355="",Q1355="",R1355=""),"",ROUND(IF(P1355="incl.",F1355/(1+Q1355),F1355)/IF(S1355="per pack",R1355,1),2))</f>
        <v>2.48</v>
      </c>
      <c r="AE1355" s="110" t="str">
        <f aca="false">IF(AND(AC1355="yes",ISNUMBER(F1355),IF(Compare!$H$5="All mapped",TRUE(),IF(Compare!$H$5="EXACT only",J1355="EXACT",OR(J1355="EXACT",J1355="CLOSE")))),"yes","no")</f>
        <v>yes</v>
      </c>
      <c r="AF1355" s="110" t="n">
        <f aca="false">IF(ISNUMBER(H1355),COUNTIFS($B$7:$B$3000,B1355,$C$7:$C$3000,C1355,$H$7:$H$3000,"&lt;"&amp;H1355,$AH$7:$AH$3000,"yes")+COUNTIFS($B$7:B1355,B1355,$C$7:C1355,C1355,$H$7:H1355,H1355,$AH$7:AH1355,"yes"),"")</f>
        <v>3</v>
      </c>
      <c r="AG1355" s="110" t="n">
        <f aca="false">IF(ISNUMBER(I1355),COUNTIFS($B$7:$B$3000,B1355,$C$7:$C$3000,C1355,$I$7:$I$3000,"&lt;"&amp;I1355,$AI$7:$AI$3000,"yes")+COUNTIFS($B$7:B1355,B1355,$C$7:C1355,C1355,$I$7:I1355,I1355,$AI$7:AI1355,"yes"),"")</f>
        <v>3</v>
      </c>
      <c r="AH1355" s="110" t="str">
        <f aca="false">IF(ISNUMBER(H1355),"yes","no")</f>
        <v>yes</v>
      </c>
      <c r="AI1355" s="110" t="str">
        <f aca="false">IF(ISNUMBER(I1355),"yes","no")</f>
        <v>yes</v>
      </c>
      <c r="AJ1355" s="120" t="n">
        <v>46297</v>
      </c>
      <c r="AK1355" s="110"/>
    </row>
    <row r="1356" customFormat="false" ht="35.05" hidden="false" customHeight="false" outlineLevel="0" collapsed="false">
      <c r="B1356" s="36" t="s">
        <v>82</v>
      </c>
      <c r="C1356" s="98" t="s">
        <v>18</v>
      </c>
      <c r="D1356" s="98" t="s">
        <v>365</v>
      </c>
      <c r="E1356" s="110" t="s">
        <v>4294</v>
      </c>
      <c r="F1356" s="99" t="n">
        <v>2.11</v>
      </c>
      <c r="G1356" s="98" t="s">
        <v>244</v>
      </c>
      <c r="H1356" s="112" t="n">
        <f aca="false">IF(AND(AE1356="yes",ISNUMBER(AD1356)),AD1356,"")</f>
        <v>1.72</v>
      </c>
      <c r="I1356" s="95" t="n">
        <f aca="false">IF(AND(AE1356="yes",ISNUMBER(AD1356),ISNUMBER(INDEX(Sources!$G$7:$G$10,MATCH(AB1356,Sources!$B$7:$B$10,0)))),ROUND(AD1356/INDEX(Sources!$G$7:$G$10,MATCH(AB1356,Sources!$B$7:$B$10,0)),6),"")</f>
        <v>1.72</v>
      </c>
      <c r="J1356" s="98" t="s">
        <v>530</v>
      </c>
      <c r="K1356" s="98" t="s">
        <v>2059</v>
      </c>
      <c r="L1356" s="96"/>
      <c r="M1356" s="110" t="s">
        <v>4295</v>
      </c>
      <c r="N1356" s="117" t="s">
        <v>4296</v>
      </c>
      <c r="O1356" s="110" t="s">
        <v>3015</v>
      </c>
      <c r="P1356" s="110" t="s">
        <v>265</v>
      </c>
      <c r="Q1356" s="118" t="n">
        <v>0.23</v>
      </c>
      <c r="R1356" s="110" t="n">
        <v>1</v>
      </c>
      <c r="S1356" s="110" t="s">
        <v>632</v>
      </c>
      <c r="T1356" s="110" t="s">
        <v>530</v>
      </c>
      <c r="U1356" s="110" t="s">
        <v>2918</v>
      </c>
      <c r="V1356" s="119" t="n">
        <v>1.72</v>
      </c>
      <c r="W1356" s="119"/>
      <c r="X1356" s="110" t="s">
        <v>2063</v>
      </c>
      <c r="Y1356" s="110" t="s">
        <v>2064</v>
      </c>
      <c r="Z1356" s="110" t="s">
        <v>3016</v>
      </c>
      <c r="AA1356" s="110" t="s">
        <v>537</v>
      </c>
      <c r="AB1356" s="110" t="s">
        <v>244</v>
      </c>
      <c r="AC1356" s="110" t="s">
        <v>538</v>
      </c>
      <c r="AD1356" s="110" t="n">
        <f aca="false">IF(OR(F1356="",Q1356="",R1356=""),"",ROUND(IF(P1356="incl.",F1356/(1+Q1356),F1356)/IF(S1356="per pack",R1356,1),2))</f>
        <v>1.72</v>
      </c>
      <c r="AE1356" s="110" t="str">
        <f aca="false">IF(AND(AC1356="yes",ISNUMBER(F1356),IF(Compare!$H$5="All mapped",TRUE(),IF(Compare!$H$5="EXACT only",J1356="EXACT",OR(J1356="EXACT",J1356="CLOSE")))),"yes","no")</f>
        <v>yes</v>
      </c>
      <c r="AF1356" s="110" t="n">
        <f aca="false">IF(ISNUMBER(H1356),COUNTIFS($B$7:$B$3000,B1356,$C$7:$C$3000,C1356,$H$7:$H$3000,"&lt;"&amp;H1356,$AH$7:$AH$3000,"yes")+COUNTIFS($B$7:B1356,B1356,$C$7:C1356,C1356,$H$7:H1356,H1356,$AH$7:AH1356,"yes"),"")</f>
        <v>1</v>
      </c>
      <c r="AG1356" s="110" t="n">
        <f aca="false">IF(ISNUMBER(I1356),COUNTIFS($B$7:$B$3000,B1356,$C$7:$C$3000,C1356,$I$7:$I$3000,"&lt;"&amp;I1356,$AI$7:$AI$3000,"yes")+COUNTIFS($B$7:B1356,B1356,$C$7:C1356,C1356,$I$7:I1356,I1356,$AI$7:AI1356,"yes"),"")</f>
        <v>1</v>
      </c>
      <c r="AH1356" s="110" t="str">
        <f aca="false">IF(ISNUMBER(H1356),"yes","no")</f>
        <v>yes</v>
      </c>
      <c r="AI1356" s="110" t="str">
        <f aca="false">IF(ISNUMBER(I1356),"yes","no")</f>
        <v>yes</v>
      </c>
      <c r="AJ1356" s="120" t="n">
        <v>46297</v>
      </c>
      <c r="AK1356" s="110"/>
    </row>
    <row r="1357" customFormat="false" ht="35.05" hidden="false" customHeight="false" outlineLevel="0" collapsed="false">
      <c r="B1357" s="36" t="s">
        <v>82</v>
      </c>
      <c r="C1357" s="98" t="s">
        <v>18</v>
      </c>
      <c r="D1357" s="98" t="s">
        <v>369</v>
      </c>
      <c r="E1357" s="110" t="s">
        <v>4297</v>
      </c>
      <c r="F1357" s="99" t="n">
        <v>8.54</v>
      </c>
      <c r="G1357" s="98" t="s">
        <v>244</v>
      </c>
      <c r="H1357" s="112" t="n">
        <f aca="false">IF(AND(AE1357="yes",ISNUMBER(AD1357)),AD1357,"")</f>
        <v>6.94</v>
      </c>
      <c r="I1357" s="95" t="n">
        <f aca="false">IF(AND(AE1357="yes",ISNUMBER(AD1357),ISNUMBER(INDEX(Sources!$G$7:$G$10,MATCH(AB1357,Sources!$B$7:$B$10,0)))),ROUND(AD1357/INDEX(Sources!$G$7:$G$10,MATCH(AB1357,Sources!$B$7:$B$10,0)),6),"")</f>
        <v>6.94</v>
      </c>
      <c r="J1357" s="98" t="s">
        <v>530</v>
      </c>
      <c r="K1357" s="98" t="s">
        <v>2059</v>
      </c>
      <c r="L1357" s="96"/>
      <c r="M1357" s="110" t="s">
        <v>4298</v>
      </c>
      <c r="N1357" s="117" t="s">
        <v>4299</v>
      </c>
      <c r="O1357" s="110" t="s">
        <v>783</v>
      </c>
      <c r="P1357" s="110" t="s">
        <v>265</v>
      </c>
      <c r="Q1357" s="118" t="n">
        <v>0.23</v>
      </c>
      <c r="R1357" s="110" t="n">
        <v>1</v>
      </c>
      <c r="S1357" s="110" t="s">
        <v>632</v>
      </c>
      <c r="T1357" s="110" t="s">
        <v>530</v>
      </c>
      <c r="U1357" s="110" t="s">
        <v>2918</v>
      </c>
      <c r="V1357" s="119" t="n">
        <v>6.94</v>
      </c>
      <c r="W1357" s="119"/>
      <c r="X1357" s="110" t="s">
        <v>2063</v>
      </c>
      <c r="Y1357" s="110" t="s">
        <v>2064</v>
      </c>
      <c r="Z1357" s="110" t="s">
        <v>4300</v>
      </c>
      <c r="AA1357" s="110" t="s">
        <v>537</v>
      </c>
      <c r="AB1357" s="110" t="s">
        <v>244</v>
      </c>
      <c r="AC1357" s="110" t="s">
        <v>538</v>
      </c>
      <c r="AD1357" s="110" t="n">
        <f aca="false">IF(OR(F1357="",Q1357="",R1357=""),"",ROUND(IF(P1357="incl.",F1357/(1+Q1357),F1357)/IF(S1357="per pack",R1357,1),2))</f>
        <v>6.94</v>
      </c>
      <c r="AE1357" s="110" t="str">
        <f aca="false">IF(AND(AC1357="yes",ISNUMBER(F1357),IF(Compare!$H$5="All mapped",TRUE(),IF(Compare!$H$5="EXACT only",J1357="EXACT",OR(J1357="EXACT",J1357="CLOSE")))),"yes","no")</f>
        <v>yes</v>
      </c>
      <c r="AF1357" s="110" t="n">
        <f aca="false">IF(ISNUMBER(H1357),COUNTIFS($B$7:$B$3000,B1357,$C$7:$C$3000,C1357,$H$7:$H$3000,"&lt;"&amp;H1357,$AH$7:$AH$3000,"yes")+COUNTIFS($B$7:B1357,B1357,$C$7:C1357,C1357,$H$7:H1357,H1357,$AH$7:AH1357,"yes"),"")</f>
        <v>5</v>
      </c>
      <c r="AG1357" s="110" t="n">
        <f aca="false">IF(ISNUMBER(I1357),COUNTIFS($B$7:$B$3000,B1357,$C$7:$C$3000,C1357,$I$7:$I$3000,"&lt;"&amp;I1357,$AI$7:$AI$3000,"yes")+COUNTIFS($B$7:B1357,B1357,$C$7:C1357,C1357,$I$7:I1357,I1357,$AI$7:AI1357,"yes"),"")</f>
        <v>5</v>
      </c>
      <c r="AH1357" s="110" t="str">
        <f aca="false">IF(ISNUMBER(H1357),"yes","no")</f>
        <v>yes</v>
      </c>
      <c r="AI1357" s="110" t="str">
        <f aca="false">IF(ISNUMBER(I1357),"yes","no")</f>
        <v>yes</v>
      </c>
      <c r="AJ1357" s="120" t="n">
        <v>46297</v>
      </c>
      <c r="AK1357" s="110"/>
    </row>
    <row r="1358" customFormat="false" ht="35.05" hidden="false" customHeight="false" outlineLevel="0" collapsed="false">
      <c r="B1358" s="36" t="s">
        <v>82</v>
      </c>
      <c r="C1358" s="98" t="s">
        <v>18</v>
      </c>
      <c r="D1358" s="98" t="s">
        <v>3021</v>
      </c>
      <c r="E1358" s="110" t="s">
        <v>4286</v>
      </c>
      <c r="F1358" s="99" t="n">
        <v>1.88</v>
      </c>
      <c r="G1358" s="98" t="s">
        <v>244</v>
      </c>
      <c r="H1358" s="112" t="n">
        <f aca="false">IF(AND(AE1358="yes",ISNUMBER(AD1358)),AD1358,"")</f>
        <v>1.88</v>
      </c>
      <c r="I1358" s="95" t="n">
        <f aca="false">IF(AND(AE1358="yes",ISNUMBER(AD1358),ISNUMBER(INDEX(Sources!$G$7:$G$10,MATCH(AB1358,Sources!$B$7:$B$10,0)))),ROUND(AD1358/INDEX(Sources!$G$7:$G$10,MATCH(AB1358,Sources!$B$7:$B$10,0)),6),"")</f>
        <v>1.88</v>
      </c>
      <c r="J1358" s="98" t="s">
        <v>530</v>
      </c>
      <c r="K1358" s="98" t="s">
        <v>2059</v>
      </c>
      <c r="L1358" s="96"/>
      <c r="M1358" s="110" t="s">
        <v>4301</v>
      </c>
      <c r="N1358" s="117" t="s">
        <v>3023</v>
      </c>
      <c r="O1358" s="110" t="s">
        <v>3024</v>
      </c>
      <c r="P1358" s="110" t="s">
        <v>590</v>
      </c>
      <c r="Q1358" s="118" t="n">
        <v>0.23</v>
      </c>
      <c r="R1358" s="110" t="n">
        <v>1</v>
      </c>
      <c r="S1358" s="110" t="s">
        <v>632</v>
      </c>
      <c r="T1358" s="110" t="s">
        <v>530</v>
      </c>
      <c r="U1358" s="110" t="s">
        <v>2913</v>
      </c>
      <c r="V1358" s="119" t="n">
        <v>1.88</v>
      </c>
      <c r="W1358" s="119"/>
      <c r="X1358" s="110" t="s">
        <v>2063</v>
      </c>
      <c r="Y1358" s="110" t="s">
        <v>2064</v>
      </c>
      <c r="Z1358" s="110" t="s">
        <v>3025</v>
      </c>
      <c r="AA1358" s="110" t="s">
        <v>537</v>
      </c>
      <c r="AB1358" s="110" t="s">
        <v>244</v>
      </c>
      <c r="AC1358" s="110" t="s">
        <v>538</v>
      </c>
      <c r="AD1358" s="110" t="n">
        <f aca="false">IF(OR(F1358="",Q1358="",R1358=""),"",ROUND(IF(P1358="incl.",F1358/(1+Q1358),F1358)/IF(S1358="per pack",R1358,1),2))</f>
        <v>1.88</v>
      </c>
      <c r="AE1358" s="110" t="str">
        <f aca="false">IF(AND(AC1358="yes",ISNUMBER(F1358),IF(Compare!$H$5="All mapped",TRUE(),IF(Compare!$H$5="EXACT only",J1358="EXACT",OR(J1358="EXACT",J1358="CLOSE")))),"yes","no")</f>
        <v>yes</v>
      </c>
      <c r="AF1358" s="110" t="n">
        <f aca="false">IF(ISNUMBER(H1358),COUNTIFS($B$7:$B$3000,B1358,$C$7:$C$3000,C1358,$H$7:$H$3000,"&lt;"&amp;H1358,$AH$7:$AH$3000,"yes")+COUNTIFS($B$7:B1358,B1358,$C$7:C1358,C1358,$H$7:H1358,H1358,$AH$7:AH1358,"yes"),"")</f>
        <v>2</v>
      </c>
      <c r="AG1358" s="110" t="n">
        <f aca="false">IF(ISNUMBER(I1358),COUNTIFS($B$7:$B$3000,B1358,$C$7:$C$3000,C1358,$I$7:$I$3000,"&lt;"&amp;I1358,$AI$7:$AI$3000,"yes")+COUNTIFS($B$7:B1358,B1358,$C$7:C1358,C1358,$I$7:I1358,I1358,$AI$7:AI1358,"yes"),"")</f>
        <v>2</v>
      </c>
      <c r="AH1358" s="110" t="str">
        <f aca="false">IF(ISNUMBER(H1358),"yes","no")</f>
        <v>yes</v>
      </c>
      <c r="AI1358" s="110" t="str">
        <f aca="false">IF(ISNUMBER(I1358),"yes","no")</f>
        <v>yes</v>
      </c>
      <c r="AJ1358" s="120" t="n">
        <v>46297</v>
      </c>
      <c r="AK1358" s="110"/>
    </row>
    <row r="1359" customFormat="false" ht="35.05" hidden="false" customHeight="false" outlineLevel="0" collapsed="false">
      <c r="B1359" s="36" t="s">
        <v>83</v>
      </c>
      <c r="C1359" s="98" t="s">
        <v>14</v>
      </c>
      <c r="D1359" s="98" t="s">
        <v>346</v>
      </c>
      <c r="E1359" s="110" t="s">
        <v>4302</v>
      </c>
      <c r="F1359" s="99" t="n">
        <v>29.99</v>
      </c>
      <c r="G1359" s="98" t="s">
        <v>374</v>
      </c>
      <c r="H1359" s="112" t="n">
        <f aca="false">IF(AND(AE1359="yes",ISNUMBER(AD1359)),AD1359,"")</f>
        <v>24.79</v>
      </c>
      <c r="I1359" s="95" t="n">
        <f aca="false">IF(AND(AE1359="yes",ISNUMBER(AD1359),ISNUMBER(INDEX(Sources!$G$7:$G$10,MATCH(AB1359,Sources!$B$7:$B$10,0)))),ROUND(AD1359/INDEX(Sources!$G$7:$G$10,MATCH(AB1359,Sources!$B$7:$B$10,0)),6),"")</f>
        <v>4.697174</v>
      </c>
      <c r="J1359" s="98" t="s">
        <v>530</v>
      </c>
      <c r="K1359" s="98" t="s">
        <v>2059</v>
      </c>
      <c r="L1359" s="96"/>
      <c r="M1359" s="110" t="s">
        <v>4303</v>
      </c>
      <c r="N1359" s="117" t="s">
        <v>4304</v>
      </c>
      <c r="O1359" s="110" t="s">
        <v>565</v>
      </c>
      <c r="P1359" s="110" t="s">
        <v>265</v>
      </c>
      <c r="Q1359" s="118" t="n">
        <v>0.21</v>
      </c>
      <c r="R1359" s="110" t="n">
        <v>1</v>
      </c>
      <c r="S1359" s="110" t="s">
        <v>632</v>
      </c>
      <c r="T1359" s="110" t="s">
        <v>530</v>
      </c>
      <c r="U1359" s="110" t="s">
        <v>2918</v>
      </c>
      <c r="V1359" s="119" t="n">
        <v>24.79</v>
      </c>
      <c r="W1359" s="119"/>
      <c r="X1359" s="110" t="s">
        <v>2063</v>
      </c>
      <c r="Y1359" s="110" t="s">
        <v>2064</v>
      </c>
      <c r="Z1359" s="110"/>
      <c r="AA1359" s="110" t="s">
        <v>537</v>
      </c>
      <c r="AB1359" s="110" t="s">
        <v>374</v>
      </c>
      <c r="AC1359" s="110" t="s">
        <v>538</v>
      </c>
      <c r="AD1359" s="110" t="n">
        <f aca="false">IF(OR(F1359="",Q1359="",R1359=""),"",ROUND(IF(P1359="incl.",F1359/(1+Q1359),F1359)/IF(S1359="per pack",R1359,1),2))</f>
        <v>24.79</v>
      </c>
      <c r="AE1359" s="110" t="str">
        <f aca="false">IF(AND(AC1359="yes",ISNUMBER(F1359),IF(Compare!$H$5="All mapped",TRUE(),IF(Compare!$H$5="EXACT only",J1359="EXACT",OR(J1359="EXACT",J1359="CLOSE")))),"yes","no")</f>
        <v>yes</v>
      </c>
      <c r="AF1359" s="110" t="n">
        <f aca="false">IF(ISNUMBER(H1359),COUNTIFS($B$7:$B$3000,B1359,$C$7:$C$3000,C1359,$H$7:$H$3000,"&lt;"&amp;H1359,$AH$7:$AH$3000,"yes")+COUNTIFS($B$7:B1359,B1359,$C$7:C1359,C1359,$H$7:H1359,H1359,$AH$7:AH1359,"yes"),"")</f>
        <v>2</v>
      </c>
      <c r="AG1359" s="110" t="n">
        <f aca="false">IF(ISNUMBER(I1359),COUNTIFS($B$7:$B$3000,B1359,$C$7:$C$3000,C1359,$I$7:$I$3000,"&lt;"&amp;I1359,$AI$7:$AI$3000,"yes")+COUNTIFS($B$7:B1359,B1359,$C$7:C1359,C1359,$I$7:I1359,I1359,$AI$7:AI1359,"yes"),"")</f>
        <v>2</v>
      </c>
      <c r="AH1359" s="110" t="str">
        <f aca="false">IF(ISNUMBER(H1359),"yes","no")</f>
        <v>yes</v>
      </c>
      <c r="AI1359" s="110" t="str">
        <f aca="false">IF(ISNUMBER(I1359),"yes","no")</f>
        <v>yes</v>
      </c>
      <c r="AJ1359" s="120" t="n">
        <v>46297</v>
      </c>
      <c r="AK1359" s="110"/>
    </row>
    <row r="1360" customFormat="false" ht="23.85" hidden="false" customHeight="false" outlineLevel="0" collapsed="false">
      <c r="B1360" s="36" t="s">
        <v>83</v>
      </c>
      <c r="C1360" s="98" t="s">
        <v>14</v>
      </c>
      <c r="D1360" s="98" t="s">
        <v>395</v>
      </c>
      <c r="E1360" s="110" t="s">
        <v>4305</v>
      </c>
      <c r="F1360" s="99" t="n">
        <v>2.69</v>
      </c>
      <c r="G1360" s="98" t="s">
        <v>244</v>
      </c>
      <c r="H1360" s="112" t="n">
        <f aca="false">IF(AND(AE1360="yes",ISNUMBER(AD1360)),AD1360,"")</f>
        <v>2.69</v>
      </c>
      <c r="I1360" s="95" t="n">
        <f aca="false">IF(AND(AE1360="yes",ISNUMBER(AD1360),ISNUMBER(INDEX(Sources!$G$7:$G$10,MATCH(AB1360,Sources!$B$7:$B$10,0)))),ROUND(AD1360/INDEX(Sources!$G$7:$G$10,MATCH(AB1360,Sources!$B$7:$B$10,0)),6),"")</f>
        <v>2.69</v>
      </c>
      <c r="J1360" s="98" t="s">
        <v>530</v>
      </c>
      <c r="K1360" s="98" t="s">
        <v>2059</v>
      </c>
      <c r="L1360" s="96"/>
      <c r="M1360" s="110" t="s">
        <v>4306</v>
      </c>
      <c r="N1360" s="117" t="s">
        <v>4307</v>
      </c>
      <c r="O1360" s="110"/>
      <c r="P1360" s="110" t="s">
        <v>590</v>
      </c>
      <c r="Q1360" s="118" t="n">
        <v>0.21</v>
      </c>
      <c r="R1360" s="110" t="n">
        <v>1</v>
      </c>
      <c r="S1360" s="110" t="s">
        <v>632</v>
      </c>
      <c r="T1360" s="110" t="s">
        <v>530</v>
      </c>
      <c r="U1360" s="110" t="s">
        <v>2913</v>
      </c>
      <c r="V1360" s="119" t="n">
        <v>2.69</v>
      </c>
      <c r="W1360" s="119"/>
      <c r="X1360" s="110" t="s">
        <v>2063</v>
      </c>
      <c r="Y1360" s="110" t="s">
        <v>2064</v>
      </c>
      <c r="Z1360" s="110" t="s">
        <v>2925</v>
      </c>
      <c r="AA1360" s="110" t="s">
        <v>537</v>
      </c>
      <c r="AB1360" s="110" t="s">
        <v>244</v>
      </c>
      <c r="AC1360" s="110" t="s">
        <v>538</v>
      </c>
      <c r="AD1360" s="110" t="n">
        <f aca="false">IF(OR(F1360="",Q1360="",R1360=""),"",ROUND(IF(P1360="incl.",F1360/(1+Q1360),F1360)/IF(S1360="per pack",R1360,1),2))</f>
        <v>2.69</v>
      </c>
      <c r="AE1360" s="110" t="str">
        <f aca="false">IF(AND(AC1360="yes",ISNUMBER(F1360),IF(Compare!$H$5="All mapped",TRUE(),IF(Compare!$H$5="EXACT only",J1360="EXACT",OR(J1360="EXACT",J1360="CLOSE")))),"yes","no")</f>
        <v>yes</v>
      </c>
      <c r="AF1360" s="110" t="n">
        <f aca="false">IF(ISNUMBER(H1360),COUNTIFS($B$7:$B$3000,B1360,$C$7:$C$3000,C1360,$H$7:$H$3000,"&lt;"&amp;H1360,$AH$7:$AH$3000,"yes")+COUNTIFS($B$7:B1360,B1360,$C$7:C1360,C1360,$H$7:H1360,H1360,$AH$7:AH1360,"yes"),"")</f>
        <v>1</v>
      </c>
      <c r="AG1360" s="110" t="n">
        <f aca="false">IF(ISNUMBER(I1360),COUNTIFS($B$7:$B$3000,B1360,$C$7:$C$3000,C1360,$I$7:$I$3000,"&lt;"&amp;I1360,$AI$7:$AI$3000,"yes")+COUNTIFS($B$7:B1360,B1360,$C$7:C1360,C1360,$I$7:I1360,I1360,$AI$7:AI1360,"yes"),"")</f>
        <v>1</v>
      </c>
      <c r="AH1360" s="110" t="str">
        <f aca="false">IF(ISNUMBER(H1360),"yes","no")</f>
        <v>yes</v>
      </c>
      <c r="AI1360" s="110" t="str">
        <f aca="false">IF(ISNUMBER(I1360),"yes","no")</f>
        <v>yes</v>
      </c>
      <c r="AJ1360" s="120" t="n">
        <v>46297</v>
      </c>
      <c r="AK1360" s="110"/>
    </row>
    <row r="1361" customFormat="false" ht="46.25" hidden="false" customHeight="false" outlineLevel="0" collapsed="false">
      <c r="B1361" s="36" t="s">
        <v>83</v>
      </c>
      <c r="C1361" s="98" t="s">
        <v>17</v>
      </c>
      <c r="D1361" s="98" t="s">
        <v>346</v>
      </c>
      <c r="E1361" s="110" t="s">
        <v>4308</v>
      </c>
      <c r="F1361" s="99" t="n">
        <v>120</v>
      </c>
      <c r="G1361" s="98" t="s">
        <v>333</v>
      </c>
      <c r="H1361" s="112" t="n">
        <f aca="false">IF(AND(AE1361="yes",ISNUMBER(AD1361)),AD1361,"")</f>
        <v>120</v>
      </c>
      <c r="I1361" s="95" t="n">
        <f aca="false">IF(AND(AE1361="yes",ISNUMBER(AD1361),ISNUMBER(INDEX(Sources!$G$7:$G$10,MATCH(AB1361,Sources!$B$7:$B$10,0)))),ROUND(AD1361/INDEX(Sources!$G$7:$G$10,MATCH(AB1361,Sources!$B$7:$B$10,0)),6),"")</f>
        <v>4.913277</v>
      </c>
      <c r="J1361" s="98" t="s">
        <v>530</v>
      </c>
      <c r="K1361" s="98" t="s">
        <v>2059</v>
      </c>
      <c r="L1361" s="96"/>
      <c r="M1361" s="110" t="s">
        <v>4309</v>
      </c>
      <c r="N1361" s="117" t="s">
        <v>4310</v>
      </c>
      <c r="O1361" s="110" t="s">
        <v>565</v>
      </c>
      <c r="P1361" s="110" t="s">
        <v>590</v>
      </c>
      <c r="Q1361" s="118" t="n">
        <v>0.21</v>
      </c>
      <c r="R1361" s="110" t="n">
        <v>1</v>
      </c>
      <c r="S1361" s="110" t="s">
        <v>632</v>
      </c>
      <c r="T1361" s="110" t="s">
        <v>530</v>
      </c>
      <c r="U1361" s="110" t="s">
        <v>2913</v>
      </c>
      <c r="V1361" s="119" t="n">
        <v>120</v>
      </c>
      <c r="W1361" s="119"/>
      <c r="X1361" s="110" t="s">
        <v>2063</v>
      </c>
      <c r="Y1361" s="110" t="s">
        <v>2064</v>
      </c>
      <c r="Z1361" s="110" t="s">
        <v>2993</v>
      </c>
      <c r="AA1361" s="110" t="s">
        <v>537</v>
      </c>
      <c r="AB1361" s="110" t="s">
        <v>333</v>
      </c>
      <c r="AC1361" s="110" t="s">
        <v>538</v>
      </c>
      <c r="AD1361" s="110" t="n">
        <f aca="false">IF(OR(F1361="",Q1361="",R1361=""),"",ROUND(IF(P1361="incl.",F1361/(1+Q1361),F1361)/IF(S1361="per pack",R1361,1),2))</f>
        <v>120</v>
      </c>
      <c r="AE1361" s="110" t="str">
        <f aca="false">IF(AND(AC1361="yes",ISNUMBER(F1361),IF(Compare!$H$5="All mapped",TRUE(),IF(Compare!$H$5="EXACT only",J1361="EXACT",OR(J1361="EXACT",J1361="CLOSE")))),"yes","no")</f>
        <v>yes</v>
      </c>
      <c r="AF1361" s="110" t="n">
        <f aca="false">IF(ISNUMBER(H1361),COUNTIFS($B$7:$B$3000,B1361,$C$7:$C$3000,C1361,$H$7:$H$3000,"&lt;"&amp;H1361,$AH$7:$AH$3000,"yes")+COUNTIFS($B$7:B1361,B1361,$C$7:C1361,C1361,$H$7:H1361,H1361,$AH$7:AH1361,"yes"),"")</f>
        <v>1</v>
      </c>
      <c r="AG1361" s="110" t="n">
        <f aca="false">IF(ISNUMBER(I1361),COUNTIFS($B$7:$B$3000,B1361,$C$7:$C$3000,C1361,$I$7:$I$3000,"&lt;"&amp;I1361,$AI$7:$AI$3000,"yes")+COUNTIFS($B$7:B1361,B1361,$C$7:C1361,C1361,$I$7:I1361,I1361,$AI$7:AI1361,"yes"),"")</f>
        <v>1</v>
      </c>
      <c r="AH1361" s="110" t="str">
        <f aca="false">IF(ISNUMBER(H1361),"yes","no")</f>
        <v>yes</v>
      </c>
      <c r="AI1361" s="110" t="str">
        <f aca="false">IF(ISNUMBER(I1361),"yes","no")</f>
        <v>yes</v>
      </c>
      <c r="AJ1361" s="120" t="n">
        <v>46297</v>
      </c>
      <c r="AK1361" s="110"/>
    </row>
    <row r="1362" customFormat="false" ht="23.85" hidden="false" customHeight="false" outlineLevel="0" collapsed="false">
      <c r="B1362" s="36" t="s">
        <v>83</v>
      </c>
      <c r="C1362" s="98" t="s">
        <v>17</v>
      </c>
      <c r="D1362" s="98" t="s">
        <v>361</v>
      </c>
      <c r="E1362" s="110" t="s">
        <v>4311</v>
      </c>
      <c r="F1362" s="99" t="n">
        <v>225</v>
      </c>
      <c r="G1362" s="98" t="s">
        <v>333</v>
      </c>
      <c r="H1362" s="112" t="n">
        <f aca="false">IF(AND(AE1362="yes",ISNUMBER(AD1362)),AD1362,"")</f>
        <v>225</v>
      </c>
      <c r="I1362" s="95" t="n">
        <f aca="false">IF(AND(AE1362="yes",ISNUMBER(AD1362),ISNUMBER(INDEX(Sources!$G$7:$G$10,MATCH(AB1362,Sources!$B$7:$B$10,0)))),ROUND(AD1362/INDEX(Sources!$G$7:$G$10,MATCH(AB1362,Sources!$B$7:$B$10,0)),6),"")</f>
        <v>9.212395</v>
      </c>
      <c r="J1362" s="98" t="s">
        <v>530</v>
      </c>
      <c r="K1362" s="98" t="s">
        <v>2059</v>
      </c>
      <c r="L1362" s="96"/>
      <c r="M1362" s="110" t="s">
        <v>4312</v>
      </c>
      <c r="N1362" s="117" t="s">
        <v>4313</v>
      </c>
      <c r="O1362" s="110" t="s">
        <v>642</v>
      </c>
      <c r="P1362" s="110" t="s">
        <v>590</v>
      </c>
      <c r="Q1362" s="118" t="n">
        <v>0.21</v>
      </c>
      <c r="R1362" s="110" t="n">
        <v>1</v>
      </c>
      <c r="S1362" s="110" t="s">
        <v>632</v>
      </c>
      <c r="T1362" s="110" t="s">
        <v>530</v>
      </c>
      <c r="U1362" s="110" t="s">
        <v>2913</v>
      </c>
      <c r="V1362" s="119" t="n">
        <v>225</v>
      </c>
      <c r="W1362" s="119"/>
      <c r="X1362" s="110" t="s">
        <v>2063</v>
      </c>
      <c r="Y1362" s="110" t="s">
        <v>2064</v>
      </c>
      <c r="Z1362" s="110" t="s">
        <v>2534</v>
      </c>
      <c r="AA1362" s="110" t="s">
        <v>537</v>
      </c>
      <c r="AB1362" s="110" t="s">
        <v>333</v>
      </c>
      <c r="AC1362" s="110" t="s">
        <v>538</v>
      </c>
      <c r="AD1362" s="110" t="n">
        <f aca="false">IF(OR(F1362="",Q1362="",R1362=""),"",ROUND(IF(P1362="incl.",F1362/(1+Q1362),F1362)/IF(S1362="per pack",R1362,1),2))</f>
        <v>225</v>
      </c>
      <c r="AE1362" s="110" t="str">
        <f aca="false">IF(AND(AC1362="yes",ISNUMBER(F1362),IF(Compare!$H$5="All mapped",TRUE(),IF(Compare!$H$5="EXACT only",J1362="EXACT",OR(J1362="EXACT",J1362="CLOSE")))),"yes","no")</f>
        <v>yes</v>
      </c>
      <c r="AF1362" s="110" t="n">
        <f aca="false">IF(ISNUMBER(H1362),COUNTIFS($B$7:$B$3000,B1362,$C$7:$C$3000,C1362,$H$7:$H$3000,"&lt;"&amp;H1362,$AH$7:$AH$3000,"yes")+COUNTIFS($B$7:B1362,B1362,$C$7:C1362,C1362,$H$7:H1362,H1362,$AH$7:AH1362,"yes"),"")</f>
        <v>2</v>
      </c>
      <c r="AG1362" s="110" t="n">
        <f aca="false">IF(ISNUMBER(I1362),COUNTIFS($B$7:$B$3000,B1362,$C$7:$C$3000,C1362,$I$7:$I$3000,"&lt;"&amp;I1362,$AI$7:$AI$3000,"yes")+COUNTIFS($B$7:B1362,B1362,$C$7:C1362,C1362,$I$7:I1362,I1362,$AI$7:AI1362,"yes"),"")</f>
        <v>2</v>
      </c>
      <c r="AH1362" s="110" t="str">
        <f aca="false">IF(ISNUMBER(H1362),"yes","no")</f>
        <v>yes</v>
      </c>
      <c r="AI1362" s="110" t="str">
        <f aca="false">IF(ISNUMBER(I1362),"yes","no")</f>
        <v>yes</v>
      </c>
      <c r="AJ1362" s="120" t="n">
        <v>46297</v>
      </c>
      <c r="AK1362" s="110"/>
    </row>
    <row r="1363" customFormat="false" ht="23.85" hidden="false" customHeight="false" outlineLevel="0" collapsed="false">
      <c r="B1363" s="36" t="s">
        <v>83</v>
      </c>
      <c r="C1363" s="98" t="s">
        <v>18</v>
      </c>
      <c r="D1363" s="98" t="s">
        <v>369</v>
      </c>
      <c r="E1363" s="110" t="s">
        <v>4314</v>
      </c>
      <c r="F1363" s="99" t="n">
        <v>5.49</v>
      </c>
      <c r="G1363" s="98" t="s">
        <v>244</v>
      </c>
      <c r="H1363" s="112" t="n">
        <f aca="false">IF(AND(AE1363="yes",ISNUMBER(AD1363)),AD1363,"")</f>
        <v>4.46</v>
      </c>
      <c r="I1363" s="95" t="n">
        <f aca="false">IF(AND(AE1363="yes",ISNUMBER(AD1363),ISNUMBER(INDEX(Sources!$G$7:$G$10,MATCH(AB1363,Sources!$B$7:$B$10,0)))),ROUND(AD1363/INDEX(Sources!$G$7:$G$10,MATCH(AB1363,Sources!$B$7:$B$10,0)),6),"")</f>
        <v>4.46</v>
      </c>
      <c r="J1363" s="98" t="s">
        <v>530</v>
      </c>
      <c r="K1363" s="98" t="s">
        <v>2059</v>
      </c>
      <c r="L1363" s="96"/>
      <c r="M1363" s="110" t="s">
        <v>4315</v>
      </c>
      <c r="N1363" s="117" t="s">
        <v>4316</v>
      </c>
      <c r="O1363" s="110" t="s">
        <v>565</v>
      </c>
      <c r="P1363" s="110" t="s">
        <v>265</v>
      </c>
      <c r="Q1363" s="118" t="n">
        <v>0.23</v>
      </c>
      <c r="R1363" s="110" t="n">
        <v>1</v>
      </c>
      <c r="S1363" s="110" t="s">
        <v>632</v>
      </c>
      <c r="T1363" s="110" t="s">
        <v>530</v>
      </c>
      <c r="U1363" s="110" t="s">
        <v>2918</v>
      </c>
      <c r="V1363" s="119" t="n">
        <v>4.46</v>
      </c>
      <c r="W1363" s="119"/>
      <c r="X1363" s="110" t="s">
        <v>2063</v>
      </c>
      <c r="Y1363" s="110" t="s">
        <v>2064</v>
      </c>
      <c r="Z1363" s="110" t="s">
        <v>4138</v>
      </c>
      <c r="AA1363" s="110" t="s">
        <v>537</v>
      </c>
      <c r="AB1363" s="110" t="s">
        <v>244</v>
      </c>
      <c r="AC1363" s="110" t="s">
        <v>538</v>
      </c>
      <c r="AD1363" s="110" t="n">
        <f aca="false">IF(OR(F1363="",Q1363="",R1363=""),"",ROUND(IF(P1363="incl.",F1363/(1+Q1363),F1363)/IF(S1363="per pack",R1363,1),2))</f>
        <v>4.46</v>
      </c>
      <c r="AE1363" s="110" t="str">
        <f aca="false">IF(AND(AC1363="yes",ISNUMBER(F1363),IF(Compare!$H$5="All mapped",TRUE(),IF(Compare!$H$5="EXACT only",J1363="EXACT",OR(J1363="EXACT",J1363="CLOSE")))),"yes","no")</f>
        <v>yes</v>
      </c>
      <c r="AF1363" s="110" t="n">
        <f aca="false">IF(ISNUMBER(H1363),COUNTIFS($B$7:$B$3000,B1363,$C$7:$C$3000,C1363,$H$7:$H$3000,"&lt;"&amp;H1363,$AH$7:$AH$3000,"yes")+COUNTIFS($B$7:B1363,B1363,$C$7:C1363,C1363,$H$7:H1363,H1363,$AH$7:AH1363,"yes"),"")</f>
        <v>1</v>
      </c>
      <c r="AG1363" s="110" t="n">
        <f aca="false">IF(ISNUMBER(I1363),COUNTIFS($B$7:$B$3000,B1363,$C$7:$C$3000,C1363,$I$7:$I$3000,"&lt;"&amp;I1363,$AI$7:$AI$3000,"yes")+COUNTIFS($B$7:B1363,B1363,$C$7:C1363,C1363,$I$7:I1363,I1363,$AI$7:AI1363,"yes"),"")</f>
        <v>1</v>
      </c>
      <c r="AH1363" s="110" t="str">
        <f aca="false">IF(ISNUMBER(H1363),"yes","no")</f>
        <v>yes</v>
      </c>
      <c r="AI1363" s="110" t="str">
        <f aca="false">IF(ISNUMBER(I1363),"yes","no")</f>
        <v>yes</v>
      </c>
      <c r="AJ1363" s="120" t="n">
        <v>46297</v>
      </c>
      <c r="AK1363" s="110"/>
    </row>
    <row r="1364" customFormat="false" ht="23.85" hidden="false" customHeight="false" outlineLevel="0" collapsed="false">
      <c r="B1364" s="36" t="s">
        <v>83</v>
      </c>
      <c r="C1364" s="98" t="s">
        <v>18</v>
      </c>
      <c r="D1364" s="98" t="s">
        <v>3021</v>
      </c>
      <c r="E1364" s="110" t="s">
        <v>4311</v>
      </c>
      <c r="F1364" s="99" t="n">
        <v>8.6</v>
      </c>
      <c r="G1364" s="98" t="s">
        <v>244</v>
      </c>
      <c r="H1364" s="112" t="n">
        <f aca="false">IF(AND(AE1364="yes",ISNUMBER(AD1364)),AD1364,"")</f>
        <v>8.6</v>
      </c>
      <c r="I1364" s="95" t="n">
        <f aca="false">IF(AND(AE1364="yes",ISNUMBER(AD1364),ISNUMBER(INDEX(Sources!$G$7:$G$10,MATCH(AB1364,Sources!$B$7:$B$10,0)))),ROUND(AD1364/INDEX(Sources!$G$7:$G$10,MATCH(AB1364,Sources!$B$7:$B$10,0)),6),"")</f>
        <v>8.6</v>
      </c>
      <c r="J1364" s="98" t="s">
        <v>530</v>
      </c>
      <c r="K1364" s="98" t="s">
        <v>2059</v>
      </c>
      <c r="L1364" s="96"/>
      <c r="M1364" s="110" t="s">
        <v>4317</v>
      </c>
      <c r="N1364" s="117" t="s">
        <v>3023</v>
      </c>
      <c r="O1364" s="110" t="s">
        <v>3024</v>
      </c>
      <c r="P1364" s="110" t="s">
        <v>590</v>
      </c>
      <c r="Q1364" s="118" t="n">
        <v>0.23</v>
      </c>
      <c r="R1364" s="110" t="n">
        <v>1</v>
      </c>
      <c r="S1364" s="110" t="s">
        <v>632</v>
      </c>
      <c r="T1364" s="110" t="s">
        <v>530</v>
      </c>
      <c r="U1364" s="110" t="s">
        <v>2913</v>
      </c>
      <c r="V1364" s="119" t="n">
        <v>8.6</v>
      </c>
      <c r="W1364" s="119"/>
      <c r="X1364" s="110" t="s">
        <v>2063</v>
      </c>
      <c r="Y1364" s="110" t="s">
        <v>2064</v>
      </c>
      <c r="Z1364" s="110" t="s">
        <v>3109</v>
      </c>
      <c r="AA1364" s="110" t="s">
        <v>537</v>
      </c>
      <c r="AB1364" s="110" t="s">
        <v>244</v>
      </c>
      <c r="AC1364" s="110" t="s">
        <v>538</v>
      </c>
      <c r="AD1364" s="110" t="n">
        <f aca="false">IF(OR(F1364="",Q1364="",R1364=""),"",ROUND(IF(P1364="incl.",F1364/(1+Q1364),F1364)/IF(S1364="per pack",R1364,1),2))</f>
        <v>8.6</v>
      </c>
      <c r="AE1364" s="110" t="str">
        <f aca="false">IF(AND(AC1364="yes",ISNUMBER(F1364),IF(Compare!$H$5="All mapped",TRUE(),IF(Compare!$H$5="EXACT only",J1364="EXACT",OR(J1364="EXACT",J1364="CLOSE")))),"yes","no")</f>
        <v>yes</v>
      </c>
      <c r="AF1364" s="110" t="n">
        <f aca="false">IF(ISNUMBER(H1364),COUNTIFS($B$7:$B$3000,B1364,$C$7:$C$3000,C1364,$H$7:$H$3000,"&lt;"&amp;H1364,$AH$7:$AH$3000,"yes")+COUNTIFS($B$7:B1364,B1364,$C$7:C1364,C1364,$H$7:H1364,H1364,$AH$7:AH1364,"yes"),"")</f>
        <v>2</v>
      </c>
      <c r="AG1364" s="110" t="n">
        <f aca="false">IF(ISNUMBER(I1364),COUNTIFS($B$7:$B$3000,B1364,$C$7:$C$3000,C1364,$I$7:$I$3000,"&lt;"&amp;I1364,$AI$7:$AI$3000,"yes")+COUNTIFS($B$7:B1364,B1364,$C$7:C1364,C1364,$I$7:I1364,I1364,$AI$7:AI1364,"yes"),"")</f>
        <v>2</v>
      </c>
      <c r="AH1364" s="110" t="str">
        <f aca="false">IF(ISNUMBER(H1364),"yes","no")</f>
        <v>yes</v>
      </c>
      <c r="AI1364" s="110" t="str">
        <f aca="false">IF(ISNUMBER(I1364),"yes","no")</f>
        <v>yes</v>
      </c>
      <c r="AJ1364" s="120" t="n">
        <v>46297</v>
      </c>
      <c r="AK1364" s="110"/>
    </row>
    <row r="1365" customFormat="false" ht="23.85" hidden="false" customHeight="false" outlineLevel="0" collapsed="false">
      <c r="B1365" s="36" t="s">
        <v>84</v>
      </c>
      <c r="C1365" s="98" t="s">
        <v>14</v>
      </c>
      <c r="D1365" s="98" t="s">
        <v>373</v>
      </c>
      <c r="E1365" s="110" t="s">
        <v>4318</v>
      </c>
      <c r="F1365" s="99" t="n">
        <v>47.4</v>
      </c>
      <c r="G1365" s="98" t="s">
        <v>374</v>
      </c>
      <c r="H1365" s="112" t="n">
        <f aca="false">IF(AND(AE1365="yes",ISNUMBER(AD1365)),AD1365,"")</f>
        <v>47.4</v>
      </c>
      <c r="I1365" s="95" t="n">
        <f aca="false">IF(AND(AE1365="yes",ISNUMBER(AD1365),ISNUMBER(INDEX(Sources!$G$7:$G$10,MATCH(AB1365,Sources!$B$7:$B$10,0)))),ROUND(AD1365/INDEX(Sources!$G$7:$G$10,MATCH(AB1365,Sources!$B$7:$B$10,0)),6),"")</f>
        <v>8.981284</v>
      </c>
      <c r="J1365" s="98" t="s">
        <v>530</v>
      </c>
      <c r="K1365" s="98" t="s">
        <v>2059</v>
      </c>
      <c r="L1365" s="96"/>
      <c r="M1365" s="110" t="s">
        <v>4319</v>
      </c>
      <c r="N1365" s="117" t="s">
        <v>4320</v>
      </c>
      <c r="O1365" s="110" t="s">
        <v>4321</v>
      </c>
      <c r="P1365" s="110" t="s">
        <v>590</v>
      </c>
      <c r="Q1365" s="118" t="n">
        <v>0.21</v>
      </c>
      <c r="R1365" s="110" t="n">
        <v>1</v>
      </c>
      <c r="S1365" s="110" t="s">
        <v>632</v>
      </c>
      <c r="T1365" s="110" t="s">
        <v>530</v>
      </c>
      <c r="U1365" s="110" t="s">
        <v>2913</v>
      </c>
      <c r="V1365" s="119" t="n">
        <v>47.4</v>
      </c>
      <c r="W1365" s="119"/>
      <c r="X1365" s="110" t="s">
        <v>2063</v>
      </c>
      <c r="Y1365" s="110" t="s">
        <v>2064</v>
      </c>
      <c r="Z1365" s="110"/>
      <c r="AA1365" s="110" t="s">
        <v>537</v>
      </c>
      <c r="AB1365" s="110" t="s">
        <v>374</v>
      </c>
      <c r="AC1365" s="110" t="s">
        <v>538</v>
      </c>
      <c r="AD1365" s="110" t="n">
        <f aca="false">IF(OR(F1365="",Q1365="",R1365=""),"",ROUND(IF(P1365="incl.",F1365/(1+Q1365),F1365)/IF(S1365="per pack",R1365,1),2))</f>
        <v>47.4</v>
      </c>
      <c r="AE1365" s="110" t="str">
        <f aca="false">IF(AND(AC1365="yes",ISNUMBER(F1365),IF(Compare!$H$5="All mapped",TRUE(),IF(Compare!$H$5="EXACT only",J1365="EXACT",OR(J1365="EXACT",J1365="CLOSE")))),"yes","no")</f>
        <v>yes</v>
      </c>
      <c r="AF1365" s="110" t="n">
        <f aca="false">IF(ISNUMBER(H1365),COUNTIFS($B$7:$B$3000,B1365,$C$7:$C$3000,C1365,$H$7:$H$3000,"&lt;"&amp;H1365,$AH$7:$AH$3000,"yes")+COUNTIFS($B$7:B1365,B1365,$C$7:C1365,C1365,$H$7:H1365,H1365,$AH$7:AH1365,"yes"),"")</f>
        <v>2</v>
      </c>
      <c r="AG1365" s="110" t="n">
        <f aca="false">IF(ISNUMBER(I1365),COUNTIFS($B$7:$B$3000,B1365,$C$7:$C$3000,C1365,$I$7:$I$3000,"&lt;"&amp;I1365,$AI$7:$AI$3000,"yes")+COUNTIFS($B$7:B1365,B1365,$C$7:C1365,C1365,$I$7:I1365,I1365,$AI$7:AI1365,"yes"),"")</f>
        <v>2</v>
      </c>
      <c r="AH1365" s="110" t="str">
        <f aca="false">IF(ISNUMBER(H1365),"yes","no")</f>
        <v>yes</v>
      </c>
      <c r="AI1365" s="110" t="str">
        <f aca="false">IF(ISNUMBER(I1365),"yes","no")</f>
        <v>yes</v>
      </c>
      <c r="AJ1365" s="120" t="n">
        <v>46297</v>
      </c>
      <c r="AK1365" s="110"/>
    </row>
    <row r="1366" customFormat="false" ht="46.25" hidden="false" customHeight="false" outlineLevel="0" collapsed="false">
      <c r="B1366" s="36" t="s">
        <v>84</v>
      </c>
      <c r="C1366" s="98" t="s">
        <v>14</v>
      </c>
      <c r="D1366" s="98" t="s">
        <v>4143</v>
      </c>
      <c r="E1366" s="110" t="s">
        <v>4322</v>
      </c>
      <c r="F1366" s="99" t="n">
        <v>300.04</v>
      </c>
      <c r="G1366" s="98" t="s">
        <v>374</v>
      </c>
      <c r="H1366" s="112" t="n">
        <f aca="false">IF(AND(AE1366="yes",ISNUMBER(AD1366)),AD1366,"")</f>
        <v>50.01</v>
      </c>
      <c r="I1366" s="95" t="n">
        <f aca="false">IF(AND(AE1366="yes",ISNUMBER(AD1366),ISNUMBER(INDEX(Sources!$G$7:$G$10,MATCH(AB1366,Sources!$B$7:$B$10,0)))),ROUND(AD1366/INDEX(Sources!$G$7:$G$10,MATCH(AB1366,Sources!$B$7:$B$10,0)),6),"")</f>
        <v>9.475823</v>
      </c>
      <c r="J1366" s="98" t="s">
        <v>530</v>
      </c>
      <c r="K1366" s="98" t="s">
        <v>2059</v>
      </c>
      <c r="L1366" s="96"/>
      <c r="M1366" s="110" t="s">
        <v>4323</v>
      </c>
      <c r="N1366" s="117" t="s">
        <v>4324</v>
      </c>
      <c r="O1366" s="110" t="s">
        <v>317</v>
      </c>
      <c r="P1366" s="110" t="s">
        <v>590</v>
      </c>
      <c r="Q1366" s="118" t="n">
        <v>0.21</v>
      </c>
      <c r="R1366" s="110" t="n">
        <v>6</v>
      </c>
      <c r="S1366" s="110" t="s">
        <v>625</v>
      </c>
      <c r="T1366" s="110" t="s">
        <v>530</v>
      </c>
      <c r="U1366" s="110" t="s">
        <v>2913</v>
      </c>
      <c r="V1366" s="119" t="n">
        <v>50.01</v>
      </c>
      <c r="W1366" s="119"/>
      <c r="X1366" s="110" t="s">
        <v>2063</v>
      </c>
      <c r="Y1366" s="110" t="s">
        <v>2064</v>
      </c>
      <c r="Z1366" s="110"/>
      <c r="AA1366" s="110" t="s">
        <v>537</v>
      </c>
      <c r="AB1366" s="110" t="s">
        <v>374</v>
      </c>
      <c r="AC1366" s="110" t="s">
        <v>538</v>
      </c>
      <c r="AD1366" s="110" t="n">
        <f aca="false">IF(OR(F1366="",Q1366="",R1366=""),"",ROUND(IF(P1366="incl.",F1366/(1+Q1366),F1366)/IF(S1366="per pack",R1366,1),2))</f>
        <v>50.01</v>
      </c>
      <c r="AE1366" s="110" t="str">
        <f aca="false">IF(AND(AC1366="yes",ISNUMBER(F1366),IF(Compare!$H$5="All mapped",TRUE(),IF(Compare!$H$5="EXACT only",J1366="EXACT",OR(J1366="EXACT",J1366="CLOSE")))),"yes","no")</f>
        <v>yes</v>
      </c>
      <c r="AF1366" s="110" t="n">
        <f aca="false">IF(ISNUMBER(H1366),COUNTIFS($B$7:$B$3000,B1366,$C$7:$C$3000,C1366,$H$7:$H$3000,"&lt;"&amp;H1366,$AH$7:$AH$3000,"yes")+COUNTIFS($B$7:B1366,B1366,$C$7:C1366,C1366,$H$7:H1366,H1366,$AH$7:AH1366,"yes"),"")</f>
        <v>4</v>
      </c>
      <c r="AG1366" s="110" t="n">
        <f aca="false">IF(ISNUMBER(I1366),COUNTIFS($B$7:$B$3000,B1366,$C$7:$C$3000,C1366,$I$7:$I$3000,"&lt;"&amp;I1366,$AI$7:$AI$3000,"yes")+COUNTIFS($B$7:B1366,B1366,$C$7:C1366,C1366,$I$7:I1366,I1366,$AI$7:AI1366,"yes"),"")</f>
        <v>4</v>
      </c>
      <c r="AH1366" s="110" t="str">
        <f aca="false">IF(ISNUMBER(H1366),"yes","no")</f>
        <v>yes</v>
      </c>
      <c r="AI1366" s="110" t="str">
        <f aca="false">IF(ISNUMBER(I1366),"yes","no")</f>
        <v>yes</v>
      </c>
      <c r="AJ1366" s="120" t="n">
        <v>46297</v>
      </c>
      <c r="AK1366" s="110"/>
    </row>
    <row r="1367" customFormat="false" ht="35.05" hidden="false" customHeight="false" outlineLevel="0" collapsed="false">
      <c r="B1367" s="36" t="s">
        <v>84</v>
      </c>
      <c r="C1367" s="98" t="s">
        <v>14</v>
      </c>
      <c r="D1367" s="98" t="s">
        <v>346</v>
      </c>
      <c r="E1367" s="110" t="s">
        <v>4325</v>
      </c>
      <c r="F1367" s="99" t="n">
        <v>88.22</v>
      </c>
      <c r="G1367" s="98" t="s">
        <v>374</v>
      </c>
      <c r="H1367" s="112" t="n">
        <f aca="false">IF(AND(AE1367="yes",ISNUMBER(AD1367)),AD1367,"")</f>
        <v>72.91</v>
      </c>
      <c r="I1367" s="95" t="n">
        <f aca="false">IF(AND(AE1367="yes",ISNUMBER(AD1367),ISNUMBER(INDEX(Sources!$G$7:$G$10,MATCH(AB1367,Sources!$B$7:$B$10,0)))),ROUND(AD1367/INDEX(Sources!$G$7:$G$10,MATCH(AB1367,Sources!$B$7:$B$10,0)),6),"")</f>
        <v>13.814883</v>
      </c>
      <c r="J1367" s="98" t="s">
        <v>530</v>
      </c>
      <c r="K1367" s="98" t="s">
        <v>2059</v>
      </c>
      <c r="L1367" s="96"/>
      <c r="M1367" s="110" t="s">
        <v>4326</v>
      </c>
      <c r="N1367" s="117" t="s">
        <v>4327</v>
      </c>
      <c r="O1367" s="110" t="s">
        <v>662</v>
      </c>
      <c r="P1367" s="110" t="s">
        <v>265</v>
      </c>
      <c r="Q1367" s="118" t="n">
        <v>0.21</v>
      </c>
      <c r="R1367" s="110" t="n">
        <v>1</v>
      </c>
      <c r="S1367" s="110" t="s">
        <v>632</v>
      </c>
      <c r="T1367" s="110" t="s">
        <v>530</v>
      </c>
      <c r="U1367" s="110" t="s">
        <v>2918</v>
      </c>
      <c r="V1367" s="119" t="n">
        <v>72.91</v>
      </c>
      <c r="W1367" s="119"/>
      <c r="X1367" s="110" t="s">
        <v>2063</v>
      </c>
      <c r="Y1367" s="110" t="s">
        <v>2064</v>
      </c>
      <c r="Z1367" s="110"/>
      <c r="AA1367" s="110" t="s">
        <v>537</v>
      </c>
      <c r="AB1367" s="110" t="s">
        <v>374</v>
      </c>
      <c r="AC1367" s="110" t="s">
        <v>538</v>
      </c>
      <c r="AD1367" s="110" t="n">
        <f aca="false">IF(OR(F1367="",Q1367="",R1367=""),"",ROUND(IF(P1367="incl.",F1367/(1+Q1367),F1367)/IF(S1367="per pack",R1367,1),2))</f>
        <v>72.91</v>
      </c>
      <c r="AE1367" s="110" t="str">
        <f aca="false">IF(AND(AC1367="yes",ISNUMBER(F1367),IF(Compare!$H$5="All mapped",TRUE(),IF(Compare!$H$5="EXACT only",J1367="EXACT",OR(J1367="EXACT",J1367="CLOSE")))),"yes","no")</f>
        <v>yes</v>
      </c>
      <c r="AF1367" s="110" t="n">
        <f aca="false">IF(ISNUMBER(H1367),COUNTIFS($B$7:$B$3000,B1367,$C$7:$C$3000,C1367,$H$7:$H$3000,"&lt;"&amp;H1367,$AH$7:$AH$3000,"yes")+COUNTIFS($B$7:B1367,B1367,$C$7:C1367,C1367,$H$7:H1367,H1367,$AH$7:AH1367,"yes"),"")</f>
        <v>5</v>
      </c>
      <c r="AG1367" s="110" t="n">
        <f aca="false">IF(ISNUMBER(I1367),COUNTIFS($B$7:$B$3000,B1367,$C$7:$C$3000,C1367,$I$7:$I$3000,"&lt;"&amp;I1367,$AI$7:$AI$3000,"yes")+COUNTIFS($B$7:B1367,B1367,$C$7:C1367,C1367,$I$7:I1367,I1367,$AI$7:AI1367,"yes"),"")</f>
        <v>5</v>
      </c>
      <c r="AH1367" s="110" t="str">
        <f aca="false">IF(ISNUMBER(H1367),"yes","no")</f>
        <v>yes</v>
      </c>
      <c r="AI1367" s="110" t="str">
        <f aca="false">IF(ISNUMBER(I1367),"yes","no")</f>
        <v>yes</v>
      </c>
      <c r="AJ1367" s="120" t="n">
        <v>46297</v>
      </c>
      <c r="AK1367" s="110"/>
    </row>
    <row r="1368" customFormat="false" ht="23.85" hidden="false" customHeight="false" outlineLevel="0" collapsed="false">
      <c r="B1368" s="36" t="s">
        <v>84</v>
      </c>
      <c r="C1368" s="98" t="s">
        <v>14</v>
      </c>
      <c r="D1368" s="98" t="s">
        <v>415</v>
      </c>
      <c r="E1368" s="110" t="s">
        <v>4328</v>
      </c>
      <c r="F1368" s="99" t="n">
        <v>5</v>
      </c>
      <c r="G1368" s="98" t="s">
        <v>244</v>
      </c>
      <c r="H1368" s="112" t="n">
        <f aca="false">IF(AND(AE1368="yes",ISNUMBER(AD1368)),AD1368,"")</f>
        <v>5</v>
      </c>
      <c r="I1368" s="95" t="n">
        <f aca="false">IF(AND(AE1368="yes",ISNUMBER(AD1368),ISNUMBER(INDEX(Sources!$G$7:$G$10,MATCH(AB1368,Sources!$B$7:$B$10,0)))),ROUND(AD1368/INDEX(Sources!$G$7:$G$10,MATCH(AB1368,Sources!$B$7:$B$10,0)),6),"")</f>
        <v>5</v>
      </c>
      <c r="J1368" s="98" t="s">
        <v>530</v>
      </c>
      <c r="K1368" s="98" t="s">
        <v>2059</v>
      </c>
      <c r="L1368" s="96"/>
      <c r="M1368" s="110" t="s">
        <v>4329</v>
      </c>
      <c r="N1368" s="117" t="s">
        <v>4330</v>
      </c>
      <c r="O1368" s="110" t="s">
        <v>3841</v>
      </c>
      <c r="P1368" s="110" t="s">
        <v>590</v>
      </c>
      <c r="Q1368" s="118" t="n">
        <v>0.21</v>
      </c>
      <c r="R1368" s="110" t="n">
        <v>1</v>
      </c>
      <c r="S1368" s="110" t="s">
        <v>632</v>
      </c>
      <c r="T1368" s="110" t="s">
        <v>530</v>
      </c>
      <c r="U1368" s="110" t="s">
        <v>2913</v>
      </c>
      <c r="V1368" s="119" t="n">
        <v>5</v>
      </c>
      <c r="W1368" s="119"/>
      <c r="X1368" s="110" t="s">
        <v>2063</v>
      </c>
      <c r="Y1368" s="110" t="s">
        <v>2064</v>
      </c>
      <c r="Z1368" s="110"/>
      <c r="AA1368" s="110" t="s">
        <v>537</v>
      </c>
      <c r="AB1368" s="110" t="s">
        <v>244</v>
      </c>
      <c r="AC1368" s="110" t="s">
        <v>538</v>
      </c>
      <c r="AD1368" s="110" t="n">
        <f aca="false">IF(OR(F1368="",Q1368="",R1368=""),"",ROUND(IF(P1368="incl.",F1368/(1+Q1368),F1368)/IF(S1368="per pack",R1368,1),2))</f>
        <v>5</v>
      </c>
      <c r="AE1368" s="110" t="str">
        <f aca="false">IF(AND(AC1368="yes",ISNUMBER(F1368),IF(Compare!$H$5="All mapped",TRUE(),IF(Compare!$H$5="EXACT only",J1368="EXACT",OR(J1368="EXACT",J1368="CLOSE")))),"yes","no")</f>
        <v>yes</v>
      </c>
      <c r="AF1368" s="110" t="n">
        <f aca="false">IF(ISNUMBER(H1368),COUNTIFS($B$7:$B$3000,B1368,$C$7:$C$3000,C1368,$H$7:$H$3000,"&lt;"&amp;H1368,$AH$7:$AH$3000,"yes")+COUNTIFS($B$7:B1368,B1368,$C$7:C1368,C1368,$H$7:H1368,H1368,$AH$7:AH1368,"yes"),"")</f>
        <v>1</v>
      </c>
      <c r="AG1368" s="110" t="n">
        <f aca="false">IF(ISNUMBER(I1368),COUNTIFS($B$7:$B$3000,B1368,$C$7:$C$3000,C1368,$I$7:$I$3000,"&lt;"&amp;I1368,$AI$7:$AI$3000,"yes")+COUNTIFS($B$7:B1368,B1368,$C$7:C1368,C1368,$I$7:I1368,I1368,$AI$7:AI1368,"yes"),"")</f>
        <v>1</v>
      </c>
      <c r="AH1368" s="110" t="str">
        <f aca="false">IF(ISNUMBER(H1368),"yes","no")</f>
        <v>yes</v>
      </c>
      <c r="AI1368" s="110" t="str">
        <f aca="false">IF(ISNUMBER(I1368),"yes","no")</f>
        <v>yes</v>
      </c>
      <c r="AJ1368" s="120" t="n">
        <v>46297</v>
      </c>
      <c r="AK1368" s="110"/>
    </row>
    <row r="1369" customFormat="false" ht="23.85" hidden="false" customHeight="false" outlineLevel="0" collapsed="false">
      <c r="B1369" s="36" t="s">
        <v>84</v>
      </c>
      <c r="C1369" s="98" t="s">
        <v>14</v>
      </c>
      <c r="D1369" s="98" t="s">
        <v>403</v>
      </c>
      <c r="E1369" s="110" t="s">
        <v>4331</v>
      </c>
      <c r="F1369" s="99" t="n">
        <v>48.66</v>
      </c>
      <c r="G1369" s="98" t="s">
        <v>374</v>
      </c>
      <c r="H1369" s="112" t="n">
        <f aca="false">IF(AND(AE1369="yes",ISNUMBER(AD1369)),AD1369,"")</f>
        <v>48.66</v>
      </c>
      <c r="I1369" s="95" t="n">
        <f aca="false">IF(AND(AE1369="yes",ISNUMBER(AD1369),ISNUMBER(INDEX(Sources!$G$7:$G$10,MATCH(AB1369,Sources!$B$7:$B$10,0)))),ROUND(AD1369/INDEX(Sources!$G$7:$G$10,MATCH(AB1369,Sources!$B$7:$B$10,0)),6),"")</f>
        <v>9.220027</v>
      </c>
      <c r="J1369" s="98" t="s">
        <v>530</v>
      </c>
      <c r="K1369" s="98" t="s">
        <v>2059</v>
      </c>
      <c r="L1369" s="96"/>
      <c r="M1369" s="110" t="s">
        <v>4332</v>
      </c>
      <c r="N1369" s="117" t="s">
        <v>4333</v>
      </c>
      <c r="O1369" s="110" t="s">
        <v>388</v>
      </c>
      <c r="P1369" s="110" t="s">
        <v>590</v>
      </c>
      <c r="Q1369" s="118" t="n">
        <v>0.21</v>
      </c>
      <c r="R1369" s="110" t="n">
        <v>1</v>
      </c>
      <c r="S1369" s="110" t="s">
        <v>632</v>
      </c>
      <c r="T1369" s="110" t="s">
        <v>530</v>
      </c>
      <c r="U1369" s="110" t="s">
        <v>2913</v>
      </c>
      <c r="V1369" s="119" t="n">
        <v>48.66</v>
      </c>
      <c r="W1369" s="119"/>
      <c r="X1369" s="110" t="s">
        <v>2063</v>
      </c>
      <c r="Y1369" s="110" t="s">
        <v>2064</v>
      </c>
      <c r="Z1369" s="110"/>
      <c r="AA1369" s="110" t="s">
        <v>537</v>
      </c>
      <c r="AB1369" s="110" t="s">
        <v>374</v>
      </c>
      <c r="AC1369" s="110" t="s">
        <v>538</v>
      </c>
      <c r="AD1369" s="110" t="n">
        <f aca="false">IF(OR(F1369="",Q1369="",R1369=""),"",ROUND(IF(P1369="incl.",F1369/(1+Q1369),F1369)/IF(S1369="per pack",R1369,1),2))</f>
        <v>48.66</v>
      </c>
      <c r="AE1369" s="110" t="str">
        <f aca="false">IF(AND(AC1369="yes",ISNUMBER(F1369),IF(Compare!$H$5="All mapped",TRUE(),IF(Compare!$H$5="EXACT only",J1369="EXACT",OR(J1369="EXACT",J1369="CLOSE")))),"yes","no")</f>
        <v>yes</v>
      </c>
      <c r="AF1369" s="110" t="n">
        <f aca="false">IF(ISNUMBER(H1369),COUNTIFS($B$7:$B$3000,B1369,$C$7:$C$3000,C1369,$H$7:$H$3000,"&lt;"&amp;H1369,$AH$7:$AH$3000,"yes")+COUNTIFS($B$7:B1369,B1369,$C$7:C1369,C1369,$H$7:H1369,H1369,$AH$7:AH1369,"yes"),"")</f>
        <v>3</v>
      </c>
      <c r="AG1369" s="110" t="n">
        <f aca="false">IF(ISNUMBER(I1369),COUNTIFS($B$7:$B$3000,B1369,$C$7:$C$3000,C1369,$I$7:$I$3000,"&lt;"&amp;I1369,$AI$7:$AI$3000,"yes")+COUNTIFS($B$7:B1369,B1369,$C$7:C1369,C1369,$I$7:I1369,I1369,$AI$7:AI1369,"yes"),"")</f>
        <v>3</v>
      </c>
      <c r="AH1369" s="110" t="str">
        <f aca="false">IF(ISNUMBER(H1369),"yes","no")</f>
        <v>yes</v>
      </c>
      <c r="AI1369" s="110" t="str">
        <f aca="false">IF(ISNUMBER(I1369),"yes","no")</f>
        <v>yes</v>
      </c>
      <c r="AJ1369" s="120" t="n">
        <v>46297</v>
      </c>
      <c r="AK1369" s="110"/>
    </row>
    <row r="1370" customFormat="false" ht="35.05" hidden="false" customHeight="false" outlineLevel="0" collapsed="false">
      <c r="B1370" s="36" t="s">
        <v>84</v>
      </c>
      <c r="C1370" s="98" t="s">
        <v>15</v>
      </c>
      <c r="D1370" s="98" t="s">
        <v>243</v>
      </c>
      <c r="E1370" s="110" t="s">
        <v>4334</v>
      </c>
      <c r="F1370" s="99" t="n">
        <v>14.48</v>
      </c>
      <c r="G1370" s="98" t="s">
        <v>244</v>
      </c>
      <c r="H1370" s="112" t="n">
        <f aca="false">IF(AND(AE1370="yes",ISNUMBER(AD1370)),AD1370,"")</f>
        <v>14.48</v>
      </c>
      <c r="I1370" s="95" t="n">
        <f aca="false">IF(AND(AE1370="yes",ISNUMBER(AD1370),ISNUMBER(INDEX(Sources!$G$7:$G$10,MATCH(AB1370,Sources!$B$7:$B$10,0)))),ROUND(AD1370/INDEX(Sources!$G$7:$G$10,MATCH(AB1370,Sources!$B$7:$B$10,0)),6),"")</f>
        <v>14.48</v>
      </c>
      <c r="J1370" s="98" t="s">
        <v>530</v>
      </c>
      <c r="K1370" s="98" t="s">
        <v>2059</v>
      </c>
      <c r="L1370" s="96"/>
      <c r="M1370" s="110" t="s">
        <v>4335</v>
      </c>
      <c r="N1370" s="117" t="s">
        <v>4336</v>
      </c>
      <c r="O1370" s="110" t="s">
        <v>388</v>
      </c>
      <c r="P1370" s="110" t="s">
        <v>590</v>
      </c>
      <c r="Q1370" s="118" t="n">
        <v>0.2</v>
      </c>
      <c r="R1370" s="110" t="n">
        <v>1</v>
      </c>
      <c r="S1370" s="110" t="s">
        <v>632</v>
      </c>
      <c r="T1370" s="110" t="s">
        <v>530</v>
      </c>
      <c r="U1370" s="110" t="s">
        <v>2913</v>
      </c>
      <c r="V1370" s="119" t="n">
        <v>14.48</v>
      </c>
      <c r="W1370" s="119"/>
      <c r="X1370" s="110" t="s">
        <v>2063</v>
      </c>
      <c r="Y1370" s="110" t="s">
        <v>2064</v>
      </c>
      <c r="Z1370" s="110" t="s">
        <v>4337</v>
      </c>
      <c r="AA1370" s="110" t="s">
        <v>537</v>
      </c>
      <c r="AB1370" s="110" t="s">
        <v>244</v>
      </c>
      <c r="AC1370" s="110" t="s">
        <v>538</v>
      </c>
      <c r="AD1370" s="110" t="n">
        <f aca="false">IF(OR(F1370="",Q1370="",R1370=""),"",ROUND(IF(P1370="incl.",F1370/(1+Q1370),F1370)/IF(S1370="per pack",R1370,1),2))</f>
        <v>14.48</v>
      </c>
      <c r="AE1370" s="110" t="str">
        <f aca="false">IF(AND(AC1370="yes",ISNUMBER(F1370),IF(Compare!$H$5="All mapped",TRUE(),IF(Compare!$H$5="EXACT only",J1370="EXACT",OR(J1370="EXACT",J1370="CLOSE")))),"yes","no")</f>
        <v>yes</v>
      </c>
      <c r="AF1370" s="110" t="n">
        <f aca="false">IF(ISNUMBER(H1370),COUNTIFS($B$7:$B$3000,B1370,$C$7:$C$3000,C1370,$H$7:$H$3000,"&lt;"&amp;H1370,$AH$7:$AH$3000,"yes")+COUNTIFS($B$7:B1370,B1370,$C$7:C1370,C1370,$H$7:H1370,H1370,$AH$7:AH1370,"yes"),"")</f>
        <v>4</v>
      </c>
      <c r="AG1370" s="110" t="n">
        <f aca="false">IF(ISNUMBER(I1370),COUNTIFS($B$7:$B$3000,B1370,$C$7:$C$3000,C1370,$I$7:$I$3000,"&lt;"&amp;I1370,$AI$7:$AI$3000,"yes")+COUNTIFS($B$7:B1370,B1370,$C$7:C1370,C1370,$I$7:I1370,I1370,$AI$7:AI1370,"yes"),"")</f>
        <v>4</v>
      </c>
      <c r="AH1370" s="110" t="str">
        <f aca="false">IF(ISNUMBER(H1370),"yes","no")</f>
        <v>yes</v>
      </c>
      <c r="AI1370" s="110" t="str">
        <f aca="false">IF(ISNUMBER(I1370),"yes","no")</f>
        <v>yes</v>
      </c>
      <c r="AJ1370" s="120" t="n">
        <v>46297</v>
      </c>
      <c r="AK1370" s="110"/>
    </row>
    <row r="1371" customFormat="false" ht="23.85" hidden="false" customHeight="false" outlineLevel="0" collapsed="false">
      <c r="B1371" s="36" t="s">
        <v>84</v>
      </c>
      <c r="C1371" s="98" t="s">
        <v>15</v>
      </c>
      <c r="D1371" s="98" t="s">
        <v>257</v>
      </c>
      <c r="E1371" s="110" t="s">
        <v>4338</v>
      </c>
      <c r="F1371" s="99" t="n">
        <v>12.25</v>
      </c>
      <c r="G1371" s="98" t="s">
        <v>244</v>
      </c>
      <c r="H1371" s="112" t="n">
        <f aca="false">IF(AND(AE1371="yes",ISNUMBER(AD1371)),AD1371,"")</f>
        <v>12.25</v>
      </c>
      <c r="I1371" s="95" t="n">
        <f aca="false">IF(AND(AE1371="yes",ISNUMBER(AD1371),ISNUMBER(INDEX(Sources!$G$7:$G$10,MATCH(AB1371,Sources!$B$7:$B$10,0)))),ROUND(AD1371/INDEX(Sources!$G$7:$G$10,MATCH(AB1371,Sources!$B$7:$B$10,0)),6),"")</f>
        <v>12.25</v>
      </c>
      <c r="J1371" s="98" t="s">
        <v>530</v>
      </c>
      <c r="K1371" s="98" t="s">
        <v>2059</v>
      </c>
      <c r="L1371" s="96"/>
      <c r="M1371" s="110" t="s">
        <v>4339</v>
      </c>
      <c r="N1371" s="117" t="s">
        <v>4340</v>
      </c>
      <c r="O1371" s="110" t="s">
        <v>2396</v>
      </c>
      <c r="P1371" s="110" t="s">
        <v>590</v>
      </c>
      <c r="Q1371" s="118" t="n">
        <v>0.2</v>
      </c>
      <c r="R1371" s="110" t="n">
        <v>1</v>
      </c>
      <c r="S1371" s="110" t="s">
        <v>632</v>
      </c>
      <c r="T1371" s="110" t="s">
        <v>530</v>
      </c>
      <c r="U1371" s="110" t="s">
        <v>2913</v>
      </c>
      <c r="V1371" s="119" t="n">
        <v>12.25</v>
      </c>
      <c r="W1371" s="119"/>
      <c r="X1371" s="110" t="s">
        <v>2063</v>
      </c>
      <c r="Y1371" s="110" t="s">
        <v>2064</v>
      </c>
      <c r="Z1371" s="110" t="s">
        <v>4341</v>
      </c>
      <c r="AA1371" s="110" t="s">
        <v>537</v>
      </c>
      <c r="AB1371" s="110" t="s">
        <v>244</v>
      </c>
      <c r="AC1371" s="110" t="s">
        <v>538</v>
      </c>
      <c r="AD1371" s="110" t="n">
        <f aca="false">IF(OR(F1371="",Q1371="",R1371=""),"",ROUND(IF(P1371="incl.",F1371/(1+Q1371),F1371)/IF(S1371="per pack",R1371,1),2))</f>
        <v>12.25</v>
      </c>
      <c r="AE1371" s="110" t="str">
        <f aca="false">IF(AND(AC1371="yes",ISNUMBER(F1371),IF(Compare!$H$5="All mapped",TRUE(),IF(Compare!$H$5="EXACT only",J1371="EXACT",OR(J1371="EXACT",J1371="CLOSE")))),"yes","no")</f>
        <v>yes</v>
      </c>
      <c r="AF1371" s="110" t="n">
        <f aca="false">IF(ISNUMBER(H1371),COUNTIFS($B$7:$B$3000,B1371,$C$7:$C$3000,C1371,$H$7:$H$3000,"&lt;"&amp;H1371,$AH$7:$AH$3000,"yes")+COUNTIFS($B$7:B1371,B1371,$C$7:C1371,C1371,$H$7:H1371,H1371,$AH$7:AH1371,"yes"),"")</f>
        <v>3</v>
      </c>
      <c r="AG1371" s="110" t="n">
        <f aca="false">IF(ISNUMBER(I1371),COUNTIFS($B$7:$B$3000,B1371,$C$7:$C$3000,C1371,$I$7:$I$3000,"&lt;"&amp;I1371,$AI$7:$AI$3000,"yes")+COUNTIFS($B$7:B1371,B1371,$C$7:C1371,C1371,$I$7:I1371,I1371,$AI$7:AI1371,"yes"),"")</f>
        <v>3</v>
      </c>
      <c r="AH1371" s="110" t="str">
        <f aca="false">IF(ISNUMBER(H1371),"yes","no")</f>
        <v>yes</v>
      </c>
      <c r="AI1371" s="110" t="str">
        <f aca="false">IF(ISNUMBER(I1371),"yes","no")</f>
        <v>yes</v>
      </c>
      <c r="AJ1371" s="120" t="n">
        <v>46297</v>
      </c>
      <c r="AK1371" s="110"/>
    </row>
    <row r="1372" customFormat="false" ht="35.05" hidden="false" customHeight="false" outlineLevel="0" collapsed="false">
      <c r="B1372" s="36" t="s">
        <v>84</v>
      </c>
      <c r="C1372" s="98" t="s">
        <v>15</v>
      </c>
      <c r="D1372" s="98" t="s">
        <v>269</v>
      </c>
      <c r="E1372" s="110" t="s">
        <v>4342</v>
      </c>
      <c r="F1372" s="99" t="n">
        <v>21.09</v>
      </c>
      <c r="G1372" s="98" t="s">
        <v>244</v>
      </c>
      <c r="H1372" s="112" t="n">
        <f aca="false">IF(AND(AE1372="yes",ISNUMBER(AD1372)),AD1372,"")</f>
        <v>21.09</v>
      </c>
      <c r="I1372" s="95" t="n">
        <f aca="false">IF(AND(AE1372="yes",ISNUMBER(AD1372),ISNUMBER(INDEX(Sources!$G$7:$G$10,MATCH(AB1372,Sources!$B$7:$B$10,0)))),ROUND(AD1372/INDEX(Sources!$G$7:$G$10,MATCH(AB1372,Sources!$B$7:$B$10,0)),6),"")</f>
        <v>21.09</v>
      </c>
      <c r="J1372" s="98" t="s">
        <v>702</v>
      </c>
      <c r="K1372" s="98" t="s">
        <v>2059</v>
      </c>
      <c r="L1372" s="96"/>
      <c r="M1372" s="110" t="s">
        <v>4343</v>
      </c>
      <c r="N1372" s="117" t="s">
        <v>4344</v>
      </c>
      <c r="O1372" s="110" t="s">
        <v>388</v>
      </c>
      <c r="P1372" s="110" t="s">
        <v>590</v>
      </c>
      <c r="Q1372" s="118" t="n">
        <v>0.19</v>
      </c>
      <c r="R1372" s="110" t="n">
        <v>1</v>
      </c>
      <c r="S1372" s="110" t="s">
        <v>632</v>
      </c>
      <c r="T1372" s="110" t="s">
        <v>702</v>
      </c>
      <c r="U1372" s="110" t="s">
        <v>2913</v>
      </c>
      <c r="V1372" s="119" t="n">
        <v>21.09</v>
      </c>
      <c r="W1372" s="119"/>
      <c r="X1372" s="110" t="s">
        <v>2063</v>
      </c>
      <c r="Y1372" s="110" t="s">
        <v>2064</v>
      </c>
      <c r="Z1372" s="110" t="s">
        <v>4345</v>
      </c>
      <c r="AA1372" s="110" t="s">
        <v>537</v>
      </c>
      <c r="AB1372" s="110" t="s">
        <v>244</v>
      </c>
      <c r="AC1372" s="110" t="s">
        <v>538</v>
      </c>
      <c r="AD1372" s="110" t="n">
        <f aca="false">IF(OR(F1372="",Q1372="",R1372=""),"",ROUND(IF(P1372="incl.",F1372/(1+Q1372),F1372)/IF(S1372="per pack",R1372,1),2))</f>
        <v>21.09</v>
      </c>
      <c r="AE1372" s="110" t="str">
        <f aca="false">IF(AND(AC1372="yes",ISNUMBER(F1372),IF(Compare!$H$5="All mapped",TRUE(),IF(Compare!$H$5="EXACT only",J1372="EXACT",OR(J1372="EXACT",J1372="CLOSE")))),"yes","no")</f>
        <v>yes</v>
      </c>
      <c r="AF1372" s="110" t="n">
        <f aca="false">IF(ISNUMBER(H1372),COUNTIFS($B$7:$B$3000,B1372,$C$7:$C$3000,C1372,$H$7:$H$3000,"&lt;"&amp;H1372,$AH$7:$AH$3000,"yes")+COUNTIFS($B$7:B1372,B1372,$C$7:C1372,C1372,$H$7:H1372,H1372,$AH$7:AH1372,"yes"),"")</f>
        <v>7</v>
      </c>
      <c r="AG1372" s="110" t="n">
        <f aca="false">IF(ISNUMBER(I1372),COUNTIFS($B$7:$B$3000,B1372,$C$7:$C$3000,C1372,$I$7:$I$3000,"&lt;"&amp;I1372,$AI$7:$AI$3000,"yes")+COUNTIFS($B$7:B1372,B1372,$C$7:C1372,C1372,$I$7:I1372,I1372,$AI$7:AI1372,"yes"),"")</f>
        <v>7</v>
      </c>
      <c r="AH1372" s="110" t="str">
        <f aca="false">IF(ISNUMBER(H1372),"yes","no")</f>
        <v>yes</v>
      </c>
      <c r="AI1372" s="110" t="str">
        <f aca="false">IF(ISNUMBER(I1372),"yes","no")</f>
        <v>yes</v>
      </c>
      <c r="AJ1372" s="120" t="n">
        <v>46297</v>
      </c>
      <c r="AK1372" s="110"/>
    </row>
    <row r="1373" customFormat="false" ht="23.85" hidden="false" customHeight="false" outlineLevel="0" collapsed="false">
      <c r="B1373" s="36" t="s">
        <v>84</v>
      </c>
      <c r="C1373" s="98" t="s">
        <v>15</v>
      </c>
      <c r="D1373" s="98" t="s">
        <v>264</v>
      </c>
      <c r="E1373" s="110" t="s">
        <v>4346</v>
      </c>
      <c r="F1373" s="99" t="n">
        <v>19.13</v>
      </c>
      <c r="G1373" s="98" t="s">
        <v>244</v>
      </c>
      <c r="H1373" s="112" t="n">
        <f aca="false">IF(AND(AE1373="yes",ISNUMBER(AD1373)),AD1373,"")</f>
        <v>19.13</v>
      </c>
      <c r="I1373" s="95" t="n">
        <f aca="false">IF(AND(AE1373="yes",ISNUMBER(AD1373),ISNUMBER(INDEX(Sources!$G$7:$G$10,MATCH(AB1373,Sources!$B$7:$B$10,0)))),ROUND(AD1373/INDEX(Sources!$G$7:$G$10,MATCH(AB1373,Sources!$B$7:$B$10,0)),6),"")</f>
        <v>19.13</v>
      </c>
      <c r="J1373" s="98" t="s">
        <v>530</v>
      </c>
      <c r="K1373" s="98" t="s">
        <v>2059</v>
      </c>
      <c r="L1373" s="96"/>
      <c r="M1373" s="110" t="s">
        <v>4347</v>
      </c>
      <c r="N1373" s="117" t="s">
        <v>4348</v>
      </c>
      <c r="O1373" s="110" t="s">
        <v>388</v>
      </c>
      <c r="P1373" s="110" t="s">
        <v>590</v>
      </c>
      <c r="Q1373" s="118" t="n">
        <v>0.19</v>
      </c>
      <c r="R1373" s="110" t="n">
        <v>1</v>
      </c>
      <c r="S1373" s="110" t="s">
        <v>632</v>
      </c>
      <c r="T1373" s="110" t="s">
        <v>530</v>
      </c>
      <c r="U1373" s="110" t="s">
        <v>2913</v>
      </c>
      <c r="V1373" s="119" t="n">
        <v>19.13</v>
      </c>
      <c r="W1373" s="119"/>
      <c r="X1373" s="110" t="s">
        <v>2063</v>
      </c>
      <c r="Y1373" s="110" t="s">
        <v>2064</v>
      </c>
      <c r="Z1373" s="110"/>
      <c r="AA1373" s="110" t="s">
        <v>537</v>
      </c>
      <c r="AB1373" s="110" t="s">
        <v>244</v>
      </c>
      <c r="AC1373" s="110" t="s">
        <v>538</v>
      </c>
      <c r="AD1373" s="110" t="n">
        <f aca="false">IF(OR(F1373="",Q1373="",R1373=""),"",ROUND(IF(P1373="incl.",F1373/(1+Q1373),F1373)/IF(S1373="per pack",R1373,1),2))</f>
        <v>19.13</v>
      </c>
      <c r="AE1373" s="110" t="str">
        <f aca="false">IF(AND(AC1373="yes",ISNUMBER(F1373),IF(Compare!$H$5="All mapped",TRUE(),IF(Compare!$H$5="EXACT only",J1373="EXACT",OR(J1373="EXACT",J1373="CLOSE")))),"yes","no")</f>
        <v>yes</v>
      </c>
      <c r="AF1373" s="110" t="n">
        <f aca="false">IF(ISNUMBER(H1373),COUNTIFS($B$7:$B$3000,B1373,$C$7:$C$3000,C1373,$H$7:$H$3000,"&lt;"&amp;H1373,$AH$7:$AH$3000,"yes")+COUNTIFS($B$7:B1373,B1373,$C$7:C1373,C1373,$H$7:H1373,H1373,$AH$7:AH1373,"yes"),"")</f>
        <v>6</v>
      </c>
      <c r="AG1373" s="110" t="n">
        <f aca="false">IF(ISNUMBER(I1373),COUNTIFS($B$7:$B$3000,B1373,$C$7:$C$3000,C1373,$I$7:$I$3000,"&lt;"&amp;I1373,$AI$7:$AI$3000,"yes")+COUNTIFS($B$7:B1373,B1373,$C$7:C1373,C1373,$I$7:I1373,I1373,$AI$7:AI1373,"yes"),"")</f>
        <v>6</v>
      </c>
      <c r="AH1373" s="110" t="str">
        <f aca="false">IF(ISNUMBER(H1373),"yes","no")</f>
        <v>yes</v>
      </c>
      <c r="AI1373" s="110" t="str">
        <f aca="false">IF(ISNUMBER(I1373),"yes","no")</f>
        <v>yes</v>
      </c>
      <c r="AJ1373" s="120" t="n">
        <v>46297</v>
      </c>
      <c r="AK1373" s="110"/>
    </row>
    <row r="1374" customFormat="false" ht="35.05" hidden="false" customHeight="false" outlineLevel="0" collapsed="false">
      <c r="B1374" s="36" t="s">
        <v>84</v>
      </c>
      <c r="C1374" s="98" t="s">
        <v>15</v>
      </c>
      <c r="D1374" s="98" t="s">
        <v>273</v>
      </c>
      <c r="E1374" s="110" t="s">
        <v>4349</v>
      </c>
      <c r="F1374" s="99" t="n">
        <v>22.49</v>
      </c>
      <c r="G1374" s="98" t="s">
        <v>244</v>
      </c>
      <c r="H1374" s="112" t="n">
        <f aca="false">IF(AND(AE1374="yes",ISNUMBER(AD1374)),AD1374,"")</f>
        <v>18.74</v>
      </c>
      <c r="I1374" s="95" t="n">
        <f aca="false">IF(AND(AE1374="yes",ISNUMBER(AD1374),ISNUMBER(INDEX(Sources!$G$7:$G$10,MATCH(AB1374,Sources!$B$7:$B$10,0)))),ROUND(AD1374/INDEX(Sources!$G$7:$G$10,MATCH(AB1374,Sources!$B$7:$B$10,0)),6),"")</f>
        <v>18.74</v>
      </c>
      <c r="J1374" s="98" t="s">
        <v>530</v>
      </c>
      <c r="K1374" s="98" t="s">
        <v>2059</v>
      </c>
      <c r="L1374" s="96"/>
      <c r="M1374" s="110" t="s">
        <v>4350</v>
      </c>
      <c r="N1374" s="117" t="s">
        <v>4351</v>
      </c>
      <c r="O1374" s="110" t="s">
        <v>642</v>
      </c>
      <c r="P1374" s="110" t="s">
        <v>265</v>
      </c>
      <c r="Q1374" s="118" t="n">
        <v>0.2</v>
      </c>
      <c r="R1374" s="110" t="n">
        <v>1</v>
      </c>
      <c r="S1374" s="110" t="s">
        <v>632</v>
      </c>
      <c r="T1374" s="110" t="s">
        <v>530</v>
      </c>
      <c r="U1374" s="110" t="s">
        <v>2918</v>
      </c>
      <c r="V1374" s="119" t="n">
        <v>18.74</v>
      </c>
      <c r="W1374" s="119"/>
      <c r="X1374" s="110" t="s">
        <v>2063</v>
      </c>
      <c r="Y1374" s="110" t="s">
        <v>2064</v>
      </c>
      <c r="Z1374" s="110"/>
      <c r="AA1374" s="110" t="s">
        <v>537</v>
      </c>
      <c r="AB1374" s="110" t="s">
        <v>244</v>
      </c>
      <c r="AC1374" s="110" t="s">
        <v>538</v>
      </c>
      <c r="AD1374" s="110" t="n">
        <f aca="false">IF(OR(F1374="",Q1374="",R1374=""),"",ROUND(IF(P1374="incl.",F1374/(1+Q1374),F1374)/IF(S1374="per pack",R1374,1),2))</f>
        <v>18.74</v>
      </c>
      <c r="AE1374" s="110" t="str">
        <f aca="false">IF(AND(AC1374="yes",ISNUMBER(F1374),IF(Compare!$H$5="All mapped",TRUE(),IF(Compare!$H$5="EXACT only",J1374="EXACT",OR(J1374="EXACT",J1374="CLOSE")))),"yes","no")</f>
        <v>yes</v>
      </c>
      <c r="AF1374" s="110" t="n">
        <f aca="false">IF(ISNUMBER(H1374),COUNTIFS($B$7:$B$3000,B1374,$C$7:$C$3000,C1374,$H$7:$H$3000,"&lt;"&amp;H1374,$AH$7:$AH$3000,"yes")+COUNTIFS($B$7:B1374,B1374,$C$7:C1374,C1374,$H$7:H1374,H1374,$AH$7:AH1374,"yes"),"")</f>
        <v>5</v>
      </c>
      <c r="AG1374" s="110" t="n">
        <f aca="false">IF(ISNUMBER(I1374),COUNTIFS($B$7:$B$3000,B1374,$C$7:$C$3000,C1374,$I$7:$I$3000,"&lt;"&amp;I1374,$AI$7:$AI$3000,"yes")+COUNTIFS($B$7:B1374,B1374,$C$7:C1374,C1374,$I$7:I1374,I1374,$AI$7:AI1374,"yes"),"")</f>
        <v>5</v>
      </c>
      <c r="AH1374" s="110" t="str">
        <f aca="false">IF(ISNUMBER(H1374),"yes","no")</f>
        <v>yes</v>
      </c>
      <c r="AI1374" s="110" t="str">
        <f aca="false">IF(ISNUMBER(I1374),"yes","no")</f>
        <v>yes</v>
      </c>
      <c r="AJ1374" s="120" t="n">
        <v>46297</v>
      </c>
      <c r="AK1374" s="110"/>
    </row>
    <row r="1375" customFormat="false" ht="46.25" hidden="false" customHeight="false" outlineLevel="0" collapsed="false">
      <c r="B1375" s="36" t="s">
        <v>84</v>
      </c>
      <c r="C1375" s="98" t="s">
        <v>15</v>
      </c>
      <c r="D1375" s="98" t="s">
        <v>281</v>
      </c>
      <c r="E1375" s="110" t="s">
        <v>4352</v>
      </c>
      <c r="F1375" s="99" t="n">
        <v>10.06</v>
      </c>
      <c r="G1375" s="98" t="s">
        <v>244</v>
      </c>
      <c r="H1375" s="112" t="n">
        <f aca="false">IF(AND(AE1375="yes",ISNUMBER(AD1375)),AD1375,"")</f>
        <v>10.06</v>
      </c>
      <c r="I1375" s="95" t="n">
        <f aca="false">IF(AND(AE1375="yes",ISNUMBER(AD1375),ISNUMBER(INDEX(Sources!$G$7:$G$10,MATCH(AB1375,Sources!$B$7:$B$10,0)))),ROUND(AD1375/INDEX(Sources!$G$7:$G$10,MATCH(AB1375,Sources!$B$7:$B$10,0)),6),"")</f>
        <v>10.06</v>
      </c>
      <c r="J1375" s="98" t="s">
        <v>530</v>
      </c>
      <c r="K1375" s="98" t="s">
        <v>2059</v>
      </c>
      <c r="L1375" s="96"/>
      <c r="M1375" s="110" t="s">
        <v>4353</v>
      </c>
      <c r="N1375" s="117" t="s">
        <v>4354</v>
      </c>
      <c r="O1375" s="110" t="s">
        <v>603</v>
      </c>
      <c r="P1375" s="110" t="s">
        <v>590</v>
      </c>
      <c r="Q1375" s="118" t="n">
        <v>0.2</v>
      </c>
      <c r="R1375" s="110" t="n">
        <v>1</v>
      </c>
      <c r="S1375" s="110" t="s">
        <v>632</v>
      </c>
      <c r="T1375" s="110" t="s">
        <v>530</v>
      </c>
      <c r="U1375" s="110" t="s">
        <v>2913</v>
      </c>
      <c r="V1375" s="119" t="n">
        <v>10.06</v>
      </c>
      <c r="W1375" s="119"/>
      <c r="X1375" s="110" t="s">
        <v>2063</v>
      </c>
      <c r="Y1375" s="110" t="s">
        <v>2064</v>
      </c>
      <c r="Z1375" s="110" t="s">
        <v>2125</v>
      </c>
      <c r="AA1375" s="110" t="s">
        <v>537</v>
      </c>
      <c r="AB1375" s="110" t="s">
        <v>244</v>
      </c>
      <c r="AC1375" s="110" t="s">
        <v>538</v>
      </c>
      <c r="AD1375" s="110" t="n">
        <f aca="false">IF(OR(F1375="",Q1375="",R1375=""),"",ROUND(IF(P1375="incl.",F1375/(1+Q1375),F1375)/IF(S1375="per pack",R1375,1),2))</f>
        <v>10.06</v>
      </c>
      <c r="AE1375" s="110" t="str">
        <f aca="false">IF(AND(AC1375="yes",ISNUMBER(F1375),IF(Compare!$H$5="All mapped",TRUE(),IF(Compare!$H$5="EXACT only",J1375="EXACT",OR(J1375="EXACT",J1375="CLOSE")))),"yes","no")</f>
        <v>yes</v>
      </c>
      <c r="AF1375" s="110" t="n">
        <f aca="false">IF(ISNUMBER(H1375),COUNTIFS($B$7:$B$3000,B1375,$C$7:$C$3000,C1375,$H$7:$H$3000,"&lt;"&amp;H1375,$AH$7:$AH$3000,"yes")+COUNTIFS($B$7:B1375,B1375,$C$7:C1375,C1375,$H$7:H1375,H1375,$AH$7:AH1375,"yes"),"")</f>
        <v>2</v>
      </c>
      <c r="AG1375" s="110" t="n">
        <f aca="false">IF(ISNUMBER(I1375),COUNTIFS($B$7:$B$3000,B1375,$C$7:$C$3000,C1375,$I$7:$I$3000,"&lt;"&amp;I1375,$AI$7:$AI$3000,"yes")+COUNTIFS($B$7:B1375,B1375,$C$7:C1375,C1375,$I$7:I1375,I1375,$AI$7:AI1375,"yes"),"")</f>
        <v>2</v>
      </c>
      <c r="AH1375" s="110" t="str">
        <f aca="false">IF(ISNUMBER(H1375),"yes","no")</f>
        <v>yes</v>
      </c>
      <c r="AI1375" s="110" t="str">
        <f aca="false">IF(ISNUMBER(I1375),"yes","no")</f>
        <v>yes</v>
      </c>
      <c r="AJ1375" s="120" t="n">
        <v>46297</v>
      </c>
      <c r="AK1375" s="110"/>
    </row>
    <row r="1376" customFormat="false" ht="35.05" hidden="false" customHeight="false" outlineLevel="0" collapsed="false">
      <c r="B1376" s="36" t="s">
        <v>84</v>
      </c>
      <c r="C1376" s="98" t="s">
        <v>15</v>
      </c>
      <c r="D1376" s="98" t="s">
        <v>293</v>
      </c>
      <c r="E1376" s="110" t="s">
        <v>4355</v>
      </c>
      <c r="F1376" s="99" t="n">
        <v>8.4</v>
      </c>
      <c r="G1376" s="98" t="s">
        <v>244</v>
      </c>
      <c r="H1376" s="112" t="n">
        <f aca="false">IF(AND(AE1376="yes",ISNUMBER(AD1376)),AD1376,"")</f>
        <v>8.4</v>
      </c>
      <c r="I1376" s="95" t="n">
        <f aca="false">IF(AND(AE1376="yes",ISNUMBER(AD1376),ISNUMBER(INDEX(Sources!$G$7:$G$10,MATCH(AB1376,Sources!$B$7:$B$10,0)))),ROUND(AD1376/INDEX(Sources!$G$7:$G$10,MATCH(AB1376,Sources!$B$7:$B$10,0)),6),"")</f>
        <v>8.4</v>
      </c>
      <c r="J1376" s="98" t="s">
        <v>530</v>
      </c>
      <c r="K1376" s="98" t="s">
        <v>2059</v>
      </c>
      <c r="L1376" s="96"/>
      <c r="M1376" s="110" t="s">
        <v>4356</v>
      </c>
      <c r="N1376" s="117" t="s">
        <v>4357</v>
      </c>
      <c r="O1376" s="110" t="s">
        <v>4358</v>
      </c>
      <c r="P1376" s="110" t="s">
        <v>590</v>
      </c>
      <c r="Q1376" s="118" t="n">
        <v>0.2</v>
      </c>
      <c r="R1376" s="110" t="n">
        <v>1</v>
      </c>
      <c r="S1376" s="110" t="s">
        <v>632</v>
      </c>
      <c r="T1376" s="110" t="s">
        <v>530</v>
      </c>
      <c r="U1376" s="110" t="s">
        <v>2913</v>
      </c>
      <c r="V1376" s="119" t="n">
        <v>8.4</v>
      </c>
      <c r="W1376" s="119"/>
      <c r="X1376" s="110" t="s">
        <v>2063</v>
      </c>
      <c r="Y1376" s="110" t="s">
        <v>2064</v>
      </c>
      <c r="Z1376" s="110"/>
      <c r="AA1376" s="110" t="s">
        <v>537</v>
      </c>
      <c r="AB1376" s="110" t="s">
        <v>244</v>
      </c>
      <c r="AC1376" s="110" t="s">
        <v>538</v>
      </c>
      <c r="AD1376" s="110" t="n">
        <f aca="false">IF(OR(F1376="",Q1376="",R1376=""),"",ROUND(IF(P1376="incl.",F1376/(1+Q1376),F1376)/IF(S1376="per pack",R1376,1),2))</f>
        <v>8.4</v>
      </c>
      <c r="AE1376" s="110" t="str">
        <f aca="false">IF(AND(AC1376="yes",ISNUMBER(F1376),IF(Compare!$H$5="All mapped",TRUE(),IF(Compare!$H$5="EXACT only",J1376="EXACT",OR(J1376="EXACT",J1376="CLOSE")))),"yes","no")</f>
        <v>yes</v>
      </c>
      <c r="AF1376" s="110" t="n">
        <f aca="false">IF(ISNUMBER(H1376),COUNTIFS($B$7:$B$3000,B1376,$C$7:$C$3000,C1376,$H$7:$H$3000,"&lt;"&amp;H1376,$AH$7:$AH$3000,"yes")+COUNTIFS($B$7:B1376,B1376,$C$7:C1376,C1376,$H$7:H1376,H1376,$AH$7:AH1376,"yes"),"")</f>
        <v>1</v>
      </c>
      <c r="AG1376" s="110" t="n">
        <f aca="false">IF(ISNUMBER(I1376),COUNTIFS($B$7:$B$3000,B1376,$C$7:$C$3000,C1376,$I$7:$I$3000,"&lt;"&amp;I1376,$AI$7:$AI$3000,"yes")+COUNTIFS($B$7:B1376,B1376,$C$7:C1376,C1376,$I$7:I1376,I1376,$AI$7:AI1376,"yes"),"")</f>
        <v>1</v>
      </c>
      <c r="AH1376" s="110" t="str">
        <f aca="false">IF(ISNUMBER(H1376),"yes","no")</f>
        <v>yes</v>
      </c>
      <c r="AI1376" s="110" t="str">
        <f aca="false">IF(ISNUMBER(I1376),"yes","no")</f>
        <v>yes</v>
      </c>
      <c r="AJ1376" s="120" t="n">
        <v>46297</v>
      </c>
      <c r="AK1376" s="110"/>
    </row>
    <row r="1377" customFormat="false" ht="23.85" hidden="false" customHeight="false" outlineLevel="0" collapsed="false">
      <c r="B1377" s="36" t="s">
        <v>84</v>
      </c>
      <c r="C1377" s="98" t="s">
        <v>16</v>
      </c>
      <c r="D1377" s="98" t="s">
        <v>296</v>
      </c>
      <c r="E1377" s="110" t="s">
        <v>4359</v>
      </c>
      <c r="F1377" s="99" t="n">
        <v>5.99</v>
      </c>
      <c r="G1377" s="98" t="s">
        <v>244</v>
      </c>
      <c r="H1377" s="112" t="n">
        <f aca="false">IF(AND(AE1377="yes",ISNUMBER(AD1377)),AD1377,"")</f>
        <v>5.99</v>
      </c>
      <c r="I1377" s="95" t="n">
        <f aca="false">IF(AND(AE1377="yes",ISNUMBER(AD1377),ISNUMBER(INDEX(Sources!$G$7:$G$10,MATCH(AB1377,Sources!$B$7:$B$10,0)))),ROUND(AD1377/INDEX(Sources!$G$7:$G$10,MATCH(AB1377,Sources!$B$7:$B$10,0)),6),"")</f>
        <v>5.99</v>
      </c>
      <c r="J1377" s="98" t="s">
        <v>530</v>
      </c>
      <c r="K1377" s="98" t="s">
        <v>2059</v>
      </c>
      <c r="L1377" s="96"/>
      <c r="M1377" s="110" t="s">
        <v>4360</v>
      </c>
      <c r="N1377" s="117" t="s">
        <v>4361</v>
      </c>
      <c r="O1377" s="110" t="s">
        <v>4362</v>
      </c>
      <c r="P1377" s="110" t="s">
        <v>590</v>
      </c>
      <c r="Q1377" s="118" t="n">
        <v>0.19</v>
      </c>
      <c r="R1377" s="110" t="n">
        <v>1</v>
      </c>
      <c r="S1377" s="110" t="s">
        <v>632</v>
      </c>
      <c r="T1377" s="110" t="s">
        <v>530</v>
      </c>
      <c r="U1377" s="110" t="s">
        <v>2913</v>
      </c>
      <c r="V1377" s="119" t="n">
        <v>5.99</v>
      </c>
      <c r="W1377" s="119"/>
      <c r="X1377" s="110" t="s">
        <v>2063</v>
      </c>
      <c r="Y1377" s="110" t="s">
        <v>2064</v>
      </c>
      <c r="Z1377" s="110" t="s">
        <v>2164</v>
      </c>
      <c r="AA1377" s="110" t="s">
        <v>537</v>
      </c>
      <c r="AB1377" s="110" t="s">
        <v>244</v>
      </c>
      <c r="AC1377" s="110" t="s">
        <v>538</v>
      </c>
      <c r="AD1377" s="110" t="n">
        <f aca="false">IF(OR(F1377="",Q1377="",R1377=""),"",ROUND(IF(P1377="incl.",F1377/(1+Q1377),F1377)/IF(S1377="per pack",R1377,1),2))</f>
        <v>5.99</v>
      </c>
      <c r="AE1377" s="110" t="str">
        <f aca="false">IF(AND(AC1377="yes",ISNUMBER(F1377),IF(Compare!$H$5="All mapped",TRUE(),IF(Compare!$H$5="EXACT only",J1377="EXACT",OR(J1377="EXACT",J1377="CLOSE")))),"yes","no")</f>
        <v>yes</v>
      </c>
      <c r="AF1377" s="110" t="n">
        <f aca="false">IF(ISNUMBER(H1377),COUNTIFS($B$7:$B$3000,B1377,$C$7:$C$3000,C1377,$H$7:$H$3000,"&lt;"&amp;H1377,$AH$7:$AH$3000,"yes")+COUNTIFS($B$7:B1377,B1377,$C$7:C1377,C1377,$H$7:H1377,H1377,$AH$7:AH1377,"yes"),"")</f>
        <v>1</v>
      </c>
      <c r="AG1377" s="110" t="n">
        <f aca="false">IF(ISNUMBER(I1377),COUNTIFS($B$7:$B$3000,B1377,$C$7:$C$3000,C1377,$I$7:$I$3000,"&lt;"&amp;I1377,$AI$7:$AI$3000,"yes")+COUNTIFS($B$7:B1377,B1377,$C$7:C1377,C1377,$I$7:I1377,I1377,$AI$7:AI1377,"yes"),"")</f>
        <v>1</v>
      </c>
      <c r="AH1377" s="110" t="str">
        <f aca="false">IF(ISNUMBER(H1377),"yes","no")</f>
        <v>yes</v>
      </c>
      <c r="AI1377" s="110" t="str">
        <f aca="false">IF(ISNUMBER(I1377),"yes","no")</f>
        <v>yes</v>
      </c>
      <c r="AJ1377" s="120" t="n">
        <v>46297</v>
      </c>
      <c r="AK1377" s="110"/>
    </row>
    <row r="1378" customFormat="false" ht="23.85" hidden="false" customHeight="false" outlineLevel="0" collapsed="false">
      <c r="B1378" s="36" t="s">
        <v>84</v>
      </c>
      <c r="C1378" s="98" t="s">
        <v>16</v>
      </c>
      <c r="D1378" s="98" t="s">
        <v>305</v>
      </c>
      <c r="E1378" s="110" t="s">
        <v>4363</v>
      </c>
      <c r="F1378" s="99" t="n">
        <v>8.69</v>
      </c>
      <c r="G1378" s="98" t="s">
        <v>244</v>
      </c>
      <c r="H1378" s="112" t="n">
        <f aca="false">IF(AND(AE1378="yes",ISNUMBER(AD1378)),AD1378,"")</f>
        <v>8.69</v>
      </c>
      <c r="I1378" s="95" t="n">
        <f aca="false">IF(AND(AE1378="yes",ISNUMBER(AD1378),ISNUMBER(INDEX(Sources!$G$7:$G$10,MATCH(AB1378,Sources!$B$7:$B$10,0)))),ROUND(AD1378/INDEX(Sources!$G$7:$G$10,MATCH(AB1378,Sources!$B$7:$B$10,0)),6),"")</f>
        <v>8.69</v>
      </c>
      <c r="J1378" s="98" t="s">
        <v>530</v>
      </c>
      <c r="K1378" s="98" t="s">
        <v>2059</v>
      </c>
      <c r="L1378" s="96"/>
      <c r="M1378" s="110" t="s">
        <v>4364</v>
      </c>
      <c r="N1378" s="117" t="s">
        <v>4365</v>
      </c>
      <c r="O1378" s="110" t="s">
        <v>603</v>
      </c>
      <c r="P1378" s="110" t="s">
        <v>590</v>
      </c>
      <c r="Q1378" s="118" t="n">
        <v>0.19</v>
      </c>
      <c r="R1378" s="110" t="n">
        <v>1</v>
      </c>
      <c r="S1378" s="110" t="s">
        <v>632</v>
      </c>
      <c r="T1378" s="110" t="s">
        <v>530</v>
      </c>
      <c r="U1378" s="110" t="s">
        <v>2913</v>
      </c>
      <c r="V1378" s="119" t="n">
        <v>8.69</v>
      </c>
      <c r="W1378" s="119"/>
      <c r="X1378" s="110" t="s">
        <v>2063</v>
      </c>
      <c r="Y1378" s="110" t="s">
        <v>2064</v>
      </c>
      <c r="Z1378" s="110" t="s">
        <v>2142</v>
      </c>
      <c r="AA1378" s="110" t="s">
        <v>537</v>
      </c>
      <c r="AB1378" s="110" t="s">
        <v>244</v>
      </c>
      <c r="AC1378" s="110" t="s">
        <v>538</v>
      </c>
      <c r="AD1378" s="110" t="n">
        <f aca="false">IF(OR(F1378="",Q1378="",R1378=""),"",ROUND(IF(P1378="incl.",F1378/(1+Q1378),F1378)/IF(S1378="per pack",R1378,1),2))</f>
        <v>8.69</v>
      </c>
      <c r="AE1378" s="110" t="str">
        <f aca="false">IF(AND(AC1378="yes",ISNUMBER(F1378),IF(Compare!$H$5="All mapped",TRUE(),IF(Compare!$H$5="EXACT only",J1378="EXACT",OR(J1378="EXACT",J1378="CLOSE")))),"yes","no")</f>
        <v>yes</v>
      </c>
      <c r="AF1378" s="110" t="n">
        <f aca="false">IF(ISNUMBER(H1378),COUNTIFS($B$7:$B$3000,B1378,$C$7:$C$3000,C1378,$H$7:$H$3000,"&lt;"&amp;H1378,$AH$7:$AH$3000,"yes")+COUNTIFS($B$7:B1378,B1378,$C$7:C1378,C1378,$H$7:H1378,H1378,$AH$7:AH1378,"yes"),"")</f>
        <v>2</v>
      </c>
      <c r="AG1378" s="110" t="n">
        <f aca="false">IF(ISNUMBER(I1378),COUNTIFS($B$7:$B$3000,B1378,$C$7:$C$3000,C1378,$I$7:$I$3000,"&lt;"&amp;I1378,$AI$7:$AI$3000,"yes")+COUNTIFS($B$7:B1378,B1378,$C$7:C1378,C1378,$I$7:I1378,I1378,$AI$7:AI1378,"yes"),"")</f>
        <v>2</v>
      </c>
      <c r="AH1378" s="110" t="str">
        <f aca="false">IF(ISNUMBER(H1378),"yes","no")</f>
        <v>yes</v>
      </c>
      <c r="AI1378" s="110" t="str">
        <f aca="false">IF(ISNUMBER(I1378),"yes","no")</f>
        <v>yes</v>
      </c>
      <c r="AJ1378" s="120" t="n">
        <v>46297</v>
      </c>
      <c r="AK1378" s="110"/>
    </row>
    <row r="1379" customFormat="false" ht="23.85" hidden="false" customHeight="false" outlineLevel="0" collapsed="false">
      <c r="B1379" s="36" t="s">
        <v>84</v>
      </c>
      <c r="C1379" s="98" t="s">
        <v>16</v>
      </c>
      <c r="D1379" s="98" t="s">
        <v>311</v>
      </c>
      <c r="E1379" s="110" t="s">
        <v>4366</v>
      </c>
      <c r="F1379" s="99" t="n">
        <v>11.09</v>
      </c>
      <c r="G1379" s="98" t="s">
        <v>244</v>
      </c>
      <c r="H1379" s="112" t="n">
        <f aca="false">IF(AND(AE1379="yes",ISNUMBER(AD1379)),AD1379,"")</f>
        <v>11.09</v>
      </c>
      <c r="I1379" s="95" t="n">
        <f aca="false">IF(AND(AE1379="yes",ISNUMBER(AD1379),ISNUMBER(INDEX(Sources!$G$7:$G$10,MATCH(AB1379,Sources!$B$7:$B$10,0)))),ROUND(AD1379/INDEX(Sources!$G$7:$G$10,MATCH(AB1379,Sources!$B$7:$B$10,0)),6),"")</f>
        <v>11.09</v>
      </c>
      <c r="J1379" s="98" t="s">
        <v>530</v>
      </c>
      <c r="K1379" s="98" t="s">
        <v>2059</v>
      </c>
      <c r="L1379" s="96"/>
      <c r="M1379" s="110" t="s">
        <v>4367</v>
      </c>
      <c r="N1379" s="117" t="s">
        <v>4368</v>
      </c>
      <c r="O1379" s="110" t="s">
        <v>589</v>
      </c>
      <c r="P1379" s="110" t="s">
        <v>590</v>
      </c>
      <c r="Q1379" s="118" t="n">
        <v>0.19</v>
      </c>
      <c r="R1379" s="110" t="n">
        <v>1</v>
      </c>
      <c r="S1379" s="110" t="s">
        <v>632</v>
      </c>
      <c r="T1379" s="110" t="s">
        <v>530</v>
      </c>
      <c r="U1379" s="110" t="s">
        <v>2913</v>
      </c>
      <c r="V1379" s="119" t="n">
        <v>11.09</v>
      </c>
      <c r="W1379" s="119"/>
      <c r="X1379" s="110" t="s">
        <v>2063</v>
      </c>
      <c r="Y1379" s="110" t="s">
        <v>2064</v>
      </c>
      <c r="Z1379" s="110" t="s">
        <v>4369</v>
      </c>
      <c r="AA1379" s="110" t="s">
        <v>537</v>
      </c>
      <c r="AB1379" s="110" t="s">
        <v>244</v>
      </c>
      <c r="AC1379" s="110" t="s">
        <v>538</v>
      </c>
      <c r="AD1379" s="110" t="n">
        <f aca="false">IF(OR(F1379="",Q1379="",R1379=""),"",ROUND(IF(P1379="incl.",F1379/(1+Q1379),F1379)/IF(S1379="per pack",R1379,1),2))</f>
        <v>11.09</v>
      </c>
      <c r="AE1379" s="110" t="str">
        <f aca="false">IF(AND(AC1379="yes",ISNUMBER(F1379),IF(Compare!$H$5="All mapped",TRUE(),IF(Compare!$H$5="EXACT only",J1379="EXACT",OR(J1379="EXACT",J1379="CLOSE")))),"yes","no")</f>
        <v>yes</v>
      </c>
      <c r="AF1379" s="110" t="n">
        <f aca="false">IF(ISNUMBER(H1379),COUNTIFS($B$7:$B$3000,B1379,$C$7:$C$3000,C1379,$H$7:$H$3000,"&lt;"&amp;H1379,$AH$7:$AH$3000,"yes")+COUNTIFS($B$7:B1379,B1379,$C$7:C1379,C1379,$H$7:H1379,H1379,$AH$7:AH1379,"yes"),"")</f>
        <v>4</v>
      </c>
      <c r="AG1379" s="110" t="n">
        <f aca="false">IF(ISNUMBER(I1379),COUNTIFS($B$7:$B$3000,B1379,$C$7:$C$3000,C1379,$I$7:$I$3000,"&lt;"&amp;I1379,$AI$7:$AI$3000,"yes")+COUNTIFS($B$7:B1379,B1379,$C$7:C1379,C1379,$I$7:I1379,I1379,$AI$7:AI1379,"yes"),"")</f>
        <v>4</v>
      </c>
      <c r="AH1379" s="110" t="str">
        <f aca="false">IF(ISNUMBER(H1379),"yes","no")</f>
        <v>yes</v>
      </c>
      <c r="AI1379" s="110" t="str">
        <f aca="false">IF(ISNUMBER(I1379),"yes","no")</f>
        <v>yes</v>
      </c>
      <c r="AJ1379" s="120" t="n">
        <v>46297</v>
      </c>
      <c r="AK1379" s="110"/>
    </row>
    <row r="1380" customFormat="false" ht="23.85" hidden="false" customHeight="false" outlineLevel="0" collapsed="false">
      <c r="B1380" s="36" t="s">
        <v>84</v>
      </c>
      <c r="C1380" s="98" t="s">
        <v>16</v>
      </c>
      <c r="D1380" s="98" t="s">
        <v>309</v>
      </c>
      <c r="E1380" s="110" t="s">
        <v>4370</v>
      </c>
      <c r="F1380" s="99" t="n">
        <v>33</v>
      </c>
      <c r="G1380" s="98" t="s">
        <v>244</v>
      </c>
      <c r="H1380" s="112" t="n">
        <f aca="false">IF(AND(AE1380="yes",ISNUMBER(AD1380)),AD1380,"")</f>
        <v>33</v>
      </c>
      <c r="I1380" s="95" t="n">
        <f aca="false">IF(AND(AE1380="yes",ISNUMBER(AD1380),ISNUMBER(INDEX(Sources!$G$7:$G$10,MATCH(AB1380,Sources!$B$7:$B$10,0)))),ROUND(AD1380/INDEX(Sources!$G$7:$G$10,MATCH(AB1380,Sources!$B$7:$B$10,0)),6),"")</f>
        <v>33</v>
      </c>
      <c r="J1380" s="98" t="s">
        <v>530</v>
      </c>
      <c r="K1380" s="98" t="s">
        <v>2059</v>
      </c>
      <c r="L1380" s="96"/>
      <c r="M1380" s="110" t="s">
        <v>4371</v>
      </c>
      <c r="N1380" s="117" t="s">
        <v>4372</v>
      </c>
      <c r="O1380" s="110" t="s">
        <v>603</v>
      </c>
      <c r="P1380" s="110" t="s">
        <v>590</v>
      </c>
      <c r="Q1380" s="118" t="n">
        <v>0.19</v>
      </c>
      <c r="R1380" s="110" t="n">
        <v>1</v>
      </c>
      <c r="S1380" s="110" t="s">
        <v>632</v>
      </c>
      <c r="T1380" s="110" t="s">
        <v>530</v>
      </c>
      <c r="U1380" s="110" t="s">
        <v>2913</v>
      </c>
      <c r="V1380" s="119" t="n">
        <v>33</v>
      </c>
      <c r="W1380" s="119"/>
      <c r="X1380" s="110" t="s">
        <v>2063</v>
      </c>
      <c r="Y1380" s="110" t="s">
        <v>2064</v>
      </c>
      <c r="Z1380" s="110" t="s">
        <v>4373</v>
      </c>
      <c r="AA1380" s="110" t="s">
        <v>537</v>
      </c>
      <c r="AB1380" s="110" t="s">
        <v>244</v>
      </c>
      <c r="AC1380" s="110" t="s">
        <v>538</v>
      </c>
      <c r="AD1380" s="110" t="n">
        <f aca="false">IF(OR(F1380="",Q1380="",R1380=""),"",ROUND(IF(P1380="incl.",F1380/(1+Q1380),F1380)/IF(S1380="per pack",R1380,1),2))</f>
        <v>33</v>
      </c>
      <c r="AE1380" s="110" t="str">
        <f aca="false">IF(AND(AC1380="yes",ISNUMBER(F1380),IF(Compare!$H$5="All mapped",TRUE(),IF(Compare!$H$5="EXACT only",J1380="EXACT",OR(J1380="EXACT",J1380="CLOSE")))),"yes","no")</f>
        <v>yes</v>
      </c>
      <c r="AF1380" s="110" t="n">
        <f aca="false">IF(ISNUMBER(H1380),COUNTIFS($B$7:$B$3000,B1380,$C$7:$C$3000,C1380,$H$7:$H$3000,"&lt;"&amp;H1380,$AH$7:$AH$3000,"yes")+COUNTIFS($B$7:B1380,B1380,$C$7:C1380,C1380,$H$7:H1380,H1380,$AH$7:AH1380,"yes"),"")</f>
        <v>7</v>
      </c>
      <c r="AG1380" s="110" t="n">
        <f aca="false">IF(ISNUMBER(I1380),COUNTIFS($B$7:$B$3000,B1380,$C$7:$C$3000,C1380,$I$7:$I$3000,"&lt;"&amp;I1380,$AI$7:$AI$3000,"yes")+COUNTIFS($B$7:B1380,B1380,$C$7:C1380,C1380,$I$7:I1380,I1380,$AI$7:AI1380,"yes"),"")</f>
        <v>7</v>
      </c>
      <c r="AH1380" s="110" t="str">
        <f aca="false">IF(ISNUMBER(H1380),"yes","no")</f>
        <v>yes</v>
      </c>
      <c r="AI1380" s="110" t="str">
        <f aca="false">IF(ISNUMBER(I1380),"yes","no")</f>
        <v>yes</v>
      </c>
      <c r="AJ1380" s="120" t="n">
        <v>46297</v>
      </c>
      <c r="AK1380" s="110"/>
    </row>
    <row r="1381" customFormat="false" ht="23.85" hidden="false" customHeight="false" outlineLevel="0" collapsed="false">
      <c r="B1381" s="36" t="s">
        <v>84</v>
      </c>
      <c r="C1381" s="98" t="s">
        <v>16</v>
      </c>
      <c r="D1381" s="98" t="s">
        <v>313</v>
      </c>
      <c r="E1381" s="110" t="s">
        <v>4349</v>
      </c>
      <c r="F1381" s="99" t="n">
        <v>22.39</v>
      </c>
      <c r="G1381" s="98" t="s">
        <v>244</v>
      </c>
      <c r="H1381" s="112" t="n">
        <f aca="false">IF(AND(AE1381="yes",ISNUMBER(AD1381)),AD1381,"")</f>
        <v>18.82</v>
      </c>
      <c r="I1381" s="95" t="n">
        <f aca="false">IF(AND(AE1381="yes",ISNUMBER(AD1381),ISNUMBER(INDEX(Sources!$G$7:$G$10,MATCH(AB1381,Sources!$B$7:$B$10,0)))),ROUND(AD1381/INDEX(Sources!$G$7:$G$10,MATCH(AB1381,Sources!$B$7:$B$10,0)),6),"")</f>
        <v>18.82</v>
      </c>
      <c r="J1381" s="98" t="s">
        <v>530</v>
      </c>
      <c r="K1381" s="98" t="s">
        <v>2059</v>
      </c>
      <c r="L1381" s="96"/>
      <c r="M1381" s="110" t="s">
        <v>4374</v>
      </c>
      <c r="N1381" s="117" t="s">
        <v>4375</v>
      </c>
      <c r="O1381" s="110" t="s">
        <v>642</v>
      </c>
      <c r="P1381" s="110" t="s">
        <v>265</v>
      </c>
      <c r="Q1381" s="118" t="n">
        <v>0.19</v>
      </c>
      <c r="R1381" s="110" t="n">
        <v>1</v>
      </c>
      <c r="S1381" s="110" t="s">
        <v>632</v>
      </c>
      <c r="T1381" s="110" t="s">
        <v>530</v>
      </c>
      <c r="U1381" s="110" t="s">
        <v>2918</v>
      </c>
      <c r="V1381" s="119" t="n">
        <v>18.82</v>
      </c>
      <c r="W1381" s="119"/>
      <c r="X1381" s="110" t="s">
        <v>2063</v>
      </c>
      <c r="Y1381" s="110" t="s">
        <v>2064</v>
      </c>
      <c r="Z1381" s="110" t="s">
        <v>4376</v>
      </c>
      <c r="AA1381" s="110" t="s">
        <v>537</v>
      </c>
      <c r="AB1381" s="110" t="s">
        <v>244</v>
      </c>
      <c r="AC1381" s="110" t="s">
        <v>538</v>
      </c>
      <c r="AD1381" s="110" t="n">
        <f aca="false">IF(OR(F1381="",Q1381="",R1381=""),"",ROUND(IF(P1381="incl.",F1381/(1+Q1381),F1381)/IF(S1381="per pack",R1381,1),2))</f>
        <v>18.82</v>
      </c>
      <c r="AE1381" s="110" t="str">
        <f aca="false">IF(AND(AC1381="yes",ISNUMBER(F1381),IF(Compare!$H$5="All mapped",TRUE(),IF(Compare!$H$5="EXACT only",J1381="EXACT",OR(J1381="EXACT",J1381="CLOSE")))),"yes","no")</f>
        <v>yes</v>
      </c>
      <c r="AF1381" s="110" t="n">
        <f aca="false">IF(ISNUMBER(H1381),COUNTIFS($B$7:$B$3000,B1381,$C$7:$C$3000,C1381,$H$7:$H$3000,"&lt;"&amp;H1381,$AH$7:$AH$3000,"yes")+COUNTIFS($B$7:B1381,B1381,$C$7:C1381,C1381,$H$7:H1381,H1381,$AH$7:AH1381,"yes"),"")</f>
        <v>6</v>
      </c>
      <c r="AG1381" s="110" t="n">
        <f aca="false">IF(ISNUMBER(I1381),COUNTIFS($B$7:$B$3000,B1381,$C$7:$C$3000,C1381,$I$7:$I$3000,"&lt;"&amp;I1381,$AI$7:$AI$3000,"yes")+COUNTIFS($B$7:B1381,B1381,$C$7:C1381,C1381,$I$7:I1381,I1381,$AI$7:AI1381,"yes"),"")</f>
        <v>6</v>
      </c>
      <c r="AH1381" s="110" t="str">
        <f aca="false">IF(ISNUMBER(H1381),"yes","no")</f>
        <v>yes</v>
      </c>
      <c r="AI1381" s="110" t="str">
        <f aca="false">IF(ISNUMBER(I1381),"yes","no")</f>
        <v>yes</v>
      </c>
      <c r="AJ1381" s="120" t="n">
        <v>46297</v>
      </c>
      <c r="AK1381" s="110"/>
    </row>
    <row r="1382" customFormat="false" ht="23.85" hidden="false" customHeight="false" outlineLevel="0" collapsed="false">
      <c r="B1382" s="36" t="s">
        <v>84</v>
      </c>
      <c r="C1382" s="98" t="s">
        <v>16</v>
      </c>
      <c r="D1382" s="98" t="s">
        <v>321</v>
      </c>
      <c r="E1382" s="110" t="s">
        <v>4377</v>
      </c>
      <c r="F1382" s="99" t="n">
        <v>16.76</v>
      </c>
      <c r="G1382" s="98" t="s">
        <v>244</v>
      </c>
      <c r="H1382" s="112" t="n">
        <f aca="false">IF(AND(AE1382="yes",ISNUMBER(AD1382)),AD1382,"")</f>
        <v>16.76</v>
      </c>
      <c r="I1382" s="95" t="n">
        <f aca="false">IF(AND(AE1382="yes",ISNUMBER(AD1382),ISNUMBER(INDEX(Sources!$G$7:$G$10,MATCH(AB1382,Sources!$B$7:$B$10,0)))),ROUND(AD1382/INDEX(Sources!$G$7:$G$10,MATCH(AB1382,Sources!$B$7:$B$10,0)),6),"")</f>
        <v>16.76</v>
      </c>
      <c r="J1382" s="98" t="s">
        <v>530</v>
      </c>
      <c r="K1382" s="98" t="s">
        <v>2059</v>
      </c>
      <c r="L1382" s="96"/>
      <c r="M1382" s="110" t="s">
        <v>4378</v>
      </c>
      <c r="N1382" s="117" t="s">
        <v>4379</v>
      </c>
      <c r="O1382" s="110" t="s">
        <v>4380</v>
      </c>
      <c r="P1382" s="110" t="s">
        <v>590</v>
      </c>
      <c r="Q1382" s="118" t="n">
        <v>0.19</v>
      </c>
      <c r="R1382" s="110" t="n">
        <v>1</v>
      </c>
      <c r="S1382" s="110" t="s">
        <v>632</v>
      </c>
      <c r="T1382" s="110" t="s">
        <v>530</v>
      </c>
      <c r="U1382" s="110" t="s">
        <v>2913</v>
      </c>
      <c r="V1382" s="119" t="n">
        <v>16.76</v>
      </c>
      <c r="W1382" s="119"/>
      <c r="X1382" s="110" t="s">
        <v>2063</v>
      </c>
      <c r="Y1382" s="110" t="s">
        <v>2064</v>
      </c>
      <c r="Z1382" s="110" t="s">
        <v>2857</v>
      </c>
      <c r="AA1382" s="110" t="s">
        <v>537</v>
      </c>
      <c r="AB1382" s="110" t="s">
        <v>244</v>
      </c>
      <c r="AC1382" s="110" t="s">
        <v>538</v>
      </c>
      <c r="AD1382" s="110" t="n">
        <f aca="false">IF(OR(F1382="",Q1382="",R1382=""),"",ROUND(IF(P1382="incl.",F1382/(1+Q1382),F1382)/IF(S1382="per pack",R1382,1),2))</f>
        <v>16.76</v>
      </c>
      <c r="AE1382" s="110" t="str">
        <f aca="false">IF(AND(AC1382="yes",ISNUMBER(F1382),IF(Compare!$H$5="All mapped",TRUE(),IF(Compare!$H$5="EXACT only",J1382="EXACT",OR(J1382="EXACT",J1382="CLOSE")))),"yes","no")</f>
        <v>yes</v>
      </c>
      <c r="AF1382" s="110" t="n">
        <f aca="false">IF(ISNUMBER(H1382),COUNTIFS($B$7:$B$3000,B1382,$C$7:$C$3000,C1382,$H$7:$H$3000,"&lt;"&amp;H1382,$AH$7:$AH$3000,"yes")+COUNTIFS($B$7:B1382,B1382,$C$7:C1382,C1382,$H$7:H1382,H1382,$AH$7:AH1382,"yes"),"")</f>
        <v>5</v>
      </c>
      <c r="AG1382" s="110" t="n">
        <f aca="false">IF(ISNUMBER(I1382),COUNTIFS($B$7:$B$3000,B1382,$C$7:$C$3000,C1382,$I$7:$I$3000,"&lt;"&amp;I1382,$AI$7:$AI$3000,"yes")+COUNTIFS($B$7:B1382,B1382,$C$7:C1382,C1382,$I$7:I1382,I1382,$AI$7:AI1382,"yes"),"")</f>
        <v>5</v>
      </c>
      <c r="AH1382" s="110" t="str">
        <f aca="false">IF(ISNUMBER(H1382),"yes","no")</f>
        <v>yes</v>
      </c>
      <c r="AI1382" s="110" t="str">
        <f aca="false">IF(ISNUMBER(I1382),"yes","no")</f>
        <v>yes</v>
      </c>
      <c r="AJ1382" s="120" t="n">
        <v>46297</v>
      </c>
      <c r="AK1382" s="110"/>
    </row>
    <row r="1383" customFormat="false" ht="35.05" hidden="false" customHeight="false" outlineLevel="0" collapsed="false">
      <c r="B1383" s="36" t="s">
        <v>84</v>
      </c>
      <c r="C1383" s="98" t="s">
        <v>16</v>
      </c>
      <c r="D1383" s="98" t="s">
        <v>329</v>
      </c>
      <c r="E1383" s="110" t="s">
        <v>4381</v>
      </c>
      <c r="F1383" s="99" t="n">
        <v>8.99</v>
      </c>
      <c r="G1383" s="98" t="s">
        <v>244</v>
      </c>
      <c r="H1383" s="112" t="n">
        <f aca="false">IF(AND(AE1383="yes",ISNUMBER(AD1383)),AD1383,"")</f>
        <v>8.99</v>
      </c>
      <c r="I1383" s="95" t="n">
        <f aca="false">IF(AND(AE1383="yes",ISNUMBER(AD1383),ISNUMBER(INDEX(Sources!$G$7:$G$10,MATCH(AB1383,Sources!$B$7:$B$10,0)))),ROUND(AD1383/INDEX(Sources!$G$7:$G$10,MATCH(AB1383,Sources!$B$7:$B$10,0)),6),"")</f>
        <v>8.99</v>
      </c>
      <c r="J1383" s="98" t="s">
        <v>530</v>
      </c>
      <c r="K1383" s="98" t="s">
        <v>2059</v>
      </c>
      <c r="L1383" s="96"/>
      <c r="M1383" s="110" t="s">
        <v>4382</v>
      </c>
      <c r="N1383" s="117" t="s">
        <v>4383</v>
      </c>
      <c r="O1383" s="110" t="s">
        <v>817</v>
      </c>
      <c r="P1383" s="110" t="s">
        <v>590</v>
      </c>
      <c r="Q1383" s="118" t="n">
        <v>0.19</v>
      </c>
      <c r="R1383" s="110" t="n">
        <v>1</v>
      </c>
      <c r="S1383" s="110" t="s">
        <v>632</v>
      </c>
      <c r="T1383" s="110" t="s">
        <v>530</v>
      </c>
      <c r="U1383" s="110" t="s">
        <v>2913</v>
      </c>
      <c r="V1383" s="119" t="n">
        <v>8.99</v>
      </c>
      <c r="W1383" s="119"/>
      <c r="X1383" s="110" t="s">
        <v>2063</v>
      </c>
      <c r="Y1383" s="110" t="s">
        <v>2064</v>
      </c>
      <c r="Z1383" s="110" t="s">
        <v>2624</v>
      </c>
      <c r="AA1383" s="110" t="s">
        <v>537</v>
      </c>
      <c r="AB1383" s="110" t="s">
        <v>244</v>
      </c>
      <c r="AC1383" s="110" t="s">
        <v>538</v>
      </c>
      <c r="AD1383" s="110" t="n">
        <f aca="false">IF(OR(F1383="",Q1383="",R1383=""),"",ROUND(IF(P1383="incl.",F1383/(1+Q1383),F1383)/IF(S1383="per pack",R1383,1),2))</f>
        <v>8.99</v>
      </c>
      <c r="AE1383" s="110" t="str">
        <f aca="false">IF(AND(AC1383="yes",ISNUMBER(F1383),IF(Compare!$H$5="All mapped",TRUE(),IF(Compare!$H$5="EXACT only",J1383="EXACT",OR(J1383="EXACT",J1383="CLOSE")))),"yes","no")</f>
        <v>yes</v>
      </c>
      <c r="AF1383" s="110" t="n">
        <f aca="false">IF(ISNUMBER(H1383),COUNTIFS($B$7:$B$3000,B1383,$C$7:$C$3000,C1383,$H$7:$H$3000,"&lt;"&amp;H1383,$AH$7:$AH$3000,"yes")+COUNTIFS($B$7:B1383,B1383,$C$7:C1383,C1383,$H$7:H1383,H1383,$AH$7:AH1383,"yes"),"")</f>
        <v>3</v>
      </c>
      <c r="AG1383" s="110" t="n">
        <f aca="false">IF(ISNUMBER(I1383),COUNTIFS($B$7:$B$3000,B1383,$C$7:$C$3000,C1383,$I$7:$I$3000,"&lt;"&amp;I1383,$AI$7:$AI$3000,"yes")+COUNTIFS($B$7:B1383,B1383,$C$7:C1383,C1383,$I$7:I1383,I1383,$AI$7:AI1383,"yes"),"")</f>
        <v>3</v>
      </c>
      <c r="AH1383" s="110" t="str">
        <f aca="false">IF(ISNUMBER(H1383),"yes","no")</f>
        <v>yes</v>
      </c>
      <c r="AI1383" s="110" t="str">
        <f aca="false">IF(ISNUMBER(I1383),"yes","no")</f>
        <v>yes</v>
      </c>
      <c r="AJ1383" s="120" t="n">
        <v>46297</v>
      </c>
      <c r="AK1383" s="110"/>
    </row>
    <row r="1384" customFormat="false" ht="23.85" hidden="false" customHeight="false" outlineLevel="0" collapsed="false">
      <c r="B1384" s="36" t="s">
        <v>84</v>
      </c>
      <c r="C1384" s="98" t="s">
        <v>17</v>
      </c>
      <c r="D1384" s="98" t="s">
        <v>338</v>
      </c>
      <c r="E1384" s="110" t="s">
        <v>4384</v>
      </c>
      <c r="F1384" s="99" t="n">
        <v>373</v>
      </c>
      <c r="G1384" s="98" t="s">
        <v>333</v>
      </c>
      <c r="H1384" s="112" t="n">
        <f aca="false">IF(AND(AE1384="yes",ISNUMBER(AD1384)),AD1384,"")</f>
        <v>308.26</v>
      </c>
      <c r="I1384" s="95" t="n">
        <f aca="false">IF(AND(AE1384="yes",ISNUMBER(AD1384),ISNUMBER(INDEX(Sources!$G$7:$G$10,MATCH(AB1384,Sources!$B$7:$B$10,0)))),ROUND(AD1384/INDEX(Sources!$G$7:$G$10,MATCH(AB1384,Sources!$B$7:$B$10,0)),6),"")</f>
        <v>12.621391</v>
      </c>
      <c r="J1384" s="98" t="s">
        <v>530</v>
      </c>
      <c r="K1384" s="98" t="s">
        <v>2059</v>
      </c>
      <c r="L1384" s="96"/>
      <c r="M1384" s="110" t="s">
        <v>4385</v>
      </c>
      <c r="N1384" s="117" t="s">
        <v>4386</v>
      </c>
      <c r="O1384" s="110" t="s">
        <v>388</v>
      </c>
      <c r="P1384" s="110" t="s">
        <v>265</v>
      </c>
      <c r="Q1384" s="118" t="n">
        <v>0.21</v>
      </c>
      <c r="R1384" s="110" t="n">
        <v>1</v>
      </c>
      <c r="S1384" s="110" t="s">
        <v>632</v>
      </c>
      <c r="T1384" s="110" t="s">
        <v>530</v>
      </c>
      <c r="U1384" s="110" t="s">
        <v>2918</v>
      </c>
      <c r="V1384" s="119" t="n">
        <v>308.26</v>
      </c>
      <c r="W1384" s="119"/>
      <c r="X1384" s="110" t="s">
        <v>2063</v>
      </c>
      <c r="Y1384" s="110" t="s">
        <v>2064</v>
      </c>
      <c r="Z1384" s="110" t="s">
        <v>4387</v>
      </c>
      <c r="AA1384" s="110" t="s">
        <v>537</v>
      </c>
      <c r="AB1384" s="110" t="s">
        <v>333</v>
      </c>
      <c r="AC1384" s="110" t="s">
        <v>538</v>
      </c>
      <c r="AD1384" s="110" t="n">
        <f aca="false">IF(OR(F1384="",Q1384="",R1384=""),"",ROUND(IF(P1384="incl.",F1384/(1+Q1384),F1384)/IF(S1384="per pack",R1384,1),2))</f>
        <v>308.26</v>
      </c>
      <c r="AE1384" s="110" t="str">
        <f aca="false">IF(AND(AC1384="yes",ISNUMBER(F1384),IF(Compare!$H$5="All mapped",TRUE(),IF(Compare!$H$5="EXACT only",J1384="EXACT",OR(J1384="EXACT",J1384="CLOSE")))),"yes","no")</f>
        <v>yes</v>
      </c>
      <c r="AF1384" s="110" t="n">
        <f aca="false">IF(ISNUMBER(H1384),COUNTIFS($B$7:$B$3000,B1384,$C$7:$C$3000,C1384,$H$7:$H$3000,"&lt;"&amp;H1384,$AH$7:$AH$3000,"yes")+COUNTIFS($B$7:B1384,B1384,$C$7:C1384,C1384,$H$7:H1384,H1384,$AH$7:AH1384,"yes"),"")</f>
        <v>3</v>
      </c>
      <c r="AG1384" s="110" t="n">
        <f aca="false">IF(ISNUMBER(I1384),COUNTIFS($B$7:$B$3000,B1384,$C$7:$C$3000,C1384,$I$7:$I$3000,"&lt;"&amp;I1384,$AI$7:$AI$3000,"yes")+COUNTIFS($B$7:B1384,B1384,$C$7:C1384,C1384,$I$7:I1384,I1384,$AI$7:AI1384,"yes"),"")</f>
        <v>3</v>
      </c>
      <c r="AH1384" s="110" t="str">
        <f aca="false">IF(ISNUMBER(H1384),"yes","no")</f>
        <v>yes</v>
      </c>
      <c r="AI1384" s="110" t="str">
        <f aca="false">IF(ISNUMBER(I1384),"yes","no")</f>
        <v>yes</v>
      </c>
      <c r="AJ1384" s="120" t="n">
        <v>46297</v>
      </c>
      <c r="AK1384" s="110"/>
    </row>
    <row r="1385" customFormat="false" ht="35.05" hidden="false" customHeight="false" outlineLevel="0" collapsed="false">
      <c r="B1385" s="36" t="s">
        <v>84</v>
      </c>
      <c r="C1385" s="98" t="s">
        <v>17</v>
      </c>
      <c r="D1385" s="98" t="s">
        <v>342</v>
      </c>
      <c r="E1385" s="110" t="s">
        <v>4388</v>
      </c>
      <c r="F1385" s="99" t="n">
        <v>382</v>
      </c>
      <c r="G1385" s="98" t="s">
        <v>333</v>
      </c>
      <c r="H1385" s="112" t="n">
        <f aca="false">IF(AND(AE1385="yes",ISNUMBER(AD1385)),AD1385,"")</f>
        <v>382</v>
      </c>
      <c r="I1385" s="95" t="n">
        <f aca="false">IF(AND(AE1385="yes",ISNUMBER(AD1385),ISNUMBER(INDEX(Sources!$G$7:$G$10,MATCH(AB1385,Sources!$B$7:$B$10,0)))),ROUND(AD1385/INDEX(Sources!$G$7:$G$10,MATCH(AB1385,Sources!$B$7:$B$10,0)),6),"")</f>
        <v>15.6406</v>
      </c>
      <c r="J1385" s="98" t="s">
        <v>530</v>
      </c>
      <c r="K1385" s="98" t="s">
        <v>2059</v>
      </c>
      <c r="L1385" s="96"/>
      <c r="M1385" s="110" t="s">
        <v>4389</v>
      </c>
      <c r="N1385" s="117" t="s">
        <v>4390</v>
      </c>
      <c r="O1385" s="110" t="s">
        <v>388</v>
      </c>
      <c r="P1385" s="110" t="s">
        <v>590</v>
      </c>
      <c r="Q1385" s="118" t="n">
        <v>0.21</v>
      </c>
      <c r="R1385" s="110" t="n">
        <v>1</v>
      </c>
      <c r="S1385" s="110" t="s">
        <v>632</v>
      </c>
      <c r="T1385" s="110" t="s">
        <v>530</v>
      </c>
      <c r="U1385" s="110" t="s">
        <v>2913</v>
      </c>
      <c r="V1385" s="119" t="n">
        <v>382</v>
      </c>
      <c r="W1385" s="119"/>
      <c r="X1385" s="110" t="s">
        <v>2063</v>
      </c>
      <c r="Y1385" s="110" t="s">
        <v>2064</v>
      </c>
      <c r="Z1385" s="110" t="s">
        <v>4391</v>
      </c>
      <c r="AA1385" s="110" t="s">
        <v>537</v>
      </c>
      <c r="AB1385" s="110" t="s">
        <v>333</v>
      </c>
      <c r="AC1385" s="110" t="s">
        <v>538</v>
      </c>
      <c r="AD1385" s="110" t="n">
        <f aca="false">IF(OR(F1385="",Q1385="",R1385=""),"",ROUND(IF(P1385="incl.",F1385/(1+Q1385),F1385)/IF(S1385="per pack",R1385,1),2))</f>
        <v>382</v>
      </c>
      <c r="AE1385" s="110" t="str">
        <f aca="false">IF(AND(AC1385="yes",ISNUMBER(F1385),IF(Compare!$H$5="All mapped",TRUE(),IF(Compare!$H$5="EXACT only",J1385="EXACT",OR(J1385="EXACT",J1385="CLOSE")))),"yes","no")</f>
        <v>yes</v>
      </c>
      <c r="AF1385" s="110" t="n">
        <f aca="false">IF(ISNUMBER(H1385),COUNTIFS($B$7:$B$3000,B1385,$C$7:$C$3000,C1385,$H$7:$H$3000,"&lt;"&amp;H1385,$AH$7:$AH$3000,"yes")+COUNTIFS($B$7:B1385,B1385,$C$7:C1385,C1385,$H$7:H1385,H1385,$AH$7:AH1385,"yes"),"")</f>
        <v>5</v>
      </c>
      <c r="AG1385" s="110" t="n">
        <f aca="false">IF(ISNUMBER(I1385),COUNTIFS($B$7:$B$3000,B1385,$C$7:$C$3000,C1385,$I$7:$I$3000,"&lt;"&amp;I1385,$AI$7:$AI$3000,"yes")+COUNTIFS($B$7:B1385,B1385,$C$7:C1385,C1385,$I$7:I1385,I1385,$AI$7:AI1385,"yes"),"")</f>
        <v>5</v>
      </c>
      <c r="AH1385" s="110" t="str">
        <f aca="false">IF(ISNUMBER(H1385),"yes","no")</f>
        <v>yes</v>
      </c>
      <c r="AI1385" s="110" t="str">
        <f aca="false">IF(ISNUMBER(I1385),"yes","no")</f>
        <v>yes</v>
      </c>
      <c r="AJ1385" s="120" t="n">
        <v>46297</v>
      </c>
      <c r="AK1385" s="110"/>
    </row>
    <row r="1386" customFormat="false" ht="35.05" hidden="false" customHeight="false" outlineLevel="0" collapsed="false">
      <c r="B1386" s="36" t="s">
        <v>84</v>
      </c>
      <c r="C1386" s="98" t="s">
        <v>17</v>
      </c>
      <c r="D1386" s="98" t="s">
        <v>346</v>
      </c>
      <c r="E1386" s="110" t="s">
        <v>4392</v>
      </c>
      <c r="F1386" s="99" t="n">
        <v>331</v>
      </c>
      <c r="G1386" s="98" t="s">
        <v>333</v>
      </c>
      <c r="H1386" s="112" t="n">
        <f aca="false">IF(AND(AE1386="yes",ISNUMBER(AD1386)),AD1386,"")</f>
        <v>331</v>
      </c>
      <c r="I1386" s="95" t="n">
        <f aca="false">IF(AND(AE1386="yes",ISNUMBER(AD1386),ISNUMBER(INDEX(Sources!$G$7:$G$10,MATCH(AB1386,Sources!$B$7:$B$10,0)))),ROUND(AD1386/INDEX(Sources!$G$7:$G$10,MATCH(AB1386,Sources!$B$7:$B$10,0)),6),"")</f>
        <v>13.552457</v>
      </c>
      <c r="J1386" s="98" t="s">
        <v>530</v>
      </c>
      <c r="K1386" s="98" t="s">
        <v>2059</v>
      </c>
      <c r="L1386" s="96"/>
      <c r="M1386" s="110" t="s">
        <v>4393</v>
      </c>
      <c r="N1386" s="117" t="s">
        <v>4394</v>
      </c>
      <c r="O1386" s="110" t="s">
        <v>662</v>
      </c>
      <c r="P1386" s="110" t="s">
        <v>590</v>
      </c>
      <c r="Q1386" s="118" t="n">
        <v>0.21</v>
      </c>
      <c r="R1386" s="110" t="n">
        <v>1</v>
      </c>
      <c r="S1386" s="110" t="s">
        <v>632</v>
      </c>
      <c r="T1386" s="110" t="s">
        <v>530</v>
      </c>
      <c r="U1386" s="110" t="s">
        <v>2913</v>
      </c>
      <c r="V1386" s="119" t="n">
        <v>331</v>
      </c>
      <c r="W1386" s="119"/>
      <c r="X1386" s="110" t="s">
        <v>2063</v>
      </c>
      <c r="Y1386" s="110" t="s">
        <v>2064</v>
      </c>
      <c r="Z1386" s="110" t="s">
        <v>4395</v>
      </c>
      <c r="AA1386" s="110" t="s">
        <v>537</v>
      </c>
      <c r="AB1386" s="110" t="s">
        <v>333</v>
      </c>
      <c r="AC1386" s="110" t="s">
        <v>538</v>
      </c>
      <c r="AD1386" s="110" t="n">
        <f aca="false">IF(OR(F1386="",Q1386="",R1386=""),"",ROUND(IF(P1386="incl.",F1386/(1+Q1386),F1386)/IF(S1386="per pack",R1386,1),2))</f>
        <v>331</v>
      </c>
      <c r="AE1386" s="110" t="str">
        <f aca="false">IF(AND(AC1386="yes",ISNUMBER(F1386),IF(Compare!$H$5="All mapped",TRUE(),IF(Compare!$H$5="EXACT only",J1386="EXACT",OR(J1386="EXACT",J1386="CLOSE")))),"yes","no")</f>
        <v>yes</v>
      </c>
      <c r="AF1386" s="110" t="n">
        <f aca="false">IF(ISNUMBER(H1386),COUNTIFS($B$7:$B$3000,B1386,$C$7:$C$3000,C1386,$H$7:$H$3000,"&lt;"&amp;H1386,$AH$7:$AH$3000,"yes")+COUNTIFS($B$7:B1386,B1386,$C$7:C1386,C1386,$H$7:H1386,H1386,$AH$7:AH1386,"yes"),"")</f>
        <v>4</v>
      </c>
      <c r="AG1386" s="110" t="n">
        <f aca="false">IF(ISNUMBER(I1386),COUNTIFS($B$7:$B$3000,B1386,$C$7:$C$3000,C1386,$I$7:$I$3000,"&lt;"&amp;I1386,$AI$7:$AI$3000,"yes")+COUNTIFS($B$7:B1386,B1386,$C$7:C1386,C1386,$I$7:I1386,I1386,$AI$7:AI1386,"yes"),"")</f>
        <v>4</v>
      </c>
      <c r="AH1386" s="110" t="str">
        <f aca="false">IF(ISNUMBER(H1386),"yes","no")</f>
        <v>yes</v>
      </c>
      <c r="AI1386" s="110" t="str">
        <f aca="false">IF(ISNUMBER(I1386),"yes","no")</f>
        <v>yes</v>
      </c>
      <c r="AJ1386" s="120" t="n">
        <v>46297</v>
      </c>
      <c r="AK1386" s="110"/>
    </row>
    <row r="1387" customFormat="false" ht="23.85" hidden="false" customHeight="false" outlineLevel="0" collapsed="false">
      <c r="B1387" s="36" t="s">
        <v>84</v>
      </c>
      <c r="C1387" s="98" t="s">
        <v>17</v>
      </c>
      <c r="D1387" s="98" t="s">
        <v>350</v>
      </c>
      <c r="E1387" s="110" t="s">
        <v>4396</v>
      </c>
      <c r="F1387" s="99" t="n">
        <v>250</v>
      </c>
      <c r="G1387" s="98" t="s">
        <v>333</v>
      </c>
      <c r="H1387" s="112" t="n">
        <f aca="false">IF(AND(AE1387="yes",ISNUMBER(AD1387)),AD1387,"")</f>
        <v>206.61</v>
      </c>
      <c r="I1387" s="95" t="n">
        <f aca="false">IF(AND(AE1387="yes",ISNUMBER(AD1387),ISNUMBER(INDEX(Sources!$G$7:$G$10,MATCH(AB1387,Sources!$B$7:$B$10,0)))),ROUND(AD1387/INDEX(Sources!$G$7:$G$10,MATCH(AB1387,Sources!$B$7:$B$10,0)),6),"")</f>
        <v>8.459435</v>
      </c>
      <c r="J1387" s="98" t="s">
        <v>530</v>
      </c>
      <c r="K1387" s="98" t="s">
        <v>2059</v>
      </c>
      <c r="L1387" s="96"/>
      <c r="M1387" s="110" t="s">
        <v>4397</v>
      </c>
      <c r="N1387" s="117" t="s">
        <v>4398</v>
      </c>
      <c r="O1387" s="110" t="s">
        <v>2452</v>
      </c>
      <c r="P1387" s="110" t="s">
        <v>265</v>
      </c>
      <c r="Q1387" s="118" t="n">
        <v>0.21</v>
      </c>
      <c r="R1387" s="110" t="n">
        <v>1</v>
      </c>
      <c r="S1387" s="110" t="s">
        <v>632</v>
      </c>
      <c r="T1387" s="110" t="s">
        <v>530</v>
      </c>
      <c r="U1387" s="110" t="s">
        <v>2918</v>
      </c>
      <c r="V1387" s="119" t="n">
        <v>206.61</v>
      </c>
      <c r="W1387" s="119"/>
      <c r="X1387" s="110" t="s">
        <v>2063</v>
      </c>
      <c r="Y1387" s="110" t="s">
        <v>2064</v>
      </c>
      <c r="Z1387" s="110" t="s">
        <v>2349</v>
      </c>
      <c r="AA1387" s="110" t="s">
        <v>537</v>
      </c>
      <c r="AB1387" s="110" t="s">
        <v>333</v>
      </c>
      <c r="AC1387" s="110" t="s">
        <v>538</v>
      </c>
      <c r="AD1387" s="110" t="n">
        <f aca="false">IF(OR(F1387="",Q1387="",R1387=""),"",ROUND(IF(P1387="incl.",F1387/(1+Q1387),F1387)/IF(S1387="per pack",R1387,1),2))</f>
        <v>206.61</v>
      </c>
      <c r="AE1387" s="110" t="str">
        <f aca="false">IF(AND(AC1387="yes",ISNUMBER(F1387),IF(Compare!$H$5="All mapped",TRUE(),IF(Compare!$H$5="EXACT only",J1387="EXACT",OR(J1387="EXACT",J1387="CLOSE")))),"yes","no")</f>
        <v>yes</v>
      </c>
      <c r="AF1387" s="110" t="n">
        <f aca="false">IF(ISNUMBER(H1387),COUNTIFS($B$7:$B$3000,B1387,$C$7:$C$3000,C1387,$H$7:$H$3000,"&lt;"&amp;H1387,$AH$7:$AH$3000,"yes")+COUNTIFS($B$7:B1387,B1387,$C$7:C1387,C1387,$H$7:H1387,H1387,$AH$7:AH1387,"yes"),"")</f>
        <v>1</v>
      </c>
      <c r="AG1387" s="110" t="n">
        <f aca="false">IF(ISNUMBER(I1387),COUNTIFS($B$7:$B$3000,B1387,$C$7:$C$3000,C1387,$I$7:$I$3000,"&lt;"&amp;I1387,$AI$7:$AI$3000,"yes")+COUNTIFS($B$7:B1387,B1387,$C$7:C1387,C1387,$I$7:I1387,I1387,$AI$7:AI1387,"yes"),"")</f>
        <v>1</v>
      </c>
      <c r="AH1387" s="110" t="str">
        <f aca="false">IF(ISNUMBER(H1387),"yes","no")</f>
        <v>yes</v>
      </c>
      <c r="AI1387" s="110" t="str">
        <f aca="false">IF(ISNUMBER(I1387),"yes","no")</f>
        <v>yes</v>
      </c>
      <c r="AJ1387" s="120" t="n">
        <v>46297</v>
      </c>
      <c r="AK1387" s="110"/>
    </row>
    <row r="1388" customFormat="false" ht="35.05" hidden="false" customHeight="false" outlineLevel="0" collapsed="false">
      <c r="B1388" s="36" t="s">
        <v>84</v>
      </c>
      <c r="C1388" s="98" t="s">
        <v>17</v>
      </c>
      <c r="D1388" s="98" t="s">
        <v>361</v>
      </c>
      <c r="E1388" s="110" t="s">
        <v>4399</v>
      </c>
      <c r="F1388" s="99" t="n">
        <v>294</v>
      </c>
      <c r="G1388" s="98" t="s">
        <v>333</v>
      </c>
      <c r="H1388" s="112" t="n">
        <f aca="false">IF(AND(AE1388="yes",ISNUMBER(AD1388)),AD1388,"")</f>
        <v>242.98</v>
      </c>
      <c r="I1388" s="95" t="n">
        <f aca="false">IF(AND(AE1388="yes",ISNUMBER(AD1388),ISNUMBER(INDEX(Sources!$G$7:$G$10,MATCH(AB1388,Sources!$B$7:$B$10,0)))),ROUND(AD1388/INDEX(Sources!$G$7:$G$10,MATCH(AB1388,Sources!$B$7:$B$10,0)),6),"")</f>
        <v>9.948568</v>
      </c>
      <c r="J1388" s="98" t="s">
        <v>530</v>
      </c>
      <c r="K1388" s="98" t="s">
        <v>2059</v>
      </c>
      <c r="L1388" s="96"/>
      <c r="M1388" s="110" t="s">
        <v>4400</v>
      </c>
      <c r="N1388" s="117" t="s">
        <v>4401</v>
      </c>
      <c r="O1388" s="110" t="s">
        <v>642</v>
      </c>
      <c r="P1388" s="110" t="s">
        <v>265</v>
      </c>
      <c r="Q1388" s="118" t="n">
        <v>0.21</v>
      </c>
      <c r="R1388" s="110" t="n">
        <v>1</v>
      </c>
      <c r="S1388" s="110" t="s">
        <v>632</v>
      </c>
      <c r="T1388" s="110" t="s">
        <v>530</v>
      </c>
      <c r="U1388" s="110" t="s">
        <v>2918</v>
      </c>
      <c r="V1388" s="119" t="n">
        <v>242.98</v>
      </c>
      <c r="W1388" s="119"/>
      <c r="X1388" s="110" t="s">
        <v>2063</v>
      </c>
      <c r="Y1388" s="110" t="s">
        <v>2064</v>
      </c>
      <c r="Z1388" s="110" t="s">
        <v>2400</v>
      </c>
      <c r="AA1388" s="110" t="s">
        <v>537</v>
      </c>
      <c r="AB1388" s="110" t="s">
        <v>333</v>
      </c>
      <c r="AC1388" s="110" t="s">
        <v>538</v>
      </c>
      <c r="AD1388" s="110" t="n">
        <f aca="false">IF(OR(F1388="",Q1388="",R1388=""),"",ROUND(IF(P1388="incl.",F1388/(1+Q1388),F1388)/IF(S1388="per pack",R1388,1),2))</f>
        <v>242.98</v>
      </c>
      <c r="AE1388" s="110" t="str">
        <f aca="false">IF(AND(AC1388="yes",ISNUMBER(F1388),IF(Compare!$H$5="All mapped",TRUE(),IF(Compare!$H$5="EXACT only",J1388="EXACT",OR(J1388="EXACT",J1388="CLOSE")))),"yes","no")</f>
        <v>yes</v>
      </c>
      <c r="AF1388" s="110" t="n">
        <f aca="false">IF(ISNUMBER(H1388),COUNTIFS($B$7:$B$3000,B1388,$C$7:$C$3000,C1388,$H$7:$H$3000,"&lt;"&amp;H1388,$AH$7:$AH$3000,"yes")+COUNTIFS($B$7:B1388,B1388,$C$7:C1388,C1388,$H$7:H1388,H1388,$AH$7:AH1388,"yes"),"")</f>
        <v>2</v>
      </c>
      <c r="AG1388" s="110" t="n">
        <f aca="false">IF(ISNUMBER(I1388),COUNTIFS($B$7:$B$3000,B1388,$C$7:$C$3000,C1388,$I$7:$I$3000,"&lt;"&amp;I1388,$AI$7:$AI$3000,"yes")+COUNTIFS($B$7:B1388,B1388,$C$7:C1388,C1388,$I$7:I1388,I1388,$AI$7:AI1388,"yes"),"")</f>
        <v>2</v>
      </c>
      <c r="AH1388" s="110" t="str">
        <f aca="false">IF(ISNUMBER(H1388),"yes","no")</f>
        <v>yes</v>
      </c>
      <c r="AI1388" s="110" t="str">
        <f aca="false">IF(ISNUMBER(I1388),"yes","no")</f>
        <v>yes</v>
      </c>
      <c r="AJ1388" s="120" t="n">
        <v>46297</v>
      </c>
      <c r="AK1388" s="110"/>
    </row>
    <row r="1389" customFormat="false" ht="35.05" hidden="false" customHeight="false" outlineLevel="0" collapsed="false">
      <c r="B1389" s="36" t="s">
        <v>84</v>
      </c>
      <c r="C1389" s="98" t="s">
        <v>18</v>
      </c>
      <c r="D1389" s="98" t="s">
        <v>3002</v>
      </c>
      <c r="E1389" s="110" t="s">
        <v>4402</v>
      </c>
      <c r="F1389" s="99" t="n">
        <v>12</v>
      </c>
      <c r="G1389" s="98" t="s">
        <v>244</v>
      </c>
      <c r="H1389" s="112" t="n">
        <f aca="false">IF(AND(AE1389="yes",ISNUMBER(AD1389)),AD1389,"")</f>
        <v>12</v>
      </c>
      <c r="I1389" s="95" t="n">
        <f aca="false">IF(AND(AE1389="yes",ISNUMBER(AD1389),ISNUMBER(INDEX(Sources!$G$7:$G$10,MATCH(AB1389,Sources!$B$7:$B$10,0)))),ROUND(AD1389/INDEX(Sources!$G$7:$G$10,MATCH(AB1389,Sources!$B$7:$B$10,0)),6),"")</f>
        <v>12</v>
      </c>
      <c r="J1389" s="98" t="s">
        <v>530</v>
      </c>
      <c r="K1389" s="98" t="s">
        <v>2059</v>
      </c>
      <c r="L1389" s="96"/>
      <c r="M1389" s="110" t="s">
        <v>4403</v>
      </c>
      <c r="N1389" s="117" t="s">
        <v>4404</v>
      </c>
      <c r="O1389" s="110" t="s">
        <v>2396</v>
      </c>
      <c r="P1389" s="110" t="s">
        <v>590</v>
      </c>
      <c r="Q1389" s="118" t="n">
        <v>0.23</v>
      </c>
      <c r="R1389" s="110" t="n">
        <v>1</v>
      </c>
      <c r="S1389" s="110" t="s">
        <v>632</v>
      </c>
      <c r="T1389" s="110" t="s">
        <v>530</v>
      </c>
      <c r="U1389" s="110" t="s">
        <v>2913</v>
      </c>
      <c r="V1389" s="119" t="n">
        <v>12</v>
      </c>
      <c r="W1389" s="119"/>
      <c r="X1389" s="110" t="s">
        <v>2063</v>
      </c>
      <c r="Y1389" s="110" t="s">
        <v>2064</v>
      </c>
      <c r="Z1389" s="110" t="s">
        <v>3346</v>
      </c>
      <c r="AA1389" s="110" t="s">
        <v>537</v>
      </c>
      <c r="AB1389" s="110" t="s">
        <v>244</v>
      </c>
      <c r="AC1389" s="110" t="s">
        <v>538</v>
      </c>
      <c r="AD1389" s="110" t="n">
        <f aca="false">IF(OR(F1389="",Q1389="",R1389=""),"",ROUND(IF(P1389="incl.",F1389/(1+Q1389),F1389)/IF(S1389="per pack",R1389,1),2))</f>
        <v>12</v>
      </c>
      <c r="AE1389" s="110" t="str">
        <f aca="false">IF(AND(AC1389="yes",ISNUMBER(F1389),IF(Compare!$H$5="All mapped",TRUE(),IF(Compare!$H$5="EXACT only",J1389="EXACT",OR(J1389="EXACT",J1389="CLOSE")))),"yes","no")</f>
        <v>yes</v>
      </c>
      <c r="AF1389" s="110" t="n">
        <f aca="false">IF(ISNUMBER(H1389),COUNTIFS($B$7:$B$3000,B1389,$C$7:$C$3000,C1389,$H$7:$H$3000,"&lt;"&amp;H1389,$AH$7:$AH$3000,"yes")+COUNTIFS($B$7:B1389,B1389,$C$7:C1389,C1389,$H$7:H1389,H1389,$AH$7:AH1389,"yes"),"")</f>
        <v>3</v>
      </c>
      <c r="AG1389" s="110" t="n">
        <f aca="false">IF(ISNUMBER(I1389),COUNTIFS($B$7:$B$3000,B1389,$C$7:$C$3000,C1389,$I$7:$I$3000,"&lt;"&amp;I1389,$AI$7:$AI$3000,"yes")+COUNTIFS($B$7:B1389,B1389,$C$7:C1389,C1389,$I$7:I1389,I1389,$AI$7:AI1389,"yes"),"")</f>
        <v>3</v>
      </c>
      <c r="AH1389" s="110" t="str">
        <f aca="false">IF(ISNUMBER(H1389),"yes","no")</f>
        <v>yes</v>
      </c>
      <c r="AI1389" s="110" t="str">
        <f aca="false">IF(ISNUMBER(I1389),"yes","no")</f>
        <v>yes</v>
      </c>
      <c r="AJ1389" s="120" t="n">
        <v>46297</v>
      </c>
      <c r="AK1389" s="110"/>
    </row>
    <row r="1390" customFormat="false" ht="23.85" hidden="false" customHeight="false" outlineLevel="0" collapsed="false">
      <c r="B1390" s="36" t="s">
        <v>84</v>
      </c>
      <c r="C1390" s="98" t="s">
        <v>18</v>
      </c>
      <c r="D1390" s="98" t="s">
        <v>3007</v>
      </c>
      <c r="E1390" s="110" t="s">
        <v>4405</v>
      </c>
      <c r="F1390" s="99" t="n">
        <v>18.62</v>
      </c>
      <c r="G1390" s="98" t="s">
        <v>244</v>
      </c>
      <c r="H1390" s="112" t="n">
        <f aca="false">IF(AND(AE1390="yes",ISNUMBER(AD1390)),AD1390,"")</f>
        <v>18.62</v>
      </c>
      <c r="I1390" s="95" t="n">
        <f aca="false">IF(AND(AE1390="yes",ISNUMBER(AD1390),ISNUMBER(INDEX(Sources!$G$7:$G$10,MATCH(AB1390,Sources!$B$7:$B$10,0)))),ROUND(AD1390/INDEX(Sources!$G$7:$G$10,MATCH(AB1390,Sources!$B$7:$B$10,0)),6),"")</f>
        <v>18.62</v>
      </c>
      <c r="J1390" s="98" t="s">
        <v>530</v>
      </c>
      <c r="K1390" s="98" t="s">
        <v>2059</v>
      </c>
      <c r="L1390" s="96"/>
      <c r="M1390" s="110" t="s">
        <v>4406</v>
      </c>
      <c r="N1390" s="117" t="s">
        <v>4407</v>
      </c>
      <c r="O1390" s="110" t="s">
        <v>642</v>
      </c>
      <c r="P1390" s="110" t="s">
        <v>590</v>
      </c>
      <c r="Q1390" s="118" t="n">
        <v>0.23</v>
      </c>
      <c r="R1390" s="110" t="n">
        <v>1</v>
      </c>
      <c r="S1390" s="110" t="s">
        <v>632</v>
      </c>
      <c r="T1390" s="110" t="s">
        <v>530</v>
      </c>
      <c r="U1390" s="110" t="s">
        <v>2913</v>
      </c>
      <c r="V1390" s="119" t="n">
        <v>18.62</v>
      </c>
      <c r="W1390" s="119"/>
      <c r="X1390" s="110" t="s">
        <v>2063</v>
      </c>
      <c r="Y1390" s="110" t="s">
        <v>2064</v>
      </c>
      <c r="Z1390" s="110" t="s">
        <v>3012</v>
      </c>
      <c r="AA1390" s="110" t="s">
        <v>537</v>
      </c>
      <c r="AB1390" s="110" t="s">
        <v>244</v>
      </c>
      <c r="AC1390" s="110" t="s">
        <v>538</v>
      </c>
      <c r="AD1390" s="110" t="n">
        <f aca="false">IF(OR(F1390="",Q1390="",R1390=""),"",ROUND(IF(P1390="incl.",F1390/(1+Q1390),F1390)/IF(S1390="per pack",R1390,1),2))</f>
        <v>18.62</v>
      </c>
      <c r="AE1390" s="110" t="str">
        <f aca="false">IF(AND(AC1390="yes",ISNUMBER(F1390),IF(Compare!$H$5="All mapped",TRUE(),IF(Compare!$H$5="EXACT only",J1390="EXACT",OR(J1390="EXACT",J1390="CLOSE")))),"yes","no")</f>
        <v>yes</v>
      </c>
      <c r="AF1390" s="110" t="n">
        <f aca="false">IF(ISNUMBER(H1390),COUNTIFS($B$7:$B$3000,B1390,$C$7:$C$3000,C1390,$H$7:$H$3000,"&lt;"&amp;H1390,$AH$7:$AH$3000,"yes")+COUNTIFS($B$7:B1390,B1390,$C$7:C1390,C1390,$H$7:H1390,H1390,$AH$7:AH1390,"yes"),"")</f>
        <v>5</v>
      </c>
      <c r="AG1390" s="110" t="n">
        <f aca="false">IF(ISNUMBER(I1390),COUNTIFS($B$7:$B$3000,B1390,$C$7:$C$3000,C1390,$I$7:$I$3000,"&lt;"&amp;I1390,$AI$7:$AI$3000,"yes")+COUNTIFS($B$7:B1390,B1390,$C$7:C1390,C1390,$I$7:I1390,I1390,$AI$7:AI1390,"yes"),"")</f>
        <v>5</v>
      </c>
      <c r="AH1390" s="110" t="str">
        <f aca="false">IF(ISNUMBER(H1390),"yes","no")</f>
        <v>yes</v>
      </c>
      <c r="AI1390" s="110" t="str">
        <f aca="false">IF(ISNUMBER(I1390),"yes","no")</f>
        <v>yes</v>
      </c>
      <c r="AJ1390" s="120" t="n">
        <v>46297</v>
      </c>
      <c r="AK1390" s="110"/>
    </row>
    <row r="1391" customFormat="false" ht="35.05" hidden="false" customHeight="false" outlineLevel="0" collapsed="false">
      <c r="B1391" s="36" t="s">
        <v>84</v>
      </c>
      <c r="C1391" s="98" t="s">
        <v>18</v>
      </c>
      <c r="D1391" s="98" t="s">
        <v>365</v>
      </c>
      <c r="E1391" s="110" t="s">
        <v>4408</v>
      </c>
      <c r="F1391" s="99" t="n">
        <v>9.93</v>
      </c>
      <c r="G1391" s="98" t="s">
        <v>244</v>
      </c>
      <c r="H1391" s="112" t="n">
        <f aca="false">IF(AND(AE1391="yes",ISNUMBER(AD1391)),AD1391,"")</f>
        <v>8.07</v>
      </c>
      <c r="I1391" s="95" t="n">
        <f aca="false">IF(AND(AE1391="yes",ISNUMBER(AD1391),ISNUMBER(INDEX(Sources!$G$7:$G$10,MATCH(AB1391,Sources!$B$7:$B$10,0)))),ROUND(AD1391/INDEX(Sources!$G$7:$G$10,MATCH(AB1391,Sources!$B$7:$B$10,0)),6),"")</f>
        <v>8.07</v>
      </c>
      <c r="J1391" s="98" t="s">
        <v>530</v>
      </c>
      <c r="K1391" s="98" t="s">
        <v>2059</v>
      </c>
      <c r="L1391" s="96"/>
      <c r="M1391" s="110" t="s">
        <v>4409</v>
      </c>
      <c r="N1391" s="117" t="s">
        <v>4410</v>
      </c>
      <c r="O1391" s="110" t="s">
        <v>3076</v>
      </c>
      <c r="P1391" s="110" t="s">
        <v>265</v>
      </c>
      <c r="Q1391" s="118" t="n">
        <v>0.23</v>
      </c>
      <c r="R1391" s="110" t="n">
        <v>1</v>
      </c>
      <c r="S1391" s="110" t="s">
        <v>632</v>
      </c>
      <c r="T1391" s="110" t="s">
        <v>530</v>
      </c>
      <c r="U1391" s="110" t="s">
        <v>2918</v>
      </c>
      <c r="V1391" s="119" t="n">
        <v>8.07</v>
      </c>
      <c r="W1391" s="119"/>
      <c r="X1391" s="110" t="s">
        <v>2063</v>
      </c>
      <c r="Y1391" s="110" t="s">
        <v>2064</v>
      </c>
      <c r="Z1391" s="110" t="s">
        <v>3016</v>
      </c>
      <c r="AA1391" s="110" t="s">
        <v>537</v>
      </c>
      <c r="AB1391" s="110" t="s">
        <v>244</v>
      </c>
      <c r="AC1391" s="110" t="s">
        <v>538</v>
      </c>
      <c r="AD1391" s="110" t="n">
        <f aca="false">IF(OR(F1391="",Q1391="",R1391=""),"",ROUND(IF(P1391="incl.",F1391/(1+Q1391),F1391)/IF(S1391="per pack",R1391,1),2))</f>
        <v>8.07</v>
      </c>
      <c r="AE1391" s="110" t="str">
        <f aca="false">IF(AND(AC1391="yes",ISNUMBER(F1391),IF(Compare!$H$5="All mapped",TRUE(),IF(Compare!$H$5="EXACT only",J1391="EXACT",OR(J1391="EXACT",J1391="CLOSE")))),"yes","no")</f>
        <v>yes</v>
      </c>
      <c r="AF1391" s="110" t="n">
        <f aca="false">IF(ISNUMBER(H1391),COUNTIFS($B$7:$B$3000,B1391,$C$7:$C$3000,C1391,$H$7:$H$3000,"&lt;"&amp;H1391,$AH$7:$AH$3000,"yes")+COUNTIFS($B$7:B1391,B1391,$C$7:C1391,C1391,$H$7:H1391,H1391,$AH$7:AH1391,"yes"),"")</f>
        <v>2</v>
      </c>
      <c r="AG1391" s="110" t="n">
        <f aca="false">IF(ISNUMBER(I1391),COUNTIFS($B$7:$B$3000,B1391,$C$7:$C$3000,C1391,$I$7:$I$3000,"&lt;"&amp;I1391,$AI$7:$AI$3000,"yes")+COUNTIFS($B$7:B1391,B1391,$C$7:C1391,C1391,$I$7:I1391,I1391,$AI$7:AI1391,"yes"),"")</f>
        <v>2</v>
      </c>
      <c r="AH1391" s="110" t="str">
        <f aca="false">IF(ISNUMBER(H1391),"yes","no")</f>
        <v>yes</v>
      </c>
      <c r="AI1391" s="110" t="str">
        <f aca="false">IF(ISNUMBER(I1391),"yes","no")</f>
        <v>yes</v>
      </c>
      <c r="AJ1391" s="120" t="n">
        <v>46297</v>
      </c>
      <c r="AK1391" s="110"/>
    </row>
    <row r="1392" customFormat="false" ht="35.05" hidden="false" customHeight="false" outlineLevel="0" collapsed="false">
      <c r="B1392" s="36" t="s">
        <v>84</v>
      </c>
      <c r="C1392" s="98" t="s">
        <v>18</v>
      </c>
      <c r="D1392" s="98" t="s">
        <v>369</v>
      </c>
      <c r="E1392" s="110" t="s">
        <v>4411</v>
      </c>
      <c r="F1392" s="99" t="n">
        <v>17.4</v>
      </c>
      <c r="G1392" s="98" t="s">
        <v>244</v>
      </c>
      <c r="H1392" s="112" t="n">
        <f aca="false">IF(AND(AE1392="yes",ISNUMBER(AD1392)),AD1392,"")</f>
        <v>14.15</v>
      </c>
      <c r="I1392" s="95" t="n">
        <f aca="false">IF(AND(AE1392="yes",ISNUMBER(AD1392),ISNUMBER(INDEX(Sources!$G$7:$G$10,MATCH(AB1392,Sources!$B$7:$B$10,0)))),ROUND(AD1392/INDEX(Sources!$G$7:$G$10,MATCH(AB1392,Sources!$B$7:$B$10,0)),6),"")</f>
        <v>14.15</v>
      </c>
      <c r="J1392" s="98" t="s">
        <v>530</v>
      </c>
      <c r="K1392" s="98" t="s">
        <v>2059</v>
      </c>
      <c r="L1392" s="96"/>
      <c r="M1392" s="110" t="s">
        <v>4412</v>
      </c>
      <c r="N1392" s="117" t="s">
        <v>4413</v>
      </c>
      <c r="O1392" s="110" t="s">
        <v>783</v>
      </c>
      <c r="P1392" s="110" t="s">
        <v>265</v>
      </c>
      <c r="Q1392" s="118" t="n">
        <v>0.23</v>
      </c>
      <c r="R1392" s="110" t="n">
        <v>1</v>
      </c>
      <c r="S1392" s="110" t="s">
        <v>632</v>
      </c>
      <c r="T1392" s="110" t="s">
        <v>530</v>
      </c>
      <c r="U1392" s="110" t="s">
        <v>2918</v>
      </c>
      <c r="V1392" s="119" t="n">
        <v>14.15</v>
      </c>
      <c r="W1392" s="119"/>
      <c r="X1392" s="110" t="s">
        <v>2063</v>
      </c>
      <c r="Y1392" s="110" t="s">
        <v>2064</v>
      </c>
      <c r="Z1392" s="110" t="s">
        <v>4300</v>
      </c>
      <c r="AA1392" s="110" t="s">
        <v>537</v>
      </c>
      <c r="AB1392" s="110" t="s">
        <v>244</v>
      </c>
      <c r="AC1392" s="110" t="s">
        <v>538</v>
      </c>
      <c r="AD1392" s="110" t="n">
        <f aca="false">IF(OR(F1392="",Q1392="",R1392=""),"",ROUND(IF(P1392="incl.",F1392/(1+Q1392),F1392)/IF(S1392="per pack",R1392,1),2))</f>
        <v>14.15</v>
      </c>
      <c r="AE1392" s="110" t="str">
        <f aca="false">IF(AND(AC1392="yes",ISNUMBER(F1392),IF(Compare!$H$5="All mapped",TRUE(),IF(Compare!$H$5="EXACT only",J1392="EXACT",OR(J1392="EXACT",J1392="CLOSE")))),"yes","no")</f>
        <v>yes</v>
      </c>
      <c r="AF1392" s="110" t="n">
        <f aca="false">IF(ISNUMBER(H1392),COUNTIFS($B$7:$B$3000,B1392,$C$7:$C$3000,C1392,$H$7:$H$3000,"&lt;"&amp;H1392,$AH$7:$AH$3000,"yes")+COUNTIFS($B$7:B1392,B1392,$C$7:C1392,C1392,$H$7:H1392,H1392,$AH$7:AH1392,"yes"),"")</f>
        <v>4</v>
      </c>
      <c r="AG1392" s="110" t="n">
        <f aca="false">IF(ISNUMBER(I1392),COUNTIFS($B$7:$B$3000,B1392,$C$7:$C$3000,C1392,$I$7:$I$3000,"&lt;"&amp;I1392,$AI$7:$AI$3000,"yes")+COUNTIFS($B$7:B1392,B1392,$C$7:C1392,C1392,$I$7:I1392,I1392,$AI$7:AI1392,"yes"),"")</f>
        <v>4</v>
      </c>
      <c r="AH1392" s="110" t="str">
        <f aca="false">IF(ISNUMBER(H1392),"yes","no")</f>
        <v>yes</v>
      </c>
      <c r="AI1392" s="110" t="str">
        <f aca="false">IF(ISNUMBER(I1392),"yes","no")</f>
        <v>yes</v>
      </c>
      <c r="AJ1392" s="120" t="n">
        <v>46297</v>
      </c>
      <c r="AK1392" s="110"/>
    </row>
    <row r="1393" customFormat="false" ht="35.05" hidden="false" customHeight="false" outlineLevel="0" collapsed="false">
      <c r="B1393" s="36" t="s">
        <v>84</v>
      </c>
      <c r="C1393" s="98" t="s">
        <v>18</v>
      </c>
      <c r="D1393" s="98" t="s">
        <v>3021</v>
      </c>
      <c r="E1393" s="110" t="s">
        <v>4414</v>
      </c>
      <c r="F1393" s="99" t="n">
        <v>7.51</v>
      </c>
      <c r="G1393" s="98" t="s">
        <v>244</v>
      </c>
      <c r="H1393" s="112" t="n">
        <f aca="false">IF(AND(AE1393="yes",ISNUMBER(AD1393)),AD1393,"")</f>
        <v>7.51</v>
      </c>
      <c r="I1393" s="95" t="n">
        <f aca="false">IF(AND(AE1393="yes",ISNUMBER(AD1393),ISNUMBER(INDEX(Sources!$G$7:$G$10,MATCH(AB1393,Sources!$B$7:$B$10,0)))),ROUND(AD1393/INDEX(Sources!$G$7:$G$10,MATCH(AB1393,Sources!$B$7:$B$10,0)),6),"")</f>
        <v>7.51</v>
      </c>
      <c r="J1393" s="98" t="s">
        <v>530</v>
      </c>
      <c r="K1393" s="98" t="s">
        <v>2059</v>
      </c>
      <c r="L1393" s="96"/>
      <c r="M1393" s="110" t="s">
        <v>4415</v>
      </c>
      <c r="N1393" s="117" t="s">
        <v>4416</v>
      </c>
      <c r="O1393" s="110" t="s">
        <v>3024</v>
      </c>
      <c r="P1393" s="110" t="s">
        <v>590</v>
      </c>
      <c r="Q1393" s="118" t="n">
        <v>0.23</v>
      </c>
      <c r="R1393" s="110" t="n">
        <v>1</v>
      </c>
      <c r="S1393" s="110" t="s">
        <v>632</v>
      </c>
      <c r="T1393" s="110" t="s">
        <v>530</v>
      </c>
      <c r="U1393" s="110" t="s">
        <v>2913</v>
      </c>
      <c r="V1393" s="119" t="n">
        <v>7.51</v>
      </c>
      <c r="W1393" s="119"/>
      <c r="X1393" s="110" t="s">
        <v>2063</v>
      </c>
      <c r="Y1393" s="110" t="s">
        <v>2064</v>
      </c>
      <c r="Z1393" s="110" t="s">
        <v>3109</v>
      </c>
      <c r="AA1393" s="110" t="s">
        <v>537</v>
      </c>
      <c r="AB1393" s="110" t="s">
        <v>244</v>
      </c>
      <c r="AC1393" s="110" t="s">
        <v>538</v>
      </c>
      <c r="AD1393" s="110" t="n">
        <f aca="false">IF(OR(F1393="",Q1393="",R1393=""),"",ROUND(IF(P1393="incl.",F1393/(1+Q1393),F1393)/IF(S1393="per pack",R1393,1),2))</f>
        <v>7.51</v>
      </c>
      <c r="AE1393" s="110" t="str">
        <f aca="false">IF(AND(AC1393="yes",ISNUMBER(F1393),IF(Compare!$H$5="All mapped",TRUE(),IF(Compare!$H$5="EXACT only",J1393="EXACT",OR(J1393="EXACT",J1393="CLOSE")))),"yes","no")</f>
        <v>yes</v>
      </c>
      <c r="AF1393" s="110" t="n">
        <f aca="false">IF(ISNUMBER(H1393),COUNTIFS($B$7:$B$3000,B1393,$C$7:$C$3000,C1393,$H$7:$H$3000,"&lt;"&amp;H1393,$AH$7:$AH$3000,"yes")+COUNTIFS($B$7:B1393,B1393,$C$7:C1393,C1393,$H$7:H1393,H1393,$AH$7:AH1393,"yes"),"")</f>
        <v>1</v>
      </c>
      <c r="AG1393" s="110" t="n">
        <f aca="false">IF(ISNUMBER(I1393),COUNTIFS($B$7:$B$3000,B1393,$C$7:$C$3000,C1393,$I$7:$I$3000,"&lt;"&amp;I1393,$AI$7:$AI$3000,"yes")+COUNTIFS($B$7:B1393,B1393,$C$7:C1393,C1393,$I$7:I1393,I1393,$AI$7:AI1393,"yes"),"")</f>
        <v>1</v>
      </c>
      <c r="AH1393" s="110" t="str">
        <f aca="false">IF(ISNUMBER(H1393),"yes","no")</f>
        <v>yes</v>
      </c>
      <c r="AI1393" s="110" t="str">
        <f aca="false">IF(ISNUMBER(I1393),"yes","no")</f>
        <v>yes</v>
      </c>
      <c r="AJ1393" s="120" t="n">
        <v>46297</v>
      </c>
      <c r="AK1393" s="110"/>
    </row>
    <row r="1394" customFormat="false" ht="23.85" hidden="false" customHeight="false" outlineLevel="0" collapsed="false">
      <c r="B1394" s="36" t="s">
        <v>85</v>
      </c>
      <c r="C1394" s="98" t="s">
        <v>14</v>
      </c>
      <c r="D1394" s="98" t="s">
        <v>373</v>
      </c>
      <c r="E1394" s="110" t="s">
        <v>4417</v>
      </c>
      <c r="F1394" s="99" t="n">
        <v>64.41</v>
      </c>
      <c r="G1394" s="98" t="s">
        <v>374</v>
      </c>
      <c r="H1394" s="112" t="n">
        <f aca="false">IF(AND(AE1394="yes",ISNUMBER(AD1394)),AD1394,"")</f>
        <v>64.41</v>
      </c>
      <c r="I1394" s="95" t="n">
        <f aca="false">IF(AND(AE1394="yes",ISNUMBER(AD1394),ISNUMBER(INDEX(Sources!$G$7:$G$10,MATCH(AB1394,Sources!$B$7:$B$10,0)))),ROUND(AD1394/INDEX(Sources!$G$7:$G$10,MATCH(AB1394,Sources!$B$7:$B$10,0)),6),"")</f>
        <v>12.204315</v>
      </c>
      <c r="J1394" s="98" t="s">
        <v>530</v>
      </c>
      <c r="K1394" s="98" t="s">
        <v>2059</v>
      </c>
      <c r="L1394" s="96"/>
      <c r="M1394" s="110" t="s">
        <v>4418</v>
      </c>
      <c r="N1394" s="117" t="s">
        <v>4419</v>
      </c>
      <c r="O1394" s="110" t="s">
        <v>4321</v>
      </c>
      <c r="P1394" s="110" t="s">
        <v>590</v>
      </c>
      <c r="Q1394" s="118" t="n">
        <v>0.21</v>
      </c>
      <c r="R1394" s="110" t="n">
        <v>1</v>
      </c>
      <c r="S1394" s="110" t="s">
        <v>632</v>
      </c>
      <c r="T1394" s="110" t="s">
        <v>530</v>
      </c>
      <c r="U1394" s="110" t="s">
        <v>2913</v>
      </c>
      <c r="V1394" s="119" t="n">
        <v>64.41</v>
      </c>
      <c r="W1394" s="119"/>
      <c r="X1394" s="110" t="s">
        <v>2063</v>
      </c>
      <c r="Y1394" s="110" t="s">
        <v>2064</v>
      </c>
      <c r="Z1394" s="110"/>
      <c r="AA1394" s="110" t="s">
        <v>537</v>
      </c>
      <c r="AB1394" s="110" t="s">
        <v>374</v>
      </c>
      <c r="AC1394" s="110" t="s">
        <v>538</v>
      </c>
      <c r="AD1394" s="110" t="n">
        <f aca="false">IF(OR(F1394="",Q1394="",R1394=""),"",ROUND(IF(P1394="incl.",F1394/(1+Q1394),F1394)/IF(S1394="per pack",R1394,1),2))</f>
        <v>64.41</v>
      </c>
      <c r="AE1394" s="110" t="str">
        <f aca="false">IF(AND(AC1394="yes",ISNUMBER(F1394),IF(Compare!$H$5="All mapped",TRUE(),IF(Compare!$H$5="EXACT only",J1394="EXACT",OR(J1394="EXACT",J1394="CLOSE")))),"yes","no")</f>
        <v>yes</v>
      </c>
      <c r="AF1394" s="110" t="n">
        <f aca="false">IF(ISNUMBER(H1394),COUNTIFS($B$7:$B$3000,B1394,$C$7:$C$3000,C1394,$H$7:$H$3000,"&lt;"&amp;H1394,$AH$7:$AH$3000,"yes")+COUNTIFS($B$7:B1394,B1394,$C$7:C1394,C1394,$H$7:H1394,H1394,$AH$7:AH1394,"yes"),"")</f>
        <v>4</v>
      </c>
      <c r="AG1394" s="110" t="n">
        <f aca="false">IF(ISNUMBER(I1394),COUNTIFS($B$7:$B$3000,B1394,$C$7:$C$3000,C1394,$I$7:$I$3000,"&lt;"&amp;I1394,$AI$7:$AI$3000,"yes")+COUNTIFS($B$7:B1394,B1394,$C$7:C1394,C1394,$I$7:I1394,I1394,$AI$7:AI1394,"yes"),"")</f>
        <v>3</v>
      </c>
      <c r="AH1394" s="110" t="str">
        <f aca="false">IF(ISNUMBER(H1394),"yes","no")</f>
        <v>yes</v>
      </c>
      <c r="AI1394" s="110" t="str">
        <f aca="false">IF(ISNUMBER(I1394),"yes","no")</f>
        <v>yes</v>
      </c>
      <c r="AJ1394" s="120" t="n">
        <v>46297</v>
      </c>
      <c r="AK1394" s="110"/>
    </row>
    <row r="1395" customFormat="false" ht="46.25" hidden="false" customHeight="false" outlineLevel="0" collapsed="false">
      <c r="B1395" s="36" t="s">
        <v>85</v>
      </c>
      <c r="C1395" s="98" t="s">
        <v>14</v>
      </c>
      <c r="D1395" s="98" t="s">
        <v>4143</v>
      </c>
      <c r="E1395" s="110" t="s">
        <v>4420</v>
      </c>
      <c r="F1395" s="99" t="n">
        <v>321.09</v>
      </c>
      <c r="G1395" s="98" t="s">
        <v>374</v>
      </c>
      <c r="H1395" s="112" t="n">
        <f aca="false">IF(AND(AE1395="yes",ISNUMBER(AD1395)),AD1395,"")</f>
        <v>53.52</v>
      </c>
      <c r="I1395" s="95" t="n">
        <f aca="false">IF(AND(AE1395="yes",ISNUMBER(AD1395),ISNUMBER(INDEX(Sources!$G$7:$G$10,MATCH(AB1395,Sources!$B$7:$B$10,0)))),ROUND(AD1395/INDEX(Sources!$G$7:$G$10,MATCH(AB1395,Sources!$B$7:$B$10,0)),6),"")</f>
        <v>10.140893</v>
      </c>
      <c r="J1395" s="98" t="s">
        <v>530</v>
      </c>
      <c r="K1395" s="98" t="s">
        <v>2059</v>
      </c>
      <c r="L1395" s="96"/>
      <c r="M1395" s="110" t="s">
        <v>4421</v>
      </c>
      <c r="N1395" s="117" t="s">
        <v>4422</v>
      </c>
      <c r="O1395" s="110" t="s">
        <v>317</v>
      </c>
      <c r="P1395" s="110" t="s">
        <v>590</v>
      </c>
      <c r="Q1395" s="118" t="n">
        <v>0.21</v>
      </c>
      <c r="R1395" s="110" t="n">
        <v>6</v>
      </c>
      <c r="S1395" s="110" t="s">
        <v>625</v>
      </c>
      <c r="T1395" s="110" t="s">
        <v>530</v>
      </c>
      <c r="U1395" s="110" t="s">
        <v>2913</v>
      </c>
      <c r="V1395" s="119" t="n">
        <v>53.51</v>
      </c>
      <c r="W1395" s="119"/>
      <c r="X1395" s="110" t="s">
        <v>2063</v>
      </c>
      <c r="Y1395" s="110" t="s">
        <v>2064</v>
      </c>
      <c r="Z1395" s="110"/>
      <c r="AA1395" s="110" t="s">
        <v>537</v>
      </c>
      <c r="AB1395" s="110" t="s">
        <v>374</v>
      </c>
      <c r="AC1395" s="110" t="s">
        <v>538</v>
      </c>
      <c r="AD1395" s="110" t="n">
        <f aca="false">IF(OR(F1395="",Q1395="",R1395=""),"",ROUND(IF(P1395="incl.",F1395/(1+Q1395),F1395)/IF(S1395="per pack",R1395,1),2))</f>
        <v>53.52</v>
      </c>
      <c r="AE1395" s="110" t="str">
        <f aca="false">IF(AND(AC1395="yes",ISNUMBER(F1395),IF(Compare!$H$5="All mapped",TRUE(),IF(Compare!$H$5="EXACT only",J1395="EXACT",OR(J1395="EXACT",J1395="CLOSE")))),"yes","no")</f>
        <v>yes</v>
      </c>
      <c r="AF1395" s="110" t="n">
        <f aca="false">IF(ISNUMBER(H1395),COUNTIFS($B$7:$B$3000,B1395,$C$7:$C$3000,C1395,$H$7:$H$3000,"&lt;"&amp;H1395,$AH$7:$AH$3000,"yes")+COUNTIFS($B$7:B1395,B1395,$C$7:C1395,C1395,$H$7:H1395,H1395,$AH$7:AH1395,"yes"),"")</f>
        <v>2</v>
      </c>
      <c r="AG1395" s="110" t="n">
        <f aca="false">IF(ISNUMBER(I1395),COUNTIFS($B$7:$B$3000,B1395,$C$7:$C$3000,C1395,$I$7:$I$3000,"&lt;"&amp;I1395,$AI$7:$AI$3000,"yes")+COUNTIFS($B$7:B1395,B1395,$C$7:C1395,C1395,$I$7:I1395,I1395,$AI$7:AI1395,"yes"),"")</f>
        <v>1</v>
      </c>
      <c r="AH1395" s="110" t="str">
        <f aca="false">IF(ISNUMBER(H1395),"yes","no")</f>
        <v>yes</v>
      </c>
      <c r="AI1395" s="110" t="str">
        <f aca="false">IF(ISNUMBER(I1395),"yes","no")</f>
        <v>yes</v>
      </c>
      <c r="AJ1395" s="120" t="n">
        <v>46297</v>
      </c>
      <c r="AK1395" s="110"/>
    </row>
    <row r="1396" customFormat="false" ht="35.05" hidden="false" customHeight="false" outlineLevel="0" collapsed="false">
      <c r="B1396" s="36" t="s">
        <v>85</v>
      </c>
      <c r="C1396" s="98" t="s">
        <v>14</v>
      </c>
      <c r="D1396" s="98" t="s">
        <v>346</v>
      </c>
      <c r="E1396" s="110" t="s">
        <v>4423</v>
      </c>
      <c r="F1396" s="99" t="n">
        <v>100.13</v>
      </c>
      <c r="G1396" s="98" t="s">
        <v>374</v>
      </c>
      <c r="H1396" s="112" t="n">
        <f aca="false">IF(AND(AE1396="yes",ISNUMBER(AD1396)),AD1396,"")</f>
        <v>82.75</v>
      </c>
      <c r="I1396" s="95" t="n">
        <f aca="false">IF(AND(AE1396="yes",ISNUMBER(AD1396),ISNUMBER(INDEX(Sources!$G$7:$G$10,MATCH(AB1396,Sources!$B$7:$B$10,0)))),ROUND(AD1396/INDEX(Sources!$G$7:$G$10,MATCH(AB1396,Sources!$B$7:$B$10,0)),6),"")</f>
        <v>15.679352</v>
      </c>
      <c r="J1396" s="98" t="s">
        <v>530</v>
      </c>
      <c r="K1396" s="98" t="s">
        <v>2059</v>
      </c>
      <c r="L1396" s="96"/>
      <c r="M1396" s="110" t="s">
        <v>4424</v>
      </c>
      <c r="N1396" s="117" t="s">
        <v>4425</v>
      </c>
      <c r="O1396" s="110" t="s">
        <v>662</v>
      </c>
      <c r="P1396" s="110" t="s">
        <v>265</v>
      </c>
      <c r="Q1396" s="118" t="n">
        <v>0.21</v>
      </c>
      <c r="R1396" s="110" t="n">
        <v>1</v>
      </c>
      <c r="S1396" s="110" t="s">
        <v>632</v>
      </c>
      <c r="T1396" s="110" t="s">
        <v>530</v>
      </c>
      <c r="U1396" s="110" t="s">
        <v>2918</v>
      </c>
      <c r="V1396" s="119" t="n">
        <v>82.75</v>
      </c>
      <c r="W1396" s="119"/>
      <c r="X1396" s="110" t="s">
        <v>2063</v>
      </c>
      <c r="Y1396" s="110" t="s">
        <v>2064</v>
      </c>
      <c r="Z1396" s="110"/>
      <c r="AA1396" s="110" t="s">
        <v>537</v>
      </c>
      <c r="AB1396" s="110" t="s">
        <v>374</v>
      </c>
      <c r="AC1396" s="110" t="s">
        <v>538</v>
      </c>
      <c r="AD1396" s="110" t="n">
        <f aca="false">IF(OR(F1396="",Q1396="",R1396=""),"",ROUND(IF(P1396="incl.",F1396/(1+Q1396),F1396)/IF(S1396="per pack",R1396,1),2))</f>
        <v>82.75</v>
      </c>
      <c r="AE1396" s="110" t="str">
        <f aca="false">IF(AND(AC1396="yes",ISNUMBER(F1396),IF(Compare!$H$5="All mapped",TRUE(),IF(Compare!$H$5="EXACT only",J1396="EXACT",OR(J1396="EXACT",J1396="CLOSE")))),"yes","no")</f>
        <v>yes</v>
      </c>
      <c r="AF1396" s="110" t="n">
        <f aca="false">IF(ISNUMBER(H1396),COUNTIFS($B$7:$B$3000,B1396,$C$7:$C$3000,C1396,$H$7:$H$3000,"&lt;"&amp;H1396,$AH$7:$AH$3000,"yes")+COUNTIFS($B$7:B1396,B1396,$C$7:C1396,C1396,$H$7:H1396,H1396,$AH$7:AH1396,"yes"),"")</f>
        <v>5</v>
      </c>
      <c r="AG1396" s="110" t="n">
        <f aca="false">IF(ISNUMBER(I1396),COUNTIFS($B$7:$B$3000,B1396,$C$7:$C$3000,C1396,$I$7:$I$3000,"&lt;"&amp;I1396,$AI$7:$AI$3000,"yes")+COUNTIFS($B$7:B1396,B1396,$C$7:C1396,C1396,$I$7:I1396,I1396,$AI$7:AI1396,"yes"),"")</f>
        <v>5</v>
      </c>
      <c r="AH1396" s="110" t="str">
        <f aca="false">IF(ISNUMBER(H1396),"yes","no")</f>
        <v>yes</v>
      </c>
      <c r="AI1396" s="110" t="str">
        <f aca="false">IF(ISNUMBER(I1396),"yes","no")</f>
        <v>yes</v>
      </c>
      <c r="AJ1396" s="120" t="n">
        <v>46297</v>
      </c>
      <c r="AK1396" s="110"/>
    </row>
    <row r="1397" customFormat="false" ht="23.85" hidden="false" customHeight="false" outlineLevel="0" collapsed="false">
      <c r="B1397" s="36" t="s">
        <v>85</v>
      </c>
      <c r="C1397" s="98" t="s">
        <v>14</v>
      </c>
      <c r="D1397" s="98" t="s">
        <v>395</v>
      </c>
      <c r="E1397" s="110" t="s">
        <v>4426</v>
      </c>
      <c r="F1397" s="99" t="n">
        <v>12.8</v>
      </c>
      <c r="G1397" s="98" t="s">
        <v>244</v>
      </c>
      <c r="H1397" s="112" t="n">
        <f aca="false">IF(AND(AE1397="yes",ISNUMBER(AD1397)),AD1397,"")</f>
        <v>12.8</v>
      </c>
      <c r="I1397" s="95" t="n">
        <f aca="false">IF(AND(AE1397="yes",ISNUMBER(AD1397),ISNUMBER(INDEX(Sources!$G$7:$G$10,MATCH(AB1397,Sources!$B$7:$B$10,0)))),ROUND(AD1397/INDEX(Sources!$G$7:$G$10,MATCH(AB1397,Sources!$B$7:$B$10,0)),6),"")</f>
        <v>12.8</v>
      </c>
      <c r="J1397" s="98" t="s">
        <v>530</v>
      </c>
      <c r="K1397" s="98" t="s">
        <v>2059</v>
      </c>
      <c r="L1397" s="96"/>
      <c r="M1397" s="110" t="s">
        <v>4427</v>
      </c>
      <c r="N1397" s="117" t="s">
        <v>4428</v>
      </c>
      <c r="O1397" s="110"/>
      <c r="P1397" s="110" t="s">
        <v>590</v>
      </c>
      <c r="Q1397" s="118" t="n">
        <v>0.21</v>
      </c>
      <c r="R1397" s="110" t="n">
        <v>1</v>
      </c>
      <c r="S1397" s="110" t="s">
        <v>632</v>
      </c>
      <c r="T1397" s="110" t="s">
        <v>530</v>
      </c>
      <c r="U1397" s="110" t="s">
        <v>2913</v>
      </c>
      <c r="V1397" s="119" t="n">
        <v>12.8</v>
      </c>
      <c r="W1397" s="119"/>
      <c r="X1397" s="110" t="s">
        <v>2063</v>
      </c>
      <c r="Y1397" s="110" t="s">
        <v>2064</v>
      </c>
      <c r="Z1397" s="110" t="s">
        <v>4429</v>
      </c>
      <c r="AA1397" s="110" t="s">
        <v>537</v>
      </c>
      <c r="AB1397" s="110" t="s">
        <v>244</v>
      </c>
      <c r="AC1397" s="110" t="s">
        <v>538</v>
      </c>
      <c r="AD1397" s="110" t="n">
        <f aca="false">IF(OR(F1397="",Q1397="",R1397=""),"",ROUND(IF(P1397="incl.",F1397/(1+Q1397),F1397)/IF(S1397="per pack",R1397,1),2))</f>
        <v>12.8</v>
      </c>
      <c r="AE1397" s="110" t="str">
        <f aca="false">IF(AND(AC1397="yes",ISNUMBER(F1397),IF(Compare!$H$5="All mapped",TRUE(),IF(Compare!$H$5="EXACT only",J1397="EXACT",OR(J1397="EXACT",J1397="CLOSE")))),"yes","no")</f>
        <v>yes</v>
      </c>
      <c r="AF1397" s="110" t="n">
        <f aca="false">IF(ISNUMBER(H1397),COUNTIFS($B$7:$B$3000,B1397,$C$7:$C$3000,C1397,$H$7:$H$3000,"&lt;"&amp;H1397,$AH$7:$AH$3000,"yes")+COUNTIFS($B$7:B1397,B1397,$C$7:C1397,C1397,$H$7:H1397,H1397,$AH$7:AH1397,"yes"),"")</f>
        <v>1</v>
      </c>
      <c r="AG1397" s="110" t="n">
        <f aca="false">IF(ISNUMBER(I1397),COUNTIFS($B$7:$B$3000,B1397,$C$7:$C$3000,C1397,$I$7:$I$3000,"&lt;"&amp;I1397,$AI$7:$AI$3000,"yes")+COUNTIFS($B$7:B1397,B1397,$C$7:C1397,C1397,$I$7:I1397,I1397,$AI$7:AI1397,"yes"),"")</f>
        <v>4</v>
      </c>
      <c r="AH1397" s="110" t="str">
        <f aca="false">IF(ISNUMBER(H1397),"yes","no")</f>
        <v>yes</v>
      </c>
      <c r="AI1397" s="110" t="str">
        <f aca="false">IF(ISNUMBER(I1397),"yes","no")</f>
        <v>yes</v>
      </c>
      <c r="AJ1397" s="120" t="n">
        <v>46297</v>
      </c>
      <c r="AK1397" s="110"/>
    </row>
    <row r="1398" customFormat="false" ht="23.85" hidden="false" customHeight="false" outlineLevel="0" collapsed="false">
      <c r="B1398" s="36" t="s">
        <v>85</v>
      </c>
      <c r="C1398" s="98" t="s">
        <v>14</v>
      </c>
      <c r="D1398" s="98" t="s">
        <v>403</v>
      </c>
      <c r="E1398" s="110" t="s">
        <v>4430</v>
      </c>
      <c r="F1398" s="99" t="n">
        <v>55.46</v>
      </c>
      <c r="G1398" s="98" t="s">
        <v>374</v>
      </c>
      <c r="H1398" s="112" t="n">
        <f aca="false">IF(AND(AE1398="yes",ISNUMBER(AD1398)),AD1398,"")</f>
        <v>55.46</v>
      </c>
      <c r="I1398" s="95" t="n">
        <f aca="false">IF(AND(AE1398="yes",ISNUMBER(AD1398),ISNUMBER(INDEX(Sources!$G$7:$G$10,MATCH(AB1398,Sources!$B$7:$B$10,0)))),ROUND(AD1398/INDEX(Sources!$G$7:$G$10,MATCH(AB1398,Sources!$B$7:$B$10,0)),6),"")</f>
        <v>10.508482</v>
      </c>
      <c r="J1398" s="98" t="s">
        <v>530</v>
      </c>
      <c r="K1398" s="98" t="s">
        <v>2059</v>
      </c>
      <c r="L1398" s="96"/>
      <c r="M1398" s="110" t="s">
        <v>4431</v>
      </c>
      <c r="N1398" s="117" t="s">
        <v>4432</v>
      </c>
      <c r="O1398" s="110" t="s">
        <v>388</v>
      </c>
      <c r="P1398" s="110" t="s">
        <v>590</v>
      </c>
      <c r="Q1398" s="118" t="n">
        <v>0.21</v>
      </c>
      <c r="R1398" s="110" t="n">
        <v>1</v>
      </c>
      <c r="S1398" s="110" t="s">
        <v>632</v>
      </c>
      <c r="T1398" s="110" t="s">
        <v>530</v>
      </c>
      <c r="U1398" s="110" t="s">
        <v>2913</v>
      </c>
      <c r="V1398" s="119" t="n">
        <v>55.46</v>
      </c>
      <c r="W1398" s="119"/>
      <c r="X1398" s="110" t="s">
        <v>2063</v>
      </c>
      <c r="Y1398" s="110" t="s">
        <v>2064</v>
      </c>
      <c r="Z1398" s="110"/>
      <c r="AA1398" s="110" t="s">
        <v>537</v>
      </c>
      <c r="AB1398" s="110" t="s">
        <v>374</v>
      </c>
      <c r="AC1398" s="110" t="s">
        <v>538</v>
      </c>
      <c r="AD1398" s="110" t="n">
        <f aca="false">IF(OR(F1398="",Q1398="",R1398=""),"",ROUND(IF(P1398="incl.",F1398/(1+Q1398),F1398)/IF(S1398="per pack",R1398,1),2))</f>
        <v>55.46</v>
      </c>
      <c r="AE1398" s="110" t="str">
        <f aca="false">IF(AND(AC1398="yes",ISNUMBER(F1398),IF(Compare!$H$5="All mapped",TRUE(),IF(Compare!$H$5="EXACT only",J1398="EXACT",OR(J1398="EXACT",J1398="CLOSE")))),"yes","no")</f>
        <v>yes</v>
      </c>
      <c r="AF1398" s="110" t="n">
        <f aca="false">IF(ISNUMBER(H1398),COUNTIFS($B$7:$B$3000,B1398,$C$7:$C$3000,C1398,$H$7:$H$3000,"&lt;"&amp;H1398,$AH$7:$AH$3000,"yes")+COUNTIFS($B$7:B1398,B1398,$C$7:C1398,C1398,$H$7:H1398,H1398,$AH$7:AH1398,"yes"),"")</f>
        <v>3</v>
      </c>
      <c r="AG1398" s="110" t="n">
        <f aca="false">IF(ISNUMBER(I1398),COUNTIFS($B$7:$B$3000,B1398,$C$7:$C$3000,C1398,$I$7:$I$3000,"&lt;"&amp;I1398,$AI$7:$AI$3000,"yes")+COUNTIFS($B$7:B1398,B1398,$C$7:C1398,C1398,$I$7:I1398,I1398,$AI$7:AI1398,"yes"),"")</f>
        <v>2</v>
      </c>
      <c r="AH1398" s="110" t="str">
        <f aca="false">IF(ISNUMBER(H1398),"yes","no")</f>
        <v>yes</v>
      </c>
      <c r="AI1398" s="110" t="str">
        <f aca="false">IF(ISNUMBER(I1398),"yes","no")</f>
        <v>yes</v>
      </c>
      <c r="AJ1398" s="120" t="n">
        <v>46297</v>
      </c>
      <c r="AK1398" s="110"/>
    </row>
    <row r="1399" customFormat="false" ht="35.05" hidden="false" customHeight="false" outlineLevel="0" collapsed="false">
      <c r="B1399" s="36" t="s">
        <v>85</v>
      </c>
      <c r="C1399" s="98" t="s">
        <v>15</v>
      </c>
      <c r="D1399" s="98" t="s">
        <v>243</v>
      </c>
      <c r="E1399" s="110" t="s">
        <v>4433</v>
      </c>
      <c r="F1399" s="99" t="n">
        <v>16.1</v>
      </c>
      <c r="G1399" s="98" t="s">
        <v>244</v>
      </c>
      <c r="H1399" s="112" t="n">
        <f aca="false">IF(AND(AE1399="yes",ISNUMBER(AD1399)),AD1399,"")</f>
        <v>16.1</v>
      </c>
      <c r="I1399" s="95" t="n">
        <f aca="false">IF(AND(AE1399="yes",ISNUMBER(AD1399),ISNUMBER(INDEX(Sources!$G$7:$G$10,MATCH(AB1399,Sources!$B$7:$B$10,0)))),ROUND(AD1399/INDEX(Sources!$G$7:$G$10,MATCH(AB1399,Sources!$B$7:$B$10,0)),6),"")</f>
        <v>16.1</v>
      </c>
      <c r="J1399" s="98" t="s">
        <v>530</v>
      </c>
      <c r="K1399" s="98" t="s">
        <v>2059</v>
      </c>
      <c r="L1399" s="96"/>
      <c r="M1399" s="110" t="s">
        <v>4434</v>
      </c>
      <c r="N1399" s="117" t="s">
        <v>4435</v>
      </c>
      <c r="O1399" s="110" t="s">
        <v>388</v>
      </c>
      <c r="P1399" s="110" t="s">
        <v>590</v>
      </c>
      <c r="Q1399" s="118" t="n">
        <v>0.2</v>
      </c>
      <c r="R1399" s="110" t="n">
        <v>1</v>
      </c>
      <c r="S1399" s="110" t="s">
        <v>632</v>
      </c>
      <c r="T1399" s="110" t="s">
        <v>530</v>
      </c>
      <c r="U1399" s="110" t="s">
        <v>2913</v>
      </c>
      <c r="V1399" s="119" t="n">
        <v>16.1</v>
      </c>
      <c r="W1399" s="119"/>
      <c r="X1399" s="110" t="s">
        <v>2063</v>
      </c>
      <c r="Y1399" s="110" t="s">
        <v>2064</v>
      </c>
      <c r="Z1399" s="110" t="s">
        <v>4337</v>
      </c>
      <c r="AA1399" s="110" t="s">
        <v>537</v>
      </c>
      <c r="AB1399" s="110" t="s">
        <v>244</v>
      </c>
      <c r="AC1399" s="110" t="s">
        <v>538</v>
      </c>
      <c r="AD1399" s="110" t="n">
        <f aca="false">IF(OR(F1399="",Q1399="",R1399=""),"",ROUND(IF(P1399="incl.",F1399/(1+Q1399),F1399)/IF(S1399="per pack",R1399,1),2))</f>
        <v>16.1</v>
      </c>
      <c r="AE1399" s="110" t="str">
        <f aca="false">IF(AND(AC1399="yes",ISNUMBER(F1399),IF(Compare!$H$5="All mapped",TRUE(),IF(Compare!$H$5="EXACT only",J1399="EXACT",OR(J1399="EXACT",J1399="CLOSE")))),"yes","no")</f>
        <v>yes</v>
      </c>
      <c r="AF1399" s="110" t="n">
        <f aca="false">IF(ISNUMBER(H1399),COUNTIFS($B$7:$B$3000,B1399,$C$7:$C$3000,C1399,$H$7:$H$3000,"&lt;"&amp;H1399,$AH$7:$AH$3000,"yes")+COUNTIFS($B$7:B1399,B1399,$C$7:C1399,C1399,$H$7:H1399,H1399,$AH$7:AH1399,"yes"),"")</f>
        <v>5</v>
      </c>
      <c r="AG1399" s="110" t="n">
        <f aca="false">IF(ISNUMBER(I1399),COUNTIFS($B$7:$B$3000,B1399,$C$7:$C$3000,C1399,$I$7:$I$3000,"&lt;"&amp;I1399,$AI$7:$AI$3000,"yes")+COUNTIFS($B$7:B1399,B1399,$C$7:C1399,C1399,$I$7:I1399,I1399,$AI$7:AI1399,"yes"),"")</f>
        <v>5</v>
      </c>
      <c r="AH1399" s="110" t="str">
        <f aca="false">IF(ISNUMBER(H1399),"yes","no")</f>
        <v>yes</v>
      </c>
      <c r="AI1399" s="110" t="str">
        <f aca="false">IF(ISNUMBER(I1399),"yes","no")</f>
        <v>yes</v>
      </c>
      <c r="AJ1399" s="120" t="n">
        <v>46297</v>
      </c>
      <c r="AK1399" s="110"/>
    </row>
    <row r="1400" customFormat="false" ht="23.85" hidden="false" customHeight="false" outlineLevel="0" collapsed="false">
      <c r="B1400" s="36" t="s">
        <v>85</v>
      </c>
      <c r="C1400" s="98" t="s">
        <v>15</v>
      </c>
      <c r="D1400" s="98" t="s">
        <v>257</v>
      </c>
      <c r="E1400" s="110" t="s">
        <v>4436</v>
      </c>
      <c r="F1400" s="99" t="n">
        <v>13.75</v>
      </c>
      <c r="G1400" s="98" t="s">
        <v>244</v>
      </c>
      <c r="H1400" s="112" t="n">
        <f aca="false">IF(AND(AE1400="yes",ISNUMBER(AD1400)),AD1400,"")</f>
        <v>13.75</v>
      </c>
      <c r="I1400" s="95" t="n">
        <f aca="false">IF(AND(AE1400="yes",ISNUMBER(AD1400),ISNUMBER(INDEX(Sources!$G$7:$G$10,MATCH(AB1400,Sources!$B$7:$B$10,0)))),ROUND(AD1400/INDEX(Sources!$G$7:$G$10,MATCH(AB1400,Sources!$B$7:$B$10,0)),6),"")</f>
        <v>13.75</v>
      </c>
      <c r="J1400" s="98" t="s">
        <v>530</v>
      </c>
      <c r="K1400" s="98" t="s">
        <v>2059</v>
      </c>
      <c r="L1400" s="96"/>
      <c r="M1400" s="110" t="s">
        <v>4437</v>
      </c>
      <c r="N1400" s="117" t="s">
        <v>4438</v>
      </c>
      <c r="O1400" s="110" t="s">
        <v>2396</v>
      </c>
      <c r="P1400" s="110" t="s">
        <v>590</v>
      </c>
      <c r="Q1400" s="118" t="n">
        <v>0.2</v>
      </c>
      <c r="R1400" s="110" t="n">
        <v>1</v>
      </c>
      <c r="S1400" s="110" t="s">
        <v>632</v>
      </c>
      <c r="T1400" s="110" t="s">
        <v>530</v>
      </c>
      <c r="U1400" s="110" t="s">
        <v>2913</v>
      </c>
      <c r="V1400" s="119" t="n">
        <v>13.75</v>
      </c>
      <c r="W1400" s="119"/>
      <c r="X1400" s="110" t="s">
        <v>2063</v>
      </c>
      <c r="Y1400" s="110" t="s">
        <v>2064</v>
      </c>
      <c r="Z1400" s="110" t="s">
        <v>4341</v>
      </c>
      <c r="AA1400" s="110" t="s">
        <v>537</v>
      </c>
      <c r="AB1400" s="110" t="s">
        <v>244</v>
      </c>
      <c r="AC1400" s="110" t="s">
        <v>538</v>
      </c>
      <c r="AD1400" s="110" t="n">
        <f aca="false">IF(OR(F1400="",Q1400="",R1400=""),"",ROUND(IF(P1400="incl.",F1400/(1+Q1400),F1400)/IF(S1400="per pack",R1400,1),2))</f>
        <v>13.75</v>
      </c>
      <c r="AE1400" s="110" t="str">
        <f aca="false">IF(AND(AC1400="yes",ISNUMBER(F1400),IF(Compare!$H$5="All mapped",TRUE(),IF(Compare!$H$5="EXACT only",J1400="EXACT",OR(J1400="EXACT",J1400="CLOSE")))),"yes","no")</f>
        <v>yes</v>
      </c>
      <c r="AF1400" s="110" t="n">
        <f aca="false">IF(ISNUMBER(H1400),COUNTIFS($B$7:$B$3000,B1400,$C$7:$C$3000,C1400,$H$7:$H$3000,"&lt;"&amp;H1400,$AH$7:$AH$3000,"yes")+COUNTIFS($B$7:B1400,B1400,$C$7:C1400,C1400,$H$7:H1400,H1400,$AH$7:AH1400,"yes"),"")</f>
        <v>3</v>
      </c>
      <c r="AG1400" s="110" t="n">
        <f aca="false">IF(ISNUMBER(I1400),COUNTIFS($B$7:$B$3000,B1400,$C$7:$C$3000,C1400,$I$7:$I$3000,"&lt;"&amp;I1400,$AI$7:$AI$3000,"yes")+COUNTIFS($B$7:B1400,B1400,$C$7:C1400,C1400,$I$7:I1400,I1400,$AI$7:AI1400,"yes"),"")</f>
        <v>3</v>
      </c>
      <c r="AH1400" s="110" t="str">
        <f aca="false">IF(ISNUMBER(H1400),"yes","no")</f>
        <v>yes</v>
      </c>
      <c r="AI1400" s="110" t="str">
        <f aca="false">IF(ISNUMBER(I1400),"yes","no")</f>
        <v>yes</v>
      </c>
      <c r="AJ1400" s="120" t="n">
        <v>46297</v>
      </c>
      <c r="AK1400" s="110"/>
    </row>
    <row r="1401" customFormat="false" ht="35.05" hidden="false" customHeight="false" outlineLevel="0" collapsed="false">
      <c r="B1401" s="36" t="s">
        <v>85</v>
      </c>
      <c r="C1401" s="98" t="s">
        <v>15</v>
      </c>
      <c r="D1401" s="98" t="s">
        <v>269</v>
      </c>
      <c r="E1401" s="110" t="s">
        <v>4439</v>
      </c>
      <c r="F1401" s="99" t="n">
        <v>18.79</v>
      </c>
      <c r="G1401" s="98" t="s">
        <v>244</v>
      </c>
      <c r="H1401" s="112" t="n">
        <f aca="false">IF(AND(AE1401="yes",ISNUMBER(AD1401)),AD1401,"")</f>
        <v>18.79</v>
      </c>
      <c r="I1401" s="95" t="n">
        <f aca="false">IF(AND(AE1401="yes",ISNUMBER(AD1401),ISNUMBER(INDEX(Sources!$G$7:$G$10,MATCH(AB1401,Sources!$B$7:$B$10,0)))),ROUND(AD1401/INDEX(Sources!$G$7:$G$10,MATCH(AB1401,Sources!$B$7:$B$10,0)),6),"")</f>
        <v>18.79</v>
      </c>
      <c r="J1401" s="98" t="s">
        <v>530</v>
      </c>
      <c r="K1401" s="98" t="s">
        <v>2059</v>
      </c>
      <c r="L1401" s="96"/>
      <c r="M1401" s="110" t="s">
        <v>4440</v>
      </c>
      <c r="N1401" s="117" t="s">
        <v>4441</v>
      </c>
      <c r="O1401" s="110" t="s">
        <v>589</v>
      </c>
      <c r="P1401" s="110" t="s">
        <v>590</v>
      </c>
      <c r="Q1401" s="118" t="n">
        <v>0.19</v>
      </c>
      <c r="R1401" s="110" t="n">
        <v>1</v>
      </c>
      <c r="S1401" s="110" t="s">
        <v>632</v>
      </c>
      <c r="T1401" s="110" t="s">
        <v>530</v>
      </c>
      <c r="U1401" s="110" t="s">
        <v>2913</v>
      </c>
      <c r="V1401" s="119" t="n">
        <v>18.79</v>
      </c>
      <c r="W1401" s="119"/>
      <c r="X1401" s="110" t="s">
        <v>2063</v>
      </c>
      <c r="Y1401" s="110" t="s">
        <v>2064</v>
      </c>
      <c r="Z1401" s="110" t="s">
        <v>4345</v>
      </c>
      <c r="AA1401" s="110" t="s">
        <v>537</v>
      </c>
      <c r="AB1401" s="110" t="s">
        <v>244</v>
      </c>
      <c r="AC1401" s="110" t="s">
        <v>538</v>
      </c>
      <c r="AD1401" s="110" t="n">
        <f aca="false">IF(OR(F1401="",Q1401="",R1401=""),"",ROUND(IF(P1401="incl.",F1401/(1+Q1401),F1401)/IF(S1401="per pack",R1401,1),2))</f>
        <v>18.79</v>
      </c>
      <c r="AE1401" s="110" t="str">
        <f aca="false">IF(AND(AC1401="yes",ISNUMBER(F1401),IF(Compare!$H$5="All mapped",TRUE(),IF(Compare!$H$5="EXACT only",J1401="EXACT",OR(J1401="EXACT",J1401="CLOSE")))),"yes","no")</f>
        <v>yes</v>
      </c>
      <c r="AF1401" s="110" t="n">
        <f aca="false">IF(ISNUMBER(H1401),COUNTIFS($B$7:$B$3000,B1401,$C$7:$C$3000,C1401,$H$7:$H$3000,"&lt;"&amp;H1401,$AH$7:$AH$3000,"yes")+COUNTIFS($B$7:B1401,B1401,$C$7:C1401,C1401,$H$7:H1401,H1401,$AH$7:AH1401,"yes"),"")</f>
        <v>6</v>
      </c>
      <c r="AG1401" s="110" t="n">
        <f aca="false">IF(ISNUMBER(I1401),COUNTIFS($B$7:$B$3000,B1401,$C$7:$C$3000,C1401,$I$7:$I$3000,"&lt;"&amp;I1401,$AI$7:$AI$3000,"yes")+COUNTIFS($B$7:B1401,B1401,$C$7:C1401,C1401,$I$7:I1401,I1401,$AI$7:AI1401,"yes"),"")</f>
        <v>6</v>
      </c>
      <c r="AH1401" s="110" t="str">
        <f aca="false">IF(ISNUMBER(H1401),"yes","no")</f>
        <v>yes</v>
      </c>
      <c r="AI1401" s="110" t="str">
        <f aca="false">IF(ISNUMBER(I1401),"yes","no")</f>
        <v>yes</v>
      </c>
      <c r="AJ1401" s="120" t="n">
        <v>46297</v>
      </c>
      <c r="AK1401" s="110"/>
    </row>
    <row r="1402" customFormat="false" ht="23.85" hidden="false" customHeight="false" outlineLevel="0" collapsed="false">
      <c r="B1402" s="36" t="s">
        <v>85</v>
      </c>
      <c r="C1402" s="98" t="s">
        <v>15</v>
      </c>
      <c r="D1402" s="98" t="s">
        <v>264</v>
      </c>
      <c r="E1402" s="110" t="s">
        <v>4442</v>
      </c>
      <c r="F1402" s="99" t="n">
        <v>21.38</v>
      </c>
      <c r="G1402" s="98" t="s">
        <v>244</v>
      </c>
      <c r="H1402" s="112" t="n">
        <f aca="false">IF(AND(AE1402="yes",ISNUMBER(AD1402)),AD1402,"")</f>
        <v>21.38</v>
      </c>
      <c r="I1402" s="95" t="n">
        <f aca="false">IF(AND(AE1402="yes",ISNUMBER(AD1402),ISNUMBER(INDEX(Sources!$G$7:$G$10,MATCH(AB1402,Sources!$B$7:$B$10,0)))),ROUND(AD1402/INDEX(Sources!$G$7:$G$10,MATCH(AB1402,Sources!$B$7:$B$10,0)),6),"")</f>
        <v>21.38</v>
      </c>
      <c r="J1402" s="98" t="s">
        <v>530</v>
      </c>
      <c r="K1402" s="98" t="s">
        <v>2059</v>
      </c>
      <c r="L1402" s="96"/>
      <c r="M1402" s="110" t="s">
        <v>4443</v>
      </c>
      <c r="N1402" s="117" t="s">
        <v>4444</v>
      </c>
      <c r="O1402" s="110" t="s">
        <v>388</v>
      </c>
      <c r="P1402" s="110" t="s">
        <v>590</v>
      </c>
      <c r="Q1402" s="118" t="n">
        <v>0.19</v>
      </c>
      <c r="R1402" s="110" t="n">
        <v>1</v>
      </c>
      <c r="S1402" s="110" t="s">
        <v>632</v>
      </c>
      <c r="T1402" s="110" t="s">
        <v>530</v>
      </c>
      <c r="U1402" s="110" t="s">
        <v>2913</v>
      </c>
      <c r="V1402" s="119" t="n">
        <v>21.38</v>
      </c>
      <c r="W1402" s="119"/>
      <c r="X1402" s="110" t="s">
        <v>2063</v>
      </c>
      <c r="Y1402" s="110" t="s">
        <v>2064</v>
      </c>
      <c r="Z1402" s="110"/>
      <c r="AA1402" s="110" t="s">
        <v>537</v>
      </c>
      <c r="AB1402" s="110" t="s">
        <v>244</v>
      </c>
      <c r="AC1402" s="110" t="s">
        <v>538</v>
      </c>
      <c r="AD1402" s="110" t="n">
        <f aca="false">IF(OR(F1402="",Q1402="",R1402=""),"",ROUND(IF(P1402="incl.",F1402/(1+Q1402),F1402)/IF(S1402="per pack",R1402,1),2))</f>
        <v>21.38</v>
      </c>
      <c r="AE1402" s="110" t="str">
        <f aca="false">IF(AND(AC1402="yes",ISNUMBER(F1402),IF(Compare!$H$5="All mapped",TRUE(),IF(Compare!$H$5="EXACT only",J1402="EXACT",OR(J1402="EXACT",J1402="CLOSE")))),"yes","no")</f>
        <v>yes</v>
      </c>
      <c r="AF1402" s="110" t="n">
        <f aca="false">IF(ISNUMBER(H1402),COUNTIFS($B$7:$B$3000,B1402,$C$7:$C$3000,C1402,$H$7:$H$3000,"&lt;"&amp;H1402,$AH$7:$AH$3000,"yes")+COUNTIFS($B$7:B1402,B1402,$C$7:C1402,C1402,$H$7:H1402,H1402,$AH$7:AH1402,"yes"),"")</f>
        <v>7</v>
      </c>
      <c r="AG1402" s="110" t="n">
        <f aca="false">IF(ISNUMBER(I1402),COUNTIFS($B$7:$B$3000,B1402,$C$7:$C$3000,C1402,$I$7:$I$3000,"&lt;"&amp;I1402,$AI$7:$AI$3000,"yes")+COUNTIFS($B$7:B1402,B1402,$C$7:C1402,C1402,$I$7:I1402,I1402,$AI$7:AI1402,"yes"),"")</f>
        <v>7</v>
      </c>
      <c r="AH1402" s="110" t="str">
        <f aca="false">IF(ISNUMBER(H1402),"yes","no")</f>
        <v>yes</v>
      </c>
      <c r="AI1402" s="110" t="str">
        <f aca="false">IF(ISNUMBER(I1402),"yes","no")</f>
        <v>yes</v>
      </c>
      <c r="AJ1402" s="120" t="n">
        <v>46297</v>
      </c>
      <c r="AK1402" s="110"/>
    </row>
    <row r="1403" customFormat="false" ht="35.05" hidden="false" customHeight="false" outlineLevel="0" collapsed="false">
      <c r="B1403" s="36" t="s">
        <v>85</v>
      </c>
      <c r="C1403" s="98" t="s">
        <v>15</v>
      </c>
      <c r="D1403" s="98" t="s">
        <v>273</v>
      </c>
      <c r="E1403" s="110" t="s">
        <v>4445</v>
      </c>
      <c r="F1403" s="99" t="n">
        <v>17.59</v>
      </c>
      <c r="G1403" s="98" t="s">
        <v>244</v>
      </c>
      <c r="H1403" s="112" t="n">
        <f aca="false">IF(AND(AE1403="yes",ISNUMBER(AD1403)),AD1403,"")</f>
        <v>14.66</v>
      </c>
      <c r="I1403" s="95" t="n">
        <f aca="false">IF(AND(AE1403="yes",ISNUMBER(AD1403),ISNUMBER(INDEX(Sources!$G$7:$G$10,MATCH(AB1403,Sources!$B$7:$B$10,0)))),ROUND(AD1403/INDEX(Sources!$G$7:$G$10,MATCH(AB1403,Sources!$B$7:$B$10,0)),6),"")</f>
        <v>14.66</v>
      </c>
      <c r="J1403" s="98" t="s">
        <v>530</v>
      </c>
      <c r="K1403" s="98" t="s">
        <v>2059</v>
      </c>
      <c r="L1403" s="96"/>
      <c r="M1403" s="110" t="s">
        <v>4446</v>
      </c>
      <c r="N1403" s="117" t="s">
        <v>4447</v>
      </c>
      <c r="O1403" s="110" t="s">
        <v>642</v>
      </c>
      <c r="P1403" s="110" t="s">
        <v>265</v>
      </c>
      <c r="Q1403" s="118" t="n">
        <v>0.2</v>
      </c>
      <c r="R1403" s="110" t="n">
        <v>1</v>
      </c>
      <c r="S1403" s="110" t="s">
        <v>632</v>
      </c>
      <c r="T1403" s="110" t="s">
        <v>530</v>
      </c>
      <c r="U1403" s="110" t="s">
        <v>2918</v>
      </c>
      <c r="V1403" s="119" t="n">
        <v>14.66</v>
      </c>
      <c r="W1403" s="119"/>
      <c r="X1403" s="110" t="s">
        <v>2063</v>
      </c>
      <c r="Y1403" s="110" t="s">
        <v>2064</v>
      </c>
      <c r="Z1403" s="110"/>
      <c r="AA1403" s="110" t="s">
        <v>537</v>
      </c>
      <c r="AB1403" s="110" t="s">
        <v>244</v>
      </c>
      <c r="AC1403" s="110" t="s">
        <v>538</v>
      </c>
      <c r="AD1403" s="110" t="n">
        <f aca="false">IF(OR(F1403="",Q1403="",R1403=""),"",ROUND(IF(P1403="incl.",F1403/(1+Q1403),F1403)/IF(S1403="per pack",R1403,1),2))</f>
        <v>14.66</v>
      </c>
      <c r="AE1403" s="110" t="str">
        <f aca="false">IF(AND(AC1403="yes",ISNUMBER(F1403),IF(Compare!$H$5="All mapped",TRUE(),IF(Compare!$H$5="EXACT only",J1403="EXACT",OR(J1403="EXACT",J1403="CLOSE")))),"yes","no")</f>
        <v>yes</v>
      </c>
      <c r="AF1403" s="110" t="n">
        <f aca="false">IF(ISNUMBER(H1403),COUNTIFS($B$7:$B$3000,B1403,$C$7:$C$3000,C1403,$H$7:$H$3000,"&lt;"&amp;H1403,$AH$7:$AH$3000,"yes")+COUNTIFS($B$7:B1403,B1403,$C$7:C1403,C1403,$H$7:H1403,H1403,$AH$7:AH1403,"yes"),"")</f>
        <v>4</v>
      </c>
      <c r="AG1403" s="110" t="n">
        <f aca="false">IF(ISNUMBER(I1403),COUNTIFS($B$7:$B$3000,B1403,$C$7:$C$3000,C1403,$I$7:$I$3000,"&lt;"&amp;I1403,$AI$7:$AI$3000,"yes")+COUNTIFS($B$7:B1403,B1403,$C$7:C1403,C1403,$I$7:I1403,I1403,$AI$7:AI1403,"yes"),"")</f>
        <v>4</v>
      </c>
      <c r="AH1403" s="110" t="str">
        <f aca="false">IF(ISNUMBER(H1403),"yes","no")</f>
        <v>yes</v>
      </c>
      <c r="AI1403" s="110" t="str">
        <f aca="false">IF(ISNUMBER(I1403),"yes","no")</f>
        <v>yes</v>
      </c>
      <c r="AJ1403" s="120" t="n">
        <v>46297</v>
      </c>
      <c r="AK1403" s="110"/>
    </row>
    <row r="1404" customFormat="false" ht="46.25" hidden="false" customHeight="false" outlineLevel="0" collapsed="false">
      <c r="B1404" s="36" t="s">
        <v>85</v>
      </c>
      <c r="C1404" s="98" t="s">
        <v>15</v>
      </c>
      <c r="D1404" s="98" t="s">
        <v>281</v>
      </c>
      <c r="E1404" s="110" t="s">
        <v>4448</v>
      </c>
      <c r="F1404" s="99" t="n">
        <v>10.44</v>
      </c>
      <c r="G1404" s="98" t="s">
        <v>244</v>
      </c>
      <c r="H1404" s="112" t="n">
        <f aca="false">IF(AND(AE1404="yes",ISNUMBER(AD1404)),AD1404,"")</f>
        <v>10.44</v>
      </c>
      <c r="I1404" s="95" t="n">
        <f aca="false">IF(AND(AE1404="yes",ISNUMBER(AD1404),ISNUMBER(INDEX(Sources!$G$7:$G$10,MATCH(AB1404,Sources!$B$7:$B$10,0)))),ROUND(AD1404/INDEX(Sources!$G$7:$G$10,MATCH(AB1404,Sources!$B$7:$B$10,0)),6),"")</f>
        <v>10.44</v>
      </c>
      <c r="J1404" s="98" t="s">
        <v>530</v>
      </c>
      <c r="K1404" s="98" t="s">
        <v>2059</v>
      </c>
      <c r="L1404" s="96"/>
      <c r="M1404" s="110" t="s">
        <v>4449</v>
      </c>
      <c r="N1404" s="117" t="s">
        <v>4450</v>
      </c>
      <c r="O1404" s="110" t="s">
        <v>603</v>
      </c>
      <c r="P1404" s="110" t="s">
        <v>590</v>
      </c>
      <c r="Q1404" s="118" t="n">
        <v>0.2</v>
      </c>
      <c r="R1404" s="110" t="n">
        <v>1</v>
      </c>
      <c r="S1404" s="110" t="s">
        <v>632</v>
      </c>
      <c r="T1404" s="110" t="s">
        <v>530</v>
      </c>
      <c r="U1404" s="110" t="s">
        <v>2913</v>
      </c>
      <c r="V1404" s="119" t="n">
        <v>10.44</v>
      </c>
      <c r="W1404" s="119"/>
      <c r="X1404" s="110" t="s">
        <v>2063</v>
      </c>
      <c r="Y1404" s="110" t="s">
        <v>2064</v>
      </c>
      <c r="Z1404" s="110" t="s">
        <v>2125</v>
      </c>
      <c r="AA1404" s="110" t="s">
        <v>537</v>
      </c>
      <c r="AB1404" s="110" t="s">
        <v>244</v>
      </c>
      <c r="AC1404" s="110" t="s">
        <v>538</v>
      </c>
      <c r="AD1404" s="110" t="n">
        <f aca="false">IF(OR(F1404="",Q1404="",R1404=""),"",ROUND(IF(P1404="incl.",F1404/(1+Q1404),F1404)/IF(S1404="per pack",R1404,1),2))</f>
        <v>10.44</v>
      </c>
      <c r="AE1404" s="110" t="str">
        <f aca="false">IF(AND(AC1404="yes",ISNUMBER(F1404),IF(Compare!$H$5="All mapped",TRUE(),IF(Compare!$H$5="EXACT only",J1404="EXACT",OR(J1404="EXACT",J1404="CLOSE")))),"yes","no")</f>
        <v>yes</v>
      </c>
      <c r="AF1404" s="110" t="n">
        <f aca="false">IF(ISNUMBER(H1404),COUNTIFS($B$7:$B$3000,B1404,$C$7:$C$3000,C1404,$H$7:$H$3000,"&lt;"&amp;H1404,$AH$7:$AH$3000,"yes")+COUNTIFS($B$7:B1404,B1404,$C$7:C1404,C1404,$H$7:H1404,H1404,$AH$7:AH1404,"yes"),"")</f>
        <v>2</v>
      </c>
      <c r="AG1404" s="110" t="n">
        <f aca="false">IF(ISNUMBER(I1404),COUNTIFS($B$7:$B$3000,B1404,$C$7:$C$3000,C1404,$I$7:$I$3000,"&lt;"&amp;I1404,$AI$7:$AI$3000,"yes")+COUNTIFS($B$7:B1404,B1404,$C$7:C1404,C1404,$I$7:I1404,I1404,$AI$7:AI1404,"yes"),"")</f>
        <v>2</v>
      </c>
      <c r="AH1404" s="110" t="str">
        <f aca="false">IF(ISNUMBER(H1404),"yes","no")</f>
        <v>yes</v>
      </c>
      <c r="AI1404" s="110" t="str">
        <f aca="false">IF(ISNUMBER(I1404),"yes","no")</f>
        <v>yes</v>
      </c>
      <c r="AJ1404" s="120" t="n">
        <v>46297</v>
      </c>
      <c r="AK1404" s="110"/>
    </row>
    <row r="1405" customFormat="false" ht="35.05" hidden="false" customHeight="false" outlineLevel="0" collapsed="false">
      <c r="B1405" s="36" t="s">
        <v>85</v>
      </c>
      <c r="C1405" s="98" t="s">
        <v>15</v>
      </c>
      <c r="D1405" s="98" t="s">
        <v>293</v>
      </c>
      <c r="E1405" s="110" t="s">
        <v>4451</v>
      </c>
      <c r="F1405" s="99" t="n">
        <v>8.7</v>
      </c>
      <c r="G1405" s="98" t="s">
        <v>244</v>
      </c>
      <c r="H1405" s="112" t="n">
        <f aca="false">IF(AND(AE1405="yes",ISNUMBER(AD1405)),AD1405,"")</f>
        <v>8.7</v>
      </c>
      <c r="I1405" s="95" t="n">
        <f aca="false">IF(AND(AE1405="yes",ISNUMBER(AD1405),ISNUMBER(INDEX(Sources!$G$7:$G$10,MATCH(AB1405,Sources!$B$7:$B$10,0)))),ROUND(AD1405/INDEX(Sources!$G$7:$G$10,MATCH(AB1405,Sources!$B$7:$B$10,0)),6),"")</f>
        <v>8.7</v>
      </c>
      <c r="J1405" s="98" t="s">
        <v>530</v>
      </c>
      <c r="K1405" s="98" t="s">
        <v>2059</v>
      </c>
      <c r="L1405" s="96"/>
      <c r="M1405" s="110" t="s">
        <v>4452</v>
      </c>
      <c r="N1405" s="117" t="s">
        <v>4453</v>
      </c>
      <c r="O1405" s="110" t="s">
        <v>4358</v>
      </c>
      <c r="P1405" s="110" t="s">
        <v>590</v>
      </c>
      <c r="Q1405" s="118" t="n">
        <v>0.2</v>
      </c>
      <c r="R1405" s="110" t="n">
        <v>1</v>
      </c>
      <c r="S1405" s="110" t="s">
        <v>632</v>
      </c>
      <c r="T1405" s="110" t="s">
        <v>530</v>
      </c>
      <c r="U1405" s="110" t="s">
        <v>2913</v>
      </c>
      <c r="V1405" s="119" t="n">
        <v>8.7</v>
      </c>
      <c r="W1405" s="119"/>
      <c r="X1405" s="110" t="s">
        <v>2063</v>
      </c>
      <c r="Y1405" s="110" t="s">
        <v>2064</v>
      </c>
      <c r="Z1405" s="110"/>
      <c r="AA1405" s="110" t="s">
        <v>537</v>
      </c>
      <c r="AB1405" s="110" t="s">
        <v>244</v>
      </c>
      <c r="AC1405" s="110" t="s">
        <v>538</v>
      </c>
      <c r="AD1405" s="110" t="n">
        <f aca="false">IF(OR(F1405="",Q1405="",R1405=""),"",ROUND(IF(P1405="incl.",F1405/(1+Q1405),F1405)/IF(S1405="per pack",R1405,1),2))</f>
        <v>8.7</v>
      </c>
      <c r="AE1405" s="110" t="str">
        <f aca="false">IF(AND(AC1405="yes",ISNUMBER(F1405),IF(Compare!$H$5="All mapped",TRUE(),IF(Compare!$H$5="EXACT only",J1405="EXACT",OR(J1405="EXACT",J1405="CLOSE")))),"yes","no")</f>
        <v>yes</v>
      </c>
      <c r="AF1405" s="110" t="n">
        <f aca="false">IF(ISNUMBER(H1405),COUNTIFS($B$7:$B$3000,B1405,$C$7:$C$3000,C1405,$H$7:$H$3000,"&lt;"&amp;H1405,$AH$7:$AH$3000,"yes")+COUNTIFS($B$7:B1405,B1405,$C$7:C1405,C1405,$H$7:H1405,H1405,$AH$7:AH1405,"yes"),"")</f>
        <v>1</v>
      </c>
      <c r="AG1405" s="110" t="n">
        <f aca="false">IF(ISNUMBER(I1405),COUNTIFS($B$7:$B$3000,B1405,$C$7:$C$3000,C1405,$I$7:$I$3000,"&lt;"&amp;I1405,$AI$7:$AI$3000,"yes")+COUNTIFS($B$7:B1405,B1405,$C$7:C1405,C1405,$I$7:I1405,I1405,$AI$7:AI1405,"yes"),"")</f>
        <v>1</v>
      </c>
      <c r="AH1405" s="110" t="str">
        <f aca="false">IF(ISNUMBER(H1405),"yes","no")</f>
        <v>yes</v>
      </c>
      <c r="AI1405" s="110" t="str">
        <f aca="false">IF(ISNUMBER(I1405),"yes","no")</f>
        <v>yes</v>
      </c>
      <c r="AJ1405" s="120" t="n">
        <v>46297</v>
      </c>
      <c r="AK1405" s="110"/>
    </row>
    <row r="1406" customFormat="false" ht="23.85" hidden="false" customHeight="false" outlineLevel="0" collapsed="false">
      <c r="B1406" s="36" t="s">
        <v>85</v>
      </c>
      <c r="C1406" s="98" t="s">
        <v>16</v>
      </c>
      <c r="D1406" s="98" t="s">
        <v>296</v>
      </c>
      <c r="E1406" s="110" t="s">
        <v>4454</v>
      </c>
      <c r="F1406" s="99" t="n">
        <v>8.9</v>
      </c>
      <c r="G1406" s="98" t="s">
        <v>244</v>
      </c>
      <c r="H1406" s="112" t="n">
        <f aca="false">IF(AND(AE1406="yes",ISNUMBER(AD1406)),AD1406,"")</f>
        <v>8.9</v>
      </c>
      <c r="I1406" s="95" t="n">
        <f aca="false">IF(AND(AE1406="yes",ISNUMBER(AD1406),ISNUMBER(INDEX(Sources!$G$7:$G$10,MATCH(AB1406,Sources!$B$7:$B$10,0)))),ROUND(AD1406/INDEX(Sources!$G$7:$G$10,MATCH(AB1406,Sources!$B$7:$B$10,0)),6),"")</f>
        <v>8.9</v>
      </c>
      <c r="J1406" s="98" t="s">
        <v>530</v>
      </c>
      <c r="K1406" s="98" t="s">
        <v>2059</v>
      </c>
      <c r="L1406" s="96"/>
      <c r="M1406" s="110" t="s">
        <v>4455</v>
      </c>
      <c r="N1406" s="117" t="s">
        <v>4456</v>
      </c>
      <c r="O1406" s="110" t="s">
        <v>4362</v>
      </c>
      <c r="P1406" s="110" t="s">
        <v>590</v>
      </c>
      <c r="Q1406" s="118" t="n">
        <v>0.19</v>
      </c>
      <c r="R1406" s="110" t="n">
        <v>1</v>
      </c>
      <c r="S1406" s="110" t="s">
        <v>632</v>
      </c>
      <c r="T1406" s="110" t="s">
        <v>530</v>
      </c>
      <c r="U1406" s="110" t="s">
        <v>2913</v>
      </c>
      <c r="V1406" s="119" t="n">
        <v>8.9</v>
      </c>
      <c r="W1406" s="119"/>
      <c r="X1406" s="110" t="s">
        <v>2063</v>
      </c>
      <c r="Y1406" s="110" t="s">
        <v>2064</v>
      </c>
      <c r="Z1406" s="110" t="s">
        <v>2164</v>
      </c>
      <c r="AA1406" s="110" t="s">
        <v>537</v>
      </c>
      <c r="AB1406" s="110" t="s">
        <v>244</v>
      </c>
      <c r="AC1406" s="110" t="s">
        <v>538</v>
      </c>
      <c r="AD1406" s="110" t="n">
        <f aca="false">IF(OR(F1406="",Q1406="",R1406=""),"",ROUND(IF(P1406="incl.",F1406/(1+Q1406),F1406)/IF(S1406="per pack",R1406,1),2))</f>
        <v>8.9</v>
      </c>
      <c r="AE1406" s="110" t="str">
        <f aca="false">IF(AND(AC1406="yes",ISNUMBER(F1406),IF(Compare!$H$5="All mapped",TRUE(),IF(Compare!$H$5="EXACT only",J1406="EXACT",OR(J1406="EXACT",J1406="CLOSE")))),"yes","no")</f>
        <v>yes</v>
      </c>
      <c r="AF1406" s="110" t="n">
        <f aca="false">IF(ISNUMBER(H1406),COUNTIFS($B$7:$B$3000,B1406,$C$7:$C$3000,C1406,$H$7:$H$3000,"&lt;"&amp;H1406,$AH$7:$AH$3000,"yes")+COUNTIFS($B$7:B1406,B1406,$C$7:C1406,C1406,$H$7:H1406,H1406,$AH$7:AH1406,"yes"),"")</f>
        <v>1</v>
      </c>
      <c r="AG1406" s="110" t="n">
        <f aca="false">IF(ISNUMBER(I1406),COUNTIFS($B$7:$B$3000,B1406,$C$7:$C$3000,C1406,$I$7:$I$3000,"&lt;"&amp;I1406,$AI$7:$AI$3000,"yes")+COUNTIFS($B$7:B1406,B1406,$C$7:C1406,C1406,$I$7:I1406,I1406,$AI$7:AI1406,"yes"),"")</f>
        <v>1</v>
      </c>
      <c r="AH1406" s="110" t="str">
        <f aca="false">IF(ISNUMBER(H1406),"yes","no")</f>
        <v>yes</v>
      </c>
      <c r="AI1406" s="110" t="str">
        <f aca="false">IF(ISNUMBER(I1406),"yes","no")</f>
        <v>yes</v>
      </c>
      <c r="AJ1406" s="120" t="n">
        <v>46297</v>
      </c>
      <c r="AK1406" s="110"/>
    </row>
    <row r="1407" customFormat="false" ht="23.85" hidden="false" customHeight="false" outlineLevel="0" collapsed="false">
      <c r="B1407" s="36" t="s">
        <v>85</v>
      </c>
      <c r="C1407" s="98" t="s">
        <v>16</v>
      </c>
      <c r="D1407" s="98" t="s">
        <v>305</v>
      </c>
      <c r="E1407" s="110" t="s">
        <v>4457</v>
      </c>
      <c r="F1407" s="99" t="n">
        <v>9.05</v>
      </c>
      <c r="G1407" s="98" t="s">
        <v>244</v>
      </c>
      <c r="H1407" s="112" t="n">
        <f aca="false">IF(AND(AE1407="yes",ISNUMBER(AD1407)),AD1407,"")</f>
        <v>9.05</v>
      </c>
      <c r="I1407" s="95" t="n">
        <f aca="false">IF(AND(AE1407="yes",ISNUMBER(AD1407),ISNUMBER(INDEX(Sources!$G$7:$G$10,MATCH(AB1407,Sources!$B$7:$B$10,0)))),ROUND(AD1407/INDEX(Sources!$G$7:$G$10,MATCH(AB1407,Sources!$B$7:$B$10,0)),6),"")</f>
        <v>9.05</v>
      </c>
      <c r="J1407" s="98" t="s">
        <v>530</v>
      </c>
      <c r="K1407" s="98" t="s">
        <v>2059</v>
      </c>
      <c r="L1407" s="96"/>
      <c r="M1407" s="110" t="s">
        <v>4458</v>
      </c>
      <c r="N1407" s="117" t="s">
        <v>4459</v>
      </c>
      <c r="O1407" s="110" t="s">
        <v>603</v>
      </c>
      <c r="P1407" s="110" t="s">
        <v>590</v>
      </c>
      <c r="Q1407" s="118" t="n">
        <v>0.19</v>
      </c>
      <c r="R1407" s="110" t="n">
        <v>1</v>
      </c>
      <c r="S1407" s="110" t="s">
        <v>632</v>
      </c>
      <c r="T1407" s="110" t="s">
        <v>530</v>
      </c>
      <c r="U1407" s="110" t="s">
        <v>2913</v>
      </c>
      <c r="V1407" s="119" t="n">
        <v>9.05</v>
      </c>
      <c r="W1407" s="119"/>
      <c r="X1407" s="110" t="s">
        <v>2063</v>
      </c>
      <c r="Y1407" s="110" t="s">
        <v>2064</v>
      </c>
      <c r="Z1407" s="110" t="s">
        <v>2142</v>
      </c>
      <c r="AA1407" s="110" t="s">
        <v>537</v>
      </c>
      <c r="AB1407" s="110" t="s">
        <v>244</v>
      </c>
      <c r="AC1407" s="110" t="s">
        <v>538</v>
      </c>
      <c r="AD1407" s="110" t="n">
        <f aca="false">IF(OR(F1407="",Q1407="",R1407=""),"",ROUND(IF(P1407="incl.",F1407/(1+Q1407),F1407)/IF(S1407="per pack",R1407,1),2))</f>
        <v>9.05</v>
      </c>
      <c r="AE1407" s="110" t="str">
        <f aca="false">IF(AND(AC1407="yes",ISNUMBER(F1407),IF(Compare!$H$5="All mapped",TRUE(),IF(Compare!$H$5="EXACT only",J1407="EXACT",OR(J1407="EXACT",J1407="CLOSE")))),"yes","no")</f>
        <v>yes</v>
      </c>
      <c r="AF1407" s="110" t="n">
        <f aca="false">IF(ISNUMBER(H1407),COUNTIFS($B$7:$B$3000,B1407,$C$7:$C$3000,C1407,$H$7:$H$3000,"&lt;"&amp;H1407,$AH$7:$AH$3000,"yes")+COUNTIFS($B$7:B1407,B1407,$C$7:C1407,C1407,$H$7:H1407,H1407,$AH$7:AH1407,"yes"),"")</f>
        <v>2</v>
      </c>
      <c r="AG1407" s="110" t="n">
        <f aca="false">IF(ISNUMBER(I1407),COUNTIFS($B$7:$B$3000,B1407,$C$7:$C$3000,C1407,$I$7:$I$3000,"&lt;"&amp;I1407,$AI$7:$AI$3000,"yes")+COUNTIFS($B$7:B1407,B1407,$C$7:C1407,C1407,$I$7:I1407,I1407,$AI$7:AI1407,"yes"),"")</f>
        <v>2</v>
      </c>
      <c r="AH1407" s="110" t="str">
        <f aca="false">IF(ISNUMBER(H1407),"yes","no")</f>
        <v>yes</v>
      </c>
      <c r="AI1407" s="110" t="str">
        <f aca="false">IF(ISNUMBER(I1407),"yes","no")</f>
        <v>yes</v>
      </c>
      <c r="AJ1407" s="120" t="n">
        <v>46297</v>
      </c>
      <c r="AK1407" s="110"/>
    </row>
    <row r="1408" customFormat="false" ht="23.85" hidden="false" customHeight="false" outlineLevel="0" collapsed="false">
      <c r="B1408" s="36" t="s">
        <v>85</v>
      </c>
      <c r="C1408" s="98" t="s">
        <v>16</v>
      </c>
      <c r="D1408" s="98" t="s">
        <v>311</v>
      </c>
      <c r="E1408" s="110" t="s">
        <v>4439</v>
      </c>
      <c r="F1408" s="99" t="n">
        <v>12.49</v>
      </c>
      <c r="G1408" s="98" t="s">
        <v>244</v>
      </c>
      <c r="H1408" s="112" t="n">
        <f aca="false">IF(AND(AE1408="yes",ISNUMBER(AD1408)),AD1408,"")</f>
        <v>12.49</v>
      </c>
      <c r="I1408" s="95" t="n">
        <f aca="false">IF(AND(AE1408="yes",ISNUMBER(AD1408),ISNUMBER(INDEX(Sources!$G$7:$G$10,MATCH(AB1408,Sources!$B$7:$B$10,0)))),ROUND(AD1408/INDEX(Sources!$G$7:$G$10,MATCH(AB1408,Sources!$B$7:$B$10,0)),6),"")</f>
        <v>12.49</v>
      </c>
      <c r="J1408" s="98" t="s">
        <v>530</v>
      </c>
      <c r="K1408" s="98" t="s">
        <v>2059</v>
      </c>
      <c r="L1408" s="96"/>
      <c r="M1408" s="110" t="s">
        <v>4460</v>
      </c>
      <c r="N1408" s="117" t="s">
        <v>4461</v>
      </c>
      <c r="O1408" s="110" t="s">
        <v>589</v>
      </c>
      <c r="P1408" s="110" t="s">
        <v>590</v>
      </c>
      <c r="Q1408" s="118" t="n">
        <v>0.19</v>
      </c>
      <c r="R1408" s="110" t="n">
        <v>1</v>
      </c>
      <c r="S1408" s="110" t="s">
        <v>632</v>
      </c>
      <c r="T1408" s="110" t="s">
        <v>530</v>
      </c>
      <c r="U1408" s="110" t="s">
        <v>2913</v>
      </c>
      <c r="V1408" s="119" t="n">
        <v>12.49</v>
      </c>
      <c r="W1408" s="119"/>
      <c r="X1408" s="110" t="s">
        <v>2063</v>
      </c>
      <c r="Y1408" s="110" t="s">
        <v>2064</v>
      </c>
      <c r="Z1408" s="110" t="s">
        <v>4369</v>
      </c>
      <c r="AA1408" s="110" t="s">
        <v>537</v>
      </c>
      <c r="AB1408" s="110" t="s">
        <v>244</v>
      </c>
      <c r="AC1408" s="110" t="s">
        <v>538</v>
      </c>
      <c r="AD1408" s="110" t="n">
        <f aca="false">IF(OR(F1408="",Q1408="",R1408=""),"",ROUND(IF(P1408="incl.",F1408/(1+Q1408),F1408)/IF(S1408="per pack",R1408,1),2))</f>
        <v>12.49</v>
      </c>
      <c r="AE1408" s="110" t="str">
        <f aca="false">IF(AND(AC1408="yes",ISNUMBER(F1408),IF(Compare!$H$5="All mapped",TRUE(),IF(Compare!$H$5="EXACT only",J1408="EXACT",OR(J1408="EXACT",J1408="CLOSE")))),"yes","no")</f>
        <v>yes</v>
      </c>
      <c r="AF1408" s="110" t="n">
        <f aca="false">IF(ISNUMBER(H1408),COUNTIFS($B$7:$B$3000,B1408,$C$7:$C$3000,C1408,$H$7:$H$3000,"&lt;"&amp;H1408,$AH$7:$AH$3000,"yes")+COUNTIFS($B$7:B1408,B1408,$C$7:C1408,C1408,$H$7:H1408,H1408,$AH$7:AH1408,"yes"),"")</f>
        <v>5</v>
      </c>
      <c r="AG1408" s="110" t="n">
        <f aca="false">IF(ISNUMBER(I1408),COUNTIFS($B$7:$B$3000,B1408,$C$7:$C$3000,C1408,$I$7:$I$3000,"&lt;"&amp;I1408,$AI$7:$AI$3000,"yes")+COUNTIFS($B$7:B1408,B1408,$C$7:C1408,C1408,$I$7:I1408,I1408,$AI$7:AI1408,"yes"),"")</f>
        <v>5</v>
      </c>
      <c r="AH1408" s="110" t="str">
        <f aca="false">IF(ISNUMBER(H1408),"yes","no")</f>
        <v>yes</v>
      </c>
      <c r="AI1408" s="110" t="str">
        <f aca="false">IF(ISNUMBER(I1408),"yes","no")</f>
        <v>yes</v>
      </c>
      <c r="AJ1408" s="120" t="n">
        <v>46297</v>
      </c>
      <c r="AK1408" s="110"/>
    </row>
    <row r="1409" customFormat="false" ht="23.85" hidden="false" customHeight="false" outlineLevel="0" collapsed="false">
      <c r="B1409" s="36" t="s">
        <v>85</v>
      </c>
      <c r="C1409" s="98" t="s">
        <v>16</v>
      </c>
      <c r="D1409" s="98" t="s">
        <v>309</v>
      </c>
      <c r="E1409" s="110" t="s">
        <v>4462</v>
      </c>
      <c r="F1409" s="99" t="n">
        <v>33.6</v>
      </c>
      <c r="G1409" s="98" t="s">
        <v>244</v>
      </c>
      <c r="H1409" s="112" t="n">
        <f aca="false">IF(AND(AE1409="yes",ISNUMBER(AD1409)),AD1409,"")</f>
        <v>33.6</v>
      </c>
      <c r="I1409" s="95" t="n">
        <f aca="false">IF(AND(AE1409="yes",ISNUMBER(AD1409),ISNUMBER(INDEX(Sources!$G$7:$G$10,MATCH(AB1409,Sources!$B$7:$B$10,0)))),ROUND(AD1409/INDEX(Sources!$G$7:$G$10,MATCH(AB1409,Sources!$B$7:$B$10,0)),6),"")</f>
        <v>33.6</v>
      </c>
      <c r="J1409" s="98" t="s">
        <v>530</v>
      </c>
      <c r="K1409" s="98" t="s">
        <v>2059</v>
      </c>
      <c r="L1409" s="96"/>
      <c r="M1409" s="110" t="s">
        <v>4463</v>
      </c>
      <c r="N1409" s="117" t="s">
        <v>4464</v>
      </c>
      <c r="O1409" s="110" t="s">
        <v>603</v>
      </c>
      <c r="P1409" s="110" t="s">
        <v>590</v>
      </c>
      <c r="Q1409" s="118" t="n">
        <v>0.19</v>
      </c>
      <c r="R1409" s="110" t="n">
        <v>1</v>
      </c>
      <c r="S1409" s="110" t="s">
        <v>632</v>
      </c>
      <c r="T1409" s="110" t="s">
        <v>530</v>
      </c>
      <c r="U1409" s="110" t="s">
        <v>2913</v>
      </c>
      <c r="V1409" s="119" t="n">
        <v>33.6</v>
      </c>
      <c r="W1409" s="119"/>
      <c r="X1409" s="110" t="s">
        <v>2063</v>
      </c>
      <c r="Y1409" s="110" t="s">
        <v>2064</v>
      </c>
      <c r="Z1409" s="110" t="s">
        <v>4373</v>
      </c>
      <c r="AA1409" s="110" t="s">
        <v>537</v>
      </c>
      <c r="AB1409" s="110" t="s">
        <v>244</v>
      </c>
      <c r="AC1409" s="110" t="s">
        <v>538</v>
      </c>
      <c r="AD1409" s="110" t="n">
        <f aca="false">IF(OR(F1409="",Q1409="",R1409=""),"",ROUND(IF(P1409="incl.",F1409/(1+Q1409),F1409)/IF(S1409="per pack",R1409,1),2))</f>
        <v>33.6</v>
      </c>
      <c r="AE1409" s="110" t="str">
        <f aca="false">IF(AND(AC1409="yes",ISNUMBER(F1409),IF(Compare!$H$5="All mapped",TRUE(),IF(Compare!$H$5="EXACT only",J1409="EXACT",OR(J1409="EXACT",J1409="CLOSE")))),"yes","no")</f>
        <v>yes</v>
      </c>
      <c r="AF1409" s="110" t="n">
        <f aca="false">IF(ISNUMBER(H1409),COUNTIFS($B$7:$B$3000,B1409,$C$7:$C$3000,C1409,$H$7:$H$3000,"&lt;"&amp;H1409,$AH$7:$AH$3000,"yes")+COUNTIFS($B$7:B1409,B1409,$C$7:C1409,C1409,$H$7:H1409,H1409,$AH$7:AH1409,"yes"),"")</f>
        <v>7</v>
      </c>
      <c r="AG1409" s="110" t="n">
        <f aca="false">IF(ISNUMBER(I1409),COUNTIFS($B$7:$B$3000,B1409,$C$7:$C$3000,C1409,$I$7:$I$3000,"&lt;"&amp;I1409,$AI$7:$AI$3000,"yes")+COUNTIFS($B$7:B1409,B1409,$C$7:C1409,C1409,$I$7:I1409,I1409,$AI$7:AI1409,"yes"),"")</f>
        <v>7</v>
      </c>
      <c r="AH1409" s="110" t="str">
        <f aca="false">IF(ISNUMBER(H1409),"yes","no")</f>
        <v>yes</v>
      </c>
      <c r="AI1409" s="110" t="str">
        <f aca="false">IF(ISNUMBER(I1409),"yes","no")</f>
        <v>yes</v>
      </c>
      <c r="AJ1409" s="120" t="n">
        <v>46297</v>
      </c>
      <c r="AK1409" s="110"/>
    </row>
    <row r="1410" customFormat="false" ht="23.85" hidden="false" customHeight="false" outlineLevel="0" collapsed="false">
      <c r="B1410" s="36" t="s">
        <v>85</v>
      </c>
      <c r="C1410" s="98" t="s">
        <v>16</v>
      </c>
      <c r="D1410" s="98" t="s">
        <v>313</v>
      </c>
      <c r="E1410" s="110" t="s">
        <v>4445</v>
      </c>
      <c r="F1410" s="99" t="n">
        <v>17.49</v>
      </c>
      <c r="G1410" s="98" t="s">
        <v>244</v>
      </c>
      <c r="H1410" s="112" t="n">
        <f aca="false">IF(AND(AE1410="yes",ISNUMBER(AD1410)),AD1410,"")</f>
        <v>14.7</v>
      </c>
      <c r="I1410" s="95" t="n">
        <f aca="false">IF(AND(AE1410="yes",ISNUMBER(AD1410),ISNUMBER(INDEX(Sources!$G$7:$G$10,MATCH(AB1410,Sources!$B$7:$B$10,0)))),ROUND(AD1410/INDEX(Sources!$G$7:$G$10,MATCH(AB1410,Sources!$B$7:$B$10,0)),6),"")</f>
        <v>14.7</v>
      </c>
      <c r="J1410" s="98" t="s">
        <v>530</v>
      </c>
      <c r="K1410" s="98" t="s">
        <v>2059</v>
      </c>
      <c r="L1410" s="96"/>
      <c r="M1410" s="110" t="s">
        <v>4465</v>
      </c>
      <c r="N1410" s="117" t="s">
        <v>4466</v>
      </c>
      <c r="O1410" s="110" t="s">
        <v>642</v>
      </c>
      <c r="P1410" s="110" t="s">
        <v>265</v>
      </c>
      <c r="Q1410" s="118" t="n">
        <v>0.19</v>
      </c>
      <c r="R1410" s="110" t="n">
        <v>1</v>
      </c>
      <c r="S1410" s="110" t="s">
        <v>632</v>
      </c>
      <c r="T1410" s="110" t="s">
        <v>530</v>
      </c>
      <c r="U1410" s="110" t="s">
        <v>2918</v>
      </c>
      <c r="V1410" s="119" t="n">
        <v>14.7</v>
      </c>
      <c r="W1410" s="119"/>
      <c r="X1410" s="110" t="s">
        <v>2063</v>
      </c>
      <c r="Y1410" s="110" t="s">
        <v>2064</v>
      </c>
      <c r="Z1410" s="110" t="s">
        <v>4376</v>
      </c>
      <c r="AA1410" s="110" t="s">
        <v>537</v>
      </c>
      <c r="AB1410" s="110" t="s">
        <v>244</v>
      </c>
      <c r="AC1410" s="110" t="s">
        <v>538</v>
      </c>
      <c r="AD1410" s="110" t="n">
        <f aca="false">IF(OR(F1410="",Q1410="",R1410=""),"",ROUND(IF(P1410="incl.",F1410/(1+Q1410),F1410)/IF(S1410="per pack",R1410,1),2))</f>
        <v>14.7</v>
      </c>
      <c r="AE1410" s="110" t="str">
        <f aca="false">IF(AND(AC1410="yes",ISNUMBER(F1410),IF(Compare!$H$5="All mapped",TRUE(),IF(Compare!$H$5="EXACT only",J1410="EXACT",OR(J1410="EXACT",J1410="CLOSE")))),"yes","no")</f>
        <v>yes</v>
      </c>
      <c r="AF1410" s="110" t="n">
        <f aca="false">IF(ISNUMBER(H1410),COUNTIFS($B$7:$B$3000,B1410,$C$7:$C$3000,C1410,$H$7:$H$3000,"&lt;"&amp;H1410,$AH$7:$AH$3000,"yes")+COUNTIFS($B$7:B1410,B1410,$C$7:C1410,C1410,$H$7:H1410,H1410,$AH$7:AH1410,"yes"),"")</f>
        <v>6</v>
      </c>
      <c r="AG1410" s="110" t="n">
        <f aca="false">IF(ISNUMBER(I1410),COUNTIFS($B$7:$B$3000,B1410,$C$7:$C$3000,C1410,$I$7:$I$3000,"&lt;"&amp;I1410,$AI$7:$AI$3000,"yes")+COUNTIFS($B$7:B1410,B1410,$C$7:C1410,C1410,$I$7:I1410,I1410,$AI$7:AI1410,"yes"),"")</f>
        <v>6</v>
      </c>
      <c r="AH1410" s="110" t="str">
        <f aca="false">IF(ISNUMBER(H1410),"yes","no")</f>
        <v>yes</v>
      </c>
      <c r="AI1410" s="110" t="str">
        <f aca="false">IF(ISNUMBER(I1410),"yes","no")</f>
        <v>yes</v>
      </c>
      <c r="AJ1410" s="120" t="n">
        <v>46297</v>
      </c>
      <c r="AK1410" s="110"/>
    </row>
    <row r="1411" customFormat="false" ht="35.05" hidden="false" customHeight="false" outlineLevel="0" collapsed="false">
      <c r="B1411" s="36" t="s">
        <v>85</v>
      </c>
      <c r="C1411" s="98" t="s">
        <v>16</v>
      </c>
      <c r="D1411" s="98" t="s">
        <v>321</v>
      </c>
      <c r="E1411" s="110" t="s">
        <v>4467</v>
      </c>
      <c r="F1411" s="99" t="n">
        <v>10.6</v>
      </c>
      <c r="G1411" s="98" t="s">
        <v>244</v>
      </c>
      <c r="H1411" s="112" t="n">
        <f aca="false">IF(AND(AE1411="yes",ISNUMBER(AD1411)),AD1411,"")</f>
        <v>10.6</v>
      </c>
      <c r="I1411" s="95" t="n">
        <f aca="false">IF(AND(AE1411="yes",ISNUMBER(AD1411),ISNUMBER(INDEX(Sources!$G$7:$G$10,MATCH(AB1411,Sources!$B$7:$B$10,0)))),ROUND(AD1411/INDEX(Sources!$G$7:$G$10,MATCH(AB1411,Sources!$B$7:$B$10,0)),6),"")</f>
        <v>10.6</v>
      </c>
      <c r="J1411" s="98" t="s">
        <v>530</v>
      </c>
      <c r="K1411" s="98" t="s">
        <v>2059</v>
      </c>
      <c r="L1411" s="96"/>
      <c r="M1411" s="110" t="s">
        <v>4468</v>
      </c>
      <c r="N1411" s="117" t="s">
        <v>4469</v>
      </c>
      <c r="O1411" s="110" t="s">
        <v>662</v>
      </c>
      <c r="P1411" s="110" t="s">
        <v>590</v>
      </c>
      <c r="Q1411" s="118" t="n">
        <v>0.19</v>
      </c>
      <c r="R1411" s="110" t="n">
        <v>1</v>
      </c>
      <c r="S1411" s="110" t="s">
        <v>632</v>
      </c>
      <c r="T1411" s="110" t="s">
        <v>530</v>
      </c>
      <c r="U1411" s="110" t="s">
        <v>2913</v>
      </c>
      <c r="V1411" s="119" t="n">
        <v>10.6</v>
      </c>
      <c r="W1411" s="119"/>
      <c r="X1411" s="110" t="s">
        <v>2063</v>
      </c>
      <c r="Y1411" s="110" t="s">
        <v>2064</v>
      </c>
      <c r="Z1411" s="110" t="s">
        <v>2857</v>
      </c>
      <c r="AA1411" s="110" t="s">
        <v>537</v>
      </c>
      <c r="AB1411" s="110" t="s">
        <v>244</v>
      </c>
      <c r="AC1411" s="110" t="s">
        <v>538</v>
      </c>
      <c r="AD1411" s="110" t="n">
        <f aca="false">IF(OR(F1411="",Q1411="",R1411=""),"",ROUND(IF(P1411="incl.",F1411/(1+Q1411),F1411)/IF(S1411="per pack",R1411,1),2))</f>
        <v>10.6</v>
      </c>
      <c r="AE1411" s="110" t="str">
        <f aca="false">IF(AND(AC1411="yes",ISNUMBER(F1411),IF(Compare!$H$5="All mapped",TRUE(),IF(Compare!$H$5="EXACT only",J1411="EXACT",OR(J1411="EXACT",J1411="CLOSE")))),"yes","no")</f>
        <v>yes</v>
      </c>
      <c r="AF1411" s="110" t="n">
        <f aca="false">IF(ISNUMBER(H1411),COUNTIFS($B$7:$B$3000,B1411,$C$7:$C$3000,C1411,$H$7:$H$3000,"&lt;"&amp;H1411,$AH$7:$AH$3000,"yes")+COUNTIFS($B$7:B1411,B1411,$C$7:C1411,C1411,$H$7:H1411,H1411,$AH$7:AH1411,"yes"),"")</f>
        <v>4</v>
      </c>
      <c r="AG1411" s="110" t="n">
        <f aca="false">IF(ISNUMBER(I1411),COUNTIFS($B$7:$B$3000,B1411,$C$7:$C$3000,C1411,$I$7:$I$3000,"&lt;"&amp;I1411,$AI$7:$AI$3000,"yes")+COUNTIFS($B$7:B1411,B1411,$C$7:C1411,C1411,$I$7:I1411,I1411,$AI$7:AI1411,"yes"),"")</f>
        <v>4</v>
      </c>
      <c r="AH1411" s="110" t="str">
        <f aca="false">IF(ISNUMBER(H1411),"yes","no")</f>
        <v>yes</v>
      </c>
      <c r="AI1411" s="110" t="str">
        <f aca="false">IF(ISNUMBER(I1411),"yes","no")</f>
        <v>yes</v>
      </c>
      <c r="AJ1411" s="120" t="n">
        <v>46297</v>
      </c>
      <c r="AK1411" s="110"/>
    </row>
    <row r="1412" customFormat="false" ht="35.05" hidden="false" customHeight="false" outlineLevel="0" collapsed="false">
      <c r="B1412" s="36" t="s">
        <v>85</v>
      </c>
      <c r="C1412" s="98" t="s">
        <v>16</v>
      </c>
      <c r="D1412" s="98" t="s">
        <v>329</v>
      </c>
      <c r="E1412" s="110" t="s">
        <v>4470</v>
      </c>
      <c r="F1412" s="99" t="n">
        <v>9.99</v>
      </c>
      <c r="G1412" s="98" t="s">
        <v>244</v>
      </c>
      <c r="H1412" s="112" t="n">
        <f aca="false">IF(AND(AE1412="yes",ISNUMBER(AD1412)),AD1412,"")</f>
        <v>9.99</v>
      </c>
      <c r="I1412" s="95" t="n">
        <f aca="false">IF(AND(AE1412="yes",ISNUMBER(AD1412),ISNUMBER(INDEX(Sources!$G$7:$G$10,MATCH(AB1412,Sources!$B$7:$B$10,0)))),ROUND(AD1412/INDEX(Sources!$G$7:$G$10,MATCH(AB1412,Sources!$B$7:$B$10,0)),6),"")</f>
        <v>9.99</v>
      </c>
      <c r="J1412" s="98" t="s">
        <v>530</v>
      </c>
      <c r="K1412" s="98" t="s">
        <v>2059</v>
      </c>
      <c r="L1412" s="96"/>
      <c r="M1412" s="110" t="s">
        <v>4471</v>
      </c>
      <c r="N1412" s="117" t="s">
        <v>4472</v>
      </c>
      <c r="O1412" s="110" t="s">
        <v>817</v>
      </c>
      <c r="P1412" s="110" t="s">
        <v>590</v>
      </c>
      <c r="Q1412" s="118" t="n">
        <v>0.19</v>
      </c>
      <c r="R1412" s="110" t="n">
        <v>1</v>
      </c>
      <c r="S1412" s="110" t="s">
        <v>632</v>
      </c>
      <c r="T1412" s="110" t="s">
        <v>530</v>
      </c>
      <c r="U1412" s="110" t="s">
        <v>2913</v>
      </c>
      <c r="V1412" s="119" t="n">
        <v>9.99</v>
      </c>
      <c r="W1412" s="119"/>
      <c r="X1412" s="110" t="s">
        <v>2063</v>
      </c>
      <c r="Y1412" s="110" t="s">
        <v>2064</v>
      </c>
      <c r="Z1412" s="110" t="s">
        <v>2624</v>
      </c>
      <c r="AA1412" s="110" t="s">
        <v>537</v>
      </c>
      <c r="AB1412" s="110" t="s">
        <v>244</v>
      </c>
      <c r="AC1412" s="110" t="s">
        <v>538</v>
      </c>
      <c r="AD1412" s="110" t="n">
        <f aca="false">IF(OR(F1412="",Q1412="",R1412=""),"",ROUND(IF(P1412="incl.",F1412/(1+Q1412),F1412)/IF(S1412="per pack",R1412,1),2))</f>
        <v>9.99</v>
      </c>
      <c r="AE1412" s="110" t="str">
        <f aca="false">IF(AND(AC1412="yes",ISNUMBER(F1412),IF(Compare!$H$5="All mapped",TRUE(),IF(Compare!$H$5="EXACT only",J1412="EXACT",OR(J1412="EXACT",J1412="CLOSE")))),"yes","no")</f>
        <v>yes</v>
      </c>
      <c r="AF1412" s="110" t="n">
        <f aca="false">IF(ISNUMBER(H1412),COUNTIFS($B$7:$B$3000,B1412,$C$7:$C$3000,C1412,$H$7:$H$3000,"&lt;"&amp;H1412,$AH$7:$AH$3000,"yes")+COUNTIFS($B$7:B1412,B1412,$C$7:C1412,C1412,$H$7:H1412,H1412,$AH$7:AH1412,"yes"),"")</f>
        <v>3</v>
      </c>
      <c r="AG1412" s="110" t="n">
        <f aca="false">IF(ISNUMBER(I1412),COUNTIFS($B$7:$B$3000,B1412,$C$7:$C$3000,C1412,$I$7:$I$3000,"&lt;"&amp;I1412,$AI$7:$AI$3000,"yes")+COUNTIFS($B$7:B1412,B1412,$C$7:C1412,C1412,$I$7:I1412,I1412,$AI$7:AI1412,"yes"),"")</f>
        <v>3</v>
      </c>
      <c r="AH1412" s="110" t="str">
        <f aca="false">IF(ISNUMBER(H1412),"yes","no")</f>
        <v>yes</v>
      </c>
      <c r="AI1412" s="110" t="str">
        <f aca="false">IF(ISNUMBER(I1412),"yes","no")</f>
        <v>yes</v>
      </c>
      <c r="AJ1412" s="120" t="n">
        <v>46297</v>
      </c>
      <c r="AK1412" s="110"/>
    </row>
    <row r="1413" customFormat="false" ht="23.85" hidden="false" customHeight="false" outlineLevel="0" collapsed="false">
      <c r="B1413" s="36" t="s">
        <v>85</v>
      </c>
      <c r="C1413" s="98" t="s">
        <v>17</v>
      </c>
      <c r="D1413" s="98" t="s">
        <v>338</v>
      </c>
      <c r="E1413" s="110" t="s">
        <v>4473</v>
      </c>
      <c r="F1413" s="99" t="n">
        <v>426</v>
      </c>
      <c r="G1413" s="98" t="s">
        <v>333</v>
      </c>
      <c r="H1413" s="112" t="n">
        <f aca="false">IF(AND(AE1413="yes",ISNUMBER(AD1413)),AD1413,"")</f>
        <v>352.07</v>
      </c>
      <c r="I1413" s="95" t="n">
        <f aca="false">IF(AND(AE1413="yes",ISNUMBER(AD1413),ISNUMBER(INDEX(Sources!$G$7:$G$10,MATCH(AB1413,Sources!$B$7:$B$10,0)))),ROUND(AD1413/INDEX(Sources!$G$7:$G$10,MATCH(AB1413,Sources!$B$7:$B$10,0)),6),"")</f>
        <v>14.415147</v>
      </c>
      <c r="J1413" s="98" t="s">
        <v>530</v>
      </c>
      <c r="K1413" s="98" t="s">
        <v>2059</v>
      </c>
      <c r="L1413" s="96"/>
      <c r="M1413" s="110" t="s">
        <v>4474</v>
      </c>
      <c r="N1413" s="117" t="s">
        <v>4475</v>
      </c>
      <c r="O1413" s="110" t="s">
        <v>388</v>
      </c>
      <c r="P1413" s="110" t="s">
        <v>265</v>
      </c>
      <c r="Q1413" s="118" t="n">
        <v>0.21</v>
      </c>
      <c r="R1413" s="110" t="n">
        <v>1</v>
      </c>
      <c r="S1413" s="110" t="s">
        <v>632</v>
      </c>
      <c r="T1413" s="110" t="s">
        <v>530</v>
      </c>
      <c r="U1413" s="110" t="s">
        <v>2918</v>
      </c>
      <c r="V1413" s="119" t="n">
        <v>352.07</v>
      </c>
      <c r="W1413" s="119"/>
      <c r="X1413" s="110" t="s">
        <v>2063</v>
      </c>
      <c r="Y1413" s="110" t="s">
        <v>2064</v>
      </c>
      <c r="Z1413" s="110" t="s">
        <v>4387</v>
      </c>
      <c r="AA1413" s="110" t="s">
        <v>537</v>
      </c>
      <c r="AB1413" s="110" t="s">
        <v>333</v>
      </c>
      <c r="AC1413" s="110" t="s">
        <v>538</v>
      </c>
      <c r="AD1413" s="110" t="n">
        <f aca="false">IF(OR(F1413="",Q1413="",R1413=""),"",ROUND(IF(P1413="incl.",F1413/(1+Q1413),F1413)/IF(S1413="per pack",R1413,1),2))</f>
        <v>352.07</v>
      </c>
      <c r="AE1413" s="110" t="str">
        <f aca="false">IF(AND(AC1413="yes",ISNUMBER(F1413),IF(Compare!$H$5="All mapped",TRUE(),IF(Compare!$H$5="EXACT only",J1413="EXACT",OR(J1413="EXACT",J1413="CLOSE")))),"yes","no")</f>
        <v>yes</v>
      </c>
      <c r="AF1413" s="110" t="n">
        <f aca="false">IF(ISNUMBER(H1413),COUNTIFS($B$7:$B$3000,B1413,$C$7:$C$3000,C1413,$H$7:$H$3000,"&lt;"&amp;H1413,$AH$7:$AH$3000,"yes")+COUNTIFS($B$7:B1413,B1413,$C$7:C1413,C1413,$H$7:H1413,H1413,$AH$7:AH1413,"yes"),"")</f>
        <v>3</v>
      </c>
      <c r="AG1413" s="110" t="n">
        <f aca="false">IF(ISNUMBER(I1413),COUNTIFS($B$7:$B$3000,B1413,$C$7:$C$3000,C1413,$I$7:$I$3000,"&lt;"&amp;I1413,$AI$7:$AI$3000,"yes")+COUNTIFS($B$7:B1413,B1413,$C$7:C1413,C1413,$I$7:I1413,I1413,$AI$7:AI1413,"yes"),"")</f>
        <v>3</v>
      </c>
      <c r="AH1413" s="110" t="str">
        <f aca="false">IF(ISNUMBER(H1413),"yes","no")</f>
        <v>yes</v>
      </c>
      <c r="AI1413" s="110" t="str">
        <f aca="false">IF(ISNUMBER(I1413),"yes","no")</f>
        <v>yes</v>
      </c>
      <c r="AJ1413" s="120" t="n">
        <v>46297</v>
      </c>
      <c r="AK1413" s="110"/>
    </row>
    <row r="1414" customFormat="false" ht="35.05" hidden="false" customHeight="false" outlineLevel="0" collapsed="false">
      <c r="B1414" s="36" t="s">
        <v>85</v>
      </c>
      <c r="C1414" s="98" t="s">
        <v>17</v>
      </c>
      <c r="D1414" s="98" t="s">
        <v>342</v>
      </c>
      <c r="E1414" s="110" t="s">
        <v>4476</v>
      </c>
      <c r="F1414" s="99" t="n">
        <v>410</v>
      </c>
      <c r="G1414" s="98" t="s">
        <v>333</v>
      </c>
      <c r="H1414" s="112" t="n">
        <f aca="false">IF(AND(AE1414="yes",ISNUMBER(AD1414)),AD1414,"")</f>
        <v>410</v>
      </c>
      <c r="I1414" s="95" t="n">
        <f aca="false">IF(AND(AE1414="yes",ISNUMBER(AD1414),ISNUMBER(INDEX(Sources!$G$7:$G$10,MATCH(AB1414,Sources!$B$7:$B$10,0)))),ROUND(AD1414/INDEX(Sources!$G$7:$G$10,MATCH(AB1414,Sources!$B$7:$B$10,0)),6),"")</f>
        <v>16.787031</v>
      </c>
      <c r="J1414" s="98" t="s">
        <v>530</v>
      </c>
      <c r="K1414" s="98" t="s">
        <v>2059</v>
      </c>
      <c r="L1414" s="96"/>
      <c r="M1414" s="110" t="s">
        <v>4477</v>
      </c>
      <c r="N1414" s="117" t="s">
        <v>4478</v>
      </c>
      <c r="O1414" s="110" t="s">
        <v>388</v>
      </c>
      <c r="P1414" s="110" t="s">
        <v>590</v>
      </c>
      <c r="Q1414" s="118" t="n">
        <v>0.21</v>
      </c>
      <c r="R1414" s="110" t="n">
        <v>1</v>
      </c>
      <c r="S1414" s="110" t="s">
        <v>632</v>
      </c>
      <c r="T1414" s="110" t="s">
        <v>530</v>
      </c>
      <c r="U1414" s="110" t="s">
        <v>2913</v>
      </c>
      <c r="V1414" s="119" t="n">
        <v>410</v>
      </c>
      <c r="W1414" s="119"/>
      <c r="X1414" s="110" t="s">
        <v>2063</v>
      </c>
      <c r="Y1414" s="110" t="s">
        <v>2064</v>
      </c>
      <c r="Z1414" s="110" t="s">
        <v>4391</v>
      </c>
      <c r="AA1414" s="110" t="s">
        <v>537</v>
      </c>
      <c r="AB1414" s="110" t="s">
        <v>333</v>
      </c>
      <c r="AC1414" s="110" t="s">
        <v>538</v>
      </c>
      <c r="AD1414" s="110" t="n">
        <f aca="false">IF(OR(F1414="",Q1414="",R1414=""),"",ROUND(IF(P1414="incl.",F1414/(1+Q1414),F1414)/IF(S1414="per pack",R1414,1),2))</f>
        <v>410</v>
      </c>
      <c r="AE1414" s="110" t="str">
        <f aca="false">IF(AND(AC1414="yes",ISNUMBER(F1414),IF(Compare!$H$5="All mapped",TRUE(),IF(Compare!$H$5="EXACT only",J1414="EXACT",OR(J1414="EXACT",J1414="CLOSE")))),"yes","no")</f>
        <v>yes</v>
      </c>
      <c r="AF1414" s="110" t="n">
        <f aca="false">IF(ISNUMBER(H1414),COUNTIFS($B$7:$B$3000,B1414,$C$7:$C$3000,C1414,$H$7:$H$3000,"&lt;"&amp;H1414,$AH$7:$AH$3000,"yes")+COUNTIFS($B$7:B1414,B1414,$C$7:C1414,C1414,$H$7:H1414,H1414,$AH$7:AH1414,"yes"),"")</f>
        <v>5</v>
      </c>
      <c r="AG1414" s="110" t="n">
        <f aca="false">IF(ISNUMBER(I1414),COUNTIFS($B$7:$B$3000,B1414,$C$7:$C$3000,C1414,$I$7:$I$3000,"&lt;"&amp;I1414,$AI$7:$AI$3000,"yes")+COUNTIFS($B$7:B1414,B1414,$C$7:C1414,C1414,$I$7:I1414,I1414,$AI$7:AI1414,"yes"),"")</f>
        <v>5</v>
      </c>
      <c r="AH1414" s="110" t="str">
        <f aca="false">IF(ISNUMBER(H1414),"yes","no")</f>
        <v>yes</v>
      </c>
      <c r="AI1414" s="110" t="str">
        <f aca="false">IF(ISNUMBER(I1414),"yes","no")</f>
        <v>yes</v>
      </c>
      <c r="AJ1414" s="120" t="n">
        <v>46297</v>
      </c>
      <c r="AK1414" s="110"/>
    </row>
    <row r="1415" customFormat="false" ht="35.05" hidden="false" customHeight="false" outlineLevel="0" collapsed="false">
      <c r="B1415" s="36" t="s">
        <v>85</v>
      </c>
      <c r="C1415" s="98" t="s">
        <v>17</v>
      </c>
      <c r="D1415" s="98" t="s">
        <v>346</v>
      </c>
      <c r="E1415" s="110" t="s">
        <v>4479</v>
      </c>
      <c r="F1415" s="99" t="n">
        <v>377</v>
      </c>
      <c r="G1415" s="98" t="s">
        <v>333</v>
      </c>
      <c r="H1415" s="112" t="n">
        <f aca="false">IF(AND(AE1415="yes",ISNUMBER(AD1415)),AD1415,"")</f>
        <v>377</v>
      </c>
      <c r="I1415" s="95" t="n">
        <f aca="false">IF(AND(AE1415="yes",ISNUMBER(AD1415),ISNUMBER(INDEX(Sources!$G$7:$G$10,MATCH(AB1415,Sources!$B$7:$B$10,0)))),ROUND(AD1415/INDEX(Sources!$G$7:$G$10,MATCH(AB1415,Sources!$B$7:$B$10,0)),6),"")</f>
        <v>15.43588</v>
      </c>
      <c r="J1415" s="98" t="s">
        <v>530</v>
      </c>
      <c r="K1415" s="98" t="s">
        <v>2059</v>
      </c>
      <c r="L1415" s="96"/>
      <c r="M1415" s="110" t="s">
        <v>4480</v>
      </c>
      <c r="N1415" s="117" t="s">
        <v>4481</v>
      </c>
      <c r="O1415" s="110" t="s">
        <v>662</v>
      </c>
      <c r="P1415" s="110" t="s">
        <v>590</v>
      </c>
      <c r="Q1415" s="118" t="n">
        <v>0.21</v>
      </c>
      <c r="R1415" s="110" t="n">
        <v>1</v>
      </c>
      <c r="S1415" s="110" t="s">
        <v>632</v>
      </c>
      <c r="T1415" s="110" t="s">
        <v>530</v>
      </c>
      <c r="U1415" s="110" t="s">
        <v>2913</v>
      </c>
      <c r="V1415" s="119" t="n">
        <v>377</v>
      </c>
      <c r="W1415" s="119"/>
      <c r="X1415" s="110" t="s">
        <v>2063</v>
      </c>
      <c r="Y1415" s="110" t="s">
        <v>2064</v>
      </c>
      <c r="Z1415" s="110" t="s">
        <v>4395</v>
      </c>
      <c r="AA1415" s="110" t="s">
        <v>537</v>
      </c>
      <c r="AB1415" s="110" t="s">
        <v>333</v>
      </c>
      <c r="AC1415" s="110" t="s">
        <v>538</v>
      </c>
      <c r="AD1415" s="110" t="n">
        <f aca="false">IF(OR(F1415="",Q1415="",R1415=""),"",ROUND(IF(P1415="incl.",F1415/(1+Q1415),F1415)/IF(S1415="per pack",R1415,1),2))</f>
        <v>377</v>
      </c>
      <c r="AE1415" s="110" t="str">
        <f aca="false">IF(AND(AC1415="yes",ISNUMBER(F1415),IF(Compare!$H$5="All mapped",TRUE(),IF(Compare!$H$5="EXACT only",J1415="EXACT",OR(J1415="EXACT",J1415="CLOSE")))),"yes","no")</f>
        <v>yes</v>
      </c>
      <c r="AF1415" s="110" t="n">
        <f aca="false">IF(ISNUMBER(H1415),COUNTIFS($B$7:$B$3000,B1415,$C$7:$C$3000,C1415,$H$7:$H$3000,"&lt;"&amp;H1415,$AH$7:$AH$3000,"yes")+COUNTIFS($B$7:B1415,B1415,$C$7:C1415,C1415,$H$7:H1415,H1415,$AH$7:AH1415,"yes"),"")</f>
        <v>4</v>
      </c>
      <c r="AG1415" s="110" t="n">
        <f aca="false">IF(ISNUMBER(I1415),COUNTIFS($B$7:$B$3000,B1415,$C$7:$C$3000,C1415,$I$7:$I$3000,"&lt;"&amp;I1415,$AI$7:$AI$3000,"yes")+COUNTIFS($B$7:B1415,B1415,$C$7:C1415,C1415,$I$7:I1415,I1415,$AI$7:AI1415,"yes"),"")</f>
        <v>4</v>
      </c>
      <c r="AH1415" s="110" t="str">
        <f aca="false">IF(ISNUMBER(H1415),"yes","no")</f>
        <v>yes</v>
      </c>
      <c r="AI1415" s="110" t="str">
        <f aca="false">IF(ISNUMBER(I1415),"yes","no")</f>
        <v>yes</v>
      </c>
      <c r="AJ1415" s="120" t="n">
        <v>46297</v>
      </c>
      <c r="AK1415" s="110"/>
    </row>
    <row r="1416" customFormat="false" ht="23.85" hidden="false" customHeight="false" outlineLevel="0" collapsed="false">
      <c r="B1416" s="36" t="s">
        <v>85</v>
      </c>
      <c r="C1416" s="98" t="s">
        <v>17</v>
      </c>
      <c r="D1416" s="98" t="s">
        <v>350</v>
      </c>
      <c r="E1416" s="110" t="s">
        <v>4482</v>
      </c>
      <c r="F1416" s="99" t="n">
        <v>234</v>
      </c>
      <c r="G1416" s="98" t="s">
        <v>333</v>
      </c>
      <c r="H1416" s="112" t="n">
        <f aca="false">IF(AND(AE1416="yes",ISNUMBER(AD1416)),AD1416,"")</f>
        <v>193.39</v>
      </c>
      <c r="I1416" s="95" t="n">
        <f aca="false">IF(AND(AE1416="yes",ISNUMBER(AD1416),ISNUMBER(INDEX(Sources!$G$7:$G$10,MATCH(AB1416,Sources!$B$7:$B$10,0)))),ROUND(AD1416/INDEX(Sources!$G$7:$G$10,MATCH(AB1416,Sources!$B$7:$B$10,0)),6),"")</f>
        <v>7.918156</v>
      </c>
      <c r="J1416" s="98" t="s">
        <v>530</v>
      </c>
      <c r="K1416" s="98" t="s">
        <v>2059</v>
      </c>
      <c r="L1416" s="96"/>
      <c r="M1416" s="110" t="s">
        <v>4483</v>
      </c>
      <c r="N1416" s="117" t="s">
        <v>4484</v>
      </c>
      <c r="O1416" s="110" t="s">
        <v>2452</v>
      </c>
      <c r="P1416" s="110" t="s">
        <v>265</v>
      </c>
      <c r="Q1416" s="118" t="n">
        <v>0.21</v>
      </c>
      <c r="R1416" s="110" t="n">
        <v>1</v>
      </c>
      <c r="S1416" s="110" t="s">
        <v>632</v>
      </c>
      <c r="T1416" s="110" t="s">
        <v>530</v>
      </c>
      <c r="U1416" s="110" t="s">
        <v>2918</v>
      </c>
      <c r="V1416" s="119" t="n">
        <v>193.39</v>
      </c>
      <c r="W1416" s="119"/>
      <c r="X1416" s="110" t="s">
        <v>2063</v>
      </c>
      <c r="Y1416" s="110" t="s">
        <v>2064</v>
      </c>
      <c r="Z1416" s="110" t="s">
        <v>2349</v>
      </c>
      <c r="AA1416" s="110" t="s">
        <v>537</v>
      </c>
      <c r="AB1416" s="110" t="s">
        <v>333</v>
      </c>
      <c r="AC1416" s="110" t="s">
        <v>538</v>
      </c>
      <c r="AD1416" s="110" t="n">
        <f aca="false">IF(OR(F1416="",Q1416="",R1416=""),"",ROUND(IF(P1416="incl.",F1416/(1+Q1416),F1416)/IF(S1416="per pack",R1416,1),2))</f>
        <v>193.39</v>
      </c>
      <c r="AE1416" s="110" t="str">
        <f aca="false">IF(AND(AC1416="yes",ISNUMBER(F1416),IF(Compare!$H$5="All mapped",TRUE(),IF(Compare!$H$5="EXACT only",J1416="EXACT",OR(J1416="EXACT",J1416="CLOSE")))),"yes","no")</f>
        <v>yes</v>
      </c>
      <c r="AF1416" s="110" t="n">
        <f aca="false">IF(ISNUMBER(H1416),COUNTIFS($B$7:$B$3000,B1416,$C$7:$C$3000,C1416,$H$7:$H$3000,"&lt;"&amp;H1416,$AH$7:$AH$3000,"yes")+COUNTIFS($B$7:B1416,B1416,$C$7:C1416,C1416,$H$7:H1416,H1416,$AH$7:AH1416,"yes"),"")</f>
        <v>1</v>
      </c>
      <c r="AG1416" s="110" t="n">
        <f aca="false">IF(ISNUMBER(I1416),COUNTIFS($B$7:$B$3000,B1416,$C$7:$C$3000,C1416,$I$7:$I$3000,"&lt;"&amp;I1416,$AI$7:$AI$3000,"yes")+COUNTIFS($B$7:B1416,B1416,$C$7:C1416,C1416,$I$7:I1416,I1416,$AI$7:AI1416,"yes"),"")</f>
        <v>1</v>
      </c>
      <c r="AH1416" s="110" t="str">
        <f aca="false">IF(ISNUMBER(H1416),"yes","no")</f>
        <v>yes</v>
      </c>
      <c r="AI1416" s="110" t="str">
        <f aca="false">IF(ISNUMBER(I1416),"yes","no")</f>
        <v>yes</v>
      </c>
      <c r="AJ1416" s="120" t="n">
        <v>46297</v>
      </c>
      <c r="AK1416" s="110"/>
    </row>
    <row r="1417" customFormat="false" ht="35.05" hidden="false" customHeight="false" outlineLevel="0" collapsed="false">
      <c r="B1417" s="36" t="s">
        <v>85</v>
      </c>
      <c r="C1417" s="98" t="s">
        <v>17</v>
      </c>
      <c r="D1417" s="98" t="s">
        <v>361</v>
      </c>
      <c r="E1417" s="110" t="s">
        <v>4485</v>
      </c>
      <c r="F1417" s="99" t="n">
        <v>376</v>
      </c>
      <c r="G1417" s="98" t="s">
        <v>333</v>
      </c>
      <c r="H1417" s="112" t="n">
        <f aca="false">IF(AND(AE1417="yes",ISNUMBER(AD1417)),AD1417,"")</f>
        <v>310.74</v>
      </c>
      <c r="I1417" s="95" t="n">
        <f aca="false">IF(AND(AE1417="yes",ISNUMBER(AD1417),ISNUMBER(INDEX(Sources!$G$7:$G$10,MATCH(AB1417,Sources!$B$7:$B$10,0)))),ROUND(AD1417/INDEX(Sources!$G$7:$G$10,MATCH(AB1417,Sources!$B$7:$B$10,0)),6),"")</f>
        <v>12.722932</v>
      </c>
      <c r="J1417" s="98" t="s">
        <v>530</v>
      </c>
      <c r="K1417" s="98" t="s">
        <v>2059</v>
      </c>
      <c r="L1417" s="96"/>
      <c r="M1417" s="110" t="s">
        <v>4486</v>
      </c>
      <c r="N1417" s="117" t="s">
        <v>4487</v>
      </c>
      <c r="O1417" s="110" t="s">
        <v>642</v>
      </c>
      <c r="P1417" s="110" t="s">
        <v>265</v>
      </c>
      <c r="Q1417" s="118" t="n">
        <v>0.21</v>
      </c>
      <c r="R1417" s="110" t="n">
        <v>1</v>
      </c>
      <c r="S1417" s="110" t="s">
        <v>632</v>
      </c>
      <c r="T1417" s="110" t="s">
        <v>530</v>
      </c>
      <c r="U1417" s="110" t="s">
        <v>2918</v>
      </c>
      <c r="V1417" s="119" t="n">
        <v>310.74</v>
      </c>
      <c r="W1417" s="119"/>
      <c r="X1417" s="110" t="s">
        <v>2063</v>
      </c>
      <c r="Y1417" s="110" t="s">
        <v>2064</v>
      </c>
      <c r="Z1417" s="110" t="s">
        <v>2400</v>
      </c>
      <c r="AA1417" s="110" t="s">
        <v>537</v>
      </c>
      <c r="AB1417" s="110" t="s">
        <v>333</v>
      </c>
      <c r="AC1417" s="110" t="s">
        <v>538</v>
      </c>
      <c r="AD1417" s="110" t="n">
        <f aca="false">IF(OR(F1417="",Q1417="",R1417=""),"",ROUND(IF(P1417="incl.",F1417/(1+Q1417),F1417)/IF(S1417="per pack",R1417,1),2))</f>
        <v>310.74</v>
      </c>
      <c r="AE1417" s="110" t="str">
        <f aca="false">IF(AND(AC1417="yes",ISNUMBER(F1417),IF(Compare!$H$5="All mapped",TRUE(),IF(Compare!$H$5="EXACT only",J1417="EXACT",OR(J1417="EXACT",J1417="CLOSE")))),"yes","no")</f>
        <v>yes</v>
      </c>
      <c r="AF1417" s="110" t="n">
        <f aca="false">IF(ISNUMBER(H1417),COUNTIFS($B$7:$B$3000,B1417,$C$7:$C$3000,C1417,$H$7:$H$3000,"&lt;"&amp;H1417,$AH$7:$AH$3000,"yes")+COUNTIFS($B$7:B1417,B1417,$C$7:C1417,C1417,$H$7:H1417,H1417,$AH$7:AH1417,"yes"),"")</f>
        <v>2</v>
      </c>
      <c r="AG1417" s="110" t="n">
        <f aca="false">IF(ISNUMBER(I1417),COUNTIFS($B$7:$B$3000,B1417,$C$7:$C$3000,C1417,$I$7:$I$3000,"&lt;"&amp;I1417,$AI$7:$AI$3000,"yes")+COUNTIFS($B$7:B1417,B1417,$C$7:C1417,C1417,$I$7:I1417,I1417,$AI$7:AI1417,"yes"),"")</f>
        <v>2</v>
      </c>
      <c r="AH1417" s="110" t="str">
        <f aca="false">IF(ISNUMBER(H1417),"yes","no")</f>
        <v>yes</v>
      </c>
      <c r="AI1417" s="110" t="str">
        <f aca="false">IF(ISNUMBER(I1417),"yes","no")</f>
        <v>yes</v>
      </c>
      <c r="AJ1417" s="120" t="n">
        <v>46297</v>
      </c>
      <c r="AK1417" s="110"/>
    </row>
    <row r="1418" customFormat="false" ht="35.05" hidden="false" customHeight="false" outlineLevel="0" collapsed="false">
      <c r="B1418" s="36" t="s">
        <v>85</v>
      </c>
      <c r="C1418" s="98" t="s">
        <v>18</v>
      </c>
      <c r="D1418" s="98" t="s">
        <v>3002</v>
      </c>
      <c r="E1418" s="110" t="s">
        <v>4488</v>
      </c>
      <c r="F1418" s="99" t="n">
        <v>13.5</v>
      </c>
      <c r="G1418" s="98" t="s">
        <v>244</v>
      </c>
      <c r="H1418" s="112" t="n">
        <f aca="false">IF(AND(AE1418="yes",ISNUMBER(AD1418)),AD1418,"")</f>
        <v>13.5</v>
      </c>
      <c r="I1418" s="95" t="n">
        <f aca="false">IF(AND(AE1418="yes",ISNUMBER(AD1418),ISNUMBER(INDEX(Sources!$G$7:$G$10,MATCH(AB1418,Sources!$B$7:$B$10,0)))),ROUND(AD1418/INDEX(Sources!$G$7:$G$10,MATCH(AB1418,Sources!$B$7:$B$10,0)),6),"")</f>
        <v>13.5</v>
      </c>
      <c r="J1418" s="98" t="s">
        <v>530</v>
      </c>
      <c r="K1418" s="98" t="s">
        <v>2059</v>
      </c>
      <c r="L1418" s="96"/>
      <c r="M1418" s="110" t="s">
        <v>4489</v>
      </c>
      <c r="N1418" s="117" t="s">
        <v>4404</v>
      </c>
      <c r="O1418" s="110" t="s">
        <v>2396</v>
      </c>
      <c r="P1418" s="110" t="s">
        <v>590</v>
      </c>
      <c r="Q1418" s="118" t="n">
        <v>0.23</v>
      </c>
      <c r="R1418" s="110" t="n">
        <v>1</v>
      </c>
      <c r="S1418" s="110" t="s">
        <v>632</v>
      </c>
      <c r="T1418" s="110" t="s">
        <v>530</v>
      </c>
      <c r="U1418" s="110" t="s">
        <v>2913</v>
      </c>
      <c r="V1418" s="119" t="n">
        <v>13.5</v>
      </c>
      <c r="W1418" s="119"/>
      <c r="X1418" s="110" t="s">
        <v>2063</v>
      </c>
      <c r="Y1418" s="110" t="s">
        <v>2064</v>
      </c>
      <c r="Z1418" s="110" t="s">
        <v>3006</v>
      </c>
      <c r="AA1418" s="110" t="s">
        <v>537</v>
      </c>
      <c r="AB1418" s="110" t="s">
        <v>244</v>
      </c>
      <c r="AC1418" s="110" t="s">
        <v>538</v>
      </c>
      <c r="AD1418" s="110" t="n">
        <f aca="false">IF(OR(F1418="",Q1418="",R1418=""),"",ROUND(IF(P1418="incl.",F1418/(1+Q1418),F1418)/IF(S1418="per pack",R1418,1),2))</f>
        <v>13.5</v>
      </c>
      <c r="AE1418" s="110" t="str">
        <f aca="false">IF(AND(AC1418="yes",ISNUMBER(F1418),IF(Compare!$H$5="All mapped",TRUE(),IF(Compare!$H$5="EXACT only",J1418="EXACT",OR(J1418="EXACT",J1418="CLOSE")))),"yes","no")</f>
        <v>yes</v>
      </c>
      <c r="AF1418" s="110" t="n">
        <f aca="false">IF(ISNUMBER(H1418),COUNTIFS($B$7:$B$3000,B1418,$C$7:$C$3000,C1418,$H$7:$H$3000,"&lt;"&amp;H1418,$AH$7:$AH$3000,"yes")+COUNTIFS($B$7:B1418,B1418,$C$7:C1418,C1418,$H$7:H1418,H1418,$AH$7:AH1418,"yes"),"")</f>
        <v>3</v>
      </c>
      <c r="AG1418" s="110" t="n">
        <f aca="false">IF(ISNUMBER(I1418),COUNTIFS($B$7:$B$3000,B1418,$C$7:$C$3000,C1418,$I$7:$I$3000,"&lt;"&amp;I1418,$AI$7:$AI$3000,"yes")+COUNTIFS($B$7:B1418,B1418,$C$7:C1418,C1418,$I$7:I1418,I1418,$AI$7:AI1418,"yes"),"")</f>
        <v>3</v>
      </c>
      <c r="AH1418" s="110" t="str">
        <f aca="false">IF(ISNUMBER(H1418),"yes","no")</f>
        <v>yes</v>
      </c>
      <c r="AI1418" s="110" t="str">
        <f aca="false">IF(ISNUMBER(I1418),"yes","no")</f>
        <v>yes</v>
      </c>
      <c r="AJ1418" s="120" t="n">
        <v>46297</v>
      </c>
      <c r="AK1418" s="110"/>
    </row>
    <row r="1419" customFormat="false" ht="23.85" hidden="false" customHeight="false" outlineLevel="0" collapsed="false">
      <c r="B1419" s="36" t="s">
        <v>85</v>
      </c>
      <c r="C1419" s="98" t="s">
        <v>18</v>
      </c>
      <c r="D1419" s="98" t="s">
        <v>3007</v>
      </c>
      <c r="E1419" s="110" t="s">
        <v>4490</v>
      </c>
      <c r="F1419" s="99" t="n">
        <v>14.32</v>
      </c>
      <c r="G1419" s="98" t="s">
        <v>244</v>
      </c>
      <c r="H1419" s="112" t="n">
        <f aca="false">IF(AND(AE1419="yes",ISNUMBER(AD1419)),AD1419,"")</f>
        <v>14.32</v>
      </c>
      <c r="I1419" s="95" t="n">
        <f aca="false">IF(AND(AE1419="yes",ISNUMBER(AD1419),ISNUMBER(INDEX(Sources!$G$7:$G$10,MATCH(AB1419,Sources!$B$7:$B$10,0)))),ROUND(AD1419/INDEX(Sources!$G$7:$G$10,MATCH(AB1419,Sources!$B$7:$B$10,0)),6),"")</f>
        <v>14.32</v>
      </c>
      <c r="J1419" s="98" t="s">
        <v>530</v>
      </c>
      <c r="K1419" s="98" t="s">
        <v>2059</v>
      </c>
      <c r="L1419" s="96"/>
      <c r="M1419" s="110" t="s">
        <v>4491</v>
      </c>
      <c r="N1419" s="117" t="s">
        <v>4407</v>
      </c>
      <c r="O1419" s="110" t="s">
        <v>642</v>
      </c>
      <c r="P1419" s="110" t="s">
        <v>590</v>
      </c>
      <c r="Q1419" s="118" t="n">
        <v>0.23</v>
      </c>
      <c r="R1419" s="110" t="n">
        <v>1</v>
      </c>
      <c r="S1419" s="110" t="s">
        <v>632</v>
      </c>
      <c r="T1419" s="110" t="s">
        <v>530</v>
      </c>
      <c r="U1419" s="110" t="s">
        <v>2913</v>
      </c>
      <c r="V1419" s="119" t="n">
        <v>14.32</v>
      </c>
      <c r="W1419" s="119"/>
      <c r="X1419" s="110" t="s">
        <v>2063</v>
      </c>
      <c r="Y1419" s="110" t="s">
        <v>2064</v>
      </c>
      <c r="Z1419" s="110" t="s">
        <v>3012</v>
      </c>
      <c r="AA1419" s="110" t="s">
        <v>537</v>
      </c>
      <c r="AB1419" s="110" t="s">
        <v>244</v>
      </c>
      <c r="AC1419" s="110" t="s">
        <v>538</v>
      </c>
      <c r="AD1419" s="110" t="n">
        <f aca="false">IF(OR(F1419="",Q1419="",R1419=""),"",ROUND(IF(P1419="incl.",F1419/(1+Q1419),F1419)/IF(S1419="per pack",R1419,1),2))</f>
        <v>14.32</v>
      </c>
      <c r="AE1419" s="110" t="str">
        <f aca="false">IF(AND(AC1419="yes",ISNUMBER(F1419),IF(Compare!$H$5="All mapped",TRUE(),IF(Compare!$H$5="EXACT only",J1419="EXACT",OR(J1419="EXACT",J1419="CLOSE")))),"yes","no")</f>
        <v>yes</v>
      </c>
      <c r="AF1419" s="110" t="n">
        <f aca="false">IF(ISNUMBER(H1419),COUNTIFS($B$7:$B$3000,B1419,$C$7:$C$3000,C1419,$H$7:$H$3000,"&lt;"&amp;H1419,$AH$7:$AH$3000,"yes")+COUNTIFS($B$7:B1419,B1419,$C$7:C1419,C1419,$H$7:H1419,H1419,$AH$7:AH1419,"yes"),"")</f>
        <v>4</v>
      </c>
      <c r="AG1419" s="110" t="n">
        <f aca="false">IF(ISNUMBER(I1419),COUNTIFS($B$7:$B$3000,B1419,$C$7:$C$3000,C1419,$I$7:$I$3000,"&lt;"&amp;I1419,$AI$7:$AI$3000,"yes")+COUNTIFS($B$7:B1419,B1419,$C$7:C1419,C1419,$I$7:I1419,I1419,$AI$7:AI1419,"yes"),"")</f>
        <v>4</v>
      </c>
      <c r="AH1419" s="110" t="str">
        <f aca="false">IF(ISNUMBER(H1419),"yes","no")</f>
        <v>yes</v>
      </c>
      <c r="AI1419" s="110" t="str">
        <f aca="false">IF(ISNUMBER(I1419),"yes","no")</f>
        <v>yes</v>
      </c>
      <c r="AJ1419" s="120" t="n">
        <v>46297</v>
      </c>
      <c r="AK1419" s="110"/>
    </row>
    <row r="1420" customFormat="false" ht="35.05" hidden="false" customHeight="false" outlineLevel="0" collapsed="false">
      <c r="B1420" s="36" t="s">
        <v>85</v>
      </c>
      <c r="C1420" s="98" t="s">
        <v>18</v>
      </c>
      <c r="D1420" s="98" t="s">
        <v>365</v>
      </c>
      <c r="E1420" s="110" t="s">
        <v>4492</v>
      </c>
      <c r="F1420" s="99" t="n">
        <v>12.61</v>
      </c>
      <c r="G1420" s="98" t="s">
        <v>244</v>
      </c>
      <c r="H1420" s="112" t="n">
        <f aca="false">IF(AND(AE1420="yes",ISNUMBER(AD1420)),AD1420,"")</f>
        <v>10.25</v>
      </c>
      <c r="I1420" s="95" t="n">
        <f aca="false">IF(AND(AE1420="yes",ISNUMBER(AD1420),ISNUMBER(INDEX(Sources!$G$7:$G$10,MATCH(AB1420,Sources!$B$7:$B$10,0)))),ROUND(AD1420/INDEX(Sources!$G$7:$G$10,MATCH(AB1420,Sources!$B$7:$B$10,0)),6),"")</f>
        <v>10.25</v>
      </c>
      <c r="J1420" s="98" t="s">
        <v>530</v>
      </c>
      <c r="K1420" s="98" t="s">
        <v>2059</v>
      </c>
      <c r="L1420" s="96"/>
      <c r="M1420" s="110" t="s">
        <v>4493</v>
      </c>
      <c r="N1420" s="117" t="s">
        <v>4494</v>
      </c>
      <c r="O1420" s="110" t="s">
        <v>3076</v>
      </c>
      <c r="P1420" s="110" t="s">
        <v>265</v>
      </c>
      <c r="Q1420" s="118" t="n">
        <v>0.23</v>
      </c>
      <c r="R1420" s="110" t="n">
        <v>1</v>
      </c>
      <c r="S1420" s="110" t="s">
        <v>632</v>
      </c>
      <c r="T1420" s="110" t="s">
        <v>530</v>
      </c>
      <c r="U1420" s="110" t="s">
        <v>2918</v>
      </c>
      <c r="V1420" s="119" t="n">
        <v>10.25</v>
      </c>
      <c r="W1420" s="119"/>
      <c r="X1420" s="110" t="s">
        <v>2063</v>
      </c>
      <c r="Y1420" s="110" t="s">
        <v>2064</v>
      </c>
      <c r="Z1420" s="110" t="s">
        <v>3016</v>
      </c>
      <c r="AA1420" s="110" t="s">
        <v>537</v>
      </c>
      <c r="AB1420" s="110" t="s">
        <v>244</v>
      </c>
      <c r="AC1420" s="110" t="s">
        <v>538</v>
      </c>
      <c r="AD1420" s="110" t="n">
        <f aca="false">IF(OR(F1420="",Q1420="",R1420=""),"",ROUND(IF(P1420="incl.",F1420/(1+Q1420),F1420)/IF(S1420="per pack",R1420,1),2))</f>
        <v>10.25</v>
      </c>
      <c r="AE1420" s="110" t="str">
        <f aca="false">IF(AND(AC1420="yes",ISNUMBER(F1420),IF(Compare!$H$5="All mapped",TRUE(),IF(Compare!$H$5="EXACT only",J1420="EXACT",OR(J1420="EXACT",J1420="CLOSE")))),"yes","no")</f>
        <v>yes</v>
      </c>
      <c r="AF1420" s="110" t="n">
        <f aca="false">IF(ISNUMBER(H1420),COUNTIFS($B$7:$B$3000,B1420,$C$7:$C$3000,C1420,$H$7:$H$3000,"&lt;"&amp;H1420,$AH$7:$AH$3000,"yes")+COUNTIFS($B$7:B1420,B1420,$C$7:C1420,C1420,$H$7:H1420,H1420,$AH$7:AH1420,"yes"),"")</f>
        <v>2</v>
      </c>
      <c r="AG1420" s="110" t="n">
        <f aca="false">IF(ISNUMBER(I1420),COUNTIFS($B$7:$B$3000,B1420,$C$7:$C$3000,C1420,$I$7:$I$3000,"&lt;"&amp;I1420,$AI$7:$AI$3000,"yes")+COUNTIFS($B$7:B1420,B1420,$C$7:C1420,C1420,$I$7:I1420,I1420,$AI$7:AI1420,"yes"),"")</f>
        <v>2</v>
      </c>
      <c r="AH1420" s="110" t="str">
        <f aca="false">IF(ISNUMBER(H1420),"yes","no")</f>
        <v>yes</v>
      </c>
      <c r="AI1420" s="110" t="str">
        <f aca="false">IF(ISNUMBER(I1420),"yes","no")</f>
        <v>yes</v>
      </c>
      <c r="AJ1420" s="120" t="n">
        <v>46297</v>
      </c>
      <c r="AK1420" s="110"/>
    </row>
    <row r="1421" customFormat="false" ht="35.05" hidden="false" customHeight="false" outlineLevel="0" collapsed="false">
      <c r="B1421" s="36" t="s">
        <v>85</v>
      </c>
      <c r="C1421" s="98" t="s">
        <v>18</v>
      </c>
      <c r="D1421" s="98" t="s">
        <v>369</v>
      </c>
      <c r="E1421" s="110" t="s">
        <v>4495</v>
      </c>
      <c r="F1421" s="99" t="n">
        <v>22.25</v>
      </c>
      <c r="G1421" s="98" t="s">
        <v>244</v>
      </c>
      <c r="H1421" s="112" t="n">
        <f aca="false">IF(AND(AE1421="yes",ISNUMBER(AD1421)),AD1421,"")</f>
        <v>18.09</v>
      </c>
      <c r="I1421" s="95" t="n">
        <f aca="false">IF(AND(AE1421="yes",ISNUMBER(AD1421),ISNUMBER(INDEX(Sources!$G$7:$G$10,MATCH(AB1421,Sources!$B$7:$B$10,0)))),ROUND(AD1421/INDEX(Sources!$G$7:$G$10,MATCH(AB1421,Sources!$B$7:$B$10,0)),6),"")</f>
        <v>18.09</v>
      </c>
      <c r="J1421" s="98" t="s">
        <v>530</v>
      </c>
      <c r="K1421" s="98" t="s">
        <v>2059</v>
      </c>
      <c r="L1421" s="96"/>
      <c r="M1421" s="110" t="s">
        <v>4496</v>
      </c>
      <c r="N1421" s="117" t="s">
        <v>4497</v>
      </c>
      <c r="O1421" s="110" t="s">
        <v>783</v>
      </c>
      <c r="P1421" s="110" t="s">
        <v>265</v>
      </c>
      <c r="Q1421" s="118" t="n">
        <v>0.23</v>
      </c>
      <c r="R1421" s="110" t="n">
        <v>1</v>
      </c>
      <c r="S1421" s="110" t="s">
        <v>632</v>
      </c>
      <c r="T1421" s="110" t="s">
        <v>530</v>
      </c>
      <c r="U1421" s="110" t="s">
        <v>2918</v>
      </c>
      <c r="V1421" s="119" t="n">
        <v>18.09</v>
      </c>
      <c r="W1421" s="119"/>
      <c r="X1421" s="110" t="s">
        <v>2063</v>
      </c>
      <c r="Y1421" s="110" t="s">
        <v>2064</v>
      </c>
      <c r="Z1421" s="110" t="s">
        <v>3831</v>
      </c>
      <c r="AA1421" s="110" t="s">
        <v>537</v>
      </c>
      <c r="AB1421" s="110" t="s">
        <v>244</v>
      </c>
      <c r="AC1421" s="110" t="s">
        <v>538</v>
      </c>
      <c r="AD1421" s="110" t="n">
        <f aca="false">IF(OR(F1421="",Q1421="",R1421=""),"",ROUND(IF(P1421="incl.",F1421/(1+Q1421),F1421)/IF(S1421="per pack",R1421,1),2))</f>
        <v>18.09</v>
      </c>
      <c r="AE1421" s="110" t="str">
        <f aca="false">IF(AND(AC1421="yes",ISNUMBER(F1421),IF(Compare!$H$5="All mapped",TRUE(),IF(Compare!$H$5="EXACT only",J1421="EXACT",OR(J1421="EXACT",J1421="CLOSE")))),"yes","no")</f>
        <v>yes</v>
      </c>
      <c r="AF1421" s="110" t="n">
        <f aca="false">IF(ISNUMBER(H1421),COUNTIFS($B$7:$B$3000,B1421,$C$7:$C$3000,C1421,$H$7:$H$3000,"&lt;"&amp;H1421,$AH$7:$AH$3000,"yes")+COUNTIFS($B$7:B1421,B1421,$C$7:C1421,C1421,$H$7:H1421,H1421,$AH$7:AH1421,"yes"),"")</f>
        <v>5</v>
      </c>
      <c r="AG1421" s="110" t="n">
        <f aca="false">IF(ISNUMBER(I1421),COUNTIFS($B$7:$B$3000,B1421,$C$7:$C$3000,C1421,$I$7:$I$3000,"&lt;"&amp;I1421,$AI$7:$AI$3000,"yes")+COUNTIFS($B$7:B1421,B1421,$C$7:C1421,C1421,$I$7:I1421,I1421,$AI$7:AI1421,"yes"),"")</f>
        <v>5</v>
      </c>
      <c r="AH1421" s="110" t="str">
        <f aca="false">IF(ISNUMBER(H1421),"yes","no")</f>
        <v>yes</v>
      </c>
      <c r="AI1421" s="110" t="str">
        <f aca="false">IF(ISNUMBER(I1421),"yes","no")</f>
        <v>yes</v>
      </c>
      <c r="AJ1421" s="120" t="n">
        <v>46297</v>
      </c>
      <c r="AK1421" s="110"/>
    </row>
    <row r="1422" customFormat="false" ht="35.05" hidden="false" customHeight="false" outlineLevel="0" collapsed="false">
      <c r="B1422" s="36" t="s">
        <v>85</v>
      </c>
      <c r="C1422" s="98" t="s">
        <v>18</v>
      </c>
      <c r="D1422" s="98" t="s">
        <v>3021</v>
      </c>
      <c r="E1422" s="110" t="s">
        <v>4498</v>
      </c>
      <c r="F1422" s="99" t="n">
        <v>8.93</v>
      </c>
      <c r="G1422" s="98" t="s">
        <v>244</v>
      </c>
      <c r="H1422" s="112" t="n">
        <f aca="false">IF(AND(AE1422="yes",ISNUMBER(AD1422)),AD1422,"")</f>
        <v>8.93</v>
      </c>
      <c r="I1422" s="95" t="n">
        <f aca="false">IF(AND(AE1422="yes",ISNUMBER(AD1422),ISNUMBER(INDEX(Sources!$G$7:$G$10,MATCH(AB1422,Sources!$B$7:$B$10,0)))),ROUND(AD1422/INDEX(Sources!$G$7:$G$10,MATCH(AB1422,Sources!$B$7:$B$10,0)),6),"")</f>
        <v>8.93</v>
      </c>
      <c r="J1422" s="98" t="s">
        <v>530</v>
      </c>
      <c r="K1422" s="98" t="s">
        <v>2059</v>
      </c>
      <c r="L1422" s="96"/>
      <c r="M1422" s="110" t="s">
        <v>4499</v>
      </c>
      <c r="N1422" s="117" t="s">
        <v>4416</v>
      </c>
      <c r="O1422" s="110" t="s">
        <v>3024</v>
      </c>
      <c r="P1422" s="110" t="s">
        <v>590</v>
      </c>
      <c r="Q1422" s="118" t="n">
        <v>0.23</v>
      </c>
      <c r="R1422" s="110" t="n">
        <v>1</v>
      </c>
      <c r="S1422" s="110" t="s">
        <v>632</v>
      </c>
      <c r="T1422" s="110" t="s">
        <v>530</v>
      </c>
      <c r="U1422" s="110" t="s">
        <v>2913</v>
      </c>
      <c r="V1422" s="119" t="n">
        <v>8.93</v>
      </c>
      <c r="W1422" s="119"/>
      <c r="X1422" s="110" t="s">
        <v>2063</v>
      </c>
      <c r="Y1422" s="110" t="s">
        <v>2064</v>
      </c>
      <c r="Z1422" s="110" t="s">
        <v>3109</v>
      </c>
      <c r="AA1422" s="110" t="s">
        <v>537</v>
      </c>
      <c r="AB1422" s="110" t="s">
        <v>244</v>
      </c>
      <c r="AC1422" s="110" t="s">
        <v>538</v>
      </c>
      <c r="AD1422" s="110" t="n">
        <f aca="false">IF(OR(F1422="",Q1422="",R1422=""),"",ROUND(IF(P1422="incl.",F1422/(1+Q1422),F1422)/IF(S1422="per pack",R1422,1),2))</f>
        <v>8.93</v>
      </c>
      <c r="AE1422" s="110" t="str">
        <f aca="false">IF(AND(AC1422="yes",ISNUMBER(F1422),IF(Compare!$H$5="All mapped",TRUE(),IF(Compare!$H$5="EXACT only",J1422="EXACT",OR(J1422="EXACT",J1422="CLOSE")))),"yes","no")</f>
        <v>yes</v>
      </c>
      <c r="AF1422" s="110" t="n">
        <f aca="false">IF(ISNUMBER(H1422),COUNTIFS($B$7:$B$3000,B1422,$C$7:$C$3000,C1422,$H$7:$H$3000,"&lt;"&amp;H1422,$AH$7:$AH$3000,"yes")+COUNTIFS($B$7:B1422,B1422,$C$7:C1422,C1422,$H$7:H1422,H1422,$AH$7:AH1422,"yes"),"")</f>
        <v>1</v>
      </c>
      <c r="AG1422" s="110" t="n">
        <f aca="false">IF(ISNUMBER(I1422),COUNTIFS($B$7:$B$3000,B1422,$C$7:$C$3000,C1422,$I$7:$I$3000,"&lt;"&amp;I1422,$AI$7:$AI$3000,"yes")+COUNTIFS($B$7:B1422,B1422,$C$7:C1422,C1422,$I$7:I1422,I1422,$AI$7:AI1422,"yes"),"")</f>
        <v>1</v>
      </c>
      <c r="AH1422" s="110" t="str">
        <f aca="false">IF(ISNUMBER(H1422),"yes","no")</f>
        <v>yes</v>
      </c>
      <c r="AI1422" s="110" t="str">
        <f aca="false">IF(ISNUMBER(I1422),"yes","no")</f>
        <v>yes</v>
      </c>
      <c r="AJ1422" s="120" t="n">
        <v>46297</v>
      </c>
      <c r="AK1422" s="110"/>
    </row>
    <row r="1423" customFormat="false" ht="23.85" hidden="false" customHeight="false" outlineLevel="0" collapsed="false">
      <c r="B1423" s="36" t="s">
        <v>86</v>
      </c>
      <c r="C1423" s="98" t="s">
        <v>14</v>
      </c>
      <c r="D1423" s="98" t="s">
        <v>373</v>
      </c>
      <c r="E1423" s="110" t="s">
        <v>4500</v>
      </c>
      <c r="F1423" s="99" t="n">
        <v>78.22</v>
      </c>
      <c r="G1423" s="98" t="s">
        <v>374</v>
      </c>
      <c r="H1423" s="112" t="n">
        <f aca="false">IF(AND(AE1423="yes",ISNUMBER(AD1423)),AD1423,"")</f>
        <v>78.22</v>
      </c>
      <c r="I1423" s="95" t="n">
        <f aca="false">IF(AND(AE1423="yes",ISNUMBER(AD1423),ISNUMBER(INDEX(Sources!$G$7:$G$10,MATCH(AB1423,Sources!$B$7:$B$10,0)))),ROUND(AD1423/INDEX(Sources!$G$7:$G$10,MATCH(AB1423,Sources!$B$7:$B$10,0)),6),"")</f>
        <v>14.821014</v>
      </c>
      <c r="J1423" s="98" t="s">
        <v>530</v>
      </c>
      <c r="K1423" s="98" t="s">
        <v>2059</v>
      </c>
      <c r="L1423" s="96"/>
      <c r="M1423" s="110" t="s">
        <v>4501</v>
      </c>
      <c r="N1423" s="117" t="s">
        <v>4502</v>
      </c>
      <c r="O1423" s="110" t="s">
        <v>4321</v>
      </c>
      <c r="P1423" s="110" t="s">
        <v>590</v>
      </c>
      <c r="Q1423" s="118" t="n">
        <v>0.21</v>
      </c>
      <c r="R1423" s="110" t="n">
        <v>1</v>
      </c>
      <c r="S1423" s="110" t="s">
        <v>632</v>
      </c>
      <c r="T1423" s="110" t="s">
        <v>530</v>
      </c>
      <c r="U1423" s="110" t="s">
        <v>2913</v>
      </c>
      <c r="V1423" s="119" t="n">
        <v>78.22</v>
      </c>
      <c r="W1423" s="119"/>
      <c r="X1423" s="110" t="s">
        <v>2063</v>
      </c>
      <c r="Y1423" s="110" t="s">
        <v>2064</v>
      </c>
      <c r="Z1423" s="110"/>
      <c r="AA1423" s="110" t="s">
        <v>537</v>
      </c>
      <c r="AB1423" s="110" t="s">
        <v>374</v>
      </c>
      <c r="AC1423" s="110" t="s">
        <v>538</v>
      </c>
      <c r="AD1423" s="110" t="n">
        <f aca="false">IF(OR(F1423="",Q1423="",R1423=""),"",ROUND(IF(P1423="incl.",F1423/(1+Q1423),F1423)/IF(S1423="per pack",R1423,1),2))</f>
        <v>78.22</v>
      </c>
      <c r="AE1423" s="110" t="str">
        <f aca="false">IF(AND(AC1423="yes",ISNUMBER(F1423),IF(Compare!$H$5="All mapped",TRUE(),IF(Compare!$H$5="EXACT only",J1423="EXACT",OR(J1423="EXACT",J1423="CLOSE")))),"yes","no")</f>
        <v>yes</v>
      </c>
      <c r="AF1423" s="110" t="n">
        <f aca="false">IF(ISNUMBER(H1423),COUNTIFS($B$7:$B$3000,B1423,$C$7:$C$3000,C1423,$H$7:$H$3000,"&lt;"&amp;H1423,$AH$7:$AH$3000,"yes")+COUNTIFS($B$7:B1423,B1423,$C$7:C1423,C1423,$H$7:H1423,H1423,$AH$7:AH1423,"yes"),"")</f>
        <v>4</v>
      </c>
      <c r="AG1423" s="110" t="n">
        <f aca="false">IF(ISNUMBER(I1423),COUNTIFS($B$7:$B$3000,B1423,$C$7:$C$3000,C1423,$I$7:$I$3000,"&lt;"&amp;I1423,$AI$7:$AI$3000,"yes")+COUNTIFS($B$7:B1423,B1423,$C$7:C1423,C1423,$I$7:I1423,I1423,$AI$7:AI1423,"yes"),"")</f>
        <v>3</v>
      </c>
      <c r="AH1423" s="110" t="str">
        <f aca="false">IF(ISNUMBER(H1423),"yes","no")</f>
        <v>yes</v>
      </c>
      <c r="AI1423" s="110" t="str">
        <f aca="false">IF(ISNUMBER(I1423),"yes","no")</f>
        <v>yes</v>
      </c>
      <c r="AJ1423" s="120" t="n">
        <v>46297</v>
      </c>
      <c r="AK1423" s="110"/>
    </row>
    <row r="1424" customFormat="false" ht="46.25" hidden="false" customHeight="false" outlineLevel="0" collapsed="false">
      <c r="B1424" s="36" t="s">
        <v>86</v>
      </c>
      <c r="C1424" s="98" t="s">
        <v>14</v>
      </c>
      <c r="D1424" s="98" t="s">
        <v>4143</v>
      </c>
      <c r="E1424" s="110" t="s">
        <v>4503</v>
      </c>
      <c r="F1424" s="99" t="n">
        <v>384.27</v>
      </c>
      <c r="G1424" s="98" t="s">
        <v>374</v>
      </c>
      <c r="H1424" s="112" t="n">
        <f aca="false">IF(AND(AE1424="yes",ISNUMBER(AD1424)),AD1424,"")</f>
        <v>64.05</v>
      </c>
      <c r="I1424" s="95" t="n">
        <f aca="false">IF(AND(AE1424="yes",ISNUMBER(AD1424),ISNUMBER(INDEX(Sources!$G$7:$G$10,MATCH(AB1424,Sources!$B$7:$B$10,0)))),ROUND(AD1424/INDEX(Sources!$G$7:$G$10,MATCH(AB1424,Sources!$B$7:$B$10,0)),6),"")</f>
        <v>12.136103</v>
      </c>
      <c r="J1424" s="98" t="s">
        <v>530</v>
      </c>
      <c r="K1424" s="98" t="s">
        <v>2059</v>
      </c>
      <c r="L1424" s="96"/>
      <c r="M1424" s="110" t="s">
        <v>4504</v>
      </c>
      <c r="N1424" s="117" t="s">
        <v>4505</v>
      </c>
      <c r="O1424" s="110" t="s">
        <v>317</v>
      </c>
      <c r="P1424" s="110" t="s">
        <v>590</v>
      </c>
      <c r="Q1424" s="118" t="n">
        <v>0.21</v>
      </c>
      <c r="R1424" s="110" t="n">
        <v>6</v>
      </c>
      <c r="S1424" s="110" t="s">
        <v>625</v>
      </c>
      <c r="T1424" s="110" t="s">
        <v>530</v>
      </c>
      <c r="U1424" s="110" t="s">
        <v>2913</v>
      </c>
      <c r="V1424" s="119" t="n">
        <v>64.05</v>
      </c>
      <c r="W1424" s="119"/>
      <c r="X1424" s="110" t="s">
        <v>2063</v>
      </c>
      <c r="Y1424" s="110" t="s">
        <v>2064</v>
      </c>
      <c r="Z1424" s="110"/>
      <c r="AA1424" s="110" t="s">
        <v>537</v>
      </c>
      <c r="AB1424" s="110" t="s">
        <v>374</v>
      </c>
      <c r="AC1424" s="110" t="s">
        <v>538</v>
      </c>
      <c r="AD1424" s="110" t="n">
        <f aca="false">IF(OR(F1424="",Q1424="",R1424=""),"",ROUND(IF(P1424="incl.",F1424/(1+Q1424),F1424)/IF(S1424="per pack",R1424,1),2))</f>
        <v>64.05</v>
      </c>
      <c r="AE1424" s="110" t="str">
        <f aca="false">IF(AND(AC1424="yes",ISNUMBER(F1424),IF(Compare!$H$5="All mapped",TRUE(),IF(Compare!$H$5="EXACT only",J1424="EXACT",OR(J1424="EXACT",J1424="CLOSE")))),"yes","no")</f>
        <v>yes</v>
      </c>
      <c r="AF1424" s="110" t="n">
        <f aca="false">IF(ISNUMBER(H1424),COUNTIFS($B$7:$B$3000,B1424,$C$7:$C$3000,C1424,$H$7:$H$3000,"&lt;"&amp;H1424,$AH$7:$AH$3000,"yes")+COUNTIFS($B$7:B1424,B1424,$C$7:C1424,C1424,$H$7:H1424,H1424,$AH$7:AH1424,"yes"),"")</f>
        <v>3</v>
      </c>
      <c r="AG1424" s="110" t="n">
        <f aca="false">IF(ISNUMBER(I1424),COUNTIFS($B$7:$B$3000,B1424,$C$7:$C$3000,C1424,$I$7:$I$3000,"&lt;"&amp;I1424,$AI$7:$AI$3000,"yes")+COUNTIFS($B$7:B1424,B1424,$C$7:C1424,C1424,$I$7:I1424,I1424,$AI$7:AI1424,"yes"),"")</f>
        <v>2</v>
      </c>
      <c r="AH1424" s="110" t="str">
        <f aca="false">IF(ISNUMBER(H1424),"yes","no")</f>
        <v>yes</v>
      </c>
      <c r="AI1424" s="110" t="str">
        <f aca="false">IF(ISNUMBER(I1424),"yes","no")</f>
        <v>yes</v>
      </c>
      <c r="AJ1424" s="120" t="n">
        <v>46297</v>
      </c>
      <c r="AK1424" s="110"/>
    </row>
    <row r="1425" customFormat="false" ht="35.05" hidden="false" customHeight="false" outlineLevel="0" collapsed="false">
      <c r="B1425" s="36" t="s">
        <v>86</v>
      </c>
      <c r="C1425" s="98" t="s">
        <v>14</v>
      </c>
      <c r="D1425" s="98" t="s">
        <v>346</v>
      </c>
      <c r="E1425" s="110" t="s">
        <v>4506</v>
      </c>
      <c r="F1425" s="99" t="n">
        <v>152.41</v>
      </c>
      <c r="G1425" s="98" t="s">
        <v>374</v>
      </c>
      <c r="H1425" s="112" t="n">
        <f aca="false">IF(AND(AE1425="yes",ISNUMBER(AD1425)),AD1425,"")</f>
        <v>125.96</v>
      </c>
      <c r="I1425" s="95" t="n">
        <f aca="false">IF(AND(AE1425="yes",ISNUMBER(AD1425),ISNUMBER(INDEX(Sources!$G$7:$G$10,MATCH(AB1425,Sources!$B$7:$B$10,0)))),ROUND(AD1425/INDEX(Sources!$G$7:$G$10,MATCH(AB1425,Sources!$B$7:$B$10,0)),6),"")</f>
        <v>23.866721</v>
      </c>
      <c r="J1425" s="98" t="s">
        <v>530</v>
      </c>
      <c r="K1425" s="98" t="s">
        <v>2059</v>
      </c>
      <c r="L1425" s="96"/>
      <c r="M1425" s="110" t="s">
        <v>4507</v>
      </c>
      <c r="N1425" s="117" t="s">
        <v>4508</v>
      </c>
      <c r="O1425" s="110" t="s">
        <v>783</v>
      </c>
      <c r="P1425" s="110" t="s">
        <v>265</v>
      </c>
      <c r="Q1425" s="118" t="n">
        <v>0.21</v>
      </c>
      <c r="R1425" s="110" t="n">
        <v>1</v>
      </c>
      <c r="S1425" s="110" t="s">
        <v>632</v>
      </c>
      <c r="T1425" s="110" t="s">
        <v>530</v>
      </c>
      <c r="U1425" s="110" t="s">
        <v>2918</v>
      </c>
      <c r="V1425" s="119" t="n">
        <v>125.96</v>
      </c>
      <c r="W1425" s="119"/>
      <c r="X1425" s="110" t="s">
        <v>2063</v>
      </c>
      <c r="Y1425" s="110" t="s">
        <v>2064</v>
      </c>
      <c r="Z1425" s="110"/>
      <c r="AA1425" s="110" t="s">
        <v>537</v>
      </c>
      <c r="AB1425" s="110" t="s">
        <v>374</v>
      </c>
      <c r="AC1425" s="110" t="s">
        <v>538</v>
      </c>
      <c r="AD1425" s="110" t="n">
        <f aca="false">IF(OR(F1425="",Q1425="",R1425=""),"",ROUND(IF(P1425="incl.",F1425/(1+Q1425),F1425)/IF(S1425="per pack",R1425,1),2))</f>
        <v>125.96</v>
      </c>
      <c r="AE1425" s="110" t="str">
        <f aca="false">IF(AND(AC1425="yes",ISNUMBER(F1425),IF(Compare!$H$5="All mapped",TRUE(),IF(Compare!$H$5="EXACT only",J1425="EXACT",OR(J1425="EXACT",J1425="CLOSE")))),"yes","no")</f>
        <v>yes</v>
      </c>
      <c r="AF1425" s="110" t="n">
        <f aca="false">IF(ISNUMBER(H1425),COUNTIFS($B$7:$B$3000,B1425,$C$7:$C$3000,C1425,$H$7:$H$3000,"&lt;"&amp;H1425,$AH$7:$AH$3000,"yes")+COUNTIFS($B$7:B1425,B1425,$C$7:C1425,C1425,$H$7:H1425,H1425,$AH$7:AH1425,"yes"),"")</f>
        <v>5</v>
      </c>
      <c r="AG1425" s="110" t="n">
        <f aca="false">IF(ISNUMBER(I1425),COUNTIFS($B$7:$B$3000,B1425,$C$7:$C$3000,C1425,$I$7:$I$3000,"&lt;"&amp;I1425,$AI$7:$AI$3000,"yes")+COUNTIFS($B$7:B1425,B1425,$C$7:C1425,C1425,$I$7:I1425,I1425,$AI$7:AI1425,"yes"),"")</f>
        <v>5</v>
      </c>
      <c r="AH1425" s="110" t="str">
        <f aca="false">IF(ISNUMBER(H1425),"yes","no")</f>
        <v>yes</v>
      </c>
      <c r="AI1425" s="110" t="str">
        <f aca="false">IF(ISNUMBER(I1425),"yes","no")</f>
        <v>yes</v>
      </c>
      <c r="AJ1425" s="120" t="n">
        <v>46297</v>
      </c>
      <c r="AK1425" s="110"/>
    </row>
    <row r="1426" customFormat="false" ht="23.85" hidden="false" customHeight="false" outlineLevel="0" collapsed="false">
      <c r="B1426" s="36" t="s">
        <v>86</v>
      </c>
      <c r="C1426" s="98" t="s">
        <v>14</v>
      </c>
      <c r="D1426" s="98" t="s">
        <v>395</v>
      </c>
      <c r="E1426" s="110" t="s">
        <v>4509</v>
      </c>
      <c r="F1426" s="99" t="n">
        <v>16.38</v>
      </c>
      <c r="G1426" s="98" t="s">
        <v>244</v>
      </c>
      <c r="H1426" s="112" t="n">
        <f aca="false">IF(AND(AE1426="yes",ISNUMBER(AD1426)),AD1426,"")</f>
        <v>16.38</v>
      </c>
      <c r="I1426" s="95" t="n">
        <f aca="false">IF(AND(AE1426="yes",ISNUMBER(AD1426),ISNUMBER(INDEX(Sources!$G$7:$G$10,MATCH(AB1426,Sources!$B$7:$B$10,0)))),ROUND(AD1426/INDEX(Sources!$G$7:$G$10,MATCH(AB1426,Sources!$B$7:$B$10,0)),6),"")</f>
        <v>16.38</v>
      </c>
      <c r="J1426" s="98" t="s">
        <v>530</v>
      </c>
      <c r="K1426" s="98" t="s">
        <v>2059</v>
      </c>
      <c r="L1426" s="96"/>
      <c r="M1426" s="110" t="s">
        <v>4510</v>
      </c>
      <c r="N1426" s="117" t="s">
        <v>4511</v>
      </c>
      <c r="O1426" s="110"/>
      <c r="P1426" s="110" t="s">
        <v>590</v>
      </c>
      <c r="Q1426" s="118" t="n">
        <v>0.21</v>
      </c>
      <c r="R1426" s="110" t="n">
        <v>1</v>
      </c>
      <c r="S1426" s="110" t="s">
        <v>632</v>
      </c>
      <c r="T1426" s="110" t="s">
        <v>530</v>
      </c>
      <c r="U1426" s="110" t="s">
        <v>2913</v>
      </c>
      <c r="V1426" s="119" t="n">
        <v>16.38</v>
      </c>
      <c r="W1426" s="119"/>
      <c r="X1426" s="110" t="s">
        <v>2063</v>
      </c>
      <c r="Y1426" s="110" t="s">
        <v>2064</v>
      </c>
      <c r="Z1426" s="110" t="s">
        <v>2925</v>
      </c>
      <c r="AA1426" s="110" t="s">
        <v>537</v>
      </c>
      <c r="AB1426" s="110" t="s">
        <v>244</v>
      </c>
      <c r="AC1426" s="110" t="s">
        <v>538</v>
      </c>
      <c r="AD1426" s="110" t="n">
        <f aca="false">IF(OR(F1426="",Q1426="",R1426=""),"",ROUND(IF(P1426="incl.",F1426/(1+Q1426),F1426)/IF(S1426="per pack",R1426,1),2))</f>
        <v>16.38</v>
      </c>
      <c r="AE1426" s="110" t="str">
        <f aca="false">IF(AND(AC1426="yes",ISNUMBER(F1426),IF(Compare!$H$5="All mapped",TRUE(),IF(Compare!$H$5="EXACT only",J1426="EXACT",OR(J1426="EXACT",J1426="CLOSE")))),"yes","no")</f>
        <v>yes</v>
      </c>
      <c r="AF1426" s="110" t="n">
        <f aca="false">IF(ISNUMBER(H1426),COUNTIFS($B$7:$B$3000,B1426,$C$7:$C$3000,C1426,$H$7:$H$3000,"&lt;"&amp;H1426,$AH$7:$AH$3000,"yes")+COUNTIFS($B$7:B1426,B1426,$C$7:C1426,C1426,$H$7:H1426,H1426,$AH$7:AH1426,"yes"),"")</f>
        <v>1</v>
      </c>
      <c r="AG1426" s="110" t="n">
        <f aca="false">IF(ISNUMBER(I1426),COUNTIFS($B$7:$B$3000,B1426,$C$7:$C$3000,C1426,$I$7:$I$3000,"&lt;"&amp;I1426,$AI$7:$AI$3000,"yes")+COUNTIFS($B$7:B1426,B1426,$C$7:C1426,C1426,$I$7:I1426,I1426,$AI$7:AI1426,"yes"),"")</f>
        <v>4</v>
      </c>
      <c r="AH1426" s="110" t="str">
        <f aca="false">IF(ISNUMBER(H1426),"yes","no")</f>
        <v>yes</v>
      </c>
      <c r="AI1426" s="110" t="str">
        <f aca="false">IF(ISNUMBER(I1426),"yes","no")</f>
        <v>yes</v>
      </c>
      <c r="AJ1426" s="120" t="n">
        <v>46297</v>
      </c>
      <c r="AK1426" s="110"/>
    </row>
    <row r="1427" customFormat="false" ht="35.05" hidden="false" customHeight="false" outlineLevel="0" collapsed="false">
      <c r="B1427" s="36" t="s">
        <v>86</v>
      </c>
      <c r="C1427" s="98" t="s">
        <v>14</v>
      </c>
      <c r="D1427" s="98" t="s">
        <v>403</v>
      </c>
      <c r="E1427" s="110" t="s">
        <v>4512</v>
      </c>
      <c r="F1427" s="99" t="n">
        <v>58.73</v>
      </c>
      <c r="G1427" s="98" t="s">
        <v>374</v>
      </c>
      <c r="H1427" s="112" t="n">
        <f aca="false">IF(AND(AE1427="yes",ISNUMBER(AD1427)),AD1427,"")</f>
        <v>58.73</v>
      </c>
      <c r="I1427" s="95" t="n">
        <f aca="false">IF(AND(AE1427="yes",ISNUMBER(AD1427),ISNUMBER(INDEX(Sources!$G$7:$G$10,MATCH(AB1427,Sources!$B$7:$B$10,0)))),ROUND(AD1427/INDEX(Sources!$G$7:$G$10,MATCH(AB1427,Sources!$B$7:$B$10,0)),6),"")</f>
        <v>11.128077</v>
      </c>
      <c r="J1427" s="98" t="s">
        <v>530</v>
      </c>
      <c r="K1427" s="98" t="s">
        <v>2059</v>
      </c>
      <c r="L1427" s="96"/>
      <c r="M1427" s="110" t="s">
        <v>4513</v>
      </c>
      <c r="N1427" s="117" t="s">
        <v>4514</v>
      </c>
      <c r="O1427" s="110" t="s">
        <v>388</v>
      </c>
      <c r="P1427" s="110" t="s">
        <v>590</v>
      </c>
      <c r="Q1427" s="118" t="n">
        <v>0.21</v>
      </c>
      <c r="R1427" s="110" t="n">
        <v>1</v>
      </c>
      <c r="S1427" s="110" t="s">
        <v>632</v>
      </c>
      <c r="T1427" s="110" t="s">
        <v>530</v>
      </c>
      <c r="U1427" s="110" t="s">
        <v>2913</v>
      </c>
      <c r="V1427" s="119" t="n">
        <v>58.73</v>
      </c>
      <c r="W1427" s="119"/>
      <c r="X1427" s="110" t="s">
        <v>2063</v>
      </c>
      <c r="Y1427" s="110" t="s">
        <v>2064</v>
      </c>
      <c r="Z1427" s="110"/>
      <c r="AA1427" s="110" t="s">
        <v>537</v>
      </c>
      <c r="AB1427" s="110" t="s">
        <v>374</v>
      </c>
      <c r="AC1427" s="110" t="s">
        <v>538</v>
      </c>
      <c r="AD1427" s="110" t="n">
        <f aca="false">IF(OR(F1427="",Q1427="",R1427=""),"",ROUND(IF(P1427="incl.",F1427/(1+Q1427),F1427)/IF(S1427="per pack",R1427,1),2))</f>
        <v>58.73</v>
      </c>
      <c r="AE1427" s="110" t="str">
        <f aca="false">IF(AND(AC1427="yes",ISNUMBER(F1427),IF(Compare!$H$5="All mapped",TRUE(),IF(Compare!$H$5="EXACT only",J1427="EXACT",OR(J1427="EXACT",J1427="CLOSE")))),"yes","no")</f>
        <v>yes</v>
      </c>
      <c r="AF1427" s="110" t="n">
        <f aca="false">IF(ISNUMBER(H1427),COUNTIFS($B$7:$B$3000,B1427,$C$7:$C$3000,C1427,$H$7:$H$3000,"&lt;"&amp;H1427,$AH$7:$AH$3000,"yes")+COUNTIFS($B$7:B1427,B1427,$C$7:C1427,C1427,$H$7:H1427,H1427,$AH$7:AH1427,"yes"),"")</f>
        <v>2</v>
      </c>
      <c r="AG1427" s="110" t="n">
        <f aca="false">IF(ISNUMBER(I1427),COUNTIFS($B$7:$B$3000,B1427,$C$7:$C$3000,C1427,$I$7:$I$3000,"&lt;"&amp;I1427,$AI$7:$AI$3000,"yes")+COUNTIFS($B$7:B1427,B1427,$C$7:C1427,C1427,$I$7:I1427,I1427,$AI$7:AI1427,"yes"),"")</f>
        <v>1</v>
      </c>
      <c r="AH1427" s="110" t="str">
        <f aca="false">IF(ISNUMBER(H1427),"yes","no")</f>
        <v>yes</v>
      </c>
      <c r="AI1427" s="110" t="str">
        <f aca="false">IF(ISNUMBER(I1427),"yes","no")</f>
        <v>yes</v>
      </c>
      <c r="AJ1427" s="120" t="n">
        <v>46297</v>
      </c>
      <c r="AK1427" s="110"/>
    </row>
    <row r="1428" customFormat="false" ht="35.05" hidden="false" customHeight="false" outlineLevel="0" collapsed="false">
      <c r="B1428" s="36" t="s">
        <v>86</v>
      </c>
      <c r="C1428" s="98" t="s">
        <v>15</v>
      </c>
      <c r="D1428" s="98" t="s">
        <v>243</v>
      </c>
      <c r="E1428" s="110" t="s">
        <v>4515</v>
      </c>
      <c r="F1428" s="99" t="n">
        <v>22.19</v>
      </c>
      <c r="G1428" s="98" t="s">
        <v>244</v>
      </c>
      <c r="H1428" s="112" t="n">
        <f aca="false">IF(AND(AE1428="yes",ISNUMBER(AD1428)),AD1428,"")</f>
        <v>22.19</v>
      </c>
      <c r="I1428" s="95" t="n">
        <f aca="false">IF(AND(AE1428="yes",ISNUMBER(AD1428),ISNUMBER(INDEX(Sources!$G$7:$G$10,MATCH(AB1428,Sources!$B$7:$B$10,0)))),ROUND(AD1428/INDEX(Sources!$G$7:$G$10,MATCH(AB1428,Sources!$B$7:$B$10,0)),6),"")</f>
        <v>22.19</v>
      </c>
      <c r="J1428" s="98" t="s">
        <v>530</v>
      </c>
      <c r="K1428" s="98" t="s">
        <v>2059</v>
      </c>
      <c r="L1428" s="96"/>
      <c r="M1428" s="110" t="s">
        <v>4516</v>
      </c>
      <c r="N1428" s="117" t="s">
        <v>4517</v>
      </c>
      <c r="O1428" s="110" t="s">
        <v>388</v>
      </c>
      <c r="P1428" s="110" t="s">
        <v>590</v>
      </c>
      <c r="Q1428" s="118" t="n">
        <v>0.2</v>
      </c>
      <c r="R1428" s="110" t="n">
        <v>1</v>
      </c>
      <c r="S1428" s="110" t="s">
        <v>632</v>
      </c>
      <c r="T1428" s="110" t="s">
        <v>530</v>
      </c>
      <c r="U1428" s="110" t="s">
        <v>2913</v>
      </c>
      <c r="V1428" s="119" t="n">
        <v>22.19</v>
      </c>
      <c r="W1428" s="119"/>
      <c r="X1428" s="110" t="s">
        <v>2063</v>
      </c>
      <c r="Y1428" s="110" t="s">
        <v>2064</v>
      </c>
      <c r="Z1428" s="110" t="s">
        <v>4337</v>
      </c>
      <c r="AA1428" s="110" t="s">
        <v>537</v>
      </c>
      <c r="AB1428" s="110" t="s">
        <v>244</v>
      </c>
      <c r="AC1428" s="110" t="s">
        <v>538</v>
      </c>
      <c r="AD1428" s="110" t="n">
        <f aca="false">IF(OR(F1428="",Q1428="",R1428=""),"",ROUND(IF(P1428="incl.",F1428/(1+Q1428),F1428)/IF(S1428="per pack",R1428,1),2))</f>
        <v>22.19</v>
      </c>
      <c r="AE1428" s="110" t="str">
        <f aca="false">IF(AND(AC1428="yes",ISNUMBER(F1428),IF(Compare!$H$5="All mapped",TRUE(),IF(Compare!$H$5="EXACT only",J1428="EXACT",OR(J1428="EXACT",J1428="CLOSE")))),"yes","no")</f>
        <v>yes</v>
      </c>
      <c r="AF1428" s="110" t="n">
        <f aca="false">IF(ISNUMBER(H1428),COUNTIFS($B$7:$B$3000,B1428,$C$7:$C$3000,C1428,$H$7:$H$3000,"&lt;"&amp;H1428,$AH$7:$AH$3000,"yes")+COUNTIFS($B$7:B1428,B1428,$C$7:C1428,C1428,$H$7:H1428,H1428,$AH$7:AH1428,"yes"),"")</f>
        <v>5</v>
      </c>
      <c r="AG1428" s="110" t="n">
        <f aca="false">IF(ISNUMBER(I1428),COUNTIFS($B$7:$B$3000,B1428,$C$7:$C$3000,C1428,$I$7:$I$3000,"&lt;"&amp;I1428,$AI$7:$AI$3000,"yes")+COUNTIFS($B$7:B1428,B1428,$C$7:C1428,C1428,$I$7:I1428,I1428,$AI$7:AI1428,"yes"),"")</f>
        <v>5</v>
      </c>
      <c r="AH1428" s="110" t="str">
        <f aca="false">IF(ISNUMBER(H1428),"yes","no")</f>
        <v>yes</v>
      </c>
      <c r="AI1428" s="110" t="str">
        <f aca="false">IF(ISNUMBER(I1428),"yes","no")</f>
        <v>yes</v>
      </c>
      <c r="AJ1428" s="120" t="n">
        <v>46297</v>
      </c>
      <c r="AK1428" s="110"/>
    </row>
    <row r="1429" customFormat="false" ht="35.05" hidden="false" customHeight="false" outlineLevel="0" collapsed="false">
      <c r="B1429" s="36" t="s">
        <v>86</v>
      </c>
      <c r="C1429" s="98" t="s">
        <v>15</v>
      </c>
      <c r="D1429" s="98" t="s">
        <v>277</v>
      </c>
      <c r="E1429" s="110" t="s">
        <v>4518</v>
      </c>
      <c r="F1429" s="99" t="n">
        <v>67.99</v>
      </c>
      <c r="G1429" s="98" t="s">
        <v>244</v>
      </c>
      <c r="H1429" s="112" t="n">
        <f aca="false">IF(AND(AE1429="yes",ISNUMBER(AD1429)),AD1429,"")</f>
        <v>11.33</v>
      </c>
      <c r="I1429" s="95" t="n">
        <f aca="false">IF(AND(AE1429="yes",ISNUMBER(AD1429),ISNUMBER(INDEX(Sources!$G$7:$G$10,MATCH(AB1429,Sources!$B$7:$B$10,0)))),ROUND(AD1429/INDEX(Sources!$G$7:$G$10,MATCH(AB1429,Sources!$B$7:$B$10,0)),6),"")</f>
        <v>11.33</v>
      </c>
      <c r="J1429" s="98" t="s">
        <v>530</v>
      </c>
      <c r="K1429" s="98" t="s">
        <v>2059</v>
      </c>
      <c r="L1429" s="96"/>
      <c r="M1429" s="110" t="s">
        <v>4519</v>
      </c>
      <c r="N1429" s="117" t="s">
        <v>4520</v>
      </c>
      <c r="O1429" s="110" t="s">
        <v>317</v>
      </c>
      <c r="P1429" s="110" t="s">
        <v>590</v>
      </c>
      <c r="Q1429" s="118" t="n">
        <v>0.19</v>
      </c>
      <c r="R1429" s="110" t="n">
        <v>6</v>
      </c>
      <c r="S1429" s="110" t="s">
        <v>625</v>
      </c>
      <c r="T1429" s="110" t="s">
        <v>530</v>
      </c>
      <c r="U1429" s="110" t="s">
        <v>2913</v>
      </c>
      <c r="V1429" s="119" t="n">
        <v>11.33</v>
      </c>
      <c r="W1429" s="119"/>
      <c r="X1429" s="110" t="s">
        <v>2063</v>
      </c>
      <c r="Y1429" s="110" t="s">
        <v>2064</v>
      </c>
      <c r="Z1429" s="110" t="s">
        <v>4521</v>
      </c>
      <c r="AA1429" s="110" t="s">
        <v>537</v>
      </c>
      <c r="AB1429" s="110" t="s">
        <v>244</v>
      </c>
      <c r="AC1429" s="110" t="s">
        <v>538</v>
      </c>
      <c r="AD1429" s="110" t="n">
        <f aca="false">IF(OR(F1429="",Q1429="",R1429=""),"",ROUND(IF(P1429="incl.",F1429/(1+Q1429),F1429)/IF(S1429="per pack",R1429,1),2))</f>
        <v>11.33</v>
      </c>
      <c r="AE1429" s="110" t="str">
        <f aca="false">IF(AND(AC1429="yes",ISNUMBER(F1429),IF(Compare!$H$5="All mapped",TRUE(),IF(Compare!$H$5="EXACT only",J1429="EXACT",OR(J1429="EXACT",J1429="CLOSE")))),"yes","no")</f>
        <v>yes</v>
      </c>
      <c r="AF1429" s="110" t="n">
        <f aca="false">IF(ISNUMBER(H1429),COUNTIFS($B$7:$B$3000,B1429,$C$7:$C$3000,C1429,$H$7:$H$3000,"&lt;"&amp;H1429,$AH$7:$AH$3000,"yes")+COUNTIFS($B$7:B1429,B1429,$C$7:C1429,C1429,$H$7:H1429,H1429,$AH$7:AH1429,"yes"),"")</f>
        <v>2</v>
      </c>
      <c r="AG1429" s="110" t="n">
        <f aca="false">IF(ISNUMBER(I1429),COUNTIFS($B$7:$B$3000,B1429,$C$7:$C$3000,C1429,$I$7:$I$3000,"&lt;"&amp;I1429,$AI$7:$AI$3000,"yes")+COUNTIFS($B$7:B1429,B1429,$C$7:C1429,C1429,$I$7:I1429,I1429,$AI$7:AI1429,"yes"),"")</f>
        <v>2</v>
      </c>
      <c r="AH1429" s="110" t="str">
        <f aca="false">IF(ISNUMBER(H1429),"yes","no")</f>
        <v>yes</v>
      </c>
      <c r="AI1429" s="110" t="str">
        <f aca="false">IF(ISNUMBER(I1429),"yes","no")</f>
        <v>yes</v>
      </c>
      <c r="AJ1429" s="120" t="n">
        <v>46297</v>
      </c>
      <c r="AK1429" s="110"/>
    </row>
    <row r="1430" customFormat="false" ht="23.85" hidden="false" customHeight="false" outlineLevel="0" collapsed="false">
      <c r="B1430" s="36" t="s">
        <v>86</v>
      </c>
      <c r="C1430" s="98" t="s">
        <v>15</v>
      </c>
      <c r="D1430" s="98" t="s">
        <v>257</v>
      </c>
      <c r="E1430" s="110" t="s">
        <v>4522</v>
      </c>
      <c r="F1430" s="99" t="n">
        <v>17.5</v>
      </c>
      <c r="G1430" s="98" t="s">
        <v>244</v>
      </c>
      <c r="H1430" s="112" t="n">
        <f aca="false">IF(AND(AE1430="yes",ISNUMBER(AD1430)),AD1430,"")</f>
        <v>17.5</v>
      </c>
      <c r="I1430" s="95" t="n">
        <f aca="false">IF(AND(AE1430="yes",ISNUMBER(AD1430),ISNUMBER(INDEX(Sources!$G$7:$G$10,MATCH(AB1430,Sources!$B$7:$B$10,0)))),ROUND(AD1430/INDEX(Sources!$G$7:$G$10,MATCH(AB1430,Sources!$B$7:$B$10,0)),6),"")</f>
        <v>17.5</v>
      </c>
      <c r="J1430" s="98" t="s">
        <v>530</v>
      </c>
      <c r="K1430" s="98" t="s">
        <v>2059</v>
      </c>
      <c r="L1430" s="96"/>
      <c r="M1430" s="110" t="s">
        <v>4523</v>
      </c>
      <c r="N1430" s="117" t="s">
        <v>4524</v>
      </c>
      <c r="O1430" s="110" t="s">
        <v>2396</v>
      </c>
      <c r="P1430" s="110" t="s">
        <v>590</v>
      </c>
      <c r="Q1430" s="118" t="n">
        <v>0.2</v>
      </c>
      <c r="R1430" s="110" t="n">
        <v>1</v>
      </c>
      <c r="S1430" s="110" t="s">
        <v>632</v>
      </c>
      <c r="T1430" s="110" t="s">
        <v>530</v>
      </c>
      <c r="U1430" s="110" t="s">
        <v>2913</v>
      </c>
      <c r="V1430" s="119" t="n">
        <v>17.5</v>
      </c>
      <c r="W1430" s="119"/>
      <c r="X1430" s="110" t="s">
        <v>2063</v>
      </c>
      <c r="Y1430" s="110" t="s">
        <v>2064</v>
      </c>
      <c r="Z1430" s="110" t="s">
        <v>4341</v>
      </c>
      <c r="AA1430" s="110" t="s">
        <v>537</v>
      </c>
      <c r="AB1430" s="110" t="s">
        <v>244</v>
      </c>
      <c r="AC1430" s="110" t="s">
        <v>538</v>
      </c>
      <c r="AD1430" s="110" t="n">
        <f aca="false">IF(OR(F1430="",Q1430="",R1430=""),"",ROUND(IF(P1430="incl.",F1430/(1+Q1430),F1430)/IF(S1430="per pack",R1430,1),2))</f>
        <v>17.5</v>
      </c>
      <c r="AE1430" s="110" t="str">
        <f aca="false">IF(AND(AC1430="yes",ISNUMBER(F1430),IF(Compare!$H$5="All mapped",TRUE(),IF(Compare!$H$5="EXACT only",J1430="EXACT",OR(J1430="EXACT",J1430="CLOSE")))),"yes","no")</f>
        <v>yes</v>
      </c>
      <c r="AF1430" s="110" t="n">
        <f aca="false">IF(ISNUMBER(H1430),COUNTIFS($B$7:$B$3000,B1430,$C$7:$C$3000,C1430,$H$7:$H$3000,"&lt;"&amp;H1430,$AH$7:$AH$3000,"yes")+COUNTIFS($B$7:B1430,B1430,$C$7:C1430,C1430,$H$7:H1430,H1430,$AH$7:AH1430,"yes"),"")</f>
        <v>4</v>
      </c>
      <c r="AG1430" s="110" t="n">
        <f aca="false">IF(ISNUMBER(I1430),COUNTIFS($B$7:$B$3000,B1430,$C$7:$C$3000,C1430,$I$7:$I$3000,"&lt;"&amp;I1430,$AI$7:$AI$3000,"yes")+COUNTIFS($B$7:B1430,B1430,$C$7:C1430,C1430,$I$7:I1430,I1430,$AI$7:AI1430,"yes"),"")</f>
        <v>4</v>
      </c>
      <c r="AH1430" s="110" t="str">
        <f aca="false">IF(ISNUMBER(H1430),"yes","no")</f>
        <v>yes</v>
      </c>
      <c r="AI1430" s="110" t="str">
        <f aca="false">IF(ISNUMBER(I1430),"yes","no")</f>
        <v>yes</v>
      </c>
      <c r="AJ1430" s="120" t="n">
        <v>46297</v>
      </c>
      <c r="AK1430" s="110"/>
    </row>
    <row r="1431" customFormat="false" ht="35.05" hidden="false" customHeight="false" outlineLevel="0" collapsed="false">
      <c r="B1431" s="36" t="s">
        <v>86</v>
      </c>
      <c r="C1431" s="98" t="s">
        <v>15</v>
      </c>
      <c r="D1431" s="98" t="s">
        <v>269</v>
      </c>
      <c r="E1431" s="110" t="s">
        <v>4525</v>
      </c>
      <c r="F1431" s="99" t="n">
        <v>22.29</v>
      </c>
      <c r="G1431" s="98" t="s">
        <v>244</v>
      </c>
      <c r="H1431" s="112" t="n">
        <f aca="false">IF(AND(AE1431="yes",ISNUMBER(AD1431)),AD1431,"")</f>
        <v>22.29</v>
      </c>
      <c r="I1431" s="95" t="n">
        <f aca="false">IF(AND(AE1431="yes",ISNUMBER(AD1431),ISNUMBER(INDEX(Sources!$G$7:$G$10,MATCH(AB1431,Sources!$B$7:$B$10,0)))),ROUND(AD1431/INDEX(Sources!$G$7:$G$10,MATCH(AB1431,Sources!$B$7:$B$10,0)),6),"")</f>
        <v>22.29</v>
      </c>
      <c r="J1431" s="98" t="s">
        <v>530</v>
      </c>
      <c r="K1431" s="98" t="s">
        <v>2059</v>
      </c>
      <c r="L1431" s="96"/>
      <c r="M1431" s="110" t="s">
        <v>4526</v>
      </c>
      <c r="N1431" s="117" t="s">
        <v>4527</v>
      </c>
      <c r="O1431" s="110" t="s">
        <v>589</v>
      </c>
      <c r="P1431" s="110" t="s">
        <v>590</v>
      </c>
      <c r="Q1431" s="118" t="n">
        <v>0.19</v>
      </c>
      <c r="R1431" s="110" t="n">
        <v>1</v>
      </c>
      <c r="S1431" s="110" t="s">
        <v>632</v>
      </c>
      <c r="T1431" s="110" t="s">
        <v>530</v>
      </c>
      <c r="U1431" s="110" t="s">
        <v>2913</v>
      </c>
      <c r="V1431" s="119" t="n">
        <v>22.29</v>
      </c>
      <c r="W1431" s="119"/>
      <c r="X1431" s="110" t="s">
        <v>2063</v>
      </c>
      <c r="Y1431" s="110" t="s">
        <v>2064</v>
      </c>
      <c r="Z1431" s="110" t="s">
        <v>4345</v>
      </c>
      <c r="AA1431" s="110" t="s">
        <v>537</v>
      </c>
      <c r="AB1431" s="110" t="s">
        <v>244</v>
      </c>
      <c r="AC1431" s="110" t="s">
        <v>538</v>
      </c>
      <c r="AD1431" s="110" t="n">
        <f aca="false">IF(OR(F1431="",Q1431="",R1431=""),"",ROUND(IF(P1431="incl.",F1431/(1+Q1431),F1431)/IF(S1431="per pack",R1431,1),2))</f>
        <v>22.29</v>
      </c>
      <c r="AE1431" s="110" t="str">
        <f aca="false">IF(AND(AC1431="yes",ISNUMBER(F1431),IF(Compare!$H$5="All mapped",TRUE(),IF(Compare!$H$5="EXACT only",J1431="EXACT",OR(J1431="EXACT",J1431="CLOSE")))),"yes","no")</f>
        <v>yes</v>
      </c>
      <c r="AF1431" s="110" t="n">
        <f aca="false">IF(ISNUMBER(H1431),COUNTIFS($B$7:$B$3000,B1431,$C$7:$C$3000,C1431,$H$7:$H$3000,"&lt;"&amp;H1431,$AH$7:$AH$3000,"yes")+COUNTIFS($B$7:B1431,B1431,$C$7:C1431,C1431,$H$7:H1431,H1431,$AH$7:AH1431,"yes"),"")</f>
        <v>6</v>
      </c>
      <c r="AG1431" s="110" t="n">
        <f aca="false">IF(ISNUMBER(I1431),COUNTIFS($B$7:$B$3000,B1431,$C$7:$C$3000,C1431,$I$7:$I$3000,"&lt;"&amp;I1431,$AI$7:$AI$3000,"yes")+COUNTIFS($B$7:B1431,B1431,$C$7:C1431,C1431,$I$7:I1431,I1431,$AI$7:AI1431,"yes"),"")</f>
        <v>6</v>
      </c>
      <c r="AH1431" s="110" t="str">
        <f aca="false">IF(ISNUMBER(H1431),"yes","no")</f>
        <v>yes</v>
      </c>
      <c r="AI1431" s="110" t="str">
        <f aca="false">IF(ISNUMBER(I1431),"yes","no")</f>
        <v>yes</v>
      </c>
      <c r="AJ1431" s="120" t="n">
        <v>46297</v>
      </c>
      <c r="AK1431" s="110"/>
    </row>
    <row r="1432" customFormat="false" ht="35.05" hidden="false" customHeight="false" outlineLevel="0" collapsed="false">
      <c r="B1432" s="36" t="s">
        <v>86</v>
      </c>
      <c r="C1432" s="98" t="s">
        <v>15</v>
      </c>
      <c r="D1432" s="98" t="s">
        <v>264</v>
      </c>
      <c r="E1432" s="110" t="s">
        <v>4528</v>
      </c>
      <c r="F1432" s="99" t="n">
        <v>27.38</v>
      </c>
      <c r="G1432" s="98" t="s">
        <v>244</v>
      </c>
      <c r="H1432" s="112" t="n">
        <f aca="false">IF(AND(AE1432="yes",ISNUMBER(AD1432)),AD1432,"")</f>
        <v>27.38</v>
      </c>
      <c r="I1432" s="95" t="n">
        <f aca="false">IF(AND(AE1432="yes",ISNUMBER(AD1432),ISNUMBER(INDEX(Sources!$G$7:$G$10,MATCH(AB1432,Sources!$B$7:$B$10,0)))),ROUND(AD1432/INDEX(Sources!$G$7:$G$10,MATCH(AB1432,Sources!$B$7:$B$10,0)),6),"")</f>
        <v>27.38</v>
      </c>
      <c r="J1432" s="98" t="s">
        <v>530</v>
      </c>
      <c r="K1432" s="98" t="s">
        <v>2059</v>
      </c>
      <c r="L1432" s="96"/>
      <c r="M1432" s="110" t="s">
        <v>4529</v>
      </c>
      <c r="N1432" s="117" t="s">
        <v>4530</v>
      </c>
      <c r="O1432" s="110" t="s">
        <v>388</v>
      </c>
      <c r="P1432" s="110" t="s">
        <v>590</v>
      </c>
      <c r="Q1432" s="118" t="n">
        <v>0.19</v>
      </c>
      <c r="R1432" s="110" t="n">
        <v>1</v>
      </c>
      <c r="S1432" s="110" t="s">
        <v>632</v>
      </c>
      <c r="T1432" s="110" t="s">
        <v>530</v>
      </c>
      <c r="U1432" s="110" t="s">
        <v>2913</v>
      </c>
      <c r="V1432" s="119" t="n">
        <v>27.38</v>
      </c>
      <c r="W1432" s="119"/>
      <c r="X1432" s="110" t="s">
        <v>2063</v>
      </c>
      <c r="Y1432" s="110" t="s">
        <v>2064</v>
      </c>
      <c r="Z1432" s="110"/>
      <c r="AA1432" s="110" t="s">
        <v>537</v>
      </c>
      <c r="AB1432" s="110" t="s">
        <v>244</v>
      </c>
      <c r="AC1432" s="110" t="s">
        <v>538</v>
      </c>
      <c r="AD1432" s="110" t="n">
        <f aca="false">IF(OR(F1432="",Q1432="",R1432=""),"",ROUND(IF(P1432="incl.",F1432/(1+Q1432),F1432)/IF(S1432="per pack",R1432,1),2))</f>
        <v>27.38</v>
      </c>
      <c r="AE1432" s="110" t="str">
        <f aca="false">IF(AND(AC1432="yes",ISNUMBER(F1432),IF(Compare!$H$5="All mapped",TRUE(),IF(Compare!$H$5="EXACT only",J1432="EXACT",OR(J1432="EXACT",J1432="CLOSE")))),"yes","no")</f>
        <v>yes</v>
      </c>
      <c r="AF1432" s="110" t="n">
        <f aca="false">IF(ISNUMBER(H1432),COUNTIFS($B$7:$B$3000,B1432,$C$7:$C$3000,C1432,$H$7:$H$3000,"&lt;"&amp;H1432,$AH$7:$AH$3000,"yes")+COUNTIFS($B$7:B1432,B1432,$C$7:C1432,C1432,$H$7:H1432,H1432,$AH$7:AH1432,"yes"),"")</f>
        <v>7</v>
      </c>
      <c r="AG1432" s="110" t="n">
        <f aca="false">IF(ISNUMBER(I1432),COUNTIFS($B$7:$B$3000,B1432,$C$7:$C$3000,C1432,$I$7:$I$3000,"&lt;"&amp;I1432,$AI$7:$AI$3000,"yes")+COUNTIFS($B$7:B1432,B1432,$C$7:C1432,C1432,$I$7:I1432,I1432,$AI$7:AI1432,"yes"),"")</f>
        <v>7</v>
      </c>
      <c r="AH1432" s="110" t="str">
        <f aca="false">IF(ISNUMBER(H1432),"yes","no")</f>
        <v>yes</v>
      </c>
      <c r="AI1432" s="110" t="str">
        <f aca="false">IF(ISNUMBER(I1432),"yes","no")</f>
        <v>yes</v>
      </c>
      <c r="AJ1432" s="120" t="n">
        <v>46297</v>
      </c>
      <c r="AK1432" s="110"/>
    </row>
    <row r="1433" customFormat="false" ht="46.25" hidden="false" customHeight="false" outlineLevel="0" collapsed="false">
      <c r="B1433" s="36" t="s">
        <v>86</v>
      </c>
      <c r="C1433" s="98" t="s">
        <v>15</v>
      </c>
      <c r="D1433" s="98" t="s">
        <v>281</v>
      </c>
      <c r="E1433" s="110" t="s">
        <v>4531</v>
      </c>
      <c r="F1433" s="99" t="n">
        <v>13.4</v>
      </c>
      <c r="G1433" s="98" t="s">
        <v>244</v>
      </c>
      <c r="H1433" s="112" t="n">
        <f aca="false">IF(AND(AE1433="yes",ISNUMBER(AD1433)),AD1433,"")</f>
        <v>13.4</v>
      </c>
      <c r="I1433" s="95" t="n">
        <f aca="false">IF(AND(AE1433="yes",ISNUMBER(AD1433),ISNUMBER(INDEX(Sources!$G$7:$G$10,MATCH(AB1433,Sources!$B$7:$B$10,0)))),ROUND(AD1433/INDEX(Sources!$G$7:$G$10,MATCH(AB1433,Sources!$B$7:$B$10,0)),6),"")</f>
        <v>13.4</v>
      </c>
      <c r="J1433" s="98" t="s">
        <v>530</v>
      </c>
      <c r="K1433" s="98" t="s">
        <v>2059</v>
      </c>
      <c r="L1433" s="96"/>
      <c r="M1433" s="110" t="s">
        <v>4532</v>
      </c>
      <c r="N1433" s="117" t="s">
        <v>4533</v>
      </c>
      <c r="O1433" s="110" t="s">
        <v>603</v>
      </c>
      <c r="P1433" s="110" t="s">
        <v>590</v>
      </c>
      <c r="Q1433" s="118" t="n">
        <v>0.2</v>
      </c>
      <c r="R1433" s="110" t="n">
        <v>1</v>
      </c>
      <c r="S1433" s="110" t="s">
        <v>632</v>
      </c>
      <c r="T1433" s="110" t="s">
        <v>530</v>
      </c>
      <c r="U1433" s="110" t="s">
        <v>2913</v>
      </c>
      <c r="V1433" s="119" t="n">
        <v>13.4</v>
      </c>
      <c r="W1433" s="119"/>
      <c r="X1433" s="110" t="s">
        <v>2063</v>
      </c>
      <c r="Y1433" s="110" t="s">
        <v>2064</v>
      </c>
      <c r="Z1433" s="110" t="s">
        <v>2125</v>
      </c>
      <c r="AA1433" s="110" t="s">
        <v>537</v>
      </c>
      <c r="AB1433" s="110" t="s">
        <v>244</v>
      </c>
      <c r="AC1433" s="110" t="s">
        <v>538</v>
      </c>
      <c r="AD1433" s="110" t="n">
        <f aca="false">IF(OR(F1433="",Q1433="",R1433=""),"",ROUND(IF(P1433="incl.",F1433/(1+Q1433),F1433)/IF(S1433="per pack",R1433,1),2))</f>
        <v>13.4</v>
      </c>
      <c r="AE1433" s="110" t="str">
        <f aca="false">IF(AND(AC1433="yes",ISNUMBER(F1433),IF(Compare!$H$5="All mapped",TRUE(),IF(Compare!$H$5="EXACT only",J1433="EXACT",OR(J1433="EXACT",J1433="CLOSE")))),"yes","no")</f>
        <v>yes</v>
      </c>
      <c r="AF1433" s="110" t="n">
        <f aca="false">IF(ISNUMBER(H1433),COUNTIFS($B$7:$B$3000,B1433,$C$7:$C$3000,C1433,$H$7:$H$3000,"&lt;"&amp;H1433,$AH$7:$AH$3000,"yes")+COUNTIFS($B$7:B1433,B1433,$C$7:C1433,C1433,$H$7:H1433,H1433,$AH$7:AH1433,"yes"),"")</f>
        <v>3</v>
      </c>
      <c r="AG1433" s="110" t="n">
        <f aca="false">IF(ISNUMBER(I1433),COUNTIFS($B$7:$B$3000,B1433,$C$7:$C$3000,C1433,$I$7:$I$3000,"&lt;"&amp;I1433,$AI$7:$AI$3000,"yes")+COUNTIFS($B$7:B1433,B1433,$C$7:C1433,C1433,$I$7:I1433,I1433,$AI$7:AI1433,"yes"),"")</f>
        <v>3</v>
      </c>
      <c r="AH1433" s="110" t="str">
        <f aca="false">IF(ISNUMBER(H1433),"yes","no")</f>
        <v>yes</v>
      </c>
      <c r="AI1433" s="110" t="str">
        <f aca="false">IF(ISNUMBER(I1433),"yes","no")</f>
        <v>yes</v>
      </c>
      <c r="AJ1433" s="120" t="n">
        <v>46297</v>
      </c>
      <c r="AK1433" s="110"/>
    </row>
    <row r="1434" customFormat="false" ht="35.05" hidden="false" customHeight="false" outlineLevel="0" collapsed="false">
      <c r="B1434" s="36" t="s">
        <v>86</v>
      </c>
      <c r="C1434" s="98" t="s">
        <v>15</v>
      </c>
      <c r="D1434" s="98" t="s">
        <v>293</v>
      </c>
      <c r="E1434" s="110" t="s">
        <v>4534</v>
      </c>
      <c r="F1434" s="99" t="n">
        <v>11</v>
      </c>
      <c r="G1434" s="98" t="s">
        <v>244</v>
      </c>
      <c r="H1434" s="112" t="n">
        <f aca="false">IF(AND(AE1434="yes",ISNUMBER(AD1434)),AD1434,"")</f>
        <v>11</v>
      </c>
      <c r="I1434" s="95" t="n">
        <f aca="false">IF(AND(AE1434="yes",ISNUMBER(AD1434),ISNUMBER(INDEX(Sources!$G$7:$G$10,MATCH(AB1434,Sources!$B$7:$B$10,0)))),ROUND(AD1434/INDEX(Sources!$G$7:$G$10,MATCH(AB1434,Sources!$B$7:$B$10,0)),6),"")</f>
        <v>11</v>
      </c>
      <c r="J1434" s="98" t="s">
        <v>530</v>
      </c>
      <c r="K1434" s="98" t="s">
        <v>2059</v>
      </c>
      <c r="L1434" s="96"/>
      <c r="M1434" s="110" t="s">
        <v>4535</v>
      </c>
      <c r="N1434" s="117" t="s">
        <v>4536</v>
      </c>
      <c r="O1434" s="110" t="s">
        <v>4358</v>
      </c>
      <c r="P1434" s="110" t="s">
        <v>590</v>
      </c>
      <c r="Q1434" s="118" t="n">
        <v>0.2</v>
      </c>
      <c r="R1434" s="110" t="n">
        <v>1</v>
      </c>
      <c r="S1434" s="110" t="s">
        <v>632</v>
      </c>
      <c r="T1434" s="110" t="s">
        <v>530</v>
      </c>
      <c r="U1434" s="110" t="s">
        <v>2913</v>
      </c>
      <c r="V1434" s="119" t="n">
        <v>11</v>
      </c>
      <c r="W1434" s="119"/>
      <c r="X1434" s="110" t="s">
        <v>2063</v>
      </c>
      <c r="Y1434" s="110" t="s">
        <v>2064</v>
      </c>
      <c r="Z1434" s="110"/>
      <c r="AA1434" s="110" t="s">
        <v>537</v>
      </c>
      <c r="AB1434" s="110" t="s">
        <v>244</v>
      </c>
      <c r="AC1434" s="110" t="s">
        <v>538</v>
      </c>
      <c r="AD1434" s="110" t="n">
        <f aca="false">IF(OR(F1434="",Q1434="",R1434=""),"",ROUND(IF(P1434="incl.",F1434/(1+Q1434),F1434)/IF(S1434="per pack",R1434,1),2))</f>
        <v>11</v>
      </c>
      <c r="AE1434" s="110" t="str">
        <f aca="false">IF(AND(AC1434="yes",ISNUMBER(F1434),IF(Compare!$H$5="All mapped",TRUE(),IF(Compare!$H$5="EXACT only",J1434="EXACT",OR(J1434="EXACT",J1434="CLOSE")))),"yes","no")</f>
        <v>yes</v>
      </c>
      <c r="AF1434" s="110" t="n">
        <f aca="false">IF(ISNUMBER(H1434),COUNTIFS($B$7:$B$3000,B1434,$C$7:$C$3000,C1434,$H$7:$H$3000,"&lt;"&amp;H1434,$AH$7:$AH$3000,"yes")+COUNTIFS($B$7:B1434,B1434,$C$7:C1434,C1434,$H$7:H1434,H1434,$AH$7:AH1434,"yes"),"")</f>
        <v>1</v>
      </c>
      <c r="AG1434" s="110" t="n">
        <f aca="false">IF(ISNUMBER(I1434),COUNTIFS($B$7:$B$3000,B1434,$C$7:$C$3000,C1434,$I$7:$I$3000,"&lt;"&amp;I1434,$AI$7:$AI$3000,"yes")+COUNTIFS($B$7:B1434,B1434,$C$7:C1434,C1434,$I$7:I1434,I1434,$AI$7:AI1434,"yes"),"")</f>
        <v>1</v>
      </c>
      <c r="AH1434" s="110" t="str">
        <f aca="false">IF(ISNUMBER(H1434),"yes","no")</f>
        <v>yes</v>
      </c>
      <c r="AI1434" s="110" t="str">
        <f aca="false">IF(ISNUMBER(I1434),"yes","no")</f>
        <v>yes</v>
      </c>
      <c r="AJ1434" s="120" t="n">
        <v>46297</v>
      </c>
      <c r="AK1434" s="110"/>
    </row>
    <row r="1435" customFormat="false" ht="23.85" hidden="false" customHeight="false" outlineLevel="0" collapsed="false">
      <c r="B1435" s="36" t="s">
        <v>86</v>
      </c>
      <c r="C1435" s="98" t="s">
        <v>16</v>
      </c>
      <c r="D1435" s="98" t="s">
        <v>296</v>
      </c>
      <c r="E1435" s="110" t="s">
        <v>4515</v>
      </c>
      <c r="F1435" s="99" t="n">
        <v>22.19</v>
      </c>
      <c r="G1435" s="98" t="s">
        <v>244</v>
      </c>
      <c r="H1435" s="112" t="n">
        <f aca="false">IF(AND(AE1435="yes",ISNUMBER(AD1435)),AD1435,"")</f>
        <v>22.19</v>
      </c>
      <c r="I1435" s="95" t="n">
        <f aca="false">IF(AND(AE1435="yes",ISNUMBER(AD1435),ISNUMBER(INDEX(Sources!$G$7:$G$10,MATCH(AB1435,Sources!$B$7:$B$10,0)))),ROUND(AD1435/INDEX(Sources!$G$7:$G$10,MATCH(AB1435,Sources!$B$7:$B$10,0)),6),"")</f>
        <v>22.19</v>
      </c>
      <c r="J1435" s="98" t="s">
        <v>530</v>
      </c>
      <c r="K1435" s="98" t="s">
        <v>2059</v>
      </c>
      <c r="L1435" s="96"/>
      <c r="M1435" s="110" t="s">
        <v>4537</v>
      </c>
      <c r="N1435" s="117" t="s">
        <v>4538</v>
      </c>
      <c r="O1435" s="110" t="s">
        <v>388</v>
      </c>
      <c r="P1435" s="110" t="s">
        <v>590</v>
      </c>
      <c r="Q1435" s="118" t="n">
        <v>0.19</v>
      </c>
      <c r="R1435" s="110" t="n">
        <v>1</v>
      </c>
      <c r="S1435" s="110" t="s">
        <v>632</v>
      </c>
      <c r="T1435" s="110" t="s">
        <v>530</v>
      </c>
      <c r="U1435" s="110" t="s">
        <v>2913</v>
      </c>
      <c r="V1435" s="119" t="n">
        <v>22.19</v>
      </c>
      <c r="W1435" s="119"/>
      <c r="X1435" s="110" t="s">
        <v>2063</v>
      </c>
      <c r="Y1435" s="110" t="s">
        <v>2064</v>
      </c>
      <c r="Z1435" s="110" t="s">
        <v>2065</v>
      </c>
      <c r="AA1435" s="110" t="s">
        <v>537</v>
      </c>
      <c r="AB1435" s="110" t="s">
        <v>244</v>
      </c>
      <c r="AC1435" s="110" t="s">
        <v>538</v>
      </c>
      <c r="AD1435" s="110" t="n">
        <f aca="false">IF(OR(F1435="",Q1435="",R1435=""),"",ROUND(IF(P1435="incl.",F1435/(1+Q1435),F1435)/IF(S1435="per pack",R1435,1),2))</f>
        <v>22.19</v>
      </c>
      <c r="AE1435" s="110" t="str">
        <f aca="false">IF(AND(AC1435="yes",ISNUMBER(F1435),IF(Compare!$H$5="All mapped",TRUE(),IF(Compare!$H$5="EXACT only",J1435="EXACT",OR(J1435="EXACT",J1435="CLOSE")))),"yes","no")</f>
        <v>yes</v>
      </c>
      <c r="AF1435" s="110" t="n">
        <f aca="false">IF(ISNUMBER(H1435),COUNTIFS($B$7:$B$3000,B1435,$C$7:$C$3000,C1435,$H$7:$H$3000,"&lt;"&amp;H1435,$AH$7:$AH$3000,"yes")+COUNTIFS($B$7:B1435,B1435,$C$7:C1435,C1435,$H$7:H1435,H1435,$AH$7:AH1435,"yes"),"")</f>
        <v>6</v>
      </c>
      <c r="AG1435" s="110" t="n">
        <f aca="false">IF(ISNUMBER(I1435),COUNTIFS($B$7:$B$3000,B1435,$C$7:$C$3000,C1435,$I$7:$I$3000,"&lt;"&amp;I1435,$AI$7:$AI$3000,"yes")+COUNTIFS($B$7:B1435,B1435,$C$7:C1435,C1435,$I$7:I1435,I1435,$AI$7:AI1435,"yes"),"")</f>
        <v>6</v>
      </c>
      <c r="AH1435" s="110" t="str">
        <f aca="false">IF(ISNUMBER(H1435),"yes","no")</f>
        <v>yes</v>
      </c>
      <c r="AI1435" s="110" t="str">
        <f aca="false">IF(ISNUMBER(I1435),"yes","no")</f>
        <v>yes</v>
      </c>
      <c r="AJ1435" s="120" t="n">
        <v>46297</v>
      </c>
      <c r="AK1435" s="110"/>
    </row>
    <row r="1436" customFormat="false" ht="23.85" hidden="false" customHeight="false" outlineLevel="0" collapsed="false">
      <c r="B1436" s="36" t="s">
        <v>86</v>
      </c>
      <c r="C1436" s="98" t="s">
        <v>16</v>
      </c>
      <c r="D1436" s="98" t="s">
        <v>305</v>
      </c>
      <c r="E1436" s="110" t="s">
        <v>4539</v>
      </c>
      <c r="F1436" s="99" t="n">
        <v>11.58</v>
      </c>
      <c r="G1436" s="98" t="s">
        <v>244</v>
      </c>
      <c r="H1436" s="112" t="n">
        <f aca="false">IF(AND(AE1436="yes",ISNUMBER(AD1436)),AD1436,"")</f>
        <v>11.58</v>
      </c>
      <c r="I1436" s="95" t="n">
        <f aca="false">IF(AND(AE1436="yes",ISNUMBER(AD1436),ISNUMBER(INDEX(Sources!$G$7:$G$10,MATCH(AB1436,Sources!$B$7:$B$10,0)))),ROUND(AD1436/INDEX(Sources!$G$7:$G$10,MATCH(AB1436,Sources!$B$7:$B$10,0)),6),"")</f>
        <v>11.58</v>
      </c>
      <c r="J1436" s="98" t="s">
        <v>530</v>
      </c>
      <c r="K1436" s="98" t="s">
        <v>2059</v>
      </c>
      <c r="L1436" s="96"/>
      <c r="M1436" s="110" t="s">
        <v>4540</v>
      </c>
      <c r="N1436" s="117" t="s">
        <v>4541</v>
      </c>
      <c r="O1436" s="110" t="s">
        <v>603</v>
      </c>
      <c r="P1436" s="110" t="s">
        <v>590</v>
      </c>
      <c r="Q1436" s="118" t="n">
        <v>0.19</v>
      </c>
      <c r="R1436" s="110" t="n">
        <v>1</v>
      </c>
      <c r="S1436" s="110" t="s">
        <v>632</v>
      </c>
      <c r="T1436" s="110" t="s">
        <v>530</v>
      </c>
      <c r="U1436" s="110" t="s">
        <v>2913</v>
      </c>
      <c r="V1436" s="119" t="n">
        <v>11.58</v>
      </c>
      <c r="W1436" s="119"/>
      <c r="X1436" s="110" t="s">
        <v>2063</v>
      </c>
      <c r="Y1436" s="110" t="s">
        <v>2064</v>
      </c>
      <c r="Z1436" s="110" t="s">
        <v>2142</v>
      </c>
      <c r="AA1436" s="110" t="s">
        <v>537</v>
      </c>
      <c r="AB1436" s="110" t="s">
        <v>244</v>
      </c>
      <c r="AC1436" s="110" t="s">
        <v>538</v>
      </c>
      <c r="AD1436" s="110" t="n">
        <f aca="false">IF(OR(F1436="",Q1436="",R1436=""),"",ROUND(IF(P1436="incl.",F1436/(1+Q1436),F1436)/IF(S1436="per pack",R1436,1),2))</f>
        <v>11.58</v>
      </c>
      <c r="AE1436" s="110" t="str">
        <f aca="false">IF(AND(AC1436="yes",ISNUMBER(F1436),IF(Compare!$H$5="All mapped",TRUE(),IF(Compare!$H$5="EXACT only",J1436="EXACT",OR(J1436="EXACT",J1436="CLOSE")))),"yes","no")</f>
        <v>yes</v>
      </c>
      <c r="AF1436" s="110" t="n">
        <f aca="false">IF(ISNUMBER(H1436),COUNTIFS($B$7:$B$3000,B1436,$C$7:$C$3000,C1436,$H$7:$H$3000,"&lt;"&amp;H1436,$AH$7:$AH$3000,"yes")+COUNTIFS($B$7:B1436,B1436,$C$7:C1436,C1436,$H$7:H1436,H1436,$AH$7:AH1436,"yes"),"")</f>
        <v>1</v>
      </c>
      <c r="AG1436" s="110" t="n">
        <f aca="false">IF(ISNUMBER(I1436),COUNTIFS($B$7:$B$3000,B1436,$C$7:$C$3000,C1436,$I$7:$I$3000,"&lt;"&amp;I1436,$AI$7:$AI$3000,"yes")+COUNTIFS($B$7:B1436,B1436,$C$7:C1436,C1436,$I$7:I1436,I1436,$AI$7:AI1436,"yes"),"")</f>
        <v>1</v>
      </c>
      <c r="AH1436" s="110" t="str">
        <f aca="false">IF(ISNUMBER(H1436),"yes","no")</f>
        <v>yes</v>
      </c>
      <c r="AI1436" s="110" t="str">
        <f aca="false">IF(ISNUMBER(I1436),"yes","no")</f>
        <v>yes</v>
      </c>
      <c r="AJ1436" s="120" t="n">
        <v>46297</v>
      </c>
      <c r="AK1436" s="110"/>
    </row>
    <row r="1437" customFormat="false" ht="23.85" hidden="false" customHeight="false" outlineLevel="0" collapsed="false">
      <c r="B1437" s="36" t="s">
        <v>86</v>
      </c>
      <c r="C1437" s="98" t="s">
        <v>16</v>
      </c>
      <c r="D1437" s="98" t="s">
        <v>311</v>
      </c>
      <c r="E1437" s="110" t="s">
        <v>4525</v>
      </c>
      <c r="F1437" s="99" t="n">
        <v>15.79</v>
      </c>
      <c r="G1437" s="98" t="s">
        <v>244</v>
      </c>
      <c r="H1437" s="112" t="n">
        <f aca="false">IF(AND(AE1437="yes",ISNUMBER(AD1437)),AD1437,"")</f>
        <v>15.79</v>
      </c>
      <c r="I1437" s="95" t="n">
        <f aca="false">IF(AND(AE1437="yes",ISNUMBER(AD1437),ISNUMBER(INDEX(Sources!$G$7:$G$10,MATCH(AB1437,Sources!$B$7:$B$10,0)))),ROUND(AD1437/INDEX(Sources!$G$7:$G$10,MATCH(AB1437,Sources!$B$7:$B$10,0)),6),"")</f>
        <v>15.79</v>
      </c>
      <c r="J1437" s="98" t="s">
        <v>530</v>
      </c>
      <c r="K1437" s="98" t="s">
        <v>2059</v>
      </c>
      <c r="L1437" s="96"/>
      <c r="M1437" s="110" t="s">
        <v>4542</v>
      </c>
      <c r="N1437" s="117" t="s">
        <v>4543</v>
      </c>
      <c r="O1437" s="110" t="s">
        <v>589</v>
      </c>
      <c r="P1437" s="110" t="s">
        <v>590</v>
      </c>
      <c r="Q1437" s="118" t="n">
        <v>0.19</v>
      </c>
      <c r="R1437" s="110" t="n">
        <v>1</v>
      </c>
      <c r="S1437" s="110" t="s">
        <v>632</v>
      </c>
      <c r="T1437" s="110" t="s">
        <v>530</v>
      </c>
      <c r="U1437" s="110" t="s">
        <v>2913</v>
      </c>
      <c r="V1437" s="119" t="n">
        <v>15.79</v>
      </c>
      <c r="W1437" s="119"/>
      <c r="X1437" s="110" t="s">
        <v>2063</v>
      </c>
      <c r="Y1437" s="110" t="s">
        <v>2064</v>
      </c>
      <c r="Z1437" s="110" t="s">
        <v>4369</v>
      </c>
      <c r="AA1437" s="110" t="s">
        <v>537</v>
      </c>
      <c r="AB1437" s="110" t="s">
        <v>244</v>
      </c>
      <c r="AC1437" s="110" t="s">
        <v>538</v>
      </c>
      <c r="AD1437" s="110" t="n">
        <f aca="false">IF(OR(F1437="",Q1437="",R1437=""),"",ROUND(IF(P1437="incl.",F1437/(1+Q1437),F1437)/IF(S1437="per pack",R1437,1),2))</f>
        <v>15.79</v>
      </c>
      <c r="AE1437" s="110" t="str">
        <f aca="false">IF(AND(AC1437="yes",ISNUMBER(F1437),IF(Compare!$H$5="All mapped",TRUE(),IF(Compare!$H$5="EXACT only",J1437="EXACT",OR(J1437="EXACT",J1437="CLOSE")))),"yes","no")</f>
        <v>yes</v>
      </c>
      <c r="AF1437" s="110" t="n">
        <f aca="false">IF(ISNUMBER(H1437),COUNTIFS($B$7:$B$3000,B1437,$C$7:$C$3000,C1437,$H$7:$H$3000,"&lt;"&amp;H1437,$AH$7:$AH$3000,"yes")+COUNTIFS($B$7:B1437,B1437,$C$7:C1437,C1437,$H$7:H1437,H1437,$AH$7:AH1437,"yes"),"")</f>
        <v>4</v>
      </c>
      <c r="AG1437" s="110" t="n">
        <f aca="false">IF(ISNUMBER(I1437),COUNTIFS($B$7:$B$3000,B1437,$C$7:$C$3000,C1437,$I$7:$I$3000,"&lt;"&amp;I1437,$AI$7:$AI$3000,"yes")+COUNTIFS($B$7:B1437,B1437,$C$7:C1437,C1437,$I$7:I1437,I1437,$AI$7:AI1437,"yes"),"")</f>
        <v>4</v>
      </c>
      <c r="AH1437" s="110" t="str">
        <f aca="false">IF(ISNUMBER(H1437),"yes","no")</f>
        <v>yes</v>
      </c>
      <c r="AI1437" s="110" t="str">
        <f aca="false">IF(ISNUMBER(I1437),"yes","no")</f>
        <v>yes</v>
      </c>
      <c r="AJ1437" s="120" t="n">
        <v>46297</v>
      </c>
      <c r="AK1437" s="110"/>
    </row>
    <row r="1438" customFormat="false" ht="23.85" hidden="false" customHeight="false" outlineLevel="0" collapsed="false">
      <c r="B1438" s="36" t="s">
        <v>86</v>
      </c>
      <c r="C1438" s="98" t="s">
        <v>16</v>
      </c>
      <c r="D1438" s="98" t="s">
        <v>309</v>
      </c>
      <c r="E1438" s="110" t="s">
        <v>4544</v>
      </c>
      <c r="F1438" s="99" t="n">
        <v>36</v>
      </c>
      <c r="G1438" s="98" t="s">
        <v>244</v>
      </c>
      <c r="H1438" s="112" t="n">
        <f aca="false">IF(AND(AE1438="yes",ISNUMBER(AD1438)),AD1438,"")</f>
        <v>36</v>
      </c>
      <c r="I1438" s="95" t="n">
        <f aca="false">IF(AND(AE1438="yes",ISNUMBER(AD1438),ISNUMBER(INDEX(Sources!$G$7:$G$10,MATCH(AB1438,Sources!$B$7:$B$10,0)))),ROUND(AD1438/INDEX(Sources!$G$7:$G$10,MATCH(AB1438,Sources!$B$7:$B$10,0)),6),"")</f>
        <v>36</v>
      </c>
      <c r="J1438" s="98" t="s">
        <v>530</v>
      </c>
      <c r="K1438" s="98" t="s">
        <v>2059</v>
      </c>
      <c r="L1438" s="96"/>
      <c r="M1438" s="110" t="s">
        <v>4545</v>
      </c>
      <c r="N1438" s="117" t="s">
        <v>4546</v>
      </c>
      <c r="O1438" s="110" t="s">
        <v>603</v>
      </c>
      <c r="P1438" s="110" t="s">
        <v>590</v>
      </c>
      <c r="Q1438" s="118" t="n">
        <v>0.19</v>
      </c>
      <c r="R1438" s="110" t="n">
        <v>1</v>
      </c>
      <c r="S1438" s="110" t="s">
        <v>632</v>
      </c>
      <c r="T1438" s="110" t="s">
        <v>530</v>
      </c>
      <c r="U1438" s="110" t="s">
        <v>2913</v>
      </c>
      <c r="V1438" s="119" t="n">
        <v>36</v>
      </c>
      <c r="W1438" s="119"/>
      <c r="X1438" s="110" t="s">
        <v>2063</v>
      </c>
      <c r="Y1438" s="110" t="s">
        <v>2064</v>
      </c>
      <c r="Z1438" s="110" t="s">
        <v>4373</v>
      </c>
      <c r="AA1438" s="110" t="s">
        <v>537</v>
      </c>
      <c r="AB1438" s="110" t="s">
        <v>244</v>
      </c>
      <c r="AC1438" s="110" t="s">
        <v>538</v>
      </c>
      <c r="AD1438" s="110" t="n">
        <f aca="false">IF(OR(F1438="",Q1438="",R1438=""),"",ROUND(IF(P1438="incl.",F1438/(1+Q1438),F1438)/IF(S1438="per pack",R1438,1),2))</f>
        <v>36</v>
      </c>
      <c r="AE1438" s="110" t="str">
        <f aca="false">IF(AND(AC1438="yes",ISNUMBER(F1438),IF(Compare!$H$5="All mapped",TRUE(),IF(Compare!$H$5="EXACT only",J1438="EXACT",OR(J1438="EXACT",J1438="CLOSE")))),"yes","no")</f>
        <v>yes</v>
      </c>
      <c r="AF1438" s="110" t="n">
        <f aca="false">IF(ISNUMBER(H1438),COUNTIFS($B$7:$B$3000,B1438,$C$7:$C$3000,C1438,$H$7:$H$3000,"&lt;"&amp;H1438,$AH$7:$AH$3000,"yes")+COUNTIFS($B$7:B1438,B1438,$C$7:C1438,C1438,$H$7:H1438,H1438,$AH$7:AH1438,"yes"),"")</f>
        <v>7</v>
      </c>
      <c r="AG1438" s="110" t="n">
        <f aca="false">IF(ISNUMBER(I1438),COUNTIFS($B$7:$B$3000,B1438,$C$7:$C$3000,C1438,$I$7:$I$3000,"&lt;"&amp;I1438,$AI$7:$AI$3000,"yes")+COUNTIFS($B$7:B1438,B1438,$C$7:C1438,C1438,$I$7:I1438,I1438,$AI$7:AI1438,"yes"),"")</f>
        <v>7</v>
      </c>
      <c r="AH1438" s="110" t="str">
        <f aca="false">IF(ISNUMBER(H1438),"yes","no")</f>
        <v>yes</v>
      </c>
      <c r="AI1438" s="110" t="str">
        <f aca="false">IF(ISNUMBER(I1438),"yes","no")</f>
        <v>yes</v>
      </c>
      <c r="AJ1438" s="120" t="n">
        <v>46297</v>
      </c>
      <c r="AK1438" s="110"/>
    </row>
    <row r="1439" customFormat="false" ht="35.05" hidden="false" customHeight="false" outlineLevel="0" collapsed="false">
      <c r="B1439" s="36" t="s">
        <v>86</v>
      </c>
      <c r="C1439" s="98" t="s">
        <v>16</v>
      </c>
      <c r="D1439" s="98" t="s">
        <v>313</v>
      </c>
      <c r="E1439" s="110" t="s">
        <v>4547</v>
      </c>
      <c r="F1439" s="99" t="n">
        <v>19.29</v>
      </c>
      <c r="G1439" s="98" t="s">
        <v>244</v>
      </c>
      <c r="H1439" s="112" t="n">
        <f aca="false">IF(AND(AE1439="yes",ISNUMBER(AD1439)),AD1439,"")</f>
        <v>16.21</v>
      </c>
      <c r="I1439" s="95" t="n">
        <f aca="false">IF(AND(AE1439="yes",ISNUMBER(AD1439),ISNUMBER(INDEX(Sources!$G$7:$G$10,MATCH(AB1439,Sources!$B$7:$B$10,0)))),ROUND(AD1439/INDEX(Sources!$G$7:$G$10,MATCH(AB1439,Sources!$B$7:$B$10,0)),6),"")</f>
        <v>16.21</v>
      </c>
      <c r="J1439" s="98" t="s">
        <v>702</v>
      </c>
      <c r="K1439" s="98" t="s">
        <v>2059</v>
      </c>
      <c r="L1439" s="96"/>
      <c r="M1439" s="110" t="s">
        <v>4548</v>
      </c>
      <c r="N1439" s="117" t="s">
        <v>4549</v>
      </c>
      <c r="O1439" s="110" t="s">
        <v>642</v>
      </c>
      <c r="P1439" s="110" t="s">
        <v>265</v>
      </c>
      <c r="Q1439" s="118" t="n">
        <v>0.19</v>
      </c>
      <c r="R1439" s="110" t="n">
        <v>1</v>
      </c>
      <c r="S1439" s="110" t="s">
        <v>632</v>
      </c>
      <c r="T1439" s="110" t="s">
        <v>702</v>
      </c>
      <c r="U1439" s="110" t="s">
        <v>2918</v>
      </c>
      <c r="V1439" s="119" t="n">
        <v>16.21</v>
      </c>
      <c r="W1439" s="119"/>
      <c r="X1439" s="110" t="s">
        <v>2063</v>
      </c>
      <c r="Y1439" s="110" t="s">
        <v>2064</v>
      </c>
      <c r="Z1439" s="110" t="s">
        <v>4376</v>
      </c>
      <c r="AA1439" s="110" t="s">
        <v>537</v>
      </c>
      <c r="AB1439" s="110" t="s">
        <v>244</v>
      </c>
      <c r="AC1439" s="110" t="s">
        <v>538</v>
      </c>
      <c r="AD1439" s="110" t="n">
        <f aca="false">IF(OR(F1439="",Q1439="",R1439=""),"",ROUND(IF(P1439="incl.",F1439/(1+Q1439),F1439)/IF(S1439="per pack",R1439,1),2))</f>
        <v>16.21</v>
      </c>
      <c r="AE1439" s="110" t="str">
        <f aca="false">IF(AND(AC1439="yes",ISNUMBER(F1439),IF(Compare!$H$5="All mapped",TRUE(),IF(Compare!$H$5="EXACT only",J1439="EXACT",OR(J1439="EXACT",J1439="CLOSE")))),"yes","no")</f>
        <v>yes</v>
      </c>
      <c r="AF1439" s="110" t="n">
        <f aca="false">IF(ISNUMBER(H1439),COUNTIFS($B$7:$B$3000,B1439,$C$7:$C$3000,C1439,$H$7:$H$3000,"&lt;"&amp;H1439,$AH$7:$AH$3000,"yes")+COUNTIFS($B$7:B1439,B1439,$C$7:C1439,C1439,$H$7:H1439,H1439,$AH$7:AH1439,"yes"),"")</f>
        <v>5</v>
      </c>
      <c r="AG1439" s="110" t="n">
        <f aca="false">IF(ISNUMBER(I1439),COUNTIFS($B$7:$B$3000,B1439,$C$7:$C$3000,C1439,$I$7:$I$3000,"&lt;"&amp;I1439,$AI$7:$AI$3000,"yes")+COUNTIFS($B$7:B1439,B1439,$C$7:C1439,C1439,$I$7:I1439,I1439,$AI$7:AI1439,"yes"),"")</f>
        <v>5</v>
      </c>
      <c r="AH1439" s="110" t="str">
        <f aca="false">IF(ISNUMBER(H1439),"yes","no")</f>
        <v>yes</v>
      </c>
      <c r="AI1439" s="110" t="str">
        <f aca="false">IF(ISNUMBER(I1439),"yes","no")</f>
        <v>yes</v>
      </c>
      <c r="AJ1439" s="120" t="n">
        <v>46297</v>
      </c>
      <c r="AK1439" s="110"/>
    </row>
    <row r="1440" customFormat="false" ht="35.05" hidden="false" customHeight="false" outlineLevel="0" collapsed="false">
      <c r="B1440" s="36" t="s">
        <v>86</v>
      </c>
      <c r="C1440" s="98" t="s">
        <v>16</v>
      </c>
      <c r="D1440" s="98" t="s">
        <v>321</v>
      </c>
      <c r="E1440" s="110" t="s">
        <v>4550</v>
      </c>
      <c r="F1440" s="99" t="n">
        <v>13</v>
      </c>
      <c r="G1440" s="98" t="s">
        <v>244</v>
      </c>
      <c r="H1440" s="112" t="n">
        <f aca="false">IF(AND(AE1440="yes",ISNUMBER(AD1440)),AD1440,"")</f>
        <v>13</v>
      </c>
      <c r="I1440" s="95" t="n">
        <f aca="false">IF(AND(AE1440="yes",ISNUMBER(AD1440),ISNUMBER(INDEX(Sources!$G$7:$G$10,MATCH(AB1440,Sources!$B$7:$B$10,0)))),ROUND(AD1440/INDEX(Sources!$G$7:$G$10,MATCH(AB1440,Sources!$B$7:$B$10,0)),6),"")</f>
        <v>13</v>
      </c>
      <c r="J1440" s="98" t="s">
        <v>530</v>
      </c>
      <c r="K1440" s="98" t="s">
        <v>2059</v>
      </c>
      <c r="L1440" s="96"/>
      <c r="M1440" s="110" t="s">
        <v>4551</v>
      </c>
      <c r="N1440" s="117" t="s">
        <v>4552</v>
      </c>
      <c r="O1440" s="110" t="s">
        <v>662</v>
      </c>
      <c r="P1440" s="110" t="s">
        <v>590</v>
      </c>
      <c r="Q1440" s="118" t="n">
        <v>0.19</v>
      </c>
      <c r="R1440" s="110" t="n">
        <v>1</v>
      </c>
      <c r="S1440" s="110" t="s">
        <v>632</v>
      </c>
      <c r="T1440" s="110" t="s">
        <v>530</v>
      </c>
      <c r="U1440" s="110" t="s">
        <v>2913</v>
      </c>
      <c r="V1440" s="119" t="n">
        <v>13</v>
      </c>
      <c r="W1440" s="119"/>
      <c r="X1440" s="110" t="s">
        <v>2063</v>
      </c>
      <c r="Y1440" s="110" t="s">
        <v>2064</v>
      </c>
      <c r="Z1440" s="110" t="s">
        <v>2857</v>
      </c>
      <c r="AA1440" s="110" t="s">
        <v>537</v>
      </c>
      <c r="AB1440" s="110" t="s">
        <v>244</v>
      </c>
      <c r="AC1440" s="110" t="s">
        <v>538</v>
      </c>
      <c r="AD1440" s="110" t="n">
        <f aca="false">IF(OR(F1440="",Q1440="",R1440=""),"",ROUND(IF(P1440="incl.",F1440/(1+Q1440),F1440)/IF(S1440="per pack",R1440,1),2))</f>
        <v>13</v>
      </c>
      <c r="AE1440" s="110" t="str">
        <f aca="false">IF(AND(AC1440="yes",ISNUMBER(F1440),IF(Compare!$H$5="All mapped",TRUE(),IF(Compare!$H$5="EXACT only",J1440="EXACT",OR(J1440="EXACT",J1440="CLOSE")))),"yes","no")</f>
        <v>yes</v>
      </c>
      <c r="AF1440" s="110" t="n">
        <f aca="false">IF(ISNUMBER(H1440),COUNTIFS($B$7:$B$3000,B1440,$C$7:$C$3000,C1440,$H$7:$H$3000,"&lt;"&amp;H1440,$AH$7:$AH$3000,"yes")+COUNTIFS($B$7:B1440,B1440,$C$7:C1440,C1440,$H$7:H1440,H1440,$AH$7:AH1440,"yes"),"")</f>
        <v>3</v>
      </c>
      <c r="AG1440" s="110" t="n">
        <f aca="false">IF(ISNUMBER(I1440),COUNTIFS($B$7:$B$3000,B1440,$C$7:$C$3000,C1440,$I$7:$I$3000,"&lt;"&amp;I1440,$AI$7:$AI$3000,"yes")+COUNTIFS($B$7:B1440,B1440,$C$7:C1440,C1440,$I$7:I1440,I1440,$AI$7:AI1440,"yes"),"")</f>
        <v>3</v>
      </c>
      <c r="AH1440" s="110" t="str">
        <f aca="false">IF(ISNUMBER(H1440),"yes","no")</f>
        <v>yes</v>
      </c>
      <c r="AI1440" s="110" t="str">
        <f aca="false">IF(ISNUMBER(I1440),"yes","no")</f>
        <v>yes</v>
      </c>
      <c r="AJ1440" s="120" t="n">
        <v>46297</v>
      </c>
      <c r="AK1440" s="110"/>
    </row>
    <row r="1441" customFormat="false" ht="35.05" hidden="false" customHeight="false" outlineLevel="0" collapsed="false">
      <c r="B1441" s="36" t="s">
        <v>86</v>
      </c>
      <c r="C1441" s="98" t="s">
        <v>16</v>
      </c>
      <c r="D1441" s="98" t="s">
        <v>329</v>
      </c>
      <c r="E1441" s="110" t="s">
        <v>4553</v>
      </c>
      <c r="F1441" s="99" t="n">
        <v>11.99</v>
      </c>
      <c r="G1441" s="98" t="s">
        <v>244</v>
      </c>
      <c r="H1441" s="112" t="n">
        <f aca="false">IF(AND(AE1441="yes",ISNUMBER(AD1441)),AD1441,"")</f>
        <v>11.99</v>
      </c>
      <c r="I1441" s="95" t="n">
        <f aca="false">IF(AND(AE1441="yes",ISNUMBER(AD1441),ISNUMBER(INDEX(Sources!$G$7:$G$10,MATCH(AB1441,Sources!$B$7:$B$10,0)))),ROUND(AD1441/INDEX(Sources!$G$7:$G$10,MATCH(AB1441,Sources!$B$7:$B$10,0)),6),"")</f>
        <v>11.99</v>
      </c>
      <c r="J1441" s="98" t="s">
        <v>530</v>
      </c>
      <c r="K1441" s="98" t="s">
        <v>2059</v>
      </c>
      <c r="L1441" s="96"/>
      <c r="M1441" s="110" t="s">
        <v>4554</v>
      </c>
      <c r="N1441" s="117" t="s">
        <v>4555</v>
      </c>
      <c r="O1441" s="110" t="s">
        <v>817</v>
      </c>
      <c r="P1441" s="110" t="s">
        <v>590</v>
      </c>
      <c r="Q1441" s="118" t="n">
        <v>0.19</v>
      </c>
      <c r="R1441" s="110" t="n">
        <v>1</v>
      </c>
      <c r="S1441" s="110" t="s">
        <v>632</v>
      </c>
      <c r="T1441" s="110" t="s">
        <v>530</v>
      </c>
      <c r="U1441" s="110" t="s">
        <v>2913</v>
      </c>
      <c r="V1441" s="119" t="n">
        <v>11.99</v>
      </c>
      <c r="W1441" s="119"/>
      <c r="X1441" s="110" t="s">
        <v>2063</v>
      </c>
      <c r="Y1441" s="110" t="s">
        <v>2064</v>
      </c>
      <c r="Z1441" s="110" t="s">
        <v>2624</v>
      </c>
      <c r="AA1441" s="110" t="s">
        <v>537</v>
      </c>
      <c r="AB1441" s="110" t="s">
        <v>244</v>
      </c>
      <c r="AC1441" s="110" t="s">
        <v>538</v>
      </c>
      <c r="AD1441" s="110" t="n">
        <f aca="false">IF(OR(F1441="",Q1441="",R1441=""),"",ROUND(IF(P1441="incl.",F1441/(1+Q1441),F1441)/IF(S1441="per pack",R1441,1),2))</f>
        <v>11.99</v>
      </c>
      <c r="AE1441" s="110" t="str">
        <f aca="false">IF(AND(AC1441="yes",ISNUMBER(F1441),IF(Compare!$H$5="All mapped",TRUE(),IF(Compare!$H$5="EXACT only",J1441="EXACT",OR(J1441="EXACT",J1441="CLOSE")))),"yes","no")</f>
        <v>yes</v>
      </c>
      <c r="AF1441" s="110" t="n">
        <f aca="false">IF(ISNUMBER(H1441),COUNTIFS($B$7:$B$3000,B1441,$C$7:$C$3000,C1441,$H$7:$H$3000,"&lt;"&amp;H1441,$AH$7:$AH$3000,"yes")+COUNTIFS($B$7:B1441,B1441,$C$7:C1441,C1441,$H$7:H1441,H1441,$AH$7:AH1441,"yes"),"")</f>
        <v>2</v>
      </c>
      <c r="AG1441" s="110" t="n">
        <f aca="false">IF(ISNUMBER(I1441),COUNTIFS($B$7:$B$3000,B1441,$C$7:$C$3000,C1441,$I$7:$I$3000,"&lt;"&amp;I1441,$AI$7:$AI$3000,"yes")+COUNTIFS($B$7:B1441,B1441,$C$7:C1441,C1441,$I$7:I1441,I1441,$AI$7:AI1441,"yes"),"")</f>
        <v>2</v>
      </c>
      <c r="AH1441" s="110" t="str">
        <f aca="false">IF(ISNUMBER(H1441),"yes","no")</f>
        <v>yes</v>
      </c>
      <c r="AI1441" s="110" t="str">
        <f aca="false">IF(ISNUMBER(I1441),"yes","no")</f>
        <v>yes</v>
      </c>
      <c r="AJ1441" s="120" t="n">
        <v>46297</v>
      </c>
      <c r="AK1441" s="110"/>
    </row>
    <row r="1442" customFormat="false" ht="35.05" hidden="false" customHeight="false" outlineLevel="0" collapsed="false">
      <c r="B1442" s="36" t="s">
        <v>86</v>
      </c>
      <c r="C1442" s="98" t="s">
        <v>17</v>
      </c>
      <c r="D1442" s="98" t="s">
        <v>338</v>
      </c>
      <c r="E1442" s="110" t="s">
        <v>4556</v>
      </c>
      <c r="F1442" s="99" t="n">
        <v>532</v>
      </c>
      <c r="G1442" s="98" t="s">
        <v>333</v>
      </c>
      <c r="H1442" s="112" t="n">
        <f aca="false">IF(AND(AE1442="yes",ISNUMBER(AD1442)),AD1442,"")</f>
        <v>439.67</v>
      </c>
      <c r="I1442" s="95" t="n">
        <f aca="false">IF(AND(AE1442="yes",ISNUMBER(AD1442),ISNUMBER(INDEX(Sources!$G$7:$G$10,MATCH(AB1442,Sources!$B$7:$B$10,0)))),ROUND(AD1442/INDEX(Sources!$G$7:$G$10,MATCH(AB1442,Sources!$B$7:$B$10,0)),6),"")</f>
        <v>18.001839</v>
      </c>
      <c r="J1442" s="98" t="s">
        <v>530</v>
      </c>
      <c r="K1442" s="98" t="s">
        <v>2059</v>
      </c>
      <c r="L1442" s="96"/>
      <c r="M1442" s="110" t="s">
        <v>4557</v>
      </c>
      <c r="N1442" s="117" t="s">
        <v>4558</v>
      </c>
      <c r="O1442" s="110" t="s">
        <v>388</v>
      </c>
      <c r="P1442" s="110" t="s">
        <v>265</v>
      </c>
      <c r="Q1442" s="118" t="n">
        <v>0.21</v>
      </c>
      <c r="R1442" s="110" t="n">
        <v>1</v>
      </c>
      <c r="S1442" s="110" t="s">
        <v>632</v>
      </c>
      <c r="T1442" s="110" t="s">
        <v>530</v>
      </c>
      <c r="U1442" s="110" t="s">
        <v>2918</v>
      </c>
      <c r="V1442" s="119" t="n">
        <v>439.67</v>
      </c>
      <c r="W1442" s="119"/>
      <c r="X1442" s="110" t="s">
        <v>2063</v>
      </c>
      <c r="Y1442" s="110" t="s">
        <v>2064</v>
      </c>
      <c r="Z1442" s="110" t="s">
        <v>4387</v>
      </c>
      <c r="AA1442" s="110" t="s">
        <v>537</v>
      </c>
      <c r="AB1442" s="110" t="s">
        <v>333</v>
      </c>
      <c r="AC1442" s="110" t="s">
        <v>538</v>
      </c>
      <c r="AD1442" s="110" t="n">
        <f aca="false">IF(OR(F1442="",Q1442="",R1442=""),"",ROUND(IF(P1442="incl.",F1442/(1+Q1442),F1442)/IF(S1442="per pack",R1442,1),2))</f>
        <v>439.67</v>
      </c>
      <c r="AE1442" s="110" t="str">
        <f aca="false">IF(AND(AC1442="yes",ISNUMBER(F1442),IF(Compare!$H$5="All mapped",TRUE(),IF(Compare!$H$5="EXACT only",J1442="EXACT",OR(J1442="EXACT",J1442="CLOSE")))),"yes","no")</f>
        <v>yes</v>
      </c>
      <c r="AF1442" s="110" t="n">
        <f aca="false">IF(ISNUMBER(H1442),COUNTIFS($B$7:$B$3000,B1442,$C$7:$C$3000,C1442,$H$7:$H$3000,"&lt;"&amp;H1442,$AH$7:$AH$3000,"yes")+COUNTIFS($B$7:B1442,B1442,$C$7:C1442,C1442,$H$7:H1442,H1442,$AH$7:AH1442,"yes"),"")</f>
        <v>3</v>
      </c>
      <c r="AG1442" s="110" t="n">
        <f aca="false">IF(ISNUMBER(I1442),COUNTIFS($B$7:$B$3000,B1442,$C$7:$C$3000,C1442,$I$7:$I$3000,"&lt;"&amp;I1442,$AI$7:$AI$3000,"yes")+COUNTIFS($B$7:B1442,B1442,$C$7:C1442,C1442,$I$7:I1442,I1442,$AI$7:AI1442,"yes"),"")</f>
        <v>3</v>
      </c>
      <c r="AH1442" s="110" t="str">
        <f aca="false">IF(ISNUMBER(H1442),"yes","no")</f>
        <v>yes</v>
      </c>
      <c r="AI1442" s="110" t="str">
        <f aca="false">IF(ISNUMBER(I1442),"yes","no")</f>
        <v>yes</v>
      </c>
      <c r="AJ1442" s="120" t="n">
        <v>46297</v>
      </c>
      <c r="AK1442" s="110"/>
    </row>
    <row r="1443" customFormat="false" ht="35.05" hidden="false" customHeight="false" outlineLevel="0" collapsed="false">
      <c r="B1443" s="36" t="s">
        <v>86</v>
      </c>
      <c r="C1443" s="98" t="s">
        <v>17</v>
      </c>
      <c r="D1443" s="98" t="s">
        <v>342</v>
      </c>
      <c r="E1443" s="110" t="s">
        <v>4559</v>
      </c>
      <c r="F1443" s="99" t="n">
        <v>523</v>
      </c>
      <c r="G1443" s="98" t="s">
        <v>333</v>
      </c>
      <c r="H1443" s="112" t="n">
        <f aca="false">IF(AND(AE1443="yes",ISNUMBER(AD1443)),AD1443,"")</f>
        <v>523</v>
      </c>
      <c r="I1443" s="95" t="n">
        <f aca="false">IF(AND(AE1443="yes",ISNUMBER(AD1443),ISNUMBER(INDEX(Sources!$G$7:$G$10,MATCH(AB1443,Sources!$B$7:$B$10,0)))),ROUND(AD1443/INDEX(Sources!$G$7:$G$10,MATCH(AB1443,Sources!$B$7:$B$10,0)),6),"")</f>
        <v>21.413701</v>
      </c>
      <c r="J1443" s="98" t="s">
        <v>530</v>
      </c>
      <c r="K1443" s="98" t="s">
        <v>2059</v>
      </c>
      <c r="L1443" s="96"/>
      <c r="M1443" s="110" t="s">
        <v>4560</v>
      </c>
      <c r="N1443" s="117" t="s">
        <v>4561</v>
      </c>
      <c r="O1443" s="110" t="s">
        <v>388</v>
      </c>
      <c r="P1443" s="110" t="s">
        <v>590</v>
      </c>
      <c r="Q1443" s="118" t="n">
        <v>0.21</v>
      </c>
      <c r="R1443" s="110" t="n">
        <v>1</v>
      </c>
      <c r="S1443" s="110" t="s">
        <v>632</v>
      </c>
      <c r="T1443" s="110" t="s">
        <v>530</v>
      </c>
      <c r="U1443" s="110" t="s">
        <v>2913</v>
      </c>
      <c r="V1443" s="119" t="n">
        <v>523</v>
      </c>
      <c r="W1443" s="119"/>
      <c r="X1443" s="110" t="s">
        <v>2063</v>
      </c>
      <c r="Y1443" s="110" t="s">
        <v>2064</v>
      </c>
      <c r="Z1443" s="110" t="s">
        <v>4391</v>
      </c>
      <c r="AA1443" s="110" t="s">
        <v>537</v>
      </c>
      <c r="AB1443" s="110" t="s">
        <v>333</v>
      </c>
      <c r="AC1443" s="110" t="s">
        <v>538</v>
      </c>
      <c r="AD1443" s="110" t="n">
        <f aca="false">IF(OR(F1443="",Q1443="",R1443=""),"",ROUND(IF(P1443="incl.",F1443/(1+Q1443),F1443)/IF(S1443="per pack",R1443,1),2))</f>
        <v>523</v>
      </c>
      <c r="AE1443" s="110" t="str">
        <f aca="false">IF(AND(AC1443="yes",ISNUMBER(F1443),IF(Compare!$H$5="All mapped",TRUE(),IF(Compare!$H$5="EXACT only",J1443="EXACT",OR(J1443="EXACT",J1443="CLOSE")))),"yes","no")</f>
        <v>yes</v>
      </c>
      <c r="AF1443" s="110" t="n">
        <f aca="false">IF(ISNUMBER(H1443),COUNTIFS($B$7:$B$3000,B1443,$C$7:$C$3000,C1443,$H$7:$H$3000,"&lt;"&amp;H1443,$AH$7:$AH$3000,"yes")+COUNTIFS($B$7:B1443,B1443,$C$7:C1443,C1443,$H$7:H1443,H1443,$AH$7:AH1443,"yes"),"")</f>
        <v>4</v>
      </c>
      <c r="AG1443" s="110" t="n">
        <f aca="false">IF(ISNUMBER(I1443),COUNTIFS($B$7:$B$3000,B1443,$C$7:$C$3000,C1443,$I$7:$I$3000,"&lt;"&amp;I1443,$AI$7:$AI$3000,"yes")+COUNTIFS($B$7:B1443,B1443,$C$7:C1443,C1443,$I$7:I1443,I1443,$AI$7:AI1443,"yes"),"")</f>
        <v>4</v>
      </c>
      <c r="AH1443" s="110" t="str">
        <f aca="false">IF(ISNUMBER(H1443),"yes","no")</f>
        <v>yes</v>
      </c>
      <c r="AI1443" s="110" t="str">
        <f aca="false">IF(ISNUMBER(I1443),"yes","no")</f>
        <v>yes</v>
      </c>
      <c r="AJ1443" s="120" t="n">
        <v>46297</v>
      </c>
      <c r="AK1443" s="110"/>
    </row>
    <row r="1444" customFormat="false" ht="23.85" hidden="false" customHeight="false" outlineLevel="0" collapsed="false">
      <c r="B1444" s="36" t="s">
        <v>86</v>
      </c>
      <c r="C1444" s="98" t="s">
        <v>17</v>
      </c>
      <c r="D1444" s="98" t="s">
        <v>346</v>
      </c>
      <c r="E1444" s="110" t="s">
        <v>4562</v>
      </c>
      <c r="F1444" s="99" t="n">
        <v>711</v>
      </c>
      <c r="G1444" s="98" t="s">
        <v>333</v>
      </c>
      <c r="H1444" s="112" t="n">
        <f aca="false">IF(AND(AE1444="yes",ISNUMBER(AD1444)),AD1444,"")</f>
        <v>711</v>
      </c>
      <c r="I1444" s="95" t="n">
        <f aca="false">IF(AND(AE1444="yes",ISNUMBER(AD1444),ISNUMBER(INDEX(Sources!$G$7:$G$10,MATCH(AB1444,Sources!$B$7:$B$10,0)))),ROUND(AD1444/INDEX(Sources!$G$7:$G$10,MATCH(AB1444,Sources!$B$7:$B$10,0)),6),"")</f>
        <v>29.111169</v>
      </c>
      <c r="J1444" s="98" t="s">
        <v>702</v>
      </c>
      <c r="K1444" s="98" t="s">
        <v>2059</v>
      </c>
      <c r="L1444" s="96"/>
      <c r="M1444" s="110" t="s">
        <v>4563</v>
      </c>
      <c r="N1444" s="117" t="s">
        <v>4564</v>
      </c>
      <c r="O1444" s="110" t="s">
        <v>565</v>
      </c>
      <c r="P1444" s="110" t="s">
        <v>590</v>
      </c>
      <c r="Q1444" s="118" t="n">
        <v>0.21</v>
      </c>
      <c r="R1444" s="110" t="n">
        <v>1</v>
      </c>
      <c r="S1444" s="110" t="s">
        <v>632</v>
      </c>
      <c r="T1444" s="110" t="s">
        <v>702</v>
      </c>
      <c r="U1444" s="110" t="s">
        <v>2913</v>
      </c>
      <c r="V1444" s="119" t="n">
        <v>711</v>
      </c>
      <c r="W1444" s="119"/>
      <c r="X1444" s="110" t="s">
        <v>2063</v>
      </c>
      <c r="Y1444" s="110" t="s">
        <v>2064</v>
      </c>
      <c r="Z1444" s="110" t="s">
        <v>2400</v>
      </c>
      <c r="AA1444" s="110" t="s">
        <v>537</v>
      </c>
      <c r="AB1444" s="110" t="s">
        <v>333</v>
      </c>
      <c r="AC1444" s="110" t="s">
        <v>538</v>
      </c>
      <c r="AD1444" s="110" t="n">
        <f aca="false">IF(OR(F1444="",Q1444="",R1444=""),"",ROUND(IF(P1444="incl.",F1444/(1+Q1444),F1444)/IF(S1444="per pack",R1444,1),2))</f>
        <v>711</v>
      </c>
      <c r="AE1444" s="110" t="str">
        <f aca="false">IF(AND(AC1444="yes",ISNUMBER(F1444),IF(Compare!$H$5="All mapped",TRUE(),IF(Compare!$H$5="EXACT only",J1444="EXACT",OR(J1444="EXACT",J1444="CLOSE")))),"yes","no")</f>
        <v>yes</v>
      </c>
      <c r="AF1444" s="110" t="n">
        <f aca="false">IF(ISNUMBER(H1444),COUNTIFS($B$7:$B$3000,B1444,$C$7:$C$3000,C1444,$H$7:$H$3000,"&lt;"&amp;H1444,$AH$7:$AH$3000,"yes")+COUNTIFS($B$7:B1444,B1444,$C$7:C1444,C1444,$H$7:H1444,H1444,$AH$7:AH1444,"yes"),"")</f>
        <v>5</v>
      </c>
      <c r="AG1444" s="110" t="n">
        <f aca="false">IF(ISNUMBER(I1444),COUNTIFS($B$7:$B$3000,B1444,$C$7:$C$3000,C1444,$I$7:$I$3000,"&lt;"&amp;I1444,$AI$7:$AI$3000,"yes")+COUNTIFS($B$7:B1444,B1444,$C$7:C1444,C1444,$I$7:I1444,I1444,$AI$7:AI1444,"yes"),"")</f>
        <v>5</v>
      </c>
      <c r="AH1444" s="110" t="str">
        <f aca="false">IF(ISNUMBER(H1444),"yes","no")</f>
        <v>yes</v>
      </c>
      <c r="AI1444" s="110" t="str">
        <f aca="false">IF(ISNUMBER(I1444),"yes","no")</f>
        <v>yes</v>
      </c>
      <c r="AJ1444" s="120" t="n">
        <v>46297</v>
      </c>
      <c r="AK1444" s="110"/>
    </row>
    <row r="1445" customFormat="false" ht="23.85" hidden="false" customHeight="false" outlineLevel="0" collapsed="false">
      <c r="B1445" s="36" t="s">
        <v>86</v>
      </c>
      <c r="C1445" s="98" t="s">
        <v>17</v>
      </c>
      <c r="D1445" s="98" t="s">
        <v>350</v>
      </c>
      <c r="E1445" s="110" t="s">
        <v>4565</v>
      </c>
      <c r="F1445" s="99" t="n">
        <v>373</v>
      </c>
      <c r="G1445" s="98" t="s">
        <v>333</v>
      </c>
      <c r="H1445" s="112" t="n">
        <f aca="false">IF(AND(AE1445="yes",ISNUMBER(AD1445)),AD1445,"")</f>
        <v>308.26</v>
      </c>
      <c r="I1445" s="95" t="n">
        <f aca="false">IF(AND(AE1445="yes",ISNUMBER(AD1445),ISNUMBER(INDEX(Sources!$G$7:$G$10,MATCH(AB1445,Sources!$B$7:$B$10,0)))),ROUND(AD1445/INDEX(Sources!$G$7:$G$10,MATCH(AB1445,Sources!$B$7:$B$10,0)),6),"")</f>
        <v>12.621391</v>
      </c>
      <c r="J1445" s="98" t="s">
        <v>530</v>
      </c>
      <c r="K1445" s="98" t="s">
        <v>2059</v>
      </c>
      <c r="L1445" s="96"/>
      <c r="M1445" s="110" t="s">
        <v>4566</v>
      </c>
      <c r="N1445" s="117" t="s">
        <v>4567</v>
      </c>
      <c r="O1445" s="110" t="s">
        <v>2452</v>
      </c>
      <c r="P1445" s="110" t="s">
        <v>265</v>
      </c>
      <c r="Q1445" s="118" t="n">
        <v>0.21</v>
      </c>
      <c r="R1445" s="110" t="n">
        <v>1</v>
      </c>
      <c r="S1445" s="110" t="s">
        <v>632</v>
      </c>
      <c r="T1445" s="110" t="s">
        <v>530</v>
      </c>
      <c r="U1445" s="110" t="s">
        <v>2918</v>
      </c>
      <c r="V1445" s="119" t="n">
        <v>308.26</v>
      </c>
      <c r="W1445" s="119"/>
      <c r="X1445" s="110" t="s">
        <v>2063</v>
      </c>
      <c r="Y1445" s="110" t="s">
        <v>2064</v>
      </c>
      <c r="Z1445" s="110" t="s">
        <v>2349</v>
      </c>
      <c r="AA1445" s="110" t="s">
        <v>537</v>
      </c>
      <c r="AB1445" s="110" t="s">
        <v>333</v>
      </c>
      <c r="AC1445" s="110" t="s">
        <v>538</v>
      </c>
      <c r="AD1445" s="110" t="n">
        <f aca="false">IF(OR(F1445="",Q1445="",R1445=""),"",ROUND(IF(P1445="incl.",F1445/(1+Q1445),F1445)/IF(S1445="per pack",R1445,1),2))</f>
        <v>308.26</v>
      </c>
      <c r="AE1445" s="110" t="str">
        <f aca="false">IF(AND(AC1445="yes",ISNUMBER(F1445),IF(Compare!$H$5="All mapped",TRUE(),IF(Compare!$H$5="EXACT only",J1445="EXACT",OR(J1445="EXACT",J1445="CLOSE")))),"yes","no")</f>
        <v>yes</v>
      </c>
      <c r="AF1445" s="110" t="n">
        <f aca="false">IF(ISNUMBER(H1445),COUNTIFS($B$7:$B$3000,B1445,$C$7:$C$3000,C1445,$H$7:$H$3000,"&lt;"&amp;H1445,$AH$7:$AH$3000,"yes")+COUNTIFS($B$7:B1445,B1445,$C$7:C1445,C1445,$H$7:H1445,H1445,$AH$7:AH1445,"yes"),"")</f>
        <v>1</v>
      </c>
      <c r="AG1445" s="110" t="n">
        <f aca="false">IF(ISNUMBER(I1445),COUNTIFS($B$7:$B$3000,B1445,$C$7:$C$3000,C1445,$I$7:$I$3000,"&lt;"&amp;I1445,$AI$7:$AI$3000,"yes")+COUNTIFS($B$7:B1445,B1445,$C$7:C1445,C1445,$I$7:I1445,I1445,$AI$7:AI1445,"yes"),"")</f>
        <v>1</v>
      </c>
      <c r="AH1445" s="110" t="str">
        <f aca="false">IF(ISNUMBER(H1445),"yes","no")</f>
        <v>yes</v>
      </c>
      <c r="AI1445" s="110" t="str">
        <f aca="false">IF(ISNUMBER(I1445),"yes","no")</f>
        <v>yes</v>
      </c>
      <c r="AJ1445" s="120" t="n">
        <v>46297</v>
      </c>
      <c r="AK1445" s="110"/>
    </row>
    <row r="1446" customFormat="false" ht="35.05" hidden="false" customHeight="false" outlineLevel="0" collapsed="false">
      <c r="B1446" s="36" t="s">
        <v>86</v>
      </c>
      <c r="C1446" s="98" t="s">
        <v>17</v>
      </c>
      <c r="D1446" s="98" t="s">
        <v>361</v>
      </c>
      <c r="E1446" s="110" t="s">
        <v>4568</v>
      </c>
      <c r="F1446" s="99" t="n">
        <v>505</v>
      </c>
      <c r="G1446" s="98" t="s">
        <v>333</v>
      </c>
      <c r="H1446" s="112" t="n">
        <f aca="false">IF(AND(AE1446="yes",ISNUMBER(AD1446)),AD1446,"")</f>
        <v>417.36</v>
      </c>
      <c r="I1446" s="95" t="n">
        <f aca="false">IF(AND(AE1446="yes",ISNUMBER(AD1446),ISNUMBER(INDEX(Sources!$G$7:$G$10,MATCH(AB1446,Sources!$B$7:$B$10,0)))),ROUND(AD1446/INDEX(Sources!$G$7:$G$10,MATCH(AB1446,Sources!$B$7:$B$10,0)),6),"")</f>
        <v>17.088379</v>
      </c>
      <c r="J1446" s="98" t="s">
        <v>530</v>
      </c>
      <c r="K1446" s="98" t="s">
        <v>2059</v>
      </c>
      <c r="L1446" s="96"/>
      <c r="M1446" s="110" t="s">
        <v>4569</v>
      </c>
      <c r="N1446" s="117" t="s">
        <v>4570</v>
      </c>
      <c r="O1446" s="110" t="s">
        <v>642</v>
      </c>
      <c r="P1446" s="110" t="s">
        <v>265</v>
      </c>
      <c r="Q1446" s="118" t="n">
        <v>0.21</v>
      </c>
      <c r="R1446" s="110" t="n">
        <v>1</v>
      </c>
      <c r="S1446" s="110" t="s">
        <v>632</v>
      </c>
      <c r="T1446" s="110" t="s">
        <v>530</v>
      </c>
      <c r="U1446" s="110" t="s">
        <v>2918</v>
      </c>
      <c r="V1446" s="119" t="n">
        <v>417.36</v>
      </c>
      <c r="W1446" s="119"/>
      <c r="X1446" s="110" t="s">
        <v>2063</v>
      </c>
      <c r="Y1446" s="110" t="s">
        <v>2064</v>
      </c>
      <c r="Z1446" s="110" t="s">
        <v>2400</v>
      </c>
      <c r="AA1446" s="110" t="s">
        <v>537</v>
      </c>
      <c r="AB1446" s="110" t="s">
        <v>333</v>
      </c>
      <c r="AC1446" s="110" t="s">
        <v>538</v>
      </c>
      <c r="AD1446" s="110" t="n">
        <f aca="false">IF(OR(F1446="",Q1446="",R1446=""),"",ROUND(IF(P1446="incl.",F1446/(1+Q1446),F1446)/IF(S1446="per pack",R1446,1),2))</f>
        <v>417.36</v>
      </c>
      <c r="AE1446" s="110" t="str">
        <f aca="false">IF(AND(AC1446="yes",ISNUMBER(F1446),IF(Compare!$H$5="All mapped",TRUE(),IF(Compare!$H$5="EXACT only",J1446="EXACT",OR(J1446="EXACT",J1446="CLOSE")))),"yes","no")</f>
        <v>yes</v>
      </c>
      <c r="AF1446" s="110" t="n">
        <f aca="false">IF(ISNUMBER(H1446),COUNTIFS($B$7:$B$3000,B1446,$C$7:$C$3000,C1446,$H$7:$H$3000,"&lt;"&amp;H1446,$AH$7:$AH$3000,"yes")+COUNTIFS($B$7:B1446,B1446,$C$7:C1446,C1446,$H$7:H1446,H1446,$AH$7:AH1446,"yes"),"")</f>
        <v>2</v>
      </c>
      <c r="AG1446" s="110" t="n">
        <f aca="false">IF(ISNUMBER(I1446),COUNTIFS($B$7:$B$3000,B1446,$C$7:$C$3000,C1446,$I$7:$I$3000,"&lt;"&amp;I1446,$AI$7:$AI$3000,"yes")+COUNTIFS($B$7:B1446,B1446,$C$7:C1446,C1446,$I$7:I1446,I1446,$AI$7:AI1446,"yes"),"")</f>
        <v>2</v>
      </c>
      <c r="AH1446" s="110" t="str">
        <f aca="false">IF(ISNUMBER(H1446),"yes","no")</f>
        <v>yes</v>
      </c>
      <c r="AI1446" s="110" t="str">
        <f aca="false">IF(ISNUMBER(I1446),"yes","no")</f>
        <v>yes</v>
      </c>
      <c r="AJ1446" s="120" t="n">
        <v>46297</v>
      </c>
      <c r="AK1446" s="110"/>
    </row>
    <row r="1447" customFormat="false" ht="35.05" hidden="false" customHeight="false" outlineLevel="0" collapsed="false">
      <c r="B1447" s="36" t="s">
        <v>86</v>
      </c>
      <c r="C1447" s="98" t="s">
        <v>18</v>
      </c>
      <c r="D1447" s="98" t="s">
        <v>3002</v>
      </c>
      <c r="E1447" s="110" t="s">
        <v>4571</v>
      </c>
      <c r="F1447" s="99" t="n">
        <v>16.5</v>
      </c>
      <c r="G1447" s="98" t="s">
        <v>244</v>
      </c>
      <c r="H1447" s="112" t="n">
        <f aca="false">IF(AND(AE1447="yes",ISNUMBER(AD1447)),AD1447,"")</f>
        <v>16.5</v>
      </c>
      <c r="I1447" s="95" t="n">
        <f aca="false">IF(AND(AE1447="yes",ISNUMBER(AD1447),ISNUMBER(INDEX(Sources!$G$7:$G$10,MATCH(AB1447,Sources!$B$7:$B$10,0)))),ROUND(AD1447/INDEX(Sources!$G$7:$G$10,MATCH(AB1447,Sources!$B$7:$B$10,0)),6),"")</f>
        <v>16.5</v>
      </c>
      <c r="J1447" s="98" t="s">
        <v>530</v>
      </c>
      <c r="K1447" s="98" t="s">
        <v>2059</v>
      </c>
      <c r="L1447" s="96"/>
      <c r="M1447" s="110" t="s">
        <v>4572</v>
      </c>
      <c r="N1447" s="117" t="s">
        <v>4404</v>
      </c>
      <c r="O1447" s="110" t="s">
        <v>2396</v>
      </c>
      <c r="P1447" s="110" t="s">
        <v>590</v>
      </c>
      <c r="Q1447" s="118" t="n">
        <v>0.23</v>
      </c>
      <c r="R1447" s="110" t="n">
        <v>1</v>
      </c>
      <c r="S1447" s="110" t="s">
        <v>632</v>
      </c>
      <c r="T1447" s="110" t="s">
        <v>530</v>
      </c>
      <c r="U1447" s="110" t="s">
        <v>2913</v>
      </c>
      <c r="V1447" s="119" t="n">
        <v>16.5</v>
      </c>
      <c r="W1447" s="119"/>
      <c r="X1447" s="110" t="s">
        <v>2063</v>
      </c>
      <c r="Y1447" s="110" t="s">
        <v>2064</v>
      </c>
      <c r="Z1447" s="110" t="s">
        <v>3346</v>
      </c>
      <c r="AA1447" s="110" t="s">
        <v>537</v>
      </c>
      <c r="AB1447" s="110" t="s">
        <v>244</v>
      </c>
      <c r="AC1447" s="110" t="s">
        <v>538</v>
      </c>
      <c r="AD1447" s="110" t="n">
        <f aca="false">IF(OR(F1447="",Q1447="",R1447=""),"",ROUND(IF(P1447="incl.",F1447/(1+Q1447),F1447)/IF(S1447="per pack",R1447,1),2))</f>
        <v>16.5</v>
      </c>
      <c r="AE1447" s="110" t="str">
        <f aca="false">IF(AND(AC1447="yes",ISNUMBER(F1447),IF(Compare!$H$5="All mapped",TRUE(),IF(Compare!$H$5="EXACT only",J1447="EXACT",OR(J1447="EXACT",J1447="CLOSE")))),"yes","no")</f>
        <v>yes</v>
      </c>
      <c r="AF1447" s="110" t="n">
        <f aca="false">IF(ISNUMBER(H1447),COUNTIFS($B$7:$B$3000,B1447,$C$7:$C$3000,C1447,$H$7:$H$3000,"&lt;"&amp;H1447,$AH$7:$AH$3000,"yes")+COUNTIFS($B$7:B1447,B1447,$C$7:C1447,C1447,$H$7:H1447,H1447,$AH$7:AH1447,"yes"),"")</f>
        <v>4</v>
      </c>
      <c r="AG1447" s="110" t="n">
        <f aca="false">IF(ISNUMBER(I1447),COUNTIFS($B$7:$B$3000,B1447,$C$7:$C$3000,C1447,$I$7:$I$3000,"&lt;"&amp;I1447,$AI$7:$AI$3000,"yes")+COUNTIFS($B$7:B1447,B1447,$C$7:C1447,C1447,$I$7:I1447,I1447,$AI$7:AI1447,"yes"),"")</f>
        <v>4</v>
      </c>
      <c r="AH1447" s="110" t="str">
        <f aca="false">IF(ISNUMBER(H1447),"yes","no")</f>
        <v>yes</v>
      </c>
      <c r="AI1447" s="110" t="str">
        <f aca="false">IF(ISNUMBER(I1447),"yes","no")</f>
        <v>yes</v>
      </c>
      <c r="AJ1447" s="120" t="n">
        <v>46297</v>
      </c>
      <c r="AK1447" s="110"/>
    </row>
    <row r="1448" customFormat="false" ht="35.05" hidden="false" customHeight="false" outlineLevel="0" collapsed="false">
      <c r="B1448" s="36" t="s">
        <v>86</v>
      </c>
      <c r="C1448" s="98" t="s">
        <v>18</v>
      </c>
      <c r="D1448" s="98" t="s">
        <v>365</v>
      </c>
      <c r="E1448" s="110" t="s">
        <v>4573</v>
      </c>
      <c r="F1448" s="99" t="n">
        <v>14.95</v>
      </c>
      <c r="G1448" s="98" t="s">
        <v>244</v>
      </c>
      <c r="H1448" s="112" t="n">
        <f aca="false">IF(AND(AE1448="yes",ISNUMBER(AD1448)),AD1448,"")</f>
        <v>12.15</v>
      </c>
      <c r="I1448" s="95" t="n">
        <f aca="false">IF(AND(AE1448="yes",ISNUMBER(AD1448),ISNUMBER(INDEX(Sources!$G$7:$G$10,MATCH(AB1448,Sources!$B$7:$B$10,0)))),ROUND(AD1448/INDEX(Sources!$G$7:$G$10,MATCH(AB1448,Sources!$B$7:$B$10,0)),6),"")</f>
        <v>12.15</v>
      </c>
      <c r="J1448" s="98" t="s">
        <v>530</v>
      </c>
      <c r="K1448" s="98" t="s">
        <v>2059</v>
      </c>
      <c r="L1448" s="96"/>
      <c r="M1448" s="110" t="s">
        <v>4574</v>
      </c>
      <c r="N1448" s="117" t="s">
        <v>4575</v>
      </c>
      <c r="O1448" s="110" t="s">
        <v>3076</v>
      </c>
      <c r="P1448" s="110" t="s">
        <v>265</v>
      </c>
      <c r="Q1448" s="118" t="n">
        <v>0.23</v>
      </c>
      <c r="R1448" s="110" t="n">
        <v>1</v>
      </c>
      <c r="S1448" s="110" t="s">
        <v>632</v>
      </c>
      <c r="T1448" s="110" t="s">
        <v>530</v>
      </c>
      <c r="U1448" s="110" t="s">
        <v>2918</v>
      </c>
      <c r="V1448" s="119" t="n">
        <v>12.15</v>
      </c>
      <c r="W1448" s="119"/>
      <c r="X1448" s="110" t="s">
        <v>2063</v>
      </c>
      <c r="Y1448" s="110" t="s">
        <v>2064</v>
      </c>
      <c r="Z1448" s="110" t="s">
        <v>3016</v>
      </c>
      <c r="AA1448" s="110" t="s">
        <v>537</v>
      </c>
      <c r="AB1448" s="110" t="s">
        <v>244</v>
      </c>
      <c r="AC1448" s="110" t="s">
        <v>538</v>
      </c>
      <c r="AD1448" s="110" t="n">
        <f aca="false">IF(OR(F1448="",Q1448="",R1448=""),"",ROUND(IF(P1448="incl.",F1448/(1+Q1448),F1448)/IF(S1448="per pack",R1448,1),2))</f>
        <v>12.15</v>
      </c>
      <c r="AE1448" s="110" t="str">
        <f aca="false">IF(AND(AC1448="yes",ISNUMBER(F1448),IF(Compare!$H$5="All mapped",TRUE(),IF(Compare!$H$5="EXACT only",J1448="EXACT",OR(J1448="EXACT",J1448="CLOSE")))),"yes","no")</f>
        <v>yes</v>
      </c>
      <c r="AF1448" s="110" t="n">
        <f aca="false">IF(ISNUMBER(H1448),COUNTIFS($B$7:$B$3000,B1448,$C$7:$C$3000,C1448,$H$7:$H$3000,"&lt;"&amp;H1448,$AH$7:$AH$3000,"yes")+COUNTIFS($B$7:B1448,B1448,$C$7:C1448,C1448,$H$7:H1448,H1448,$AH$7:AH1448,"yes"),"")</f>
        <v>2</v>
      </c>
      <c r="AG1448" s="110" t="n">
        <f aca="false">IF(ISNUMBER(I1448),COUNTIFS($B$7:$B$3000,B1448,$C$7:$C$3000,C1448,$I$7:$I$3000,"&lt;"&amp;I1448,$AI$7:$AI$3000,"yes")+COUNTIFS($B$7:B1448,B1448,$C$7:C1448,C1448,$I$7:I1448,I1448,$AI$7:AI1448,"yes"),"")</f>
        <v>2</v>
      </c>
      <c r="AH1448" s="110" t="str">
        <f aca="false">IF(ISNUMBER(H1448),"yes","no")</f>
        <v>yes</v>
      </c>
      <c r="AI1448" s="110" t="str">
        <f aca="false">IF(ISNUMBER(I1448),"yes","no")</f>
        <v>yes</v>
      </c>
      <c r="AJ1448" s="120" t="n">
        <v>46297</v>
      </c>
      <c r="AK1448" s="110"/>
    </row>
    <row r="1449" customFormat="false" ht="35.05" hidden="false" customHeight="false" outlineLevel="0" collapsed="false">
      <c r="B1449" s="36" t="s">
        <v>86</v>
      </c>
      <c r="C1449" s="98" t="s">
        <v>18</v>
      </c>
      <c r="D1449" s="98" t="s">
        <v>369</v>
      </c>
      <c r="E1449" s="110" t="s">
        <v>4576</v>
      </c>
      <c r="F1449" s="99" t="n">
        <v>27.9</v>
      </c>
      <c r="G1449" s="98" t="s">
        <v>244</v>
      </c>
      <c r="H1449" s="112" t="n">
        <f aca="false">IF(AND(AE1449="yes",ISNUMBER(AD1449)),AD1449,"")</f>
        <v>22.68</v>
      </c>
      <c r="I1449" s="95" t="n">
        <f aca="false">IF(AND(AE1449="yes",ISNUMBER(AD1449),ISNUMBER(INDEX(Sources!$G$7:$G$10,MATCH(AB1449,Sources!$B$7:$B$10,0)))),ROUND(AD1449/INDEX(Sources!$G$7:$G$10,MATCH(AB1449,Sources!$B$7:$B$10,0)),6),"")</f>
        <v>22.68</v>
      </c>
      <c r="J1449" s="98" t="s">
        <v>530</v>
      </c>
      <c r="K1449" s="98" t="s">
        <v>2059</v>
      </c>
      <c r="L1449" s="96"/>
      <c r="M1449" s="110" t="s">
        <v>4577</v>
      </c>
      <c r="N1449" s="117" t="s">
        <v>4578</v>
      </c>
      <c r="O1449" s="110" t="s">
        <v>783</v>
      </c>
      <c r="P1449" s="110" t="s">
        <v>265</v>
      </c>
      <c r="Q1449" s="118" t="n">
        <v>0.23</v>
      </c>
      <c r="R1449" s="110" t="n">
        <v>1</v>
      </c>
      <c r="S1449" s="110" t="s">
        <v>632</v>
      </c>
      <c r="T1449" s="110" t="s">
        <v>530</v>
      </c>
      <c r="U1449" s="110" t="s">
        <v>2918</v>
      </c>
      <c r="V1449" s="119" t="n">
        <v>22.68</v>
      </c>
      <c r="W1449" s="119"/>
      <c r="X1449" s="110" t="s">
        <v>2063</v>
      </c>
      <c r="Y1449" s="110" t="s">
        <v>2064</v>
      </c>
      <c r="Z1449" s="110" t="s">
        <v>4300</v>
      </c>
      <c r="AA1449" s="110" t="s">
        <v>537</v>
      </c>
      <c r="AB1449" s="110" t="s">
        <v>244</v>
      </c>
      <c r="AC1449" s="110" t="s">
        <v>538</v>
      </c>
      <c r="AD1449" s="110" t="n">
        <f aca="false">IF(OR(F1449="",Q1449="",R1449=""),"",ROUND(IF(P1449="incl.",F1449/(1+Q1449),F1449)/IF(S1449="per pack",R1449,1),2))</f>
        <v>22.68</v>
      </c>
      <c r="AE1449" s="110" t="str">
        <f aca="false">IF(AND(AC1449="yes",ISNUMBER(F1449),IF(Compare!$H$5="All mapped",TRUE(),IF(Compare!$H$5="EXACT only",J1449="EXACT",OR(J1449="EXACT",J1449="CLOSE")))),"yes","no")</f>
        <v>yes</v>
      </c>
      <c r="AF1449" s="110" t="n">
        <f aca="false">IF(ISNUMBER(H1449),COUNTIFS($B$7:$B$3000,B1449,$C$7:$C$3000,C1449,$H$7:$H$3000,"&lt;"&amp;H1449,$AH$7:$AH$3000,"yes")+COUNTIFS($B$7:B1449,B1449,$C$7:C1449,C1449,$H$7:H1449,H1449,$AH$7:AH1449,"yes"),"")</f>
        <v>5</v>
      </c>
      <c r="AG1449" s="110" t="n">
        <f aca="false">IF(ISNUMBER(I1449),COUNTIFS($B$7:$B$3000,B1449,$C$7:$C$3000,C1449,$I$7:$I$3000,"&lt;"&amp;I1449,$AI$7:$AI$3000,"yes")+COUNTIFS($B$7:B1449,B1449,$C$7:C1449,C1449,$I$7:I1449,I1449,$AI$7:AI1449,"yes"),"")</f>
        <v>5</v>
      </c>
      <c r="AH1449" s="110" t="str">
        <f aca="false">IF(ISNUMBER(H1449),"yes","no")</f>
        <v>yes</v>
      </c>
      <c r="AI1449" s="110" t="str">
        <f aca="false">IF(ISNUMBER(I1449),"yes","no")</f>
        <v>yes</v>
      </c>
      <c r="AJ1449" s="120" t="n">
        <v>46297</v>
      </c>
      <c r="AK1449" s="110"/>
    </row>
    <row r="1450" customFormat="false" ht="23.85" hidden="false" customHeight="false" outlineLevel="0" collapsed="false">
      <c r="B1450" s="36" t="s">
        <v>86</v>
      </c>
      <c r="C1450" s="98" t="s">
        <v>18</v>
      </c>
      <c r="D1450" s="98" t="s">
        <v>4579</v>
      </c>
      <c r="E1450" s="110" t="s">
        <v>4580</v>
      </c>
      <c r="F1450" s="99" t="n">
        <v>19.23</v>
      </c>
      <c r="G1450" s="98" t="s">
        <v>244</v>
      </c>
      <c r="H1450" s="112" t="n">
        <f aca="false">IF(AND(AE1450="yes",ISNUMBER(AD1450)),AD1450,"")</f>
        <v>15.63</v>
      </c>
      <c r="I1450" s="95" t="n">
        <f aca="false">IF(AND(AE1450="yes",ISNUMBER(AD1450),ISNUMBER(INDEX(Sources!$G$7:$G$10,MATCH(AB1450,Sources!$B$7:$B$10,0)))),ROUND(AD1450/INDEX(Sources!$G$7:$G$10,MATCH(AB1450,Sources!$B$7:$B$10,0)),6),"")</f>
        <v>15.63</v>
      </c>
      <c r="J1450" s="98" t="s">
        <v>530</v>
      </c>
      <c r="K1450" s="98" t="s">
        <v>2059</v>
      </c>
      <c r="L1450" s="96"/>
      <c r="M1450" s="110" t="s">
        <v>4581</v>
      </c>
      <c r="N1450" s="117" t="s">
        <v>4582</v>
      </c>
      <c r="O1450" s="110" t="s">
        <v>246</v>
      </c>
      <c r="P1450" s="110" t="s">
        <v>265</v>
      </c>
      <c r="Q1450" s="118" t="n">
        <v>0.23</v>
      </c>
      <c r="R1450" s="110" t="n">
        <v>1</v>
      </c>
      <c r="S1450" s="110" t="s">
        <v>632</v>
      </c>
      <c r="T1450" s="110" t="s">
        <v>530</v>
      </c>
      <c r="U1450" s="110" t="s">
        <v>2918</v>
      </c>
      <c r="V1450" s="119" t="n">
        <v>15.63</v>
      </c>
      <c r="W1450" s="119"/>
      <c r="X1450" s="110" t="s">
        <v>2063</v>
      </c>
      <c r="Y1450" s="110" t="s">
        <v>2064</v>
      </c>
      <c r="Z1450" s="110" t="s">
        <v>4583</v>
      </c>
      <c r="AA1450" s="110" t="s">
        <v>537</v>
      </c>
      <c r="AB1450" s="110" t="s">
        <v>244</v>
      </c>
      <c r="AC1450" s="110" t="s">
        <v>538</v>
      </c>
      <c r="AD1450" s="110" t="n">
        <f aca="false">IF(OR(F1450="",Q1450="",R1450=""),"",ROUND(IF(P1450="incl.",F1450/(1+Q1450),F1450)/IF(S1450="per pack",R1450,1),2))</f>
        <v>15.63</v>
      </c>
      <c r="AE1450" s="110" t="str">
        <f aca="false">IF(AND(AC1450="yes",ISNUMBER(F1450),IF(Compare!$H$5="All mapped",TRUE(),IF(Compare!$H$5="EXACT only",J1450="EXACT",OR(J1450="EXACT",J1450="CLOSE")))),"yes","no")</f>
        <v>yes</v>
      </c>
      <c r="AF1450" s="110" t="n">
        <f aca="false">IF(ISNUMBER(H1450),COUNTIFS($B$7:$B$3000,B1450,$C$7:$C$3000,C1450,$H$7:$H$3000,"&lt;"&amp;H1450,$AH$7:$AH$3000,"yes")+COUNTIFS($B$7:B1450,B1450,$C$7:C1450,C1450,$H$7:H1450,H1450,$AH$7:AH1450,"yes"),"")</f>
        <v>3</v>
      </c>
      <c r="AG1450" s="110" t="n">
        <f aca="false">IF(ISNUMBER(I1450),COUNTIFS($B$7:$B$3000,B1450,$C$7:$C$3000,C1450,$I$7:$I$3000,"&lt;"&amp;I1450,$AI$7:$AI$3000,"yes")+COUNTIFS($B$7:B1450,B1450,$C$7:C1450,C1450,$I$7:I1450,I1450,$AI$7:AI1450,"yes"),"")</f>
        <v>3</v>
      </c>
      <c r="AH1450" s="110" t="str">
        <f aca="false">IF(ISNUMBER(H1450),"yes","no")</f>
        <v>yes</v>
      </c>
      <c r="AI1450" s="110" t="str">
        <f aca="false">IF(ISNUMBER(I1450),"yes","no")</f>
        <v>yes</v>
      </c>
      <c r="AJ1450" s="120" t="n">
        <v>46297</v>
      </c>
      <c r="AK1450" s="110"/>
    </row>
    <row r="1451" customFormat="false" ht="35.05" hidden="false" customHeight="false" outlineLevel="0" collapsed="false">
      <c r="B1451" s="36" t="s">
        <v>86</v>
      </c>
      <c r="C1451" s="98" t="s">
        <v>18</v>
      </c>
      <c r="D1451" s="98" t="s">
        <v>3021</v>
      </c>
      <c r="E1451" s="110" t="s">
        <v>4584</v>
      </c>
      <c r="F1451" s="99" t="n">
        <v>10.61</v>
      </c>
      <c r="G1451" s="98" t="s">
        <v>244</v>
      </c>
      <c r="H1451" s="112" t="n">
        <f aca="false">IF(AND(AE1451="yes",ISNUMBER(AD1451)),AD1451,"")</f>
        <v>10.61</v>
      </c>
      <c r="I1451" s="95" t="n">
        <f aca="false">IF(AND(AE1451="yes",ISNUMBER(AD1451),ISNUMBER(INDEX(Sources!$G$7:$G$10,MATCH(AB1451,Sources!$B$7:$B$10,0)))),ROUND(AD1451/INDEX(Sources!$G$7:$G$10,MATCH(AB1451,Sources!$B$7:$B$10,0)),6),"")</f>
        <v>10.61</v>
      </c>
      <c r="J1451" s="98" t="s">
        <v>530</v>
      </c>
      <c r="K1451" s="98" t="s">
        <v>2059</v>
      </c>
      <c r="L1451" s="96"/>
      <c r="M1451" s="110" t="s">
        <v>4585</v>
      </c>
      <c r="N1451" s="117" t="s">
        <v>4416</v>
      </c>
      <c r="O1451" s="110" t="s">
        <v>3024</v>
      </c>
      <c r="P1451" s="110" t="s">
        <v>590</v>
      </c>
      <c r="Q1451" s="118" t="n">
        <v>0.23</v>
      </c>
      <c r="R1451" s="110" t="n">
        <v>1</v>
      </c>
      <c r="S1451" s="110" t="s">
        <v>632</v>
      </c>
      <c r="T1451" s="110" t="s">
        <v>530</v>
      </c>
      <c r="U1451" s="110" t="s">
        <v>2913</v>
      </c>
      <c r="V1451" s="119" t="n">
        <v>10.61</v>
      </c>
      <c r="W1451" s="119"/>
      <c r="X1451" s="110" t="s">
        <v>2063</v>
      </c>
      <c r="Y1451" s="110" t="s">
        <v>2064</v>
      </c>
      <c r="Z1451" s="110" t="s">
        <v>3109</v>
      </c>
      <c r="AA1451" s="110" t="s">
        <v>537</v>
      </c>
      <c r="AB1451" s="110" t="s">
        <v>244</v>
      </c>
      <c r="AC1451" s="110" t="s">
        <v>538</v>
      </c>
      <c r="AD1451" s="110" t="n">
        <f aca="false">IF(OR(F1451="",Q1451="",R1451=""),"",ROUND(IF(P1451="incl.",F1451/(1+Q1451),F1451)/IF(S1451="per pack",R1451,1),2))</f>
        <v>10.61</v>
      </c>
      <c r="AE1451" s="110" t="str">
        <f aca="false">IF(AND(AC1451="yes",ISNUMBER(F1451),IF(Compare!$H$5="All mapped",TRUE(),IF(Compare!$H$5="EXACT only",J1451="EXACT",OR(J1451="EXACT",J1451="CLOSE")))),"yes","no")</f>
        <v>yes</v>
      </c>
      <c r="AF1451" s="110" t="n">
        <f aca="false">IF(ISNUMBER(H1451),COUNTIFS($B$7:$B$3000,B1451,$C$7:$C$3000,C1451,$H$7:$H$3000,"&lt;"&amp;H1451,$AH$7:$AH$3000,"yes")+COUNTIFS($B$7:B1451,B1451,$C$7:C1451,C1451,$H$7:H1451,H1451,$AH$7:AH1451,"yes"),"")</f>
        <v>1</v>
      </c>
      <c r="AG1451" s="110" t="n">
        <f aca="false">IF(ISNUMBER(I1451),COUNTIFS($B$7:$B$3000,B1451,$C$7:$C$3000,C1451,$I$7:$I$3000,"&lt;"&amp;I1451,$AI$7:$AI$3000,"yes")+COUNTIFS($B$7:B1451,B1451,$C$7:C1451,C1451,$I$7:I1451,I1451,$AI$7:AI1451,"yes"),"")</f>
        <v>1</v>
      </c>
      <c r="AH1451" s="110" t="str">
        <f aca="false">IF(ISNUMBER(H1451),"yes","no")</f>
        <v>yes</v>
      </c>
      <c r="AI1451" s="110" t="str">
        <f aca="false">IF(ISNUMBER(I1451),"yes","no")</f>
        <v>yes</v>
      </c>
      <c r="AJ1451" s="120" t="n">
        <v>46297</v>
      </c>
      <c r="AK1451" s="110"/>
    </row>
    <row r="1452" customFormat="false" ht="23.85" hidden="false" customHeight="false" outlineLevel="0" collapsed="false">
      <c r="B1452" s="36" t="s">
        <v>87</v>
      </c>
      <c r="C1452" s="98" t="s">
        <v>14</v>
      </c>
      <c r="D1452" s="98" t="s">
        <v>373</v>
      </c>
      <c r="E1452" s="110" t="s">
        <v>4586</v>
      </c>
      <c r="F1452" s="99" t="n">
        <v>18.4</v>
      </c>
      <c r="G1452" s="98" t="s">
        <v>374</v>
      </c>
      <c r="H1452" s="112" t="n">
        <f aca="false">IF(AND(AE1452="yes",ISNUMBER(AD1452)),AD1452,"")</f>
        <v>18.4</v>
      </c>
      <c r="I1452" s="95" t="n">
        <f aca="false">IF(AND(AE1452="yes",ISNUMBER(AD1452),ISNUMBER(INDEX(Sources!$G$7:$G$10,MATCH(AB1452,Sources!$B$7:$B$10,0)))),ROUND(AD1452/INDEX(Sources!$G$7:$G$10,MATCH(AB1452,Sources!$B$7:$B$10,0)),6),"")</f>
        <v>3.486406</v>
      </c>
      <c r="J1452" s="98" t="s">
        <v>530</v>
      </c>
      <c r="K1452" s="98" t="s">
        <v>2059</v>
      </c>
      <c r="L1452" s="96"/>
      <c r="M1452" s="110" t="s">
        <v>4587</v>
      </c>
      <c r="N1452" s="117" t="s">
        <v>4588</v>
      </c>
      <c r="O1452" s="110" t="s">
        <v>4321</v>
      </c>
      <c r="P1452" s="110" t="s">
        <v>590</v>
      </c>
      <c r="Q1452" s="118" t="n">
        <v>0.21</v>
      </c>
      <c r="R1452" s="110" t="n">
        <v>1</v>
      </c>
      <c r="S1452" s="110" t="s">
        <v>632</v>
      </c>
      <c r="T1452" s="110" t="s">
        <v>530</v>
      </c>
      <c r="U1452" s="110" t="s">
        <v>2913</v>
      </c>
      <c r="V1452" s="119" t="n">
        <v>18.4</v>
      </c>
      <c r="W1452" s="119"/>
      <c r="X1452" s="110" t="s">
        <v>2063</v>
      </c>
      <c r="Y1452" s="110" t="s">
        <v>2064</v>
      </c>
      <c r="Z1452" s="110"/>
      <c r="AA1452" s="110" t="s">
        <v>537</v>
      </c>
      <c r="AB1452" s="110" t="s">
        <v>374</v>
      </c>
      <c r="AC1452" s="110" t="s">
        <v>538</v>
      </c>
      <c r="AD1452" s="110" t="n">
        <f aca="false">IF(OR(F1452="",Q1452="",R1452=""),"",ROUND(IF(P1452="incl.",F1452/(1+Q1452),F1452)/IF(S1452="per pack",R1452,1),2))</f>
        <v>18.4</v>
      </c>
      <c r="AE1452" s="110" t="str">
        <f aca="false">IF(AND(AC1452="yes",ISNUMBER(F1452),IF(Compare!$H$5="All mapped",TRUE(),IF(Compare!$H$5="EXACT only",J1452="EXACT",OR(J1452="EXACT",J1452="CLOSE")))),"yes","no")</f>
        <v>yes</v>
      </c>
      <c r="AF1452" s="110" t="n">
        <f aca="false">IF(ISNUMBER(H1452),COUNTIFS($B$7:$B$3000,B1452,$C$7:$C$3000,C1452,$H$7:$H$3000,"&lt;"&amp;H1452,$AH$7:$AH$3000,"yes")+COUNTIFS($B$7:B1452,B1452,$C$7:C1452,C1452,$H$7:H1452,H1452,$AH$7:AH1452,"yes"),"")</f>
        <v>2</v>
      </c>
      <c r="AG1452" s="110" t="n">
        <f aca="false">IF(ISNUMBER(I1452),COUNTIFS($B$7:$B$3000,B1452,$C$7:$C$3000,C1452,$I$7:$I$3000,"&lt;"&amp;I1452,$AI$7:$AI$3000,"yes")+COUNTIFS($B$7:B1452,B1452,$C$7:C1452,C1452,$I$7:I1452,I1452,$AI$7:AI1452,"yes"),"")</f>
        <v>2</v>
      </c>
      <c r="AH1452" s="110" t="str">
        <f aca="false">IF(ISNUMBER(H1452),"yes","no")</f>
        <v>yes</v>
      </c>
      <c r="AI1452" s="110" t="str">
        <f aca="false">IF(ISNUMBER(I1452),"yes","no")</f>
        <v>yes</v>
      </c>
      <c r="AJ1452" s="120" t="n">
        <v>46297</v>
      </c>
      <c r="AK1452" s="110"/>
    </row>
    <row r="1453" customFormat="false" ht="46.25" hidden="false" customHeight="false" outlineLevel="0" collapsed="false">
      <c r="B1453" s="36" t="s">
        <v>87</v>
      </c>
      <c r="C1453" s="98" t="s">
        <v>14</v>
      </c>
      <c r="D1453" s="98" t="s">
        <v>4143</v>
      </c>
      <c r="E1453" s="110" t="s">
        <v>4589</v>
      </c>
      <c r="F1453" s="99" t="n">
        <v>294.77</v>
      </c>
      <c r="G1453" s="98" t="s">
        <v>374</v>
      </c>
      <c r="H1453" s="112" t="n">
        <f aca="false">IF(AND(AE1453="yes",ISNUMBER(AD1453)),AD1453,"")</f>
        <v>24.56</v>
      </c>
      <c r="I1453" s="95" t="n">
        <f aca="false">IF(AND(AE1453="yes",ISNUMBER(AD1453),ISNUMBER(INDEX(Sources!$G$7:$G$10,MATCH(AB1453,Sources!$B$7:$B$10,0)))),ROUND(AD1453/INDEX(Sources!$G$7:$G$10,MATCH(AB1453,Sources!$B$7:$B$10,0)),6),"")</f>
        <v>4.653594</v>
      </c>
      <c r="J1453" s="98" t="s">
        <v>530</v>
      </c>
      <c r="K1453" s="98" t="s">
        <v>2059</v>
      </c>
      <c r="L1453" s="96"/>
      <c r="M1453" s="110" t="s">
        <v>4590</v>
      </c>
      <c r="N1453" s="117" t="s">
        <v>4591</v>
      </c>
      <c r="O1453" s="110" t="s">
        <v>317</v>
      </c>
      <c r="P1453" s="110" t="s">
        <v>590</v>
      </c>
      <c r="Q1453" s="118" t="n">
        <v>0.21</v>
      </c>
      <c r="R1453" s="110" t="n">
        <v>12</v>
      </c>
      <c r="S1453" s="110" t="s">
        <v>625</v>
      </c>
      <c r="T1453" s="110" t="s">
        <v>530</v>
      </c>
      <c r="U1453" s="110" t="s">
        <v>2913</v>
      </c>
      <c r="V1453" s="119" t="n">
        <v>24.56</v>
      </c>
      <c r="W1453" s="119"/>
      <c r="X1453" s="110" t="s">
        <v>2063</v>
      </c>
      <c r="Y1453" s="110" t="s">
        <v>2064</v>
      </c>
      <c r="Z1453" s="110"/>
      <c r="AA1453" s="110" t="s">
        <v>537</v>
      </c>
      <c r="AB1453" s="110" t="s">
        <v>374</v>
      </c>
      <c r="AC1453" s="110" t="s">
        <v>538</v>
      </c>
      <c r="AD1453" s="110" t="n">
        <f aca="false">IF(OR(F1453="",Q1453="",R1453=""),"",ROUND(IF(P1453="incl.",F1453/(1+Q1453),F1453)/IF(S1453="per pack",R1453,1),2))</f>
        <v>24.56</v>
      </c>
      <c r="AE1453" s="110" t="str">
        <f aca="false">IF(AND(AC1453="yes",ISNUMBER(F1453),IF(Compare!$H$5="All mapped",TRUE(),IF(Compare!$H$5="EXACT only",J1453="EXACT",OR(J1453="EXACT",J1453="CLOSE")))),"yes","no")</f>
        <v>yes</v>
      </c>
      <c r="AF1453" s="110" t="n">
        <f aca="false">IF(ISNUMBER(H1453),COUNTIFS($B$7:$B$3000,B1453,$C$7:$C$3000,C1453,$H$7:$H$3000,"&lt;"&amp;H1453,$AH$7:$AH$3000,"yes")+COUNTIFS($B$7:B1453,B1453,$C$7:C1453,C1453,$H$7:H1453,H1453,$AH$7:AH1453,"yes"),"")</f>
        <v>3</v>
      </c>
      <c r="AG1453" s="110" t="n">
        <f aca="false">IF(ISNUMBER(I1453),COUNTIFS($B$7:$B$3000,B1453,$C$7:$C$3000,C1453,$I$7:$I$3000,"&lt;"&amp;I1453,$AI$7:$AI$3000,"yes")+COUNTIFS($B$7:B1453,B1453,$C$7:C1453,C1453,$I$7:I1453,I1453,$AI$7:AI1453,"yes"),"")</f>
        <v>3</v>
      </c>
      <c r="AH1453" s="110" t="str">
        <f aca="false">IF(ISNUMBER(H1453),"yes","no")</f>
        <v>yes</v>
      </c>
      <c r="AI1453" s="110" t="str">
        <f aca="false">IF(ISNUMBER(I1453),"yes","no")</f>
        <v>yes</v>
      </c>
      <c r="AJ1453" s="120" t="n">
        <v>46297</v>
      </c>
      <c r="AK1453" s="110"/>
    </row>
    <row r="1454" customFormat="false" ht="35.05" hidden="false" customHeight="false" outlineLevel="0" collapsed="false">
      <c r="B1454" s="36" t="s">
        <v>87</v>
      </c>
      <c r="C1454" s="98" t="s">
        <v>14</v>
      </c>
      <c r="D1454" s="98" t="s">
        <v>346</v>
      </c>
      <c r="E1454" s="110" t="s">
        <v>4592</v>
      </c>
      <c r="F1454" s="99" t="n">
        <v>40.92</v>
      </c>
      <c r="G1454" s="98" t="s">
        <v>374</v>
      </c>
      <c r="H1454" s="112" t="n">
        <f aca="false">IF(AND(AE1454="yes",ISNUMBER(AD1454)),AD1454,"")</f>
        <v>33.82</v>
      </c>
      <c r="I1454" s="95" t="n">
        <f aca="false">IF(AND(AE1454="yes",ISNUMBER(AD1454),ISNUMBER(INDEX(Sources!$G$7:$G$10,MATCH(AB1454,Sources!$B$7:$B$10,0)))),ROUND(AD1454/INDEX(Sources!$G$7:$G$10,MATCH(AB1454,Sources!$B$7:$B$10,0)),6),"")</f>
        <v>6.408165</v>
      </c>
      <c r="J1454" s="98" t="s">
        <v>530</v>
      </c>
      <c r="K1454" s="98" t="s">
        <v>2059</v>
      </c>
      <c r="L1454" s="96"/>
      <c r="M1454" s="110" t="s">
        <v>4593</v>
      </c>
      <c r="N1454" s="117" t="s">
        <v>4594</v>
      </c>
      <c r="O1454" s="110" t="s">
        <v>662</v>
      </c>
      <c r="P1454" s="110" t="s">
        <v>265</v>
      </c>
      <c r="Q1454" s="118" t="n">
        <v>0.21</v>
      </c>
      <c r="R1454" s="110" t="n">
        <v>1</v>
      </c>
      <c r="S1454" s="110" t="s">
        <v>632</v>
      </c>
      <c r="T1454" s="110" t="s">
        <v>530</v>
      </c>
      <c r="U1454" s="110" t="s">
        <v>2918</v>
      </c>
      <c r="V1454" s="119" t="n">
        <v>33.82</v>
      </c>
      <c r="W1454" s="119"/>
      <c r="X1454" s="110" t="s">
        <v>2063</v>
      </c>
      <c r="Y1454" s="110" t="s">
        <v>2064</v>
      </c>
      <c r="Z1454" s="110"/>
      <c r="AA1454" s="110" t="s">
        <v>537</v>
      </c>
      <c r="AB1454" s="110" t="s">
        <v>374</v>
      </c>
      <c r="AC1454" s="110" t="s">
        <v>538</v>
      </c>
      <c r="AD1454" s="110" t="n">
        <f aca="false">IF(OR(F1454="",Q1454="",R1454=""),"",ROUND(IF(P1454="incl.",F1454/(1+Q1454),F1454)/IF(S1454="per pack",R1454,1),2))</f>
        <v>33.82</v>
      </c>
      <c r="AE1454" s="110" t="str">
        <f aca="false">IF(AND(AC1454="yes",ISNUMBER(F1454),IF(Compare!$H$5="All mapped",TRUE(),IF(Compare!$H$5="EXACT only",J1454="EXACT",OR(J1454="EXACT",J1454="CLOSE")))),"yes","no")</f>
        <v>yes</v>
      </c>
      <c r="AF1454" s="110" t="n">
        <f aca="false">IF(ISNUMBER(H1454),COUNTIFS($B$7:$B$3000,B1454,$C$7:$C$3000,C1454,$H$7:$H$3000,"&lt;"&amp;H1454,$AH$7:$AH$3000,"yes")+COUNTIFS($B$7:B1454,B1454,$C$7:C1454,C1454,$H$7:H1454,H1454,$AH$7:AH1454,"yes"),"")</f>
        <v>5</v>
      </c>
      <c r="AG1454" s="110" t="n">
        <f aca="false">IF(ISNUMBER(I1454),COUNTIFS($B$7:$B$3000,B1454,$C$7:$C$3000,C1454,$I$7:$I$3000,"&lt;"&amp;I1454,$AI$7:$AI$3000,"yes")+COUNTIFS($B$7:B1454,B1454,$C$7:C1454,C1454,$I$7:I1454,I1454,$AI$7:AI1454,"yes"),"")</f>
        <v>5</v>
      </c>
      <c r="AH1454" s="110" t="str">
        <f aca="false">IF(ISNUMBER(H1454),"yes","no")</f>
        <v>yes</v>
      </c>
      <c r="AI1454" s="110" t="str">
        <f aca="false">IF(ISNUMBER(I1454),"yes","no")</f>
        <v>yes</v>
      </c>
      <c r="AJ1454" s="120" t="n">
        <v>46297</v>
      </c>
      <c r="AK1454" s="110"/>
    </row>
    <row r="1455" customFormat="false" ht="23.85" hidden="false" customHeight="false" outlineLevel="0" collapsed="false">
      <c r="B1455" s="36" t="s">
        <v>87</v>
      </c>
      <c r="C1455" s="98" t="s">
        <v>14</v>
      </c>
      <c r="D1455" s="98" t="s">
        <v>415</v>
      </c>
      <c r="E1455" s="110" t="s">
        <v>4595</v>
      </c>
      <c r="F1455" s="99" t="n">
        <v>2</v>
      </c>
      <c r="G1455" s="98" t="s">
        <v>244</v>
      </c>
      <c r="H1455" s="112" t="n">
        <f aca="false">IF(AND(AE1455="yes",ISNUMBER(AD1455)),AD1455,"")</f>
        <v>2</v>
      </c>
      <c r="I1455" s="95" t="n">
        <f aca="false">IF(AND(AE1455="yes",ISNUMBER(AD1455),ISNUMBER(INDEX(Sources!$G$7:$G$10,MATCH(AB1455,Sources!$B$7:$B$10,0)))),ROUND(AD1455/INDEX(Sources!$G$7:$G$10,MATCH(AB1455,Sources!$B$7:$B$10,0)),6),"")</f>
        <v>2</v>
      </c>
      <c r="J1455" s="98" t="s">
        <v>530</v>
      </c>
      <c r="K1455" s="98" t="s">
        <v>2059</v>
      </c>
      <c r="L1455" s="96"/>
      <c r="M1455" s="110" t="s">
        <v>4596</v>
      </c>
      <c r="N1455" s="117" t="s">
        <v>4597</v>
      </c>
      <c r="O1455" s="110" t="s">
        <v>3841</v>
      </c>
      <c r="P1455" s="110" t="s">
        <v>590</v>
      </c>
      <c r="Q1455" s="118" t="n">
        <v>0.21</v>
      </c>
      <c r="R1455" s="110" t="n">
        <v>1</v>
      </c>
      <c r="S1455" s="110" t="s">
        <v>632</v>
      </c>
      <c r="T1455" s="110" t="s">
        <v>530</v>
      </c>
      <c r="U1455" s="110" t="s">
        <v>2913</v>
      </c>
      <c r="V1455" s="119" t="n">
        <v>2</v>
      </c>
      <c r="W1455" s="119"/>
      <c r="X1455" s="110" t="s">
        <v>2063</v>
      </c>
      <c r="Y1455" s="110" t="s">
        <v>2064</v>
      </c>
      <c r="Z1455" s="110"/>
      <c r="AA1455" s="110" t="s">
        <v>537</v>
      </c>
      <c r="AB1455" s="110" t="s">
        <v>244</v>
      </c>
      <c r="AC1455" s="110" t="s">
        <v>538</v>
      </c>
      <c r="AD1455" s="110" t="n">
        <f aca="false">IF(OR(F1455="",Q1455="",R1455=""),"",ROUND(IF(P1455="incl.",F1455/(1+Q1455),F1455)/IF(S1455="per pack",R1455,1),2))</f>
        <v>2</v>
      </c>
      <c r="AE1455" s="110" t="str">
        <f aca="false">IF(AND(AC1455="yes",ISNUMBER(F1455),IF(Compare!$H$5="All mapped",TRUE(),IF(Compare!$H$5="EXACT only",J1455="EXACT",OR(J1455="EXACT",J1455="CLOSE")))),"yes","no")</f>
        <v>yes</v>
      </c>
      <c r="AF1455" s="110" t="n">
        <f aca="false">IF(ISNUMBER(H1455),COUNTIFS($B$7:$B$3000,B1455,$C$7:$C$3000,C1455,$H$7:$H$3000,"&lt;"&amp;H1455,$AH$7:$AH$3000,"yes")+COUNTIFS($B$7:B1455,B1455,$C$7:C1455,C1455,$H$7:H1455,H1455,$AH$7:AH1455,"yes"),"")</f>
        <v>1</v>
      </c>
      <c r="AG1455" s="110" t="n">
        <f aca="false">IF(ISNUMBER(I1455),COUNTIFS($B$7:$B$3000,B1455,$C$7:$C$3000,C1455,$I$7:$I$3000,"&lt;"&amp;I1455,$AI$7:$AI$3000,"yes")+COUNTIFS($B$7:B1455,B1455,$C$7:C1455,C1455,$I$7:I1455,I1455,$AI$7:AI1455,"yes"),"")</f>
        <v>1</v>
      </c>
      <c r="AH1455" s="110" t="str">
        <f aca="false">IF(ISNUMBER(H1455),"yes","no")</f>
        <v>yes</v>
      </c>
      <c r="AI1455" s="110" t="str">
        <f aca="false">IF(ISNUMBER(I1455),"yes","no")</f>
        <v>yes</v>
      </c>
      <c r="AJ1455" s="120" t="n">
        <v>46297</v>
      </c>
      <c r="AK1455" s="110"/>
    </row>
    <row r="1456" customFormat="false" ht="23.85" hidden="false" customHeight="false" outlineLevel="0" collapsed="false">
      <c r="B1456" s="36" t="s">
        <v>87</v>
      </c>
      <c r="C1456" s="98" t="s">
        <v>14</v>
      </c>
      <c r="D1456" s="98" t="s">
        <v>403</v>
      </c>
      <c r="E1456" s="110" t="s">
        <v>4598</v>
      </c>
      <c r="F1456" s="99" t="n">
        <v>25.67</v>
      </c>
      <c r="G1456" s="98" t="s">
        <v>374</v>
      </c>
      <c r="H1456" s="112" t="n">
        <f aca="false">IF(AND(AE1456="yes",ISNUMBER(AD1456)),AD1456,"")</f>
        <v>25.67</v>
      </c>
      <c r="I1456" s="95" t="n">
        <f aca="false">IF(AND(AE1456="yes",ISNUMBER(AD1456),ISNUMBER(INDEX(Sources!$G$7:$G$10,MATCH(AB1456,Sources!$B$7:$B$10,0)))),ROUND(AD1456/INDEX(Sources!$G$7:$G$10,MATCH(AB1456,Sources!$B$7:$B$10,0)),6),"")</f>
        <v>4.863915</v>
      </c>
      <c r="J1456" s="98" t="s">
        <v>530</v>
      </c>
      <c r="K1456" s="98" t="s">
        <v>2059</v>
      </c>
      <c r="L1456" s="96"/>
      <c r="M1456" s="110" t="s">
        <v>4599</v>
      </c>
      <c r="N1456" s="117" t="s">
        <v>4600</v>
      </c>
      <c r="O1456" s="110" t="s">
        <v>662</v>
      </c>
      <c r="P1456" s="110" t="s">
        <v>590</v>
      </c>
      <c r="Q1456" s="118" t="n">
        <v>0.21</v>
      </c>
      <c r="R1456" s="110" t="n">
        <v>1</v>
      </c>
      <c r="S1456" s="110" t="s">
        <v>632</v>
      </c>
      <c r="T1456" s="110" t="s">
        <v>530</v>
      </c>
      <c r="U1456" s="110" t="s">
        <v>2913</v>
      </c>
      <c r="V1456" s="119" t="n">
        <v>25.67</v>
      </c>
      <c r="W1456" s="119"/>
      <c r="X1456" s="110" t="s">
        <v>2063</v>
      </c>
      <c r="Y1456" s="110" t="s">
        <v>2064</v>
      </c>
      <c r="Z1456" s="110"/>
      <c r="AA1456" s="110" t="s">
        <v>537</v>
      </c>
      <c r="AB1456" s="110" t="s">
        <v>374</v>
      </c>
      <c r="AC1456" s="110" t="s">
        <v>538</v>
      </c>
      <c r="AD1456" s="110" t="n">
        <f aca="false">IF(OR(F1456="",Q1456="",R1456=""),"",ROUND(IF(P1456="incl.",F1456/(1+Q1456),F1456)/IF(S1456="per pack",R1456,1),2))</f>
        <v>25.67</v>
      </c>
      <c r="AE1456" s="110" t="str">
        <f aca="false">IF(AND(AC1456="yes",ISNUMBER(F1456),IF(Compare!$H$5="All mapped",TRUE(),IF(Compare!$H$5="EXACT only",J1456="EXACT",OR(J1456="EXACT",J1456="CLOSE")))),"yes","no")</f>
        <v>yes</v>
      </c>
      <c r="AF1456" s="110" t="n">
        <f aca="false">IF(ISNUMBER(H1456),COUNTIFS($B$7:$B$3000,B1456,$C$7:$C$3000,C1456,$H$7:$H$3000,"&lt;"&amp;H1456,$AH$7:$AH$3000,"yes")+COUNTIFS($B$7:B1456,B1456,$C$7:C1456,C1456,$H$7:H1456,H1456,$AH$7:AH1456,"yes"),"")</f>
        <v>4</v>
      </c>
      <c r="AG1456" s="110" t="n">
        <f aca="false">IF(ISNUMBER(I1456),COUNTIFS($B$7:$B$3000,B1456,$C$7:$C$3000,C1456,$I$7:$I$3000,"&lt;"&amp;I1456,$AI$7:$AI$3000,"yes")+COUNTIFS($B$7:B1456,B1456,$C$7:C1456,C1456,$I$7:I1456,I1456,$AI$7:AI1456,"yes"),"")</f>
        <v>4</v>
      </c>
      <c r="AH1456" s="110" t="str">
        <f aca="false">IF(ISNUMBER(H1456),"yes","no")</f>
        <v>yes</v>
      </c>
      <c r="AI1456" s="110" t="str">
        <f aca="false">IF(ISNUMBER(I1456),"yes","no")</f>
        <v>yes</v>
      </c>
      <c r="AJ1456" s="120" t="n">
        <v>46297</v>
      </c>
      <c r="AK1456" s="110"/>
    </row>
    <row r="1457" customFormat="false" ht="35.05" hidden="false" customHeight="false" outlineLevel="0" collapsed="false">
      <c r="B1457" s="36" t="s">
        <v>87</v>
      </c>
      <c r="C1457" s="98" t="s">
        <v>15</v>
      </c>
      <c r="D1457" s="98" t="s">
        <v>277</v>
      </c>
      <c r="E1457" s="110" t="s">
        <v>4601</v>
      </c>
      <c r="F1457" s="99" t="n">
        <v>50.99</v>
      </c>
      <c r="G1457" s="98" t="s">
        <v>244</v>
      </c>
      <c r="H1457" s="112" t="n">
        <f aca="false">IF(AND(AE1457="yes",ISNUMBER(AD1457)),AD1457,"")</f>
        <v>4.25</v>
      </c>
      <c r="I1457" s="95" t="n">
        <f aca="false">IF(AND(AE1457="yes",ISNUMBER(AD1457),ISNUMBER(INDEX(Sources!$G$7:$G$10,MATCH(AB1457,Sources!$B$7:$B$10,0)))),ROUND(AD1457/INDEX(Sources!$G$7:$G$10,MATCH(AB1457,Sources!$B$7:$B$10,0)),6),"")</f>
        <v>4.25</v>
      </c>
      <c r="J1457" s="98" t="s">
        <v>530</v>
      </c>
      <c r="K1457" s="98" t="s">
        <v>2059</v>
      </c>
      <c r="L1457" s="96"/>
      <c r="M1457" s="110" t="s">
        <v>4602</v>
      </c>
      <c r="N1457" s="117" t="s">
        <v>4603</v>
      </c>
      <c r="O1457" s="110" t="s">
        <v>317</v>
      </c>
      <c r="P1457" s="110" t="s">
        <v>590</v>
      </c>
      <c r="Q1457" s="118" t="n">
        <v>0.19</v>
      </c>
      <c r="R1457" s="110" t="n">
        <v>12</v>
      </c>
      <c r="S1457" s="110" t="s">
        <v>625</v>
      </c>
      <c r="T1457" s="110" t="s">
        <v>530</v>
      </c>
      <c r="U1457" s="110" t="s">
        <v>2913</v>
      </c>
      <c r="V1457" s="119" t="n">
        <v>4.25</v>
      </c>
      <c r="W1457" s="119"/>
      <c r="X1457" s="110" t="s">
        <v>2063</v>
      </c>
      <c r="Y1457" s="110" t="s">
        <v>2064</v>
      </c>
      <c r="Z1457" s="110" t="s">
        <v>4521</v>
      </c>
      <c r="AA1457" s="110" t="s">
        <v>537</v>
      </c>
      <c r="AB1457" s="110" t="s">
        <v>244</v>
      </c>
      <c r="AC1457" s="110" t="s">
        <v>538</v>
      </c>
      <c r="AD1457" s="110" t="n">
        <f aca="false">IF(OR(F1457="",Q1457="",R1457=""),"",ROUND(IF(P1457="incl.",F1457/(1+Q1457),F1457)/IF(S1457="per pack",R1457,1),2))</f>
        <v>4.25</v>
      </c>
      <c r="AE1457" s="110" t="str">
        <f aca="false">IF(AND(AC1457="yes",ISNUMBER(F1457),IF(Compare!$H$5="All mapped",TRUE(),IF(Compare!$H$5="EXACT only",J1457="EXACT",OR(J1457="EXACT",J1457="CLOSE")))),"yes","no")</f>
        <v>yes</v>
      </c>
      <c r="AF1457" s="110" t="n">
        <f aca="false">IF(ISNUMBER(H1457),COUNTIFS($B$7:$B$3000,B1457,$C$7:$C$3000,C1457,$H$7:$H$3000,"&lt;"&amp;H1457,$AH$7:$AH$3000,"yes")+COUNTIFS($B$7:B1457,B1457,$C$7:C1457,C1457,$H$7:H1457,H1457,$AH$7:AH1457,"yes"),"")</f>
        <v>2</v>
      </c>
      <c r="AG1457" s="110" t="n">
        <f aca="false">IF(ISNUMBER(I1457),COUNTIFS($B$7:$B$3000,B1457,$C$7:$C$3000,C1457,$I$7:$I$3000,"&lt;"&amp;I1457,$AI$7:$AI$3000,"yes")+COUNTIFS($B$7:B1457,B1457,$C$7:C1457,C1457,$I$7:I1457,I1457,$AI$7:AI1457,"yes"),"")</f>
        <v>2</v>
      </c>
      <c r="AH1457" s="110" t="str">
        <f aca="false">IF(ISNUMBER(H1457),"yes","no")</f>
        <v>yes</v>
      </c>
      <c r="AI1457" s="110" t="str">
        <f aca="false">IF(ISNUMBER(I1457),"yes","no")</f>
        <v>yes</v>
      </c>
      <c r="AJ1457" s="120" t="n">
        <v>46297</v>
      </c>
      <c r="AK1457" s="110"/>
    </row>
    <row r="1458" customFormat="false" ht="35.05" hidden="false" customHeight="false" outlineLevel="0" collapsed="false">
      <c r="B1458" s="36" t="s">
        <v>87</v>
      </c>
      <c r="C1458" s="98" t="s">
        <v>15</v>
      </c>
      <c r="D1458" s="98" t="s">
        <v>269</v>
      </c>
      <c r="E1458" s="110" t="s">
        <v>4604</v>
      </c>
      <c r="F1458" s="99" t="n">
        <v>7.99</v>
      </c>
      <c r="G1458" s="98" t="s">
        <v>244</v>
      </c>
      <c r="H1458" s="112" t="n">
        <f aca="false">IF(AND(AE1458="yes",ISNUMBER(AD1458)),AD1458,"")</f>
        <v>7.99</v>
      </c>
      <c r="I1458" s="95" t="n">
        <f aca="false">IF(AND(AE1458="yes",ISNUMBER(AD1458),ISNUMBER(INDEX(Sources!$G$7:$G$10,MATCH(AB1458,Sources!$B$7:$B$10,0)))),ROUND(AD1458/INDEX(Sources!$G$7:$G$10,MATCH(AB1458,Sources!$B$7:$B$10,0)),6),"")</f>
        <v>7.99</v>
      </c>
      <c r="J1458" s="98" t="s">
        <v>530</v>
      </c>
      <c r="K1458" s="98" t="s">
        <v>2059</v>
      </c>
      <c r="L1458" s="96"/>
      <c r="M1458" s="110" t="s">
        <v>4605</v>
      </c>
      <c r="N1458" s="117" t="s">
        <v>4606</v>
      </c>
      <c r="O1458" s="110" t="s">
        <v>589</v>
      </c>
      <c r="P1458" s="110" t="s">
        <v>590</v>
      </c>
      <c r="Q1458" s="118" t="n">
        <v>0.19</v>
      </c>
      <c r="R1458" s="110" t="n">
        <v>1</v>
      </c>
      <c r="S1458" s="110" t="s">
        <v>632</v>
      </c>
      <c r="T1458" s="110" t="s">
        <v>530</v>
      </c>
      <c r="U1458" s="110" t="s">
        <v>2913</v>
      </c>
      <c r="V1458" s="119" t="n">
        <v>7.99</v>
      </c>
      <c r="W1458" s="119"/>
      <c r="X1458" s="110" t="s">
        <v>2063</v>
      </c>
      <c r="Y1458" s="110" t="s">
        <v>2064</v>
      </c>
      <c r="Z1458" s="110" t="s">
        <v>4345</v>
      </c>
      <c r="AA1458" s="110" t="s">
        <v>537</v>
      </c>
      <c r="AB1458" s="110" t="s">
        <v>244</v>
      </c>
      <c r="AC1458" s="110" t="s">
        <v>538</v>
      </c>
      <c r="AD1458" s="110" t="n">
        <f aca="false">IF(OR(F1458="",Q1458="",R1458=""),"",ROUND(IF(P1458="incl.",F1458/(1+Q1458),F1458)/IF(S1458="per pack",R1458,1),2))</f>
        <v>7.99</v>
      </c>
      <c r="AE1458" s="110" t="str">
        <f aca="false">IF(AND(AC1458="yes",ISNUMBER(F1458),IF(Compare!$H$5="All mapped",TRUE(),IF(Compare!$H$5="EXACT only",J1458="EXACT",OR(J1458="EXACT",J1458="CLOSE")))),"yes","no")</f>
        <v>yes</v>
      </c>
      <c r="AF1458" s="110" t="n">
        <f aca="false">IF(ISNUMBER(H1458),COUNTIFS($B$7:$B$3000,B1458,$C$7:$C$3000,C1458,$H$7:$H$3000,"&lt;"&amp;H1458,$AH$7:$AH$3000,"yes")+COUNTIFS($B$7:B1458,B1458,$C$7:C1458,C1458,$H$7:H1458,H1458,$AH$7:AH1458,"yes"),"")</f>
        <v>4</v>
      </c>
      <c r="AG1458" s="110" t="n">
        <f aca="false">IF(ISNUMBER(I1458),COUNTIFS($B$7:$B$3000,B1458,$C$7:$C$3000,C1458,$I$7:$I$3000,"&lt;"&amp;I1458,$AI$7:$AI$3000,"yes")+COUNTIFS($B$7:B1458,B1458,$C$7:C1458,C1458,$I$7:I1458,I1458,$AI$7:AI1458,"yes"),"")</f>
        <v>4</v>
      </c>
      <c r="AH1458" s="110" t="str">
        <f aca="false">IF(ISNUMBER(H1458),"yes","no")</f>
        <v>yes</v>
      </c>
      <c r="AI1458" s="110" t="str">
        <f aca="false">IF(ISNUMBER(I1458),"yes","no")</f>
        <v>yes</v>
      </c>
      <c r="AJ1458" s="120" t="n">
        <v>46297</v>
      </c>
      <c r="AK1458" s="110"/>
    </row>
    <row r="1459" customFormat="false" ht="46.25" hidden="false" customHeight="false" outlineLevel="0" collapsed="false">
      <c r="B1459" s="36" t="s">
        <v>87</v>
      </c>
      <c r="C1459" s="98" t="s">
        <v>15</v>
      </c>
      <c r="D1459" s="98" t="s">
        <v>281</v>
      </c>
      <c r="E1459" s="110" t="s">
        <v>4607</v>
      </c>
      <c r="F1459" s="99" t="n">
        <v>4.33</v>
      </c>
      <c r="G1459" s="98" t="s">
        <v>244</v>
      </c>
      <c r="H1459" s="112" t="n">
        <f aca="false">IF(AND(AE1459="yes",ISNUMBER(AD1459)),AD1459,"")</f>
        <v>4.33</v>
      </c>
      <c r="I1459" s="95" t="n">
        <f aca="false">IF(AND(AE1459="yes",ISNUMBER(AD1459),ISNUMBER(INDEX(Sources!$G$7:$G$10,MATCH(AB1459,Sources!$B$7:$B$10,0)))),ROUND(AD1459/INDEX(Sources!$G$7:$G$10,MATCH(AB1459,Sources!$B$7:$B$10,0)),6),"")</f>
        <v>4.33</v>
      </c>
      <c r="J1459" s="98" t="s">
        <v>530</v>
      </c>
      <c r="K1459" s="98" t="s">
        <v>2059</v>
      </c>
      <c r="L1459" s="96"/>
      <c r="M1459" s="110" t="s">
        <v>4608</v>
      </c>
      <c r="N1459" s="117" t="s">
        <v>4609</v>
      </c>
      <c r="O1459" s="110" t="s">
        <v>603</v>
      </c>
      <c r="P1459" s="110" t="s">
        <v>590</v>
      </c>
      <c r="Q1459" s="118" t="n">
        <v>0.2</v>
      </c>
      <c r="R1459" s="110" t="n">
        <v>1</v>
      </c>
      <c r="S1459" s="110" t="s">
        <v>632</v>
      </c>
      <c r="T1459" s="110" t="s">
        <v>530</v>
      </c>
      <c r="U1459" s="110" t="s">
        <v>2913</v>
      </c>
      <c r="V1459" s="119" t="n">
        <v>4.33</v>
      </c>
      <c r="W1459" s="119"/>
      <c r="X1459" s="110" t="s">
        <v>2063</v>
      </c>
      <c r="Y1459" s="110" t="s">
        <v>2064</v>
      </c>
      <c r="Z1459" s="110" t="s">
        <v>2125</v>
      </c>
      <c r="AA1459" s="110" t="s">
        <v>537</v>
      </c>
      <c r="AB1459" s="110" t="s">
        <v>244</v>
      </c>
      <c r="AC1459" s="110" t="s">
        <v>538</v>
      </c>
      <c r="AD1459" s="110" t="n">
        <f aca="false">IF(OR(F1459="",Q1459="",R1459=""),"",ROUND(IF(P1459="incl.",F1459/(1+Q1459),F1459)/IF(S1459="per pack",R1459,1),2))</f>
        <v>4.33</v>
      </c>
      <c r="AE1459" s="110" t="str">
        <f aca="false">IF(AND(AC1459="yes",ISNUMBER(F1459),IF(Compare!$H$5="All mapped",TRUE(),IF(Compare!$H$5="EXACT only",J1459="EXACT",OR(J1459="EXACT",J1459="CLOSE")))),"yes","no")</f>
        <v>yes</v>
      </c>
      <c r="AF1459" s="110" t="n">
        <f aca="false">IF(ISNUMBER(H1459),COUNTIFS($B$7:$B$3000,B1459,$C$7:$C$3000,C1459,$H$7:$H$3000,"&lt;"&amp;H1459,$AH$7:$AH$3000,"yes")+COUNTIFS($B$7:B1459,B1459,$C$7:C1459,C1459,$H$7:H1459,H1459,$AH$7:AH1459,"yes"),"")</f>
        <v>3</v>
      </c>
      <c r="AG1459" s="110" t="n">
        <f aca="false">IF(ISNUMBER(I1459),COUNTIFS($B$7:$B$3000,B1459,$C$7:$C$3000,C1459,$I$7:$I$3000,"&lt;"&amp;I1459,$AI$7:$AI$3000,"yes")+COUNTIFS($B$7:B1459,B1459,$C$7:C1459,C1459,$I$7:I1459,I1459,$AI$7:AI1459,"yes"),"")</f>
        <v>3</v>
      </c>
      <c r="AH1459" s="110" t="str">
        <f aca="false">IF(ISNUMBER(H1459),"yes","no")</f>
        <v>yes</v>
      </c>
      <c r="AI1459" s="110" t="str">
        <f aca="false">IF(ISNUMBER(I1459),"yes","no")</f>
        <v>yes</v>
      </c>
      <c r="AJ1459" s="120" t="n">
        <v>46297</v>
      </c>
      <c r="AK1459" s="110"/>
    </row>
    <row r="1460" customFormat="false" ht="35.05" hidden="false" customHeight="false" outlineLevel="0" collapsed="false">
      <c r="B1460" s="36" t="s">
        <v>87</v>
      </c>
      <c r="C1460" s="98" t="s">
        <v>15</v>
      </c>
      <c r="D1460" s="98" t="s">
        <v>293</v>
      </c>
      <c r="E1460" s="110" t="s">
        <v>4610</v>
      </c>
      <c r="F1460" s="99" t="n">
        <v>3.7</v>
      </c>
      <c r="G1460" s="98" t="s">
        <v>244</v>
      </c>
      <c r="H1460" s="112" t="n">
        <f aca="false">IF(AND(AE1460="yes",ISNUMBER(AD1460)),AD1460,"")</f>
        <v>3.7</v>
      </c>
      <c r="I1460" s="95" t="n">
        <f aca="false">IF(AND(AE1460="yes",ISNUMBER(AD1460),ISNUMBER(INDEX(Sources!$G$7:$G$10,MATCH(AB1460,Sources!$B$7:$B$10,0)))),ROUND(AD1460/INDEX(Sources!$G$7:$G$10,MATCH(AB1460,Sources!$B$7:$B$10,0)),6),"")</f>
        <v>3.7</v>
      </c>
      <c r="J1460" s="98" t="s">
        <v>530</v>
      </c>
      <c r="K1460" s="98" t="s">
        <v>2059</v>
      </c>
      <c r="L1460" s="96"/>
      <c r="M1460" s="110" t="s">
        <v>4611</v>
      </c>
      <c r="N1460" s="117" t="s">
        <v>4612</v>
      </c>
      <c r="O1460" s="110" t="s">
        <v>4358</v>
      </c>
      <c r="P1460" s="110" t="s">
        <v>590</v>
      </c>
      <c r="Q1460" s="118" t="n">
        <v>0.2</v>
      </c>
      <c r="R1460" s="110" t="n">
        <v>1</v>
      </c>
      <c r="S1460" s="110" t="s">
        <v>632</v>
      </c>
      <c r="T1460" s="110" t="s">
        <v>530</v>
      </c>
      <c r="U1460" s="110" t="s">
        <v>2913</v>
      </c>
      <c r="V1460" s="119" t="n">
        <v>3.7</v>
      </c>
      <c r="W1460" s="119"/>
      <c r="X1460" s="110" t="s">
        <v>2063</v>
      </c>
      <c r="Y1460" s="110" t="s">
        <v>2064</v>
      </c>
      <c r="Z1460" s="110"/>
      <c r="AA1460" s="110" t="s">
        <v>537</v>
      </c>
      <c r="AB1460" s="110" t="s">
        <v>244</v>
      </c>
      <c r="AC1460" s="110" t="s">
        <v>538</v>
      </c>
      <c r="AD1460" s="110" t="n">
        <f aca="false">IF(OR(F1460="",Q1460="",R1460=""),"",ROUND(IF(P1460="incl.",F1460/(1+Q1460),F1460)/IF(S1460="per pack",R1460,1),2))</f>
        <v>3.7</v>
      </c>
      <c r="AE1460" s="110" t="str">
        <f aca="false">IF(AND(AC1460="yes",ISNUMBER(F1460),IF(Compare!$H$5="All mapped",TRUE(),IF(Compare!$H$5="EXACT only",J1460="EXACT",OR(J1460="EXACT",J1460="CLOSE")))),"yes","no")</f>
        <v>yes</v>
      </c>
      <c r="AF1460" s="110" t="n">
        <f aca="false">IF(ISNUMBER(H1460),COUNTIFS($B$7:$B$3000,B1460,$C$7:$C$3000,C1460,$H$7:$H$3000,"&lt;"&amp;H1460,$AH$7:$AH$3000,"yes")+COUNTIFS($B$7:B1460,B1460,$C$7:C1460,C1460,$H$7:H1460,H1460,$AH$7:AH1460,"yes"),"")</f>
        <v>1</v>
      </c>
      <c r="AG1460" s="110" t="n">
        <f aca="false">IF(ISNUMBER(I1460),COUNTIFS($B$7:$B$3000,B1460,$C$7:$C$3000,C1460,$I$7:$I$3000,"&lt;"&amp;I1460,$AI$7:$AI$3000,"yes")+COUNTIFS($B$7:B1460,B1460,$C$7:C1460,C1460,$I$7:I1460,I1460,$AI$7:AI1460,"yes"),"")</f>
        <v>1</v>
      </c>
      <c r="AH1460" s="110" t="str">
        <f aca="false">IF(ISNUMBER(H1460),"yes","no")</f>
        <v>yes</v>
      </c>
      <c r="AI1460" s="110" t="str">
        <f aca="false">IF(ISNUMBER(I1460),"yes","no")</f>
        <v>yes</v>
      </c>
      <c r="AJ1460" s="120" t="n">
        <v>46297</v>
      </c>
      <c r="AK1460" s="110"/>
    </row>
    <row r="1461" customFormat="false" ht="23.85" hidden="false" customHeight="false" outlineLevel="0" collapsed="false">
      <c r="B1461" s="36" t="s">
        <v>87</v>
      </c>
      <c r="C1461" s="98" t="s">
        <v>16</v>
      </c>
      <c r="D1461" s="98" t="s">
        <v>296</v>
      </c>
      <c r="E1461" s="110" t="s">
        <v>4613</v>
      </c>
      <c r="F1461" s="99" t="n">
        <v>2.9</v>
      </c>
      <c r="G1461" s="98" t="s">
        <v>244</v>
      </c>
      <c r="H1461" s="112" t="n">
        <f aca="false">IF(AND(AE1461="yes",ISNUMBER(AD1461)),AD1461,"")</f>
        <v>2.9</v>
      </c>
      <c r="I1461" s="95" t="n">
        <f aca="false">IF(AND(AE1461="yes",ISNUMBER(AD1461),ISNUMBER(INDEX(Sources!$G$7:$G$10,MATCH(AB1461,Sources!$B$7:$B$10,0)))),ROUND(AD1461/INDEX(Sources!$G$7:$G$10,MATCH(AB1461,Sources!$B$7:$B$10,0)),6),"")</f>
        <v>2.9</v>
      </c>
      <c r="J1461" s="98" t="s">
        <v>530</v>
      </c>
      <c r="K1461" s="98" t="s">
        <v>2059</v>
      </c>
      <c r="L1461" s="96"/>
      <c r="M1461" s="110" t="s">
        <v>4614</v>
      </c>
      <c r="N1461" s="117" t="s">
        <v>4615</v>
      </c>
      <c r="O1461" s="110" t="s">
        <v>4362</v>
      </c>
      <c r="P1461" s="110" t="s">
        <v>590</v>
      </c>
      <c r="Q1461" s="118" t="n">
        <v>0.19</v>
      </c>
      <c r="R1461" s="110" t="n">
        <v>1</v>
      </c>
      <c r="S1461" s="110" t="s">
        <v>632</v>
      </c>
      <c r="T1461" s="110" t="s">
        <v>530</v>
      </c>
      <c r="U1461" s="110" t="s">
        <v>2913</v>
      </c>
      <c r="V1461" s="119" t="n">
        <v>2.9</v>
      </c>
      <c r="W1461" s="119"/>
      <c r="X1461" s="110" t="s">
        <v>2063</v>
      </c>
      <c r="Y1461" s="110" t="s">
        <v>2064</v>
      </c>
      <c r="Z1461" s="110" t="s">
        <v>2164</v>
      </c>
      <c r="AA1461" s="110" t="s">
        <v>537</v>
      </c>
      <c r="AB1461" s="110" t="s">
        <v>244</v>
      </c>
      <c r="AC1461" s="110" t="s">
        <v>538</v>
      </c>
      <c r="AD1461" s="110" t="n">
        <f aca="false">IF(OR(F1461="",Q1461="",R1461=""),"",ROUND(IF(P1461="incl.",F1461/(1+Q1461),F1461)/IF(S1461="per pack",R1461,1),2))</f>
        <v>2.9</v>
      </c>
      <c r="AE1461" s="110" t="str">
        <f aca="false">IF(AND(AC1461="yes",ISNUMBER(F1461),IF(Compare!$H$5="All mapped",TRUE(),IF(Compare!$H$5="EXACT only",J1461="EXACT",OR(J1461="EXACT",J1461="CLOSE")))),"yes","no")</f>
        <v>yes</v>
      </c>
      <c r="AF1461" s="110" t="n">
        <f aca="false">IF(ISNUMBER(H1461),COUNTIFS($B$7:$B$3000,B1461,$C$7:$C$3000,C1461,$H$7:$H$3000,"&lt;"&amp;H1461,$AH$7:$AH$3000,"yes")+COUNTIFS($B$7:B1461,B1461,$C$7:C1461,C1461,$H$7:H1461,H1461,$AH$7:AH1461,"yes"),"")</f>
        <v>1</v>
      </c>
      <c r="AG1461" s="110" t="n">
        <f aca="false">IF(ISNUMBER(I1461),COUNTIFS($B$7:$B$3000,B1461,$C$7:$C$3000,C1461,$I$7:$I$3000,"&lt;"&amp;I1461,$AI$7:$AI$3000,"yes")+COUNTIFS($B$7:B1461,B1461,$C$7:C1461,C1461,$I$7:I1461,I1461,$AI$7:AI1461,"yes"),"")</f>
        <v>1</v>
      </c>
      <c r="AH1461" s="110" t="str">
        <f aca="false">IF(ISNUMBER(H1461),"yes","no")</f>
        <v>yes</v>
      </c>
      <c r="AI1461" s="110" t="str">
        <f aca="false">IF(ISNUMBER(I1461),"yes","no")</f>
        <v>yes</v>
      </c>
      <c r="AJ1461" s="120" t="n">
        <v>46297</v>
      </c>
      <c r="AK1461" s="110"/>
    </row>
    <row r="1462" customFormat="false" ht="35.05" hidden="false" customHeight="false" outlineLevel="0" collapsed="false">
      <c r="B1462" s="36" t="s">
        <v>87</v>
      </c>
      <c r="C1462" s="98" t="s">
        <v>16</v>
      </c>
      <c r="D1462" s="98" t="s">
        <v>317</v>
      </c>
      <c r="E1462" s="110" t="s">
        <v>4601</v>
      </c>
      <c r="F1462" s="99" t="n">
        <v>49.99</v>
      </c>
      <c r="G1462" s="98" t="s">
        <v>244</v>
      </c>
      <c r="H1462" s="112" t="n">
        <f aca="false">IF(AND(AE1462="yes",ISNUMBER(AD1462)),AD1462,"")</f>
        <v>4.17</v>
      </c>
      <c r="I1462" s="95" t="n">
        <f aca="false">IF(AND(AE1462="yes",ISNUMBER(AD1462),ISNUMBER(INDEX(Sources!$G$7:$G$10,MATCH(AB1462,Sources!$B$7:$B$10,0)))),ROUND(AD1462/INDEX(Sources!$G$7:$G$10,MATCH(AB1462,Sources!$B$7:$B$10,0)),6),"")</f>
        <v>4.17</v>
      </c>
      <c r="J1462" s="98" t="s">
        <v>530</v>
      </c>
      <c r="K1462" s="98" t="s">
        <v>2059</v>
      </c>
      <c r="L1462" s="96"/>
      <c r="M1462" s="110" t="s">
        <v>4616</v>
      </c>
      <c r="N1462" s="117" t="s">
        <v>4617</v>
      </c>
      <c r="O1462" s="110" t="s">
        <v>317</v>
      </c>
      <c r="P1462" s="110" t="s">
        <v>590</v>
      </c>
      <c r="Q1462" s="118" t="n">
        <v>0.19</v>
      </c>
      <c r="R1462" s="110" t="n">
        <v>12</v>
      </c>
      <c r="S1462" s="110" t="s">
        <v>625</v>
      </c>
      <c r="T1462" s="110" t="s">
        <v>530</v>
      </c>
      <c r="U1462" s="110" t="s">
        <v>2913</v>
      </c>
      <c r="V1462" s="119" t="n">
        <v>4.17</v>
      </c>
      <c r="W1462" s="119"/>
      <c r="X1462" s="110" t="s">
        <v>2063</v>
      </c>
      <c r="Y1462" s="110" t="s">
        <v>2064</v>
      </c>
      <c r="Z1462" s="110" t="s">
        <v>4521</v>
      </c>
      <c r="AA1462" s="110" t="s">
        <v>537</v>
      </c>
      <c r="AB1462" s="110" t="s">
        <v>244</v>
      </c>
      <c r="AC1462" s="110" t="s">
        <v>538</v>
      </c>
      <c r="AD1462" s="110" t="n">
        <f aca="false">IF(OR(F1462="",Q1462="",R1462=""),"",ROUND(IF(P1462="incl.",F1462/(1+Q1462),F1462)/IF(S1462="per pack",R1462,1),2))</f>
        <v>4.17</v>
      </c>
      <c r="AE1462" s="110" t="str">
        <f aca="false">IF(AND(AC1462="yes",ISNUMBER(F1462),IF(Compare!$H$5="All mapped",TRUE(),IF(Compare!$H$5="EXACT only",J1462="EXACT",OR(J1462="EXACT",J1462="CLOSE")))),"yes","no")</f>
        <v>yes</v>
      </c>
      <c r="AF1462" s="110" t="n">
        <f aca="false">IF(ISNUMBER(H1462),COUNTIFS($B$7:$B$3000,B1462,$C$7:$C$3000,C1462,$H$7:$H$3000,"&lt;"&amp;H1462,$AH$7:$AH$3000,"yes")+COUNTIFS($B$7:B1462,B1462,$C$7:C1462,C1462,$H$7:H1462,H1462,$AH$7:AH1462,"yes"),"")</f>
        <v>3</v>
      </c>
      <c r="AG1462" s="110" t="n">
        <f aca="false">IF(ISNUMBER(I1462),COUNTIFS($B$7:$B$3000,B1462,$C$7:$C$3000,C1462,$I$7:$I$3000,"&lt;"&amp;I1462,$AI$7:$AI$3000,"yes")+COUNTIFS($B$7:B1462,B1462,$C$7:C1462,C1462,$I$7:I1462,I1462,$AI$7:AI1462,"yes"),"")</f>
        <v>3</v>
      </c>
      <c r="AH1462" s="110" t="str">
        <f aca="false">IF(ISNUMBER(H1462),"yes","no")</f>
        <v>yes</v>
      </c>
      <c r="AI1462" s="110" t="str">
        <f aca="false">IF(ISNUMBER(I1462),"yes","no")</f>
        <v>yes</v>
      </c>
      <c r="AJ1462" s="120" t="n">
        <v>46297</v>
      </c>
      <c r="AK1462" s="110"/>
    </row>
    <row r="1463" customFormat="false" ht="23.85" hidden="false" customHeight="false" outlineLevel="0" collapsed="false">
      <c r="B1463" s="36" t="s">
        <v>87</v>
      </c>
      <c r="C1463" s="98" t="s">
        <v>16</v>
      </c>
      <c r="D1463" s="98" t="s">
        <v>305</v>
      </c>
      <c r="E1463" s="110" t="s">
        <v>4618</v>
      </c>
      <c r="F1463" s="99" t="n">
        <v>3.76</v>
      </c>
      <c r="G1463" s="98" t="s">
        <v>244</v>
      </c>
      <c r="H1463" s="112" t="n">
        <f aca="false">IF(AND(AE1463="yes",ISNUMBER(AD1463)),AD1463,"")</f>
        <v>3.76</v>
      </c>
      <c r="I1463" s="95" t="n">
        <f aca="false">IF(AND(AE1463="yes",ISNUMBER(AD1463),ISNUMBER(INDEX(Sources!$G$7:$G$10,MATCH(AB1463,Sources!$B$7:$B$10,0)))),ROUND(AD1463/INDEX(Sources!$G$7:$G$10,MATCH(AB1463,Sources!$B$7:$B$10,0)),6),"")</f>
        <v>3.76</v>
      </c>
      <c r="J1463" s="98" t="s">
        <v>530</v>
      </c>
      <c r="K1463" s="98" t="s">
        <v>2059</v>
      </c>
      <c r="L1463" s="96"/>
      <c r="M1463" s="110" t="s">
        <v>4619</v>
      </c>
      <c r="N1463" s="117" t="s">
        <v>4620</v>
      </c>
      <c r="O1463" s="110" t="s">
        <v>603</v>
      </c>
      <c r="P1463" s="110" t="s">
        <v>590</v>
      </c>
      <c r="Q1463" s="118" t="n">
        <v>0.19</v>
      </c>
      <c r="R1463" s="110" t="n">
        <v>1</v>
      </c>
      <c r="S1463" s="110" t="s">
        <v>632</v>
      </c>
      <c r="T1463" s="110" t="s">
        <v>530</v>
      </c>
      <c r="U1463" s="110" t="s">
        <v>2913</v>
      </c>
      <c r="V1463" s="119" t="n">
        <v>3.76</v>
      </c>
      <c r="W1463" s="119"/>
      <c r="X1463" s="110" t="s">
        <v>2063</v>
      </c>
      <c r="Y1463" s="110" t="s">
        <v>2064</v>
      </c>
      <c r="Z1463" s="110" t="s">
        <v>2142</v>
      </c>
      <c r="AA1463" s="110" t="s">
        <v>537</v>
      </c>
      <c r="AB1463" s="110" t="s">
        <v>244</v>
      </c>
      <c r="AC1463" s="110" t="s">
        <v>538</v>
      </c>
      <c r="AD1463" s="110" t="n">
        <f aca="false">IF(OR(F1463="",Q1463="",R1463=""),"",ROUND(IF(P1463="incl.",F1463/(1+Q1463),F1463)/IF(S1463="per pack",R1463,1),2))</f>
        <v>3.76</v>
      </c>
      <c r="AE1463" s="110" t="str">
        <f aca="false">IF(AND(AC1463="yes",ISNUMBER(F1463),IF(Compare!$H$5="All mapped",TRUE(),IF(Compare!$H$5="EXACT only",J1463="EXACT",OR(J1463="EXACT",J1463="CLOSE")))),"yes","no")</f>
        <v>yes</v>
      </c>
      <c r="AF1463" s="110" t="n">
        <f aca="false">IF(ISNUMBER(H1463),COUNTIFS($B$7:$B$3000,B1463,$C$7:$C$3000,C1463,$H$7:$H$3000,"&lt;"&amp;H1463,$AH$7:$AH$3000,"yes")+COUNTIFS($B$7:B1463,B1463,$C$7:C1463,C1463,$H$7:H1463,H1463,$AH$7:AH1463,"yes"),"")</f>
        <v>2</v>
      </c>
      <c r="AG1463" s="110" t="n">
        <f aca="false">IF(ISNUMBER(I1463),COUNTIFS($B$7:$B$3000,B1463,$C$7:$C$3000,C1463,$I$7:$I$3000,"&lt;"&amp;I1463,$AI$7:$AI$3000,"yes")+COUNTIFS($B$7:B1463,B1463,$C$7:C1463,C1463,$I$7:I1463,I1463,$AI$7:AI1463,"yes"),"")</f>
        <v>2</v>
      </c>
      <c r="AH1463" s="110" t="str">
        <f aca="false">IF(ISNUMBER(H1463),"yes","no")</f>
        <v>yes</v>
      </c>
      <c r="AI1463" s="110" t="str">
        <f aca="false">IF(ISNUMBER(I1463),"yes","no")</f>
        <v>yes</v>
      </c>
      <c r="AJ1463" s="120" t="n">
        <v>46297</v>
      </c>
      <c r="AK1463" s="110"/>
    </row>
    <row r="1464" customFormat="false" ht="23.85" hidden="false" customHeight="false" outlineLevel="0" collapsed="false">
      <c r="B1464" s="36" t="s">
        <v>87</v>
      </c>
      <c r="C1464" s="98" t="s">
        <v>16</v>
      </c>
      <c r="D1464" s="98" t="s">
        <v>311</v>
      </c>
      <c r="E1464" s="110" t="s">
        <v>4604</v>
      </c>
      <c r="F1464" s="99" t="n">
        <v>4.89</v>
      </c>
      <c r="G1464" s="98" t="s">
        <v>244</v>
      </c>
      <c r="H1464" s="112" t="n">
        <f aca="false">IF(AND(AE1464="yes",ISNUMBER(AD1464)),AD1464,"")</f>
        <v>4.89</v>
      </c>
      <c r="I1464" s="95" t="n">
        <f aca="false">IF(AND(AE1464="yes",ISNUMBER(AD1464),ISNUMBER(INDEX(Sources!$G$7:$G$10,MATCH(AB1464,Sources!$B$7:$B$10,0)))),ROUND(AD1464/INDEX(Sources!$G$7:$G$10,MATCH(AB1464,Sources!$B$7:$B$10,0)),6),"")</f>
        <v>4.89</v>
      </c>
      <c r="J1464" s="98" t="s">
        <v>530</v>
      </c>
      <c r="K1464" s="98" t="s">
        <v>2059</v>
      </c>
      <c r="L1464" s="96"/>
      <c r="M1464" s="110" t="s">
        <v>4621</v>
      </c>
      <c r="N1464" s="117" t="s">
        <v>4622</v>
      </c>
      <c r="O1464" s="110" t="s">
        <v>589</v>
      </c>
      <c r="P1464" s="110" t="s">
        <v>590</v>
      </c>
      <c r="Q1464" s="118" t="n">
        <v>0.19</v>
      </c>
      <c r="R1464" s="110" t="n">
        <v>1</v>
      </c>
      <c r="S1464" s="110" t="s">
        <v>632</v>
      </c>
      <c r="T1464" s="110" t="s">
        <v>530</v>
      </c>
      <c r="U1464" s="110" t="s">
        <v>2913</v>
      </c>
      <c r="V1464" s="119" t="n">
        <v>4.89</v>
      </c>
      <c r="W1464" s="119"/>
      <c r="X1464" s="110" t="s">
        <v>2063</v>
      </c>
      <c r="Y1464" s="110" t="s">
        <v>2064</v>
      </c>
      <c r="Z1464" s="110" t="s">
        <v>4369</v>
      </c>
      <c r="AA1464" s="110" t="s">
        <v>537</v>
      </c>
      <c r="AB1464" s="110" t="s">
        <v>244</v>
      </c>
      <c r="AC1464" s="110" t="s">
        <v>538</v>
      </c>
      <c r="AD1464" s="110" t="n">
        <f aca="false">IF(OR(F1464="",Q1464="",R1464=""),"",ROUND(IF(P1464="incl.",F1464/(1+Q1464),F1464)/IF(S1464="per pack",R1464,1),2))</f>
        <v>4.89</v>
      </c>
      <c r="AE1464" s="110" t="str">
        <f aca="false">IF(AND(AC1464="yes",ISNUMBER(F1464),IF(Compare!$H$5="All mapped",TRUE(),IF(Compare!$H$5="EXACT only",J1464="EXACT",OR(J1464="EXACT",J1464="CLOSE")))),"yes","no")</f>
        <v>yes</v>
      </c>
      <c r="AF1464" s="110" t="n">
        <f aca="false">IF(ISNUMBER(H1464),COUNTIFS($B$7:$B$3000,B1464,$C$7:$C$3000,C1464,$H$7:$H$3000,"&lt;"&amp;H1464,$AH$7:$AH$3000,"yes")+COUNTIFS($B$7:B1464,B1464,$C$7:C1464,C1464,$H$7:H1464,H1464,$AH$7:AH1464,"yes"),"")</f>
        <v>5</v>
      </c>
      <c r="AG1464" s="110" t="n">
        <f aca="false">IF(ISNUMBER(I1464),COUNTIFS($B$7:$B$3000,B1464,$C$7:$C$3000,C1464,$I$7:$I$3000,"&lt;"&amp;I1464,$AI$7:$AI$3000,"yes")+COUNTIFS($B$7:B1464,B1464,$C$7:C1464,C1464,$I$7:I1464,I1464,$AI$7:AI1464,"yes"),"")</f>
        <v>5</v>
      </c>
      <c r="AH1464" s="110" t="str">
        <f aca="false">IF(ISNUMBER(H1464),"yes","no")</f>
        <v>yes</v>
      </c>
      <c r="AI1464" s="110" t="str">
        <f aca="false">IF(ISNUMBER(I1464),"yes","no")</f>
        <v>yes</v>
      </c>
      <c r="AJ1464" s="120" t="n">
        <v>46297</v>
      </c>
      <c r="AK1464" s="110"/>
    </row>
    <row r="1465" customFormat="false" ht="23.85" hidden="false" customHeight="false" outlineLevel="0" collapsed="false">
      <c r="B1465" s="36" t="s">
        <v>87</v>
      </c>
      <c r="C1465" s="98" t="s">
        <v>16</v>
      </c>
      <c r="D1465" s="98" t="s">
        <v>309</v>
      </c>
      <c r="E1465" s="110" t="s">
        <v>4623</v>
      </c>
      <c r="F1465" s="99" t="n">
        <v>14</v>
      </c>
      <c r="G1465" s="98" t="s">
        <v>244</v>
      </c>
      <c r="H1465" s="112" t="n">
        <f aca="false">IF(AND(AE1465="yes",ISNUMBER(AD1465)),AD1465,"")</f>
        <v>14</v>
      </c>
      <c r="I1465" s="95" t="n">
        <f aca="false">IF(AND(AE1465="yes",ISNUMBER(AD1465),ISNUMBER(INDEX(Sources!$G$7:$G$10,MATCH(AB1465,Sources!$B$7:$B$10,0)))),ROUND(AD1465/INDEX(Sources!$G$7:$G$10,MATCH(AB1465,Sources!$B$7:$B$10,0)),6),"")</f>
        <v>14</v>
      </c>
      <c r="J1465" s="98" t="s">
        <v>530</v>
      </c>
      <c r="K1465" s="98" t="s">
        <v>2059</v>
      </c>
      <c r="L1465" s="96"/>
      <c r="M1465" s="110" t="s">
        <v>4624</v>
      </c>
      <c r="N1465" s="117" t="s">
        <v>4625</v>
      </c>
      <c r="O1465" s="110" t="s">
        <v>603</v>
      </c>
      <c r="P1465" s="110" t="s">
        <v>590</v>
      </c>
      <c r="Q1465" s="118" t="n">
        <v>0.19</v>
      </c>
      <c r="R1465" s="110" t="n">
        <v>1</v>
      </c>
      <c r="S1465" s="110" t="s">
        <v>632</v>
      </c>
      <c r="T1465" s="110" t="s">
        <v>530</v>
      </c>
      <c r="U1465" s="110" t="s">
        <v>2913</v>
      </c>
      <c r="V1465" s="119" t="n">
        <v>14</v>
      </c>
      <c r="W1465" s="119"/>
      <c r="X1465" s="110" t="s">
        <v>2063</v>
      </c>
      <c r="Y1465" s="110" t="s">
        <v>2064</v>
      </c>
      <c r="Z1465" s="110" t="s">
        <v>4373</v>
      </c>
      <c r="AA1465" s="110" t="s">
        <v>537</v>
      </c>
      <c r="AB1465" s="110" t="s">
        <v>244</v>
      </c>
      <c r="AC1465" s="110" t="s">
        <v>538</v>
      </c>
      <c r="AD1465" s="110" t="n">
        <f aca="false">IF(OR(F1465="",Q1465="",R1465=""),"",ROUND(IF(P1465="incl.",F1465/(1+Q1465),F1465)/IF(S1465="per pack",R1465,1),2))</f>
        <v>14</v>
      </c>
      <c r="AE1465" s="110" t="str">
        <f aca="false">IF(AND(AC1465="yes",ISNUMBER(F1465),IF(Compare!$H$5="All mapped",TRUE(),IF(Compare!$H$5="EXACT only",J1465="EXACT",OR(J1465="EXACT",J1465="CLOSE")))),"yes","no")</f>
        <v>yes</v>
      </c>
      <c r="AF1465" s="110" t="n">
        <f aca="false">IF(ISNUMBER(H1465),COUNTIFS($B$7:$B$3000,B1465,$C$7:$C$3000,C1465,$H$7:$H$3000,"&lt;"&amp;H1465,$AH$7:$AH$3000,"yes")+COUNTIFS($B$7:B1465,B1465,$C$7:C1465,C1465,$H$7:H1465,H1465,$AH$7:AH1465,"yes"),"")</f>
        <v>7</v>
      </c>
      <c r="AG1465" s="110" t="n">
        <f aca="false">IF(ISNUMBER(I1465),COUNTIFS($B$7:$B$3000,B1465,$C$7:$C$3000,C1465,$I$7:$I$3000,"&lt;"&amp;I1465,$AI$7:$AI$3000,"yes")+COUNTIFS($B$7:B1465,B1465,$C$7:C1465,C1465,$I$7:I1465,I1465,$AI$7:AI1465,"yes"),"")</f>
        <v>7</v>
      </c>
      <c r="AH1465" s="110" t="str">
        <f aca="false">IF(ISNUMBER(H1465),"yes","no")</f>
        <v>yes</v>
      </c>
      <c r="AI1465" s="110" t="str">
        <f aca="false">IF(ISNUMBER(I1465),"yes","no")</f>
        <v>yes</v>
      </c>
      <c r="AJ1465" s="120" t="n">
        <v>46297</v>
      </c>
      <c r="AK1465" s="110"/>
    </row>
    <row r="1466" customFormat="false" ht="35.05" hidden="false" customHeight="false" outlineLevel="0" collapsed="false">
      <c r="B1466" s="36" t="s">
        <v>87</v>
      </c>
      <c r="C1466" s="98" t="s">
        <v>16</v>
      </c>
      <c r="D1466" s="98" t="s">
        <v>321</v>
      </c>
      <c r="E1466" s="110" t="s">
        <v>4607</v>
      </c>
      <c r="F1466" s="99" t="n">
        <v>4.33</v>
      </c>
      <c r="G1466" s="98" t="s">
        <v>244</v>
      </c>
      <c r="H1466" s="112" t="n">
        <f aca="false">IF(AND(AE1466="yes",ISNUMBER(AD1466)),AD1466,"")</f>
        <v>4.33</v>
      </c>
      <c r="I1466" s="95" t="n">
        <f aca="false">IF(AND(AE1466="yes",ISNUMBER(AD1466),ISNUMBER(INDEX(Sources!$G$7:$G$10,MATCH(AB1466,Sources!$B$7:$B$10,0)))),ROUND(AD1466/INDEX(Sources!$G$7:$G$10,MATCH(AB1466,Sources!$B$7:$B$10,0)),6),"")</f>
        <v>4.33</v>
      </c>
      <c r="J1466" s="98" t="s">
        <v>530</v>
      </c>
      <c r="K1466" s="98" t="s">
        <v>2059</v>
      </c>
      <c r="L1466" s="96"/>
      <c r="M1466" s="110" t="s">
        <v>4626</v>
      </c>
      <c r="N1466" s="117" t="s">
        <v>4627</v>
      </c>
      <c r="O1466" s="110" t="s">
        <v>603</v>
      </c>
      <c r="P1466" s="110" t="s">
        <v>590</v>
      </c>
      <c r="Q1466" s="118" t="n">
        <v>0.19</v>
      </c>
      <c r="R1466" s="110" t="n">
        <v>1</v>
      </c>
      <c r="S1466" s="110" t="s">
        <v>632</v>
      </c>
      <c r="T1466" s="110" t="s">
        <v>530</v>
      </c>
      <c r="U1466" s="110" t="s">
        <v>2913</v>
      </c>
      <c r="V1466" s="119" t="n">
        <v>4.33</v>
      </c>
      <c r="W1466" s="119"/>
      <c r="X1466" s="110" t="s">
        <v>2063</v>
      </c>
      <c r="Y1466" s="110" t="s">
        <v>2064</v>
      </c>
      <c r="Z1466" s="110" t="s">
        <v>2857</v>
      </c>
      <c r="AA1466" s="110" t="s">
        <v>537</v>
      </c>
      <c r="AB1466" s="110" t="s">
        <v>244</v>
      </c>
      <c r="AC1466" s="110" t="s">
        <v>538</v>
      </c>
      <c r="AD1466" s="110" t="n">
        <f aca="false">IF(OR(F1466="",Q1466="",R1466=""),"",ROUND(IF(P1466="incl.",F1466/(1+Q1466),F1466)/IF(S1466="per pack",R1466,1),2))</f>
        <v>4.33</v>
      </c>
      <c r="AE1466" s="110" t="str">
        <f aca="false">IF(AND(AC1466="yes",ISNUMBER(F1466),IF(Compare!$H$5="All mapped",TRUE(),IF(Compare!$H$5="EXACT only",J1466="EXACT",OR(J1466="EXACT",J1466="CLOSE")))),"yes","no")</f>
        <v>yes</v>
      </c>
      <c r="AF1466" s="110" t="n">
        <f aca="false">IF(ISNUMBER(H1466),COUNTIFS($B$7:$B$3000,B1466,$C$7:$C$3000,C1466,$H$7:$H$3000,"&lt;"&amp;H1466,$AH$7:$AH$3000,"yes")+COUNTIFS($B$7:B1466,B1466,$C$7:C1466,C1466,$H$7:H1466,H1466,$AH$7:AH1466,"yes"),"")</f>
        <v>4</v>
      </c>
      <c r="AG1466" s="110" t="n">
        <f aca="false">IF(ISNUMBER(I1466),COUNTIFS($B$7:$B$3000,B1466,$C$7:$C$3000,C1466,$I$7:$I$3000,"&lt;"&amp;I1466,$AI$7:$AI$3000,"yes")+COUNTIFS($B$7:B1466,B1466,$C$7:C1466,C1466,$I$7:I1466,I1466,$AI$7:AI1466,"yes"),"")</f>
        <v>4</v>
      </c>
      <c r="AH1466" s="110" t="str">
        <f aca="false">IF(ISNUMBER(H1466),"yes","no")</f>
        <v>yes</v>
      </c>
      <c r="AI1466" s="110" t="str">
        <f aca="false">IF(ISNUMBER(I1466),"yes","no")</f>
        <v>yes</v>
      </c>
      <c r="AJ1466" s="120" t="n">
        <v>46297</v>
      </c>
      <c r="AK1466" s="110"/>
    </row>
    <row r="1467" customFormat="false" ht="35.05" hidden="false" customHeight="false" outlineLevel="0" collapsed="false">
      <c r="B1467" s="36" t="s">
        <v>87</v>
      </c>
      <c r="C1467" s="98" t="s">
        <v>16</v>
      </c>
      <c r="D1467" s="98" t="s">
        <v>329</v>
      </c>
      <c r="E1467" s="110" t="s">
        <v>4628</v>
      </c>
      <c r="F1467" s="99" t="n">
        <v>5.99</v>
      </c>
      <c r="G1467" s="98" t="s">
        <v>244</v>
      </c>
      <c r="H1467" s="112" t="n">
        <f aca="false">IF(AND(AE1467="yes",ISNUMBER(AD1467)),AD1467,"")</f>
        <v>5.99</v>
      </c>
      <c r="I1467" s="95" t="n">
        <f aca="false">IF(AND(AE1467="yes",ISNUMBER(AD1467),ISNUMBER(INDEX(Sources!$G$7:$G$10,MATCH(AB1467,Sources!$B$7:$B$10,0)))),ROUND(AD1467/INDEX(Sources!$G$7:$G$10,MATCH(AB1467,Sources!$B$7:$B$10,0)),6),"")</f>
        <v>5.99</v>
      </c>
      <c r="J1467" s="98" t="s">
        <v>530</v>
      </c>
      <c r="K1467" s="98" t="s">
        <v>2059</v>
      </c>
      <c r="L1467" s="96"/>
      <c r="M1467" s="110" t="s">
        <v>4629</v>
      </c>
      <c r="N1467" s="117" t="s">
        <v>4630</v>
      </c>
      <c r="O1467" s="110" t="s">
        <v>642</v>
      </c>
      <c r="P1467" s="110" t="s">
        <v>590</v>
      </c>
      <c r="Q1467" s="118" t="n">
        <v>0.19</v>
      </c>
      <c r="R1467" s="110" t="n">
        <v>1</v>
      </c>
      <c r="S1467" s="110" t="s">
        <v>632</v>
      </c>
      <c r="T1467" s="110" t="s">
        <v>530</v>
      </c>
      <c r="U1467" s="110" t="s">
        <v>2913</v>
      </c>
      <c r="V1467" s="119" t="n">
        <v>5.99</v>
      </c>
      <c r="W1467" s="119"/>
      <c r="X1467" s="110" t="s">
        <v>2063</v>
      </c>
      <c r="Y1467" s="110" t="s">
        <v>2064</v>
      </c>
      <c r="Z1467" s="110" t="s">
        <v>2777</v>
      </c>
      <c r="AA1467" s="110" t="s">
        <v>537</v>
      </c>
      <c r="AB1467" s="110" t="s">
        <v>244</v>
      </c>
      <c r="AC1467" s="110" t="s">
        <v>538</v>
      </c>
      <c r="AD1467" s="110" t="n">
        <f aca="false">IF(OR(F1467="",Q1467="",R1467=""),"",ROUND(IF(P1467="incl.",F1467/(1+Q1467),F1467)/IF(S1467="per pack",R1467,1),2))</f>
        <v>5.99</v>
      </c>
      <c r="AE1467" s="110" t="str">
        <f aca="false">IF(AND(AC1467="yes",ISNUMBER(F1467),IF(Compare!$H$5="All mapped",TRUE(),IF(Compare!$H$5="EXACT only",J1467="EXACT",OR(J1467="EXACT",J1467="CLOSE")))),"yes","no")</f>
        <v>yes</v>
      </c>
      <c r="AF1467" s="110" t="n">
        <f aca="false">IF(ISNUMBER(H1467),COUNTIFS($B$7:$B$3000,B1467,$C$7:$C$3000,C1467,$H$7:$H$3000,"&lt;"&amp;H1467,$AH$7:$AH$3000,"yes")+COUNTIFS($B$7:B1467,B1467,$C$7:C1467,C1467,$H$7:H1467,H1467,$AH$7:AH1467,"yes"),"")</f>
        <v>6</v>
      </c>
      <c r="AG1467" s="110" t="n">
        <f aca="false">IF(ISNUMBER(I1467),COUNTIFS($B$7:$B$3000,B1467,$C$7:$C$3000,C1467,$I$7:$I$3000,"&lt;"&amp;I1467,$AI$7:$AI$3000,"yes")+COUNTIFS($B$7:B1467,B1467,$C$7:C1467,C1467,$I$7:I1467,I1467,$AI$7:AI1467,"yes"),"")</f>
        <v>6</v>
      </c>
      <c r="AH1467" s="110" t="str">
        <f aca="false">IF(ISNUMBER(H1467),"yes","no")</f>
        <v>yes</v>
      </c>
      <c r="AI1467" s="110" t="str">
        <f aca="false">IF(ISNUMBER(I1467),"yes","no")</f>
        <v>yes</v>
      </c>
      <c r="AJ1467" s="120" t="n">
        <v>46297</v>
      </c>
      <c r="AK1467" s="110"/>
    </row>
    <row r="1468" customFormat="false" ht="23.85" hidden="false" customHeight="false" outlineLevel="0" collapsed="false">
      <c r="B1468" s="36" t="s">
        <v>87</v>
      </c>
      <c r="C1468" s="98" t="s">
        <v>17</v>
      </c>
      <c r="D1468" s="98" t="s">
        <v>338</v>
      </c>
      <c r="E1468" s="110" t="s">
        <v>4631</v>
      </c>
      <c r="F1468" s="99" t="n">
        <v>339</v>
      </c>
      <c r="G1468" s="98" t="s">
        <v>333</v>
      </c>
      <c r="H1468" s="112" t="n">
        <f aca="false">IF(AND(AE1468="yes",ISNUMBER(AD1468)),AD1468,"")</f>
        <v>280.17</v>
      </c>
      <c r="I1468" s="95" t="n">
        <f aca="false">IF(AND(AE1468="yes",ISNUMBER(AD1468),ISNUMBER(INDEX(Sources!$G$7:$G$10,MATCH(AB1468,Sources!$B$7:$B$10,0)))),ROUND(AD1468/INDEX(Sources!$G$7:$G$10,MATCH(AB1468,Sources!$B$7:$B$10,0)),6),"")</f>
        <v>11.471274</v>
      </c>
      <c r="J1468" s="98" t="s">
        <v>530</v>
      </c>
      <c r="K1468" s="98" t="s">
        <v>2059</v>
      </c>
      <c r="L1468" s="96"/>
      <c r="M1468" s="110" t="s">
        <v>4632</v>
      </c>
      <c r="N1468" s="117" t="s">
        <v>4633</v>
      </c>
      <c r="O1468" s="110" t="s">
        <v>388</v>
      </c>
      <c r="P1468" s="110" t="s">
        <v>265</v>
      </c>
      <c r="Q1468" s="118" t="n">
        <v>0.21</v>
      </c>
      <c r="R1468" s="110" t="n">
        <v>1</v>
      </c>
      <c r="S1468" s="110" t="s">
        <v>632</v>
      </c>
      <c r="T1468" s="110" t="s">
        <v>530</v>
      </c>
      <c r="U1468" s="110" t="s">
        <v>2918</v>
      </c>
      <c r="V1468" s="119" t="n">
        <v>280.17</v>
      </c>
      <c r="W1468" s="119"/>
      <c r="X1468" s="110" t="s">
        <v>2063</v>
      </c>
      <c r="Y1468" s="110" t="s">
        <v>2064</v>
      </c>
      <c r="Z1468" s="110" t="s">
        <v>4634</v>
      </c>
      <c r="AA1468" s="110" t="s">
        <v>537</v>
      </c>
      <c r="AB1468" s="110" t="s">
        <v>333</v>
      </c>
      <c r="AC1468" s="110" t="s">
        <v>538</v>
      </c>
      <c r="AD1468" s="110" t="n">
        <f aca="false">IF(OR(F1468="",Q1468="",R1468=""),"",ROUND(IF(P1468="incl.",F1468/(1+Q1468),F1468)/IF(S1468="per pack",R1468,1),2))</f>
        <v>280.17</v>
      </c>
      <c r="AE1468" s="110" t="str">
        <f aca="false">IF(AND(AC1468="yes",ISNUMBER(F1468),IF(Compare!$H$5="All mapped",TRUE(),IF(Compare!$H$5="EXACT only",J1468="EXACT",OR(J1468="EXACT",J1468="CLOSE")))),"yes","no")</f>
        <v>yes</v>
      </c>
      <c r="AF1468" s="110" t="n">
        <f aca="false">IF(ISNUMBER(H1468),COUNTIFS($B$7:$B$3000,B1468,$C$7:$C$3000,C1468,$H$7:$H$3000,"&lt;"&amp;H1468,$AH$7:$AH$3000,"yes")+COUNTIFS($B$7:B1468,B1468,$C$7:C1468,C1468,$H$7:H1468,H1468,$AH$7:AH1468,"yes"),"")</f>
        <v>5</v>
      </c>
      <c r="AG1468" s="110" t="n">
        <f aca="false">IF(ISNUMBER(I1468),COUNTIFS($B$7:$B$3000,B1468,$C$7:$C$3000,C1468,$I$7:$I$3000,"&lt;"&amp;I1468,$AI$7:$AI$3000,"yes")+COUNTIFS($B$7:B1468,B1468,$C$7:C1468,C1468,$I$7:I1468,I1468,$AI$7:AI1468,"yes"),"")</f>
        <v>5</v>
      </c>
      <c r="AH1468" s="110" t="str">
        <f aca="false">IF(ISNUMBER(H1468),"yes","no")</f>
        <v>yes</v>
      </c>
      <c r="AI1468" s="110" t="str">
        <f aca="false">IF(ISNUMBER(I1468),"yes","no")</f>
        <v>yes</v>
      </c>
      <c r="AJ1468" s="120" t="n">
        <v>46297</v>
      </c>
      <c r="AK1468" s="110"/>
    </row>
    <row r="1469" customFormat="false" ht="35.05" hidden="false" customHeight="false" outlineLevel="0" collapsed="false">
      <c r="B1469" s="36" t="s">
        <v>87</v>
      </c>
      <c r="C1469" s="98" t="s">
        <v>17</v>
      </c>
      <c r="D1469" s="98" t="s">
        <v>342</v>
      </c>
      <c r="E1469" s="110" t="s">
        <v>4635</v>
      </c>
      <c r="F1469" s="99" t="n">
        <v>94</v>
      </c>
      <c r="G1469" s="98" t="s">
        <v>333</v>
      </c>
      <c r="H1469" s="112" t="n">
        <f aca="false">IF(AND(AE1469="yes",ISNUMBER(AD1469)),AD1469,"")</f>
        <v>94</v>
      </c>
      <c r="I1469" s="95" t="n">
        <f aca="false">IF(AND(AE1469="yes",ISNUMBER(AD1469),ISNUMBER(INDEX(Sources!$G$7:$G$10,MATCH(AB1469,Sources!$B$7:$B$10,0)))),ROUND(AD1469/INDEX(Sources!$G$7:$G$10,MATCH(AB1469,Sources!$B$7:$B$10,0)),6),"")</f>
        <v>3.848734</v>
      </c>
      <c r="J1469" s="98" t="s">
        <v>530</v>
      </c>
      <c r="K1469" s="98" t="s">
        <v>2059</v>
      </c>
      <c r="L1469" s="96"/>
      <c r="M1469" s="110" t="s">
        <v>4636</v>
      </c>
      <c r="N1469" s="117" t="s">
        <v>4637</v>
      </c>
      <c r="O1469" s="110" t="s">
        <v>733</v>
      </c>
      <c r="P1469" s="110" t="s">
        <v>590</v>
      </c>
      <c r="Q1469" s="118" t="n">
        <v>0.21</v>
      </c>
      <c r="R1469" s="110" t="n">
        <v>1</v>
      </c>
      <c r="S1469" s="110" t="s">
        <v>632</v>
      </c>
      <c r="T1469" s="110" t="s">
        <v>530</v>
      </c>
      <c r="U1469" s="110" t="s">
        <v>2913</v>
      </c>
      <c r="V1469" s="119" t="n">
        <v>94</v>
      </c>
      <c r="W1469" s="119"/>
      <c r="X1469" s="110" t="s">
        <v>2063</v>
      </c>
      <c r="Y1469" s="110" t="s">
        <v>2064</v>
      </c>
      <c r="Z1469" s="110" t="s">
        <v>4638</v>
      </c>
      <c r="AA1469" s="110" t="s">
        <v>537</v>
      </c>
      <c r="AB1469" s="110" t="s">
        <v>333</v>
      </c>
      <c r="AC1469" s="110" t="s">
        <v>538</v>
      </c>
      <c r="AD1469" s="110" t="n">
        <f aca="false">IF(OR(F1469="",Q1469="",R1469=""),"",ROUND(IF(P1469="incl.",F1469/(1+Q1469),F1469)/IF(S1469="per pack",R1469,1),2))</f>
        <v>94</v>
      </c>
      <c r="AE1469" s="110" t="str">
        <f aca="false">IF(AND(AC1469="yes",ISNUMBER(F1469),IF(Compare!$H$5="All mapped",TRUE(),IF(Compare!$H$5="EXACT only",J1469="EXACT",OR(J1469="EXACT",J1469="CLOSE")))),"yes","no")</f>
        <v>yes</v>
      </c>
      <c r="AF1469" s="110" t="n">
        <f aca="false">IF(ISNUMBER(H1469),COUNTIFS($B$7:$B$3000,B1469,$C$7:$C$3000,C1469,$H$7:$H$3000,"&lt;"&amp;H1469,$AH$7:$AH$3000,"yes")+COUNTIFS($B$7:B1469,B1469,$C$7:C1469,C1469,$H$7:H1469,H1469,$AH$7:AH1469,"yes"),"")</f>
        <v>2</v>
      </c>
      <c r="AG1469" s="110" t="n">
        <f aca="false">IF(ISNUMBER(I1469),COUNTIFS($B$7:$B$3000,B1469,$C$7:$C$3000,C1469,$I$7:$I$3000,"&lt;"&amp;I1469,$AI$7:$AI$3000,"yes")+COUNTIFS($B$7:B1469,B1469,$C$7:C1469,C1469,$I$7:I1469,I1469,$AI$7:AI1469,"yes"),"")</f>
        <v>2</v>
      </c>
      <c r="AH1469" s="110" t="str">
        <f aca="false">IF(ISNUMBER(H1469),"yes","no")</f>
        <v>yes</v>
      </c>
      <c r="AI1469" s="110" t="str">
        <f aca="false">IF(ISNUMBER(I1469),"yes","no")</f>
        <v>yes</v>
      </c>
      <c r="AJ1469" s="120" t="n">
        <v>46297</v>
      </c>
      <c r="AK1469" s="110"/>
    </row>
    <row r="1470" customFormat="false" ht="35.05" hidden="false" customHeight="false" outlineLevel="0" collapsed="false">
      <c r="B1470" s="36" t="s">
        <v>87</v>
      </c>
      <c r="C1470" s="98" t="s">
        <v>17</v>
      </c>
      <c r="D1470" s="98" t="s">
        <v>346</v>
      </c>
      <c r="E1470" s="110" t="s">
        <v>4639</v>
      </c>
      <c r="F1470" s="99" t="n">
        <v>154</v>
      </c>
      <c r="G1470" s="98" t="s">
        <v>333</v>
      </c>
      <c r="H1470" s="112" t="n">
        <f aca="false">IF(AND(AE1470="yes",ISNUMBER(AD1470)),AD1470,"")</f>
        <v>154</v>
      </c>
      <c r="I1470" s="95" t="n">
        <f aca="false">IF(AND(AE1470="yes",ISNUMBER(AD1470),ISNUMBER(INDEX(Sources!$G$7:$G$10,MATCH(AB1470,Sources!$B$7:$B$10,0)))),ROUND(AD1470/INDEX(Sources!$G$7:$G$10,MATCH(AB1470,Sources!$B$7:$B$10,0)),6),"")</f>
        <v>6.305373</v>
      </c>
      <c r="J1470" s="98" t="s">
        <v>530</v>
      </c>
      <c r="K1470" s="98" t="s">
        <v>2059</v>
      </c>
      <c r="L1470" s="96"/>
      <c r="M1470" s="110" t="s">
        <v>4640</v>
      </c>
      <c r="N1470" s="117" t="s">
        <v>4641</v>
      </c>
      <c r="O1470" s="110" t="s">
        <v>662</v>
      </c>
      <c r="P1470" s="110" t="s">
        <v>590</v>
      </c>
      <c r="Q1470" s="118" t="n">
        <v>0.21</v>
      </c>
      <c r="R1470" s="110" t="n">
        <v>1</v>
      </c>
      <c r="S1470" s="110" t="s">
        <v>632</v>
      </c>
      <c r="T1470" s="110" t="s">
        <v>530</v>
      </c>
      <c r="U1470" s="110" t="s">
        <v>2913</v>
      </c>
      <c r="V1470" s="119" t="n">
        <v>154</v>
      </c>
      <c r="W1470" s="119"/>
      <c r="X1470" s="110" t="s">
        <v>2063</v>
      </c>
      <c r="Y1470" s="110" t="s">
        <v>2064</v>
      </c>
      <c r="Z1470" s="110" t="s">
        <v>4395</v>
      </c>
      <c r="AA1470" s="110" t="s">
        <v>537</v>
      </c>
      <c r="AB1470" s="110" t="s">
        <v>333</v>
      </c>
      <c r="AC1470" s="110" t="s">
        <v>538</v>
      </c>
      <c r="AD1470" s="110" t="n">
        <f aca="false">IF(OR(F1470="",Q1470="",R1470=""),"",ROUND(IF(P1470="incl.",F1470/(1+Q1470),F1470)/IF(S1470="per pack",R1470,1),2))</f>
        <v>154</v>
      </c>
      <c r="AE1470" s="110" t="str">
        <f aca="false">IF(AND(AC1470="yes",ISNUMBER(F1470),IF(Compare!$H$5="All mapped",TRUE(),IF(Compare!$H$5="EXACT only",J1470="EXACT",OR(J1470="EXACT",J1470="CLOSE")))),"yes","no")</f>
        <v>yes</v>
      </c>
      <c r="AF1470" s="110" t="n">
        <f aca="false">IF(ISNUMBER(H1470),COUNTIFS($B$7:$B$3000,B1470,$C$7:$C$3000,C1470,$H$7:$H$3000,"&lt;"&amp;H1470,$AH$7:$AH$3000,"yes")+COUNTIFS($B$7:B1470,B1470,$C$7:C1470,C1470,$H$7:H1470,H1470,$AH$7:AH1470,"yes"),"")</f>
        <v>4</v>
      </c>
      <c r="AG1470" s="110" t="n">
        <f aca="false">IF(ISNUMBER(I1470),COUNTIFS($B$7:$B$3000,B1470,$C$7:$C$3000,C1470,$I$7:$I$3000,"&lt;"&amp;I1470,$AI$7:$AI$3000,"yes")+COUNTIFS($B$7:B1470,B1470,$C$7:C1470,C1470,$I$7:I1470,I1470,$AI$7:AI1470,"yes"),"")</f>
        <v>4</v>
      </c>
      <c r="AH1470" s="110" t="str">
        <f aca="false">IF(ISNUMBER(H1470),"yes","no")</f>
        <v>yes</v>
      </c>
      <c r="AI1470" s="110" t="str">
        <f aca="false">IF(ISNUMBER(I1470),"yes","no")</f>
        <v>yes</v>
      </c>
      <c r="AJ1470" s="120" t="n">
        <v>46297</v>
      </c>
      <c r="AK1470" s="110"/>
    </row>
    <row r="1471" customFormat="false" ht="23.85" hidden="false" customHeight="false" outlineLevel="0" collapsed="false">
      <c r="B1471" s="36" t="s">
        <v>87</v>
      </c>
      <c r="C1471" s="98" t="s">
        <v>17</v>
      </c>
      <c r="D1471" s="98" t="s">
        <v>350</v>
      </c>
      <c r="E1471" s="110" t="s">
        <v>4642</v>
      </c>
      <c r="F1471" s="99" t="n">
        <v>96</v>
      </c>
      <c r="G1471" s="98" t="s">
        <v>333</v>
      </c>
      <c r="H1471" s="112" t="n">
        <f aca="false">IF(AND(AE1471="yes",ISNUMBER(AD1471)),AD1471,"")</f>
        <v>79.34</v>
      </c>
      <c r="I1471" s="95" t="n">
        <f aca="false">IF(AND(AE1471="yes",ISNUMBER(AD1471),ISNUMBER(INDEX(Sources!$G$7:$G$10,MATCH(AB1471,Sources!$B$7:$B$10,0)))),ROUND(AD1471/INDEX(Sources!$G$7:$G$10,MATCH(AB1471,Sources!$B$7:$B$10,0)),6),"")</f>
        <v>3.248495</v>
      </c>
      <c r="J1471" s="98" t="s">
        <v>530</v>
      </c>
      <c r="K1471" s="98" t="s">
        <v>2059</v>
      </c>
      <c r="L1471" s="96"/>
      <c r="M1471" s="110" t="s">
        <v>4643</v>
      </c>
      <c r="N1471" s="117" t="s">
        <v>4644</v>
      </c>
      <c r="O1471" s="110" t="s">
        <v>2452</v>
      </c>
      <c r="P1471" s="110" t="s">
        <v>265</v>
      </c>
      <c r="Q1471" s="118" t="n">
        <v>0.21</v>
      </c>
      <c r="R1471" s="110" t="n">
        <v>1</v>
      </c>
      <c r="S1471" s="110" t="s">
        <v>632</v>
      </c>
      <c r="T1471" s="110" t="s">
        <v>530</v>
      </c>
      <c r="U1471" s="110" t="s">
        <v>2918</v>
      </c>
      <c r="V1471" s="119" t="n">
        <v>79.34</v>
      </c>
      <c r="W1471" s="119"/>
      <c r="X1471" s="110" t="s">
        <v>2063</v>
      </c>
      <c r="Y1471" s="110" t="s">
        <v>2064</v>
      </c>
      <c r="Z1471" s="110" t="s">
        <v>2344</v>
      </c>
      <c r="AA1471" s="110" t="s">
        <v>537</v>
      </c>
      <c r="AB1471" s="110" t="s">
        <v>333</v>
      </c>
      <c r="AC1471" s="110" t="s">
        <v>538</v>
      </c>
      <c r="AD1471" s="110" t="n">
        <f aca="false">IF(OR(F1471="",Q1471="",R1471=""),"",ROUND(IF(P1471="incl.",F1471/(1+Q1471),F1471)/IF(S1471="per pack",R1471,1),2))</f>
        <v>79.34</v>
      </c>
      <c r="AE1471" s="110" t="str">
        <f aca="false">IF(AND(AC1471="yes",ISNUMBER(F1471),IF(Compare!$H$5="All mapped",TRUE(),IF(Compare!$H$5="EXACT only",J1471="EXACT",OR(J1471="EXACT",J1471="CLOSE")))),"yes","no")</f>
        <v>yes</v>
      </c>
      <c r="AF1471" s="110" t="n">
        <f aca="false">IF(ISNUMBER(H1471),COUNTIFS($B$7:$B$3000,B1471,$C$7:$C$3000,C1471,$H$7:$H$3000,"&lt;"&amp;H1471,$AH$7:$AH$3000,"yes")+COUNTIFS($B$7:B1471,B1471,$C$7:C1471,C1471,$H$7:H1471,H1471,$AH$7:AH1471,"yes"),"")</f>
        <v>1</v>
      </c>
      <c r="AG1471" s="110" t="n">
        <f aca="false">IF(ISNUMBER(I1471),COUNTIFS($B$7:$B$3000,B1471,$C$7:$C$3000,C1471,$I$7:$I$3000,"&lt;"&amp;I1471,$AI$7:$AI$3000,"yes")+COUNTIFS($B$7:B1471,B1471,$C$7:C1471,C1471,$I$7:I1471,I1471,$AI$7:AI1471,"yes"),"")</f>
        <v>1</v>
      </c>
      <c r="AH1471" s="110" t="str">
        <f aca="false">IF(ISNUMBER(H1471),"yes","no")</f>
        <v>yes</v>
      </c>
      <c r="AI1471" s="110" t="str">
        <f aca="false">IF(ISNUMBER(I1471),"yes","no")</f>
        <v>yes</v>
      </c>
      <c r="AJ1471" s="120" t="n">
        <v>46297</v>
      </c>
      <c r="AK1471" s="110"/>
    </row>
    <row r="1472" customFormat="false" ht="35.05" hidden="false" customHeight="false" outlineLevel="0" collapsed="false">
      <c r="B1472" s="36" t="s">
        <v>87</v>
      </c>
      <c r="C1472" s="98" t="s">
        <v>17</v>
      </c>
      <c r="D1472" s="98" t="s">
        <v>361</v>
      </c>
      <c r="E1472" s="110" t="s">
        <v>4645</v>
      </c>
      <c r="F1472" s="99" t="n">
        <v>143</v>
      </c>
      <c r="G1472" s="98" t="s">
        <v>333</v>
      </c>
      <c r="H1472" s="112" t="n">
        <f aca="false">IF(AND(AE1472="yes",ISNUMBER(AD1472)),AD1472,"")</f>
        <v>118.18</v>
      </c>
      <c r="I1472" s="95" t="n">
        <f aca="false">IF(AND(AE1472="yes",ISNUMBER(AD1472),ISNUMBER(INDEX(Sources!$G$7:$G$10,MATCH(AB1472,Sources!$B$7:$B$10,0)))),ROUND(AD1472/INDEX(Sources!$G$7:$G$10,MATCH(AB1472,Sources!$B$7:$B$10,0)),6),"")</f>
        <v>4.838759</v>
      </c>
      <c r="J1472" s="98" t="s">
        <v>530</v>
      </c>
      <c r="K1472" s="98" t="s">
        <v>2059</v>
      </c>
      <c r="L1472" s="96"/>
      <c r="M1472" s="110" t="s">
        <v>4646</v>
      </c>
      <c r="N1472" s="117" t="s">
        <v>4647</v>
      </c>
      <c r="O1472" s="110" t="s">
        <v>642</v>
      </c>
      <c r="P1472" s="110" t="s">
        <v>265</v>
      </c>
      <c r="Q1472" s="118" t="n">
        <v>0.21</v>
      </c>
      <c r="R1472" s="110" t="n">
        <v>1</v>
      </c>
      <c r="S1472" s="110" t="s">
        <v>632</v>
      </c>
      <c r="T1472" s="110" t="s">
        <v>530</v>
      </c>
      <c r="U1472" s="110" t="s">
        <v>2918</v>
      </c>
      <c r="V1472" s="119" t="n">
        <v>118.18</v>
      </c>
      <c r="W1472" s="119"/>
      <c r="X1472" s="110" t="s">
        <v>2063</v>
      </c>
      <c r="Y1472" s="110" t="s">
        <v>2064</v>
      </c>
      <c r="Z1472" s="110" t="s">
        <v>2400</v>
      </c>
      <c r="AA1472" s="110" t="s">
        <v>537</v>
      </c>
      <c r="AB1472" s="110" t="s">
        <v>333</v>
      </c>
      <c r="AC1472" s="110" t="s">
        <v>538</v>
      </c>
      <c r="AD1472" s="110" t="n">
        <f aca="false">IF(OR(F1472="",Q1472="",R1472=""),"",ROUND(IF(P1472="incl.",F1472/(1+Q1472),F1472)/IF(S1472="per pack",R1472,1),2))</f>
        <v>118.18</v>
      </c>
      <c r="AE1472" s="110" t="str">
        <f aca="false">IF(AND(AC1472="yes",ISNUMBER(F1472),IF(Compare!$H$5="All mapped",TRUE(),IF(Compare!$H$5="EXACT only",J1472="EXACT",OR(J1472="EXACT",J1472="CLOSE")))),"yes","no")</f>
        <v>yes</v>
      </c>
      <c r="AF1472" s="110" t="n">
        <f aca="false">IF(ISNUMBER(H1472),COUNTIFS($B$7:$B$3000,B1472,$C$7:$C$3000,C1472,$H$7:$H$3000,"&lt;"&amp;H1472,$AH$7:$AH$3000,"yes")+COUNTIFS($B$7:B1472,B1472,$C$7:C1472,C1472,$H$7:H1472,H1472,$AH$7:AH1472,"yes"),"")</f>
        <v>3</v>
      </c>
      <c r="AG1472" s="110" t="n">
        <f aca="false">IF(ISNUMBER(I1472),COUNTIFS($B$7:$B$3000,B1472,$C$7:$C$3000,C1472,$I$7:$I$3000,"&lt;"&amp;I1472,$AI$7:$AI$3000,"yes")+COUNTIFS($B$7:B1472,B1472,$C$7:C1472,C1472,$I$7:I1472,I1472,$AI$7:AI1472,"yes"),"")</f>
        <v>3</v>
      </c>
      <c r="AH1472" s="110" t="str">
        <f aca="false">IF(ISNUMBER(H1472),"yes","no")</f>
        <v>yes</v>
      </c>
      <c r="AI1472" s="110" t="str">
        <f aca="false">IF(ISNUMBER(I1472),"yes","no")</f>
        <v>yes</v>
      </c>
      <c r="AJ1472" s="120" t="n">
        <v>46297</v>
      </c>
      <c r="AK1472" s="110"/>
    </row>
    <row r="1473" customFormat="false" ht="35.05" hidden="false" customHeight="false" outlineLevel="0" collapsed="false">
      <c r="B1473" s="36" t="s">
        <v>87</v>
      </c>
      <c r="C1473" s="98" t="s">
        <v>18</v>
      </c>
      <c r="D1473" s="98" t="s">
        <v>4648</v>
      </c>
      <c r="E1473" s="110" t="s">
        <v>4649</v>
      </c>
      <c r="F1473" s="99" t="n">
        <v>50.99</v>
      </c>
      <c r="G1473" s="98" t="s">
        <v>244</v>
      </c>
      <c r="H1473" s="112" t="n">
        <f aca="false">IF(AND(AE1473="yes",ISNUMBER(AD1473)),AD1473,"")</f>
        <v>4.25</v>
      </c>
      <c r="I1473" s="95" t="n">
        <f aca="false">IF(AND(AE1473="yes",ISNUMBER(AD1473),ISNUMBER(INDEX(Sources!$G$7:$G$10,MATCH(AB1473,Sources!$B$7:$B$10,0)))),ROUND(AD1473/INDEX(Sources!$G$7:$G$10,MATCH(AB1473,Sources!$B$7:$B$10,0)),6),"")</f>
        <v>4.25</v>
      </c>
      <c r="J1473" s="98" t="s">
        <v>530</v>
      </c>
      <c r="K1473" s="98" t="s">
        <v>2059</v>
      </c>
      <c r="L1473" s="96"/>
      <c r="M1473" s="110" t="s">
        <v>4650</v>
      </c>
      <c r="N1473" s="117" t="s">
        <v>4651</v>
      </c>
      <c r="O1473" s="110" t="s">
        <v>317</v>
      </c>
      <c r="P1473" s="110" t="s">
        <v>590</v>
      </c>
      <c r="Q1473" s="118" t="n">
        <v>0.23</v>
      </c>
      <c r="R1473" s="110" t="n">
        <v>12</v>
      </c>
      <c r="S1473" s="110" t="s">
        <v>625</v>
      </c>
      <c r="T1473" s="110" t="s">
        <v>530</v>
      </c>
      <c r="U1473" s="110" t="s">
        <v>2913</v>
      </c>
      <c r="V1473" s="119" t="n">
        <v>4.25</v>
      </c>
      <c r="W1473" s="119"/>
      <c r="X1473" s="110" t="s">
        <v>2063</v>
      </c>
      <c r="Y1473" s="110" t="s">
        <v>2064</v>
      </c>
      <c r="Z1473" s="110" t="s">
        <v>4652</v>
      </c>
      <c r="AA1473" s="110" t="s">
        <v>537</v>
      </c>
      <c r="AB1473" s="110" t="s">
        <v>244</v>
      </c>
      <c r="AC1473" s="110" t="s">
        <v>538</v>
      </c>
      <c r="AD1473" s="110" t="n">
        <f aca="false">IF(OR(F1473="",Q1473="",R1473=""),"",ROUND(IF(P1473="incl.",F1473/(1+Q1473),F1473)/IF(S1473="per pack",R1473,1),2))</f>
        <v>4.25</v>
      </c>
      <c r="AE1473" s="110" t="str">
        <f aca="false">IF(AND(AC1473="yes",ISNUMBER(F1473),IF(Compare!$H$5="All mapped",TRUE(),IF(Compare!$H$5="EXACT only",J1473="EXACT",OR(J1473="EXACT",J1473="CLOSE")))),"yes","no")</f>
        <v>yes</v>
      </c>
      <c r="AF1473" s="110" t="n">
        <f aca="false">IF(ISNUMBER(H1473),COUNTIFS($B$7:$B$3000,B1473,$C$7:$C$3000,C1473,$H$7:$H$3000,"&lt;"&amp;H1473,$AH$7:$AH$3000,"yes")+COUNTIFS($B$7:B1473,B1473,$C$7:C1473,C1473,$H$7:H1473,H1473,$AH$7:AH1473,"yes"),"")</f>
        <v>3</v>
      </c>
      <c r="AG1473" s="110" t="n">
        <f aca="false">IF(ISNUMBER(I1473),COUNTIFS($B$7:$B$3000,B1473,$C$7:$C$3000,C1473,$I$7:$I$3000,"&lt;"&amp;I1473,$AI$7:$AI$3000,"yes")+COUNTIFS($B$7:B1473,B1473,$C$7:C1473,C1473,$I$7:I1473,I1473,$AI$7:AI1473,"yes"),"")</f>
        <v>3</v>
      </c>
      <c r="AH1473" s="110" t="str">
        <f aca="false">IF(ISNUMBER(H1473),"yes","no")</f>
        <v>yes</v>
      </c>
      <c r="AI1473" s="110" t="str">
        <f aca="false">IF(ISNUMBER(I1473),"yes","no")</f>
        <v>yes</v>
      </c>
      <c r="AJ1473" s="120" t="n">
        <v>46297</v>
      </c>
      <c r="AK1473" s="110"/>
    </row>
    <row r="1474" customFormat="false" ht="35.05" hidden="false" customHeight="false" outlineLevel="0" collapsed="false">
      <c r="B1474" s="36" t="s">
        <v>87</v>
      </c>
      <c r="C1474" s="98" t="s">
        <v>18</v>
      </c>
      <c r="D1474" s="98" t="s">
        <v>365</v>
      </c>
      <c r="E1474" s="110" t="s">
        <v>4653</v>
      </c>
      <c r="F1474" s="99" t="n">
        <v>4.52</v>
      </c>
      <c r="G1474" s="98" t="s">
        <v>244</v>
      </c>
      <c r="H1474" s="112" t="n">
        <f aca="false">IF(AND(AE1474="yes",ISNUMBER(AD1474)),AD1474,"")</f>
        <v>3.67</v>
      </c>
      <c r="I1474" s="95" t="n">
        <f aca="false">IF(AND(AE1474="yes",ISNUMBER(AD1474),ISNUMBER(INDEX(Sources!$G$7:$G$10,MATCH(AB1474,Sources!$B$7:$B$10,0)))),ROUND(AD1474/INDEX(Sources!$G$7:$G$10,MATCH(AB1474,Sources!$B$7:$B$10,0)),6),"")</f>
        <v>3.67</v>
      </c>
      <c r="J1474" s="98" t="s">
        <v>530</v>
      </c>
      <c r="K1474" s="98" t="s">
        <v>2059</v>
      </c>
      <c r="L1474" s="96"/>
      <c r="M1474" s="110" t="s">
        <v>4654</v>
      </c>
      <c r="N1474" s="117" t="s">
        <v>4655</v>
      </c>
      <c r="O1474" s="110" t="s">
        <v>3076</v>
      </c>
      <c r="P1474" s="110" t="s">
        <v>265</v>
      </c>
      <c r="Q1474" s="118" t="n">
        <v>0.23</v>
      </c>
      <c r="R1474" s="110" t="n">
        <v>1</v>
      </c>
      <c r="S1474" s="110" t="s">
        <v>632</v>
      </c>
      <c r="T1474" s="110" t="s">
        <v>530</v>
      </c>
      <c r="U1474" s="110" t="s">
        <v>2918</v>
      </c>
      <c r="V1474" s="119" t="n">
        <v>3.67</v>
      </c>
      <c r="W1474" s="119"/>
      <c r="X1474" s="110" t="s">
        <v>2063</v>
      </c>
      <c r="Y1474" s="110" t="s">
        <v>2064</v>
      </c>
      <c r="Z1474" s="110" t="s">
        <v>3016</v>
      </c>
      <c r="AA1474" s="110" t="s">
        <v>537</v>
      </c>
      <c r="AB1474" s="110" t="s">
        <v>244</v>
      </c>
      <c r="AC1474" s="110" t="s">
        <v>538</v>
      </c>
      <c r="AD1474" s="110" t="n">
        <f aca="false">IF(OR(F1474="",Q1474="",R1474=""),"",ROUND(IF(P1474="incl.",F1474/(1+Q1474),F1474)/IF(S1474="per pack",R1474,1),2))</f>
        <v>3.67</v>
      </c>
      <c r="AE1474" s="110" t="str">
        <f aca="false">IF(AND(AC1474="yes",ISNUMBER(F1474),IF(Compare!$H$5="All mapped",TRUE(),IF(Compare!$H$5="EXACT only",J1474="EXACT",OR(J1474="EXACT",J1474="CLOSE")))),"yes","no")</f>
        <v>yes</v>
      </c>
      <c r="AF1474" s="110" t="n">
        <f aca="false">IF(ISNUMBER(H1474),COUNTIFS($B$7:$B$3000,B1474,$C$7:$C$3000,C1474,$H$7:$H$3000,"&lt;"&amp;H1474,$AH$7:$AH$3000,"yes")+COUNTIFS($B$7:B1474,B1474,$C$7:C1474,C1474,$H$7:H1474,H1474,$AH$7:AH1474,"yes"),"")</f>
        <v>2</v>
      </c>
      <c r="AG1474" s="110" t="n">
        <f aca="false">IF(ISNUMBER(I1474),COUNTIFS($B$7:$B$3000,B1474,$C$7:$C$3000,C1474,$I$7:$I$3000,"&lt;"&amp;I1474,$AI$7:$AI$3000,"yes")+COUNTIFS($B$7:B1474,B1474,$C$7:C1474,C1474,$I$7:I1474,I1474,$AI$7:AI1474,"yes"),"")</f>
        <v>2</v>
      </c>
      <c r="AH1474" s="110" t="str">
        <f aca="false">IF(ISNUMBER(H1474),"yes","no")</f>
        <v>yes</v>
      </c>
      <c r="AI1474" s="110" t="str">
        <f aca="false">IF(ISNUMBER(I1474),"yes","no")</f>
        <v>yes</v>
      </c>
      <c r="AJ1474" s="120" t="n">
        <v>46297</v>
      </c>
      <c r="AK1474" s="110"/>
    </row>
    <row r="1475" customFormat="false" ht="35.05" hidden="false" customHeight="false" outlineLevel="0" collapsed="false">
      <c r="B1475" s="36" t="s">
        <v>87</v>
      </c>
      <c r="C1475" s="98" t="s">
        <v>18</v>
      </c>
      <c r="D1475" s="98" t="s">
        <v>369</v>
      </c>
      <c r="E1475" s="110" t="s">
        <v>4656</v>
      </c>
      <c r="F1475" s="99" t="n">
        <v>10.71</v>
      </c>
      <c r="G1475" s="98" t="s">
        <v>244</v>
      </c>
      <c r="H1475" s="112" t="n">
        <f aca="false">IF(AND(AE1475="yes",ISNUMBER(AD1475)),AD1475,"")</f>
        <v>8.71</v>
      </c>
      <c r="I1475" s="95" t="n">
        <f aca="false">IF(AND(AE1475="yes",ISNUMBER(AD1475),ISNUMBER(INDEX(Sources!$G$7:$G$10,MATCH(AB1475,Sources!$B$7:$B$10,0)))),ROUND(AD1475/INDEX(Sources!$G$7:$G$10,MATCH(AB1475,Sources!$B$7:$B$10,0)),6),"")</f>
        <v>8.71</v>
      </c>
      <c r="J1475" s="98" t="s">
        <v>530</v>
      </c>
      <c r="K1475" s="98" t="s">
        <v>2059</v>
      </c>
      <c r="L1475" s="96"/>
      <c r="M1475" s="110" t="s">
        <v>4657</v>
      </c>
      <c r="N1475" s="117" t="s">
        <v>4658</v>
      </c>
      <c r="O1475" s="110" t="s">
        <v>783</v>
      </c>
      <c r="P1475" s="110" t="s">
        <v>265</v>
      </c>
      <c r="Q1475" s="118" t="n">
        <v>0.23</v>
      </c>
      <c r="R1475" s="110" t="n">
        <v>1</v>
      </c>
      <c r="S1475" s="110" t="s">
        <v>632</v>
      </c>
      <c r="T1475" s="110" t="s">
        <v>530</v>
      </c>
      <c r="U1475" s="110" t="s">
        <v>2918</v>
      </c>
      <c r="V1475" s="119" t="n">
        <v>8.71</v>
      </c>
      <c r="W1475" s="119"/>
      <c r="X1475" s="110" t="s">
        <v>2063</v>
      </c>
      <c r="Y1475" s="110" t="s">
        <v>2064</v>
      </c>
      <c r="Z1475" s="110" t="s">
        <v>3020</v>
      </c>
      <c r="AA1475" s="110" t="s">
        <v>537</v>
      </c>
      <c r="AB1475" s="110" t="s">
        <v>244</v>
      </c>
      <c r="AC1475" s="110" t="s">
        <v>538</v>
      </c>
      <c r="AD1475" s="110" t="n">
        <f aca="false">IF(OR(F1475="",Q1475="",R1475=""),"",ROUND(IF(P1475="incl.",F1475/(1+Q1475),F1475)/IF(S1475="per pack",R1475,1),2))</f>
        <v>8.71</v>
      </c>
      <c r="AE1475" s="110" t="str">
        <f aca="false">IF(AND(AC1475="yes",ISNUMBER(F1475),IF(Compare!$H$5="All mapped",TRUE(),IF(Compare!$H$5="EXACT only",J1475="EXACT",OR(J1475="EXACT",J1475="CLOSE")))),"yes","no")</f>
        <v>yes</v>
      </c>
      <c r="AF1475" s="110" t="n">
        <f aca="false">IF(ISNUMBER(H1475),COUNTIFS($B$7:$B$3000,B1475,$C$7:$C$3000,C1475,$H$7:$H$3000,"&lt;"&amp;H1475,$AH$7:$AH$3000,"yes")+COUNTIFS($B$7:B1475,B1475,$C$7:C1475,C1475,$H$7:H1475,H1475,$AH$7:AH1475,"yes"),"")</f>
        <v>4</v>
      </c>
      <c r="AG1475" s="110" t="n">
        <f aca="false">IF(ISNUMBER(I1475),COUNTIFS($B$7:$B$3000,B1475,$C$7:$C$3000,C1475,$I$7:$I$3000,"&lt;"&amp;I1475,$AI$7:$AI$3000,"yes")+COUNTIFS($B$7:B1475,B1475,$C$7:C1475,C1475,$I$7:I1475,I1475,$AI$7:AI1475,"yes"),"")</f>
        <v>4</v>
      </c>
      <c r="AH1475" s="110" t="str">
        <f aca="false">IF(ISNUMBER(H1475),"yes","no")</f>
        <v>yes</v>
      </c>
      <c r="AI1475" s="110" t="str">
        <f aca="false">IF(ISNUMBER(I1475),"yes","no")</f>
        <v>yes</v>
      </c>
      <c r="AJ1475" s="120" t="n">
        <v>46297</v>
      </c>
      <c r="AK1475" s="110"/>
    </row>
    <row r="1476" customFormat="false" ht="23.85" hidden="false" customHeight="false" outlineLevel="0" collapsed="false">
      <c r="B1476" s="36" t="s">
        <v>87</v>
      </c>
      <c r="C1476" s="98" t="s">
        <v>18</v>
      </c>
      <c r="D1476" s="98" t="s">
        <v>3021</v>
      </c>
      <c r="E1476" s="110" t="s">
        <v>4659</v>
      </c>
      <c r="F1476" s="99" t="n">
        <v>2.45</v>
      </c>
      <c r="G1476" s="98" t="s">
        <v>244</v>
      </c>
      <c r="H1476" s="112" t="n">
        <f aca="false">IF(AND(AE1476="yes",ISNUMBER(AD1476)),AD1476,"")</f>
        <v>2.45</v>
      </c>
      <c r="I1476" s="95" t="n">
        <f aca="false">IF(AND(AE1476="yes",ISNUMBER(AD1476),ISNUMBER(INDEX(Sources!$G$7:$G$10,MATCH(AB1476,Sources!$B$7:$B$10,0)))),ROUND(AD1476/INDEX(Sources!$G$7:$G$10,MATCH(AB1476,Sources!$B$7:$B$10,0)),6),"")</f>
        <v>2.45</v>
      </c>
      <c r="J1476" s="98" t="s">
        <v>530</v>
      </c>
      <c r="K1476" s="98" t="s">
        <v>2059</v>
      </c>
      <c r="L1476" s="96"/>
      <c r="M1476" s="110" t="s">
        <v>4660</v>
      </c>
      <c r="N1476" s="117" t="s">
        <v>4416</v>
      </c>
      <c r="O1476" s="110" t="s">
        <v>642</v>
      </c>
      <c r="P1476" s="110" t="s">
        <v>590</v>
      </c>
      <c r="Q1476" s="118" t="n">
        <v>0.23</v>
      </c>
      <c r="R1476" s="110" t="n">
        <v>1</v>
      </c>
      <c r="S1476" s="110" t="s">
        <v>632</v>
      </c>
      <c r="T1476" s="110" t="s">
        <v>530</v>
      </c>
      <c r="U1476" s="110" t="s">
        <v>2913</v>
      </c>
      <c r="V1476" s="119" t="n">
        <v>2.45</v>
      </c>
      <c r="W1476" s="119"/>
      <c r="X1476" s="110" t="s">
        <v>2063</v>
      </c>
      <c r="Y1476" s="110" t="s">
        <v>2064</v>
      </c>
      <c r="Z1476" s="110" t="s">
        <v>3900</v>
      </c>
      <c r="AA1476" s="110" t="s">
        <v>537</v>
      </c>
      <c r="AB1476" s="110" t="s">
        <v>244</v>
      </c>
      <c r="AC1476" s="110" t="s">
        <v>538</v>
      </c>
      <c r="AD1476" s="110" t="n">
        <f aca="false">IF(OR(F1476="",Q1476="",R1476=""),"",ROUND(IF(P1476="incl.",F1476/(1+Q1476),F1476)/IF(S1476="per pack",R1476,1),2))</f>
        <v>2.45</v>
      </c>
      <c r="AE1476" s="110" t="str">
        <f aca="false">IF(AND(AC1476="yes",ISNUMBER(F1476),IF(Compare!$H$5="All mapped",TRUE(),IF(Compare!$H$5="EXACT only",J1476="EXACT",OR(J1476="EXACT",J1476="CLOSE")))),"yes","no")</f>
        <v>yes</v>
      </c>
      <c r="AF1476" s="110" t="n">
        <f aca="false">IF(ISNUMBER(H1476),COUNTIFS($B$7:$B$3000,B1476,$C$7:$C$3000,C1476,$H$7:$H$3000,"&lt;"&amp;H1476,$AH$7:$AH$3000,"yes")+COUNTIFS($B$7:B1476,B1476,$C$7:C1476,C1476,$H$7:H1476,H1476,$AH$7:AH1476,"yes"),"")</f>
        <v>1</v>
      </c>
      <c r="AG1476" s="110" t="n">
        <f aca="false">IF(ISNUMBER(I1476),COUNTIFS($B$7:$B$3000,B1476,$C$7:$C$3000,C1476,$I$7:$I$3000,"&lt;"&amp;I1476,$AI$7:$AI$3000,"yes")+COUNTIFS($B$7:B1476,B1476,$C$7:C1476,C1476,$I$7:I1476,I1476,$AI$7:AI1476,"yes"),"")</f>
        <v>1</v>
      </c>
      <c r="AH1476" s="110" t="str">
        <f aca="false">IF(ISNUMBER(H1476),"yes","no")</f>
        <v>yes</v>
      </c>
      <c r="AI1476" s="110" t="str">
        <f aca="false">IF(ISNUMBER(I1476),"yes","no")</f>
        <v>yes</v>
      </c>
      <c r="AJ1476" s="120" t="n">
        <v>46297</v>
      </c>
      <c r="AK1476" s="110"/>
    </row>
    <row r="1477" customFormat="false" ht="23.85" hidden="false" customHeight="false" outlineLevel="0" collapsed="false">
      <c r="B1477" s="36" t="s">
        <v>88</v>
      </c>
      <c r="C1477" s="98" t="s">
        <v>14</v>
      </c>
      <c r="D1477" s="98" t="s">
        <v>373</v>
      </c>
      <c r="E1477" s="110" t="s">
        <v>4661</v>
      </c>
      <c r="F1477" s="99" t="n">
        <v>21.61</v>
      </c>
      <c r="G1477" s="98" t="s">
        <v>374</v>
      </c>
      <c r="H1477" s="112" t="n">
        <f aca="false">IF(AND(AE1477="yes",ISNUMBER(AD1477)),AD1477,"")</f>
        <v>21.61</v>
      </c>
      <c r="I1477" s="95" t="n">
        <f aca="false">IF(AND(AE1477="yes",ISNUMBER(AD1477),ISNUMBER(INDEX(Sources!$G$7:$G$10,MATCH(AB1477,Sources!$B$7:$B$10,0)))),ROUND(AD1477/INDEX(Sources!$G$7:$G$10,MATCH(AB1477,Sources!$B$7:$B$10,0)),6),"")</f>
        <v>4.094632</v>
      </c>
      <c r="J1477" s="98" t="s">
        <v>530</v>
      </c>
      <c r="K1477" s="98" t="s">
        <v>2059</v>
      </c>
      <c r="L1477" s="96"/>
      <c r="M1477" s="110" t="s">
        <v>4662</v>
      </c>
      <c r="N1477" s="117" t="s">
        <v>4663</v>
      </c>
      <c r="O1477" s="110" t="s">
        <v>4321</v>
      </c>
      <c r="P1477" s="110" t="s">
        <v>590</v>
      </c>
      <c r="Q1477" s="118" t="n">
        <v>0.21</v>
      </c>
      <c r="R1477" s="110" t="n">
        <v>1</v>
      </c>
      <c r="S1477" s="110" t="s">
        <v>632</v>
      </c>
      <c r="T1477" s="110" t="s">
        <v>530</v>
      </c>
      <c r="U1477" s="110" t="s">
        <v>2913</v>
      </c>
      <c r="V1477" s="119" t="n">
        <v>21.61</v>
      </c>
      <c r="W1477" s="119"/>
      <c r="X1477" s="110" t="s">
        <v>2063</v>
      </c>
      <c r="Y1477" s="110" t="s">
        <v>2064</v>
      </c>
      <c r="Z1477" s="110"/>
      <c r="AA1477" s="110" t="s">
        <v>537</v>
      </c>
      <c r="AB1477" s="110" t="s">
        <v>374</v>
      </c>
      <c r="AC1477" s="110" t="s">
        <v>538</v>
      </c>
      <c r="AD1477" s="110" t="n">
        <f aca="false">IF(OR(F1477="",Q1477="",R1477=""),"",ROUND(IF(P1477="incl.",F1477/(1+Q1477),F1477)/IF(S1477="per pack",R1477,1),2))</f>
        <v>21.61</v>
      </c>
      <c r="AE1477" s="110" t="str">
        <f aca="false">IF(AND(AC1477="yes",ISNUMBER(F1477),IF(Compare!$H$5="All mapped",TRUE(),IF(Compare!$H$5="EXACT only",J1477="EXACT",OR(J1477="EXACT",J1477="CLOSE")))),"yes","no")</f>
        <v>yes</v>
      </c>
      <c r="AF1477" s="110" t="n">
        <f aca="false">IF(ISNUMBER(H1477),COUNTIFS($B$7:$B$3000,B1477,$C$7:$C$3000,C1477,$H$7:$H$3000,"&lt;"&amp;H1477,$AH$7:$AH$3000,"yes")+COUNTIFS($B$7:B1477,B1477,$C$7:C1477,C1477,$H$7:H1477,H1477,$AH$7:AH1477,"yes"),"")</f>
        <v>2</v>
      </c>
      <c r="AG1477" s="110" t="n">
        <f aca="false">IF(ISNUMBER(I1477),COUNTIFS($B$7:$B$3000,B1477,$C$7:$C$3000,C1477,$I$7:$I$3000,"&lt;"&amp;I1477,$AI$7:$AI$3000,"yes")+COUNTIFS($B$7:B1477,B1477,$C$7:C1477,C1477,$I$7:I1477,I1477,$AI$7:AI1477,"yes"),"")</f>
        <v>2</v>
      </c>
      <c r="AH1477" s="110" t="str">
        <f aca="false">IF(ISNUMBER(H1477),"yes","no")</f>
        <v>yes</v>
      </c>
      <c r="AI1477" s="110" t="str">
        <f aca="false">IF(ISNUMBER(I1477),"yes","no")</f>
        <v>yes</v>
      </c>
      <c r="AJ1477" s="120" t="n">
        <v>46297</v>
      </c>
      <c r="AK1477" s="110"/>
    </row>
    <row r="1478" customFormat="false" ht="23.85" hidden="false" customHeight="false" outlineLevel="0" collapsed="false">
      <c r="B1478" s="36" t="s">
        <v>88</v>
      </c>
      <c r="C1478" s="98" t="s">
        <v>14</v>
      </c>
      <c r="D1478" s="98" t="s">
        <v>378</v>
      </c>
      <c r="E1478" s="110" t="s">
        <v>4664</v>
      </c>
      <c r="F1478" s="99" t="n">
        <v>111.59</v>
      </c>
      <c r="G1478" s="98" t="s">
        <v>374</v>
      </c>
      <c r="H1478" s="112" t="n">
        <f aca="false">IF(AND(AE1478="yes",ISNUMBER(AD1478)),AD1478,"")</f>
        <v>92.22</v>
      </c>
      <c r="I1478" s="95" t="n">
        <f aca="false">IF(AND(AE1478="yes",ISNUMBER(AD1478),ISNUMBER(INDEX(Sources!$G$7:$G$10,MATCH(AB1478,Sources!$B$7:$B$10,0)))),ROUND(AD1478/INDEX(Sources!$G$7:$G$10,MATCH(AB1478,Sources!$B$7:$B$10,0)),6),"")</f>
        <v>17.473714</v>
      </c>
      <c r="J1478" s="98" t="s">
        <v>702</v>
      </c>
      <c r="K1478" s="98" t="s">
        <v>2059</v>
      </c>
      <c r="L1478" s="96"/>
      <c r="M1478" s="110" t="s">
        <v>4665</v>
      </c>
      <c r="N1478" s="117" t="s">
        <v>4666</v>
      </c>
      <c r="O1478" s="110" t="s">
        <v>733</v>
      </c>
      <c r="P1478" s="110" t="s">
        <v>265</v>
      </c>
      <c r="Q1478" s="118" t="n">
        <v>0.21</v>
      </c>
      <c r="R1478" s="110" t="n">
        <v>1</v>
      </c>
      <c r="S1478" s="110" t="s">
        <v>632</v>
      </c>
      <c r="T1478" s="110" t="s">
        <v>702</v>
      </c>
      <c r="U1478" s="110" t="s">
        <v>2918</v>
      </c>
      <c r="V1478" s="119" t="n">
        <v>92.22</v>
      </c>
      <c r="W1478" s="119"/>
      <c r="X1478" s="110" t="s">
        <v>2063</v>
      </c>
      <c r="Y1478" s="110" t="s">
        <v>2064</v>
      </c>
      <c r="Z1478" s="110"/>
      <c r="AA1478" s="110" t="s">
        <v>537</v>
      </c>
      <c r="AB1478" s="110" t="s">
        <v>374</v>
      </c>
      <c r="AC1478" s="110" t="s">
        <v>538</v>
      </c>
      <c r="AD1478" s="110" t="n">
        <f aca="false">IF(OR(F1478="",Q1478="",R1478=""),"",ROUND(IF(P1478="incl.",F1478/(1+Q1478),F1478)/IF(S1478="per pack",R1478,1),2))</f>
        <v>92.22</v>
      </c>
      <c r="AE1478" s="110" t="str">
        <f aca="false">IF(AND(AC1478="yes",ISNUMBER(F1478),IF(Compare!$H$5="All mapped",TRUE(),IF(Compare!$H$5="EXACT only",J1478="EXACT",OR(J1478="EXACT",J1478="CLOSE")))),"yes","no")</f>
        <v>yes</v>
      </c>
      <c r="AF1478" s="110" t="n">
        <f aca="false">IF(ISNUMBER(H1478),COUNTIFS($B$7:$B$3000,B1478,$C$7:$C$3000,C1478,$H$7:$H$3000,"&lt;"&amp;H1478,$AH$7:$AH$3000,"yes")+COUNTIFS($B$7:B1478,B1478,$C$7:C1478,C1478,$H$7:H1478,H1478,$AH$7:AH1478,"yes"),"")</f>
        <v>5</v>
      </c>
      <c r="AG1478" s="110" t="n">
        <f aca="false">IF(ISNUMBER(I1478),COUNTIFS($B$7:$B$3000,B1478,$C$7:$C$3000,C1478,$I$7:$I$3000,"&lt;"&amp;I1478,$AI$7:$AI$3000,"yes")+COUNTIFS($B$7:B1478,B1478,$C$7:C1478,C1478,$I$7:I1478,I1478,$AI$7:AI1478,"yes"),"")</f>
        <v>5</v>
      </c>
      <c r="AH1478" s="110" t="str">
        <f aca="false">IF(ISNUMBER(H1478),"yes","no")</f>
        <v>yes</v>
      </c>
      <c r="AI1478" s="110" t="str">
        <f aca="false">IF(ISNUMBER(I1478),"yes","no")</f>
        <v>yes</v>
      </c>
      <c r="AJ1478" s="120" t="n">
        <v>46297</v>
      </c>
      <c r="AK1478" s="110"/>
    </row>
    <row r="1479" customFormat="false" ht="46.25" hidden="false" customHeight="false" outlineLevel="0" collapsed="false">
      <c r="B1479" s="36" t="s">
        <v>88</v>
      </c>
      <c r="C1479" s="98" t="s">
        <v>14</v>
      </c>
      <c r="D1479" s="98" t="s">
        <v>4143</v>
      </c>
      <c r="E1479" s="110" t="s">
        <v>4667</v>
      </c>
      <c r="F1479" s="99" t="n">
        <v>431.65</v>
      </c>
      <c r="G1479" s="98" t="s">
        <v>374</v>
      </c>
      <c r="H1479" s="112" t="n">
        <f aca="false">IF(AND(AE1479="yes",ISNUMBER(AD1479)),AD1479,"")</f>
        <v>35.97</v>
      </c>
      <c r="I1479" s="95" t="n">
        <f aca="false">IF(AND(AE1479="yes",ISNUMBER(AD1479),ISNUMBER(INDEX(Sources!$G$7:$G$10,MATCH(AB1479,Sources!$B$7:$B$10,0)))),ROUND(AD1479/INDEX(Sources!$G$7:$G$10,MATCH(AB1479,Sources!$B$7:$B$10,0)),6),"")</f>
        <v>6.815544</v>
      </c>
      <c r="J1479" s="98" t="s">
        <v>530</v>
      </c>
      <c r="K1479" s="98" t="s">
        <v>2059</v>
      </c>
      <c r="L1479" s="96"/>
      <c r="M1479" s="110" t="s">
        <v>4668</v>
      </c>
      <c r="N1479" s="117" t="s">
        <v>4669</v>
      </c>
      <c r="O1479" s="110" t="s">
        <v>317</v>
      </c>
      <c r="P1479" s="110" t="s">
        <v>590</v>
      </c>
      <c r="Q1479" s="118" t="n">
        <v>0.21</v>
      </c>
      <c r="R1479" s="110" t="n">
        <v>12</v>
      </c>
      <c r="S1479" s="110" t="s">
        <v>625</v>
      </c>
      <c r="T1479" s="110" t="s">
        <v>530</v>
      </c>
      <c r="U1479" s="110" t="s">
        <v>2913</v>
      </c>
      <c r="V1479" s="119" t="n">
        <v>35.97</v>
      </c>
      <c r="W1479" s="119"/>
      <c r="X1479" s="110" t="s">
        <v>2063</v>
      </c>
      <c r="Y1479" s="110" t="s">
        <v>2064</v>
      </c>
      <c r="Z1479" s="110"/>
      <c r="AA1479" s="110" t="s">
        <v>537</v>
      </c>
      <c r="AB1479" s="110" t="s">
        <v>374</v>
      </c>
      <c r="AC1479" s="110" t="s">
        <v>538</v>
      </c>
      <c r="AD1479" s="110" t="n">
        <f aca="false">IF(OR(F1479="",Q1479="",R1479=""),"",ROUND(IF(P1479="incl.",F1479/(1+Q1479),F1479)/IF(S1479="per pack",R1479,1),2))</f>
        <v>35.97</v>
      </c>
      <c r="AE1479" s="110" t="str">
        <f aca="false">IF(AND(AC1479="yes",ISNUMBER(F1479),IF(Compare!$H$5="All mapped",TRUE(),IF(Compare!$H$5="EXACT only",J1479="EXACT",OR(J1479="EXACT",J1479="CLOSE")))),"yes","no")</f>
        <v>yes</v>
      </c>
      <c r="AF1479" s="110" t="n">
        <f aca="false">IF(ISNUMBER(H1479),COUNTIFS($B$7:$B$3000,B1479,$C$7:$C$3000,C1479,$H$7:$H$3000,"&lt;"&amp;H1479,$AH$7:$AH$3000,"yes")+COUNTIFS($B$7:B1479,B1479,$C$7:C1479,C1479,$H$7:H1479,H1479,$AH$7:AH1479,"yes"),"")</f>
        <v>3</v>
      </c>
      <c r="AG1479" s="110" t="n">
        <f aca="false">IF(ISNUMBER(I1479),COUNTIFS($B$7:$B$3000,B1479,$C$7:$C$3000,C1479,$I$7:$I$3000,"&lt;"&amp;I1479,$AI$7:$AI$3000,"yes")+COUNTIFS($B$7:B1479,B1479,$C$7:C1479,C1479,$I$7:I1479,I1479,$AI$7:AI1479,"yes"),"")</f>
        <v>3</v>
      </c>
      <c r="AH1479" s="110" t="str">
        <f aca="false">IF(ISNUMBER(H1479),"yes","no")</f>
        <v>yes</v>
      </c>
      <c r="AI1479" s="110" t="str">
        <f aca="false">IF(ISNUMBER(I1479),"yes","no")</f>
        <v>yes</v>
      </c>
      <c r="AJ1479" s="120" t="n">
        <v>46297</v>
      </c>
      <c r="AK1479" s="110"/>
    </row>
    <row r="1480" customFormat="false" ht="35.05" hidden="false" customHeight="false" outlineLevel="0" collapsed="false">
      <c r="B1480" s="36" t="s">
        <v>88</v>
      </c>
      <c r="C1480" s="98" t="s">
        <v>14</v>
      </c>
      <c r="D1480" s="98" t="s">
        <v>346</v>
      </c>
      <c r="E1480" s="110" t="s">
        <v>4670</v>
      </c>
      <c r="F1480" s="99" t="n">
        <v>47.2</v>
      </c>
      <c r="G1480" s="98" t="s">
        <v>374</v>
      </c>
      <c r="H1480" s="112" t="n">
        <f aca="false">IF(AND(AE1480="yes",ISNUMBER(AD1480)),AD1480,"")</f>
        <v>39.01</v>
      </c>
      <c r="I1480" s="95" t="n">
        <f aca="false">IF(AND(AE1480="yes",ISNUMBER(AD1480),ISNUMBER(INDEX(Sources!$G$7:$G$10,MATCH(AB1480,Sources!$B$7:$B$10,0)))),ROUND(AD1480/INDEX(Sources!$G$7:$G$10,MATCH(AB1480,Sources!$B$7:$B$10,0)),6),"")</f>
        <v>7.391559</v>
      </c>
      <c r="J1480" s="98" t="s">
        <v>530</v>
      </c>
      <c r="K1480" s="98" t="s">
        <v>2059</v>
      </c>
      <c r="L1480" s="96"/>
      <c r="M1480" s="110" t="s">
        <v>4671</v>
      </c>
      <c r="N1480" s="117" t="s">
        <v>4672</v>
      </c>
      <c r="O1480" s="110" t="s">
        <v>662</v>
      </c>
      <c r="P1480" s="110" t="s">
        <v>265</v>
      </c>
      <c r="Q1480" s="118" t="n">
        <v>0.21</v>
      </c>
      <c r="R1480" s="110" t="n">
        <v>1</v>
      </c>
      <c r="S1480" s="110" t="s">
        <v>632</v>
      </c>
      <c r="T1480" s="110" t="s">
        <v>530</v>
      </c>
      <c r="U1480" s="110" t="s">
        <v>2918</v>
      </c>
      <c r="V1480" s="119" t="n">
        <v>39.01</v>
      </c>
      <c r="W1480" s="119"/>
      <c r="X1480" s="110" t="s">
        <v>2063</v>
      </c>
      <c r="Y1480" s="110" t="s">
        <v>2064</v>
      </c>
      <c r="Z1480" s="110"/>
      <c r="AA1480" s="110" t="s">
        <v>537</v>
      </c>
      <c r="AB1480" s="110" t="s">
        <v>374</v>
      </c>
      <c r="AC1480" s="110" t="s">
        <v>538</v>
      </c>
      <c r="AD1480" s="110" t="n">
        <f aca="false">IF(OR(F1480="",Q1480="",R1480=""),"",ROUND(IF(P1480="incl.",F1480/(1+Q1480),F1480)/IF(S1480="per pack",R1480,1),2))</f>
        <v>39.01</v>
      </c>
      <c r="AE1480" s="110" t="str">
        <f aca="false">IF(AND(AC1480="yes",ISNUMBER(F1480),IF(Compare!$H$5="All mapped",TRUE(),IF(Compare!$H$5="EXACT only",J1480="EXACT",OR(J1480="EXACT",J1480="CLOSE")))),"yes","no")</f>
        <v>yes</v>
      </c>
      <c r="AF1480" s="110" t="n">
        <f aca="false">IF(ISNUMBER(H1480),COUNTIFS($B$7:$B$3000,B1480,$C$7:$C$3000,C1480,$H$7:$H$3000,"&lt;"&amp;H1480,$AH$7:$AH$3000,"yes")+COUNTIFS($B$7:B1480,B1480,$C$7:C1480,C1480,$H$7:H1480,H1480,$AH$7:AH1480,"yes"),"")</f>
        <v>4</v>
      </c>
      <c r="AG1480" s="110" t="n">
        <f aca="false">IF(ISNUMBER(I1480),COUNTIFS($B$7:$B$3000,B1480,$C$7:$C$3000,C1480,$I$7:$I$3000,"&lt;"&amp;I1480,$AI$7:$AI$3000,"yes")+COUNTIFS($B$7:B1480,B1480,$C$7:C1480,C1480,$I$7:I1480,I1480,$AI$7:AI1480,"yes"),"")</f>
        <v>4</v>
      </c>
      <c r="AH1480" s="110" t="str">
        <f aca="false">IF(ISNUMBER(H1480),"yes","no")</f>
        <v>yes</v>
      </c>
      <c r="AI1480" s="110" t="str">
        <f aca="false">IF(ISNUMBER(I1480),"yes","no")</f>
        <v>yes</v>
      </c>
      <c r="AJ1480" s="120" t="n">
        <v>46297</v>
      </c>
      <c r="AK1480" s="110"/>
    </row>
    <row r="1481" customFormat="false" ht="35.05" hidden="false" customHeight="false" outlineLevel="0" collapsed="false">
      <c r="B1481" s="36" t="s">
        <v>88</v>
      </c>
      <c r="C1481" s="98" t="s">
        <v>14</v>
      </c>
      <c r="D1481" s="98" t="s">
        <v>403</v>
      </c>
      <c r="E1481" s="110" t="s">
        <v>4673</v>
      </c>
      <c r="F1481" s="99" t="n">
        <v>20.68</v>
      </c>
      <c r="G1481" s="98" t="s">
        <v>374</v>
      </c>
      <c r="H1481" s="112" t="n">
        <f aca="false">IF(AND(AE1481="yes",ISNUMBER(AD1481)),AD1481,"")</f>
        <v>20.68</v>
      </c>
      <c r="I1481" s="95" t="n">
        <f aca="false">IF(AND(AE1481="yes",ISNUMBER(AD1481),ISNUMBER(INDEX(Sources!$G$7:$G$10,MATCH(AB1481,Sources!$B$7:$B$10,0)))),ROUND(AD1481/INDEX(Sources!$G$7:$G$10,MATCH(AB1481,Sources!$B$7:$B$10,0)),6),"")</f>
        <v>3.918417</v>
      </c>
      <c r="J1481" s="98" t="s">
        <v>530</v>
      </c>
      <c r="K1481" s="98" t="s">
        <v>2059</v>
      </c>
      <c r="L1481" s="96"/>
      <c r="M1481" s="110" t="s">
        <v>4674</v>
      </c>
      <c r="N1481" s="117" t="s">
        <v>4675</v>
      </c>
      <c r="O1481" s="110" t="s">
        <v>388</v>
      </c>
      <c r="P1481" s="110" t="s">
        <v>590</v>
      </c>
      <c r="Q1481" s="118" t="n">
        <v>0.21</v>
      </c>
      <c r="R1481" s="110" t="n">
        <v>1</v>
      </c>
      <c r="S1481" s="110" t="s">
        <v>632</v>
      </c>
      <c r="T1481" s="110" t="s">
        <v>530</v>
      </c>
      <c r="U1481" s="110" t="s">
        <v>2913</v>
      </c>
      <c r="V1481" s="119" t="n">
        <v>20.68</v>
      </c>
      <c r="W1481" s="119"/>
      <c r="X1481" s="110" t="s">
        <v>2063</v>
      </c>
      <c r="Y1481" s="110" t="s">
        <v>2064</v>
      </c>
      <c r="Z1481" s="110"/>
      <c r="AA1481" s="110" t="s">
        <v>537</v>
      </c>
      <c r="AB1481" s="110" t="s">
        <v>374</v>
      </c>
      <c r="AC1481" s="110" t="s">
        <v>538</v>
      </c>
      <c r="AD1481" s="110" t="n">
        <f aca="false">IF(OR(F1481="",Q1481="",R1481=""),"",ROUND(IF(P1481="incl.",F1481/(1+Q1481),F1481)/IF(S1481="per pack",R1481,1),2))</f>
        <v>20.68</v>
      </c>
      <c r="AE1481" s="110" t="str">
        <f aca="false">IF(AND(AC1481="yes",ISNUMBER(F1481),IF(Compare!$H$5="All mapped",TRUE(),IF(Compare!$H$5="EXACT only",J1481="EXACT",OR(J1481="EXACT",J1481="CLOSE")))),"yes","no")</f>
        <v>yes</v>
      </c>
      <c r="AF1481" s="110" t="n">
        <f aca="false">IF(ISNUMBER(H1481),COUNTIFS($B$7:$B$3000,B1481,$C$7:$C$3000,C1481,$H$7:$H$3000,"&lt;"&amp;H1481,$AH$7:$AH$3000,"yes")+COUNTIFS($B$7:B1481,B1481,$C$7:C1481,C1481,$H$7:H1481,H1481,$AH$7:AH1481,"yes"),"")</f>
        <v>1</v>
      </c>
      <c r="AG1481" s="110" t="n">
        <f aca="false">IF(ISNUMBER(I1481),COUNTIFS($B$7:$B$3000,B1481,$C$7:$C$3000,C1481,$I$7:$I$3000,"&lt;"&amp;I1481,$AI$7:$AI$3000,"yes")+COUNTIFS($B$7:B1481,B1481,$C$7:C1481,C1481,$I$7:I1481,I1481,$AI$7:AI1481,"yes"),"")</f>
        <v>1</v>
      </c>
      <c r="AH1481" s="110" t="str">
        <f aca="false">IF(ISNUMBER(H1481),"yes","no")</f>
        <v>yes</v>
      </c>
      <c r="AI1481" s="110" t="str">
        <f aca="false">IF(ISNUMBER(I1481),"yes","no")</f>
        <v>yes</v>
      </c>
      <c r="AJ1481" s="120" t="n">
        <v>46297</v>
      </c>
      <c r="AK1481" s="110"/>
    </row>
    <row r="1482" customFormat="false" ht="35.05" hidden="false" customHeight="false" outlineLevel="0" collapsed="false">
      <c r="B1482" s="36" t="s">
        <v>88</v>
      </c>
      <c r="C1482" s="98" t="s">
        <v>15</v>
      </c>
      <c r="D1482" s="98" t="s">
        <v>243</v>
      </c>
      <c r="E1482" s="110" t="s">
        <v>4676</v>
      </c>
      <c r="F1482" s="99" t="n">
        <v>7.88</v>
      </c>
      <c r="G1482" s="98" t="s">
        <v>244</v>
      </c>
      <c r="H1482" s="112" t="n">
        <f aca="false">IF(AND(AE1482="yes",ISNUMBER(AD1482)),AD1482,"")</f>
        <v>7.88</v>
      </c>
      <c r="I1482" s="95" t="n">
        <f aca="false">IF(AND(AE1482="yes",ISNUMBER(AD1482),ISNUMBER(INDEX(Sources!$G$7:$G$10,MATCH(AB1482,Sources!$B$7:$B$10,0)))),ROUND(AD1482/INDEX(Sources!$G$7:$G$10,MATCH(AB1482,Sources!$B$7:$B$10,0)),6),"")</f>
        <v>7.88</v>
      </c>
      <c r="J1482" s="98" t="s">
        <v>530</v>
      </c>
      <c r="K1482" s="98" t="s">
        <v>2059</v>
      </c>
      <c r="L1482" s="96"/>
      <c r="M1482" s="110" t="s">
        <v>4677</v>
      </c>
      <c r="N1482" s="117" t="s">
        <v>4678</v>
      </c>
      <c r="O1482" s="110" t="s">
        <v>388</v>
      </c>
      <c r="P1482" s="110" t="s">
        <v>590</v>
      </c>
      <c r="Q1482" s="118" t="n">
        <v>0.2</v>
      </c>
      <c r="R1482" s="110" t="n">
        <v>1</v>
      </c>
      <c r="S1482" s="110" t="s">
        <v>632</v>
      </c>
      <c r="T1482" s="110" t="s">
        <v>530</v>
      </c>
      <c r="U1482" s="110" t="s">
        <v>2913</v>
      </c>
      <c r="V1482" s="119" t="n">
        <v>7.88</v>
      </c>
      <c r="W1482" s="119"/>
      <c r="X1482" s="110" t="s">
        <v>2063</v>
      </c>
      <c r="Y1482" s="110" t="s">
        <v>2064</v>
      </c>
      <c r="Z1482" s="110" t="s">
        <v>4337</v>
      </c>
      <c r="AA1482" s="110" t="s">
        <v>537</v>
      </c>
      <c r="AB1482" s="110" t="s">
        <v>244</v>
      </c>
      <c r="AC1482" s="110" t="s">
        <v>538</v>
      </c>
      <c r="AD1482" s="110" t="n">
        <f aca="false">IF(OR(F1482="",Q1482="",R1482=""),"",ROUND(IF(P1482="incl.",F1482/(1+Q1482),F1482)/IF(S1482="per pack",R1482,1),2))</f>
        <v>7.88</v>
      </c>
      <c r="AE1482" s="110" t="str">
        <f aca="false">IF(AND(AC1482="yes",ISNUMBER(F1482),IF(Compare!$H$5="All mapped",TRUE(),IF(Compare!$H$5="EXACT only",J1482="EXACT",OR(J1482="EXACT",J1482="CLOSE")))),"yes","no")</f>
        <v>yes</v>
      </c>
      <c r="AF1482" s="110" t="n">
        <f aca="false">IF(ISNUMBER(H1482),COUNTIFS($B$7:$B$3000,B1482,$C$7:$C$3000,C1482,$H$7:$H$3000,"&lt;"&amp;H1482,$AH$7:$AH$3000,"yes")+COUNTIFS($B$7:B1482,B1482,$C$7:C1482,C1482,$H$7:H1482,H1482,$AH$7:AH1482,"yes"),"")</f>
        <v>5</v>
      </c>
      <c r="AG1482" s="110" t="n">
        <f aca="false">IF(ISNUMBER(I1482),COUNTIFS($B$7:$B$3000,B1482,$C$7:$C$3000,C1482,$I$7:$I$3000,"&lt;"&amp;I1482,$AI$7:$AI$3000,"yes")+COUNTIFS($B$7:B1482,B1482,$C$7:C1482,C1482,$I$7:I1482,I1482,$AI$7:AI1482,"yes"),"")</f>
        <v>5</v>
      </c>
      <c r="AH1482" s="110" t="str">
        <f aca="false">IF(ISNUMBER(H1482),"yes","no")</f>
        <v>yes</v>
      </c>
      <c r="AI1482" s="110" t="str">
        <f aca="false">IF(ISNUMBER(I1482),"yes","no")</f>
        <v>yes</v>
      </c>
      <c r="AJ1482" s="120" t="n">
        <v>46297</v>
      </c>
      <c r="AK1482" s="110"/>
    </row>
    <row r="1483" customFormat="false" ht="23.85" hidden="false" customHeight="false" outlineLevel="0" collapsed="false">
      <c r="B1483" s="36" t="s">
        <v>88</v>
      </c>
      <c r="C1483" s="98" t="s">
        <v>15</v>
      </c>
      <c r="D1483" s="98" t="s">
        <v>257</v>
      </c>
      <c r="E1483" s="110" t="s">
        <v>4679</v>
      </c>
      <c r="F1483" s="99" t="n">
        <v>5.85</v>
      </c>
      <c r="G1483" s="98" t="s">
        <v>244</v>
      </c>
      <c r="H1483" s="112" t="n">
        <f aca="false">IF(AND(AE1483="yes",ISNUMBER(AD1483)),AD1483,"")</f>
        <v>5.85</v>
      </c>
      <c r="I1483" s="95" t="n">
        <f aca="false">IF(AND(AE1483="yes",ISNUMBER(AD1483),ISNUMBER(INDEX(Sources!$G$7:$G$10,MATCH(AB1483,Sources!$B$7:$B$10,0)))),ROUND(AD1483/INDEX(Sources!$G$7:$G$10,MATCH(AB1483,Sources!$B$7:$B$10,0)),6),"")</f>
        <v>5.85</v>
      </c>
      <c r="J1483" s="98" t="s">
        <v>530</v>
      </c>
      <c r="K1483" s="98" t="s">
        <v>2059</v>
      </c>
      <c r="L1483" s="96"/>
      <c r="M1483" s="110" t="s">
        <v>4680</v>
      </c>
      <c r="N1483" s="117" t="s">
        <v>4681</v>
      </c>
      <c r="O1483" s="110" t="s">
        <v>2396</v>
      </c>
      <c r="P1483" s="110" t="s">
        <v>590</v>
      </c>
      <c r="Q1483" s="118" t="n">
        <v>0.2</v>
      </c>
      <c r="R1483" s="110" t="n">
        <v>1</v>
      </c>
      <c r="S1483" s="110" t="s">
        <v>632</v>
      </c>
      <c r="T1483" s="110" t="s">
        <v>530</v>
      </c>
      <c r="U1483" s="110" t="s">
        <v>2913</v>
      </c>
      <c r="V1483" s="119" t="n">
        <v>5.85</v>
      </c>
      <c r="W1483" s="119"/>
      <c r="X1483" s="110" t="s">
        <v>2063</v>
      </c>
      <c r="Y1483" s="110" t="s">
        <v>2064</v>
      </c>
      <c r="Z1483" s="110" t="s">
        <v>4341</v>
      </c>
      <c r="AA1483" s="110" t="s">
        <v>537</v>
      </c>
      <c r="AB1483" s="110" t="s">
        <v>244</v>
      </c>
      <c r="AC1483" s="110" t="s">
        <v>538</v>
      </c>
      <c r="AD1483" s="110" t="n">
        <f aca="false">IF(OR(F1483="",Q1483="",R1483=""),"",ROUND(IF(P1483="incl.",F1483/(1+Q1483),F1483)/IF(S1483="per pack",R1483,1),2))</f>
        <v>5.85</v>
      </c>
      <c r="AE1483" s="110" t="str">
        <f aca="false">IF(AND(AC1483="yes",ISNUMBER(F1483),IF(Compare!$H$5="All mapped",TRUE(),IF(Compare!$H$5="EXACT only",J1483="EXACT",OR(J1483="EXACT",J1483="CLOSE")))),"yes","no")</f>
        <v>yes</v>
      </c>
      <c r="AF1483" s="110" t="n">
        <f aca="false">IF(ISNUMBER(H1483),COUNTIFS($B$7:$B$3000,B1483,$C$7:$C$3000,C1483,$H$7:$H$3000,"&lt;"&amp;H1483,$AH$7:$AH$3000,"yes")+COUNTIFS($B$7:B1483,B1483,$C$7:C1483,C1483,$H$7:H1483,H1483,$AH$7:AH1483,"yes"),"")</f>
        <v>3</v>
      </c>
      <c r="AG1483" s="110" t="n">
        <f aca="false">IF(ISNUMBER(I1483),COUNTIFS($B$7:$B$3000,B1483,$C$7:$C$3000,C1483,$I$7:$I$3000,"&lt;"&amp;I1483,$AI$7:$AI$3000,"yes")+COUNTIFS($B$7:B1483,B1483,$C$7:C1483,C1483,$I$7:I1483,I1483,$AI$7:AI1483,"yes"),"")</f>
        <v>3</v>
      </c>
      <c r="AH1483" s="110" t="str">
        <f aca="false">IF(ISNUMBER(H1483),"yes","no")</f>
        <v>yes</v>
      </c>
      <c r="AI1483" s="110" t="str">
        <f aca="false">IF(ISNUMBER(I1483),"yes","no")</f>
        <v>yes</v>
      </c>
      <c r="AJ1483" s="120" t="n">
        <v>46297</v>
      </c>
      <c r="AK1483" s="110"/>
    </row>
    <row r="1484" customFormat="false" ht="23.85" hidden="false" customHeight="false" outlineLevel="0" collapsed="false">
      <c r="B1484" s="36" t="s">
        <v>88</v>
      </c>
      <c r="C1484" s="98" t="s">
        <v>15</v>
      </c>
      <c r="D1484" s="98" t="s">
        <v>269</v>
      </c>
      <c r="E1484" s="110" t="s">
        <v>4682</v>
      </c>
      <c r="F1484" s="99" t="n">
        <v>9.19</v>
      </c>
      <c r="G1484" s="98" t="s">
        <v>244</v>
      </c>
      <c r="H1484" s="112" t="n">
        <f aca="false">IF(AND(AE1484="yes",ISNUMBER(AD1484)),AD1484,"")</f>
        <v>9.19</v>
      </c>
      <c r="I1484" s="95" t="n">
        <f aca="false">IF(AND(AE1484="yes",ISNUMBER(AD1484),ISNUMBER(INDEX(Sources!$G$7:$G$10,MATCH(AB1484,Sources!$B$7:$B$10,0)))),ROUND(AD1484/INDEX(Sources!$G$7:$G$10,MATCH(AB1484,Sources!$B$7:$B$10,0)),6),"")</f>
        <v>9.19</v>
      </c>
      <c r="J1484" s="98" t="s">
        <v>530</v>
      </c>
      <c r="K1484" s="98" t="s">
        <v>2059</v>
      </c>
      <c r="L1484" s="96"/>
      <c r="M1484" s="110" t="s">
        <v>4683</v>
      </c>
      <c r="N1484" s="117" t="s">
        <v>4684</v>
      </c>
      <c r="O1484" s="110" t="s">
        <v>589</v>
      </c>
      <c r="P1484" s="110" t="s">
        <v>590</v>
      </c>
      <c r="Q1484" s="118" t="n">
        <v>0.19</v>
      </c>
      <c r="R1484" s="110" t="n">
        <v>1</v>
      </c>
      <c r="S1484" s="110" t="s">
        <v>632</v>
      </c>
      <c r="T1484" s="110" t="s">
        <v>530</v>
      </c>
      <c r="U1484" s="110" t="s">
        <v>2913</v>
      </c>
      <c r="V1484" s="119" t="n">
        <v>9.19</v>
      </c>
      <c r="W1484" s="119"/>
      <c r="X1484" s="110" t="s">
        <v>2063</v>
      </c>
      <c r="Y1484" s="110" t="s">
        <v>2064</v>
      </c>
      <c r="Z1484" s="110" t="s">
        <v>4345</v>
      </c>
      <c r="AA1484" s="110" t="s">
        <v>537</v>
      </c>
      <c r="AB1484" s="110" t="s">
        <v>244</v>
      </c>
      <c r="AC1484" s="110" t="s">
        <v>538</v>
      </c>
      <c r="AD1484" s="110" t="n">
        <f aca="false">IF(OR(F1484="",Q1484="",R1484=""),"",ROUND(IF(P1484="incl.",F1484/(1+Q1484),F1484)/IF(S1484="per pack",R1484,1),2))</f>
        <v>9.19</v>
      </c>
      <c r="AE1484" s="110" t="str">
        <f aca="false">IF(AND(AC1484="yes",ISNUMBER(F1484),IF(Compare!$H$5="All mapped",TRUE(),IF(Compare!$H$5="EXACT only",J1484="EXACT",OR(J1484="EXACT",J1484="CLOSE")))),"yes","no")</f>
        <v>yes</v>
      </c>
      <c r="AF1484" s="110" t="n">
        <f aca="false">IF(ISNUMBER(H1484),COUNTIFS($B$7:$B$3000,B1484,$C$7:$C$3000,C1484,$H$7:$H$3000,"&lt;"&amp;H1484,$AH$7:$AH$3000,"yes")+COUNTIFS($B$7:B1484,B1484,$C$7:C1484,C1484,$H$7:H1484,H1484,$AH$7:AH1484,"yes"),"")</f>
        <v>6</v>
      </c>
      <c r="AG1484" s="110" t="n">
        <f aca="false">IF(ISNUMBER(I1484),COUNTIFS($B$7:$B$3000,B1484,$C$7:$C$3000,C1484,$I$7:$I$3000,"&lt;"&amp;I1484,$AI$7:$AI$3000,"yes")+COUNTIFS($B$7:B1484,B1484,$C$7:C1484,C1484,$I$7:I1484,I1484,$AI$7:AI1484,"yes"),"")</f>
        <v>6</v>
      </c>
      <c r="AH1484" s="110" t="str">
        <f aca="false">IF(ISNUMBER(H1484),"yes","no")</f>
        <v>yes</v>
      </c>
      <c r="AI1484" s="110" t="str">
        <f aca="false">IF(ISNUMBER(I1484),"yes","no")</f>
        <v>yes</v>
      </c>
      <c r="AJ1484" s="120" t="n">
        <v>46297</v>
      </c>
      <c r="AK1484" s="110"/>
    </row>
    <row r="1485" customFormat="false" ht="23.85" hidden="false" customHeight="false" outlineLevel="0" collapsed="false">
      <c r="B1485" s="36" t="s">
        <v>88</v>
      </c>
      <c r="C1485" s="98" t="s">
        <v>15</v>
      </c>
      <c r="D1485" s="98" t="s">
        <v>264</v>
      </c>
      <c r="E1485" s="110" t="s">
        <v>4685</v>
      </c>
      <c r="F1485" s="99" t="n">
        <v>18.77</v>
      </c>
      <c r="G1485" s="98" t="s">
        <v>244</v>
      </c>
      <c r="H1485" s="112" t="n">
        <f aca="false">IF(AND(AE1485="yes",ISNUMBER(AD1485)),AD1485,"")</f>
        <v>18.77</v>
      </c>
      <c r="I1485" s="95" t="n">
        <f aca="false">IF(AND(AE1485="yes",ISNUMBER(AD1485),ISNUMBER(INDEX(Sources!$G$7:$G$10,MATCH(AB1485,Sources!$B$7:$B$10,0)))),ROUND(AD1485/INDEX(Sources!$G$7:$G$10,MATCH(AB1485,Sources!$B$7:$B$10,0)),6),"")</f>
        <v>18.77</v>
      </c>
      <c r="J1485" s="98" t="s">
        <v>530</v>
      </c>
      <c r="K1485" s="98" t="s">
        <v>2059</v>
      </c>
      <c r="L1485" s="96"/>
      <c r="M1485" s="110" t="s">
        <v>4686</v>
      </c>
      <c r="N1485" s="117" t="s">
        <v>4687</v>
      </c>
      <c r="O1485" s="110" t="s">
        <v>388</v>
      </c>
      <c r="P1485" s="110" t="s">
        <v>590</v>
      </c>
      <c r="Q1485" s="118" t="n">
        <v>0.19</v>
      </c>
      <c r="R1485" s="110" t="n">
        <v>1</v>
      </c>
      <c r="S1485" s="110" t="s">
        <v>632</v>
      </c>
      <c r="T1485" s="110" t="s">
        <v>530</v>
      </c>
      <c r="U1485" s="110" t="s">
        <v>2913</v>
      </c>
      <c r="V1485" s="119" t="n">
        <v>18.77</v>
      </c>
      <c r="W1485" s="119"/>
      <c r="X1485" s="110" t="s">
        <v>2063</v>
      </c>
      <c r="Y1485" s="110" t="s">
        <v>2064</v>
      </c>
      <c r="Z1485" s="110"/>
      <c r="AA1485" s="110" t="s">
        <v>537</v>
      </c>
      <c r="AB1485" s="110" t="s">
        <v>244</v>
      </c>
      <c r="AC1485" s="110" t="s">
        <v>538</v>
      </c>
      <c r="AD1485" s="110" t="n">
        <f aca="false">IF(OR(F1485="",Q1485="",R1485=""),"",ROUND(IF(P1485="incl.",F1485/(1+Q1485),F1485)/IF(S1485="per pack",R1485,1),2))</f>
        <v>18.77</v>
      </c>
      <c r="AE1485" s="110" t="str">
        <f aca="false">IF(AND(AC1485="yes",ISNUMBER(F1485),IF(Compare!$H$5="All mapped",TRUE(),IF(Compare!$H$5="EXACT only",J1485="EXACT",OR(J1485="EXACT",J1485="CLOSE")))),"yes","no")</f>
        <v>yes</v>
      </c>
      <c r="AF1485" s="110" t="n">
        <f aca="false">IF(ISNUMBER(H1485),COUNTIFS($B$7:$B$3000,B1485,$C$7:$C$3000,C1485,$H$7:$H$3000,"&lt;"&amp;H1485,$AH$7:$AH$3000,"yes")+COUNTIFS($B$7:B1485,B1485,$C$7:C1485,C1485,$H$7:H1485,H1485,$AH$7:AH1485,"yes"),"")</f>
        <v>7</v>
      </c>
      <c r="AG1485" s="110" t="n">
        <f aca="false">IF(ISNUMBER(I1485),COUNTIFS($B$7:$B$3000,B1485,$C$7:$C$3000,C1485,$I$7:$I$3000,"&lt;"&amp;I1485,$AI$7:$AI$3000,"yes")+COUNTIFS($B$7:B1485,B1485,$C$7:C1485,C1485,$I$7:I1485,I1485,$AI$7:AI1485,"yes"),"")</f>
        <v>7</v>
      </c>
      <c r="AH1485" s="110" t="str">
        <f aca="false">IF(ISNUMBER(H1485),"yes","no")</f>
        <v>yes</v>
      </c>
      <c r="AI1485" s="110" t="str">
        <f aca="false">IF(ISNUMBER(I1485),"yes","no")</f>
        <v>yes</v>
      </c>
      <c r="AJ1485" s="120" t="n">
        <v>46297</v>
      </c>
      <c r="AK1485" s="110"/>
    </row>
    <row r="1486" customFormat="false" ht="35.05" hidden="false" customHeight="false" outlineLevel="0" collapsed="false">
      <c r="B1486" s="36" t="s">
        <v>88</v>
      </c>
      <c r="C1486" s="98" t="s">
        <v>15</v>
      </c>
      <c r="D1486" s="98" t="s">
        <v>273</v>
      </c>
      <c r="E1486" s="110" t="s">
        <v>4688</v>
      </c>
      <c r="F1486" s="99" t="n">
        <v>8.49</v>
      </c>
      <c r="G1486" s="98" t="s">
        <v>244</v>
      </c>
      <c r="H1486" s="112" t="n">
        <f aca="false">IF(AND(AE1486="yes",ISNUMBER(AD1486)),AD1486,"")</f>
        <v>7.08</v>
      </c>
      <c r="I1486" s="95" t="n">
        <f aca="false">IF(AND(AE1486="yes",ISNUMBER(AD1486),ISNUMBER(INDEX(Sources!$G$7:$G$10,MATCH(AB1486,Sources!$B$7:$B$10,0)))),ROUND(AD1486/INDEX(Sources!$G$7:$G$10,MATCH(AB1486,Sources!$B$7:$B$10,0)),6),"")</f>
        <v>7.08</v>
      </c>
      <c r="J1486" s="98" t="s">
        <v>530</v>
      </c>
      <c r="K1486" s="98" t="s">
        <v>2059</v>
      </c>
      <c r="L1486" s="96"/>
      <c r="M1486" s="110" t="s">
        <v>4689</v>
      </c>
      <c r="N1486" s="117" t="s">
        <v>4690</v>
      </c>
      <c r="O1486" s="110" t="s">
        <v>642</v>
      </c>
      <c r="P1486" s="110" t="s">
        <v>265</v>
      </c>
      <c r="Q1486" s="118" t="n">
        <v>0.2</v>
      </c>
      <c r="R1486" s="110" t="n">
        <v>1</v>
      </c>
      <c r="S1486" s="110" t="s">
        <v>632</v>
      </c>
      <c r="T1486" s="110" t="s">
        <v>530</v>
      </c>
      <c r="U1486" s="110" t="s">
        <v>2918</v>
      </c>
      <c r="V1486" s="119" t="n">
        <v>7.08</v>
      </c>
      <c r="W1486" s="119"/>
      <c r="X1486" s="110" t="s">
        <v>2063</v>
      </c>
      <c r="Y1486" s="110" t="s">
        <v>2064</v>
      </c>
      <c r="Z1486" s="110"/>
      <c r="AA1486" s="110" t="s">
        <v>537</v>
      </c>
      <c r="AB1486" s="110" t="s">
        <v>244</v>
      </c>
      <c r="AC1486" s="110" t="s">
        <v>538</v>
      </c>
      <c r="AD1486" s="110" t="n">
        <f aca="false">IF(OR(F1486="",Q1486="",R1486=""),"",ROUND(IF(P1486="incl.",F1486/(1+Q1486),F1486)/IF(S1486="per pack",R1486,1),2))</f>
        <v>7.08</v>
      </c>
      <c r="AE1486" s="110" t="str">
        <f aca="false">IF(AND(AC1486="yes",ISNUMBER(F1486),IF(Compare!$H$5="All mapped",TRUE(),IF(Compare!$H$5="EXACT only",J1486="EXACT",OR(J1486="EXACT",J1486="CLOSE")))),"yes","no")</f>
        <v>yes</v>
      </c>
      <c r="AF1486" s="110" t="n">
        <f aca="false">IF(ISNUMBER(H1486),COUNTIFS($B$7:$B$3000,B1486,$C$7:$C$3000,C1486,$H$7:$H$3000,"&lt;"&amp;H1486,$AH$7:$AH$3000,"yes")+COUNTIFS($B$7:B1486,B1486,$C$7:C1486,C1486,$H$7:H1486,H1486,$AH$7:AH1486,"yes"),"")</f>
        <v>4</v>
      </c>
      <c r="AG1486" s="110" t="n">
        <f aca="false">IF(ISNUMBER(I1486),COUNTIFS($B$7:$B$3000,B1486,$C$7:$C$3000,C1486,$I$7:$I$3000,"&lt;"&amp;I1486,$AI$7:$AI$3000,"yes")+COUNTIFS($B$7:B1486,B1486,$C$7:C1486,C1486,$I$7:I1486,I1486,$AI$7:AI1486,"yes"),"")</f>
        <v>4</v>
      </c>
      <c r="AH1486" s="110" t="str">
        <f aca="false">IF(ISNUMBER(H1486),"yes","no")</f>
        <v>yes</v>
      </c>
      <c r="AI1486" s="110" t="str">
        <f aca="false">IF(ISNUMBER(I1486),"yes","no")</f>
        <v>yes</v>
      </c>
      <c r="AJ1486" s="120" t="n">
        <v>46297</v>
      </c>
      <c r="AK1486" s="110"/>
    </row>
    <row r="1487" customFormat="false" ht="46.25" hidden="false" customHeight="false" outlineLevel="0" collapsed="false">
      <c r="B1487" s="36" t="s">
        <v>88</v>
      </c>
      <c r="C1487" s="98" t="s">
        <v>15</v>
      </c>
      <c r="D1487" s="98" t="s">
        <v>281</v>
      </c>
      <c r="E1487" s="110" t="s">
        <v>4691</v>
      </c>
      <c r="F1487" s="99" t="n">
        <v>4.98</v>
      </c>
      <c r="G1487" s="98" t="s">
        <v>244</v>
      </c>
      <c r="H1487" s="112" t="n">
        <f aca="false">IF(AND(AE1487="yes",ISNUMBER(AD1487)),AD1487,"")</f>
        <v>4.98</v>
      </c>
      <c r="I1487" s="95" t="n">
        <f aca="false">IF(AND(AE1487="yes",ISNUMBER(AD1487),ISNUMBER(INDEX(Sources!$G$7:$G$10,MATCH(AB1487,Sources!$B$7:$B$10,0)))),ROUND(AD1487/INDEX(Sources!$G$7:$G$10,MATCH(AB1487,Sources!$B$7:$B$10,0)),6),"")</f>
        <v>4.98</v>
      </c>
      <c r="J1487" s="98" t="s">
        <v>530</v>
      </c>
      <c r="K1487" s="98" t="s">
        <v>2059</v>
      </c>
      <c r="L1487" s="96"/>
      <c r="M1487" s="110" t="s">
        <v>4692</v>
      </c>
      <c r="N1487" s="117" t="s">
        <v>4693</v>
      </c>
      <c r="O1487" s="110" t="s">
        <v>603</v>
      </c>
      <c r="P1487" s="110" t="s">
        <v>590</v>
      </c>
      <c r="Q1487" s="118" t="n">
        <v>0.2</v>
      </c>
      <c r="R1487" s="110" t="n">
        <v>1</v>
      </c>
      <c r="S1487" s="110" t="s">
        <v>632</v>
      </c>
      <c r="T1487" s="110" t="s">
        <v>530</v>
      </c>
      <c r="U1487" s="110" t="s">
        <v>2913</v>
      </c>
      <c r="V1487" s="119" t="n">
        <v>4.98</v>
      </c>
      <c r="W1487" s="119"/>
      <c r="X1487" s="110" t="s">
        <v>2063</v>
      </c>
      <c r="Y1487" s="110" t="s">
        <v>2064</v>
      </c>
      <c r="Z1487" s="110" t="s">
        <v>2125</v>
      </c>
      <c r="AA1487" s="110" t="s">
        <v>537</v>
      </c>
      <c r="AB1487" s="110" t="s">
        <v>244</v>
      </c>
      <c r="AC1487" s="110" t="s">
        <v>538</v>
      </c>
      <c r="AD1487" s="110" t="n">
        <f aca="false">IF(OR(F1487="",Q1487="",R1487=""),"",ROUND(IF(P1487="incl.",F1487/(1+Q1487),F1487)/IF(S1487="per pack",R1487,1),2))</f>
        <v>4.98</v>
      </c>
      <c r="AE1487" s="110" t="str">
        <f aca="false">IF(AND(AC1487="yes",ISNUMBER(F1487),IF(Compare!$H$5="All mapped",TRUE(),IF(Compare!$H$5="EXACT only",J1487="EXACT",OR(J1487="EXACT",J1487="CLOSE")))),"yes","no")</f>
        <v>yes</v>
      </c>
      <c r="AF1487" s="110" t="n">
        <f aca="false">IF(ISNUMBER(H1487),COUNTIFS($B$7:$B$3000,B1487,$C$7:$C$3000,C1487,$H$7:$H$3000,"&lt;"&amp;H1487,$AH$7:$AH$3000,"yes")+COUNTIFS($B$7:B1487,B1487,$C$7:C1487,C1487,$H$7:H1487,H1487,$AH$7:AH1487,"yes"),"")</f>
        <v>2</v>
      </c>
      <c r="AG1487" s="110" t="n">
        <f aca="false">IF(ISNUMBER(I1487),COUNTIFS($B$7:$B$3000,B1487,$C$7:$C$3000,C1487,$I$7:$I$3000,"&lt;"&amp;I1487,$AI$7:$AI$3000,"yes")+COUNTIFS($B$7:B1487,B1487,$C$7:C1487,C1487,$I$7:I1487,I1487,$AI$7:AI1487,"yes"),"")</f>
        <v>2</v>
      </c>
      <c r="AH1487" s="110" t="str">
        <f aca="false">IF(ISNUMBER(H1487),"yes","no")</f>
        <v>yes</v>
      </c>
      <c r="AI1487" s="110" t="str">
        <f aca="false">IF(ISNUMBER(I1487),"yes","no")</f>
        <v>yes</v>
      </c>
      <c r="AJ1487" s="120" t="n">
        <v>46297</v>
      </c>
      <c r="AK1487" s="110"/>
    </row>
    <row r="1488" customFormat="false" ht="35.05" hidden="false" customHeight="false" outlineLevel="0" collapsed="false">
      <c r="B1488" s="36" t="s">
        <v>88</v>
      </c>
      <c r="C1488" s="98" t="s">
        <v>15</v>
      </c>
      <c r="D1488" s="98" t="s">
        <v>293</v>
      </c>
      <c r="E1488" s="110" t="s">
        <v>4694</v>
      </c>
      <c r="F1488" s="99" t="n">
        <v>4.2</v>
      </c>
      <c r="G1488" s="98" t="s">
        <v>244</v>
      </c>
      <c r="H1488" s="112" t="n">
        <f aca="false">IF(AND(AE1488="yes",ISNUMBER(AD1488)),AD1488,"")</f>
        <v>4.2</v>
      </c>
      <c r="I1488" s="95" t="n">
        <f aca="false">IF(AND(AE1488="yes",ISNUMBER(AD1488),ISNUMBER(INDEX(Sources!$G$7:$G$10,MATCH(AB1488,Sources!$B$7:$B$10,0)))),ROUND(AD1488/INDEX(Sources!$G$7:$G$10,MATCH(AB1488,Sources!$B$7:$B$10,0)),6),"")</f>
        <v>4.2</v>
      </c>
      <c r="J1488" s="98" t="s">
        <v>530</v>
      </c>
      <c r="K1488" s="98" t="s">
        <v>2059</v>
      </c>
      <c r="L1488" s="96"/>
      <c r="M1488" s="110" t="s">
        <v>4695</v>
      </c>
      <c r="N1488" s="117" t="s">
        <v>4696</v>
      </c>
      <c r="O1488" s="110" t="s">
        <v>4358</v>
      </c>
      <c r="P1488" s="110" t="s">
        <v>590</v>
      </c>
      <c r="Q1488" s="118" t="n">
        <v>0.2</v>
      </c>
      <c r="R1488" s="110" t="n">
        <v>1</v>
      </c>
      <c r="S1488" s="110" t="s">
        <v>632</v>
      </c>
      <c r="T1488" s="110" t="s">
        <v>530</v>
      </c>
      <c r="U1488" s="110" t="s">
        <v>2913</v>
      </c>
      <c r="V1488" s="119" t="n">
        <v>4.2</v>
      </c>
      <c r="W1488" s="119"/>
      <c r="X1488" s="110" t="s">
        <v>2063</v>
      </c>
      <c r="Y1488" s="110" t="s">
        <v>2064</v>
      </c>
      <c r="Z1488" s="110"/>
      <c r="AA1488" s="110" t="s">
        <v>537</v>
      </c>
      <c r="AB1488" s="110" t="s">
        <v>244</v>
      </c>
      <c r="AC1488" s="110" t="s">
        <v>538</v>
      </c>
      <c r="AD1488" s="110" t="n">
        <f aca="false">IF(OR(F1488="",Q1488="",R1488=""),"",ROUND(IF(P1488="incl.",F1488/(1+Q1488),F1488)/IF(S1488="per pack",R1488,1),2))</f>
        <v>4.2</v>
      </c>
      <c r="AE1488" s="110" t="str">
        <f aca="false">IF(AND(AC1488="yes",ISNUMBER(F1488),IF(Compare!$H$5="All mapped",TRUE(),IF(Compare!$H$5="EXACT only",J1488="EXACT",OR(J1488="EXACT",J1488="CLOSE")))),"yes","no")</f>
        <v>yes</v>
      </c>
      <c r="AF1488" s="110" t="n">
        <f aca="false">IF(ISNUMBER(H1488),COUNTIFS($B$7:$B$3000,B1488,$C$7:$C$3000,C1488,$H$7:$H$3000,"&lt;"&amp;H1488,$AH$7:$AH$3000,"yes")+COUNTIFS($B$7:B1488,B1488,$C$7:C1488,C1488,$H$7:H1488,H1488,$AH$7:AH1488,"yes"),"")</f>
        <v>1</v>
      </c>
      <c r="AG1488" s="110" t="n">
        <f aca="false">IF(ISNUMBER(I1488),COUNTIFS($B$7:$B$3000,B1488,$C$7:$C$3000,C1488,$I$7:$I$3000,"&lt;"&amp;I1488,$AI$7:$AI$3000,"yes")+COUNTIFS($B$7:B1488,B1488,$C$7:C1488,C1488,$I$7:I1488,I1488,$AI$7:AI1488,"yes"),"")</f>
        <v>1</v>
      </c>
      <c r="AH1488" s="110" t="str">
        <f aca="false">IF(ISNUMBER(H1488),"yes","no")</f>
        <v>yes</v>
      </c>
      <c r="AI1488" s="110" t="str">
        <f aca="false">IF(ISNUMBER(I1488),"yes","no")</f>
        <v>yes</v>
      </c>
      <c r="AJ1488" s="120" t="n">
        <v>46297</v>
      </c>
      <c r="AK1488" s="110"/>
    </row>
    <row r="1489" customFormat="false" ht="23.85" hidden="false" customHeight="false" outlineLevel="0" collapsed="false">
      <c r="B1489" s="36" t="s">
        <v>88</v>
      </c>
      <c r="C1489" s="98" t="s">
        <v>16</v>
      </c>
      <c r="D1489" s="98" t="s">
        <v>296</v>
      </c>
      <c r="E1489" s="110" t="s">
        <v>4697</v>
      </c>
      <c r="F1489" s="99" t="n">
        <v>3.99</v>
      </c>
      <c r="G1489" s="98" t="s">
        <v>244</v>
      </c>
      <c r="H1489" s="112" t="n">
        <f aca="false">IF(AND(AE1489="yes",ISNUMBER(AD1489)),AD1489,"")</f>
        <v>3.99</v>
      </c>
      <c r="I1489" s="95" t="n">
        <f aca="false">IF(AND(AE1489="yes",ISNUMBER(AD1489),ISNUMBER(INDEX(Sources!$G$7:$G$10,MATCH(AB1489,Sources!$B$7:$B$10,0)))),ROUND(AD1489/INDEX(Sources!$G$7:$G$10,MATCH(AB1489,Sources!$B$7:$B$10,0)),6),"")</f>
        <v>3.99</v>
      </c>
      <c r="J1489" s="98" t="s">
        <v>530</v>
      </c>
      <c r="K1489" s="98" t="s">
        <v>2059</v>
      </c>
      <c r="L1489" s="96"/>
      <c r="M1489" s="110" t="s">
        <v>4698</v>
      </c>
      <c r="N1489" s="117" t="s">
        <v>4699</v>
      </c>
      <c r="O1489" s="110" t="s">
        <v>4362</v>
      </c>
      <c r="P1489" s="110" t="s">
        <v>590</v>
      </c>
      <c r="Q1489" s="118" t="n">
        <v>0.19</v>
      </c>
      <c r="R1489" s="110" t="n">
        <v>1</v>
      </c>
      <c r="S1489" s="110" t="s">
        <v>632</v>
      </c>
      <c r="T1489" s="110" t="s">
        <v>530</v>
      </c>
      <c r="U1489" s="110" t="s">
        <v>2913</v>
      </c>
      <c r="V1489" s="119" t="n">
        <v>3.99</v>
      </c>
      <c r="W1489" s="119"/>
      <c r="X1489" s="110" t="s">
        <v>2063</v>
      </c>
      <c r="Y1489" s="110" t="s">
        <v>2064</v>
      </c>
      <c r="Z1489" s="110" t="s">
        <v>2164</v>
      </c>
      <c r="AA1489" s="110" t="s">
        <v>537</v>
      </c>
      <c r="AB1489" s="110" t="s">
        <v>244</v>
      </c>
      <c r="AC1489" s="110" t="s">
        <v>538</v>
      </c>
      <c r="AD1489" s="110" t="n">
        <f aca="false">IF(OR(F1489="",Q1489="",R1489=""),"",ROUND(IF(P1489="incl.",F1489/(1+Q1489),F1489)/IF(S1489="per pack",R1489,1),2))</f>
        <v>3.99</v>
      </c>
      <c r="AE1489" s="110" t="str">
        <f aca="false">IF(AND(AC1489="yes",ISNUMBER(F1489),IF(Compare!$H$5="All mapped",TRUE(),IF(Compare!$H$5="EXACT only",J1489="EXACT",OR(J1489="EXACT",J1489="CLOSE")))),"yes","no")</f>
        <v>yes</v>
      </c>
      <c r="AF1489" s="110" t="n">
        <f aca="false">IF(ISNUMBER(H1489),COUNTIFS($B$7:$B$3000,B1489,$C$7:$C$3000,C1489,$H$7:$H$3000,"&lt;"&amp;H1489,$AH$7:$AH$3000,"yes")+COUNTIFS($B$7:B1489,B1489,$C$7:C1489,C1489,$H$7:H1489,H1489,$AH$7:AH1489,"yes"),"")</f>
        <v>1</v>
      </c>
      <c r="AG1489" s="110" t="n">
        <f aca="false">IF(ISNUMBER(I1489),COUNTIFS($B$7:$B$3000,B1489,$C$7:$C$3000,C1489,$I$7:$I$3000,"&lt;"&amp;I1489,$AI$7:$AI$3000,"yes")+COUNTIFS($B$7:B1489,B1489,$C$7:C1489,C1489,$I$7:I1489,I1489,$AI$7:AI1489,"yes"),"")</f>
        <v>1</v>
      </c>
      <c r="AH1489" s="110" t="str">
        <f aca="false">IF(ISNUMBER(H1489),"yes","no")</f>
        <v>yes</v>
      </c>
      <c r="AI1489" s="110" t="str">
        <f aca="false">IF(ISNUMBER(I1489),"yes","no")</f>
        <v>yes</v>
      </c>
      <c r="AJ1489" s="120" t="n">
        <v>46297</v>
      </c>
      <c r="AK1489" s="110"/>
    </row>
    <row r="1490" customFormat="false" ht="23.85" hidden="false" customHeight="false" outlineLevel="0" collapsed="false">
      <c r="B1490" s="36" t="s">
        <v>88</v>
      </c>
      <c r="C1490" s="98" t="s">
        <v>16</v>
      </c>
      <c r="D1490" s="98" t="s">
        <v>305</v>
      </c>
      <c r="E1490" s="110" t="s">
        <v>4700</v>
      </c>
      <c r="F1490" s="99" t="n">
        <v>4.34</v>
      </c>
      <c r="G1490" s="98" t="s">
        <v>244</v>
      </c>
      <c r="H1490" s="112" t="n">
        <f aca="false">IF(AND(AE1490="yes",ISNUMBER(AD1490)),AD1490,"")</f>
        <v>4.34</v>
      </c>
      <c r="I1490" s="95" t="n">
        <f aca="false">IF(AND(AE1490="yes",ISNUMBER(AD1490),ISNUMBER(INDEX(Sources!$G$7:$G$10,MATCH(AB1490,Sources!$B$7:$B$10,0)))),ROUND(AD1490/INDEX(Sources!$G$7:$G$10,MATCH(AB1490,Sources!$B$7:$B$10,0)),6),"")</f>
        <v>4.34</v>
      </c>
      <c r="J1490" s="98" t="s">
        <v>530</v>
      </c>
      <c r="K1490" s="98" t="s">
        <v>2059</v>
      </c>
      <c r="L1490" s="96"/>
      <c r="M1490" s="110" t="s">
        <v>4701</v>
      </c>
      <c r="N1490" s="117" t="s">
        <v>4702</v>
      </c>
      <c r="O1490" s="110" t="s">
        <v>603</v>
      </c>
      <c r="P1490" s="110" t="s">
        <v>590</v>
      </c>
      <c r="Q1490" s="118" t="n">
        <v>0.19</v>
      </c>
      <c r="R1490" s="110" t="n">
        <v>1</v>
      </c>
      <c r="S1490" s="110" t="s">
        <v>632</v>
      </c>
      <c r="T1490" s="110" t="s">
        <v>530</v>
      </c>
      <c r="U1490" s="110" t="s">
        <v>2913</v>
      </c>
      <c r="V1490" s="119" t="n">
        <v>4.34</v>
      </c>
      <c r="W1490" s="119"/>
      <c r="X1490" s="110" t="s">
        <v>2063</v>
      </c>
      <c r="Y1490" s="110" t="s">
        <v>2064</v>
      </c>
      <c r="Z1490" s="110" t="s">
        <v>2142</v>
      </c>
      <c r="AA1490" s="110" t="s">
        <v>537</v>
      </c>
      <c r="AB1490" s="110" t="s">
        <v>244</v>
      </c>
      <c r="AC1490" s="110" t="s">
        <v>538</v>
      </c>
      <c r="AD1490" s="110" t="n">
        <f aca="false">IF(OR(F1490="",Q1490="",R1490=""),"",ROUND(IF(P1490="incl.",F1490/(1+Q1490),F1490)/IF(S1490="per pack",R1490,1),2))</f>
        <v>4.34</v>
      </c>
      <c r="AE1490" s="110" t="str">
        <f aca="false">IF(AND(AC1490="yes",ISNUMBER(F1490),IF(Compare!$H$5="All mapped",TRUE(),IF(Compare!$H$5="EXACT only",J1490="EXACT",OR(J1490="EXACT",J1490="CLOSE")))),"yes","no")</f>
        <v>yes</v>
      </c>
      <c r="AF1490" s="110" t="n">
        <f aca="false">IF(ISNUMBER(H1490),COUNTIFS($B$7:$B$3000,B1490,$C$7:$C$3000,C1490,$H$7:$H$3000,"&lt;"&amp;H1490,$AH$7:$AH$3000,"yes")+COUNTIFS($B$7:B1490,B1490,$C$7:C1490,C1490,$H$7:H1490,H1490,$AH$7:AH1490,"yes"),"")</f>
        <v>2</v>
      </c>
      <c r="AG1490" s="110" t="n">
        <f aca="false">IF(ISNUMBER(I1490),COUNTIFS($B$7:$B$3000,B1490,$C$7:$C$3000,C1490,$I$7:$I$3000,"&lt;"&amp;I1490,$AI$7:$AI$3000,"yes")+COUNTIFS($B$7:B1490,B1490,$C$7:C1490,C1490,$I$7:I1490,I1490,$AI$7:AI1490,"yes"),"")</f>
        <v>2</v>
      </c>
      <c r="AH1490" s="110" t="str">
        <f aca="false">IF(ISNUMBER(H1490),"yes","no")</f>
        <v>yes</v>
      </c>
      <c r="AI1490" s="110" t="str">
        <f aca="false">IF(ISNUMBER(I1490),"yes","no")</f>
        <v>yes</v>
      </c>
      <c r="AJ1490" s="120" t="n">
        <v>46297</v>
      </c>
      <c r="AK1490" s="110"/>
    </row>
    <row r="1491" customFormat="false" ht="23.85" hidden="false" customHeight="false" outlineLevel="0" collapsed="false">
      <c r="B1491" s="36" t="s">
        <v>88</v>
      </c>
      <c r="C1491" s="98" t="s">
        <v>16</v>
      </c>
      <c r="D1491" s="98" t="s">
        <v>311</v>
      </c>
      <c r="E1491" s="110" t="s">
        <v>4682</v>
      </c>
      <c r="F1491" s="99" t="n">
        <v>5.79</v>
      </c>
      <c r="G1491" s="98" t="s">
        <v>244</v>
      </c>
      <c r="H1491" s="112" t="n">
        <f aca="false">IF(AND(AE1491="yes",ISNUMBER(AD1491)),AD1491,"")</f>
        <v>5.79</v>
      </c>
      <c r="I1491" s="95" t="n">
        <f aca="false">IF(AND(AE1491="yes",ISNUMBER(AD1491),ISNUMBER(INDEX(Sources!$G$7:$G$10,MATCH(AB1491,Sources!$B$7:$B$10,0)))),ROUND(AD1491/INDEX(Sources!$G$7:$G$10,MATCH(AB1491,Sources!$B$7:$B$10,0)),6),"")</f>
        <v>5.79</v>
      </c>
      <c r="J1491" s="98" t="s">
        <v>530</v>
      </c>
      <c r="K1491" s="98" t="s">
        <v>2059</v>
      </c>
      <c r="L1491" s="96"/>
      <c r="M1491" s="110" t="s">
        <v>4703</v>
      </c>
      <c r="N1491" s="117" t="s">
        <v>4704</v>
      </c>
      <c r="O1491" s="110" t="s">
        <v>589</v>
      </c>
      <c r="P1491" s="110" t="s">
        <v>590</v>
      </c>
      <c r="Q1491" s="118" t="n">
        <v>0.19</v>
      </c>
      <c r="R1491" s="110" t="n">
        <v>1</v>
      </c>
      <c r="S1491" s="110" t="s">
        <v>632</v>
      </c>
      <c r="T1491" s="110" t="s">
        <v>530</v>
      </c>
      <c r="U1491" s="110" t="s">
        <v>2913</v>
      </c>
      <c r="V1491" s="119" t="n">
        <v>5.79</v>
      </c>
      <c r="W1491" s="119"/>
      <c r="X1491" s="110" t="s">
        <v>2063</v>
      </c>
      <c r="Y1491" s="110" t="s">
        <v>2064</v>
      </c>
      <c r="Z1491" s="110" t="s">
        <v>4369</v>
      </c>
      <c r="AA1491" s="110" t="s">
        <v>537</v>
      </c>
      <c r="AB1491" s="110" t="s">
        <v>244</v>
      </c>
      <c r="AC1491" s="110" t="s">
        <v>538</v>
      </c>
      <c r="AD1491" s="110" t="n">
        <f aca="false">IF(OR(F1491="",Q1491="",R1491=""),"",ROUND(IF(P1491="incl.",F1491/(1+Q1491),F1491)/IF(S1491="per pack",R1491,1),2))</f>
        <v>5.79</v>
      </c>
      <c r="AE1491" s="110" t="str">
        <f aca="false">IF(AND(AC1491="yes",ISNUMBER(F1491),IF(Compare!$H$5="All mapped",TRUE(),IF(Compare!$H$5="EXACT only",J1491="EXACT",OR(J1491="EXACT",J1491="CLOSE")))),"yes","no")</f>
        <v>yes</v>
      </c>
      <c r="AF1491" s="110" t="n">
        <f aca="false">IF(ISNUMBER(H1491),COUNTIFS($B$7:$B$3000,B1491,$C$7:$C$3000,C1491,$H$7:$H$3000,"&lt;"&amp;H1491,$AH$7:$AH$3000,"yes")+COUNTIFS($B$7:B1491,B1491,$C$7:C1491,C1491,$H$7:H1491,H1491,$AH$7:AH1491,"yes"),"")</f>
        <v>4</v>
      </c>
      <c r="AG1491" s="110" t="n">
        <f aca="false">IF(ISNUMBER(I1491),COUNTIFS($B$7:$B$3000,B1491,$C$7:$C$3000,C1491,$I$7:$I$3000,"&lt;"&amp;I1491,$AI$7:$AI$3000,"yes")+COUNTIFS($B$7:B1491,B1491,$C$7:C1491,C1491,$I$7:I1491,I1491,$AI$7:AI1491,"yes"),"")</f>
        <v>4</v>
      </c>
      <c r="AH1491" s="110" t="str">
        <f aca="false">IF(ISNUMBER(H1491),"yes","no")</f>
        <v>yes</v>
      </c>
      <c r="AI1491" s="110" t="str">
        <f aca="false">IF(ISNUMBER(I1491),"yes","no")</f>
        <v>yes</v>
      </c>
      <c r="AJ1491" s="120" t="n">
        <v>46297</v>
      </c>
      <c r="AK1491" s="110"/>
    </row>
    <row r="1492" customFormat="false" ht="23.85" hidden="false" customHeight="false" outlineLevel="0" collapsed="false">
      <c r="B1492" s="36" t="s">
        <v>88</v>
      </c>
      <c r="C1492" s="98" t="s">
        <v>16</v>
      </c>
      <c r="D1492" s="98" t="s">
        <v>309</v>
      </c>
      <c r="E1492" s="110" t="s">
        <v>4705</v>
      </c>
      <c r="F1492" s="99" t="n">
        <v>20</v>
      </c>
      <c r="G1492" s="98" t="s">
        <v>244</v>
      </c>
      <c r="H1492" s="112" t="n">
        <f aca="false">IF(AND(AE1492="yes",ISNUMBER(AD1492)),AD1492,"")</f>
        <v>20</v>
      </c>
      <c r="I1492" s="95" t="n">
        <f aca="false">IF(AND(AE1492="yes",ISNUMBER(AD1492),ISNUMBER(INDEX(Sources!$G$7:$G$10,MATCH(AB1492,Sources!$B$7:$B$10,0)))),ROUND(AD1492/INDEX(Sources!$G$7:$G$10,MATCH(AB1492,Sources!$B$7:$B$10,0)),6),"")</f>
        <v>20</v>
      </c>
      <c r="J1492" s="98" t="s">
        <v>530</v>
      </c>
      <c r="K1492" s="98" t="s">
        <v>2059</v>
      </c>
      <c r="L1492" s="96"/>
      <c r="M1492" s="110" t="s">
        <v>4706</v>
      </c>
      <c r="N1492" s="117" t="s">
        <v>4707</v>
      </c>
      <c r="O1492" s="110" t="s">
        <v>603</v>
      </c>
      <c r="P1492" s="110" t="s">
        <v>590</v>
      </c>
      <c r="Q1492" s="118" t="n">
        <v>0.19</v>
      </c>
      <c r="R1492" s="110" t="n">
        <v>1</v>
      </c>
      <c r="S1492" s="110" t="s">
        <v>632</v>
      </c>
      <c r="T1492" s="110" t="s">
        <v>530</v>
      </c>
      <c r="U1492" s="110" t="s">
        <v>2913</v>
      </c>
      <c r="V1492" s="119" t="n">
        <v>20</v>
      </c>
      <c r="W1492" s="119"/>
      <c r="X1492" s="110" t="s">
        <v>2063</v>
      </c>
      <c r="Y1492" s="110" t="s">
        <v>2064</v>
      </c>
      <c r="Z1492" s="110" t="s">
        <v>4373</v>
      </c>
      <c r="AA1492" s="110" t="s">
        <v>537</v>
      </c>
      <c r="AB1492" s="110" t="s">
        <v>244</v>
      </c>
      <c r="AC1492" s="110" t="s">
        <v>538</v>
      </c>
      <c r="AD1492" s="110" t="n">
        <f aca="false">IF(OR(F1492="",Q1492="",R1492=""),"",ROUND(IF(P1492="incl.",F1492/(1+Q1492),F1492)/IF(S1492="per pack",R1492,1),2))</f>
        <v>20</v>
      </c>
      <c r="AE1492" s="110" t="str">
        <f aca="false">IF(AND(AC1492="yes",ISNUMBER(F1492),IF(Compare!$H$5="All mapped",TRUE(),IF(Compare!$H$5="EXACT only",J1492="EXACT",OR(J1492="EXACT",J1492="CLOSE")))),"yes","no")</f>
        <v>yes</v>
      </c>
      <c r="AF1492" s="110" t="n">
        <f aca="false">IF(ISNUMBER(H1492),COUNTIFS($B$7:$B$3000,B1492,$C$7:$C$3000,C1492,$H$7:$H$3000,"&lt;"&amp;H1492,$AH$7:$AH$3000,"yes")+COUNTIFS($B$7:B1492,B1492,$C$7:C1492,C1492,$H$7:H1492,H1492,$AH$7:AH1492,"yes"),"")</f>
        <v>7</v>
      </c>
      <c r="AG1492" s="110" t="n">
        <f aca="false">IF(ISNUMBER(I1492),COUNTIFS($B$7:$B$3000,B1492,$C$7:$C$3000,C1492,$I$7:$I$3000,"&lt;"&amp;I1492,$AI$7:$AI$3000,"yes")+COUNTIFS($B$7:B1492,B1492,$C$7:C1492,C1492,$I$7:I1492,I1492,$AI$7:AI1492,"yes"),"")</f>
        <v>7</v>
      </c>
      <c r="AH1492" s="110" t="str">
        <f aca="false">IF(ISNUMBER(H1492),"yes","no")</f>
        <v>yes</v>
      </c>
      <c r="AI1492" s="110" t="str">
        <f aca="false">IF(ISNUMBER(I1492),"yes","no")</f>
        <v>yes</v>
      </c>
      <c r="AJ1492" s="120" t="n">
        <v>46297</v>
      </c>
      <c r="AK1492" s="110"/>
    </row>
    <row r="1493" customFormat="false" ht="23.85" hidden="false" customHeight="false" outlineLevel="0" collapsed="false">
      <c r="B1493" s="36" t="s">
        <v>88</v>
      </c>
      <c r="C1493" s="98" t="s">
        <v>16</v>
      </c>
      <c r="D1493" s="98" t="s">
        <v>313</v>
      </c>
      <c r="E1493" s="110" t="s">
        <v>4688</v>
      </c>
      <c r="F1493" s="99" t="n">
        <v>8.49</v>
      </c>
      <c r="G1493" s="98" t="s">
        <v>244</v>
      </c>
      <c r="H1493" s="112" t="n">
        <f aca="false">IF(AND(AE1493="yes",ISNUMBER(AD1493)),AD1493,"")</f>
        <v>7.13</v>
      </c>
      <c r="I1493" s="95" t="n">
        <f aca="false">IF(AND(AE1493="yes",ISNUMBER(AD1493),ISNUMBER(INDEX(Sources!$G$7:$G$10,MATCH(AB1493,Sources!$B$7:$B$10,0)))),ROUND(AD1493/INDEX(Sources!$G$7:$G$10,MATCH(AB1493,Sources!$B$7:$B$10,0)),6),"")</f>
        <v>7.13</v>
      </c>
      <c r="J1493" s="98" t="s">
        <v>530</v>
      </c>
      <c r="K1493" s="98" t="s">
        <v>2059</v>
      </c>
      <c r="L1493" s="96"/>
      <c r="M1493" s="110" t="s">
        <v>4708</v>
      </c>
      <c r="N1493" s="117" t="s">
        <v>4709</v>
      </c>
      <c r="O1493" s="110" t="s">
        <v>642</v>
      </c>
      <c r="P1493" s="110" t="s">
        <v>265</v>
      </c>
      <c r="Q1493" s="118" t="n">
        <v>0.19</v>
      </c>
      <c r="R1493" s="110" t="n">
        <v>1</v>
      </c>
      <c r="S1493" s="110" t="s">
        <v>632</v>
      </c>
      <c r="T1493" s="110" t="s">
        <v>530</v>
      </c>
      <c r="U1493" s="110" t="s">
        <v>2918</v>
      </c>
      <c r="V1493" s="119" t="n">
        <v>7.13</v>
      </c>
      <c r="W1493" s="119"/>
      <c r="X1493" s="110" t="s">
        <v>2063</v>
      </c>
      <c r="Y1493" s="110" t="s">
        <v>2064</v>
      </c>
      <c r="Z1493" s="110" t="s">
        <v>4376</v>
      </c>
      <c r="AA1493" s="110" t="s">
        <v>537</v>
      </c>
      <c r="AB1493" s="110" t="s">
        <v>244</v>
      </c>
      <c r="AC1493" s="110" t="s">
        <v>538</v>
      </c>
      <c r="AD1493" s="110" t="n">
        <f aca="false">IF(OR(F1493="",Q1493="",R1493=""),"",ROUND(IF(P1493="incl.",F1493/(1+Q1493),F1493)/IF(S1493="per pack",R1493,1),2))</f>
        <v>7.13</v>
      </c>
      <c r="AE1493" s="110" t="str">
        <f aca="false">IF(AND(AC1493="yes",ISNUMBER(F1493),IF(Compare!$H$5="All mapped",TRUE(),IF(Compare!$H$5="EXACT only",J1493="EXACT",OR(J1493="EXACT",J1493="CLOSE")))),"yes","no")</f>
        <v>yes</v>
      </c>
      <c r="AF1493" s="110" t="n">
        <f aca="false">IF(ISNUMBER(H1493),COUNTIFS($B$7:$B$3000,B1493,$C$7:$C$3000,C1493,$H$7:$H$3000,"&lt;"&amp;H1493,$AH$7:$AH$3000,"yes")+COUNTIFS($B$7:B1493,B1493,$C$7:C1493,C1493,$H$7:H1493,H1493,$AH$7:AH1493,"yes"),"")</f>
        <v>5</v>
      </c>
      <c r="AG1493" s="110" t="n">
        <f aca="false">IF(ISNUMBER(I1493),COUNTIFS($B$7:$B$3000,B1493,$C$7:$C$3000,C1493,$I$7:$I$3000,"&lt;"&amp;I1493,$AI$7:$AI$3000,"yes")+COUNTIFS($B$7:B1493,B1493,$C$7:C1493,C1493,$I$7:I1493,I1493,$AI$7:AI1493,"yes"),"")</f>
        <v>5</v>
      </c>
      <c r="AH1493" s="110" t="str">
        <f aca="false">IF(ISNUMBER(H1493),"yes","no")</f>
        <v>yes</v>
      </c>
      <c r="AI1493" s="110" t="str">
        <f aca="false">IF(ISNUMBER(I1493),"yes","no")</f>
        <v>yes</v>
      </c>
      <c r="AJ1493" s="120" t="n">
        <v>46297</v>
      </c>
      <c r="AK1493" s="110"/>
    </row>
    <row r="1494" customFormat="false" ht="35.05" hidden="false" customHeight="false" outlineLevel="0" collapsed="false">
      <c r="B1494" s="36" t="s">
        <v>88</v>
      </c>
      <c r="C1494" s="98" t="s">
        <v>16</v>
      </c>
      <c r="D1494" s="98" t="s">
        <v>321</v>
      </c>
      <c r="E1494" s="110" t="s">
        <v>4710</v>
      </c>
      <c r="F1494" s="99" t="n">
        <v>14.34</v>
      </c>
      <c r="G1494" s="98" t="s">
        <v>244</v>
      </c>
      <c r="H1494" s="112" t="n">
        <f aca="false">IF(AND(AE1494="yes",ISNUMBER(AD1494)),AD1494,"")</f>
        <v>14.34</v>
      </c>
      <c r="I1494" s="95" t="n">
        <f aca="false">IF(AND(AE1494="yes",ISNUMBER(AD1494),ISNUMBER(INDEX(Sources!$G$7:$G$10,MATCH(AB1494,Sources!$B$7:$B$10,0)))),ROUND(AD1494/INDEX(Sources!$G$7:$G$10,MATCH(AB1494,Sources!$B$7:$B$10,0)),6),"")</f>
        <v>14.34</v>
      </c>
      <c r="J1494" s="98" t="s">
        <v>530</v>
      </c>
      <c r="K1494" s="98" t="s">
        <v>2059</v>
      </c>
      <c r="L1494" s="96"/>
      <c r="M1494" s="110" t="s">
        <v>4711</v>
      </c>
      <c r="N1494" s="117" t="s">
        <v>4712</v>
      </c>
      <c r="O1494" s="110" t="s">
        <v>646</v>
      </c>
      <c r="P1494" s="110" t="s">
        <v>590</v>
      </c>
      <c r="Q1494" s="118" t="n">
        <v>0.19</v>
      </c>
      <c r="R1494" s="110" t="n">
        <v>1</v>
      </c>
      <c r="S1494" s="110" t="s">
        <v>632</v>
      </c>
      <c r="T1494" s="110" t="s">
        <v>530</v>
      </c>
      <c r="U1494" s="110" t="s">
        <v>2913</v>
      </c>
      <c r="V1494" s="119" t="n">
        <v>14.34</v>
      </c>
      <c r="W1494" s="119"/>
      <c r="X1494" s="110" t="s">
        <v>2063</v>
      </c>
      <c r="Y1494" s="110" t="s">
        <v>2064</v>
      </c>
      <c r="Z1494" s="110" t="s">
        <v>2857</v>
      </c>
      <c r="AA1494" s="110" t="s">
        <v>537</v>
      </c>
      <c r="AB1494" s="110" t="s">
        <v>244</v>
      </c>
      <c r="AC1494" s="110" t="s">
        <v>538</v>
      </c>
      <c r="AD1494" s="110" t="n">
        <f aca="false">IF(OR(F1494="",Q1494="",R1494=""),"",ROUND(IF(P1494="incl.",F1494/(1+Q1494),F1494)/IF(S1494="per pack",R1494,1),2))</f>
        <v>14.34</v>
      </c>
      <c r="AE1494" s="110" t="str">
        <f aca="false">IF(AND(AC1494="yes",ISNUMBER(F1494),IF(Compare!$H$5="All mapped",TRUE(),IF(Compare!$H$5="EXACT only",J1494="EXACT",OR(J1494="EXACT",J1494="CLOSE")))),"yes","no")</f>
        <v>yes</v>
      </c>
      <c r="AF1494" s="110" t="n">
        <f aca="false">IF(ISNUMBER(H1494),COUNTIFS($B$7:$B$3000,B1494,$C$7:$C$3000,C1494,$H$7:$H$3000,"&lt;"&amp;H1494,$AH$7:$AH$3000,"yes")+COUNTIFS($B$7:B1494,B1494,$C$7:C1494,C1494,$H$7:H1494,H1494,$AH$7:AH1494,"yes"),"")</f>
        <v>6</v>
      </c>
      <c r="AG1494" s="110" t="n">
        <f aca="false">IF(ISNUMBER(I1494),COUNTIFS($B$7:$B$3000,B1494,$C$7:$C$3000,C1494,$I$7:$I$3000,"&lt;"&amp;I1494,$AI$7:$AI$3000,"yes")+COUNTIFS($B$7:B1494,B1494,$C$7:C1494,C1494,$I$7:I1494,I1494,$AI$7:AI1494,"yes"),"")</f>
        <v>6</v>
      </c>
      <c r="AH1494" s="110" t="str">
        <f aca="false">IF(ISNUMBER(H1494),"yes","no")</f>
        <v>yes</v>
      </c>
      <c r="AI1494" s="110" t="str">
        <f aca="false">IF(ISNUMBER(I1494),"yes","no")</f>
        <v>yes</v>
      </c>
      <c r="AJ1494" s="120" t="n">
        <v>46297</v>
      </c>
      <c r="AK1494" s="110"/>
    </row>
    <row r="1495" customFormat="false" ht="35.05" hidden="false" customHeight="false" outlineLevel="0" collapsed="false">
      <c r="B1495" s="36" t="s">
        <v>88</v>
      </c>
      <c r="C1495" s="98" t="s">
        <v>16</v>
      </c>
      <c r="D1495" s="98" t="s">
        <v>329</v>
      </c>
      <c r="E1495" s="110" t="s">
        <v>4688</v>
      </c>
      <c r="F1495" s="99" t="n">
        <v>4.89</v>
      </c>
      <c r="G1495" s="98" t="s">
        <v>244</v>
      </c>
      <c r="H1495" s="112" t="n">
        <f aca="false">IF(AND(AE1495="yes",ISNUMBER(AD1495)),AD1495,"")</f>
        <v>4.89</v>
      </c>
      <c r="I1495" s="95" t="n">
        <f aca="false">IF(AND(AE1495="yes",ISNUMBER(AD1495),ISNUMBER(INDEX(Sources!$G$7:$G$10,MATCH(AB1495,Sources!$B$7:$B$10,0)))),ROUND(AD1495/INDEX(Sources!$G$7:$G$10,MATCH(AB1495,Sources!$B$7:$B$10,0)),6),"")</f>
        <v>4.89</v>
      </c>
      <c r="J1495" s="98" t="s">
        <v>530</v>
      </c>
      <c r="K1495" s="98" t="s">
        <v>2059</v>
      </c>
      <c r="L1495" s="96"/>
      <c r="M1495" s="110" t="s">
        <v>4713</v>
      </c>
      <c r="N1495" s="117" t="s">
        <v>4714</v>
      </c>
      <c r="O1495" s="110" t="s">
        <v>642</v>
      </c>
      <c r="P1495" s="110" t="s">
        <v>590</v>
      </c>
      <c r="Q1495" s="118" t="n">
        <v>0.19</v>
      </c>
      <c r="R1495" s="110" t="n">
        <v>1</v>
      </c>
      <c r="S1495" s="110" t="s">
        <v>632</v>
      </c>
      <c r="T1495" s="110" t="s">
        <v>530</v>
      </c>
      <c r="U1495" s="110" t="s">
        <v>2913</v>
      </c>
      <c r="V1495" s="119" t="n">
        <v>4.89</v>
      </c>
      <c r="W1495" s="119"/>
      <c r="X1495" s="110" t="s">
        <v>2063</v>
      </c>
      <c r="Y1495" s="110" t="s">
        <v>2064</v>
      </c>
      <c r="Z1495" s="110" t="s">
        <v>2624</v>
      </c>
      <c r="AA1495" s="110" t="s">
        <v>537</v>
      </c>
      <c r="AB1495" s="110" t="s">
        <v>244</v>
      </c>
      <c r="AC1495" s="110" t="s">
        <v>538</v>
      </c>
      <c r="AD1495" s="110" t="n">
        <f aca="false">IF(OR(F1495="",Q1495="",R1495=""),"",ROUND(IF(P1495="incl.",F1495/(1+Q1495),F1495)/IF(S1495="per pack",R1495,1),2))</f>
        <v>4.89</v>
      </c>
      <c r="AE1495" s="110" t="str">
        <f aca="false">IF(AND(AC1495="yes",ISNUMBER(F1495),IF(Compare!$H$5="All mapped",TRUE(),IF(Compare!$H$5="EXACT only",J1495="EXACT",OR(J1495="EXACT",J1495="CLOSE")))),"yes","no")</f>
        <v>yes</v>
      </c>
      <c r="AF1495" s="110" t="n">
        <f aca="false">IF(ISNUMBER(H1495),COUNTIFS($B$7:$B$3000,B1495,$C$7:$C$3000,C1495,$H$7:$H$3000,"&lt;"&amp;H1495,$AH$7:$AH$3000,"yes")+COUNTIFS($B$7:B1495,B1495,$C$7:C1495,C1495,$H$7:H1495,H1495,$AH$7:AH1495,"yes"),"")</f>
        <v>3</v>
      </c>
      <c r="AG1495" s="110" t="n">
        <f aca="false">IF(ISNUMBER(I1495),COUNTIFS($B$7:$B$3000,B1495,$C$7:$C$3000,C1495,$I$7:$I$3000,"&lt;"&amp;I1495,$AI$7:$AI$3000,"yes")+COUNTIFS($B$7:B1495,B1495,$C$7:C1495,C1495,$I$7:I1495,I1495,$AI$7:AI1495,"yes"),"")</f>
        <v>3</v>
      </c>
      <c r="AH1495" s="110" t="str">
        <f aca="false">IF(ISNUMBER(H1495),"yes","no")</f>
        <v>yes</v>
      </c>
      <c r="AI1495" s="110" t="str">
        <f aca="false">IF(ISNUMBER(I1495),"yes","no")</f>
        <v>yes</v>
      </c>
      <c r="AJ1495" s="120" t="n">
        <v>46297</v>
      </c>
      <c r="AK1495" s="110"/>
    </row>
    <row r="1496" customFormat="false" ht="23.85" hidden="false" customHeight="false" outlineLevel="0" collapsed="false">
      <c r="B1496" s="36" t="s">
        <v>88</v>
      </c>
      <c r="C1496" s="98" t="s">
        <v>17</v>
      </c>
      <c r="D1496" s="98" t="s">
        <v>338</v>
      </c>
      <c r="E1496" s="110" t="s">
        <v>4715</v>
      </c>
      <c r="F1496" s="99" t="n">
        <v>183</v>
      </c>
      <c r="G1496" s="98" t="s">
        <v>333</v>
      </c>
      <c r="H1496" s="112" t="n">
        <f aca="false">IF(AND(AE1496="yes",ISNUMBER(AD1496)),AD1496,"")</f>
        <v>151.24</v>
      </c>
      <c r="I1496" s="95" t="n">
        <f aca="false">IF(AND(AE1496="yes",ISNUMBER(AD1496),ISNUMBER(INDEX(Sources!$G$7:$G$10,MATCH(AB1496,Sources!$B$7:$B$10,0)))),ROUND(AD1496/INDEX(Sources!$G$7:$G$10,MATCH(AB1496,Sources!$B$7:$B$10,0)),6),"")</f>
        <v>6.192367</v>
      </c>
      <c r="J1496" s="98" t="s">
        <v>530</v>
      </c>
      <c r="K1496" s="98" t="s">
        <v>2059</v>
      </c>
      <c r="L1496" s="96"/>
      <c r="M1496" s="110" t="s">
        <v>4716</v>
      </c>
      <c r="N1496" s="117" t="s">
        <v>4717</v>
      </c>
      <c r="O1496" s="110" t="s">
        <v>388</v>
      </c>
      <c r="P1496" s="110" t="s">
        <v>265</v>
      </c>
      <c r="Q1496" s="118" t="n">
        <v>0.21</v>
      </c>
      <c r="R1496" s="110" t="n">
        <v>1</v>
      </c>
      <c r="S1496" s="110" t="s">
        <v>632</v>
      </c>
      <c r="T1496" s="110" t="s">
        <v>530</v>
      </c>
      <c r="U1496" s="110" t="s">
        <v>2918</v>
      </c>
      <c r="V1496" s="119" t="n">
        <v>151.24</v>
      </c>
      <c r="W1496" s="119"/>
      <c r="X1496" s="110" t="s">
        <v>2063</v>
      </c>
      <c r="Y1496" s="110" t="s">
        <v>2064</v>
      </c>
      <c r="Z1496" s="110" t="s">
        <v>4634</v>
      </c>
      <c r="AA1496" s="110" t="s">
        <v>537</v>
      </c>
      <c r="AB1496" s="110" t="s">
        <v>333</v>
      </c>
      <c r="AC1496" s="110" t="s">
        <v>538</v>
      </c>
      <c r="AD1496" s="110" t="n">
        <f aca="false">IF(OR(F1496="",Q1496="",R1496=""),"",ROUND(IF(P1496="incl.",F1496/(1+Q1496),F1496)/IF(S1496="per pack",R1496,1),2))</f>
        <v>151.24</v>
      </c>
      <c r="AE1496" s="110" t="str">
        <f aca="false">IF(AND(AC1496="yes",ISNUMBER(F1496),IF(Compare!$H$5="All mapped",TRUE(),IF(Compare!$H$5="EXACT only",J1496="EXACT",OR(J1496="EXACT",J1496="CLOSE")))),"yes","no")</f>
        <v>yes</v>
      </c>
      <c r="AF1496" s="110" t="n">
        <f aca="false">IF(ISNUMBER(H1496),COUNTIFS($B$7:$B$3000,B1496,$C$7:$C$3000,C1496,$H$7:$H$3000,"&lt;"&amp;H1496,$AH$7:$AH$3000,"yes")+COUNTIFS($B$7:B1496,B1496,$C$7:C1496,C1496,$H$7:H1496,H1496,$AH$7:AH1496,"yes"),"")</f>
        <v>3</v>
      </c>
      <c r="AG1496" s="110" t="n">
        <f aca="false">IF(ISNUMBER(I1496),COUNTIFS($B$7:$B$3000,B1496,$C$7:$C$3000,C1496,$I$7:$I$3000,"&lt;"&amp;I1496,$AI$7:$AI$3000,"yes")+COUNTIFS($B$7:B1496,B1496,$C$7:C1496,C1496,$I$7:I1496,I1496,$AI$7:AI1496,"yes"),"")</f>
        <v>3</v>
      </c>
      <c r="AH1496" s="110" t="str">
        <f aca="false">IF(ISNUMBER(H1496),"yes","no")</f>
        <v>yes</v>
      </c>
      <c r="AI1496" s="110" t="str">
        <f aca="false">IF(ISNUMBER(I1496),"yes","no")</f>
        <v>yes</v>
      </c>
      <c r="AJ1496" s="120" t="n">
        <v>46297</v>
      </c>
      <c r="AK1496" s="110"/>
    </row>
    <row r="1497" customFormat="false" ht="35.05" hidden="false" customHeight="false" outlineLevel="0" collapsed="false">
      <c r="B1497" s="36" t="s">
        <v>88</v>
      </c>
      <c r="C1497" s="98" t="s">
        <v>17</v>
      </c>
      <c r="D1497" s="98" t="s">
        <v>342</v>
      </c>
      <c r="E1497" s="110" t="s">
        <v>4718</v>
      </c>
      <c r="F1497" s="99" t="n">
        <v>208</v>
      </c>
      <c r="G1497" s="98" t="s">
        <v>333</v>
      </c>
      <c r="H1497" s="112" t="n">
        <f aca="false">IF(AND(AE1497="yes",ISNUMBER(AD1497)),AD1497,"")</f>
        <v>208</v>
      </c>
      <c r="I1497" s="95" t="n">
        <f aca="false">IF(AND(AE1497="yes",ISNUMBER(AD1497),ISNUMBER(INDEX(Sources!$G$7:$G$10,MATCH(AB1497,Sources!$B$7:$B$10,0)))),ROUND(AD1497/INDEX(Sources!$G$7:$G$10,MATCH(AB1497,Sources!$B$7:$B$10,0)),6),"")</f>
        <v>8.516348</v>
      </c>
      <c r="J1497" s="98" t="s">
        <v>530</v>
      </c>
      <c r="K1497" s="98" t="s">
        <v>2059</v>
      </c>
      <c r="L1497" s="96"/>
      <c r="M1497" s="110" t="s">
        <v>4719</v>
      </c>
      <c r="N1497" s="117" t="s">
        <v>4720</v>
      </c>
      <c r="O1497" s="110" t="s">
        <v>388</v>
      </c>
      <c r="P1497" s="110" t="s">
        <v>590</v>
      </c>
      <c r="Q1497" s="118" t="n">
        <v>0.21</v>
      </c>
      <c r="R1497" s="110" t="n">
        <v>1</v>
      </c>
      <c r="S1497" s="110" t="s">
        <v>632</v>
      </c>
      <c r="T1497" s="110" t="s">
        <v>530</v>
      </c>
      <c r="U1497" s="110" t="s">
        <v>2913</v>
      </c>
      <c r="V1497" s="119" t="n">
        <v>208</v>
      </c>
      <c r="W1497" s="119"/>
      <c r="X1497" s="110" t="s">
        <v>2063</v>
      </c>
      <c r="Y1497" s="110" t="s">
        <v>2064</v>
      </c>
      <c r="Z1497" s="110" t="s">
        <v>4638</v>
      </c>
      <c r="AA1497" s="110" t="s">
        <v>537</v>
      </c>
      <c r="AB1497" s="110" t="s">
        <v>333</v>
      </c>
      <c r="AC1497" s="110" t="s">
        <v>538</v>
      </c>
      <c r="AD1497" s="110" t="n">
        <f aca="false">IF(OR(F1497="",Q1497="",R1497=""),"",ROUND(IF(P1497="incl.",F1497/(1+Q1497),F1497)/IF(S1497="per pack",R1497,1),2))</f>
        <v>208</v>
      </c>
      <c r="AE1497" s="110" t="str">
        <f aca="false">IF(AND(AC1497="yes",ISNUMBER(F1497),IF(Compare!$H$5="All mapped",TRUE(),IF(Compare!$H$5="EXACT only",J1497="EXACT",OR(J1497="EXACT",J1497="CLOSE")))),"yes","no")</f>
        <v>yes</v>
      </c>
      <c r="AF1497" s="110" t="n">
        <f aca="false">IF(ISNUMBER(H1497),COUNTIFS($B$7:$B$3000,B1497,$C$7:$C$3000,C1497,$H$7:$H$3000,"&lt;"&amp;H1497,$AH$7:$AH$3000,"yes")+COUNTIFS($B$7:B1497,B1497,$C$7:C1497,C1497,$H$7:H1497,H1497,$AH$7:AH1497,"yes"),"")</f>
        <v>5</v>
      </c>
      <c r="AG1497" s="110" t="n">
        <f aca="false">IF(ISNUMBER(I1497),COUNTIFS($B$7:$B$3000,B1497,$C$7:$C$3000,C1497,$I$7:$I$3000,"&lt;"&amp;I1497,$AI$7:$AI$3000,"yes")+COUNTIFS($B$7:B1497,B1497,$C$7:C1497,C1497,$I$7:I1497,I1497,$AI$7:AI1497,"yes"),"")</f>
        <v>5</v>
      </c>
      <c r="AH1497" s="110" t="str">
        <f aca="false">IF(ISNUMBER(H1497),"yes","no")</f>
        <v>yes</v>
      </c>
      <c r="AI1497" s="110" t="str">
        <f aca="false">IF(ISNUMBER(I1497),"yes","no")</f>
        <v>yes</v>
      </c>
      <c r="AJ1497" s="120" t="n">
        <v>46297</v>
      </c>
      <c r="AK1497" s="110"/>
    </row>
    <row r="1498" customFormat="false" ht="35.05" hidden="false" customHeight="false" outlineLevel="0" collapsed="false">
      <c r="B1498" s="36" t="s">
        <v>88</v>
      </c>
      <c r="C1498" s="98" t="s">
        <v>17</v>
      </c>
      <c r="D1498" s="98" t="s">
        <v>346</v>
      </c>
      <c r="E1498" s="110" t="s">
        <v>4721</v>
      </c>
      <c r="F1498" s="99" t="n">
        <v>177</v>
      </c>
      <c r="G1498" s="98" t="s">
        <v>333</v>
      </c>
      <c r="H1498" s="112" t="n">
        <f aca="false">IF(AND(AE1498="yes",ISNUMBER(AD1498)),AD1498,"")</f>
        <v>177</v>
      </c>
      <c r="I1498" s="95" t="n">
        <f aca="false">IF(AND(AE1498="yes",ISNUMBER(AD1498),ISNUMBER(INDEX(Sources!$G$7:$G$10,MATCH(AB1498,Sources!$B$7:$B$10,0)))),ROUND(AD1498/INDEX(Sources!$G$7:$G$10,MATCH(AB1498,Sources!$B$7:$B$10,0)),6),"")</f>
        <v>7.247084</v>
      </c>
      <c r="J1498" s="98" t="s">
        <v>530</v>
      </c>
      <c r="K1498" s="98" t="s">
        <v>2059</v>
      </c>
      <c r="L1498" s="96"/>
      <c r="M1498" s="110" t="s">
        <v>4722</v>
      </c>
      <c r="N1498" s="117" t="s">
        <v>4723</v>
      </c>
      <c r="O1498" s="110" t="s">
        <v>662</v>
      </c>
      <c r="P1498" s="110" t="s">
        <v>590</v>
      </c>
      <c r="Q1498" s="118" t="n">
        <v>0.21</v>
      </c>
      <c r="R1498" s="110" t="n">
        <v>1</v>
      </c>
      <c r="S1498" s="110" t="s">
        <v>632</v>
      </c>
      <c r="T1498" s="110" t="s">
        <v>530</v>
      </c>
      <c r="U1498" s="110" t="s">
        <v>2913</v>
      </c>
      <c r="V1498" s="119" t="n">
        <v>177</v>
      </c>
      <c r="W1498" s="119"/>
      <c r="X1498" s="110" t="s">
        <v>2063</v>
      </c>
      <c r="Y1498" s="110" t="s">
        <v>2064</v>
      </c>
      <c r="Z1498" s="110" t="s">
        <v>4395</v>
      </c>
      <c r="AA1498" s="110" t="s">
        <v>537</v>
      </c>
      <c r="AB1498" s="110" t="s">
        <v>333</v>
      </c>
      <c r="AC1498" s="110" t="s">
        <v>538</v>
      </c>
      <c r="AD1498" s="110" t="n">
        <f aca="false">IF(OR(F1498="",Q1498="",R1498=""),"",ROUND(IF(P1498="incl.",F1498/(1+Q1498),F1498)/IF(S1498="per pack",R1498,1),2))</f>
        <v>177</v>
      </c>
      <c r="AE1498" s="110" t="str">
        <f aca="false">IF(AND(AC1498="yes",ISNUMBER(F1498),IF(Compare!$H$5="All mapped",TRUE(),IF(Compare!$H$5="EXACT only",J1498="EXACT",OR(J1498="EXACT",J1498="CLOSE")))),"yes","no")</f>
        <v>yes</v>
      </c>
      <c r="AF1498" s="110" t="n">
        <f aca="false">IF(ISNUMBER(H1498),COUNTIFS($B$7:$B$3000,B1498,$C$7:$C$3000,C1498,$H$7:$H$3000,"&lt;"&amp;H1498,$AH$7:$AH$3000,"yes")+COUNTIFS($B$7:B1498,B1498,$C$7:C1498,C1498,$H$7:H1498,H1498,$AH$7:AH1498,"yes"),"")</f>
        <v>4</v>
      </c>
      <c r="AG1498" s="110" t="n">
        <f aca="false">IF(ISNUMBER(I1498),COUNTIFS($B$7:$B$3000,B1498,$C$7:$C$3000,C1498,$I$7:$I$3000,"&lt;"&amp;I1498,$AI$7:$AI$3000,"yes")+COUNTIFS($B$7:B1498,B1498,$C$7:C1498,C1498,$I$7:I1498,I1498,$AI$7:AI1498,"yes"),"")</f>
        <v>4</v>
      </c>
      <c r="AH1498" s="110" t="str">
        <f aca="false">IF(ISNUMBER(H1498),"yes","no")</f>
        <v>yes</v>
      </c>
      <c r="AI1498" s="110" t="str">
        <f aca="false">IF(ISNUMBER(I1498),"yes","no")</f>
        <v>yes</v>
      </c>
      <c r="AJ1498" s="120" t="n">
        <v>46297</v>
      </c>
      <c r="AK1498" s="110"/>
    </row>
    <row r="1499" customFormat="false" ht="23.85" hidden="false" customHeight="false" outlineLevel="0" collapsed="false">
      <c r="B1499" s="36" t="s">
        <v>88</v>
      </c>
      <c r="C1499" s="98" t="s">
        <v>17</v>
      </c>
      <c r="D1499" s="98" t="s">
        <v>350</v>
      </c>
      <c r="E1499" s="110" t="s">
        <v>4724</v>
      </c>
      <c r="F1499" s="99" t="n">
        <v>122</v>
      </c>
      <c r="G1499" s="98" t="s">
        <v>333</v>
      </c>
      <c r="H1499" s="112" t="n">
        <f aca="false">IF(AND(AE1499="yes",ISNUMBER(AD1499)),AD1499,"")</f>
        <v>100.83</v>
      </c>
      <c r="I1499" s="95" t="n">
        <f aca="false">IF(AND(AE1499="yes",ISNUMBER(AD1499),ISNUMBER(INDEX(Sources!$G$7:$G$10,MATCH(AB1499,Sources!$B$7:$B$10,0)))),ROUND(AD1499/INDEX(Sources!$G$7:$G$10,MATCH(AB1499,Sources!$B$7:$B$10,0)),6),"")</f>
        <v>4.128381</v>
      </c>
      <c r="J1499" s="98" t="s">
        <v>530</v>
      </c>
      <c r="K1499" s="98" t="s">
        <v>2059</v>
      </c>
      <c r="L1499" s="96"/>
      <c r="M1499" s="110" t="s">
        <v>4725</v>
      </c>
      <c r="N1499" s="117" t="s">
        <v>4726</v>
      </c>
      <c r="O1499" s="110" t="s">
        <v>2452</v>
      </c>
      <c r="P1499" s="110" t="s">
        <v>265</v>
      </c>
      <c r="Q1499" s="118" t="n">
        <v>0.21</v>
      </c>
      <c r="R1499" s="110" t="n">
        <v>1</v>
      </c>
      <c r="S1499" s="110" t="s">
        <v>632</v>
      </c>
      <c r="T1499" s="110" t="s">
        <v>530</v>
      </c>
      <c r="U1499" s="110" t="s">
        <v>2918</v>
      </c>
      <c r="V1499" s="119" t="n">
        <v>100.83</v>
      </c>
      <c r="W1499" s="119"/>
      <c r="X1499" s="110" t="s">
        <v>2063</v>
      </c>
      <c r="Y1499" s="110" t="s">
        <v>2064</v>
      </c>
      <c r="Z1499" s="110" t="s">
        <v>2349</v>
      </c>
      <c r="AA1499" s="110" t="s">
        <v>537</v>
      </c>
      <c r="AB1499" s="110" t="s">
        <v>333</v>
      </c>
      <c r="AC1499" s="110" t="s">
        <v>538</v>
      </c>
      <c r="AD1499" s="110" t="n">
        <f aca="false">IF(OR(F1499="",Q1499="",R1499=""),"",ROUND(IF(P1499="incl.",F1499/(1+Q1499),F1499)/IF(S1499="per pack",R1499,1),2))</f>
        <v>100.83</v>
      </c>
      <c r="AE1499" s="110" t="str">
        <f aca="false">IF(AND(AC1499="yes",ISNUMBER(F1499),IF(Compare!$H$5="All mapped",TRUE(),IF(Compare!$H$5="EXACT only",J1499="EXACT",OR(J1499="EXACT",J1499="CLOSE")))),"yes","no")</f>
        <v>yes</v>
      </c>
      <c r="AF1499" s="110" t="n">
        <f aca="false">IF(ISNUMBER(H1499),COUNTIFS($B$7:$B$3000,B1499,$C$7:$C$3000,C1499,$H$7:$H$3000,"&lt;"&amp;H1499,$AH$7:$AH$3000,"yes")+COUNTIFS($B$7:B1499,B1499,$C$7:C1499,C1499,$H$7:H1499,H1499,$AH$7:AH1499,"yes"),"")</f>
        <v>1</v>
      </c>
      <c r="AG1499" s="110" t="n">
        <f aca="false">IF(ISNUMBER(I1499),COUNTIFS($B$7:$B$3000,B1499,$C$7:$C$3000,C1499,$I$7:$I$3000,"&lt;"&amp;I1499,$AI$7:$AI$3000,"yes")+COUNTIFS($B$7:B1499,B1499,$C$7:C1499,C1499,$I$7:I1499,I1499,$AI$7:AI1499,"yes"),"")</f>
        <v>1</v>
      </c>
      <c r="AH1499" s="110" t="str">
        <f aca="false">IF(ISNUMBER(H1499),"yes","no")</f>
        <v>yes</v>
      </c>
      <c r="AI1499" s="110" t="str">
        <f aca="false">IF(ISNUMBER(I1499),"yes","no")</f>
        <v>yes</v>
      </c>
      <c r="AJ1499" s="120" t="n">
        <v>46297</v>
      </c>
      <c r="AK1499" s="110"/>
    </row>
    <row r="1500" customFormat="false" ht="35.05" hidden="false" customHeight="false" outlineLevel="0" collapsed="false">
      <c r="B1500" s="36" t="s">
        <v>88</v>
      </c>
      <c r="C1500" s="98" t="s">
        <v>17</v>
      </c>
      <c r="D1500" s="98" t="s">
        <v>361</v>
      </c>
      <c r="E1500" s="110" t="s">
        <v>4727</v>
      </c>
      <c r="F1500" s="99" t="n">
        <v>177</v>
      </c>
      <c r="G1500" s="98" t="s">
        <v>333</v>
      </c>
      <c r="H1500" s="112" t="n">
        <f aca="false">IF(AND(AE1500="yes",ISNUMBER(AD1500)),AD1500,"")</f>
        <v>146.28</v>
      </c>
      <c r="I1500" s="95" t="n">
        <f aca="false">IF(AND(AE1500="yes",ISNUMBER(AD1500),ISNUMBER(INDEX(Sources!$G$7:$G$10,MATCH(AB1500,Sources!$B$7:$B$10,0)))),ROUND(AD1500/INDEX(Sources!$G$7:$G$10,MATCH(AB1500,Sources!$B$7:$B$10,0)),6),"")</f>
        <v>5.989285</v>
      </c>
      <c r="J1500" s="98" t="s">
        <v>530</v>
      </c>
      <c r="K1500" s="98" t="s">
        <v>2059</v>
      </c>
      <c r="L1500" s="96"/>
      <c r="M1500" s="110" t="s">
        <v>4728</v>
      </c>
      <c r="N1500" s="117" t="s">
        <v>4729</v>
      </c>
      <c r="O1500" s="110" t="s">
        <v>642</v>
      </c>
      <c r="P1500" s="110" t="s">
        <v>265</v>
      </c>
      <c r="Q1500" s="118" t="n">
        <v>0.21</v>
      </c>
      <c r="R1500" s="110" t="n">
        <v>1</v>
      </c>
      <c r="S1500" s="110" t="s">
        <v>632</v>
      </c>
      <c r="T1500" s="110" t="s">
        <v>530</v>
      </c>
      <c r="U1500" s="110" t="s">
        <v>2918</v>
      </c>
      <c r="V1500" s="119" t="n">
        <v>146.28</v>
      </c>
      <c r="W1500" s="119"/>
      <c r="X1500" s="110" t="s">
        <v>2063</v>
      </c>
      <c r="Y1500" s="110" t="s">
        <v>2064</v>
      </c>
      <c r="Z1500" s="110" t="s">
        <v>2400</v>
      </c>
      <c r="AA1500" s="110" t="s">
        <v>537</v>
      </c>
      <c r="AB1500" s="110" t="s">
        <v>333</v>
      </c>
      <c r="AC1500" s="110" t="s">
        <v>538</v>
      </c>
      <c r="AD1500" s="110" t="n">
        <f aca="false">IF(OR(F1500="",Q1500="",R1500=""),"",ROUND(IF(P1500="incl.",F1500/(1+Q1500),F1500)/IF(S1500="per pack",R1500,1),2))</f>
        <v>146.28</v>
      </c>
      <c r="AE1500" s="110" t="str">
        <f aca="false">IF(AND(AC1500="yes",ISNUMBER(F1500),IF(Compare!$H$5="All mapped",TRUE(),IF(Compare!$H$5="EXACT only",J1500="EXACT",OR(J1500="EXACT",J1500="CLOSE")))),"yes","no")</f>
        <v>yes</v>
      </c>
      <c r="AF1500" s="110" t="n">
        <f aca="false">IF(ISNUMBER(H1500),COUNTIFS($B$7:$B$3000,B1500,$C$7:$C$3000,C1500,$H$7:$H$3000,"&lt;"&amp;H1500,$AH$7:$AH$3000,"yes")+COUNTIFS($B$7:B1500,B1500,$C$7:C1500,C1500,$H$7:H1500,H1500,$AH$7:AH1500,"yes"),"")</f>
        <v>2</v>
      </c>
      <c r="AG1500" s="110" t="n">
        <f aca="false">IF(ISNUMBER(I1500),COUNTIFS($B$7:$B$3000,B1500,$C$7:$C$3000,C1500,$I$7:$I$3000,"&lt;"&amp;I1500,$AI$7:$AI$3000,"yes")+COUNTIFS($B$7:B1500,B1500,$C$7:C1500,C1500,$I$7:I1500,I1500,$AI$7:AI1500,"yes"),"")</f>
        <v>2</v>
      </c>
      <c r="AH1500" s="110" t="str">
        <f aca="false">IF(ISNUMBER(H1500),"yes","no")</f>
        <v>yes</v>
      </c>
      <c r="AI1500" s="110" t="str">
        <f aca="false">IF(ISNUMBER(I1500),"yes","no")</f>
        <v>yes</v>
      </c>
      <c r="AJ1500" s="120" t="n">
        <v>46297</v>
      </c>
      <c r="AK1500" s="110"/>
    </row>
    <row r="1501" customFormat="false" ht="23.85" hidden="false" customHeight="false" outlineLevel="0" collapsed="false">
      <c r="B1501" s="36" t="s">
        <v>88</v>
      </c>
      <c r="C1501" s="98" t="s">
        <v>18</v>
      </c>
      <c r="D1501" s="98" t="s">
        <v>3002</v>
      </c>
      <c r="E1501" s="110" t="s">
        <v>4730</v>
      </c>
      <c r="F1501" s="99" t="n">
        <v>6.05</v>
      </c>
      <c r="G1501" s="98" t="s">
        <v>244</v>
      </c>
      <c r="H1501" s="112" t="n">
        <f aca="false">IF(AND(AE1501="yes",ISNUMBER(AD1501)),AD1501,"")</f>
        <v>6.05</v>
      </c>
      <c r="I1501" s="95" t="n">
        <f aca="false">IF(AND(AE1501="yes",ISNUMBER(AD1501),ISNUMBER(INDEX(Sources!$G$7:$G$10,MATCH(AB1501,Sources!$B$7:$B$10,0)))),ROUND(AD1501/INDEX(Sources!$G$7:$G$10,MATCH(AB1501,Sources!$B$7:$B$10,0)),6),"")</f>
        <v>6.05</v>
      </c>
      <c r="J1501" s="98" t="s">
        <v>530</v>
      </c>
      <c r="K1501" s="98" t="s">
        <v>2059</v>
      </c>
      <c r="L1501" s="96"/>
      <c r="M1501" s="110" t="s">
        <v>4731</v>
      </c>
      <c r="N1501" s="117" t="s">
        <v>4404</v>
      </c>
      <c r="O1501" s="110" t="s">
        <v>2396</v>
      </c>
      <c r="P1501" s="110" t="s">
        <v>590</v>
      </c>
      <c r="Q1501" s="118" t="n">
        <v>0.23</v>
      </c>
      <c r="R1501" s="110" t="n">
        <v>1</v>
      </c>
      <c r="S1501" s="110" t="s">
        <v>632</v>
      </c>
      <c r="T1501" s="110" t="s">
        <v>530</v>
      </c>
      <c r="U1501" s="110" t="s">
        <v>2913</v>
      </c>
      <c r="V1501" s="119" t="n">
        <v>6.05</v>
      </c>
      <c r="W1501" s="119"/>
      <c r="X1501" s="110" t="s">
        <v>2063</v>
      </c>
      <c r="Y1501" s="110" t="s">
        <v>2064</v>
      </c>
      <c r="Z1501" s="110" t="s">
        <v>3346</v>
      </c>
      <c r="AA1501" s="110" t="s">
        <v>537</v>
      </c>
      <c r="AB1501" s="110" t="s">
        <v>244</v>
      </c>
      <c r="AC1501" s="110" t="s">
        <v>538</v>
      </c>
      <c r="AD1501" s="110" t="n">
        <f aca="false">IF(OR(F1501="",Q1501="",R1501=""),"",ROUND(IF(P1501="incl.",F1501/(1+Q1501),F1501)/IF(S1501="per pack",R1501,1),2))</f>
        <v>6.05</v>
      </c>
      <c r="AE1501" s="110" t="str">
        <f aca="false">IF(AND(AC1501="yes",ISNUMBER(F1501),IF(Compare!$H$5="All mapped",TRUE(),IF(Compare!$H$5="EXACT only",J1501="EXACT",OR(J1501="EXACT",J1501="CLOSE")))),"yes","no")</f>
        <v>yes</v>
      </c>
      <c r="AF1501" s="110" t="n">
        <f aca="false">IF(ISNUMBER(H1501),COUNTIFS($B$7:$B$3000,B1501,$C$7:$C$3000,C1501,$H$7:$H$3000,"&lt;"&amp;H1501,$AH$7:$AH$3000,"yes")+COUNTIFS($B$7:B1501,B1501,$C$7:C1501,C1501,$H$7:H1501,H1501,$AH$7:AH1501,"yes"),"")</f>
        <v>3</v>
      </c>
      <c r="AG1501" s="110" t="n">
        <f aca="false">IF(ISNUMBER(I1501),COUNTIFS($B$7:$B$3000,B1501,$C$7:$C$3000,C1501,$I$7:$I$3000,"&lt;"&amp;I1501,$AI$7:$AI$3000,"yes")+COUNTIFS($B$7:B1501,B1501,$C$7:C1501,C1501,$I$7:I1501,I1501,$AI$7:AI1501,"yes"),"")</f>
        <v>3</v>
      </c>
      <c r="AH1501" s="110" t="str">
        <f aca="false">IF(ISNUMBER(H1501),"yes","no")</f>
        <v>yes</v>
      </c>
      <c r="AI1501" s="110" t="str">
        <f aca="false">IF(ISNUMBER(I1501),"yes","no")</f>
        <v>yes</v>
      </c>
      <c r="AJ1501" s="120" t="n">
        <v>46297</v>
      </c>
      <c r="AK1501" s="110"/>
    </row>
    <row r="1502" customFormat="false" ht="23.85" hidden="false" customHeight="false" outlineLevel="0" collapsed="false">
      <c r="B1502" s="36" t="s">
        <v>88</v>
      </c>
      <c r="C1502" s="98" t="s">
        <v>18</v>
      </c>
      <c r="D1502" s="98" t="s">
        <v>3007</v>
      </c>
      <c r="E1502" s="110" t="s">
        <v>4732</v>
      </c>
      <c r="F1502" s="99" t="n">
        <v>6.44</v>
      </c>
      <c r="G1502" s="98" t="s">
        <v>244</v>
      </c>
      <c r="H1502" s="112" t="n">
        <f aca="false">IF(AND(AE1502="yes",ISNUMBER(AD1502)),AD1502,"")</f>
        <v>6.44</v>
      </c>
      <c r="I1502" s="95" t="n">
        <f aca="false">IF(AND(AE1502="yes",ISNUMBER(AD1502),ISNUMBER(INDEX(Sources!$G$7:$G$10,MATCH(AB1502,Sources!$B$7:$B$10,0)))),ROUND(AD1502/INDEX(Sources!$G$7:$G$10,MATCH(AB1502,Sources!$B$7:$B$10,0)),6),"")</f>
        <v>6.44</v>
      </c>
      <c r="J1502" s="98" t="s">
        <v>530</v>
      </c>
      <c r="K1502" s="98" t="s">
        <v>2059</v>
      </c>
      <c r="L1502" s="96"/>
      <c r="M1502" s="110" t="s">
        <v>4733</v>
      </c>
      <c r="N1502" s="117" t="s">
        <v>4407</v>
      </c>
      <c r="O1502" s="110" t="s">
        <v>642</v>
      </c>
      <c r="P1502" s="110" t="s">
        <v>590</v>
      </c>
      <c r="Q1502" s="118" t="n">
        <v>0.23</v>
      </c>
      <c r="R1502" s="110" t="n">
        <v>1</v>
      </c>
      <c r="S1502" s="110" t="s">
        <v>632</v>
      </c>
      <c r="T1502" s="110" t="s">
        <v>530</v>
      </c>
      <c r="U1502" s="110" t="s">
        <v>2913</v>
      </c>
      <c r="V1502" s="119" t="n">
        <v>6.44</v>
      </c>
      <c r="W1502" s="119"/>
      <c r="X1502" s="110" t="s">
        <v>2063</v>
      </c>
      <c r="Y1502" s="110" t="s">
        <v>2064</v>
      </c>
      <c r="Z1502" s="110" t="s">
        <v>3012</v>
      </c>
      <c r="AA1502" s="110" t="s">
        <v>537</v>
      </c>
      <c r="AB1502" s="110" t="s">
        <v>244</v>
      </c>
      <c r="AC1502" s="110" t="s">
        <v>538</v>
      </c>
      <c r="AD1502" s="110" t="n">
        <f aca="false">IF(OR(F1502="",Q1502="",R1502=""),"",ROUND(IF(P1502="incl.",F1502/(1+Q1502),F1502)/IF(S1502="per pack",R1502,1),2))</f>
        <v>6.44</v>
      </c>
      <c r="AE1502" s="110" t="str">
        <f aca="false">IF(AND(AC1502="yes",ISNUMBER(F1502),IF(Compare!$H$5="All mapped",TRUE(),IF(Compare!$H$5="EXACT only",J1502="EXACT",OR(J1502="EXACT",J1502="CLOSE")))),"yes","no")</f>
        <v>yes</v>
      </c>
      <c r="AF1502" s="110" t="n">
        <f aca="false">IF(ISNUMBER(H1502),COUNTIFS($B$7:$B$3000,B1502,$C$7:$C$3000,C1502,$H$7:$H$3000,"&lt;"&amp;H1502,$AH$7:$AH$3000,"yes")+COUNTIFS($B$7:B1502,B1502,$C$7:C1502,C1502,$H$7:H1502,H1502,$AH$7:AH1502,"yes"),"")</f>
        <v>4</v>
      </c>
      <c r="AG1502" s="110" t="n">
        <f aca="false">IF(ISNUMBER(I1502),COUNTIFS($B$7:$B$3000,B1502,$C$7:$C$3000,C1502,$I$7:$I$3000,"&lt;"&amp;I1502,$AI$7:$AI$3000,"yes")+COUNTIFS($B$7:B1502,B1502,$C$7:C1502,C1502,$I$7:I1502,I1502,$AI$7:AI1502,"yes"),"")</f>
        <v>4</v>
      </c>
      <c r="AH1502" s="110" t="str">
        <f aca="false">IF(ISNUMBER(H1502),"yes","no")</f>
        <v>yes</v>
      </c>
      <c r="AI1502" s="110" t="str">
        <f aca="false">IF(ISNUMBER(I1502),"yes","no")</f>
        <v>yes</v>
      </c>
      <c r="AJ1502" s="120" t="n">
        <v>46297</v>
      </c>
      <c r="AK1502" s="110"/>
    </row>
    <row r="1503" customFormat="false" ht="35.05" hidden="false" customHeight="false" outlineLevel="0" collapsed="false">
      <c r="B1503" s="36" t="s">
        <v>88</v>
      </c>
      <c r="C1503" s="98" t="s">
        <v>18</v>
      </c>
      <c r="D1503" s="98" t="s">
        <v>365</v>
      </c>
      <c r="E1503" s="110" t="s">
        <v>4734</v>
      </c>
      <c r="F1503" s="99" t="n">
        <v>7.18</v>
      </c>
      <c r="G1503" s="98" t="s">
        <v>244</v>
      </c>
      <c r="H1503" s="112" t="n">
        <f aca="false">IF(AND(AE1503="yes",ISNUMBER(AD1503)),AD1503,"")</f>
        <v>5.84</v>
      </c>
      <c r="I1503" s="95" t="n">
        <f aca="false">IF(AND(AE1503="yes",ISNUMBER(AD1503),ISNUMBER(INDEX(Sources!$G$7:$G$10,MATCH(AB1503,Sources!$B$7:$B$10,0)))),ROUND(AD1503/INDEX(Sources!$G$7:$G$10,MATCH(AB1503,Sources!$B$7:$B$10,0)),6),"")</f>
        <v>5.84</v>
      </c>
      <c r="J1503" s="98" t="s">
        <v>530</v>
      </c>
      <c r="K1503" s="98" t="s">
        <v>2059</v>
      </c>
      <c r="L1503" s="96"/>
      <c r="M1503" s="110" t="s">
        <v>4735</v>
      </c>
      <c r="N1503" s="117" t="s">
        <v>4736</v>
      </c>
      <c r="O1503" s="110" t="s">
        <v>4737</v>
      </c>
      <c r="P1503" s="110" t="s">
        <v>265</v>
      </c>
      <c r="Q1503" s="118" t="n">
        <v>0.23</v>
      </c>
      <c r="R1503" s="110" t="n">
        <v>1</v>
      </c>
      <c r="S1503" s="110" t="s">
        <v>632</v>
      </c>
      <c r="T1503" s="110" t="s">
        <v>530</v>
      </c>
      <c r="U1503" s="110" t="s">
        <v>2918</v>
      </c>
      <c r="V1503" s="119" t="n">
        <v>5.84</v>
      </c>
      <c r="W1503" s="119"/>
      <c r="X1503" s="110" t="s">
        <v>2063</v>
      </c>
      <c r="Y1503" s="110" t="s">
        <v>2064</v>
      </c>
      <c r="Z1503" s="110" t="s">
        <v>3016</v>
      </c>
      <c r="AA1503" s="110" t="s">
        <v>537</v>
      </c>
      <c r="AB1503" s="110" t="s">
        <v>244</v>
      </c>
      <c r="AC1503" s="110" t="s">
        <v>538</v>
      </c>
      <c r="AD1503" s="110" t="n">
        <f aca="false">IF(OR(F1503="",Q1503="",R1503=""),"",ROUND(IF(P1503="incl.",F1503/(1+Q1503),F1503)/IF(S1503="per pack",R1503,1),2))</f>
        <v>5.84</v>
      </c>
      <c r="AE1503" s="110" t="str">
        <f aca="false">IF(AND(AC1503="yes",ISNUMBER(F1503),IF(Compare!$H$5="All mapped",TRUE(),IF(Compare!$H$5="EXACT only",J1503="EXACT",OR(J1503="EXACT",J1503="CLOSE")))),"yes","no")</f>
        <v>yes</v>
      </c>
      <c r="AF1503" s="110" t="n">
        <f aca="false">IF(ISNUMBER(H1503),COUNTIFS($B$7:$B$3000,B1503,$C$7:$C$3000,C1503,$H$7:$H$3000,"&lt;"&amp;H1503,$AH$7:$AH$3000,"yes")+COUNTIFS($B$7:B1503,B1503,$C$7:C1503,C1503,$H$7:H1503,H1503,$AH$7:AH1503,"yes"),"")</f>
        <v>2</v>
      </c>
      <c r="AG1503" s="110" t="n">
        <f aca="false">IF(ISNUMBER(I1503),COUNTIFS($B$7:$B$3000,B1503,$C$7:$C$3000,C1503,$I$7:$I$3000,"&lt;"&amp;I1503,$AI$7:$AI$3000,"yes")+COUNTIFS($B$7:B1503,B1503,$C$7:C1503,C1503,$I$7:I1503,I1503,$AI$7:AI1503,"yes"),"")</f>
        <v>2</v>
      </c>
      <c r="AH1503" s="110" t="str">
        <f aca="false">IF(ISNUMBER(H1503),"yes","no")</f>
        <v>yes</v>
      </c>
      <c r="AI1503" s="110" t="str">
        <f aca="false">IF(ISNUMBER(I1503),"yes","no")</f>
        <v>yes</v>
      </c>
      <c r="AJ1503" s="120" t="n">
        <v>46297</v>
      </c>
      <c r="AK1503" s="110"/>
    </row>
    <row r="1504" customFormat="false" ht="35.05" hidden="false" customHeight="false" outlineLevel="0" collapsed="false">
      <c r="B1504" s="36" t="s">
        <v>88</v>
      </c>
      <c r="C1504" s="98" t="s">
        <v>18</v>
      </c>
      <c r="D1504" s="98" t="s">
        <v>369</v>
      </c>
      <c r="E1504" s="110" t="s">
        <v>4738</v>
      </c>
      <c r="F1504" s="99" t="n">
        <v>11.08</v>
      </c>
      <c r="G1504" s="98" t="s">
        <v>244</v>
      </c>
      <c r="H1504" s="112" t="n">
        <f aca="false">IF(AND(AE1504="yes",ISNUMBER(AD1504)),AD1504,"")</f>
        <v>9.01</v>
      </c>
      <c r="I1504" s="95" t="n">
        <f aca="false">IF(AND(AE1504="yes",ISNUMBER(AD1504),ISNUMBER(INDEX(Sources!$G$7:$G$10,MATCH(AB1504,Sources!$B$7:$B$10,0)))),ROUND(AD1504/INDEX(Sources!$G$7:$G$10,MATCH(AB1504,Sources!$B$7:$B$10,0)),6),"")</f>
        <v>9.01</v>
      </c>
      <c r="J1504" s="98" t="s">
        <v>530</v>
      </c>
      <c r="K1504" s="98" t="s">
        <v>2059</v>
      </c>
      <c r="L1504" s="96"/>
      <c r="M1504" s="110" t="s">
        <v>4739</v>
      </c>
      <c r="N1504" s="117" t="s">
        <v>4740</v>
      </c>
      <c r="O1504" s="110" t="s">
        <v>783</v>
      </c>
      <c r="P1504" s="110" t="s">
        <v>265</v>
      </c>
      <c r="Q1504" s="118" t="n">
        <v>0.23</v>
      </c>
      <c r="R1504" s="110" t="n">
        <v>1</v>
      </c>
      <c r="S1504" s="110" t="s">
        <v>632</v>
      </c>
      <c r="T1504" s="110" t="s">
        <v>530</v>
      </c>
      <c r="U1504" s="110" t="s">
        <v>2918</v>
      </c>
      <c r="V1504" s="119" t="n">
        <v>9.01</v>
      </c>
      <c r="W1504" s="119"/>
      <c r="X1504" s="110" t="s">
        <v>2063</v>
      </c>
      <c r="Y1504" s="110" t="s">
        <v>2064</v>
      </c>
      <c r="Z1504" s="110" t="s">
        <v>3831</v>
      </c>
      <c r="AA1504" s="110" t="s">
        <v>537</v>
      </c>
      <c r="AB1504" s="110" t="s">
        <v>244</v>
      </c>
      <c r="AC1504" s="110" t="s">
        <v>538</v>
      </c>
      <c r="AD1504" s="110" t="n">
        <f aca="false">IF(OR(F1504="",Q1504="",R1504=""),"",ROUND(IF(P1504="incl.",F1504/(1+Q1504),F1504)/IF(S1504="per pack",R1504,1),2))</f>
        <v>9.01</v>
      </c>
      <c r="AE1504" s="110" t="str">
        <f aca="false">IF(AND(AC1504="yes",ISNUMBER(F1504),IF(Compare!$H$5="All mapped",TRUE(),IF(Compare!$H$5="EXACT only",J1504="EXACT",OR(J1504="EXACT",J1504="CLOSE")))),"yes","no")</f>
        <v>yes</v>
      </c>
      <c r="AF1504" s="110" t="n">
        <f aca="false">IF(ISNUMBER(H1504),COUNTIFS($B$7:$B$3000,B1504,$C$7:$C$3000,C1504,$H$7:$H$3000,"&lt;"&amp;H1504,$AH$7:$AH$3000,"yes")+COUNTIFS($B$7:B1504,B1504,$C$7:C1504,C1504,$H$7:H1504,H1504,$AH$7:AH1504,"yes"),"")</f>
        <v>5</v>
      </c>
      <c r="AG1504" s="110" t="n">
        <f aca="false">IF(ISNUMBER(I1504),COUNTIFS($B$7:$B$3000,B1504,$C$7:$C$3000,C1504,$I$7:$I$3000,"&lt;"&amp;I1504,$AI$7:$AI$3000,"yes")+COUNTIFS($B$7:B1504,B1504,$C$7:C1504,C1504,$I$7:I1504,I1504,$AI$7:AI1504,"yes"),"")</f>
        <v>5</v>
      </c>
      <c r="AH1504" s="110" t="str">
        <f aca="false">IF(ISNUMBER(H1504),"yes","no")</f>
        <v>yes</v>
      </c>
      <c r="AI1504" s="110" t="str">
        <f aca="false">IF(ISNUMBER(I1504),"yes","no")</f>
        <v>yes</v>
      </c>
      <c r="AJ1504" s="120" t="n">
        <v>46297</v>
      </c>
      <c r="AK1504" s="110"/>
    </row>
    <row r="1505" customFormat="false" ht="35.05" hidden="false" customHeight="false" outlineLevel="0" collapsed="false">
      <c r="B1505" s="36" t="s">
        <v>88</v>
      </c>
      <c r="C1505" s="98" t="s">
        <v>18</v>
      </c>
      <c r="D1505" s="98" t="s">
        <v>3021</v>
      </c>
      <c r="E1505" s="110" t="s">
        <v>4741</v>
      </c>
      <c r="F1505" s="99" t="n">
        <v>3.43</v>
      </c>
      <c r="G1505" s="98" t="s">
        <v>244</v>
      </c>
      <c r="H1505" s="112" t="n">
        <f aca="false">IF(AND(AE1505="yes",ISNUMBER(AD1505)),AD1505,"")</f>
        <v>3.43</v>
      </c>
      <c r="I1505" s="95" t="n">
        <f aca="false">IF(AND(AE1505="yes",ISNUMBER(AD1505),ISNUMBER(INDEX(Sources!$G$7:$G$10,MATCH(AB1505,Sources!$B$7:$B$10,0)))),ROUND(AD1505/INDEX(Sources!$G$7:$G$10,MATCH(AB1505,Sources!$B$7:$B$10,0)),6),"")</f>
        <v>3.43</v>
      </c>
      <c r="J1505" s="98" t="s">
        <v>530</v>
      </c>
      <c r="K1505" s="98" t="s">
        <v>2059</v>
      </c>
      <c r="L1505" s="96"/>
      <c r="M1505" s="110" t="s">
        <v>4742</v>
      </c>
      <c r="N1505" s="117" t="s">
        <v>4416</v>
      </c>
      <c r="O1505" s="110" t="s">
        <v>642</v>
      </c>
      <c r="P1505" s="110" t="s">
        <v>590</v>
      </c>
      <c r="Q1505" s="118" t="n">
        <v>0.23</v>
      </c>
      <c r="R1505" s="110" t="n">
        <v>1</v>
      </c>
      <c r="S1505" s="110" t="s">
        <v>632</v>
      </c>
      <c r="T1505" s="110" t="s">
        <v>530</v>
      </c>
      <c r="U1505" s="110" t="s">
        <v>2913</v>
      </c>
      <c r="V1505" s="119" t="n">
        <v>3.43</v>
      </c>
      <c r="W1505" s="119"/>
      <c r="X1505" s="110" t="s">
        <v>2063</v>
      </c>
      <c r="Y1505" s="110" t="s">
        <v>2064</v>
      </c>
      <c r="Z1505" s="110" t="s">
        <v>3900</v>
      </c>
      <c r="AA1505" s="110" t="s">
        <v>537</v>
      </c>
      <c r="AB1505" s="110" t="s">
        <v>244</v>
      </c>
      <c r="AC1505" s="110" t="s">
        <v>538</v>
      </c>
      <c r="AD1505" s="110" t="n">
        <f aca="false">IF(OR(F1505="",Q1505="",R1505=""),"",ROUND(IF(P1505="incl.",F1505/(1+Q1505),F1505)/IF(S1505="per pack",R1505,1),2))</f>
        <v>3.43</v>
      </c>
      <c r="AE1505" s="110" t="str">
        <f aca="false">IF(AND(AC1505="yes",ISNUMBER(F1505),IF(Compare!$H$5="All mapped",TRUE(),IF(Compare!$H$5="EXACT only",J1505="EXACT",OR(J1505="EXACT",J1505="CLOSE")))),"yes","no")</f>
        <v>yes</v>
      </c>
      <c r="AF1505" s="110" t="n">
        <f aca="false">IF(ISNUMBER(H1505),COUNTIFS($B$7:$B$3000,B1505,$C$7:$C$3000,C1505,$H$7:$H$3000,"&lt;"&amp;H1505,$AH$7:$AH$3000,"yes")+COUNTIFS($B$7:B1505,B1505,$C$7:C1505,C1505,$H$7:H1505,H1505,$AH$7:AH1505,"yes"),"")</f>
        <v>1</v>
      </c>
      <c r="AG1505" s="110" t="n">
        <f aca="false">IF(ISNUMBER(I1505),COUNTIFS($B$7:$B$3000,B1505,$C$7:$C$3000,C1505,$I$7:$I$3000,"&lt;"&amp;I1505,$AI$7:$AI$3000,"yes")+COUNTIFS($B$7:B1505,B1505,$C$7:C1505,C1505,$I$7:I1505,I1505,$AI$7:AI1505,"yes"),"")</f>
        <v>1</v>
      </c>
      <c r="AH1505" s="110" t="str">
        <f aca="false">IF(ISNUMBER(H1505),"yes","no")</f>
        <v>yes</v>
      </c>
      <c r="AI1505" s="110" t="str">
        <f aca="false">IF(ISNUMBER(I1505),"yes","no")</f>
        <v>yes</v>
      </c>
      <c r="AJ1505" s="120" t="n">
        <v>46297</v>
      </c>
      <c r="AK1505" s="110"/>
    </row>
    <row r="1506" customFormat="false" ht="23.85" hidden="false" customHeight="false" outlineLevel="0" collapsed="false">
      <c r="B1506" s="36" t="s">
        <v>89</v>
      </c>
      <c r="C1506" s="98" t="s">
        <v>14</v>
      </c>
      <c r="D1506" s="98" t="s">
        <v>373</v>
      </c>
      <c r="E1506" s="110" t="s">
        <v>4743</v>
      </c>
      <c r="F1506" s="99" t="n">
        <v>34.56</v>
      </c>
      <c r="G1506" s="98" t="s">
        <v>374</v>
      </c>
      <c r="H1506" s="112" t="n">
        <f aca="false">IF(AND(AE1506="yes",ISNUMBER(AD1506)),AD1506,"")</f>
        <v>34.56</v>
      </c>
      <c r="I1506" s="95" t="n">
        <f aca="false">IF(AND(AE1506="yes",ISNUMBER(AD1506),ISNUMBER(INDEX(Sources!$G$7:$G$10,MATCH(AB1506,Sources!$B$7:$B$10,0)))),ROUND(AD1506/INDEX(Sources!$G$7:$G$10,MATCH(AB1506,Sources!$B$7:$B$10,0)),6),"")</f>
        <v>6.548379</v>
      </c>
      <c r="J1506" s="98" t="s">
        <v>530</v>
      </c>
      <c r="K1506" s="98" t="s">
        <v>2059</v>
      </c>
      <c r="L1506" s="96"/>
      <c r="M1506" s="110" t="s">
        <v>4744</v>
      </c>
      <c r="N1506" s="117" t="s">
        <v>4745</v>
      </c>
      <c r="O1506" s="110" t="s">
        <v>4321</v>
      </c>
      <c r="P1506" s="110" t="s">
        <v>590</v>
      </c>
      <c r="Q1506" s="118" t="n">
        <v>0.21</v>
      </c>
      <c r="R1506" s="110" t="n">
        <v>1</v>
      </c>
      <c r="S1506" s="110" t="s">
        <v>632</v>
      </c>
      <c r="T1506" s="110" t="s">
        <v>530</v>
      </c>
      <c r="U1506" s="110" t="s">
        <v>2913</v>
      </c>
      <c r="V1506" s="119" t="n">
        <v>34.56</v>
      </c>
      <c r="W1506" s="119"/>
      <c r="X1506" s="110" t="s">
        <v>2063</v>
      </c>
      <c r="Y1506" s="110" t="s">
        <v>2064</v>
      </c>
      <c r="Z1506" s="110"/>
      <c r="AA1506" s="110" t="s">
        <v>537</v>
      </c>
      <c r="AB1506" s="110" t="s">
        <v>374</v>
      </c>
      <c r="AC1506" s="110" t="s">
        <v>538</v>
      </c>
      <c r="AD1506" s="110" t="n">
        <f aca="false">IF(OR(F1506="",Q1506="",R1506=""),"",ROUND(IF(P1506="incl.",F1506/(1+Q1506),F1506)/IF(S1506="per pack",R1506,1),2))</f>
        <v>34.56</v>
      </c>
      <c r="AE1506" s="110" t="str">
        <f aca="false">IF(AND(AC1506="yes",ISNUMBER(F1506),IF(Compare!$H$5="All mapped",TRUE(),IF(Compare!$H$5="EXACT only",J1506="EXACT",OR(J1506="EXACT",J1506="CLOSE")))),"yes","no")</f>
        <v>yes</v>
      </c>
      <c r="AF1506" s="110" t="n">
        <f aca="false">IF(ISNUMBER(H1506),COUNTIFS($B$7:$B$3000,B1506,$C$7:$C$3000,C1506,$H$7:$H$3000,"&lt;"&amp;H1506,$AH$7:$AH$3000,"yes")+COUNTIFS($B$7:B1506,B1506,$C$7:C1506,C1506,$H$7:H1506,H1506,$AH$7:AH1506,"yes"),"")</f>
        <v>2</v>
      </c>
      <c r="AG1506" s="110" t="n">
        <f aca="false">IF(ISNUMBER(I1506),COUNTIFS($B$7:$B$3000,B1506,$C$7:$C$3000,C1506,$I$7:$I$3000,"&lt;"&amp;I1506,$AI$7:$AI$3000,"yes")+COUNTIFS($B$7:B1506,B1506,$C$7:C1506,C1506,$I$7:I1506,I1506,$AI$7:AI1506,"yes"),"")</f>
        <v>2</v>
      </c>
      <c r="AH1506" s="110" t="str">
        <f aca="false">IF(ISNUMBER(H1506),"yes","no")</f>
        <v>yes</v>
      </c>
      <c r="AI1506" s="110" t="str">
        <f aca="false">IF(ISNUMBER(I1506),"yes","no")</f>
        <v>yes</v>
      </c>
      <c r="AJ1506" s="120" t="n">
        <v>46297</v>
      </c>
      <c r="AK1506" s="110"/>
    </row>
    <row r="1507" customFormat="false" ht="23.85" hidden="false" customHeight="false" outlineLevel="0" collapsed="false">
      <c r="B1507" s="36" t="s">
        <v>89</v>
      </c>
      <c r="C1507" s="98" t="s">
        <v>14</v>
      </c>
      <c r="D1507" s="98" t="s">
        <v>378</v>
      </c>
      <c r="E1507" s="110" t="s">
        <v>4746</v>
      </c>
      <c r="F1507" s="99" t="n">
        <v>144.41</v>
      </c>
      <c r="G1507" s="98" t="s">
        <v>374</v>
      </c>
      <c r="H1507" s="112" t="n">
        <f aca="false">IF(AND(AE1507="yes",ISNUMBER(AD1507)),AD1507,"")</f>
        <v>119.35</v>
      </c>
      <c r="I1507" s="95" t="n">
        <f aca="false">IF(AND(AE1507="yes",ISNUMBER(AD1507),ISNUMBER(INDEX(Sources!$G$7:$G$10,MATCH(AB1507,Sources!$B$7:$B$10,0)))),ROUND(AD1507/INDEX(Sources!$G$7:$G$10,MATCH(AB1507,Sources!$B$7:$B$10,0)),6),"")</f>
        <v>22.614268</v>
      </c>
      <c r="J1507" s="98" t="s">
        <v>702</v>
      </c>
      <c r="K1507" s="98" t="s">
        <v>2059</v>
      </c>
      <c r="L1507" s="96"/>
      <c r="M1507" s="110" t="s">
        <v>4747</v>
      </c>
      <c r="N1507" s="117" t="s">
        <v>4748</v>
      </c>
      <c r="O1507" s="110" t="s">
        <v>733</v>
      </c>
      <c r="P1507" s="110" t="s">
        <v>265</v>
      </c>
      <c r="Q1507" s="118" t="n">
        <v>0.21</v>
      </c>
      <c r="R1507" s="110" t="n">
        <v>1</v>
      </c>
      <c r="S1507" s="110" t="s">
        <v>632</v>
      </c>
      <c r="T1507" s="110" t="s">
        <v>702</v>
      </c>
      <c r="U1507" s="110" t="s">
        <v>2918</v>
      </c>
      <c r="V1507" s="119" t="n">
        <v>119.35</v>
      </c>
      <c r="W1507" s="119"/>
      <c r="X1507" s="110" t="s">
        <v>2063</v>
      </c>
      <c r="Y1507" s="110" t="s">
        <v>2064</v>
      </c>
      <c r="Z1507" s="110"/>
      <c r="AA1507" s="110" t="s">
        <v>537</v>
      </c>
      <c r="AB1507" s="110" t="s">
        <v>374</v>
      </c>
      <c r="AC1507" s="110" t="s">
        <v>538</v>
      </c>
      <c r="AD1507" s="110" t="n">
        <f aca="false">IF(OR(F1507="",Q1507="",R1507=""),"",ROUND(IF(P1507="incl.",F1507/(1+Q1507),F1507)/IF(S1507="per pack",R1507,1),2))</f>
        <v>119.35</v>
      </c>
      <c r="AE1507" s="110" t="str">
        <f aca="false">IF(AND(AC1507="yes",ISNUMBER(F1507),IF(Compare!$H$5="All mapped",TRUE(),IF(Compare!$H$5="EXACT only",J1507="EXACT",OR(J1507="EXACT",J1507="CLOSE")))),"yes","no")</f>
        <v>yes</v>
      </c>
      <c r="AF1507" s="110" t="n">
        <f aca="false">IF(ISNUMBER(H1507),COUNTIFS($B$7:$B$3000,B1507,$C$7:$C$3000,C1507,$H$7:$H$3000,"&lt;"&amp;H1507,$AH$7:$AH$3000,"yes")+COUNTIFS($B$7:B1507,B1507,$C$7:C1507,C1507,$H$7:H1507,H1507,$AH$7:AH1507,"yes"),"")</f>
        <v>5</v>
      </c>
      <c r="AG1507" s="110" t="n">
        <f aca="false">IF(ISNUMBER(I1507),COUNTIFS($B$7:$B$3000,B1507,$C$7:$C$3000,C1507,$I$7:$I$3000,"&lt;"&amp;I1507,$AI$7:$AI$3000,"yes")+COUNTIFS($B$7:B1507,B1507,$C$7:C1507,C1507,$I$7:I1507,I1507,$AI$7:AI1507,"yes"),"")</f>
        <v>5</v>
      </c>
      <c r="AH1507" s="110" t="str">
        <f aca="false">IF(ISNUMBER(H1507),"yes","no")</f>
        <v>yes</v>
      </c>
      <c r="AI1507" s="110" t="str">
        <f aca="false">IF(ISNUMBER(I1507),"yes","no")</f>
        <v>yes</v>
      </c>
      <c r="AJ1507" s="120" t="n">
        <v>46297</v>
      </c>
      <c r="AK1507" s="110"/>
    </row>
    <row r="1508" customFormat="false" ht="35.05" hidden="false" customHeight="false" outlineLevel="0" collapsed="false">
      <c r="B1508" s="36" t="s">
        <v>89</v>
      </c>
      <c r="C1508" s="98" t="s">
        <v>14</v>
      </c>
      <c r="D1508" s="98" t="s">
        <v>346</v>
      </c>
      <c r="E1508" s="110" t="s">
        <v>4749</v>
      </c>
      <c r="F1508" s="99" t="n">
        <v>68.01</v>
      </c>
      <c r="G1508" s="98" t="s">
        <v>374</v>
      </c>
      <c r="H1508" s="112" t="n">
        <f aca="false">IF(AND(AE1508="yes",ISNUMBER(AD1508)),AD1508,"")</f>
        <v>56.21</v>
      </c>
      <c r="I1508" s="95" t="n">
        <f aca="false">IF(AND(AE1508="yes",ISNUMBER(AD1508),ISNUMBER(INDEX(Sources!$G$7:$G$10,MATCH(AB1508,Sources!$B$7:$B$10,0)))),ROUND(AD1508/INDEX(Sources!$G$7:$G$10,MATCH(AB1508,Sources!$B$7:$B$10,0)),6),"")</f>
        <v>10.650591</v>
      </c>
      <c r="J1508" s="98" t="s">
        <v>530</v>
      </c>
      <c r="K1508" s="98" t="s">
        <v>2059</v>
      </c>
      <c r="L1508" s="96"/>
      <c r="M1508" s="110" t="s">
        <v>4750</v>
      </c>
      <c r="N1508" s="117" t="s">
        <v>4751</v>
      </c>
      <c r="O1508" s="110" t="s">
        <v>662</v>
      </c>
      <c r="P1508" s="110" t="s">
        <v>265</v>
      </c>
      <c r="Q1508" s="118" t="n">
        <v>0.21</v>
      </c>
      <c r="R1508" s="110" t="n">
        <v>1</v>
      </c>
      <c r="S1508" s="110" t="s">
        <v>632</v>
      </c>
      <c r="T1508" s="110" t="s">
        <v>530</v>
      </c>
      <c r="U1508" s="110" t="s">
        <v>2918</v>
      </c>
      <c r="V1508" s="119" t="n">
        <v>56.21</v>
      </c>
      <c r="W1508" s="119"/>
      <c r="X1508" s="110" t="s">
        <v>2063</v>
      </c>
      <c r="Y1508" s="110" t="s">
        <v>2064</v>
      </c>
      <c r="Z1508" s="110"/>
      <c r="AA1508" s="110" t="s">
        <v>537</v>
      </c>
      <c r="AB1508" s="110" t="s">
        <v>374</v>
      </c>
      <c r="AC1508" s="110" t="s">
        <v>538</v>
      </c>
      <c r="AD1508" s="110" t="n">
        <f aca="false">IF(OR(F1508="",Q1508="",R1508=""),"",ROUND(IF(P1508="incl.",F1508/(1+Q1508),F1508)/IF(S1508="per pack",R1508,1),2))</f>
        <v>56.21</v>
      </c>
      <c r="AE1508" s="110" t="str">
        <f aca="false">IF(AND(AC1508="yes",ISNUMBER(F1508),IF(Compare!$H$5="All mapped",TRUE(),IF(Compare!$H$5="EXACT only",J1508="EXACT",OR(J1508="EXACT",J1508="CLOSE")))),"yes","no")</f>
        <v>yes</v>
      </c>
      <c r="AF1508" s="110" t="n">
        <f aca="false">IF(ISNUMBER(H1508),COUNTIFS($B$7:$B$3000,B1508,$C$7:$C$3000,C1508,$H$7:$H$3000,"&lt;"&amp;H1508,$AH$7:$AH$3000,"yes")+COUNTIFS($B$7:B1508,B1508,$C$7:C1508,C1508,$H$7:H1508,H1508,$AH$7:AH1508,"yes"),"")</f>
        <v>4</v>
      </c>
      <c r="AG1508" s="110" t="n">
        <f aca="false">IF(ISNUMBER(I1508),COUNTIFS($B$7:$B$3000,B1508,$C$7:$C$3000,C1508,$I$7:$I$3000,"&lt;"&amp;I1508,$AI$7:$AI$3000,"yes")+COUNTIFS($B$7:B1508,B1508,$C$7:C1508,C1508,$I$7:I1508,I1508,$AI$7:AI1508,"yes"),"")</f>
        <v>4</v>
      </c>
      <c r="AH1508" s="110" t="str">
        <f aca="false">IF(ISNUMBER(H1508),"yes","no")</f>
        <v>yes</v>
      </c>
      <c r="AI1508" s="110" t="str">
        <f aca="false">IF(ISNUMBER(I1508),"yes","no")</f>
        <v>yes</v>
      </c>
      <c r="AJ1508" s="120" t="n">
        <v>46297</v>
      </c>
      <c r="AK1508" s="110"/>
    </row>
    <row r="1509" customFormat="false" ht="35.05" hidden="false" customHeight="false" outlineLevel="0" collapsed="false">
      <c r="B1509" s="36" t="s">
        <v>89</v>
      </c>
      <c r="C1509" s="98" t="s">
        <v>14</v>
      </c>
      <c r="D1509" s="98" t="s">
        <v>403</v>
      </c>
      <c r="E1509" s="110" t="s">
        <v>4752</v>
      </c>
      <c r="F1509" s="99" t="n">
        <v>31.42</v>
      </c>
      <c r="G1509" s="98" t="s">
        <v>374</v>
      </c>
      <c r="H1509" s="112" t="n">
        <f aca="false">IF(AND(AE1509="yes",ISNUMBER(AD1509)),AD1509,"")</f>
        <v>31.42</v>
      </c>
      <c r="I1509" s="95" t="n">
        <f aca="false">IF(AND(AE1509="yes",ISNUMBER(AD1509),ISNUMBER(INDEX(Sources!$G$7:$G$10,MATCH(AB1509,Sources!$B$7:$B$10,0)))),ROUND(AD1509/INDEX(Sources!$G$7:$G$10,MATCH(AB1509,Sources!$B$7:$B$10,0)),6),"")</f>
        <v>5.953417</v>
      </c>
      <c r="J1509" s="98" t="s">
        <v>530</v>
      </c>
      <c r="K1509" s="98" t="s">
        <v>2059</v>
      </c>
      <c r="L1509" s="96"/>
      <c r="M1509" s="110" t="s">
        <v>4753</v>
      </c>
      <c r="N1509" s="117" t="s">
        <v>4754</v>
      </c>
      <c r="O1509" s="110" t="s">
        <v>388</v>
      </c>
      <c r="P1509" s="110" t="s">
        <v>590</v>
      </c>
      <c r="Q1509" s="118" t="n">
        <v>0.21</v>
      </c>
      <c r="R1509" s="110" t="n">
        <v>1</v>
      </c>
      <c r="S1509" s="110" t="s">
        <v>632</v>
      </c>
      <c r="T1509" s="110" t="s">
        <v>530</v>
      </c>
      <c r="U1509" s="110" t="s">
        <v>2913</v>
      </c>
      <c r="V1509" s="119" t="n">
        <v>31.42</v>
      </c>
      <c r="W1509" s="119"/>
      <c r="X1509" s="110" t="s">
        <v>2063</v>
      </c>
      <c r="Y1509" s="110" t="s">
        <v>2064</v>
      </c>
      <c r="Z1509" s="110"/>
      <c r="AA1509" s="110" t="s">
        <v>537</v>
      </c>
      <c r="AB1509" s="110" t="s">
        <v>374</v>
      </c>
      <c r="AC1509" s="110" t="s">
        <v>538</v>
      </c>
      <c r="AD1509" s="110" t="n">
        <f aca="false">IF(OR(F1509="",Q1509="",R1509=""),"",ROUND(IF(P1509="incl.",F1509/(1+Q1509),F1509)/IF(S1509="per pack",R1509,1),2))</f>
        <v>31.42</v>
      </c>
      <c r="AE1509" s="110" t="str">
        <f aca="false">IF(AND(AC1509="yes",ISNUMBER(F1509),IF(Compare!$H$5="All mapped",TRUE(),IF(Compare!$H$5="EXACT only",J1509="EXACT",OR(J1509="EXACT",J1509="CLOSE")))),"yes","no")</f>
        <v>yes</v>
      </c>
      <c r="AF1509" s="110" t="n">
        <f aca="false">IF(ISNUMBER(H1509),COUNTIFS($B$7:$B$3000,B1509,$C$7:$C$3000,C1509,$H$7:$H$3000,"&lt;"&amp;H1509,$AH$7:$AH$3000,"yes")+COUNTIFS($B$7:B1509,B1509,$C$7:C1509,C1509,$H$7:H1509,H1509,$AH$7:AH1509,"yes"),"")</f>
        <v>1</v>
      </c>
      <c r="AG1509" s="110" t="n">
        <f aca="false">IF(ISNUMBER(I1509),COUNTIFS($B$7:$B$3000,B1509,$C$7:$C$3000,C1509,$I$7:$I$3000,"&lt;"&amp;I1509,$AI$7:$AI$3000,"yes")+COUNTIFS($B$7:B1509,B1509,$C$7:C1509,C1509,$I$7:I1509,I1509,$AI$7:AI1509,"yes"),"")</f>
        <v>1</v>
      </c>
      <c r="AH1509" s="110" t="str">
        <f aca="false">IF(ISNUMBER(H1509),"yes","no")</f>
        <v>yes</v>
      </c>
      <c r="AI1509" s="110" t="str">
        <f aca="false">IF(ISNUMBER(I1509),"yes","no")</f>
        <v>yes</v>
      </c>
      <c r="AJ1509" s="120" t="n">
        <v>46297</v>
      </c>
      <c r="AK1509" s="110"/>
    </row>
    <row r="1510" customFormat="false" ht="23.85" hidden="false" customHeight="false" outlineLevel="0" collapsed="false">
      <c r="B1510" s="36" t="s">
        <v>89</v>
      </c>
      <c r="C1510" s="98" t="s">
        <v>14</v>
      </c>
      <c r="D1510" s="98" t="s">
        <v>403</v>
      </c>
      <c r="E1510" s="110" t="s">
        <v>4755</v>
      </c>
      <c r="F1510" s="99" t="n">
        <v>42.01</v>
      </c>
      <c r="G1510" s="98" t="s">
        <v>374</v>
      </c>
      <c r="H1510" s="112" t="n">
        <f aca="false">IF(AND(AE1510="yes",ISNUMBER(AD1510)),AD1510,"")</f>
        <v>42.01</v>
      </c>
      <c r="I1510" s="95" t="n">
        <f aca="false">IF(AND(AE1510="yes",ISNUMBER(AD1510),ISNUMBER(INDEX(Sources!$G$7:$G$10,MATCH(AB1510,Sources!$B$7:$B$10,0)))),ROUND(AD1510/INDEX(Sources!$G$7:$G$10,MATCH(AB1510,Sources!$B$7:$B$10,0)),6),"")</f>
        <v>7.959995</v>
      </c>
      <c r="J1510" s="98" t="s">
        <v>530</v>
      </c>
      <c r="K1510" s="98" t="s">
        <v>2059</v>
      </c>
      <c r="L1510" s="96"/>
      <c r="M1510" s="110" t="s">
        <v>4756</v>
      </c>
      <c r="N1510" s="117" t="s">
        <v>4757</v>
      </c>
      <c r="O1510" s="110" t="s">
        <v>662</v>
      </c>
      <c r="P1510" s="110" t="s">
        <v>590</v>
      </c>
      <c r="Q1510" s="118" t="n">
        <v>0.21</v>
      </c>
      <c r="R1510" s="110" t="n">
        <v>1</v>
      </c>
      <c r="S1510" s="110" t="s">
        <v>632</v>
      </c>
      <c r="T1510" s="110" t="s">
        <v>530</v>
      </c>
      <c r="U1510" s="110" t="s">
        <v>2913</v>
      </c>
      <c r="V1510" s="119" t="n">
        <v>42.01</v>
      </c>
      <c r="W1510" s="119"/>
      <c r="X1510" s="110" t="s">
        <v>2063</v>
      </c>
      <c r="Y1510" s="110" t="s">
        <v>2064</v>
      </c>
      <c r="Z1510" s="110"/>
      <c r="AA1510" s="110" t="s">
        <v>537</v>
      </c>
      <c r="AB1510" s="110" t="s">
        <v>374</v>
      </c>
      <c r="AC1510" s="110" t="s">
        <v>538</v>
      </c>
      <c r="AD1510" s="110" t="n">
        <f aca="false">IF(OR(F1510="",Q1510="",R1510=""),"",ROUND(IF(P1510="incl.",F1510/(1+Q1510),F1510)/IF(S1510="per pack",R1510,1),2))</f>
        <v>42.01</v>
      </c>
      <c r="AE1510" s="110" t="str">
        <f aca="false">IF(AND(AC1510="yes",ISNUMBER(F1510),IF(Compare!$H$5="All mapped",TRUE(),IF(Compare!$H$5="EXACT only",J1510="EXACT",OR(J1510="EXACT",J1510="CLOSE")))),"yes","no")</f>
        <v>yes</v>
      </c>
      <c r="AF1510" s="110" t="n">
        <f aca="false">IF(ISNUMBER(H1510),COUNTIFS($B$7:$B$3000,B1510,$C$7:$C$3000,C1510,$H$7:$H$3000,"&lt;"&amp;H1510,$AH$7:$AH$3000,"yes")+COUNTIFS($B$7:B1510,B1510,$C$7:C1510,C1510,$H$7:H1510,H1510,$AH$7:AH1510,"yes"),"")</f>
        <v>3</v>
      </c>
      <c r="AG1510" s="110" t="n">
        <f aca="false">IF(ISNUMBER(I1510),COUNTIFS($B$7:$B$3000,B1510,$C$7:$C$3000,C1510,$I$7:$I$3000,"&lt;"&amp;I1510,$AI$7:$AI$3000,"yes")+COUNTIFS($B$7:B1510,B1510,$C$7:C1510,C1510,$I$7:I1510,I1510,$AI$7:AI1510,"yes"),"")</f>
        <v>3</v>
      </c>
      <c r="AH1510" s="110" t="str">
        <f aca="false">IF(ISNUMBER(H1510),"yes","no")</f>
        <v>yes</v>
      </c>
      <c r="AI1510" s="110" t="str">
        <f aca="false">IF(ISNUMBER(I1510),"yes","no")</f>
        <v>yes</v>
      </c>
      <c r="AJ1510" s="120" t="n">
        <v>46297</v>
      </c>
      <c r="AK1510" s="110"/>
    </row>
    <row r="1511" customFormat="false" ht="35.05" hidden="false" customHeight="false" outlineLevel="0" collapsed="false">
      <c r="B1511" s="36" t="s">
        <v>89</v>
      </c>
      <c r="C1511" s="98" t="s">
        <v>15</v>
      </c>
      <c r="D1511" s="98" t="s">
        <v>243</v>
      </c>
      <c r="E1511" s="110" t="s">
        <v>4758</v>
      </c>
      <c r="F1511" s="99" t="n">
        <v>12.76</v>
      </c>
      <c r="G1511" s="98" t="s">
        <v>244</v>
      </c>
      <c r="H1511" s="112" t="n">
        <f aca="false">IF(AND(AE1511="yes",ISNUMBER(AD1511)),AD1511,"")</f>
        <v>12.76</v>
      </c>
      <c r="I1511" s="95" t="n">
        <f aca="false">IF(AND(AE1511="yes",ISNUMBER(AD1511),ISNUMBER(INDEX(Sources!$G$7:$G$10,MATCH(AB1511,Sources!$B$7:$B$10,0)))),ROUND(AD1511/INDEX(Sources!$G$7:$G$10,MATCH(AB1511,Sources!$B$7:$B$10,0)),6),"")</f>
        <v>12.76</v>
      </c>
      <c r="J1511" s="98" t="s">
        <v>530</v>
      </c>
      <c r="K1511" s="98" t="s">
        <v>2059</v>
      </c>
      <c r="L1511" s="96"/>
      <c r="M1511" s="110" t="s">
        <v>4759</v>
      </c>
      <c r="N1511" s="117" t="s">
        <v>4760</v>
      </c>
      <c r="O1511" s="110" t="s">
        <v>388</v>
      </c>
      <c r="P1511" s="110" t="s">
        <v>590</v>
      </c>
      <c r="Q1511" s="118" t="n">
        <v>0.2</v>
      </c>
      <c r="R1511" s="110" t="n">
        <v>1</v>
      </c>
      <c r="S1511" s="110" t="s">
        <v>632</v>
      </c>
      <c r="T1511" s="110" t="s">
        <v>530</v>
      </c>
      <c r="U1511" s="110" t="s">
        <v>2913</v>
      </c>
      <c r="V1511" s="119" t="n">
        <v>12.76</v>
      </c>
      <c r="W1511" s="119"/>
      <c r="X1511" s="110" t="s">
        <v>2063</v>
      </c>
      <c r="Y1511" s="110" t="s">
        <v>2064</v>
      </c>
      <c r="Z1511" s="110" t="s">
        <v>4337</v>
      </c>
      <c r="AA1511" s="110" t="s">
        <v>537</v>
      </c>
      <c r="AB1511" s="110" t="s">
        <v>244</v>
      </c>
      <c r="AC1511" s="110" t="s">
        <v>538</v>
      </c>
      <c r="AD1511" s="110" t="n">
        <f aca="false">IF(OR(F1511="",Q1511="",R1511=""),"",ROUND(IF(P1511="incl.",F1511/(1+Q1511),F1511)/IF(S1511="per pack",R1511,1),2))</f>
        <v>12.76</v>
      </c>
      <c r="AE1511" s="110" t="str">
        <f aca="false">IF(AND(AC1511="yes",ISNUMBER(F1511),IF(Compare!$H$5="All mapped",TRUE(),IF(Compare!$H$5="EXACT only",J1511="EXACT",OR(J1511="EXACT",J1511="CLOSE")))),"yes","no")</f>
        <v>yes</v>
      </c>
      <c r="AF1511" s="110" t="n">
        <f aca="false">IF(ISNUMBER(H1511),COUNTIFS($B$7:$B$3000,B1511,$C$7:$C$3000,C1511,$H$7:$H$3000,"&lt;"&amp;H1511,$AH$7:$AH$3000,"yes")+COUNTIFS($B$7:B1511,B1511,$C$7:C1511,C1511,$H$7:H1511,H1511,$AH$7:AH1511,"yes"),"")</f>
        <v>5</v>
      </c>
      <c r="AG1511" s="110" t="n">
        <f aca="false">IF(ISNUMBER(I1511),COUNTIFS($B$7:$B$3000,B1511,$C$7:$C$3000,C1511,$I$7:$I$3000,"&lt;"&amp;I1511,$AI$7:$AI$3000,"yes")+COUNTIFS($B$7:B1511,B1511,$C$7:C1511,C1511,$I$7:I1511,I1511,$AI$7:AI1511,"yes"),"")</f>
        <v>5</v>
      </c>
      <c r="AH1511" s="110" t="str">
        <f aca="false">IF(ISNUMBER(H1511),"yes","no")</f>
        <v>yes</v>
      </c>
      <c r="AI1511" s="110" t="str">
        <f aca="false">IF(ISNUMBER(I1511),"yes","no")</f>
        <v>yes</v>
      </c>
      <c r="AJ1511" s="120" t="n">
        <v>46297</v>
      </c>
      <c r="AK1511" s="110"/>
    </row>
    <row r="1512" customFormat="false" ht="23.85" hidden="false" customHeight="false" outlineLevel="0" collapsed="false">
      <c r="B1512" s="36" t="s">
        <v>89</v>
      </c>
      <c r="C1512" s="98" t="s">
        <v>15</v>
      </c>
      <c r="D1512" s="98" t="s">
        <v>257</v>
      </c>
      <c r="E1512" s="110" t="s">
        <v>4761</v>
      </c>
      <c r="F1512" s="99" t="n">
        <v>8.95</v>
      </c>
      <c r="G1512" s="98" t="s">
        <v>244</v>
      </c>
      <c r="H1512" s="112" t="n">
        <f aca="false">IF(AND(AE1512="yes",ISNUMBER(AD1512)),AD1512,"")</f>
        <v>8.95</v>
      </c>
      <c r="I1512" s="95" t="n">
        <f aca="false">IF(AND(AE1512="yes",ISNUMBER(AD1512),ISNUMBER(INDEX(Sources!$G$7:$G$10,MATCH(AB1512,Sources!$B$7:$B$10,0)))),ROUND(AD1512/INDEX(Sources!$G$7:$G$10,MATCH(AB1512,Sources!$B$7:$B$10,0)),6),"")</f>
        <v>8.95</v>
      </c>
      <c r="J1512" s="98" t="s">
        <v>530</v>
      </c>
      <c r="K1512" s="98" t="s">
        <v>2059</v>
      </c>
      <c r="L1512" s="96"/>
      <c r="M1512" s="110" t="s">
        <v>4762</v>
      </c>
      <c r="N1512" s="117" t="s">
        <v>4763</v>
      </c>
      <c r="O1512" s="110" t="s">
        <v>2396</v>
      </c>
      <c r="P1512" s="110" t="s">
        <v>590</v>
      </c>
      <c r="Q1512" s="118" t="n">
        <v>0.2</v>
      </c>
      <c r="R1512" s="110" t="n">
        <v>1</v>
      </c>
      <c r="S1512" s="110" t="s">
        <v>632</v>
      </c>
      <c r="T1512" s="110" t="s">
        <v>530</v>
      </c>
      <c r="U1512" s="110" t="s">
        <v>2913</v>
      </c>
      <c r="V1512" s="119" t="n">
        <v>8.95</v>
      </c>
      <c r="W1512" s="119"/>
      <c r="X1512" s="110" t="s">
        <v>2063</v>
      </c>
      <c r="Y1512" s="110" t="s">
        <v>2064</v>
      </c>
      <c r="Z1512" s="110" t="s">
        <v>4341</v>
      </c>
      <c r="AA1512" s="110" t="s">
        <v>537</v>
      </c>
      <c r="AB1512" s="110" t="s">
        <v>244</v>
      </c>
      <c r="AC1512" s="110" t="s">
        <v>538</v>
      </c>
      <c r="AD1512" s="110" t="n">
        <f aca="false">IF(OR(F1512="",Q1512="",R1512=""),"",ROUND(IF(P1512="incl.",F1512/(1+Q1512),F1512)/IF(S1512="per pack",R1512,1),2))</f>
        <v>8.95</v>
      </c>
      <c r="AE1512" s="110" t="str">
        <f aca="false">IF(AND(AC1512="yes",ISNUMBER(F1512),IF(Compare!$H$5="All mapped",TRUE(),IF(Compare!$H$5="EXACT only",J1512="EXACT",OR(J1512="EXACT",J1512="CLOSE")))),"yes","no")</f>
        <v>yes</v>
      </c>
      <c r="AF1512" s="110" t="n">
        <f aca="false">IF(ISNUMBER(H1512),COUNTIFS($B$7:$B$3000,B1512,$C$7:$C$3000,C1512,$H$7:$H$3000,"&lt;"&amp;H1512,$AH$7:$AH$3000,"yes")+COUNTIFS($B$7:B1512,B1512,$C$7:C1512,C1512,$H$7:H1512,H1512,$AH$7:AH1512,"yes"),"")</f>
        <v>4</v>
      </c>
      <c r="AG1512" s="110" t="n">
        <f aca="false">IF(ISNUMBER(I1512),COUNTIFS($B$7:$B$3000,B1512,$C$7:$C$3000,C1512,$I$7:$I$3000,"&lt;"&amp;I1512,$AI$7:$AI$3000,"yes")+COUNTIFS($B$7:B1512,B1512,$C$7:C1512,C1512,$I$7:I1512,I1512,$AI$7:AI1512,"yes"),"")</f>
        <v>4</v>
      </c>
      <c r="AH1512" s="110" t="str">
        <f aca="false">IF(ISNUMBER(H1512),"yes","no")</f>
        <v>yes</v>
      </c>
      <c r="AI1512" s="110" t="str">
        <f aca="false">IF(ISNUMBER(I1512),"yes","no")</f>
        <v>yes</v>
      </c>
      <c r="AJ1512" s="120" t="n">
        <v>46297</v>
      </c>
      <c r="AK1512" s="110"/>
    </row>
    <row r="1513" customFormat="false" ht="35.05" hidden="false" customHeight="false" outlineLevel="0" collapsed="false">
      <c r="B1513" s="36" t="s">
        <v>89</v>
      </c>
      <c r="C1513" s="98" t="s">
        <v>15</v>
      </c>
      <c r="D1513" s="98" t="s">
        <v>261</v>
      </c>
      <c r="E1513" s="110" t="s">
        <v>4764</v>
      </c>
      <c r="F1513" s="99" t="n">
        <v>7.35</v>
      </c>
      <c r="G1513" s="98" t="s">
        <v>244</v>
      </c>
      <c r="H1513" s="112" t="n">
        <f aca="false">IF(AND(AE1513="yes",ISNUMBER(AD1513)),AD1513,"")</f>
        <v>7.35</v>
      </c>
      <c r="I1513" s="95" t="n">
        <f aca="false">IF(AND(AE1513="yes",ISNUMBER(AD1513),ISNUMBER(INDEX(Sources!$G$7:$G$10,MATCH(AB1513,Sources!$B$7:$B$10,0)))),ROUND(AD1513/INDEX(Sources!$G$7:$G$10,MATCH(AB1513,Sources!$B$7:$B$10,0)),6),"")</f>
        <v>7.35</v>
      </c>
      <c r="J1513" s="98" t="s">
        <v>530</v>
      </c>
      <c r="K1513" s="98" t="s">
        <v>2059</v>
      </c>
      <c r="L1513" s="96"/>
      <c r="M1513" s="110" t="s">
        <v>4765</v>
      </c>
      <c r="N1513" s="117" t="s">
        <v>4766</v>
      </c>
      <c r="O1513" s="110"/>
      <c r="P1513" s="110" t="s">
        <v>590</v>
      </c>
      <c r="Q1513" s="118" t="n">
        <v>0.2</v>
      </c>
      <c r="R1513" s="110" t="n">
        <v>1</v>
      </c>
      <c r="S1513" s="110" t="s">
        <v>632</v>
      </c>
      <c r="T1513" s="110" t="s">
        <v>530</v>
      </c>
      <c r="U1513" s="110" t="s">
        <v>2913</v>
      </c>
      <c r="V1513" s="119" t="n">
        <v>7.35</v>
      </c>
      <c r="W1513" s="119"/>
      <c r="X1513" s="110" t="s">
        <v>2063</v>
      </c>
      <c r="Y1513" s="110" t="s">
        <v>2064</v>
      </c>
      <c r="Z1513" s="110" t="s">
        <v>4767</v>
      </c>
      <c r="AA1513" s="110" t="s">
        <v>537</v>
      </c>
      <c r="AB1513" s="110" t="s">
        <v>244</v>
      </c>
      <c r="AC1513" s="110" t="s">
        <v>538</v>
      </c>
      <c r="AD1513" s="110" t="n">
        <f aca="false">IF(OR(F1513="",Q1513="",R1513=""),"",ROUND(IF(P1513="incl.",F1513/(1+Q1513),F1513)/IF(S1513="per pack",R1513,1),2))</f>
        <v>7.35</v>
      </c>
      <c r="AE1513" s="110" t="str">
        <f aca="false">IF(AND(AC1513="yes",ISNUMBER(F1513),IF(Compare!$H$5="All mapped",TRUE(),IF(Compare!$H$5="EXACT only",J1513="EXACT",OR(J1513="EXACT",J1513="CLOSE")))),"yes","no")</f>
        <v>yes</v>
      </c>
      <c r="AF1513" s="110" t="n">
        <f aca="false">IF(ISNUMBER(H1513),COUNTIFS($B$7:$B$3000,B1513,$C$7:$C$3000,C1513,$H$7:$H$3000,"&lt;"&amp;H1513,$AH$7:$AH$3000,"yes")+COUNTIFS($B$7:B1513,B1513,$C$7:C1513,C1513,$H$7:H1513,H1513,$AH$7:AH1513,"yes"),"")</f>
        <v>3</v>
      </c>
      <c r="AG1513" s="110" t="n">
        <f aca="false">IF(ISNUMBER(I1513),COUNTIFS($B$7:$B$3000,B1513,$C$7:$C$3000,C1513,$I$7:$I$3000,"&lt;"&amp;I1513,$AI$7:$AI$3000,"yes")+COUNTIFS($B$7:B1513,B1513,$C$7:C1513,C1513,$I$7:I1513,I1513,$AI$7:AI1513,"yes"),"")</f>
        <v>3</v>
      </c>
      <c r="AH1513" s="110" t="str">
        <f aca="false">IF(ISNUMBER(H1513),"yes","no")</f>
        <v>yes</v>
      </c>
      <c r="AI1513" s="110" t="str">
        <f aca="false">IF(ISNUMBER(I1513),"yes","no")</f>
        <v>yes</v>
      </c>
      <c r="AJ1513" s="120" t="n">
        <v>46297</v>
      </c>
      <c r="AK1513" s="110"/>
    </row>
    <row r="1514" customFormat="false" ht="35.05" hidden="false" customHeight="false" outlineLevel="0" collapsed="false">
      <c r="B1514" s="36" t="s">
        <v>89</v>
      </c>
      <c r="C1514" s="98" t="s">
        <v>15</v>
      </c>
      <c r="D1514" s="98" t="s">
        <v>269</v>
      </c>
      <c r="E1514" s="110" t="s">
        <v>4768</v>
      </c>
      <c r="F1514" s="99" t="n">
        <v>14.49</v>
      </c>
      <c r="G1514" s="98" t="s">
        <v>244</v>
      </c>
      <c r="H1514" s="112" t="n">
        <f aca="false">IF(AND(AE1514="yes",ISNUMBER(AD1514)),AD1514,"")</f>
        <v>14.49</v>
      </c>
      <c r="I1514" s="95" t="n">
        <f aca="false">IF(AND(AE1514="yes",ISNUMBER(AD1514),ISNUMBER(INDEX(Sources!$G$7:$G$10,MATCH(AB1514,Sources!$B$7:$B$10,0)))),ROUND(AD1514/INDEX(Sources!$G$7:$G$10,MATCH(AB1514,Sources!$B$7:$B$10,0)),6),"")</f>
        <v>14.49</v>
      </c>
      <c r="J1514" s="98" t="s">
        <v>530</v>
      </c>
      <c r="K1514" s="98" t="s">
        <v>2059</v>
      </c>
      <c r="L1514" s="96"/>
      <c r="M1514" s="110" t="s">
        <v>4769</v>
      </c>
      <c r="N1514" s="117" t="s">
        <v>4770</v>
      </c>
      <c r="O1514" s="110" t="s">
        <v>589</v>
      </c>
      <c r="P1514" s="110" t="s">
        <v>590</v>
      </c>
      <c r="Q1514" s="118" t="n">
        <v>0.19</v>
      </c>
      <c r="R1514" s="110" t="n">
        <v>1</v>
      </c>
      <c r="S1514" s="110" t="s">
        <v>632</v>
      </c>
      <c r="T1514" s="110" t="s">
        <v>530</v>
      </c>
      <c r="U1514" s="110" t="s">
        <v>2913</v>
      </c>
      <c r="V1514" s="119" t="n">
        <v>14.49</v>
      </c>
      <c r="W1514" s="119"/>
      <c r="X1514" s="110" t="s">
        <v>2063</v>
      </c>
      <c r="Y1514" s="110" t="s">
        <v>2064</v>
      </c>
      <c r="Z1514" s="110"/>
      <c r="AA1514" s="110" t="s">
        <v>537</v>
      </c>
      <c r="AB1514" s="110" t="s">
        <v>244</v>
      </c>
      <c r="AC1514" s="110" t="s">
        <v>538</v>
      </c>
      <c r="AD1514" s="110" t="n">
        <f aca="false">IF(OR(F1514="",Q1514="",R1514=""),"",ROUND(IF(P1514="incl.",F1514/(1+Q1514),F1514)/IF(S1514="per pack",R1514,1),2))</f>
        <v>14.49</v>
      </c>
      <c r="AE1514" s="110" t="str">
        <f aca="false">IF(AND(AC1514="yes",ISNUMBER(F1514),IF(Compare!$H$5="All mapped",TRUE(),IF(Compare!$H$5="EXACT only",J1514="EXACT",OR(J1514="EXACT",J1514="CLOSE")))),"yes","no")</f>
        <v>yes</v>
      </c>
      <c r="AF1514" s="110" t="n">
        <f aca="false">IF(ISNUMBER(H1514),COUNTIFS($B$7:$B$3000,B1514,$C$7:$C$3000,C1514,$H$7:$H$3000,"&lt;"&amp;H1514,$AH$7:$AH$3000,"yes")+COUNTIFS($B$7:B1514,B1514,$C$7:C1514,C1514,$H$7:H1514,H1514,$AH$7:AH1514,"yes"),"")</f>
        <v>6</v>
      </c>
      <c r="AG1514" s="110" t="n">
        <f aca="false">IF(ISNUMBER(I1514),COUNTIFS($B$7:$B$3000,B1514,$C$7:$C$3000,C1514,$I$7:$I$3000,"&lt;"&amp;I1514,$AI$7:$AI$3000,"yes")+COUNTIFS($B$7:B1514,B1514,$C$7:C1514,C1514,$I$7:I1514,I1514,$AI$7:AI1514,"yes"),"")</f>
        <v>6</v>
      </c>
      <c r="AH1514" s="110" t="str">
        <f aca="false">IF(ISNUMBER(H1514),"yes","no")</f>
        <v>yes</v>
      </c>
      <c r="AI1514" s="110" t="str">
        <f aca="false">IF(ISNUMBER(I1514),"yes","no")</f>
        <v>yes</v>
      </c>
      <c r="AJ1514" s="120" t="n">
        <v>46297</v>
      </c>
      <c r="AK1514" s="110"/>
    </row>
    <row r="1515" customFormat="false" ht="23.85" hidden="false" customHeight="false" outlineLevel="0" collapsed="false">
      <c r="B1515" s="36" t="s">
        <v>89</v>
      </c>
      <c r="C1515" s="98" t="s">
        <v>15</v>
      </c>
      <c r="D1515" s="98" t="s">
        <v>264</v>
      </c>
      <c r="E1515" s="110" t="s">
        <v>4771</v>
      </c>
      <c r="F1515" s="99" t="n">
        <v>15.38</v>
      </c>
      <c r="G1515" s="98" t="s">
        <v>244</v>
      </c>
      <c r="H1515" s="112" t="n">
        <f aca="false">IF(AND(AE1515="yes",ISNUMBER(AD1515)),AD1515,"")</f>
        <v>15.38</v>
      </c>
      <c r="I1515" s="95" t="n">
        <f aca="false">IF(AND(AE1515="yes",ISNUMBER(AD1515),ISNUMBER(INDEX(Sources!$G$7:$G$10,MATCH(AB1515,Sources!$B$7:$B$10,0)))),ROUND(AD1515/INDEX(Sources!$G$7:$G$10,MATCH(AB1515,Sources!$B$7:$B$10,0)),6),"")</f>
        <v>15.38</v>
      </c>
      <c r="J1515" s="98" t="s">
        <v>530</v>
      </c>
      <c r="K1515" s="98" t="s">
        <v>2059</v>
      </c>
      <c r="L1515" s="96"/>
      <c r="M1515" s="110" t="s">
        <v>4772</v>
      </c>
      <c r="N1515" s="117" t="s">
        <v>4773</v>
      </c>
      <c r="O1515" s="110" t="s">
        <v>388</v>
      </c>
      <c r="P1515" s="110" t="s">
        <v>590</v>
      </c>
      <c r="Q1515" s="118" t="n">
        <v>0.19</v>
      </c>
      <c r="R1515" s="110" t="n">
        <v>1</v>
      </c>
      <c r="S1515" s="110" t="s">
        <v>632</v>
      </c>
      <c r="T1515" s="110" t="s">
        <v>530</v>
      </c>
      <c r="U1515" s="110" t="s">
        <v>2913</v>
      </c>
      <c r="V1515" s="119" t="n">
        <v>15.38</v>
      </c>
      <c r="W1515" s="119"/>
      <c r="X1515" s="110" t="s">
        <v>2063</v>
      </c>
      <c r="Y1515" s="110" t="s">
        <v>2064</v>
      </c>
      <c r="Z1515" s="110"/>
      <c r="AA1515" s="110" t="s">
        <v>537</v>
      </c>
      <c r="AB1515" s="110" t="s">
        <v>244</v>
      </c>
      <c r="AC1515" s="110" t="s">
        <v>538</v>
      </c>
      <c r="AD1515" s="110" t="n">
        <f aca="false">IF(OR(F1515="",Q1515="",R1515=""),"",ROUND(IF(P1515="incl.",F1515/(1+Q1515),F1515)/IF(S1515="per pack",R1515,1),2))</f>
        <v>15.38</v>
      </c>
      <c r="AE1515" s="110" t="str">
        <f aca="false">IF(AND(AC1515="yes",ISNUMBER(F1515),IF(Compare!$H$5="All mapped",TRUE(),IF(Compare!$H$5="EXACT only",J1515="EXACT",OR(J1515="EXACT",J1515="CLOSE")))),"yes","no")</f>
        <v>yes</v>
      </c>
      <c r="AF1515" s="110" t="n">
        <f aca="false">IF(ISNUMBER(H1515),COUNTIFS($B$7:$B$3000,B1515,$C$7:$C$3000,C1515,$H$7:$H$3000,"&lt;"&amp;H1515,$AH$7:$AH$3000,"yes")+COUNTIFS($B$7:B1515,B1515,$C$7:C1515,C1515,$H$7:H1515,H1515,$AH$7:AH1515,"yes"),"")</f>
        <v>7</v>
      </c>
      <c r="AG1515" s="110" t="n">
        <f aca="false">IF(ISNUMBER(I1515),COUNTIFS($B$7:$B$3000,B1515,$C$7:$C$3000,C1515,$I$7:$I$3000,"&lt;"&amp;I1515,$AI$7:$AI$3000,"yes")+COUNTIFS($B$7:B1515,B1515,$C$7:C1515,C1515,$I$7:I1515,I1515,$AI$7:AI1515,"yes"),"")</f>
        <v>7</v>
      </c>
      <c r="AH1515" s="110" t="str">
        <f aca="false">IF(ISNUMBER(H1515),"yes","no")</f>
        <v>yes</v>
      </c>
      <c r="AI1515" s="110" t="str">
        <f aca="false">IF(ISNUMBER(I1515),"yes","no")</f>
        <v>yes</v>
      </c>
      <c r="AJ1515" s="120" t="n">
        <v>46297</v>
      </c>
      <c r="AK1515" s="110"/>
    </row>
    <row r="1516" customFormat="false" ht="46.25" hidden="false" customHeight="false" outlineLevel="0" collapsed="false">
      <c r="B1516" s="36" t="s">
        <v>89</v>
      </c>
      <c r="C1516" s="98" t="s">
        <v>15</v>
      </c>
      <c r="D1516" s="98" t="s">
        <v>281</v>
      </c>
      <c r="E1516" s="110" t="s">
        <v>4774</v>
      </c>
      <c r="F1516" s="99" t="n">
        <v>7.08</v>
      </c>
      <c r="G1516" s="98" t="s">
        <v>244</v>
      </c>
      <c r="H1516" s="112" t="n">
        <f aca="false">IF(AND(AE1516="yes",ISNUMBER(AD1516)),AD1516,"")</f>
        <v>7.08</v>
      </c>
      <c r="I1516" s="95" t="n">
        <f aca="false">IF(AND(AE1516="yes",ISNUMBER(AD1516),ISNUMBER(INDEX(Sources!$G$7:$G$10,MATCH(AB1516,Sources!$B$7:$B$10,0)))),ROUND(AD1516/INDEX(Sources!$G$7:$G$10,MATCH(AB1516,Sources!$B$7:$B$10,0)),6),"")</f>
        <v>7.08</v>
      </c>
      <c r="J1516" s="98" t="s">
        <v>530</v>
      </c>
      <c r="K1516" s="98" t="s">
        <v>2059</v>
      </c>
      <c r="L1516" s="96"/>
      <c r="M1516" s="110" t="s">
        <v>4775</v>
      </c>
      <c r="N1516" s="117" t="s">
        <v>4776</v>
      </c>
      <c r="O1516" s="110" t="s">
        <v>603</v>
      </c>
      <c r="P1516" s="110" t="s">
        <v>590</v>
      </c>
      <c r="Q1516" s="118" t="n">
        <v>0.2</v>
      </c>
      <c r="R1516" s="110" t="n">
        <v>1</v>
      </c>
      <c r="S1516" s="110" t="s">
        <v>632</v>
      </c>
      <c r="T1516" s="110" t="s">
        <v>530</v>
      </c>
      <c r="U1516" s="110" t="s">
        <v>2913</v>
      </c>
      <c r="V1516" s="119" t="n">
        <v>7.08</v>
      </c>
      <c r="W1516" s="119"/>
      <c r="X1516" s="110" t="s">
        <v>2063</v>
      </c>
      <c r="Y1516" s="110" t="s">
        <v>2064</v>
      </c>
      <c r="Z1516" s="110" t="s">
        <v>2125</v>
      </c>
      <c r="AA1516" s="110" t="s">
        <v>537</v>
      </c>
      <c r="AB1516" s="110" t="s">
        <v>244</v>
      </c>
      <c r="AC1516" s="110" t="s">
        <v>538</v>
      </c>
      <c r="AD1516" s="110" t="n">
        <f aca="false">IF(OR(F1516="",Q1516="",R1516=""),"",ROUND(IF(P1516="incl.",F1516/(1+Q1516),F1516)/IF(S1516="per pack",R1516,1),2))</f>
        <v>7.08</v>
      </c>
      <c r="AE1516" s="110" t="str">
        <f aca="false">IF(AND(AC1516="yes",ISNUMBER(F1516),IF(Compare!$H$5="All mapped",TRUE(),IF(Compare!$H$5="EXACT only",J1516="EXACT",OR(J1516="EXACT",J1516="CLOSE")))),"yes","no")</f>
        <v>yes</v>
      </c>
      <c r="AF1516" s="110" t="n">
        <f aca="false">IF(ISNUMBER(H1516),COUNTIFS($B$7:$B$3000,B1516,$C$7:$C$3000,C1516,$H$7:$H$3000,"&lt;"&amp;H1516,$AH$7:$AH$3000,"yes")+COUNTIFS($B$7:B1516,B1516,$C$7:C1516,C1516,$H$7:H1516,H1516,$AH$7:AH1516,"yes"),"")</f>
        <v>2</v>
      </c>
      <c r="AG1516" s="110" t="n">
        <f aca="false">IF(ISNUMBER(I1516),COUNTIFS($B$7:$B$3000,B1516,$C$7:$C$3000,C1516,$I$7:$I$3000,"&lt;"&amp;I1516,$AI$7:$AI$3000,"yes")+COUNTIFS($B$7:B1516,B1516,$C$7:C1516,C1516,$I$7:I1516,I1516,$AI$7:AI1516,"yes"),"")</f>
        <v>2</v>
      </c>
      <c r="AH1516" s="110" t="str">
        <f aca="false">IF(ISNUMBER(H1516),"yes","no")</f>
        <v>yes</v>
      </c>
      <c r="AI1516" s="110" t="str">
        <f aca="false">IF(ISNUMBER(I1516),"yes","no")</f>
        <v>yes</v>
      </c>
      <c r="AJ1516" s="120" t="n">
        <v>46297</v>
      </c>
      <c r="AK1516" s="110"/>
    </row>
    <row r="1517" customFormat="false" ht="35.05" hidden="false" customHeight="false" outlineLevel="0" collapsed="false">
      <c r="B1517" s="36" t="s">
        <v>89</v>
      </c>
      <c r="C1517" s="98" t="s">
        <v>15</v>
      </c>
      <c r="D1517" s="98" t="s">
        <v>293</v>
      </c>
      <c r="E1517" s="110" t="s">
        <v>4777</v>
      </c>
      <c r="F1517" s="99" t="n">
        <v>6</v>
      </c>
      <c r="G1517" s="98" t="s">
        <v>244</v>
      </c>
      <c r="H1517" s="112" t="n">
        <f aca="false">IF(AND(AE1517="yes",ISNUMBER(AD1517)),AD1517,"")</f>
        <v>6</v>
      </c>
      <c r="I1517" s="95" t="n">
        <f aca="false">IF(AND(AE1517="yes",ISNUMBER(AD1517),ISNUMBER(INDEX(Sources!$G$7:$G$10,MATCH(AB1517,Sources!$B$7:$B$10,0)))),ROUND(AD1517/INDEX(Sources!$G$7:$G$10,MATCH(AB1517,Sources!$B$7:$B$10,0)),6),"")</f>
        <v>6</v>
      </c>
      <c r="J1517" s="98" t="s">
        <v>530</v>
      </c>
      <c r="K1517" s="98" t="s">
        <v>2059</v>
      </c>
      <c r="L1517" s="96"/>
      <c r="M1517" s="110" t="s">
        <v>4778</v>
      </c>
      <c r="N1517" s="117" t="s">
        <v>4779</v>
      </c>
      <c r="O1517" s="110" t="s">
        <v>4358</v>
      </c>
      <c r="P1517" s="110" t="s">
        <v>590</v>
      </c>
      <c r="Q1517" s="118" t="n">
        <v>0.2</v>
      </c>
      <c r="R1517" s="110" t="n">
        <v>1</v>
      </c>
      <c r="S1517" s="110" t="s">
        <v>632</v>
      </c>
      <c r="T1517" s="110" t="s">
        <v>530</v>
      </c>
      <c r="U1517" s="110" t="s">
        <v>2913</v>
      </c>
      <c r="V1517" s="119" t="n">
        <v>6</v>
      </c>
      <c r="W1517" s="119"/>
      <c r="X1517" s="110" t="s">
        <v>2063</v>
      </c>
      <c r="Y1517" s="110" t="s">
        <v>2064</v>
      </c>
      <c r="Z1517" s="110"/>
      <c r="AA1517" s="110" t="s">
        <v>537</v>
      </c>
      <c r="AB1517" s="110" t="s">
        <v>244</v>
      </c>
      <c r="AC1517" s="110" t="s">
        <v>538</v>
      </c>
      <c r="AD1517" s="110" t="n">
        <f aca="false">IF(OR(F1517="",Q1517="",R1517=""),"",ROUND(IF(P1517="incl.",F1517/(1+Q1517),F1517)/IF(S1517="per pack",R1517,1),2))</f>
        <v>6</v>
      </c>
      <c r="AE1517" s="110" t="str">
        <f aca="false">IF(AND(AC1517="yes",ISNUMBER(F1517),IF(Compare!$H$5="All mapped",TRUE(),IF(Compare!$H$5="EXACT only",J1517="EXACT",OR(J1517="EXACT",J1517="CLOSE")))),"yes","no")</f>
        <v>yes</v>
      </c>
      <c r="AF1517" s="110" t="n">
        <f aca="false">IF(ISNUMBER(H1517),COUNTIFS($B$7:$B$3000,B1517,$C$7:$C$3000,C1517,$H$7:$H$3000,"&lt;"&amp;H1517,$AH$7:$AH$3000,"yes")+COUNTIFS($B$7:B1517,B1517,$C$7:C1517,C1517,$H$7:H1517,H1517,$AH$7:AH1517,"yes"),"")</f>
        <v>1</v>
      </c>
      <c r="AG1517" s="110" t="n">
        <f aca="false">IF(ISNUMBER(I1517),COUNTIFS($B$7:$B$3000,B1517,$C$7:$C$3000,C1517,$I$7:$I$3000,"&lt;"&amp;I1517,$AI$7:$AI$3000,"yes")+COUNTIFS($B$7:B1517,B1517,$C$7:C1517,C1517,$I$7:I1517,I1517,$AI$7:AI1517,"yes"),"")</f>
        <v>1</v>
      </c>
      <c r="AH1517" s="110" t="str">
        <f aca="false">IF(ISNUMBER(H1517),"yes","no")</f>
        <v>yes</v>
      </c>
      <c r="AI1517" s="110" t="str">
        <f aca="false">IF(ISNUMBER(I1517),"yes","no")</f>
        <v>yes</v>
      </c>
      <c r="AJ1517" s="120" t="n">
        <v>46297</v>
      </c>
      <c r="AK1517" s="110"/>
    </row>
    <row r="1518" customFormat="false" ht="23.85" hidden="false" customHeight="false" outlineLevel="0" collapsed="false">
      <c r="B1518" s="36" t="s">
        <v>89</v>
      </c>
      <c r="C1518" s="98" t="s">
        <v>16</v>
      </c>
      <c r="D1518" s="98" t="s">
        <v>296</v>
      </c>
      <c r="E1518" s="110" t="s">
        <v>4758</v>
      </c>
      <c r="F1518" s="99" t="n">
        <v>12.76</v>
      </c>
      <c r="G1518" s="98" t="s">
        <v>244</v>
      </c>
      <c r="H1518" s="112" t="n">
        <f aca="false">IF(AND(AE1518="yes",ISNUMBER(AD1518)),AD1518,"")</f>
        <v>12.76</v>
      </c>
      <c r="I1518" s="95" t="n">
        <f aca="false">IF(AND(AE1518="yes",ISNUMBER(AD1518),ISNUMBER(INDEX(Sources!$G$7:$G$10,MATCH(AB1518,Sources!$B$7:$B$10,0)))),ROUND(AD1518/INDEX(Sources!$G$7:$G$10,MATCH(AB1518,Sources!$B$7:$B$10,0)),6),"")</f>
        <v>12.76</v>
      </c>
      <c r="J1518" s="98" t="s">
        <v>530</v>
      </c>
      <c r="K1518" s="98" t="s">
        <v>2059</v>
      </c>
      <c r="L1518" s="96"/>
      <c r="M1518" s="110" t="s">
        <v>4780</v>
      </c>
      <c r="N1518" s="117" t="s">
        <v>4781</v>
      </c>
      <c r="O1518" s="110" t="s">
        <v>388</v>
      </c>
      <c r="P1518" s="110" t="s">
        <v>590</v>
      </c>
      <c r="Q1518" s="118" t="n">
        <v>0.19</v>
      </c>
      <c r="R1518" s="110" t="n">
        <v>1</v>
      </c>
      <c r="S1518" s="110" t="s">
        <v>632</v>
      </c>
      <c r="T1518" s="110" t="s">
        <v>530</v>
      </c>
      <c r="U1518" s="110" t="s">
        <v>2913</v>
      </c>
      <c r="V1518" s="119" t="n">
        <v>12.76</v>
      </c>
      <c r="W1518" s="119"/>
      <c r="X1518" s="110" t="s">
        <v>2063</v>
      </c>
      <c r="Y1518" s="110" t="s">
        <v>2064</v>
      </c>
      <c r="Z1518" s="110" t="s">
        <v>2065</v>
      </c>
      <c r="AA1518" s="110" t="s">
        <v>537</v>
      </c>
      <c r="AB1518" s="110" t="s">
        <v>244</v>
      </c>
      <c r="AC1518" s="110" t="s">
        <v>538</v>
      </c>
      <c r="AD1518" s="110" t="n">
        <f aca="false">IF(OR(F1518="",Q1518="",R1518=""),"",ROUND(IF(P1518="incl.",F1518/(1+Q1518),F1518)/IF(S1518="per pack",R1518,1),2))</f>
        <v>12.76</v>
      </c>
      <c r="AE1518" s="110" t="str">
        <f aca="false">IF(AND(AC1518="yes",ISNUMBER(F1518),IF(Compare!$H$5="All mapped",TRUE(),IF(Compare!$H$5="EXACT only",J1518="EXACT",OR(J1518="EXACT",J1518="CLOSE")))),"yes","no")</f>
        <v>yes</v>
      </c>
      <c r="AF1518" s="110" t="n">
        <f aca="false">IF(ISNUMBER(H1518),COUNTIFS($B$7:$B$3000,B1518,$C$7:$C$3000,C1518,$H$7:$H$3000,"&lt;"&amp;H1518,$AH$7:$AH$3000,"yes")+COUNTIFS($B$7:B1518,B1518,$C$7:C1518,C1518,$H$7:H1518,H1518,$AH$7:AH1518,"yes"),"")</f>
        <v>6</v>
      </c>
      <c r="AG1518" s="110" t="n">
        <f aca="false">IF(ISNUMBER(I1518),COUNTIFS($B$7:$B$3000,B1518,$C$7:$C$3000,C1518,$I$7:$I$3000,"&lt;"&amp;I1518,$AI$7:$AI$3000,"yes")+COUNTIFS($B$7:B1518,B1518,$C$7:C1518,C1518,$I$7:I1518,I1518,$AI$7:AI1518,"yes"),"")</f>
        <v>6</v>
      </c>
      <c r="AH1518" s="110" t="str">
        <f aca="false">IF(ISNUMBER(H1518),"yes","no")</f>
        <v>yes</v>
      </c>
      <c r="AI1518" s="110" t="str">
        <f aca="false">IF(ISNUMBER(I1518),"yes","no")</f>
        <v>yes</v>
      </c>
      <c r="AJ1518" s="120" t="n">
        <v>46297</v>
      </c>
      <c r="AK1518" s="110"/>
    </row>
    <row r="1519" customFormat="false" ht="23.85" hidden="false" customHeight="false" outlineLevel="0" collapsed="false">
      <c r="B1519" s="36" t="s">
        <v>89</v>
      </c>
      <c r="C1519" s="98" t="s">
        <v>16</v>
      </c>
      <c r="D1519" s="98" t="s">
        <v>296</v>
      </c>
      <c r="E1519" s="110" t="s">
        <v>4782</v>
      </c>
      <c r="F1519" s="99" t="n">
        <v>5.9</v>
      </c>
      <c r="G1519" s="98" t="s">
        <v>244</v>
      </c>
      <c r="H1519" s="112" t="n">
        <f aca="false">IF(AND(AE1519="yes",ISNUMBER(AD1519)),AD1519,"")</f>
        <v>5.9</v>
      </c>
      <c r="I1519" s="95" t="n">
        <f aca="false">IF(AND(AE1519="yes",ISNUMBER(AD1519),ISNUMBER(INDEX(Sources!$G$7:$G$10,MATCH(AB1519,Sources!$B$7:$B$10,0)))),ROUND(AD1519/INDEX(Sources!$G$7:$G$10,MATCH(AB1519,Sources!$B$7:$B$10,0)),6),"")</f>
        <v>5.9</v>
      </c>
      <c r="J1519" s="98" t="s">
        <v>530</v>
      </c>
      <c r="K1519" s="98" t="s">
        <v>2059</v>
      </c>
      <c r="L1519" s="96"/>
      <c r="M1519" s="110" t="s">
        <v>4783</v>
      </c>
      <c r="N1519" s="117" t="s">
        <v>4784</v>
      </c>
      <c r="O1519" s="110" t="s">
        <v>4362</v>
      </c>
      <c r="P1519" s="110" t="s">
        <v>590</v>
      </c>
      <c r="Q1519" s="118" t="n">
        <v>0.19</v>
      </c>
      <c r="R1519" s="110" t="n">
        <v>1</v>
      </c>
      <c r="S1519" s="110" t="s">
        <v>632</v>
      </c>
      <c r="T1519" s="110" t="s">
        <v>530</v>
      </c>
      <c r="U1519" s="110" t="s">
        <v>2913</v>
      </c>
      <c r="V1519" s="119" t="n">
        <v>5.9</v>
      </c>
      <c r="W1519" s="119"/>
      <c r="X1519" s="110" t="s">
        <v>2063</v>
      </c>
      <c r="Y1519" s="110" t="s">
        <v>2064</v>
      </c>
      <c r="Z1519" s="110" t="s">
        <v>2164</v>
      </c>
      <c r="AA1519" s="110" t="s">
        <v>537</v>
      </c>
      <c r="AB1519" s="110" t="s">
        <v>244</v>
      </c>
      <c r="AC1519" s="110" t="s">
        <v>538</v>
      </c>
      <c r="AD1519" s="110" t="n">
        <f aca="false">IF(OR(F1519="",Q1519="",R1519=""),"",ROUND(IF(P1519="incl.",F1519/(1+Q1519),F1519)/IF(S1519="per pack",R1519,1),2))</f>
        <v>5.9</v>
      </c>
      <c r="AE1519" s="110" t="str">
        <f aca="false">IF(AND(AC1519="yes",ISNUMBER(F1519),IF(Compare!$H$5="All mapped",TRUE(),IF(Compare!$H$5="EXACT only",J1519="EXACT",OR(J1519="EXACT",J1519="CLOSE")))),"yes","no")</f>
        <v>yes</v>
      </c>
      <c r="AF1519" s="110" t="n">
        <f aca="false">IF(ISNUMBER(H1519),COUNTIFS($B$7:$B$3000,B1519,$C$7:$C$3000,C1519,$H$7:$H$3000,"&lt;"&amp;H1519,$AH$7:$AH$3000,"yes")+COUNTIFS($B$7:B1519,B1519,$C$7:C1519,C1519,$H$7:H1519,H1519,$AH$7:AH1519,"yes"),"")</f>
        <v>1</v>
      </c>
      <c r="AG1519" s="110" t="n">
        <f aca="false">IF(ISNUMBER(I1519),COUNTIFS($B$7:$B$3000,B1519,$C$7:$C$3000,C1519,$I$7:$I$3000,"&lt;"&amp;I1519,$AI$7:$AI$3000,"yes")+COUNTIFS($B$7:B1519,B1519,$C$7:C1519,C1519,$I$7:I1519,I1519,$AI$7:AI1519,"yes"),"")</f>
        <v>1</v>
      </c>
      <c r="AH1519" s="110" t="str">
        <f aca="false">IF(ISNUMBER(H1519),"yes","no")</f>
        <v>yes</v>
      </c>
      <c r="AI1519" s="110" t="str">
        <f aca="false">IF(ISNUMBER(I1519),"yes","no")</f>
        <v>yes</v>
      </c>
      <c r="AJ1519" s="120" t="n">
        <v>46297</v>
      </c>
      <c r="AK1519" s="110"/>
    </row>
    <row r="1520" customFormat="false" ht="23.85" hidden="false" customHeight="false" outlineLevel="0" collapsed="false">
      <c r="B1520" s="36" t="s">
        <v>89</v>
      </c>
      <c r="C1520" s="98" t="s">
        <v>16</v>
      </c>
      <c r="D1520" s="98" t="s">
        <v>305</v>
      </c>
      <c r="E1520" s="110" t="s">
        <v>4785</v>
      </c>
      <c r="F1520" s="99" t="n">
        <v>6.16</v>
      </c>
      <c r="G1520" s="98" t="s">
        <v>244</v>
      </c>
      <c r="H1520" s="112" t="n">
        <f aca="false">IF(AND(AE1520="yes",ISNUMBER(AD1520)),AD1520,"")</f>
        <v>6.16</v>
      </c>
      <c r="I1520" s="95" t="n">
        <f aca="false">IF(AND(AE1520="yes",ISNUMBER(AD1520),ISNUMBER(INDEX(Sources!$G$7:$G$10,MATCH(AB1520,Sources!$B$7:$B$10,0)))),ROUND(AD1520/INDEX(Sources!$G$7:$G$10,MATCH(AB1520,Sources!$B$7:$B$10,0)),6),"")</f>
        <v>6.16</v>
      </c>
      <c r="J1520" s="98" t="s">
        <v>530</v>
      </c>
      <c r="K1520" s="98" t="s">
        <v>2059</v>
      </c>
      <c r="L1520" s="96"/>
      <c r="M1520" s="110" t="s">
        <v>4786</v>
      </c>
      <c r="N1520" s="117" t="s">
        <v>4787</v>
      </c>
      <c r="O1520" s="110" t="s">
        <v>603</v>
      </c>
      <c r="P1520" s="110" t="s">
        <v>590</v>
      </c>
      <c r="Q1520" s="118" t="n">
        <v>0.19</v>
      </c>
      <c r="R1520" s="110" t="n">
        <v>1</v>
      </c>
      <c r="S1520" s="110" t="s">
        <v>632</v>
      </c>
      <c r="T1520" s="110" t="s">
        <v>530</v>
      </c>
      <c r="U1520" s="110" t="s">
        <v>2913</v>
      </c>
      <c r="V1520" s="119" t="n">
        <v>6.16</v>
      </c>
      <c r="W1520" s="119"/>
      <c r="X1520" s="110" t="s">
        <v>2063</v>
      </c>
      <c r="Y1520" s="110" t="s">
        <v>2064</v>
      </c>
      <c r="Z1520" s="110" t="s">
        <v>2142</v>
      </c>
      <c r="AA1520" s="110" t="s">
        <v>537</v>
      </c>
      <c r="AB1520" s="110" t="s">
        <v>244</v>
      </c>
      <c r="AC1520" s="110" t="s">
        <v>538</v>
      </c>
      <c r="AD1520" s="110" t="n">
        <f aca="false">IF(OR(F1520="",Q1520="",R1520=""),"",ROUND(IF(P1520="incl.",F1520/(1+Q1520),F1520)/IF(S1520="per pack",R1520,1),2))</f>
        <v>6.16</v>
      </c>
      <c r="AE1520" s="110" t="str">
        <f aca="false">IF(AND(AC1520="yes",ISNUMBER(F1520),IF(Compare!$H$5="All mapped",TRUE(),IF(Compare!$H$5="EXACT only",J1520="EXACT",OR(J1520="EXACT",J1520="CLOSE")))),"yes","no")</f>
        <v>yes</v>
      </c>
      <c r="AF1520" s="110" t="n">
        <f aca="false">IF(ISNUMBER(H1520),COUNTIFS($B$7:$B$3000,B1520,$C$7:$C$3000,C1520,$H$7:$H$3000,"&lt;"&amp;H1520,$AH$7:$AH$3000,"yes")+COUNTIFS($B$7:B1520,B1520,$C$7:C1520,C1520,$H$7:H1520,H1520,$AH$7:AH1520,"yes"),"")</f>
        <v>2</v>
      </c>
      <c r="AG1520" s="110" t="n">
        <f aca="false">IF(ISNUMBER(I1520),COUNTIFS($B$7:$B$3000,B1520,$C$7:$C$3000,C1520,$I$7:$I$3000,"&lt;"&amp;I1520,$AI$7:$AI$3000,"yes")+COUNTIFS($B$7:B1520,B1520,$C$7:C1520,C1520,$I$7:I1520,I1520,$AI$7:AI1520,"yes"),"")</f>
        <v>2</v>
      </c>
      <c r="AH1520" s="110" t="str">
        <f aca="false">IF(ISNUMBER(H1520),"yes","no")</f>
        <v>yes</v>
      </c>
      <c r="AI1520" s="110" t="str">
        <f aca="false">IF(ISNUMBER(I1520),"yes","no")</f>
        <v>yes</v>
      </c>
      <c r="AJ1520" s="120" t="n">
        <v>46297</v>
      </c>
      <c r="AK1520" s="110"/>
    </row>
    <row r="1521" customFormat="false" ht="23.85" hidden="false" customHeight="false" outlineLevel="0" collapsed="false">
      <c r="B1521" s="36" t="s">
        <v>89</v>
      </c>
      <c r="C1521" s="98" t="s">
        <v>16</v>
      </c>
      <c r="D1521" s="98" t="s">
        <v>311</v>
      </c>
      <c r="E1521" s="110" t="s">
        <v>4768</v>
      </c>
      <c r="F1521" s="99" t="n">
        <v>8.39</v>
      </c>
      <c r="G1521" s="98" t="s">
        <v>244</v>
      </c>
      <c r="H1521" s="112" t="n">
        <f aca="false">IF(AND(AE1521="yes",ISNUMBER(AD1521)),AD1521,"")</f>
        <v>8.39</v>
      </c>
      <c r="I1521" s="95" t="n">
        <f aca="false">IF(AND(AE1521="yes",ISNUMBER(AD1521),ISNUMBER(INDEX(Sources!$G$7:$G$10,MATCH(AB1521,Sources!$B$7:$B$10,0)))),ROUND(AD1521/INDEX(Sources!$G$7:$G$10,MATCH(AB1521,Sources!$B$7:$B$10,0)),6),"")</f>
        <v>8.39</v>
      </c>
      <c r="J1521" s="98" t="s">
        <v>530</v>
      </c>
      <c r="K1521" s="98" t="s">
        <v>2059</v>
      </c>
      <c r="L1521" s="96"/>
      <c r="M1521" s="110" t="s">
        <v>4788</v>
      </c>
      <c r="N1521" s="117" t="s">
        <v>4789</v>
      </c>
      <c r="O1521" s="110" t="s">
        <v>589</v>
      </c>
      <c r="P1521" s="110" t="s">
        <v>590</v>
      </c>
      <c r="Q1521" s="118" t="n">
        <v>0.19</v>
      </c>
      <c r="R1521" s="110" t="n">
        <v>1</v>
      </c>
      <c r="S1521" s="110" t="s">
        <v>632</v>
      </c>
      <c r="T1521" s="110" t="s">
        <v>530</v>
      </c>
      <c r="U1521" s="110" t="s">
        <v>2913</v>
      </c>
      <c r="V1521" s="119" t="n">
        <v>8.39</v>
      </c>
      <c r="W1521" s="119"/>
      <c r="X1521" s="110" t="s">
        <v>2063</v>
      </c>
      <c r="Y1521" s="110" t="s">
        <v>2064</v>
      </c>
      <c r="Z1521" s="110" t="s">
        <v>4369</v>
      </c>
      <c r="AA1521" s="110" t="s">
        <v>537</v>
      </c>
      <c r="AB1521" s="110" t="s">
        <v>244</v>
      </c>
      <c r="AC1521" s="110" t="s">
        <v>538</v>
      </c>
      <c r="AD1521" s="110" t="n">
        <f aca="false">IF(OR(F1521="",Q1521="",R1521=""),"",ROUND(IF(P1521="incl.",F1521/(1+Q1521),F1521)/IF(S1521="per pack",R1521,1),2))</f>
        <v>8.39</v>
      </c>
      <c r="AE1521" s="110" t="str">
        <f aca="false">IF(AND(AC1521="yes",ISNUMBER(F1521),IF(Compare!$H$5="All mapped",TRUE(),IF(Compare!$H$5="EXACT only",J1521="EXACT",OR(J1521="EXACT",J1521="CLOSE")))),"yes","no")</f>
        <v>yes</v>
      </c>
      <c r="AF1521" s="110" t="n">
        <f aca="false">IF(ISNUMBER(H1521),COUNTIFS($B$7:$B$3000,B1521,$C$7:$C$3000,C1521,$H$7:$H$3000,"&lt;"&amp;H1521,$AH$7:$AH$3000,"yes")+COUNTIFS($B$7:B1521,B1521,$C$7:C1521,C1521,$H$7:H1521,H1521,$AH$7:AH1521,"yes"),"")</f>
        <v>5</v>
      </c>
      <c r="AG1521" s="110" t="n">
        <f aca="false">IF(ISNUMBER(I1521),COUNTIFS($B$7:$B$3000,B1521,$C$7:$C$3000,C1521,$I$7:$I$3000,"&lt;"&amp;I1521,$AI$7:$AI$3000,"yes")+COUNTIFS($B$7:B1521,B1521,$C$7:C1521,C1521,$I$7:I1521,I1521,$AI$7:AI1521,"yes"),"")</f>
        <v>5</v>
      </c>
      <c r="AH1521" s="110" t="str">
        <f aca="false">IF(ISNUMBER(H1521),"yes","no")</f>
        <v>yes</v>
      </c>
      <c r="AI1521" s="110" t="str">
        <f aca="false">IF(ISNUMBER(I1521),"yes","no")</f>
        <v>yes</v>
      </c>
      <c r="AJ1521" s="120" t="n">
        <v>46297</v>
      </c>
      <c r="AK1521" s="110"/>
    </row>
    <row r="1522" customFormat="false" ht="23.85" hidden="false" customHeight="false" outlineLevel="0" collapsed="false">
      <c r="B1522" s="36" t="s">
        <v>89</v>
      </c>
      <c r="C1522" s="98" t="s">
        <v>16</v>
      </c>
      <c r="D1522" s="98" t="s">
        <v>309</v>
      </c>
      <c r="E1522" s="110" t="s">
        <v>4790</v>
      </c>
      <c r="F1522" s="99" t="n">
        <v>28</v>
      </c>
      <c r="G1522" s="98" t="s">
        <v>244</v>
      </c>
      <c r="H1522" s="112" t="n">
        <f aca="false">IF(AND(AE1522="yes",ISNUMBER(AD1522)),AD1522,"")</f>
        <v>28</v>
      </c>
      <c r="I1522" s="95" t="n">
        <f aca="false">IF(AND(AE1522="yes",ISNUMBER(AD1522),ISNUMBER(INDEX(Sources!$G$7:$G$10,MATCH(AB1522,Sources!$B$7:$B$10,0)))),ROUND(AD1522/INDEX(Sources!$G$7:$G$10,MATCH(AB1522,Sources!$B$7:$B$10,0)),6),"")</f>
        <v>28</v>
      </c>
      <c r="J1522" s="98" t="s">
        <v>530</v>
      </c>
      <c r="K1522" s="98" t="s">
        <v>2059</v>
      </c>
      <c r="L1522" s="96"/>
      <c r="M1522" s="110" t="s">
        <v>4791</v>
      </c>
      <c r="N1522" s="117" t="s">
        <v>4792</v>
      </c>
      <c r="O1522" s="110" t="s">
        <v>603</v>
      </c>
      <c r="P1522" s="110" t="s">
        <v>590</v>
      </c>
      <c r="Q1522" s="118" t="n">
        <v>0.19</v>
      </c>
      <c r="R1522" s="110" t="n">
        <v>1</v>
      </c>
      <c r="S1522" s="110" t="s">
        <v>632</v>
      </c>
      <c r="T1522" s="110" t="s">
        <v>530</v>
      </c>
      <c r="U1522" s="110" t="s">
        <v>2913</v>
      </c>
      <c r="V1522" s="119" t="n">
        <v>28</v>
      </c>
      <c r="W1522" s="119"/>
      <c r="X1522" s="110" t="s">
        <v>2063</v>
      </c>
      <c r="Y1522" s="110" t="s">
        <v>2064</v>
      </c>
      <c r="Z1522" s="110" t="s">
        <v>4373</v>
      </c>
      <c r="AA1522" s="110" t="s">
        <v>537</v>
      </c>
      <c r="AB1522" s="110" t="s">
        <v>244</v>
      </c>
      <c r="AC1522" s="110" t="s">
        <v>538</v>
      </c>
      <c r="AD1522" s="110" t="n">
        <f aca="false">IF(OR(F1522="",Q1522="",R1522=""),"",ROUND(IF(P1522="incl.",F1522/(1+Q1522),F1522)/IF(S1522="per pack",R1522,1),2))</f>
        <v>28</v>
      </c>
      <c r="AE1522" s="110" t="str">
        <f aca="false">IF(AND(AC1522="yes",ISNUMBER(F1522),IF(Compare!$H$5="All mapped",TRUE(),IF(Compare!$H$5="EXACT only",J1522="EXACT",OR(J1522="EXACT",J1522="CLOSE")))),"yes","no")</f>
        <v>yes</v>
      </c>
      <c r="AF1522" s="110" t="n">
        <f aca="false">IF(ISNUMBER(H1522),COUNTIFS($B$7:$B$3000,B1522,$C$7:$C$3000,C1522,$H$7:$H$3000,"&lt;"&amp;H1522,$AH$7:$AH$3000,"yes")+COUNTIFS($B$7:B1522,B1522,$C$7:C1522,C1522,$H$7:H1522,H1522,$AH$7:AH1522,"yes"),"")</f>
        <v>7</v>
      </c>
      <c r="AG1522" s="110" t="n">
        <f aca="false">IF(ISNUMBER(I1522),COUNTIFS($B$7:$B$3000,B1522,$C$7:$C$3000,C1522,$I$7:$I$3000,"&lt;"&amp;I1522,$AI$7:$AI$3000,"yes")+COUNTIFS($B$7:B1522,B1522,$C$7:C1522,C1522,$I$7:I1522,I1522,$AI$7:AI1522,"yes"),"")</f>
        <v>7</v>
      </c>
      <c r="AH1522" s="110" t="str">
        <f aca="false">IF(ISNUMBER(H1522),"yes","no")</f>
        <v>yes</v>
      </c>
      <c r="AI1522" s="110" t="str">
        <f aca="false">IF(ISNUMBER(I1522),"yes","no")</f>
        <v>yes</v>
      </c>
      <c r="AJ1522" s="120" t="n">
        <v>46297</v>
      </c>
      <c r="AK1522" s="110"/>
    </row>
    <row r="1523" customFormat="false" ht="35.05" hidden="false" customHeight="false" outlineLevel="0" collapsed="false">
      <c r="B1523" s="36" t="s">
        <v>89</v>
      </c>
      <c r="C1523" s="98" t="s">
        <v>16</v>
      </c>
      <c r="D1523" s="98" t="s">
        <v>321</v>
      </c>
      <c r="E1523" s="110" t="s">
        <v>4793</v>
      </c>
      <c r="F1523" s="99" t="n">
        <v>7.14</v>
      </c>
      <c r="G1523" s="98" t="s">
        <v>244</v>
      </c>
      <c r="H1523" s="112" t="n">
        <f aca="false">IF(AND(AE1523="yes",ISNUMBER(AD1523)),AD1523,"")</f>
        <v>7.14</v>
      </c>
      <c r="I1523" s="95" t="n">
        <f aca="false">IF(AND(AE1523="yes",ISNUMBER(AD1523),ISNUMBER(INDEX(Sources!$G$7:$G$10,MATCH(AB1523,Sources!$B$7:$B$10,0)))),ROUND(AD1523/INDEX(Sources!$G$7:$G$10,MATCH(AB1523,Sources!$B$7:$B$10,0)),6),"")</f>
        <v>7.14</v>
      </c>
      <c r="J1523" s="98" t="s">
        <v>530</v>
      </c>
      <c r="K1523" s="98" t="s">
        <v>2059</v>
      </c>
      <c r="L1523" s="96"/>
      <c r="M1523" s="110" t="s">
        <v>4794</v>
      </c>
      <c r="N1523" s="117" t="s">
        <v>4795</v>
      </c>
      <c r="O1523" s="110" t="s">
        <v>662</v>
      </c>
      <c r="P1523" s="110" t="s">
        <v>590</v>
      </c>
      <c r="Q1523" s="118" t="n">
        <v>0.19</v>
      </c>
      <c r="R1523" s="110" t="n">
        <v>1</v>
      </c>
      <c r="S1523" s="110" t="s">
        <v>632</v>
      </c>
      <c r="T1523" s="110" t="s">
        <v>530</v>
      </c>
      <c r="U1523" s="110" t="s">
        <v>2913</v>
      </c>
      <c r="V1523" s="119" t="n">
        <v>7.14</v>
      </c>
      <c r="W1523" s="119"/>
      <c r="X1523" s="110" t="s">
        <v>2063</v>
      </c>
      <c r="Y1523" s="110" t="s">
        <v>2064</v>
      </c>
      <c r="Z1523" s="110" t="s">
        <v>2857</v>
      </c>
      <c r="AA1523" s="110" t="s">
        <v>537</v>
      </c>
      <c r="AB1523" s="110" t="s">
        <v>244</v>
      </c>
      <c r="AC1523" s="110" t="s">
        <v>538</v>
      </c>
      <c r="AD1523" s="110" t="n">
        <f aca="false">IF(OR(F1523="",Q1523="",R1523=""),"",ROUND(IF(P1523="incl.",F1523/(1+Q1523),F1523)/IF(S1523="per pack",R1523,1),2))</f>
        <v>7.14</v>
      </c>
      <c r="AE1523" s="110" t="str">
        <f aca="false">IF(AND(AC1523="yes",ISNUMBER(F1523),IF(Compare!$H$5="All mapped",TRUE(),IF(Compare!$H$5="EXACT only",J1523="EXACT",OR(J1523="EXACT",J1523="CLOSE")))),"yes","no")</f>
        <v>yes</v>
      </c>
      <c r="AF1523" s="110" t="n">
        <f aca="false">IF(ISNUMBER(H1523),COUNTIFS($B$7:$B$3000,B1523,$C$7:$C$3000,C1523,$H$7:$H$3000,"&lt;"&amp;H1523,$AH$7:$AH$3000,"yes")+COUNTIFS($B$7:B1523,B1523,$C$7:C1523,C1523,$H$7:H1523,H1523,$AH$7:AH1523,"yes"),"")</f>
        <v>4</v>
      </c>
      <c r="AG1523" s="110" t="n">
        <f aca="false">IF(ISNUMBER(I1523),COUNTIFS($B$7:$B$3000,B1523,$C$7:$C$3000,C1523,$I$7:$I$3000,"&lt;"&amp;I1523,$AI$7:$AI$3000,"yes")+COUNTIFS($B$7:B1523,B1523,$C$7:C1523,C1523,$I$7:I1523,I1523,$AI$7:AI1523,"yes"),"")</f>
        <v>4</v>
      </c>
      <c r="AH1523" s="110" t="str">
        <f aca="false">IF(ISNUMBER(H1523),"yes","no")</f>
        <v>yes</v>
      </c>
      <c r="AI1523" s="110" t="str">
        <f aca="false">IF(ISNUMBER(I1523),"yes","no")</f>
        <v>yes</v>
      </c>
      <c r="AJ1523" s="120" t="n">
        <v>46297</v>
      </c>
      <c r="AK1523" s="110"/>
    </row>
    <row r="1524" customFormat="false" ht="35.05" hidden="false" customHeight="false" outlineLevel="0" collapsed="false">
      <c r="B1524" s="36" t="s">
        <v>89</v>
      </c>
      <c r="C1524" s="98" t="s">
        <v>16</v>
      </c>
      <c r="D1524" s="98" t="s">
        <v>329</v>
      </c>
      <c r="E1524" s="110" t="s">
        <v>4796</v>
      </c>
      <c r="F1524" s="99" t="n">
        <v>6.99</v>
      </c>
      <c r="G1524" s="98" t="s">
        <v>244</v>
      </c>
      <c r="H1524" s="112" t="n">
        <f aca="false">IF(AND(AE1524="yes",ISNUMBER(AD1524)),AD1524,"")</f>
        <v>6.99</v>
      </c>
      <c r="I1524" s="95" t="n">
        <f aca="false">IF(AND(AE1524="yes",ISNUMBER(AD1524),ISNUMBER(INDEX(Sources!$G$7:$G$10,MATCH(AB1524,Sources!$B$7:$B$10,0)))),ROUND(AD1524/INDEX(Sources!$G$7:$G$10,MATCH(AB1524,Sources!$B$7:$B$10,0)),6),"")</f>
        <v>6.99</v>
      </c>
      <c r="J1524" s="98" t="s">
        <v>530</v>
      </c>
      <c r="K1524" s="98" t="s">
        <v>2059</v>
      </c>
      <c r="L1524" s="96"/>
      <c r="M1524" s="110" t="s">
        <v>4797</v>
      </c>
      <c r="N1524" s="117" t="s">
        <v>4798</v>
      </c>
      <c r="O1524" s="110" t="s">
        <v>817</v>
      </c>
      <c r="P1524" s="110" t="s">
        <v>590</v>
      </c>
      <c r="Q1524" s="118" t="n">
        <v>0.19</v>
      </c>
      <c r="R1524" s="110" t="n">
        <v>1</v>
      </c>
      <c r="S1524" s="110" t="s">
        <v>632</v>
      </c>
      <c r="T1524" s="110" t="s">
        <v>530</v>
      </c>
      <c r="U1524" s="110" t="s">
        <v>2913</v>
      </c>
      <c r="V1524" s="119" t="n">
        <v>6.99</v>
      </c>
      <c r="W1524" s="119"/>
      <c r="X1524" s="110" t="s">
        <v>2063</v>
      </c>
      <c r="Y1524" s="110" t="s">
        <v>2064</v>
      </c>
      <c r="Z1524" s="110" t="s">
        <v>2624</v>
      </c>
      <c r="AA1524" s="110" t="s">
        <v>537</v>
      </c>
      <c r="AB1524" s="110" t="s">
        <v>244</v>
      </c>
      <c r="AC1524" s="110" t="s">
        <v>538</v>
      </c>
      <c r="AD1524" s="110" t="n">
        <f aca="false">IF(OR(F1524="",Q1524="",R1524=""),"",ROUND(IF(P1524="incl.",F1524/(1+Q1524),F1524)/IF(S1524="per pack",R1524,1),2))</f>
        <v>6.99</v>
      </c>
      <c r="AE1524" s="110" t="str">
        <f aca="false">IF(AND(AC1524="yes",ISNUMBER(F1524),IF(Compare!$H$5="All mapped",TRUE(),IF(Compare!$H$5="EXACT only",J1524="EXACT",OR(J1524="EXACT",J1524="CLOSE")))),"yes","no")</f>
        <v>yes</v>
      </c>
      <c r="AF1524" s="110" t="n">
        <f aca="false">IF(ISNUMBER(H1524),COUNTIFS($B$7:$B$3000,B1524,$C$7:$C$3000,C1524,$H$7:$H$3000,"&lt;"&amp;H1524,$AH$7:$AH$3000,"yes")+COUNTIFS($B$7:B1524,B1524,$C$7:C1524,C1524,$H$7:H1524,H1524,$AH$7:AH1524,"yes"),"")</f>
        <v>3</v>
      </c>
      <c r="AG1524" s="110" t="n">
        <f aca="false">IF(ISNUMBER(I1524),COUNTIFS($B$7:$B$3000,B1524,$C$7:$C$3000,C1524,$I$7:$I$3000,"&lt;"&amp;I1524,$AI$7:$AI$3000,"yes")+COUNTIFS($B$7:B1524,B1524,$C$7:C1524,C1524,$I$7:I1524,I1524,$AI$7:AI1524,"yes"),"")</f>
        <v>3</v>
      </c>
      <c r="AH1524" s="110" t="str">
        <f aca="false">IF(ISNUMBER(H1524),"yes","no")</f>
        <v>yes</v>
      </c>
      <c r="AI1524" s="110" t="str">
        <f aca="false">IF(ISNUMBER(I1524),"yes","no")</f>
        <v>yes</v>
      </c>
      <c r="AJ1524" s="120" t="n">
        <v>46297</v>
      </c>
      <c r="AK1524" s="110"/>
    </row>
    <row r="1525" customFormat="false" ht="23.85" hidden="false" customHeight="false" outlineLevel="0" collapsed="false">
      <c r="B1525" s="36" t="s">
        <v>89</v>
      </c>
      <c r="C1525" s="98" t="s">
        <v>17</v>
      </c>
      <c r="D1525" s="98" t="s">
        <v>338</v>
      </c>
      <c r="E1525" s="110" t="s">
        <v>4799</v>
      </c>
      <c r="F1525" s="99" t="n">
        <v>282</v>
      </c>
      <c r="G1525" s="98" t="s">
        <v>333</v>
      </c>
      <c r="H1525" s="112" t="n">
        <f aca="false">IF(AND(AE1525="yes",ISNUMBER(AD1525)),AD1525,"")</f>
        <v>233.06</v>
      </c>
      <c r="I1525" s="95" t="n">
        <f aca="false">IF(AND(AE1525="yes",ISNUMBER(AD1525),ISNUMBER(INDEX(Sources!$G$7:$G$10,MATCH(AB1525,Sources!$B$7:$B$10,0)))),ROUND(AD1525/INDEX(Sources!$G$7:$G$10,MATCH(AB1525,Sources!$B$7:$B$10,0)),6),"")</f>
        <v>9.542404</v>
      </c>
      <c r="J1525" s="98" t="s">
        <v>530</v>
      </c>
      <c r="K1525" s="98" t="s">
        <v>2059</v>
      </c>
      <c r="L1525" s="96"/>
      <c r="M1525" s="110" t="s">
        <v>4800</v>
      </c>
      <c r="N1525" s="117" t="s">
        <v>4801</v>
      </c>
      <c r="O1525" s="110" t="s">
        <v>388</v>
      </c>
      <c r="P1525" s="110" t="s">
        <v>265</v>
      </c>
      <c r="Q1525" s="118" t="n">
        <v>0.21</v>
      </c>
      <c r="R1525" s="110" t="n">
        <v>1</v>
      </c>
      <c r="S1525" s="110" t="s">
        <v>632</v>
      </c>
      <c r="T1525" s="110" t="s">
        <v>530</v>
      </c>
      <c r="U1525" s="110" t="s">
        <v>2918</v>
      </c>
      <c r="V1525" s="119" t="n">
        <v>233.06</v>
      </c>
      <c r="W1525" s="119"/>
      <c r="X1525" s="110" t="s">
        <v>2063</v>
      </c>
      <c r="Y1525" s="110" t="s">
        <v>2064</v>
      </c>
      <c r="Z1525" s="110" t="s">
        <v>4387</v>
      </c>
      <c r="AA1525" s="110" t="s">
        <v>537</v>
      </c>
      <c r="AB1525" s="110" t="s">
        <v>333</v>
      </c>
      <c r="AC1525" s="110" t="s">
        <v>538</v>
      </c>
      <c r="AD1525" s="110" t="n">
        <f aca="false">IF(OR(F1525="",Q1525="",R1525=""),"",ROUND(IF(P1525="incl.",F1525/(1+Q1525),F1525)/IF(S1525="per pack",R1525,1),2))</f>
        <v>233.06</v>
      </c>
      <c r="AE1525" s="110" t="str">
        <f aca="false">IF(AND(AC1525="yes",ISNUMBER(F1525),IF(Compare!$H$5="All mapped",TRUE(),IF(Compare!$H$5="EXACT only",J1525="EXACT",OR(J1525="EXACT",J1525="CLOSE")))),"yes","no")</f>
        <v>yes</v>
      </c>
      <c r="AF1525" s="110" t="n">
        <f aca="false">IF(ISNUMBER(H1525),COUNTIFS($B$7:$B$3000,B1525,$C$7:$C$3000,C1525,$H$7:$H$3000,"&lt;"&amp;H1525,$AH$7:$AH$3000,"yes")+COUNTIFS($B$7:B1525,B1525,$C$7:C1525,C1525,$H$7:H1525,H1525,$AH$7:AH1525,"yes"),"")</f>
        <v>2</v>
      </c>
      <c r="AG1525" s="110" t="n">
        <f aca="false">IF(ISNUMBER(I1525),COUNTIFS($B$7:$B$3000,B1525,$C$7:$C$3000,C1525,$I$7:$I$3000,"&lt;"&amp;I1525,$AI$7:$AI$3000,"yes")+COUNTIFS($B$7:B1525,B1525,$C$7:C1525,C1525,$I$7:I1525,I1525,$AI$7:AI1525,"yes"),"")</f>
        <v>2</v>
      </c>
      <c r="AH1525" s="110" t="str">
        <f aca="false">IF(ISNUMBER(H1525),"yes","no")</f>
        <v>yes</v>
      </c>
      <c r="AI1525" s="110" t="str">
        <f aca="false">IF(ISNUMBER(I1525),"yes","no")</f>
        <v>yes</v>
      </c>
      <c r="AJ1525" s="120" t="n">
        <v>46297</v>
      </c>
      <c r="AK1525" s="110"/>
    </row>
    <row r="1526" customFormat="false" ht="35.05" hidden="false" customHeight="false" outlineLevel="0" collapsed="false">
      <c r="B1526" s="36" t="s">
        <v>89</v>
      </c>
      <c r="C1526" s="98" t="s">
        <v>17</v>
      </c>
      <c r="D1526" s="98" t="s">
        <v>342</v>
      </c>
      <c r="E1526" s="110" t="s">
        <v>4802</v>
      </c>
      <c r="F1526" s="99" t="n">
        <v>324</v>
      </c>
      <c r="G1526" s="98" t="s">
        <v>333</v>
      </c>
      <c r="H1526" s="112" t="n">
        <f aca="false">IF(AND(AE1526="yes",ISNUMBER(AD1526)),AD1526,"")</f>
        <v>324</v>
      </c>
      <c r="I1526" s="95" t="n">
        <f aca="false">IF(AND(AE1526="yes",ISNUMBER(AD1526),ISNUMBER(INDEX(Sources!$G$7:$G$10,MATCH(AB1526,Sources!$B$7:$B$10,0)))),ROUND(AD1526/INDEX(Sources!$G$7:$G$10,MATCH(AB1526,Sources!$B$7:$B$10,0)),6),"")</f>
        <v>13.265849</v>
      </c>
      <c r="J1526" s="98" t="s">
        <v>530</v>
      </c>
      <c r="K1526" s="98" t="s">
        <v>2059</v>
      </c>
      <c r="L1526" s="96"/>
      <c r="M1526" s="110" t="s">
        <v>4803</v>
      </c>
      <c r="N1526" s="117" t="s">
        <v>4804</v>
      </c>
      <c r="O1526" s="110" t="s">
        <v>388</v>
      </c>
      <c r="P1526" s="110" t="s">
        <v>590</v>
      </c>
      <c r="Q1526" s="118" t="n">
        <v>0.21</v>
      </c>
      <c r="R1526" s="110" t="n">
        <v>1</v>
      </c>
      <c r="S1526" s="110" t="s">
        <v>632</v>
      </c>
      <c r="T1526" s="110" t="s">
        <v>530</v>
      </c>
      <c r="U1526" s="110" t="s">
        <v>2913</v>
      </c>
      <c r="V1526" s="119" t="n">
        <v>324</v>
      </c>
      <c r="W1526" s="119"/>
      <c r="X1526" s="110" t="s">
        <v>2063</v>
      </c>
      <c r="Y1526" s="110" t="s">
        <v>2064</v>
      </c>
      <c r="Z1526" s="110" t="s">
        <v>4805</v>
      </c>
      <c r="AA1526" s="110" t="s">
        <v>537</v>
      </c>
      <c r="AB1526" s="110" t="s">
        <v>333</v>
      </c>
      <c r="AC1526" s="110" t="s">
        <v>538</v>
      </c>
      <c r="AD1526" s="110" t="n">
        <f aca="false">IF(OR(F1526="",Q1526="",R1526=""),"",ROUND(IF(P1526="incl.",F1526/(1+Q1526),F1526)/IF(S1526="per pack",R1526,1),2))</f>
        <v>324</v>
      </c>
      <c r="AE1526" s="110" t="str">
        <f aca="false">IF(AND(AC1526="yes",ISNUMBER(F1526),IF(Compare!$H$5="All mapped",TRUE(),IF(Compare!$H$5="EXACT only",J1526="EXACT",OR(J1526="EXACT",J1526="CLOSE")))),"yes","no")</f>
        <v>yes</v>
      </c>
      <c r="AF1526" s="110" t="n">
        <f aca="false">IF(ISNUMBER(H1526),COUNTIFS($B$7:$B$3000,B1526,$C$7:$C$3000,C1526,$H$7:$H$3000,"&lt;"&amp;H1526,$AH$7:$AH$3000,"yes")+COUNTIFS($B$7:B1526,B1526,$C$7:C1526,C1526,$H$7:H1526,H1526,$AH$7:AH1526,"yes"),"")</f>
        <v>5</v>
      </c>
      <c r="AG1526" s="110" t="n">
        <f aca="false">IF(ISNUMBER(I1526),COUNTIFS($B$7:$B$3000,B1526,$C$7:$C$3000,C1526,$I$7:$I$3000,"&lt;"&amp;I1526,$AI$7:$AI$3000,"yes")+COUNTIFS($B$7:B1526,B1526,$C$7:C1526,C1526,$I$7:I1526,I1526,$AI$7:AI1526,"yes"),"")</f>
        <v>5</v>
      </c>
      <c r="AH1526" s="110" t="str">
        <f aca="false">IF(ISNUMBER(H1526),"yes","no")</f>
        <v>yes</v>
      </c>
      <c r="AI1526" s="110" t="str">
        <f aca="false">IF(ISNUMBER(I1526),"yes","no")</f>
        <v>yes</v>
      </c>
      <c r="AJ1526" s="120" t="n">
        <v>46297</v>
      </c>
      <c r="AK1526" s="110"/>
    </row>
    <row r="1527" customFormat="false" ht="35.05" hidden="false" customHeight="false" outlineLevel="0" collapsed="false">
      <c r="B1527" s="36" t="s">
        <v>89</v>
      </c>
      <c r="C1527" s="98" t="s">
        <v>17</v>
      </c>
      <c r="D1527" s="98" t="s">
        <v>346</v>
      </c>
      <c r="E1527" s="110" t="s">
        <v>4806</v>
      </c>
      <c r="F1527" s="99" t="n">
        <v>255</v>
      </c>
      <c r="G1527" s="98" t="s">
        <v>333</v>
      </c>
      <c r="H1527" s="112" t="n">
        <f aca="false">IF(AND(AE1527="yes",ISNUMBER(AD1527)),AD1527,"")</f>
        <v>255</v>
      </c>
      <c r="I1527" s="95" t="n">
        <f aca="false">IF(AND(AE1527="yes",ISNUMBER(AD1527),ISNUMBER(INDEX(Sources!$G$7:$G$10,MATCH(AB1527,Sources!$B$7:$B$10,0)))),ROUND(AD1527/INDEX(Sources!$G$7:$G$10,MATCH(AB1527,Sources!$B$7:$B$10,0)),6),"")</f>
        <v>10.440715</v>
      </c>
      <c r="J1527" s="98" t="s">
        <v>530</v>
      </c>
      <c r="K1527" s="98" t="s">
        <v>2059</v>
      </c>
      <c r="L1527" s="96"/>
      <c r="M1527" s="110" t="s">
        <v>4807</v>
      </c>
      <c r="N1527" s="117" t="s">
        <v>4808</v>
      </c>
      <c r="O1527" s="110" t="s">
        <v>662</v>
      </c>
      <c r="P1527" s="110" t="s">
        <v>590</v>
      </c>
      <c r="Q1527" s="118" t="n">
        <v>0.21</v>
      </c>
      <c r="R1527" s="110" t="n">
        <v>1</v>
      </c>
      <c r="S1527" s="110" t="s">
        <v>632</v>
      </c>
      <c r="T1527" s="110" t="s">
        <v>530</v>
      </c>
      <c r="U1527" s="110" t="s">
        <v>2913</v>
      </c>
      <c r="V1527" s="119" t="n">
        <v>255</v>
      </c>
      <c r="W1527" s="119"/>
      <c r="X1527" s="110" t="s">
        <v>2063</v>
      </c>
      <c r="Y1527" s="110" t="s">
        <v>2064</v>
      </c>
      <c r="Z1527" s="110" t="s">
        <v>4395</v>
      </c>
      <c r="AA1527" s="110" t="s">
        <v>537</v>
      </c>
      <c r="AB1527" s="110" t="s">
        <v>333</v>
      </c>
      <c r="AC1527" s="110" t="s">
        <v>538</v>
      </c>
      <c r="AD1527" s="110" t="n">
        <f aca="false">IF(OR(F1527="",Q1527="",R1527=""),"",ROUND(IF(P1527="incl.",F1527/(1+Q1527),F1527)/IF(S1527="per pack",R1527,1),2))</f>
        <v>255</v>
      </c>
      <c r="AE1527" s="110" t="str">
        <f aca="false">IF(AND(AC1527="yes",ISNUMBER(F1527),IF(Compare!$H$5="All mapped",TRUE(),IF(Compare!$H$5="EXACT only",J1527="EXACT",OR(J1527="EXACT",J1527="CLOSE")))),"yes","no")</f>
        <v>yes</v>
      </c>
      <c r="AF1527" s="110" t="n">
        <f aca="false">IF(ISNUMBER(H1527),COUNTIFS($B$7:$B$3000,B1527,$C$7:$C$3000,C1527,$H$7:$H$3000,"&lt;"&amp;H1527,$AH$7:$AH$3000,"yes")+COUNTIFS($B$7:B1527,B1527,$C$7:C1527,C1527,$H$7:H1527,H1527,$AH$7:AH1527,"yes"),"")</f>
        <v>4</v>
      </c>
      <c r="AG1527" s="110" t="n">
        <f aca="false">IF(ISNUMBER(I1527),COUNTIFS($B$7:$B$3000,B1527,$C$7:$C$3000,C1527,$I$7:$I$3000,"&lt;"&amp;I1527,$AI$7:$AI$3000,"yes")+COUNTIFS($B$7:B1527,B1527,$C$7:C1527,C1527,$I$7:I1527,I1527,$AI$7:AI1527,"yes"),"")</f>
        <v>4</v>
      </c>
      <c r="AH1527" s="110" t="str">
        <f aca="false">IF(ISNUMBER(H1527),"yes","no")</f>
        <v>yes</v>
      </c>
      <c r="AI1527" s="110" t="str">
        <f aca="false">IF(ISNUMBER(I1527),"yes","no")</f>
        <v>yes</v>
      </c>
      <c r="AJ1527" s="120" t="n">
        <v>46297</v>
      </c>
      <c r="AK1527" s="110"/>
    </row>
    <row r="1528" customFormat="false" ht="23.85" hidden="false" customHeight="false" outlineLevel="0" collapsed="false">
      <c r="B1528" s="36" t="s">
        <v>89</v>
      </c>
      <c r="C1528" s="98" t="s">
        <v>17</v>
      </c>
      <c r="D1528" s="98" t="s">
        <v>350</v>
      </c>
      <c r="E1528" s="110" t="s">
        <v>4809</v>
      </c>
      <c r="F1528" s="99" t="n">
        <v>176</v>
      </c>
      <c r="G1528" s="98" t="s">
        <v>333</v>
      </c>
      <c r="H1528" s="112" t="n">
        <f aca="false">IF(AND(AE1528="yes",ISNUMBER(AD1528)),AD1528,"")</f>
        <v>145.45</v>
      </c>
      <c r="I1528" s="95" t="n">
        <f aca="false">IF(AND(AE1528="yes",ISNUMBER(AD1528),ISNUMBER(INDEX(Sources!$G$7:$G$10,MATCH(AB1528,Sources!$B$7:$B$10,0)))),ROUND(AD1528/INDEX(Sources!$G$7:$G$10,MATCH(AB1528,Sources!$B$7:$B$10,0)),6),"")</f>
        <v>5.955302</v>
      </c>
      <c r="J1528" s="98" t="s">
        <v>530</v>
      </c>
      <c r="K1528" s="98" t="s">
        <v>2059</v>
      </c>
      <c r="L1528" s="96"/>
      <c r="M1528" s="110" t="s">
        <v>4810</v>
      </c>
      <c r="N1528" s="117" t="s">
        <v>4811</v>
      </c>
      <c r="O1528" s="110" t="s">
        <v>2452</v>
      </c>
      <c r="P1528" s="110" t="s">
        <v>265</v>
      </c>
      <c r="Q1528" s="118" t="n">
        <v>0.21</v>
      </c>
      <c r="R1528" s="110" t="n">
        <v>1</v>
      </c>
      <c r="S1528" s="110" t="s">
        <v>632</v>
      </c>
      <c r="T1528" s="110" t="s">
        <v>530</v>
      </c>
      <c r="U1528" s="110" t="s">
        <v>2918</v>
      </c>
      <c r="V1528" s="119" t="n">
        <v>145.45</v>
      </c>
      <c r="W1528" s="119"/>
      <c r="X1528" s="110" t="s">
        <v>2063</v>
      </c>
      <c r="Y1528" s="110" t="s">
        <v>2064</v>
      </c>
      <c r="Z1528" s="110" t="s">
        <v>2349</v>
      </c>
      <c r="AA1528" s="110" t="s">
        <v>537</v>
      </c>
      <c r="AB1528" s="110" t="s">
        <v>333</v>
      </c>
      <c r="AC1528" s="110" t="s">
        <v>538</v>
      </c>
      <c r="AD1528" s="110" t="n">
        <f aca="false">IF(OR(F1528="",Q1528="",R1528=""),"",ROUND(IF(P1528="incl.",F1528/(1+Q1528),F1528)/IF(S1528="per pack",R1528,1),2))</f>
        <v>145.45</v>
      </c>
      <c r="AE1528" s="110" t="str">
        <f aca="false">IF(AND(AC1528="yes",ISNUMBER(F1528),IF(Compare!$H$5="All mapped",TRUE(),IF(Compare!$H$5="EXACT only",J1528="EXACT",OR(J1528="EXACT",J1528="CLOSE")))),"yes","no")</f>
        <v>yes</v>
      </c>
      <c r="AF1528" s="110" t="n">
        <f aca="false">IF(ISNUMBER(H1528),COUNTIFS($B$7:$B$3000,B1528,$C$7:$C$3000,C1528,$H$7:$H$3000,"&lt;"&amp;H1528,$AH$7:$AH$3000,"yes")+COUNTIFS($B$7:B1528,B1528,$C$7:C1528,C1528,$H$7:H1528,H1528,$AH$7:AH1528,"yes"),"")</f>
        <v>1</v>
      </c>
      <c r="AG1528" s="110" t="n">
        <f aca="false">IF(ISNUMBER(I1528),COUNTIFS($B$7:$B$3000,B1528,$C$7:$C$3000,C1528,$I$7:$I$3000,"&lt;"&amp;I1528,$AI$7:$AI$3000,"yes")+COUNTIFS($B$7:B1528,B1528,$C$7:C1528,C1528,$I$7:I1528,I1528,$AI$7:AI1528,"yes"),"")</f>
        <v>1</v>
      </c>
      <c r="AH1528" s="110" t="str">
        <f aca="false">IF(ISNUMBER(H1528),"yes","no")</f>
        <v>yes</v>
      </c>
      <c r="AI1528" s="110" t="str">
        <f aca="false">IF(ISNUMBER(I1528),"yes","no")</f>
        <v>yes</v>
      </c>
      <c r="AJ1528" s="120" t="n">
        <v>46297</v>
      </c>
      <c r="AK1528" s="110"/>
    </row>
    <row r="1529" customFormat="false" ht="35.05" hidden="false" customHeight="false" outlineLevel="0" collapsed="false">
      <c r="B1529" s="36" t="s">
        <v>89</v>
      </c>
      <c r="C1529" s="98" t="s">
        <v>17</v>
      </c>
      <c r="D1529" s="98" t="s">
        <v>361</v>
      </c>
      <c r="E1529" s="110" t="s">
        <v>4812</v>
      </c>
      <c r="F1529" s="99" t="n">
        <v>303</v>
      </c>
      <c r="G1529" s="98" t="s">
        <v>333</v>
      </c>
      <c r="H1529" s="112" t="n">
        <f aca="false">IF(AND(AE1529="yes",ISNUMBER(AD1529)),AD1529,"")</f>
        <v>250.41</v>
      </c>
      <c r="I1529" s="95" t="n">
        <f aca="false">IF(AND(AE1529="yes",ISNUMBER(AD1529),ISNUMBER(INDEX(Sources!$G$7:$G$10,MATCH(AB1529,Sources!$B$7:$B$10,0)))),ROUND(AD1529/INDEX(Sources!$G$7:$G$10,MATCH(AB1529,Sources!$B$7:$B$10,0)),6),"")</f>
        <v>10.252782</v>
      </c>
      <c r="J1529" s="98" t="s">
        <v>530</v>
      </c>
      <c r="K1529" s="98" t="s">
        <v>2059</v>
      </c>
      <c r="L1529" s="96"/>
      <c r="M1529" s="110" t="s">
        <v>4813</v>
      </c>
      <c r="N1529" s="117" t="s">
        <v>4814</v>
      </c>
      <c r="O1529" s="110" t="s">
        <v>642</v>
      </c>
      <c r="P1529" s="110" t="s">
        <v>265</v>
      </c>
      <c r="Q1529" s="118" t="n">
        <v>0.21</v>
      </c>
      <c r="R1529" s="110" t="n">
        <v>1</v>
      </c>
      <c r="S1529" s="110" t="s">
        <v>632</v>
      </c>
      <c r="T1529" s="110" t="s">
        <v>530</v>
      </c>
      <c r="U1529" s="110" t="s">
        <v>2918</v>
      </c>
      <c r="V1529" s="119" t="n">
        <v>250.41</v>
      </c>
      <c r="W1529" s="119"/>
      <c r="X1529" s="110" t="s">
        <v>2063</v>
      </c>
      <c r="Y1529" s="110" t="s">
        <v>2064</v>
      </c>
      <c r="Z1529" s="110" t="s">
        <v>2534</v>
      </c>
      <c r="AA1529" s="110" t="s">
        <v>537</v>
      </c>
      <c r="AB1529" s="110" t="s">
        <v>333</v>
      </c>
      <c r="AC1529" s="110" t="s">
        <v>538</v>
      </c>
      <c r="AD1529" s="110" t="n">
        <f aca="false">IF(OR(F1529="",Q1529="",R1529=""),"",ROUND(IF(P1529="incl.",F1529/(1+Q1529),F1529)/IF(S1529="per pack",R1529,1),2))</f>
        <v>250.41</v>
      </c>
      <c r="AE1529" s="110" t="str">
        <f aca="false">IF(AND(AC1529="yes",ISNUMBER(F1529),IF(Compare!$H$5="All mapped",TRUE(),IF(Compare!$H$5="EXACT only",J1529="EXACT",OR(J1529="EXACT",J1529="CLOSE")))),"yes","no")</f>
        <v>yes</v>
      </c>
      <c r="AF1529" s="110" t="n">
        <f aca="false">IF(ISNUMBER(H1529),COUNTIFS($B$7:$B$3000,B1529,$C$7:$C$3000,C1529,$H$7:$H$3000,"&lt;"&amp;H1529,$AH$7:$AH$3000,"yes")+COUNTIFS($B$7:B1529,B1529,$C$7:C1529,C1529,$H$7:H1529,H1529,$AH$7:AH1529,"yes"),"")</f>
        <v>3</v>
      </c>
      <c r="AG1529" s="110" t="n">
        <f aca="false">IF(ISNUMBER(I1529),COUNTIFS($B$7:$B$3000,B1529,$C$7:$C$3000,C1529,$I$7:$I$3000,"&lt;"&amp;I1529,$AI$7:$AI$3000,"yes")+COUNTIFS($B$7:B1529,B1529,$C$7:C1529,C1529,$I$7:I1529,I1529,$AI$7:AI1529,"yes"),"")</f>
        <v>3</v>
      </c>
      <c r="AH1529" s="110" t="str">
        <f aca="false">IF(ISNUMBER(H1529),"yes","no")</f>
        <v>yes</v>
      </c>
      <c r="AI1529" s="110" t="str">
        <f aca="false">IF(ISNUMBER(I1529),"yes","no")</f>
        <v>yes</v>
      </c>
      <c r="AJ1529" s="120" t="n">
        <v>46297</v>
      </c>
      <c r="AK1529" s="110"/>
    </row>
    <row r="1530" customFormat="false" ht="35.05" hidden="false" customHeight="false" outlineLevel="0" collapsed="false">
      <c r="B1530" s="36" t="s">
        <v>89</v>
      </c>
      <c r="C1530" s="98" t="s">
        <v>18</v>
      </c>
      <c r="D1530" s="98" t="s">
        <v>3002</v>
      </c>
      <c r="E1530" s="110" t="s">
        <v>4815</v>
      </c>
      <c r="F1530" s="99" t="n">
        <v>9.1</v>
      </c>
      <c r="G1530" s="98" t="s">
        <v>244</v>
      </c>
      <c r="H1530" s="112" t="n">
        <f aca="false">IF(AND(AE1530="yes",ISNUMBER(AD1530)),AD1530,"")</f>
        <v>9.1</v>
      </c>
      <c r="I1530" s="95" t="n">
        <f aca="false">IF(AND(AE1530="yes",ISNUMBER(AD1530),ISNUMBER(INDEX(Sources!$G$7:$G$10,MATCH(AB1530,Sources!$B$7:$B$10,0)))),ROUND(AD1530/INDEX(Sources!$G$7:$G$10,MATCH(AB1530,Sources!$B$7:$B$10,0)),6),"")</f>
        <v>9.1</v>
      </c>
      <c r="J1530" s="98" t="s">
        <v>530</v>
      </c>
      <c r="K1530" s="98" t="s">
        <v>2059</v>
      </c>
      <c r="L1530" s="96"/>
      <c r="M1530" s="110" t="s">
        <v>4816</v>
      </c>
      <c r="N1530" s="117" t="s">
        <v>4404</v>
      </c>
      <c r="O1530" s="110" t="s">
        <v>2396</v>
      </c>
      <c r="P1530" s="110" t="s">
        <v>590</v>
      </c>
      <c r="Q1530" s="118" t="n">
        <v>0.23</v>
      </c>
      <c r="R1530" s="110" t="n">
        <v>1</v>
      </c>
      <c r="S1530" s="110" t="s">
        <v>632</v>
      </c>
      <c r="T1530" s="110" t="s">
        <v>530</v>
      </c>
      <c r="U1530" s="110" t="s">
        <v>2913</v>
      </c>
      <c r="V1530" s="119" t="n">
        <v>9.1</v>
      </c>
      <c r="W1530" s="119"/>
      <c r="X1530" s="110" t="s">
        <v>2063</v>
      </c>
      <c r="Y1530" s="110" t="s">
        <v>2064</v>
      </c>
      <c r="Z1530" s="110" t="s">
        <v>3346</v>
      </c>
      <c r="AA1530" s="110" t="s">
        <v>537</v>
      </c>
      <c r="AB1530" s="110" t="s">
        <v>244</v>
      </c>
      <c r="AC1530" s="110" t="s">
        <v>538</v>
      </c>
      <c r="AD1530" s="110" t="n">
        <f aca="false">IF(OR(F1530="",Q1530="",R1530=""),"",ROUND(IF(P1530="incl.",F1530/(1+Q1530),F1530)/IF(S1530="per pack",R1530,1),2))</f>
        <v>9.1</v>
      </c>
      <c r="AE1530" s="110" t="str">
        <f aca="false">IF(AND(AC1530="yes",ISNUMBER(F1530),IF(Compare!$H$5="All mapped",TRUE(),IF(Compare!$H$5="EXACT only",J1530="EXACT",OR(J1530="EXACT",J1530="CLOSE")))),"yes","no")</f>
        <v>yes</v>
      </c>
      <c r="AF1530" s="110" t="n">
        <f aca="false">IF(ISNUMBER(H1530),COUNTIFS($B$7:$B$3000,B1530,$C$7:$C$3000,C1530,$H$7:$H$3000,"&lt;"&amp;H1530,$AH$7:$AH$3000,"yes")+COUNTIFS($B$7:B1530,B1530,$C$7:C1530,C1530,$H$7:H1530,H1530,$AH$7:AH1530,"yes"),"")</f>
        <v>4</v>
      </c>
      <c r="AG1530" s="110" t="n">
        <f aca="false">IF(ISNUMBER(I1530),COUNTIFS($B$7:$B$3000,B1530,$C$7:$C$3000,C1530,$I$7:$I$3000,"&lt;"&amp;I1530,$AI$7:$AI$3000,"yes")+COUNTIFS($B$7:B1530,B1530,$C$7:C1530,C1530,$I$7:I1530,I1530,$AI$7:AI1530,"yes"),"")</f>
        <v>4</v>
      </c>
      <c r="AH1530" s="110" t="str">
        <f aca="false">IF(ISNUMBER(H1530),"yes","no")</f>
        <v>yes</v>
      </c>
      <c r="AI1530" s="110" t="str">
        <f aca="false">IF(ISNUMBER(I1530),"yes","no")</f>
        <v>yes</v>
      </c>
      <c r="AJ1530" s="120" t="n">
        <v>46297</v>
      </c>
      <c r="AK1530" s="110"/>
    </row>
    <row r="1531" customFormat="false" ht="35.05" hidden="false" customHeight="false" outlineLevel="0" collapsed="false">
      <c r="B1531" s="36" t="s">
        <v>89</v>
      </c>
      <c r="C1531" s="98" t="s">
        <v>18</v>
      </c>
      <c r="D1531" s="98" t="s">
        <v>365</v>
      </c>
      <c r="E1531" s="110" t="s">
        <v>4817</v>
      </c>
      <c r="F1531" s="99" t="n">
        <v>7.84</v>
      </c>
      <c r="G1531" s="98" t="s">
        <v>244</v>
      </c>
      <c r="H1531" s="112" t="n">
        <f aca="false">IF(AND(AE1531="yes",ISNUMBER(AD1531)),AD1531,"")</f>
        <v>6.37</v>
      </c>
      <c r="I1531" s="95" t="n">
        <f aca="false">IF(AND(AE1531="yes",ISNUMBER(AD1531),ISNUMBER(INDEX(Sources!$G$7:$G$10,MATCH(AB1531,Sources!$B$7:$B$10,0)))),ROUND(AD1531/INDEX(Sources!$G$7:$G$10,MATCH(AB1531,Sources!$B$7:$B$10,0)),6),"")</f>
        <v>6.37</v>
      </c>
      <c r="J1531" s="98" t="s">
        <v>530</v>
      </c>
      <c r="K1531" s="98" t="s">
        <v>2059</v>
      </c>
      <c r="L1531" s="96"/>
      <c r="M1531" s="110" t="s">
        <v>4818</v>
      </c>
      <c r="N1531" s="117" t="s">
        <v>4819</v>
      </c>
      <c r="O1531" s="110" t="s">
        <v>3076</v>
      </c>
      <c r="P1531" s="110" t="s">
        <v>265</v>
      </c>
      <c r="Q1531" s="118" t="n">
        <v>0.23</v>
      </c>
      <c r="R1531" s="110" t="n">
        <v>1</v>
      </c>
      <c r="S1531" s="110" t="s">
        <v>632</v>
      </c>
      <c r="T1531" s="110" t="s">
        <v>530</v>
      </c>
      <c r="U1531" s="110" t="s">
        <v>2918</v>
      </c>
      <c r="V1531" s="119" t="n">
        <v>6.37</v>
      </c>
      <c r="W1531" s="119"/>
      <c r="X1531" s="110" t="s">
        <v>2063</v>
      </c>
      <c r="Y1531" s="110" t="s">
        <v>2064</v>
      </c>
      <c r="Z1531" s="110" t="s">
        <v>3016</v>
      </c>
      <c r="AA1531" s="110" t="s">
        <v>537</v>
      </c>
      <c r="AB1531" s="110" t="s">
        <v>244</v>
      </c>
      <c r="AC1531" s="110" t="s">
        <v>538</v>
      </c>
      <c r="AD1531" s="110" t="n">
        <f aca="false">IF(OR(F1531="",Q1531="",R1531=""),"",ROUND(IF(P1531="incl.",F1531/(1+Q1531),F1531)/IF(S1531="per pack",R1531,1),2))</f>
        <v>6.37</v>
      </c>
      <c r="AE1531" s="110" t="str">
        <f aca="false">IF(AND(AC1531="yes",ISNUMBER(F1531),IF(Compare!$H$5="All mapped",TRUE(),IF(Compare!$H$5="EXACT only",J1531="EXACT",OR(J1531="EXACT",J1531="CLOSE")))),"yes","no")</f>
        <v>yes</v>
      </c>
      <c r="AF1531" s="110" t="n">
        <f aca="false">IF(ISNUMBER(H1531),COUNTIFS($B$7:$B$3000,B1531,$C$7:$C$3000,C1531,$H$7:$H$3000,"&lt;"&amp;H1531,$AH$7:$AH$3000,"yes")+COUNTIFS($B$7:B1531,B1531,$C$7:C1531,C1531,$H$7:H1531,H1531,$AH$7:AH1531,"yes"),"")</f>
        <v>2</v>
      </c>
      <c r="AG1531" s="110" t="n">
        <f aca="false">IF(ISNUMBER(I1531),COUNTIFS($B$7:$B$3000,B1531,$C$7:$C$3000,C1531,$I$7:$I$3000,"&lt;"&amp;I1531,$AI$7:$AI$3000,"yes")+COUNTIFS($B$7:B1531,B1531,$C$7:C1531,C1531,$I$7:I1531,I1531,$AI$7:AI1531,"yes"),"")</f>
        <v>2</v>
      </c>
      <c r="AH1531" s="110" t="str">
        <f aca="false">IF(ISNUMBER(H1531),"yes","no")</f>
        <v>yes</v>
      </c>
      <c r="AI1531" s="110" t="str">
        <f aca="false">IF(ISNUMBER(I1531),"yes","no")</f>
        <v>yes</v>
      </c>
      <c r="AJ1531" s="120" t="n">
        <v>46297</v>
      </c>
      <c r="AK1531" s="110"/>
    </row>
    <row r="1532" customFormat="false" ht="35.05" hidden="false" customHeight="false" outlineLevel="0" collapsed="false">
      <c r="B1532" s="36" t="s">
        <v>89</v>
      </c>
      <c r="C1532" s="98" t="s">
        <v>18</v>
      </c>
      <c r="D1532" s="98" t="s">
        <v>369</v>
      </c>
      <c r="E1532" s="110" t="s">
        <v>4820</v>
      </c>
      <c r="F1532" s="99" t="n">
        <v>15.33</v>
      </c>
      <c r="G1532" s="98" t="s">
        <v>244</v>
      </c>
      <c r="H1532" s="112" t="n">
        <f aca="false">IF(AND(AE1532="yes",ISNUMBER(AD1532)),AD1532,"")</f>
        <v>12.46</v>
      </c>
      <c r="I1532" s="95" t="n">
        <f aca="false">IF(AND(AE1532="yes",ISNUMBER(AD1532),ISNUMBER(INDEX(Sources!$G$7:$G$10,MATCH(AB1532,Sources!$B$7:$B$10,0)))),ROUND(AD1532/INDEX(Sources!$G$7:$G$10,MATCH(AB1532,Sources!$B$7:$B$10,0)),6),"")</f>
        <v>12.46</v>
      </c>
      <c r="J1532" s="98" t="s">
        <v>530</v>
      </c>
      <c r="K1532" s="98" t="s">
        <v>2059</v>
      </c>
      <c r="L1532" s="96"/>
      <c r="M1532" s="110" t="s">
        <v>4821</v>
      </c>
      <c r="N1532" s="117" t="s">
        <v>4822</v>
      </c>
      <c r="O1532" s="110" t="s">
        <v>783</v>
      </c>
      <c r="P1532" s="110" t="s">
        <v>265</v>
      </c>
      <c r="Q1532" s="118" t="n">
        <v>0.23</v>
      </c>
      <c r="R1532" s="110" t="n">
        <v>1</v>
      </c>
      <c r="S1532" s="110" t="s">
        <v>632</v>
      </c>
      <c r="T1532" s="110" t="s">
        <v>530</v>
      </c>
      <c r="U1532" s="110" t="s">
        <v>2918</v>
      </c>
      <c r="V1532" s="119" t="n">
        <v>12.46</v>
      </c>
      <c r="W1532" s="119"/>
      <c r="X1532" s="110" t="s">
        <v>2063</v>
      </c>
      <c r="Y1532" s="110" t="s">
        <v>2064</v>
      </c>
      <c r="Z1532" s="110" t="s">
        <v>4300</v>
      </c>
      <c r="AA1532" s="110" t="s">
        <v>537</v>
      </c>
      <c r="AB1532" s="110" t="s">
        <v>244</v>
      </c>
      <c r="AC1532" s="110" t="s">
        <v>538</v>
      </c>
      <c r="AD1532" s="110" t="n">
        <f aca="false">IF(OR(F1532="",Q1532="",R1532=""),"",ROUND(IF(P1532="incl.",F1532/(1+Q1532),F1532)/IF(S1532="per pack",R1532,1),2))</f>
        <v>12.46</v>
      </c>
      <c r="AE1532" s="110" t="str">
        <f aca="false">IF(AND(AC1532="yes",ISNUMBER(F1532),IF(Compare!$H$5="All mapped",TRUE(),IF(Compare!$H$5="EXACT only",J1532="EXACT",OR(J1532="EXACT",J1532="CLOSE")))),"yes","no")</f>
        <v>yes</v>
      </c>
      <c r="AF1532" s="110" t="n">
        <f aca="false">IF(ISNUMBER(H1532),COUNTIFS($B$7:$B$3000,B1532,$C$7:$C$3000,C1532,$H$7:$H$3000,"&lt;"&amp;H1532,$AH$7:$AH$3000,"yes")+COUNTIFS($B$7:B1532,B1532,$C$7:C1532,C1532,$H$7:H1532,H1532,$AH$7:AH1532,"yes"),"")</f>
        <v>5</v>
      </c>
      <c r="AG1532" s="110" t="n">
        <f aca="false">IF(ISNUMBER(I1532),COUNTIFS($B$7:$B$3000,B1532,$C$7:$C$3000,C1532,$I$7:$I$3000,"&lt;"&amp;I1532,$AI$7:$AI$3000,"yes")+COUNTIFS($B$7:B1532,B1532,$C$7:C1532,C1532,$I$7:I1532,I1532,$AI$7:AI1532,"yes"),"")</f>
        <v>5</v>
      </c>
      <c r="AH1532" s="110" t="str">
        <f aca="false">IF(ISNUMBER(H1532),"yes","no")</f>
        <v>yes</v>
      </c>
      <c r="AI1532" s="110" t="str">
        <f aca="false">IF(ISNUMBER(I1532),"yes","no")</f>
        <v>yes</v>
      </c>
      <c r="AJ1532" s="120" t="n">
        <v>46297</v>
      </c>
      <c r="AK1532" s="110"/>
    </row>
    <row r="1533" customFormat="false" ht="23.85" hidden="false" customHeight="false" outlineLevel="0" collapsed="false">
      <c r="B1533" s="36" t="s">
        <v>89</v>
      </c>
      <c r="C1533" s="98" t="s">
        <v>18</v>
      </c>
      <c r="D1533" s="98" t="s">
        <v>4579</v>
      </c>
      <c r="E1533" s="110" t="s">
        <v>4823</v>
      </c>
      <c r="F1533" s="99" t="n">
        <v>10.46</v>
      </c>
      <c r="G1533" s="98" t="s">
        <v>244</v>
      </c>
      <c r="H1533" s="112" t="n">
        <f aca="false">IF(AND(AE1533="yes",ISNUMBER(AD1533)),AD1533,"")</f>
        <v>8.5</v>
      </c>
      <c r="I1533" s="95" t="n">
        <f aca="false">IF(AND(AE1533="yes",ISNUMBER(AD1533),ISNUMBER(INDEX(Sources!$G$7:$G$10,MATCH(AB1533,Sources!$B$7:$B$10,0)))),ROUND(AD1533/INDEX(Sources!$G$7:$G$10,MATCH(AB1533,Sources!$B$7:$B$10,0)),6),"")</f>
        <v>8.5</v>
      </c>
      <c r="J1533" s="98" t="s">
        <v>530</v>
      </c>
      <c r="K1533" s="98" t="s">
        <v>2059</v>
      </c>
      <c r="L1533" s="96"/>
      <c r="M1533" s="110" t="s">
        <v>4824</v>
      </c>
      <c r="N1533" s="117" t="s">
        <v>4825</v>
      </c>
      <c r="O1533" s="110" t="s">
        <v>246</v>
      </c>
      <c r="P1533" s="110" t="s">
        <v>265</v>
      </c>
      <c r="Q1533" s="118" t="n">
        <v>0.23</v>
      </c>
      <c r="R1533" s="110" t="n">
        <v>1</v>
      </c>
      <c r="S1533" s="110" t="s">
        <v>632</v>
      </c>
      <c r="T1533" s="110" t="s">
        <v>530</v>
      </c>
      <c r="U1533" s="110" t="s">
        <v>2918</v>
      </c>
      <c r="V1533" s="119" t="n">
        <v>8.5</v>
      </c>
      <c r="W1533" s="119"/>
      <c r="X1533" s="110" t="s">
        <v>2063</v>
      </c>
      <c r="Y1533" s="110" t="s">
        <v>2064</v>
      </c>
      <c r="Z1533" s="110" t="s">
        <v>4826</v>
      </c>
      <c r="AA1533" s="110" t="s">
        <v>537</v>
      </c>
      <c r="AB1533" s="110" t="s">
        <v>244</v>
      </c>
      <c r="AC1533" s="110" t="s">
        <v>538</v>
      </c>
      <c r="AD1533" s="110" t="n">
        <f aca="false">IF(OR(F1533="",Q1533="",R1533=""),"",ROUND(IF(P1533="incl.",F1533/(1+Q1533),F1533)/IF(S1533="per pack",R1533,1),2))</f>
        <v>8.5</v>
      </c>
      <c r="AE1533" s="110" t="str">
        <f aca="false">IF(AND(AC1533="yes",ISNUMBER(F1533),IF(Compare!$H$5="All mapped",TRUE(),IF(Compare!$H$5="EXACT only",J1533="EXACT",OR(J1533="EXACT",J1533="CLOSE")))),"yes","no")</f>
        <v>yes</v>
      </c>
      <c r="AF1533" s="110" t="n">
        <f aca="false">IF(ISNUMBER(H1533),COUNTIFS($B$7:$B$3000,B1533,$C$7:$C$3000,C1533,$H$7:$H$3000,"&lt;"&amp;H1533,$AH$7:$AH$3000,"yes")+COUNTIFS($B$7:B1533,B1533,$C$7:C1533,C1533,$H$7:H1533,H1533,$AH$7:AH1533,"yes"),"")</f>
        <v>3</v>
      </c>
      <c r="AG1533" s="110" t="n">
        <f aca="false">IF(ISNUMBER(I1533),COUNTIFS($B$7:$B$3000,B1533,$C$7:$C$3000,C1533,$I$7:$I$3000,"&lt;"&amp;I1533,$AI$7:$AI$3000,"yes")+COUNTIFS($B$7:B1533,B1533,$C$7:C1533,C1533,$I$7:I1533,I1533,$AI$7:AI1533,"yes"),"")</f>
        <v>3</v>
      </c>
      <c r="AH1533" s="110" t="str">
        <f aca="false">IF(ISNUMBER(H1533),"yes","no")</f>
        <v>yes</v>
      </c>
      <c r="AI1533" s="110" t="str">
        <f aca="false">IF(ISNUMBER(I1533),"yes","no")</f>
        <v>yes</v>
      </c>
      <c r="AJ1533" s="120" t="n">
        <v>46297</v>
      </c>
      <c r="AK1533" s="110"/>
    </row>
    <row r="1534" customFormat="false" ht="35.05" hidden="false" customHeight="false" outlineLevel="0" collapsed="false">
      <c r="B1534" s="36" t="s">
        <v>89</v>
      </c>
      <c r="C1534" s="98" t="s">
        <v>18</v>
      </c>
      <c r="D1534" s="98" t="s">
        <v>3021</v>
      </c>
      <c r="E1534" s="110" t="s">
        <v>4827</v>
      </c>
      <c r="F1534" s="99" t="n">
        <v>5.83</v>
      </c>
      <c r="G1534" s="98" t="s">
        <v>244</v>
      </c>
      <c r="H1534" s="112" t="n">
        <f aca="false">IF(AND(AE1534="yes",ISNUMBER(AD1534)),AD1534,"")</f>
        <v>5.83</v>
      </c>
      <c r="I1534" s="95" t="n">
        <f aca="false">IF(AND(AE1534="yes",ISNUMBER(AD1534),ISNUMBER(INDEX(Sources!$G$7:$G$10,MATCH(AB1534,Sources!$B$7:$B$10,0)))),ROUND(AD1534/INDEX(Sources!$G$7:$G$10,MATCH(AB1534,Sources!$B$7:$B$10,0)),6),"")</f>
        <v>5.83</v>
      </c>
      <c r="J1534" s="98" t="s">
        <v>530</v>
      </c>
      <c r="K1534" s="98" t="s">
        <v>2059</v>
      </c>
      <c r="L1534" s="96"/>
      <c r="M1534" s="110" t="s">
        <v>4828</v>
      </c>
      <c r="N1534" s="117" t="s">
        <v>4416</v>
      </c>
      <c r="O1534" s="110" t="s">
        <v>3024</v>
      </c>
      <c r="P1534" s="110" t="s">
        <v>590</v>
      </c>
      <c r="Q1534" s="118" t="n">
        <v>0.23</v>
      </c>
      <c r="R1534" s="110" t="n">
        <v>1</v>
      </c>
      <c r="S1534" s="110" t="s">
        <v>632</v>
      </c>
      <c r="T1534" s="110" t="s">
        <v>530</v>
      </c>
      <c r="U1534" s="110" t="s">
        <v>2913</v>
      </c>
      <c r="V1534" s="119" t="n">
        <v>5.83</v>
      </c>
      <c r="W1534" s="119"/>
      <c r="X1534" s="110" t="s">
        <v>2063</v>
      </c>
      <c r="Y1534" s="110" t="s">
        <v>2064</v>
      </c>
      <c r="Z1534" s="110" t="s">
        <v>3109</v>
      </c>
      <c r="AA1534" s="110" t="s">
        <v>537</v>
      </c>
      <c r="AB1534" s="110" t="s">
        <v>244</v>
      </c>
      <c r="AC1534" s="110" t="s">
        <v>538</v>
      </c>
      <c r="AD1534" s="110" t="n">
        <f aca="false">IF(OR(F1534="",Q1534="",R1534=""),"",ROUND(IF(P1534="incl.",F1534/(1+Q1534),F1534)/IF(S1534="per pack",R1534,1),2))</f>
        <v>5.83</v>
      </c>
      <c r="AE1534" s="110" t="str">
        <f aca="false">IF(AND(AC1534="yes",ISNUMBER(F1534),IF(Compare!$H$5="All mapped",TRUE(),IF(Compare!$H$5="EXACT only",J1534="EXACT",OR(J1534="EXACT",J1534="CLOSE")))),"yes","no")</f>
        <v>yes</v>
      </c>
      <c r="AF1534" s="110" t="n">
        <f aca="false">IF(ISNUMBER(H1534),COUNTIFS($B$7:$B$3000,B1534,$C$7:$C$3000,C1534,$H$7:$H$3000,"&lt;"&amp;H1534,$AH$7:$AH$3000,"yes")+COUNTIFS($B$7:B1534,B1534,$C$7:C1534,C1534,$H$7:H1534,H1534,$AH$7:AH1534,"yes"),"")</f>
        <v>1</v>
      </c>
      <c r="AG1534" s="110" t="n">
        <f aca="false">IF(ISNUMBER(I1534),COUNTIFS($B$7:$B$3000,B1534,$C$7:$C$3000,C1534,$I$7:$I$3000,"&lt;"&amp;I1534,$AI$7:$AI$3000,"yes")+COUNTIFS($B$7:B1534,B1534,$C$7:C1534,C1534,$I$7:I1534,I1534,$AI$7:AI1534,"yes"),"")</f>
        <v>1</v>
      </c>
      <c r="AH1534" s="110" t="str">
        <f aca="false">IF(ISNUMBER(H1534),"yes","no")</f>
        <v>yes</v>
      </c>
      <c r="AI1534" s="110" t="str">
        <f aca="false">IF(ISNUMBER(I1534),"yes","no")</f>
        <v>yes</v>
      </c>
      <c r="AJ1534" s="120" t="n">
        <v>46297</v>
      </c>
      <c r="AK1534" s="110"/>
    </row>
    <row r="1535" customFormat="false" ht="23.85" hidden="false" customHeight="false" outlineLevel="0" collapsed="false">
      <c r="B1535" s="36" t="s">
        <v>90</v>
      </c>
      <c r="C1535" s="98" t="s">
        <v>14</v>
      </c>
      <c r="D1535" s="98" t="s">
        <v>373</v>
      </c>
      <c r="E1535" s="110" t="s">
        <v>4829</v>
      </c>
      <c r="F1535" s="99" t="n">
        <v>13.8</v>
      </c>
      <c r="G1535" s="98" t="s">
        <v>374</v>
      </c>
      <c r="H1535" s="112" t="n">
        <f aca="false">IF(AND(AE1535="yes",ISNUMBER(AD1535)),AD1535,"")</f>
        <v>13.8</v>
      </c>
      <c r="I1535" s="95" t="n">
        <f aca="false">IF(AND(AE1535="yes",ISNUMBER(AD1535),ISNUMBER(INDEX(Sources!$G$7:$G$10,MATCH(AB1535,Sources!$B$7:$B$10,0)))),ROUND(AD1535/INDEX(Sources!$G$7:$G$10,MATCH(AB1535,Sources!$B$7:$B$10,0)),6),"")</f>
        <v>2.614804</v>
      </c>
      <c r="J1535" s="98" t="s">
        <v>530</v>
      </c>
      <c r="K1535" s="98" t="s">
        <v>2059</v>
      </c>
      <c r="L1535" s="96"/>
      <c r="M1535" s="110" t="s">
        <v>4830</v>
      </c>
      <c r="N1535" s="117" t="s">
        <v>4831</v>
      </c>
      <c r="O1535" s="110" t="s">
        <v>4321</v>
      </c>
      <c r="P1535" s="110" t="s">
        <v>590</v>
      </c>
      <c r="Q1535" s="118" t="n">
        <v>0.21</v>
      </c>
      <c r="R1535" s="110" t="n">
        <v>1</v>
      </c>
      <c r="S1535" s="110" t="s">
        <v>632</v>
      </c>
      <c r="T1535" s="110" t="s">
        <v>530</v>
      </c>
      <c r="U1535" s="110" t="s">
        <v>2913</v>
      </c>
      <c r="V1535" s="119" t="n">
        <v>13.8</v>
      </c>
      <c r="W1535" s="119"/>
      <c r="X1535" s="110" t="s">
        <v>2063</v>
      </c>
      <c r="Y1535" s="110" t="s">
        <v>2064</v>
      </c>
      <c r="Z1535" s="110"/>
      <c r="AA1535" s="110" t="s">
        <v>537</v>
      </c>
      <c r="AB1535" s="110" t="s">
        <v>374</v>
      </c>
      <c r="AC1535" s="110" t="s">
        <v>538</v>
      </c>
      <c r="AD1535" s="110" t="n">
        <f aca="false">IF(OR(F1535="",Q1535="",R1535=""),"",ROUND(IF(P1535="incl.",F1535/(1+Q1535),F1535)/IF(S1535="per pack",R1535,1),2))</f>
        <v>13.8</v>
      </c>
      <c r="AE1535" s="110" t="str">
        <f aca="false">IF(AND(AC1535="yes",ISNUMBER(F1535),IF(Compare!$H$5="All mapped",TRUE(),IF(Compare!$H$5="EXACT only",J1535="EXACT",OR(J1535="EXACT",J1535="CLOSE")))),"yes","no")</f>
        <v>yes</v>
      </c>
      <c r="AF1535" s="110" t="n">
        <f aca="false">IF(ISNUMBER(H1535),COUNTIFS($B$7:$B$3000,B1535,$C$7:$C$3000,C1535,$H$7:$H$3000,"&lt;"&amp;H1535,$AH$7:$AH$3000,"yes")+COUNTIFS($B$7:B1535,B1535,$C$7:C1535,C1535,$H$7:H1535,H1535,$AH$7:AH1535,"yes"),"")</f>
        <v>1</v>
      </c>
      <c r="AG1535" s="110" t="n">
        <f aca="false">IF(ISNUMBER(I1535),COUNTIFS($B$7:$B$3000,B1535,$C$7:$C$3000,C1535,$I$7:$I$3000,"&lt;"&amp;I1535,$AI$7:$AI$3000,"yes")+COUNTIFS($B$7:B1535,B1535,$C$7:C1535,C1535,$I$7:I1535,I1535,$AI$7:AI1535,"yes"),"")</f>
        <v>1</v>
      </c>
      <c r="AH1535" s="110" t="str">
        <f aca="false">IF(ISNUMBER(H1535),"yes","no")</f>
        <v>yes</v>
      </c>
      <c r="AI1535" s="110" t="str">
        <f aca="false">IF(ISNUMBER(I1535),"yes","no")</f>
        <v>yes</v>
      </c>
      <c r="AJ1535" s="120" t="n">
        <v>46297</v>
      </c>
      <c r="AK1535" s="110"/>
    </row>
    <row r="1536" customFormat="false" ht="46.25" hidden="false" customHeight="false" outlineLevel="0" collapsed="false">
      <c r="B1536" s="36" t="s">
        <v>90</v>
      </c>
      <c r="C1536" s="98" t="s">
        <v>14</v>
      </c>
      <c r="D1536" s="98" t="s">
        <v>4143</v>
      </c>
      <c r="E1536" s="110" t="s">
        <v>4832</v>
      </c>
      <c r="F1536" s="99" t="n">
        <v>310.56</v>
      </c>
      <c r="G1536" s="98" t="s">
        <v>374</v>
      </c>
      <c r="H1536" s="112" t="n">
        <f aca="false">IF(AND(AE1536="yes",ISNUMBER(AD1536)),AD1536,"")</f>
        <v>25.88</v>
      </c>
      <c r="I1536" s="95" t="n">
        <f aca="false">IF(AND(AE1536="yes",ISNUMBER(AD1536),ISNUMBER(INDEX(Sources!$G$7:$G$10,MATCH(AB1536,Sources!$B$7:$B$10,0)))),ROUND(AD1536/INDEX(Sources!$G$7:$G$10,MATCH(AB1536,Sources!$B$7:$B$10,0)),6),"")</f>
        <v>4.903705</v>
      </c>
      <c r="J1536" s="98" t="s">
        <v>530</v>
      </c>
      <c r="K1536" s="98" t="s">
        <v>2059</v>
      </c>
      <c r="L1536" s="96"/>
      <c r="M1536" s="110" t="s">
        <v>4833</v>
      </c>
      <c r="N1536" s="117" t="s">
        <v>4834</v>
      </c>
      <c r="O1536" s="110" t="s">
        <v>317</v>
      </c>
      <c r="P1536" s="110" t="s">
        <v>590</v>
      </c>
      <c r="Q1536" s="118" t="n">
        <v>0.21</v>
      </c>
      <c r="R1536" s="110" t="n">
        <v>12</v>
      </c>
      <c r="S1536" s="110" t="s">
        <v>625</v>
      </c>
      <c r="T1536" s="110" t="s">
        <v>530</v>
      </c>
      <c r="U1536" s="110" t="s">
        <v>2913</v>
      </c>
      <c r="V1536" s="119" t="n">
        <v>25.88</v>
      </c>
      <c r="W1536" s="119"/>
      <c r="X1536" s="110" t="s">
        <v>2063</v>
      </c>
      <c r="Y1536" s="110" t="s">
        <v>2064</v>
      </c>
      <c r="Z1536" s="110"/>
      <c r="AA1536" s="110" t="s">
        <v>537</v>
      </c>
      <c r="AB1536" s="110" t="s">
        <v>374</v>
      </c>
      <c r="AC1536" s="110" t="s">
        <v>538</v>
      </c>
      <c r="AD1536" s="110" t="n">
        <f aca="false">IF(OR(F1536="",Q1536="",R1536=""),"",ROUND(IF(P1536="incl.",F1536/(1+Q1536),F1536)/IF(S1536="per pack",R1536,1),2))</f>
        <v>25.88</v>
      </c>
      <c r="AE1536" s="110" t="str">
        <f aca="false">IF(AND(AC1536="yes",ISNUMBER(F1536),IF(Compare!$H$5="All mapped",TRUE(),IF(Compare!$H$5="EXACT only",J1536="EXACT",OR(J1536="EXACT",J1536="CLOSE")))),"yes","no")</f>
        <v>yes</v>
      </c>
      <c r="AF1536" s="110" t="n">
        <f aca="false">IF(ISNUMBER(H1536),COUNTIFS($B$7:$B$3000,B1536,$C$7:$C$3000,C1536,$H$7:$H$3000,"&lt;"&amp;H1536,$AH$7:$AH$3000,"yes")+COUNTIFS($B$7:B1536,B1536,$C$7:C1536,C1536,$H$7:H1536,H1536,$AH$7:AH1536,"yes"),"")</f>
        <v>4</v>
      </c>
      <c r="AG1536" s="110" t="n">
        <f aca="false">IF(ISNUMBER(I1536),COUNTIFS($B$7:$B$3000,B1536,$C$7:$C$3000,C1536,$I$7:$I$3000,"&lt;"&amp;I1536,$AI$7:$AI$3000,"yes")+COUNTIFS($B$7:B1536,B1536,$C$7:C1536,C1536,$I$7:I1536,I1536,$AI$7:AI1536,"yes"),"")</f>
        <v>4</v>
      </c>
      <c r="AH1536" s="110" t="str">
        <f aca="false">IF(ISNUMBER(H1536),"yes","no")</f>
        <v>yes</v>
      </c>
      <c r="AI1536" s="110" t="str">
        <f aca="false">IF(ISNUMBER(I1536),"yes","no")</f>
        <v>yes</v>
      </c>
      <c r="AJ1536" s="120" t="n">
        <v>46297</v>
      </c>
      <c r="AK1536" s="110"/>
    </row>
    <row r="1537" customFormat="false" ht="35.05" hidden="false" customHeight="false" outlineLevel="0" collapsed="false">
      <c r="B1537" s="36" t="s">
        <v>90</v>
      </c>
      <c r="C1537" s="98" t="s">
        <v>14</v>
      </c>
      <c r="D1537" s="98" t="s">
        <v>346</v>
      </c>
      <c r="E1537" s="110" t="s">
        <v>4835</v>
      </c>
      <c r="F1537" s="99" t="n">
        <v>39.66</v>
      </c>
      <c r="G1537" s="98" t="s">
        <v>374</v>
      </c>
      <c r="H1537" s="112" t="n">
        <f aca="false">IF(AND(AE1537="yes",ISNUMBER(AD1537)),AD1537,"")</f>
        <v>32.78</v>
      </c>
      <c r="I1537" s="95" t="n">
        <f aca="false">IF(AND(AE1537="yes",ISNUMBER(AD1537),ISNUMBER(INDEX(Sources!$G$7:$G$10,MATCH(AB1537,Sources!$B$7:$B$10,0)))),ROUND(AD1537/INDEX(Sources!$G$7:$G$10,MATCH(AB1537,Sources!$B$7:$B$10,0)),6),"")</f>
        <v>6.211108</v>
      </c>
      <c r="J1537" s="98" t="s">
        <v>702</v>
      </c>
      <c r="K1537" s="98" t="s">
        <v>2059</v>
      </c>
      <c r="L1537" s="96"/>
      <c r="M1537" s="110" t="s">
        <v>4836</v>
      </c>
      <c r="N1537" s="117" t="s">
        <v>4837</v>
      </c>
      <c r="O1537" s="110" t="s">
        <v>783</v>
      </c>
      <c r="P1537" s="110" t="s">
        <v>265</v>
      </c>
      <c r="Q1537" s="118" t="n">
        <v>0.21</v>
      </c>
      <c r="R1537" s="110" t="n">
        <v>1</v>
      </c>
      <c r="S1537" s="110" t="s">
        <v>632</v>
      </c>
      <c r="T1537" s="110" t="s">
        <v>702</v>
      </c>
      <c r="U1537" s="110" t="s">
        <v>2918</v>
      </c>
      <c r="V1537" s="119" t="n">
        <v>32.78</v>
      </c>
      <c r="W1537" s="119"/>
      <c r="X1537" s="110" t="s">
        <v>2063</v>
      </c>
      <c r="Y1537" s="110" t="s">
        <v>2064</v>
      </c>
      <c r="Z1537" s="110"/>
      <c r="AA1537" s="110" t="s">
        <v>537</v>
      </c>
      <c r="AB1537" s="110" t="s">
        <v>374</v>
      </c>
      <c r="AC1537" s="110" t="s">
        <v>538</v>
      </c>
      <c r="AD1537" s="110" t="n">
        <f aca="false">IF(OR(F1537="",Q1537="",R1537=""),"",ROUND(IF(P1537="incl.",F1537/(1+Q1537),F1537)/IF(S1537="per pack",R1537,1),2))</f>
        <v>32.78</v>
      </c>
      <c r="AE1537" s="110" t="str">
        <f aca="false">IF(AND(AC1537="yes",ISNUMBER(F1537),IF(Compare!$H$5="All mapped",TRUE(),IF(Compare!$H$5="EXACT only",J1537="EXACT",OR(J1537="EXACT",J1537="CLOSE")))),"yes","no")</f>
        <v>yes</v>
      </c>
      <c r="AF1537" s="110" t="n">
        <f aca="false">IF(ISNUMBER(H1537),COUNTIFS($B$7:$B$3000,B1537,$C$7:$C$3000,C1537,$H$7:$H$3000,"&lt;"&amp;H1537,$AH$7:$AH$3000,"yes")+COUNTIFS($B$7:B1537,B1537,$C$7:C1537,C1537,$H$7:H1537,H1537,$AH$7:AH1537,"yes"),"")</f>
        <v>5</v>
      </c>
      <c r="AG1537" s="110" t="n">
        <f aca="false">IF(ISNUMBER(I1537),COUNTIFS($B$7:$B$3000,B1537,$C$7:$C$3000,C1537,$I$7:$I$3000,"&lt;"&amp;I1537,$AI$7:$AI$3000,"yes")+COUNTIFS($B$7:B1537,B1537,$C$7:C1537,C1537,$I$7:I1537,I1537,$AI$7:AI1537,"yes"),"")</f>
        <v>5</v>
      </c>
      <c r="AH1537" s="110" t="str">
        <f aca="false">IF(ISNUMBER(H1537),"yes","no")</f>
        <v>yes</v>
      </c>
      <c r="AI1537" s="110" t="str">
        <f aca="false">IF(ISNUMBER(I1537),"yes","no")</f>
        <v>yes</v>
      </c>
      <c r="AJ1537" s="120" t="n">
        <v>46297</v>
      </c>
      <c r="AK1537" s="110"/>
    </row>
    <row r="1538" customFormat="false" ht="23.85" hidden="false" customHeight="false" outlineLevel="0" collapsed="false">
      <c r="B1538" s="36" t="s">
        <v>90</v>
      </c>
      <c r="C1538" s="98" t="s">
        <v>14</v>
      </c>
      <c r="D1538" s="98" t="s">
        <v>403</v>
      </c>
      <c r="E1538" s="110" t="s">
        <v>4838</v>
      </c>
      <c r="F1538" s="99" t="n">
        <v>21.47</v>
      </c>
      <c r="G1538" s="98" t="s">
        <v>374</v>
      </c>
      <c r="H1538" s="112" t="n">
        <f aca="false">IF(AND(AE1538="yes",ISNUMBER(AD1538)),AD1538,"")</f>
        <v>21.47</v>
      </c>
      <c r="I1538" s="95" t="n">
        <f aca="false">IF(AND(AE1538="yes",ISNUMBER(AD1538),ISNUMBER(INDEX(Sources!$G$7:$G$10,MATCH(AB1538,Sources!$B$7:$B$10,0)))),ROUND(AD1538/INDEX(Sources!$G$7:$G$10,MATCH(AB1538,Sources!$B$7:$B$10,0)),6),"")</f>
        <v>4.068105</v>
      </c>
      <c r="J1538" s="98" t="s">
        <v>530</v>
      </c>
      <c r="K1538" s="98" t="s">
        <v>2059</v>
      </c>
      <c r="L1538" s="96"/>
      <c r="M1538" s="110" t="s">
        <v>4839</v>
      </c>
      <c r="N1538" s="117" t="s">
        <v>4840</v>
      </c>
      <c r="O1538" s="110" t="s">
        <v>662</v>
      </c>
      <c r="P1538" s="110" t="s">
        <v>590</v>
      </c>
      <c r="Q1538" s="118" t="n">
        <v>0.21</v>
      </c>
      <c r="R1538" s="110" t="n">
        <v>1</v>
      </c>
      <c r="S1538" s="110" t="s">
        <v>632</v>
      </c>
      <c r="T1538" s="110" t="s">
        <v>530</v>
      </c>
      <c r="U1538" s="110" t="s">
        <v>2913</v>
      </c>
      <c r="V1538" s="119" t="n">
        <v>21.47</v>
      </c>
      <c r="W1538" s="119"/>
      <c r="X1538" s="110" t="s">
        <v>2063</v>
      </c>
      <c r="Y1538" s="110" t="s">
        <v>2064</v>
      </c>
      <c r="Z1538" s="110"/>
      <c r="AA1538" s="110" t="s">
        <v>537</v>
      </c>
      <c r="AB1538" s="110" t="s">
        <v>374</v>
      </c>
      <c r="AC1538" s="110" t="s">
        <v>538</v>
      </c>
      <c r="AD1538" s="110" t="n">
        <f aca="false">IF(OR(F1538="",Q1538="",R1538=""),"",ROUND(IF(P1538="incl.",F1538/(1+Q1538),F1538)/IF(S1538="per pack",R1538,1),2))</f>
        <v>21.47</v>
      </c>
      <c r="AE1538" s="110" t="str">
        <f aca="false">IF(AND(AC1538="yes",ISNUMBER(F1538),IF(Compare!$H$5="All mapped",TRUE(),IF(Compare!$H$5="EXACT only",J1538="EXACT",OR(J1538="EXACT",J1538="CLOSE")))),"yes","no")</f>
        <v>yes</v>
      </c>
      <c r="AF1538" s="110" t="n">
        <f aca="false">IF(ISNUMBER(H1538),COUNTIFS($B$7:$B$3000,B1538,$C$7:$C$3000,C1538,$H$7:$H$3000,"&lt;"&amp;H1538,$AH$7:$AH$3000,"yes")+COUNTIFS($B$7:B1538,B1538,$C$7:C1538,C1538,$H$7:H1538,H1538,$AH$7:AH1538,"yes"),"")</f>
        <v>3</v>
      </c>
      <c r="AG1538" s="110" t="n">
        <f aca="false">IF(ISNUMBER(I1538),COUNTIFS($B$7:$B$3000,B1538,$C$7:$C$3000,C1538,$I$7:$I$3000,"&lt;"&amp;I1538,$AI$7:$AI$3000,"yes")+COUNTIFS($B$7:B1538,B1538,$C$7:C1538,C1538,$I$7:I1538,I1538,$AI$7:AI1538,"yes"),"")</f>
        <v>3</v>
      </c>
      <c r="AH1538" s="110" t="str">
        <f aca="false">IF(ISNUMBER(H1538),"yes","no")</f>
        <v>yes</v>
      </c>
      <c r="AI1538" s="110" t="str">
        <f aca="false">IF(ISNUMBER(I1538),"yes","no")</f>
        <v>yes</v>
      </c>
      <c r="AJ1538" s="120" t="n">
        <v>46297</v>
      </c>
      <c r="AK1538" s="110"/>
    </row>
    <row r="1539" customFormat="false" ht="23.85" hidden="false" customHeight="false" outlineLevel="0" collapsed="false">
      <c r="B1539" s="36" t="s">
        <v>90</v>
      </c>
      <c r="C1539" s="98" t="s">
        <v>14</v>
      </c>
      <c r="D1539" s="98" t="s">
        <v>403</v>
      </c>
      <c r="E1539" s="110" t="s">
        <v>4841</v>
      </c>
      <c r="F1539" s="99" t="n">
        <v>21.4</v>
      </c>
      <c r="G1539" s="98" t="s">
        <v>374</v>
      </c>
      <c r="H1539" s="112" t="n">
        <f aca="false">IF(AND(AE1539="yes",ISNUMBER(AD1539)),AD1539,"")</f>
        <v>21.4</v>
      </c>
      <c r="I1539" s="95" t="n">
        <f aca="false">IF(AND(AE1539="yes",ISNUMBER(AD1539),ISNUMBER(INDEX(Sources!$G$7:$G$10,MATCH(AB1539,Sources!$B$7:$B$10,0)))),ROUND(AD1539/INDEX(Sources!$G$7:$G$10,MATCH(AB1539,Sources!$B$7:$B$10,0)),6),"")</f>
        <v>4.054841</v>
      </c>
      <c r="J1539" s="98" t="s">
        <v>530</v>
      </c>
      <c r="K1539" s="98" t="s">
        <v>2059</v>
      </c>
      <c r="L1539" s="96"/>
      <c r="M1539" s="110" t="s">
        <v>4842</v>
      </c>
      <c r="N1539" s="117" t="s">
        <v>4843</v>
      </c>
      <c r="O1539" s="110" t="s">
        <v>388</v>
      </c>
      <c r="P1539" s="110" t="s">
        <v>590</v>
      </c>
      <c r="Q1539" s="118" t="n">
        <v>0.21</v>
      </c>
      <c r="R1539" s="110" t="n">
        <v>1</v>
      </c>
      <c r="S1539" s="110" t="s">
        <v>632</v>
      </c>
      <c r="T1539" s="110" t="s">
        <v>530</v>
      </c>
      <c r="U1539" s="110" t="s">
        <v>2913</v>
      </c>
      <c r="V1539" s="119" t="n">
        <v>21.4</v>
      </c>
      <c r="W1539" s="119"/>
      <c r="X1539" s="110" t="s">
        <v>2063</v>
      </c>
      <c r="Y1539" s="110" t="s">
        <v>2064</v>
      </c>
      <c r="Z1539" s="110"/>
      <c r="AA1539" s="110" t="s">
        <v>537</v>
      </c>
      <c r="AB1539" s="110" t="s">
        <v>374</v>
      </c>
      <c r="AC1539" s="110" t="s">
        <v>538</v>
      </c>
      <c r="AD1539" s="110" t="n">
        <f aca="false">IF(OR(F1539="",Q1539="",R1539=""),"",ROUND(IF(P1539="incl.",F1539/(1+Q1539),F1539)/IF(S1539="per pack",R1539,1),2))</f>
        <v>21.4</v>
      </c>
      <c r="AE1539" s="110" t="str">
        <f aca="false">IF(AND(AC1539="yes",ISNUMBER(F1539),IF(Compare!$H$5="All mapped",TRUE(),IF(Compare!$H$5="EXACT only",J1539="EXACT",OR(J1539="EXACT",J1539="CLOSE")))),"yes","no")</f>
        <v>yes</v>
      </c>
      <c r="AF1539" s="110" t="n">
        <f aca="false">IF(ISNUMBER(H1539),COUNTIFS($B$7:$B$3000,B1539,$C$7:$C$3000,C1539,$H$7:$H$3000,"&lt;"&amp;H1539,$AH$7:$AH$3000,"yes")+COUNTIFS($B$7:B1539,B1539,$C$7:C1539,C1539,$H$7:H1539,H1539,$AH$7:AH1539,"yes"),"")</f>
        <v>2</v>
      </c>
      <c r="AG1539" s="110" t="n">
        <f aca="false">IF(ISNUMBER(I1539),COUNTIFS($B$7:$B$3000,B1539,$C$7:$C$3000,C1539,$I$7:$I$3000,"&lt;"&amp;I1539,$AI$7:$AI$3000,"yes")+COUNTIFS($B$7:B1539,B1539,$C$7:C1539,C1539,$I$7:I1539,I1539,$AI$7:AI1539,"yes"),"")</f>
        <v>2</v>
      </c>
      <c r="AH1539" s="110" t="str">
        <f aca="false">IF(ISNUMBER(H1539),"yes","no")</f>
        <v>yes</v>
      </c>
      <c r="AI1539" s="110" t="str">
        <f aca="false">IF(ISNUMBER(I1539),"yes","no")</f>
        <v>yes</v>
      </c>
      <c r="AJ1539" s="120" t="n">
        <v>46297</v>
      </c>
      <c r="AK1539" s="110"/>
    </row>
    <row r="1540" customFormat="false" ht="35.05" hidden="false" customHeight="false" outlineLevel="0" collapsed="false">
      <c r="B1540" s="36" t="s">
        <v>90</v>
      </c>
      <c r="C1540" s="98" t="s">
        <v>15</v>
      </c>
      <c r="D1540" s="98" t="s">
        <v>243</v>
      </c>
      <c r="E1540" s="110" t="s">
        <v>4844</v>
      </c>
      <c r="F1540" s="99" t="n">
        <v>5.72</v>
      </c>
      <c r="G1540" s="98" t="s">
        <v>244</v>
      </c>
      <c r="H1540" s="112" t="n">
        <f aca="false">IF(AND(AE1540="yes",ISNUMBER(AD1540)),AD1540,"")</f>
        <v>5.72</v>
      </c>
      <c r="I1540" s="95" t="n">
        <f aca="false">IF(AND(AE1540="yes",ISNUMBER(AD1540),ISNUMBER(INDEX(Sources!$G$7:$G$10,MATCH(AB1540,Sources!$B$7:$B$10,0)))),ROUND(AD1540/INDEX(Sources!$G$7:$G$10,MATCH(AB1540,Sources!$B$7:$B$10,0)),6),"")</f>
        <v>5.72</v>
      </c>
      <c r="J1540" s="98" t="s">
        <v>530</v>
      </c>
      <c r="K1540" s="98" t="s">
        <v>2059</v>
      </c>
      <c r="L1540" s="96"/>
      <c r="M1540" s="110" t="s">
        <v>4845</v>
      </c>
      <c r="N1540" s="117" t="s">
        <v>4846</v>
      </c>
      <c r="O1540" s="110" t="s">
        <v>388</v>
      </c>
      <c r="P1540" s="110" t="s">
        <v>590</v>
      </c>
      <c r="Q1540" s="118" t="n">
        <v>0.2</v>
      </c>
      <c r="R1540" s="110" t="n">
        <v>1</v>
      </c>
      <c r="S1540" s="110" t="s">
        <v>632</v>
      </c>
      <c r="T1540" s="110" t="s">
        <v>530</v>
      </c>
      <c r="U1540" s="110" t="s">
        <v>2913</v>
      </c>
      <c r="V1540" s="119" t="n">
        <v>5.72</v>
      </c>
      <c r="W1540" s="119"/>
      <c r="X1540" s="110" t="s">
        <v>2063</v>
      </c>
      <c r="Y1540" s="110" t="s">
        <v>2064</v>
      </c>
      <c r="Z1540" s="110" t="s">
        <v>4337</v>
      </c>
      <c r="AA1540" s="110" t="s">
        <v>537</v>
      </c>
      <c r="AB1540" s="110" t="s">
        <v>244</v>
      </c>
      <c r="AC1540" s="110" t="s">
        <v>538</v>
      </c>
      <c r="AD1540" s="110" t="n">
        <f aca="false">IF(OR(F1540="",Q1540="",R1540=""),"",ROUND(IF(P1540="incl.",F1540/(1+Q1540),F1540)/IF(S1540="per pack",R1540,1),2))</f>
        <v>5.72</v>
      </c>
      <c r="AE1540" s="110" t="str">
        <f aca="false">IF(AND(AC1540="yes",ISNUMBER(F1540),IF(Compare!$H$5="All mapped",TRUE(),IF(Compare!$H$5="EXACT only",J1540="EXACT",OR(J1540="EXACT",J1540="CLOSE")))),"yes","no")</f>
        <v>yes</v>
      </c>
      <c r="AF1540" s="110" t="n">
        <f aca="false">IF(ISNUMBER(H1540),COUNTIFS($B$7:$B$3000,B1540,$C$7:$C$3000,C1540,$H$7:$H$3000,"&lt;"&amp;H1540,$AH$7:$AH$3000,"yes")+COUNTIFS($B$7:B1540,B1540,$C$7:C1540,C1540,$H$7:H1540,H1540,$AH$7:AH1540,"yes"),"")</f>
        <v>4</v>
      </c>
      <c r="AG1540" s="110" t="n">
        <f aca="false">IF(ISNUMBER(I1540),COUNTIFS($B$7:$B$3000,B1540,$C$7:$C$3000,C1540,$I$7:$I$3000,"&lt;"&amp;I1540,$AI$7:$AI$3000,"yes")+COUNTIFS($B$7:B1540,B1540,$C$7:C1540,C1540,$I$7:I1540,I1540,$AI$7:AI1540,"yes"),"")</f>
        <v>4</v>
      </c>
      <c r="AH1540" s="110" t="str">
        <f aca="false">IF(ISNUMBER(H1540),"yes","no")</f>
        <v>yes</v>
      </c>
      <c r="AI1540" s="110" t="str">
        <f aca="false">IF(ISNUMBER(I1540),"yes","no")</f>
        <v>yes</v>
      </c>
      <c r="AJ1540" s="120" t="n">
        <v>46297</v>
      </c>
      <c r="AK1540" s="110"/>
    </row>
    <row r="1541" customFormat="false" ht="35.05" hidden="false" customHeight="false" outlineLevel="0" collapsed="false">
      <c r="B1541" s="36" t="s">
        <v>90</v>
      </c>
      <c r="C1541" s="98" t="s">
        <v>15</v>
      </c>
      <c r="D1541" s="98" t="s">
        <v>277</v>
      </c>
      <c r="E1541" s="110" t="s">
        <v>4847</v>
      </c>
      <c r="F1541" s="99" t="n">
        <v>54.99</v>
      </c>
      <c r="G1541" s="98" t="s">
        <v>244</v>
      </c>
      <c r="H1541" s="112" t="n">
        <f aca="false">IF(AND(AE1541="yes",ISNUMBER(AD1541)),AD1541,"")</f>
        <v>4.58</v>
      </c>
      <c r="I1541" s="95" t="n">
        <f aca="false">IF(AND(AE1541="yes",ISNUMBER(AD1541),ISNUMBER(INDEX(Sources!$G$7:$G$10,MATCH(AB1541,Sources!$B$7:$B$10,0)))),ROUND(AD1541/INDEX(Sources!$G$7:$G$10,MATCH(AB1541,Sources!$B$7:$B$10,0)),6),"")</f>
        <v>4.58</v>
      </c>
      <c r="J1541" s="98" t="s">
        <v>530</v>
      </c>
      <c r="K1541" s="98" t="s">
        <v>2059</v>
      </c>
      <c r="L1541" s="96"/>
      <c r="M1541" s="110" t="s">
        <v>4848</v>
      </c>
      <c r="N1541" s="117" t="s">
        <v>4849</v>
      </c>
      <c r="O1541" s="110" t="s">
        <v>317</v>
      </c>
      <c r="P1541" s="110" t="s">
        <v>590</v>
      </c>
      <c r="Q1541" s="118" t="n">
        <v>0.19</v>
      </c>
      <c r="R1541" s="110" t="n">
        <v>12</v>
      </c>
      <c r="S1541" s="110" t="s">
        <v>625</v>
      </c>
      <c r="T1541" s="110" t="s">
        <v>530</v>
      </c>
      <c r="U1541" s="110" t="s">
        <v>2913</v>
      </c>
      <c r="V1541" s="119" t="n">
        <v>4.58</v>
      </c>
      <c r="W1541" s="119"/>
      <c r="X1541" s="110" t="s">
        <v>2063</v>
      </c>
      <c r="Y1541" s="110" t="s">
        <v>2064</v>
      </c>
      <c r="Z1541" s="110" t="s">
        <v>4521</v>
      </c>
      <c r="AA1541" s="110" t="s">
        <v>537</v>
      </c>
      <c r="AB1541" s="110" t="s">
        <v>244</v>
      </c>
      <c r="AC1541" s="110" t="s">
        <v>538</v>
      </c>
      <c r="AD1541" s="110" t="n">
        <f aca="false">IF(OR(F1541="",Q1541="",R1541=""),"",ROUND(IF(P1541="incl.",F1541/(1+Q1541),F1541)/IF(S1541="per pack",R1541,1),2))</f>
        <v>4.58</v>
      </c>
      <c r="AE1541" s="110" t="str">
        <f aca="false">IF(AND(AC1541="yes",ISNUMBER(F1541),IF(Compare!$H$5="All mapped",TRUE(),IF(Compare!$H$5="EXACT only",J1541="EXACT",OR(J1541="EXACT",J1541="CLOSE")))),"yes","no")</f>
        <v>yes</v>
      </c>
      <c r="AF1541" s="110" t="n">
        <f aca="false">IF(ISNUMBER(H1541),COUNTIFS($B$7:$B$3000,B1541,$C$7:$C$3000,C1541,$H$7:$H$3000,"&lt;"&amp;H1541,$AH$7:$AH$3000,"yes")+COUNTIFS($B$7:B1541,B1541,$C$7:C1541,C1541,$H$7:H1541,H1541,$AH$7:AH1541,"yes"),"")</f>
        <v>3</v>
      </c>
      <c r="AG1541" s="110" t="n">
        <f aca="false">IF(ISNUMBER(I1541),COUNTIFS($B$7:$B$3000,B1541,$C$7:$C$3000,C1541,$I$7:$I$3000,"&lt;"&amp;I1541,$AI$7:$AI$3000,"yes")+COUNTIFS($B$7:B1541,B1541,$C$7:C1541,C1541,$I$7:I1541,I1541,$AI$7:AI1541,"yes"),"")</f>
        <v>3</v>
      </c>
      <c r="AH1541" s="110" t="str">
        <f aca="false">IF(ISNUMBER(H1541),"yes","no")</f>
        <v>yes</v>
      </c>
      <c r="AI1541" s="110" t="str">
        <f aca="false">IF(ISNUMBER(I1541),"yes","no")</f>
        <v>yes</v>
      </c>
      <c r="AJ1541" s="120" t="n">
        <v>46297</v>
      </c>
      <c r="AK1541" s="110"/>
    </row>
    <row r="1542" customFormat="false" ht="23.85" hidden="false" customHeight="false" outlineLevel="0" collapsed="false">
      <c r="B1542" s="36" t="s">
        <v>90</v>
      </c>
      <c r="C1542" s="98" t="s">
        <v>15</v>
      </c>
      <c r="D1542" s="98" t="s">
        <v>269</v>
      </c>
      <c r="E1542" s="110" t="s">
        <v>4850</v>
      </c>
      <c r="F1542" s="99" t="n">
        <v>7.49</v>
      </c>
      <c r="G1542" s="98" t="s">
        <v>244</v>
      </c>
      <c r="H1542" s="112" t="n">
        <f aca="false">IF(AND(AE1542="yes",ISNUMBER(AD1542)),AD1542,"")</f>
        <v>7.49</v>
      </c>
      <c r="I1542" s="95" t="n">
        <f aca="false">IF(AND(AE1542="yes",ISNUMBER(AD1542),ISNUMBER(INDEX(Sources!$G$7:$G$10,MATCH(AB1542,Sources!$B$7:$B$10,0)))),ROUND(AD1542/INDEX(Sources!$G$7:$G$10,MATCH(AB1542,Sources!$B$7:$B$10,0)),6),"")</f>
        <v>7.49</v>
      </c>
      <c r="J1542" s="98" t="s">
        <v>530</v>
      </c>
      <c r="K1542" s="98" t="s">
        <v>2059</v>
      </c>
      <c r="L1542" s="96"/>
      <c r="M1542" s="110" t="s">
        <v>4851</v>
      </c>
      <c r="N1542" s="117" t="s">
        <v>4852</v>
      </c>
      <c r="O1542" s="110" t="s">
        <v>589</v>
      </c>
      <c r="P1542" s="110" t="s">
        <v>590</v>
      </c>
      <c r="Q1542" s="118" t="n">
        <v>0.19</v>
      </c>
      <c r="R1542" s="110" t="n">
        <v>1</v>
      </c>
      <c r="S1542" s="110" t="s">
        <v>632</v>
      </c>
      <c r="T1542" s="110" t="s">
        <v>530</v>
      </c>
      <c r="U1542" s="110" t="s">
        <v>2913</v>
      </c>
      <c r="V1542" s="119" t="n">
        <v>7.49</v>
      </c>
      <c r="W1542" s="119"/>
      <c r="X1542" s="110" t="s">
        <v>2063</v>
      </c>
      <c r="Y1542" s="110" t="s">
        <v>2064</v>
      </c>
      <c r="Z1542" s="110" t="s">
        <v>4345</v>
      </c>
      <c r="AA1542" s="110" t="s">
        <v>537</v>
      </c>
      <c r="AB1542" s="110" t="s">
        <v>244</v>
      </c>
      <c r="AC1542" s="110" t="s">
        <v>538</v>
      </c>
      <c r="AD1542" s="110" t="n">
        <f aca="false">IF(OR(F1542="",Q1542="",R1542=""),"",ROUND(IF(P1542="incl.",F1542/(1+Q1542),F1542)/IF(S1542="per pack",R1542,1),2))</f>
        <v>7.49</v>
      </c>
      <c r="AE1542" s="110" t="str">
        <f aca="false">IF(AND(AC1542="yes",ISNUMBER(F1542),IF(Compare!$H$5="All mapped",TRUE(),IF(Compare!$H$5="EXACT only",J1542="EXACT",OR(J1542="EXACT",J1542="CLOSE")))),"yes","no")</f>
        <v>yes</v>
      </c>
      <c r="AF1542" s="110" t="n">
        <f aca="false">IF(ISNUMBER(H1542),COUNTIFS($B$7:$B$3000,B1542,$C$7:$C$3000,C1542,$H$7:$H$3000,"&lt;"&amp;H1542,$AH$7:$AH$3000,"yes")+COUNTIFS($B$7:B1542,B1542,$C$7:C1542,C1542,$H$7:H1542,H1542,$AH$7:AH1542,"yes"),"")</f>
        <v>5</v>
      </c>
      <c r="AG1542" s="110" t="n">
        <f aca="false">IF(ISNUMBER(I1542),COUNTIFS($B$7:$B$3000,B1542,$C$7:$C$3000,C1542,$I$7:$I$3000,"&lt;"&amp;I1542,$AI$7:$AI$3000,"yes")+COUNTIFS($B$7:B1542,B1542,$C$7:C1542,C1542,$I$7:I1542,I1542,$AI$7:AI1542,"yes"),"")</f>
        <v>5</v>
      </c>
      <c r="AH1542" s="110" t="str">
        <f aca="false">IF(ISNUMBER(H1542),"yes","no")</f>
        <v>yes</v>
      </c>
      <c r="AI1542" s="110" t="str">
        <f aca="false">IF(ISNUMBER(I1542),"yes","no")</f>
        <v>yes</v>
      </c>
      <c r="AJ1542" s="120" t="n">
        <v>46297</v>
      </c>
      <c r="AK1542" s="110"/>
    </row>
    <row r="1543" customFormat="false" ht="23.85" hidden="false" customHeight="false" outlineLevel="0" collapsed="false">
      <c r="B1543" s="36" t="s">
        <v>90</v>
      </c>
      <c r="C1543" s="98" t="s">
        <v>15</v>
      </c>
      <c r="D1543" s="98" t="s">
        <v>264</v>
      </c>
      <c r="E1543" s="110" t="s">
        <v>4853</v>
      </c>
      <c r="F1543" s="99" t="n">
        <v>15.3</v>
      </c>
      <c r="G1543" s="98" t="s">
        <v>244</v>
      </c>
      <c r="H1543" s="112" t="n">
        <f aca="false">IF(AND(AE1543="yes",ISNUMBER(AD1543)),AD1543,"")</f>
        <v>15.3</v>
      </c>
      <c r="I1543" s="95" t="n">
        <f aca="false">IF(AND(AE1543="yes",ISNUMBER(AD1543),ISNUMBER(INDEX(Sources!$G$7:$G$10,MATCH(AB1543,Sources!$B$7:$B$10,0)))),ROUND(AD1543/INDEX(Sources!$G$7:$G$10,MATCH(AB1543,Sources!$B$7:$B$10,0)),6),"")</f>
        <v>15.3</v>
      </c>
      <c r="J1543" s="98" t="s">
        <v>530</v>
      </c>
      <c r="K1543" s="98" t="s">
        <v>2059</v>
      </c>
      <c r="L1543" s="96"/>
      <c r="M1543" s="110" t="s">
        <v>4854</v>
      </c>
      <c r="N1543" s="117" t="s">
        <v>4855</v>
      </c>
      <c r="O1543" s="110" t="s">
        <v>388</v>
      </c>
      <c r="P1543" s="110" t="s">
        <v>590</v>
      </c>
      <c r="Q1543" s="118" t="n">
        <v>0.19</v>
      </c>
      <c r="R1543" s="110" t="n">
        <v>1</v>
      </c>
      <c r="S1543" s="110" t="s">
        <v>632</v>
      </c>
      <c r="T1543" s="110" t="s">
        <v>530</v>
      </c>
      <c r="U1543" s="110" t="s">
        <v>2913</v>
      </c>
      <c r="V1543" s="119" t="n">
        <v>15.3</v>
      </c>
      <c r="W1543" s="119"/>
      <c r="X1543" s="110" t="s">
        <v>2063</v>
      </c>
      <c r="Y1543" s="110" t="s">
        <v>2064</v>
      </c>
      <c r="Z1543" s="110"/>
      <c r="AA1543" s="110" t="s">
        <v>537</v>
      </c>
      <c r="AB1543" s="110" t="s">
        <v>244</v>
      </c>
      <c r="AC1543" s="110" t="s">
        <v>538</v>
      </c>
      <c r="AD1543" s="110" t="n">
        <f aca="false">IF(OR(F1543="",Q1543="",R1543=""),"",ROUND(IF(P1543="incl.",F1543/(1+Q1543),F1543)/IF(S1543="per pack",R1543,1),2))</f>
        <v>15.3</v>
      </c>
      <c r="AE1543" s="110" t="str">
        <f aca="false">IF(AND(AC1543="yes",ISNUMBER(F1543),IF(Compare!$H$5="All mapped",TRUE(),IF(Compare!$H$5="EXACT only",J1543="EXACT",OR(J1543="EXACT",J1543="CLOSE")))),"yes","no")</f>
        <v>yes</v>
      </c>
      <c r="AF1543" s="110" t="n">
        <f aca="false">IF(ISNUMBER(H1543),COUNTIFS($B$7:$B$3000,B1543,$C$7:$C$3000,C1543,$H$7:$H$3000,"&lt;"&amp;H1543,$AH$7:$AH$3000,"yes")+COUNTIFS($B$7:B1543,B1543,$C$7:C1543,C1543,$H$7:H1543,H1543,$AH$7:AH1543,"yes"),"")</f>
        <v>6</v>
      </c>
      <c r="AG1543" s="110" t="n">
        <f aca="false">IF(ISNUMBER(I1543),COUNTIFS($B$7:$B$3000,B1543,$C$7:$C$3000,C1543,$I$7:$I$3000,"&lt;"&amp;I1543,$AI$7:$AI$3000,"yes")+COUNTIFS($B$7:B1543,B1543,$C$7:C1543,C1543,$I$7:I1543,I1543,$AI$7:AI1543,"yes"),"")</f>
        <v>6</v>
      </c>
      <c r="AH1543" s="110" t="str">
        <f aca="false">IF(ISNUMBER(H1543),"yes","no")</f>
        <v>yes</v>
      </c>
      <c r="AI1543" s="110" t="str">
        <f aca="false">IF(ISNUMBER(I1543),"yes","no")</f>
        <v>yes</v>
      </c>
      <c r="AJ1543" s="120" t="n">
        <v>46297</v>
      </c>
      <c r="AK1543" s="110"/>
    </row>
    <row r="1544" customFormat="false" ht="46.25" hidden="false" customHeight="false" outlineLevel="0" collapsed="false">
      <c r="B1544" s="36" t="s">
        <v>90</v>
      </c>
      <c r="C1544" s="98" t="s">
        <v>15</v>
      </c>
      <c r="D1544" s="98" t="s">
        <v>281</v>
      </c>
      <c r="E1544" s="110" t="s">
        <v>4856</v>
      </c>
      <c r="F1544" s="99" t="n">
        <v>3.65</v>
      </c>
      <c r="G1544" s="98" t="s">
        <v>244</v>
      </c>
      <c r="H1544" s="112" t="n">
        <f aca="false">IF(AND(AE1544="yes",ISNUMBER(AD1544)),AD1544,"")</f>
        <v>3.65</v>
      </c>
      <c r="I1544" s="95" t="n">
        <f aca="false">IF(AND(AE1544="yes",ISNUMBER(AD1544),ISNUMBER(INDEX(Sources!$G$7:$G$10,MATCH(AB1544,Sources!$B$7:$B$10,0)))),ROUND(AD1544/INDEX(Sources!$G$7:$G$10,MATCH(AB1544,Sources!$B$7:$B$10,0)),6),"")</f>
        <v>3.65</v>
      </c>
      <c r="J1544" s="98" t="s">
        <v>530</v>
      </c>
      <c r="K1544" s="98" t="s">
        <v>2059</v>
      </c>
      <c r="L1544" s="96"/>
      <c r="M1544" s="110" t="s">
        <v>4857</v>
      </c>
      <c r="N1544" s="117" t="s">
        <v>4858</v>
      </c>
      <c r="O1544" s="110" t="s">
        <v>603</v>
      </c>
      <c r="P1544" s="110" t="s">
        <v>590</v>
      </c>
      <c r="Q1544" s="118" t="n">
        <v>0.2</v>
      </c>
      <c r="R1544" s="110" t="n">
        <v>1</v>
      </c>
      <c r="S1544" s="110" t="s">
        <v>632</v>
      </c>
      <c r="T1544" s="110" t="s">
        <v>530</v>
      </c>
      <c r="U1544" s="110" t="s">
        <v>2913</v>
      </c>
      <c r="V1544" s="119" t="n">
        <v>3.65</v>
      </c>
      <c r="W1544" s="119"/>
      <c r="X1544" s="110" t="s">
        <v>2063</v>
      </c>
      <c r="Y1544" s="110" t="s">
        <v>2064</v>
      </c>
      <c r="Z1544" s="110" t="s">
        <v>2125</v>
      </c>
      <c r="AA1544" s="110" t="s">
        <v>537</v>
      </c>
      <c r="AB1544" s="110" t="s">
        <v>244</v>
      </c>
      <c r="AC1544" s="110" t="s">
        <v>538</v>
      </c>
      <c r="AD1544" s="110" t="n">
        <f aca="false">IF(OR(F1544="",Q1544="",R1544=""),"",ROUND(IF(P1544="incl.",F1544/(1+Q1544),F1544)/IF(S1544="per pack",R1544,1),2))</f>
        <v>3.65</v>
      </c>
      <c r="AE1544" s="110" t="str">
        <f aca="false">IF(AND(AC1544="yes",ISNUMBER(F1544),IF(Compare!$H$5="All mapped",TRUE(),IF(Compare!$H$5="EXACT only",J1544="EXACT",OR(J1544="EXACT",J1544="CLOSE")))),"yes","no")</f>
        <v>yes</v>
      </c>
      <c r="AF1544" s="110" t="n">
        <f aca="false">IF(ISNUMBER(H1544),COUNTIFS($B$7:$B$3000,B1544,$C$7:$C$3000,C1544,$H$7:$H$3000,"&lt;"&amp;H1544,$AH$7:$AH$3000,"yes")+COUNTIFS($B$7:B1544,B1544,$C$7:C1544,C1544,$H$7:H1544,H1544,$AH$7:AH1544,"yes"),"")</f>
        <v>2</v>
      </c>
      <c r="AG1544" s="110" t="n">
        <f aca="false">IF(ISNUMBER(I1544),COUNTIFS($B$7:$B$3000,B1544,$C$7:$C$3000,C1544,$I$7:$I$3000,"&lt;"&amp;I1544,$AI$7:$AI$3000,"yes")+COUNTIFS($B$7:B1544,B1544,$C$7:C1544,C1544,$I$7:I1544,I1544,$AI$7:AI1544,"yes"),"")</f>
        <v>2</v>
      </c>
      <c r="AH1544" s="110" t="str">
        <f aca="false">IF(ISNUMBER(H1544),"yes","no")</f>
        <v>yes</v>
      </c>
      <c r="AI1544" s="110" t="str">
        <f aca="false">IF(ISNUMBER(I1544),"yes","no")</f>
        <v>yes</v>
      </c>
      <c r="AJ1544" s="120" t="n">
        <v>46297</v>
      </c>
      <c r="AK1544" s="110"/>
    </row>
    <row r="1545" customFormat="false" ht="35.05" hidden="false" customHeight="false" outlineLevel="0" collapsed="false">
      <c r="B1545" s="36" t="s">
        <v>90</v>
      </c>
      <c r="C1545" s="98" t="s">
        <v>15</v>
      </c>
      <c r="D1545" s="98" t="s">
        <v>293</v>
      </c>
      <c r="E1545" s="110" t="s">
        <v>4859</v>
      </c>
      <c r="F1545" s="99" t="n">
        <v>3.1</v>
      </c>
      <c r="G1545" s="98" t="s">
        <v>244</v>
      </c>
      <c r="H1545" s="112" t="n">
        <f aca="false">IF(AND(AE1545="yes",ISNUMBER(AD1545)),AD1545,"")</f>
        <v>3.1</v>
      </c>
      <c r="I1545" s="95" t="n">
        <f aca="false">IF(AND(AE1545="yes",ISNUMBER(AD1545),ISNUMBER(INDEX(Sources!$G$7:$G$10,MATCH(AB1545,Sources!$B$7:$B$10,0)))),ROUND(AD1545/INDEX(Sources!$G$7:$G$10,MATCH(AB1545,Sources!$B$7:$B$10,0)),6),"")</f>
        <v>3.1</v>
      </c>
      <c r="J1545" s="98" t="s">
        <v>530</v>
      </c>
      <c r="K1545" s="98" t="s">
        <v>2059</v>
      </c>
      <c r="L1545" s="96"/>
      <c r="M1545" s="110" t="s">
        <v>4860</v>
      </c>
      <c r="N1545" s="117" t="s">
        <v>4861</v>
      </c>
      <c r="O1545" s="110" t="s">
        <v>4358</v>
      </c>
      <c r="P1545" s="110" t="s">
        <v>590</v>
      </c>
      <c r="Q1545" s="118" t="n">
        <v>0.2</v>
      </c>
      <c r="R1545" s="110" t="n">
        <v>1</v>
      </c>
      <c r="S1545" s="110" t="s">
        <v>632</v>
      </c>
      <c r="T1545" s="110" t="s">
        <v>530</v>
      </c>
      <c r="U1545" s="110" t="s">
        <v>2913</v>
      </c>
      <c r="V1545" s="119" t="n">
        <v>3.1</v>
      </c>
      <c r="W1545" s="119"/>
      <c r="X1545" s="110" t="s">
        <v>2063</v>
      </c>
      <c r="Y1545" s="110" t="s">
        <v>2064</v>
      </c>
      <c r="Z1545" s="110"/>
      <c r="AA1545" s="110" t="s">
        <v>537</v>
      </c>
      <c r="AB1545" s="110" t="s">
        <v>244</v>
      </c>
      <c r="AC1545" s="110" t="s">
        <v>538</v>
      </c>
      <c r="AD1545" s="110" t="n">
        <f aca="false">IF(OR(F1545="",Q1545="",R1545=""),"",ROUND(IF(P1545="incl.",F1545/(1+Q1545),F1545)/IF(S1545="per pack",R1545,1),2))</f>
        <v>3.1</v>
      </c>
      <c r="AE1545" s="110" t="str">
        <f aca="false">IF(AND(AC1545="yes",ISNUMBER(F1545),IF(Compare!$H$5="All mapped",TRUE(),IF(Compare!$H$5="EXACT only",J1545="EXACT",OR(J1545="EXACT",J1545="CLOSE")))),"yes","no")</f>
        <v>yes</v>
      </c>
      <c r="AF1545" s="110" t="n">
        <f aca="false">IF(ISNUMBER(H1545),COUNTIFS($B$7:$B$3000,B1545,$C$7:$C$3000,C1545,$H$7:$H$3000,"&lt;"&amp;H1545,$AH$7:$AH$3000,"yes")+COUNTIFS($B$7:B1545,B1545,$C$7:C1545,C1545,$H$7:H1545,H1545,$AH$7:AH1545,"yes"),"")</f>
        <v>1</v>
      </c>
      <c r="AG1545" s="110" t="n">
        <f aca="false">IF(ISNUMBER(I1545),COUNTIFS($B$7:$B$3000,B1545,$C$7:$C$3000,C1545,$I$7:$I$3000,"&lt;"&amp;I1545,$AI$7:$AI$3000,"yes")+COUNTIFS($B$7:B1545,B1545,$C$7:C1545,C1545,$I$7:I1545,I1545,$AI$7:AI1545,"yes"),"")</f>
        <v>1</v>
      </c>
      <c r="AH1545" s="110" t="str">
        <f aca="false">IF(ISNUMBER(H1545),"yes","no")</f>
        <v>yes</v>
      </c>
      <c r="AI1545" s="110" t="str">
        <f aca="false">IF(ISNUMBER(I1545),"yes","no")</f>
        <v>yes</v>
      </c>
      <c r="AJ1545" s="120" t="n">
        <v>46297</v>
      </c>
      <c r="AK1545" s="110"/>
    </row>
    <row r="1546" customFormat="false" ht="23.85" hidden="false" customHeight="false" outlineLevel="0" collapsed="false">
      <c r="B1546" s="36" t="s">
        <v>90</v>
      </c>
      <c r="C1546" s="98" t="s">
        <v>16</v>
      </c>
      <c r="D1546" s="98" t="s">
        <v>296</v>
      </c>
      <c r="E1546" s="110" t="s">
        <v>4844</v>
      </c>
      <c r="F1546" s="99" t="n">
        <v>5.72</v>
      </c>
      <c r="G1546" s="98" t="s">
        <v>244</v>
      </c>
      <c r="H1546" s="112" t="n">
        <f aca="false">IF(AND(AE1546="yes",ISNUMBER(AD1546)),AD1546,"")</f>
        <v>5.72</v>
      </c>
      <c r="I1546" s="95" t="n">
        <f aca="false">IF(AND(AE1546="yes",ISNUMBER(AD1546),ISNUMBER(INDEX(Sources!$G$7:$G$10,MATCH(AB1546,Sources!$B$7:$B$10,0)))),ROUND(AD1546/INDEX(Sources!$G$7:$G$10,MATCH(AB1546,Sources!$B$7:$B$10,0)),6),"")</f>
        <v>5.72</v>
      </c>
      <c r="J1546" s="98" t="s">
        <v>530</v>
      </c>
      <c r="K1546" s="98" t="s">
        <v>2059</v>
      </c>
      <c r="L1546" s="96"/>
      <c r="M1546" s="110" t="s">
        <v>4862</v>
      </c>
      <c r="N1546" s="117" t="s">
        <v>4863</v>
      </c>
      <c r="O1546" s="110" t="s">
        <v>388</v>
      </c>
      <c r="P1546" s="110" t="s">
        <v>590</v>
      </c>
      <c r="Q1546" s="118" t="n">
        <v>0.19</v>
      </c>
      <c r="R1546" s="110" t="n">
        <v>1</v>
      </c>
      <c r="S1546" s="110" t="s">
        <v>632</v>
      </c>
      <c r="T1546" s="110" t="s">
        <v>530</v>
      </c>
      <c r="U1546" s="110" t="s">
        <v>2913</v>
      </c>
      <c r="V1546" s="119" t="n">
        <v>5.72</v>
      </c>
      <c r="W1546" s="119"/>
      <c r="X1546" s="110" t="s">
        <v>2063</v>
      </c>
      <c r="Y1546" s="110" t="s">
        <v>2064</v>
      </c>
      <c r="Z1546" s="110" t="s">
        <v>2065</v>
      </c>
      <c r="AA1546" s="110" t="s">
        <v>537</v>
      </c>
      <c r="AB1546" s="110" t="s">
        <v>244</v>
      </c>
      <c r="AC1546" s="110" t="s">
        <v>538</v>
      </c>
      <c r="AD1546" s="110" t="n">
        <f aca="false">IF(OR(F1546="",Q1546="",R1546=""),"",ROUND(IF(P1546="incl.",F1546/(1+Q1546),F1546)/IF(S1546="per pack",R1546,1),2))</f>
        <v>5.72</v>
      </c>
      <c r="AE1546" s="110" t="str">
        <f aca="false">IF(AND(AC1546="yes",ISNUMBER(F1546),IF(Compare!$H$5="All mapped",TRUE(),IF(Compare!$H$5="EXACT only",J1546="EXACT",OR(J1546="EXACT",J1546="CLOSE")))),"yes","no")</f>
        <v>yes</v>
      </c>
      <c r="AF1546" s="110" t="n">
        <f aca="false">IF(ISNUMBER(H1546),COUNTIFS($B$7:$B$3000,B1546,$C$7:$C$3000,C1546,$H$7:$H$3000,"&lt;"&amp;H1546,$AH$7:$AH$3000,"yes")+COUNTIFS($B$7:B1546,B1546,$C$7:C1546,C1546,$H$7:H1546,H1546,$AH$7:AH1546,"yes"),"")</f>
        <v>7</v>
      </c>
      <c r="AG1546" s="110" t="n">
        <f aca="false">IF(ISNUMBER(I1546),COUNTIFS($B$7:$B$3000,B1546,$C$7:$C$3000,C1546,$I$7:$I$3000,"&lt;"&amp;I1546,$AI$7:$AI$3000,"yes")+COUNTIFS($B$7:B1546,B1546,$C$7:C1546,C1546,$I$7:I1546,I1546,$AI$7:AI1546,"yes"),"")</f>
        <v>7</v>
      </c>
      <c r="AH1546" s="110" t="str">
        <f aca="false">IF(ISNUMBER(H1546),"yes","no")</f>
        <v>yes</v>
      </c>
      <c r="AI1546" s="110" t="str">
        <f aca="false">IF(ISNUMBER(I1546),"yes","no")</f>
        <v>yes</v>
      </c>
      <c r="AJ1546" s="120" t="n">
        <v>46297</v>
      </c>
      <c r="AK1546" s="110"/>
    </row>
    <row r="1547" customFormat="false" ht="23.85" hidden="false" customHeight="false" outlineLevel="0" collapsed="false">
      <c r="B1547" s="36" t="s">
        <v>90</v>
      </c>
      <c r="C1547" s="98" t="s">
        <v>16</v>
      </c>
      <c r="D1547" s="98" t="s">
        <v>296</v>
      </c>
      <c r="E1547" s="110" t="s">
        <v>4864</v>
      </c>
      <c r="F1547" s="99" t="n">
        <v>2.9</v>
      </c>
      <c r="G1547" s="98" t="s">
        <v>244</v>
      </c>
      <c r="H1547" s="112" t="n">
        <f aca="false">IF(AND(AE1547="yes",ISNUMBER(AD1547)),AD1547,"")</f>
        <v>2.9</v>
      </c>
      <c r="I1547" s="95" t="n">
        <f aca="false">IF(AND(AE1547="yes",ISNUMBER(AD1547),ISNUMBER(INDEX(Sources!$G$7:$G$10,MATCH(AB1547,Sources!$B$7:$B$10,0)))),ROUND(AD1547/INDEX(Sources!$G$7:$G$10,MATCH(AB1547,Sources!$B$7:$B$10,0)),6),"")</f>
        <v>2.9</v>
      </c>
      <c r="J1547" s="98" t="s">
        <v>530</v>
      </c>
      <c r="K1547" s="98" t="s">
        <v>2059</v>
      </c>
      <c r="L1547" s="96"/>
      <c r="M1547" s="110" t="s">
        <v>4865</v>
      </c>
      <c r="N1547" s="117" t="s">
        <v>4866</v>
      </c>
      <c r="O1547" s="110" t="s">
        <v>4362</v>
      </c>
      <c r="P1547" s="110" t="s">
        <v>590</v>
      </c>
      <c r="Q1547" s="118" t="n">
        <v>0.19</v>
      </c>
      <c r="R1547" s="110" t="n">
        <v>1</v>
      </c>
      <c r="S1547" s="110" t="s">
        <v>632</v>
      </c>
      <c r="T1547" s="110" t="s">
        <v>530</v>
      </c>
      <c r="U1547" s="110" t="s">
        <v>2913</v>
      </c>
      <c r="V1547" s="119" t="n">
        <v>2.9</v>
      </c>
      <c r="W1547" s="119"/>
      <c r="X1547" s="110" t="s">
        <v>2063</v>
      </c>
      <c r="Y1547" s="110" t="s">
        <v>2064</v>
      </c>
      <c r="Z1547" s="110" t="s">
        <v>2164</v>
      </c>
      <c r="AA1547" s="110" t="s">
        <v>537</v>
      </c>
      <c r="AB1547" s="110" t="s">
        <v>244</v>
      </c>
      <c r="AC1547" s="110" t="s">
        <v>538</v>
      </c>
      <c r="AD1547" s="110" t="n">
        <f aca="false">IF(OR(F1547="",Q1547="",R1547=""),"",ROUND(IF(P1547="incl.",F1547/(1+Q1547),F1547)/IF(S1547="per pack",R1547,1),2))</f>
        <v>2.9</v>
      </c>
      <c r="AE1547" s="110" t="str">
        <f aca="false">IF(AND(AC1547="yes",ISNUMBER(F1547),IF(Compare!$H$5="All mapped",TRUE(),IF(Compare!$H$5="EXACT only",J1547="EXACT",OR(J1547="EXACT",J1547="CLOSE")))),"yes","no")</f>
        <v>yes</v>
      </c>
      <c r="AF1547" s="110" t="n">
        <f aca="false">IF(ISNUMBER(H1547),COUNTIFS($B$7:$B$3000,B1547,$C$7:$C$3000,C1547,$H$7:$H$3000,"&lt;"&amp;H1547,$AH$7:$AH$3000,"yes")+COUNTIFS($B$7:B1547,B1547,$C$7:C1547,C1547,$H$7:H1547,H1547,$AH$7:AH1547,"yes"),"")</f>
        <v>1</v>
      </c>
      <c r="AG1547" s="110" t="n">
        <f aca="false">IF(ISNUMBER(I1547),COUNTIFS($B$7:$B$3000,B1547,$C$7:$C$3000,C1547,$I$7:$I$3000,"&lt;"&amp;I1547,$AI$7:$AI$3000,"yes")+COUNTIFS($B$7:B1547,B1547,$C$7:C1547,C1547,$I$7:I1547,I1547,$AI$7:AI1547,"yes"),"")</f>
        <v>1</v>
      </c>
      <c r="AH1547" s="110" t="str">
        <f aca="false">IF(ISNUMBER(H1547),"yes","no")</f>
        <v>yes</v>
      </c>
      <c r="AI1547" s="110" t="str">
        <f aca="false">IF(ISNUMBER(I1547),"yes","no")</f>
        <v>yes</v>
      </c>
      <c r="AJ1547" s="120" t="n">
        <v>46297</v>
      </c>
      <c r="AK1547" s="110"/>
    </row>
    <row r="1548" customFormat="false" ht="35.05" hidden="false" customHeight="false" outlineLevel="0" collapsed="false">
      <c r="B1548" s="36" t="s">
        <v>90</v>
      </c>
      <c r="C1548" s="98" t="s">
        <v>16</v>
      </c>
      <c r="D1548" s="98" t="s">
        <v>317</v>
      </c>
      <c r="E1548" s="110" t="s">
        <v>4847</v>
      </c>
      <c r="F1548" s="99" t="n">
        <v>52.99</v>
      </c>
      <c r="G1548" s="98" t="s">
        <v>244</v>
      </c>
      <c r="H1548" s="112" t="n">
        <f aca="false">IF(AND(AE1548="yes",ISNUMBER(AD1548)),AD1548,"")</f>
        <v>4.42</v>
      </c>
      <c r="I1548" s="95" t="n">
        <f aca="false">IF(AND(AE1548="yes",ISNUMBER(AD1548),ISNUMBER(INDEX(Sources!$G$7:$G$10,MATCH(AB1548,Sources!$B$7:$B$10,0)))),ROUND(AD1548/INDEX(Sources!$G$7:$G$10,MATCH(AB1548,Sources!$B$7:$B$10,0)),6),"")</f>
        <v>4.42</v>
      </c>
      <c r="J1548" s="98" t="s">
        <v>530</v>
      </c>
      <c r="K1548" s="98" t="s">
        <v>2059</v>
      </c>
      <c r="L1548" s="96"/>
      <c r="M1548" s="110" t="s">
        <v>4867</v>
      </c>
      <c r="N1548" s="117" t="s">
        <v>4868</v>
      </c>
      <c r="O1548" s="110" t="s">
        <v>317</v>
      </c>
      <c r="P1548" s="110" t="s">
        <v>590</v>
      </c>
      <c r="Q1548" s="118" t="n">
        <v>0.19</v>
      </c>
      <c r="R1548" s="110" t="n">
        <v>12</v>
      </c>
      <c r="S1548" s="110" t="s">
        <v>625</v>
      </c>
      <c r="T1548" s="110" t="s">
        <v>530</v>
      </c>
      <c r="U1548" s="110" t="s">
        <v>2913</v>
      </c>
      <c r="V1548" s="119" t="n">
        <v>4.42</v>
      </c>
      <c r="W1548" s="119"/>
      <c r="X1548" s="110" t="s">
        <v>2063</v>
      </c>
      <c r="Y1548" s="110" t="s">
        <v>2064</v>
      </c>
      <c r="Z1548" s="110" t="s">
        <v>4521</v>
      </c>
      <c r="AA1548" s="110" t="s">
        <v>537</v>
      </c>
      <c r="AB1548" s="110" t="s">
        <v>244</v>
      </c>
      <c r="AC1548" s="110" t="s">
        <v>538</v>
      </c>
      <c r="AD1548" s="110" t="n">
        <f aca="false">IF(OR(F1548="",Q1548="",R1548=""),"",ROUND(IF(P1548="incl.",F1548/(1+Q1548),F1548)/IF(S1548="per pack",R1548,1),2))</f>
        <v>4.42</v>
      </c>
      <c r="AE1548" s="110" t="str">
        <f aca="false">IF(AND(AC1548="yes",ISNUMBER(F1548),IF(Compare!$H$5="All mapped",TRUE(),IF(Compare!$H$5="EXACT only",J1548="EXACT",OR(J1548="EXACT",J1548="CLOSE")))),"yes","no")</f>
        <v>yes</v>
      </c>
      <c r="AF1548" s="110" t="n">
        <f aca="false">IF(ISNUMBER(H1548),COUNTIFS($B$7:$B$3000,B1548,$C$7:$C$3000,C1548,$H$7:$H$3000,"&lt;"&amp;H1548,$AH$7:$AH$3000,"yes")+COUNTIFS($B$7:B1548,B1548,$C$7:C1548,C1548,$H$7:H1548,H1548,$AH$7:AH1548,"yes"),"")</f>
        <v>5</v>
      </c>
      <c r="AG1548" s="110" t="n">
        <f aca="false">IF(ISNUMBER(I1548),COUNTIFS($B$7:$B$3000,B1548,$C$7:$C$3000,C1548,$I$7:$I$3000,"&lt;"&amp;I1548,$AI$7:$AI$3000,"yes")+COUNTIFS($B$7:B1548,B1548,$C$7:C1548,C1548,$I$7:I1548,I1548,$AI$7:AI1548,"yes"),"")</f>
        <v>5</v>
      </c>
      <c r="AH1548" s="110" t="str">
        <f aca="false">IF(ISNUMBER(H1548),"yes","no")</f>
        <v>yes</v>
      </c>
      <c r="AI1548" s="110" t="str">
        <f aca="false">IF(ISNUMBER(I1548),"yes","no")</f>
        <v>yes</v>
      </c>
      <c r="AJ1548" s="120" t="n">
        <v>46297</v>
      </c>
      <c r="AK1548" s="110"/>
    </row>
    <row r="1549" customFormat="false" ht="23.85" hidden="false" customHeight="false" outlineLevel="0" collapsed="false">
      <c r="B1549" s="36" t="s">
        <v>90</v>
      </c>
      <c r="C1549" s="98" t="s">
        <v>16</v>
      </c>
      <c r="D1549" s="98" t="s">
        <v>305</v>
      </c>
      <c r="E1549" s="110" t="s">
        <v>4869</v>
      </c>
      <c r="F1549" s="99" t="n">
        <v>3.18</v>
      </c>
      <c r="G1549" s="98" t="s">
        <v>244</v>
      </c>
      <c r="H1549" s="112" t="n">
        <f aca="false">IF(AND(AE1549="yes",ISNUMBER(AD1549)),AD1549,"")</f>
        <v>3.18</v>
      </c>
      <c r="I1549" s="95" t="n">
        <f aca="false">IF(AND(AE1549="yes",ISNUMBER(AD1549),ISNUMBER(INDEX(Sources!$G$7:$G$10,MATCH(AB1549,Sources!$B$7:$B$10,0)))),ROUND(AD1549/INDEX(Sources!$G$7:$G$10,MATCH(AB1549,Sources!$B$7:$B$10,0)),6),"")</f>
        <v>3.18</v>
      </c>
      <c r="J1549" s="98" t="s">
        <v>530</v>
      </c>
      <c r="K1549" s="98" t="s">
        <v>2059</v>
      </c>
      <c r="L1549" s="96"/>
      <c r="M1549" s="110" t="s">
        <v>4870</v>
      </c>
      <c r="N1549" s="117" t="s">
        <v>4871</v>
      </c>
      <c r="O1549" s="110" t="s">
        <v>603</v>
      </c>
      <c r="P1549" s="110" t="s">
        <v>590</v>
      </c>
      <c r="Q1549" s="118" t="n">
        <v>0.19</v>
      </c>
      <c r="R1549" s="110" t="n">
        <v>1</v>
      </c>
      <c r="S1549" s="110" t="s">
        <v>632</v>
      </c>
      <c r="T1549" s="110" t="s">
        <v>530</v>
      </c>
      <c r="U1549" s="110" t="s">
        <v>2913</v>
      </c>
      <c r="V1549" s="119" t="n">
        <v>3.18</v>
      </c>
      <c r="W1549" s="119"/>
      <c r="X1549" s="110" t="s">
        <v>2063</v>
      </c>
      <c r="Y1549" s="110" t="s">
        <v>2064</v>
      </c>
      <c r="Z1549" s="110" t="s">
        <v>2142</v>
      </c>
      <c r="AA1549" s="110" t="s">
        <v>537</v>
      </c>
      <c r="AB1549" s="110" t="s">
        <v>244</v>
      </c>
      <c r="AC1549" s="110" t="s">
        <v>538</v>
      </c>
      <c r="AD1549" s="110" t="n">
        <f aca="false">IF(OR(F1549="",Q1549="",R1549=""),"",ROUND(IF(P1549="incl.",F1549/(1+Q1549),F1549)/IF(S1549="per pack",R1549,1),2))</f>
        <v>3.18</v>
      </c>
      <c r="AE1549" s="110" t="str">
        <f aca="false">IF(AND(AC1549="yes",ISNUMBER(F1549),IF(Compare!$H$5="All mapped",TRUE(),IF(Compare!$H$5="EXACT only",J1549="EXACT",OR(J1549="EXACT",J1549="CLOSE")))),"yes","no")</f>
        <v>yes</v>
      </c>
      <c r="AF1549" s="110" t="n">
        <f aca="false">IF(ISNUMBER(H1549),COUNTIFS($B$7:$B$3000,B1549,$C$7:$C$3000,C1549,$H$7:$H$3000,"&lt;"&amp;H1549,$AH$7:$AH$3000,"yes")+COUNTIFS($B$7:B1549,B1549,$C$7:C1549,C1549,$H$7:H1549,H1549,$AH$7:AH1549,"yes"),"")</f>
        <v>2</v>
      </c>
      <c r="AG1549" s="110" t="n">
        <f aca="false">IF(ISNUMBER(I1549),COUNTIFS($B$7:$B$3000,B1549,$C$7:$C$3000,C1549,$I$7:$I$3000,"&lt;"&amp;I1549,$AI$7:$AI$3000,"yes")+COUNTIFS($B$7:B1549,B1549,$C$7:C1549,C1549,$I$7:I1549,I1549,$AI$7:AI1549,"yes"),"")</f>
        <v>2</v>
      </c>
      <c r="AH1549" s="110" t="str">
        <f aca="false">IF(ISNUMBER(H1549),"yes","no")</f>
        <v>yes</v>
      </c>
      <c r="AI1549" s="110" t="str">
        <f aca="false">IF(ISNUMBER(I1549),"yes","no")</f>
        <v>yes</v>
      </c>
      <c r="AJ1549" s="120" t="n">
        <v>46297</v>
      </c>
      <c r="AK1549" s="110"/>
    </row>
    <row r="1550" customFormat="false" ht="23.85" hidden="false" customHeight="false" outlineLevel="0" collapsed="false">
      <c r="B1550" s="36" t="s">
        <v>90</v>
      </c>
      <c r="C1550" s="98" t="s">
        <v>16</v>
      </c>
      <c r="D1550" s="98" t="s">
        <v>311</v>
      </c>
      <c r="E1550" s="110" t="s">
        <v>4850</v>
      </c>
      <c r="F1550" s="99" t="n">
        <v>4.19</v>
      </c>
      <c r="G1550" s="98" t="s">
        <v>244</v>
      </c>
      <c r="H1550" s="112" t="n">
        <f aca="false">IF(AND(AE1550="yes",ISNUMBER(AD1550)),AD1550,"")</f>
        <v>4.19</v>
      </c>
      <c r="I1550" s="95" t="n">
        <f aca="false">IF(AND(AE1550="yes",ISNUMBER(AD1550),ISNUMBER(INDEX(Sources!$G$7:$G$10,MATCH(AB1550,Sources!$B$7:$B$10,0)))),ROUND(AD1550/INDEX(Sources!$G$7:$G$10,MATCH(AB1550,Sources!$B$7:$B$10,0)),6),"")</f>
        <v>4.19</v>
      </c>
      <c r="J1550" s="98" t="s">
        <v>530</v>
      </c>
      <c r="K1550" s="98" t="s">
        <v>2059</v>
      </c>
      <c r="L1550" s="96"/>
      <c r="M1550" s="110" t="s">
        <v>4872</v>
      </c>
      <c r="N1550" s="117" t="s">
        <v>4873</v>
      </c>
      <c r="O1550" s="110" t="s">
        <v>589</v>
      </c>
      <c r="P1550" s="110" t="s">
        <v>590</v>
      </c>
      <c r="Q1550" s="118" t="n">
        <v>0.19</v>
      </c>
      <c r="R1550" s="110" t="n">
        <v>1</v>
      </c>
      <c r="S1550" s="110" t="s">
        <v>632</v>
      </c>
      <c r="T1550" s="110" t="s">
        <v>530</v>
      </c>
      <c r="U1550" s="110" t="s">
        <v>2913</v>
      </c>
      <c r="V1550" s="119" t="n">
        <v>4.19</v>
      </c>
      <c r="W1550" s="119"/>
      <c r="X1550" s="110" t="s">
        <v>2063</v>
      </c>
      <c r="Y1550" s="110" t="s">
        <v>2064</v>
      </c>
      <c r="Z1550" s="110" t="s">
        <v>4369</v>
      </c>
      <c r="AA1550" s="110" t="s">
        <v>537</v>
      </c>
      <c r="AB1550" s="110" t="s">
        <v>244</v>
      </c>
      <c r="AC1550" s="110" t="s">
        <v>538</v>
      </c>
      <c r="AD1550" s="110" t="n">
        <f aca="false">IF(OR(F1550="",Q1550="",R1550=""),"",ROUND(IF(P1550="incl.",F1550/(1+Q1550),F1550)/IF(S1550="per pack",R1550,1),2))</f>
        <v>4.19</v>
      </c>
      <c r="AE1550" s="110" t="str">
        <f aca="false">IF(AND(AC1550="yes",ISNUMBER(F1550),IF(Compare!$H$5="All mapped",TRUE(),IF(Compare!$H$5="EXACT only",J1550="EXACT",OR(J1550="EXACT",J1550="CLOSE")))),"yes","no")</f>
        <v>yes</v>
      </c>
      <c r="AF1550" s="110" t="n">
        <f aca="false">IF(ISNUMBER(H1550),COUNTIFS($B$7:$B$3000,B1550,$C$7:$C$3000,C1550,$H$7:$H$3000,"&lt;"&amp;H1550,$AH$7:$AH$3000,"yes")+COUNTIFS($B$7:B1550,B1550,$C$7:C1550,C1550,$H$7:H1550,H1550,$AH$7:AH1550,"yes"),"")</f>
        <v>4</v>
      </c>
      <c r="AG1550" s="110" t="n">
        <f aca="false">IF(ISNUMBER(I1550),COUNTIFS($B$7:$B$3000,B1550,$C$7:$C$3000,C1550,$I$7:$I$3000,"&lt;"&amp;I1550,$AI$7:$AI$3000,"yes")+COUNTIFS($B$7:B1550,B1550,$C$7:C1550,C1550,$I$7:I1550,I1550,$AI$7:AI1550,"yes"),"")</f>
        <v>4</v>
      </c>
      <c r="AH1550" s="110" t="str">
        <f aca="false">IF(ISNUMBER(H1550),"yes","no")</f>
        <v>yes</v>
      </c>
      <c r="AI1550" s="110" t="str">
        <f aca="false">IF(ISNUMBER(I1550),"yes","no")</f>
        <v>yes</v>
      </c>
      <c r="AJ1550" s="120" t="n">
        <v>46297</v>
      </c>
      <c r="AK1550" s="110"/>
    </row>
    <row r="1551" customFormat="false" ht="23.85" hidden="false" customHeight="false" outlineLevel="0" collapsed="false">
      <c r="B1551" s="36" t="s">
        <v>90</v>
      </c>
      <c r="C1551" s="98" t="s">
        <v>16</v>
      </c>
      <c r="D1551" s="98" t="s">
        <v>321</v>
      </c>
      <c r="E1551" s="110" t="s">
        <v>4856</v>
      </c>
      <c r="F1551" s="99" t="n">
        <v>3.65</v>
      </c>
      <c r="G1551" s="98" t="s">
        <v>244</v>
      </c>
      <c r="H1551" s="112" t="n">
        <f aca="false">IF(AND(AE1551="yes",ISNUMBER(AD1551)),AD1551,"")</f>
        <v>3.65</v>
      </c>
      <c r="I1551" s="95" t="n">
        <f aca="false">IF(AND(AE1551="yes",ISNUMBER(AD1551),ISNUMBER(INDEX(Sources!$G$7:$G$10,MATCH(AB1551,Sources!$B$7:$B$10,0)))),ROUND(AD1551/INDEX(Sources!$G$7:$G$10,MATCH(AB1551,Sources!$B$7:$B$10,0)),6),"")</f>
        <v>3.65</v>
      </c>
      <c r="J1551" s="98" t="s">
        <v>530</v>
      </c>
      <c r="K1551" s="98" t="s">
        <v>2059</v>
      </c>
      <c r="L1551" s="96"/>
      <c r="M1551" s="110" t="s">
        <v>4874</v>
      </c>
      <c r="N1551" s="117" t="s">
        <v>4875</v>
      </c>
      <c r="O1551" s="110" t="s">
        <v>603</v>
      </c>
      <c r="P1551" s="110" t="s">
        <v>590</v>
      </c>
      <c r="Q1551" s="118" t="n">
        <v>0.19</v>
      </c>
      <c r="R1551" s="110" t="n">
        <v>1</v>
      </c>
      <c r="S1551" s="110" t="s">
        <v>632</v>
      </c>
      <c r="T1551" s="110" t="s">
        <v>530</v>
      </c>
      <c r="U1551" s="110" t="s">
        <v>2913</v>
      </c>
      <c r="V1551" s="119" t="n">
        <v>3.65</v>
      </c>
      <c r="W1551" s="119"/>
      <c r="X1551" s="110" t="s">
        <v>2063</v>
      </c>
      <c r="Y1551" s="110" t="s">
        <v>2064</v>
      </c>
      <c r="Z1551" s="110" t="s">
        <v>2857</v>
      </c>
      <c r="AA1551" s="110" t="s">
        <v>537</v>
      </c>
      <c r="AB1551" s="110" t="s">
        <v>244</v>
      </c>
      <c r="AC1551" s="110" t="s">
        <v>538</v>
      </c>
      <c r="AD1551" s="110" t="n">
        <f aca="false">IF(OR(F1551="",Q1551="",R1551=""),"",ROUND(IF(P1551="incl.",F1551/(1+Q1551),F1551)/IF(S1551="per pack",R1551,1),2))</f>
        <v>3.65</v>
      </c>
      <c r="AE1551" s="110" t="str">
        <f aca="false">IF(AND(AC1551="yes",ISNUMBER(F1551),IF(Compare!$H$5="All mapped",TRUE(),IF(Compare!$H$5="EXACT only",J1551="EXACT",OR(J1551="EXACT",J1551="CLOSE")))),"yes","no")</f>
        <v>yes</v>
      </c>
      <c r="AF1551" s="110" t="n">
        <f aca="false">IF(ISNUMBER(H1551),COUNTIFS($B$7:$B$3000,B1551,$C$7:$C$3000,C1551,$H$7:$H$3000,"&lt;"&amp;H1551,$AH$7:$AH$3000,"yes")+COUNTIFS($B$7:B1551,B1551,$C$7:C1551,C1551,$H$7:H1551,H1551,$AH$7:AH1551,"yes"),"")</f>
        <v>3</v>
      </c>
      <c r="AG1551" s="110" t="n">
        <f aca="false">IF(ISNUMBER(I1551),COUNTIFS($B$7:$B$3000,B1551,$C$7:$C$3000,C1551,$I$7:$I$3000,"&lt;"&amp;I1551,$AI$7:$AI$3000,"yes")+COUNTIFS($B$7:B1551,B1551,$C$7:C1551,C1551,$I$7:I1551,I1551,$AI$7:AI1551,"yes"),"")</f>
        <v>3</v>
      </c>
      <c r="AH1551" s="110" t="str">
        <f aca="false">IF(ISNUMBER(H1551),"yes","no")</f>
        <v>yes</v>
      </c>
      <c r="AI1551" s="110" t="str">
        <f aca="false">IF(ISNUMBER(I1551),"yes","no")</f>
        <v>yes</v>
      </c>
      <c r="AJ1551" s="120" t="n">
        <v>46297</v>
      </c>
      <c r="AK1551" s="110"/>
    </row>
    <row r="1552" customFormat="false" ht="35.05" hidden="false" customHeight="false" outlineLevel="0" collapsed="false">
      <c r="B1552" s="36" t="s">
        <v>90</v>
      </c>
      <c r="C1552" s="98" t="s">
        <v>16</v>
      </c>
      <c r="D1552" s="98" t="s">
        <v>329</v>
      </c>
      <c r="E1552" s="110" t="s">
        <v>4876</v>
      </c>
      <c r="F1552" s="99" t="n">
        <v>4.49</v>
      </c>
      <c r="G1552" s="98" t="s">
        <v>244</v>
      </c>
      <c r="H1552" s="112" t="n">
        <f aca="false">IF(AND(AE1552="yes",ISNUMBER(AD1552)),AD1552,"")</f>
        <v>4.49</v>
      </c>
      <c r="I1552" s="95" t="n">
        <f aca="false">IF(AND(AE1552="yes",ISNUMBER(AD1552),ISNUMBER(INDEX(Sources!$G$7:$G$10,MATCH(AB1552,Sources!$B$7:$B$10,0)))),ROUND(AD1552/INDEX(Sources!$G$7:$G$10,MATCH(AB1552,Sources!$B$7:$B$10,0)),6),"")</f>
        <v>4.49</v>
      </c>
      <c r="J1552" s="98" t="s">
        <v>530</v>
      </c>
      <c r="K1552" s="98" t="s">
        <v>2059</v>
      </c>
      <c r="L1552" s="96"/>
      <c r="M1552" s="110" t="s">
        <v>4877</v>
      </c>
      <c r="N1552" s="117" t="s">
        <v>4878</v>
      </c>
      <c r="O1552" s="110" t="s">
        <v>642</v>
      </c>
      <c r="P1552" s="110" t="s">
        <v>590</v>
      </c>
      <c r="Q1552" s="118" t="n">
        <v>0.19</v>
      </c>
      <c r="R1552" s="110" t="n">
        <v>1</v>
      </c>
      <c r="S1552" s="110" t="s">
        <v>632</v>
      </c>
      <c r="T1552" s="110" t="s">
        <v>530</v>
      </c>
      <c r="U1552" s="110" t="s">
        <v>2913</v>
      </c>
      <c r="V1552" s="119" t="n">
        <v>4.49</v>
      </c>
      <c r="W1552" s="119"/>
      <c r="X1552" s="110" t="s">
        <v>2063</v>
      </c>
      <c r="Y1552" s="110" t="s">
        <v>2064</v>
      </c>
      <c r="Z1552" s="110" t="s">
        <v>2777</v>
      </c>
      <c r="AA1552" s="110" t="s">
        <v>537</v>
      </c>
      <c r="AB1552" s="110" t="s">
        <v>244</v>
      </c>
      <c r="AC1552" s="110" t="s">
        <v>538</v>
      </c>
      <c r="AD1552" s="110" t="n">
        <f aca="false">IF(OR(F1552="",Q1552="",R1552=""),"",ROUND(IF(P1552="incl.",F1552/(1+Q1552),F1552)/IF(S1552="per pack",R1552,1),2))</f>
        <v>4.49</v>
      </c>
      <c r="AE1552" s="110" t="str">
        <f aca="false">IF(AND(AC1552="yes",ISNUMBER(F1552),IF(Compare!$H$5="All mapped",TRUE(),IF(Compare!$H$5="EXACT only",J1552="EXACT",OR(J1552="EXACT",J1552="CLOSE")))),"yes","no")</f>
        <v>yes</v>
      </c>
      <c r="AF1552" s="110" t="n">
        <f aca="false">IF(ISNUMBER(H1552),COUNTIFS($B$7:$B$3000,B1552,$C$7:$C$3000,C1552,$H$7:$H$3000,"&lt;"&amp;H1552,$AH$7:$AH$3000,"yes")+COUNTIFS($B$7:B1552,B1552,$C$7:C1552,C1552,$H$7:H1552,H1552,$AH$7:AH1552,"yes"),"")</f>
        <v>6</v>
      </c>
      <c r="AG1552" s="110" t="n">
        <f aca="false">IF(ISNUMBER(I1552),COUNTIFS($B$7:$B$3000,B1552,$C$7:$C$3000,C1552,$I$7:$I$3000,"&lt;"&amp;I1552,$AI$7:$AI$3000,"yes")+COUNTIFS($B$7:B1552,B1552,$C$7:C1552,C1552,$I$7:I1552,I1552,$AI$7:AI1552,"yes"),"")</f>
        <v>6</v>
      </c>
      <c r="AH1552" s="110" t="str">
        <f aca="false">IF(ISNUMBER(H1552),"yes","no")</f>
        <v>yes</v>
      </c>
      <c r="AI1552" s="110" t="str">
        <f aca="false">IF(ISNUMBER(I1552),"yes","no")</f>
        <v>yes</v>
      </c>
      <c r="AJ1552" s="120" t="n">
        <v>46297</v>
      </c>
      <c r="AK1552" s="110"/>
    </row>
    <row r="1553" customFormat="false" ht="35.05" hidden="false" customHeight="false" outlineLevel="0" collapsed="false">
      <c r="B1553" s="36" t="s">
        <v>90</v>
      </c>
      <c r="C1553" s="98" t="s">
        <v>17</v>
      </c>
      <c r="D1553" s="98" t="s">
        <v>338</v>
      </c>
      <c r="E1553" s="110" t="s">
        <v>4879</v>
      </c>
      <c r="F1553" s="99" t="n">
        <v>157</v>
      </c>
      <c r="G1553" s="98" t="s">
        <v>333</v>
      </c>
      <c r="H1553" s="112" t="n">
        <f aca="false">IF(AND(AE1553="yes",ISNUMBER(AD1553)),AD1553,"")</f>
        <v>129.75</v>
      </c>
      <c r="I1553" s="95" t="n">
        <f aca="false">IF(AND(AE1553="yes",ISNUMBER(AD1553),ISNUMBER(INDEX(Sources!$G$7:$G$10,MATCH(AB1553,Sources!$B$7:$B$10,0)))),ROUND(AD1553/INDEX(Sources!$G$7:$G$10,MATCH(AB1553,Sources!$B$7:$B$10,0)),6),"")</f>
        <v>5.312481</v>
      </c>
      <c r="J1553" s="98" t="s">
        <v>530</v>
      </c>
      <c r="K1553" s="98" t="s">
        <v>2059</v>
      </c>
      <c r="L1553" s="96"/>
      <c r="M1553" s="110" t="s">
        <v>4880</v>
      </c>
      <c r="N1553" s="117" t="s">
        <v>4881</v>
      </c>
      <c r="O1553" s="110" t="s">
        <v>388</v>
      </c>
      <c r="P1553" s="110" t="s">
        <v>265</v>
      </c>
      <c r="Q1553" s="118" t="n">
        <v>0.21</v>
      </c>
      <c r="R1553" s="110" t="n">
        <v>1</v>
      </c>
      <c r="S1553" s="110" t="s">
        <v>632</v>
      </c>
      <c r="T1553" s="110" t="s">
        <v>530</v>
      </c>
      <c r="U1553" s="110" t="s">
        <v>2918</v>
      </c>
      <c r="V1553" s="119" t="n">
        <v>129.75</v>
      </c>
      <c r="W1553" s="119"/>
      <c r="X1553" s="110" t="s">
        <v>2063</v>
      </c>
      <c r="Y1553" s="110" t="s">
        <v>2064</v>
      </c>
      <c r="Z1553" s="110" t="s">
        <v>4387</v>
      </c>
      <c r="AA1553" s="110" t="s">
        <v>537</v>
      </c>
      <c r="AB1553" s="110" t="s">
        <v>333</v>
      </c>
      <c r="AC1553" s="110" t="s">
        <v>538</v>
      </c>
      <c r="AD1553" s="110" t="n">
        <f aca="false">IF(OR(F1553="",Q1553="",R1553=""),"",ROUND(IF(P1553="incl.",F1553/(1+Q1553),F1553)/IF(S1553="per pack",R1553,1),2))</f>
        <v>129.75</v>
      </c>
      <c r="AE1553" s="110" t="str">
        <f aca="false">IF(AND(AC1553="yes",ISNUMBER(F1553),IF(Compare!$H$5="All mapped",TRUE(),IF(Compare!$H$5="EXACT only",J1553="EXACT",OR(J1553="EXACT",J1553="CLOSE")))),"yes","no")</f>
        <v>yes</v>
      </c>
      <c r="AF1553" s="110" t="n">
        <f aca="false">IF(ISNUMBER(H1553),COUNTIFS($B$7:$B$3000,B1553,$C$7:$C$3000,C1553,$H$7:$H$3000,"&lt;"&amp;H1553,$AH$7:$AH$3000,"yes")+COUNTIFS($B$7:B1553,B1553,$C$7:C1553,C1553,$H$7:H1553,H1553,$AH$7:AH1553,"yes"),"")</f>
        <v>4</v>
      </c>
      <c r="AG1553" s="110" t="n">
        <f aca="false">IF(ISNUMBER(I1553),COUNTIFS($B$7:$B$3000,B1553,$C$7:$C$3000,C1553,$I$7:$I$3000,"&lt;"&amp;I1553,$AI$7:$AI$3000,"yes")+COUNTIFS($B$7:B1553,B1553,$C$7:C1553,C1553,$I$7:I1553,I1553,$AI$7:AI1553,"yes"),"")</f>
        <v>4</v>
      </c>
      <c r="AH1553" s="110" t="str">
        <f aca="false">IF(ISNUMBER(H1553),"yes","no")</f>
        <v>yes</v>
      </c>
      <c r="AI1553" s="110" t="str">
        <f aca="false">IF(ISNUMBER(I1553),"yes","no")</f>
        <v>yes</v>
      </c>
      <c r="AJ1553" s="120" t="n">
        <v>46297</v>
      </c>
      <c r="AK1553" s="110"/>
    </row>
    <row r="1554" customFormat="false" ht="35.05" hidden="false" customHeight="false" outlineLevel="0" collapsed="false">
      <c r="B1554" s="36" t="s">
        <v>90</v>
      </c>
      <c r="C1554" s="98" t="s">
        <v>17</v>
      </c>
      <c r="D1554" s="98" t="s">
        <v>342</v>
      </c>
      <c r="E1554" s="110" t="s">
        <v>4882</v>
      </c>
      <c r="F1554" s="99" t="n">
        <v>172</v>
      </c>
      <c r="G1554" s="98" t="s">
        <v>333</v>
      </c>
      <c r="H1554" s="112" t="n">
        <f aca="false">IF(AND(AE1554="yes",ISNUMBER(AD1554)),AD1554,"")</f>
        <v>172</v>
      </c>
      <c r="I1554" s="95" t="n">
        <f aca="false">IF(AND(AE1554="yes",ISNUMBER(AD1554),ISNUMBER(INDEX(Sources!$G$7:$G$10,MATCH(AB1554,Sources!$B$7:$B$10,0)))),ROUND(AD1554/INDEX(Sources!$G$7:$G$10,MATCH(AB1554,Sources!$B$7:$B$10,0)),6),"")</f>
        <v>7.042364</v>
      </c>
      <c r="J1554" s="98" t="s">
        <v>530</v>
      </c>
      <c r="K1554" s="98" t="s">
        <v>2059</v>
      </c>
      <c r="L1554" s="96"/>
      <c r="M1554" s="110" t="s">
        <v>4883</v>
      </c>
      <c r="N1554" s="117" t="s">
        <v>4884</v>
      </c>
      <c r="O1554" s="110" t="s">
        <v>388</v>
      </c>
      <c r="P1554" s="110" t="s">
        <v>590</v>
      </c>
      <c r="Q1554" s="118" t="n">
        <v>0.21</v>
      </c>
      <c r="R1554" s="110" t="n">
        <v>1</v>
      </c>
      <c r="S1554" s="110" t="s">
        <v>632</v>
      </c>
      <c r="T1554" s="110" t="s">
        <v>530</v>
      </c>
      <c r="U1554" s="110" t="s">
        <v>2913</v>
      </c>
      <c r="V1554" s="119" t="n">
        <v>172</v>
      </c>
      <c r="W1554" s="119"/>
      <c r="X1554" s="110" t="s">
        <v>2063</v>
      </c>
      <c r="Y1554" s="110" t="s">
        <v>2064</v>
      </c>
      <c r="Z1554" s="110" t="s">
        <v>4391</v>
      </c>
      <c r="AA1554" s="110" t="s">
        <v>537</v>
      </c>
      <c r="AB1554" s="110" t="s">
        <v>333</v>
      </c>
      <c r="AC1554" s="110" t="s">
        <v>538</v>
      </c>
      <c r="AD1554" s="110" t="n">
        <f aca="false">IF(OR(F1554="",Q1554="",R1554=""),"",ROUND(IF(P1554="incl.",F1554/(1+Q1554),F1554)/IF(S1554="per pack",R1554,1),2))</f>
        <v>172</v>
      </c>
      <c r="AE1554" s="110" t="str">
        <f aca="false">IF(AND(AC1554="yes",ISNUMBER(F1554),IF(Compare!$H$5="All mapped",TRUE(),IF(Compare!$H$5="EXACT only",J1554="EXACT",OR(J1554="EXACT",J1554="CLOSE")))),"yes","no")</f>
        <v>yes</v>
      </c>
      <c r="AF1554" s="110" t="n">
        <f aca="false">IF(ISNUMBER(H1554),COUNTIFS($B$7:$B$3000,B1554,$C$7:$C$3000,C1554,$H$7:$H$3000,"&lt;"&amp;H1554,$AH$7:$AH$3000,"yes")+COUNTIFS($B$7:B1554,B1554,$C$7:C1554,C1554,$H$7:H1554,H1554,$AH$7:AH1554,"yes"),"")</f>
        <v>5</v>
      </c>
      <c r="AG1554" s="110" t="n">
        <f aca="false">IF(ISNUMBER(I1554),COUNTIFS($B$7:$B$3000,B1554,$C$7:$C$3000,C1554,$I$7:$I$3000,"&lt;"&amp;I1554,$AI$7:$AI$3000,"yes")+COUNTIFS($B$7:B1554,B1554,$C$7:C1554,C1554,$I$7:I1554,I1554,$AI$7:AI1554,"yes"),"")</f>
        <v>5</v>
      </c>
      <c r="AH1554" s="110" t="str">
        <f aca="false">IF(ISNUMBER(H1554),"yes","no")</f>
        <v>yes</v>
      </c>
      <c r="AI1554" s="110" t="str">
        <f aca="false">IF(ISNUMBER(I1554),"yes","no")</f>
        <v>yes</v>
      </c>
      <c r="AJ1554" s="120" t="n">
        <v>46297</v>
      </c>
      <c r="AK1554" s="110"/>
    </row>
    <row r="1555" customFormat="false" ht="23.85" hidden="false" customHeight="false" outlineLevel="0" collapsed="false">
      <c r="B1555" s="36" t="s">
        <v>90</v>
      </c>
      <c r="C1555" s="98" t="s">
        <v>17</v>
      </c>
      <c r="D1555" s="98" t="s">
        <v>350</v>
      </c>
      <c r="E1555" s="110" t="s">
        <v>4885</v>
      </c>
      <c r="F1555" s="99" t="n">
        <v>85</v>
      </c>
      <c r="G1555" s="98" t="s">
        <v>333</v>
      </c>
      <c r="H1555" s="112" t="n">
        <f aca="false">IF(AND(AE1555="yes",ISNUMBER(AD1555)),AD1555,"")</f>
        <v>70.25</v>
      </c>
      <c r="I1555" s="95" t="n">
        <f aca="false">IF(AND(AE1555="yes",ISNUMBER(AD1555),ISNUMBER(INDEX(Sources!$G$7:$G$10,MATCH(AB1555,Sources!$B$7:$B$10,0)))),ROUND(AD1555/INDEX(Sources!$G$7:$G$10,MATCH(AB1555,Sources!$B$7:$B$10,0)),6),"")</f>
        <v>2.876314</v>
      </c>
      <c r="J1555" s="98" t="s">
        <v>530</v>
      </c>
      <c r="K1555" s="98" t="s">
        <v>2059</v>
      </c>
      <c r="L1555" s="96"/>
      <c r="M1555" s="110" t="s">
        <v>4886</v>
      </c>
      <c r="N1555" s="117" t="s">
        <v>4887</v>
      </c>
      <c r="O1555" s="110" t="s">
        <v>2452</v>
      </c>
      <c r="P1555" s="110" t="s">
        <v>265</v>
      </c>
      <c r="Q1555" s="118" t="n">
        <v>0.21</v>
      </c>
      <c r="R1555" s="110" t="n">
        <v>1</v>
      </c>
      <c r="S1555" s="110" t="s">
        <v>632</v>
      </c>
      <c r="T1555" s="110" t="s">
        <v>530</v>
      </c>
      <c r="U1555" s="110" t="s">
        <v>2918</v>
      </c>
      <c r="V1555" s="119" t="n">
        <v>70.25</v>
      </c>
      <c r="W1555" s="119"/>
      <c r="X1555" s="110" t="s">
        <v>2063</v>
      </c>
      <c r="Y1555" s="110" t="s">
        <v>2064</v>
      </c>
      <c r="Z1555" s="110" t="s">
        <v>2344</v>
      </c>
      <c r="AA1555" s="110" t="s">
        <v>537</v>
      </c>
      <c r="AB1555" s="110" t="s">
        <v>333</v>
      </c>
      <c r="AC1555" s="110" t="s">
        <v>538</v>
      </c>
      <c r="AD1555" s="110" t="n">
        <f aca="false">IF(OR(F1555="",Q1555="",R1555=""),"",ROUND(IF(P1555="incl.",F1555/(1+Q1555),F1555)/IF(S1555="per pack",R1555,1),2))</f>
        <v>70.25</v>
      </c>
      <c r="AE1555" s="110" t="str">
        <f aca="false">IF(AND(AC1555="yes",ISNUMBER(F1555),IF(Compare!$H$5="All mapped",TRUE(),IF(Compare!$H$5="EXACT only",J1555="EXACT",OR(J1555="EXACT",J1555="CLOSE")))),"yes","no")</f>
        <v>yes</v>
      </c>
      <c r="AF1555" s="110" t="n">
        <f aca="false">IF(ISNUMBER(H1555),COUNTIFS($B$7:$B$3000,B1555,$C$7:$C$3000,C1555,$H$7:$H$3000,"&lt;"&amp;H1555,$AH$7:$AH$3000,"yes")+COUNTIFS($B$7:B1555,B1555,$C$7:C1555,C1555,$H$7:H1555,H1555,$AH$7:AH1555,"yes"),"")</f>
        <v>1</v>
      </c>
      <c r="AG1555" s="110" t="n">
        <f aca="false">IF(ISNUMBER(I1555),COUNTIFS($B$7:$B$3000,B1555,$C$7:$C$3000,C1555,$I$7:$I$3000,"&lt;"&amp;I1555,$AI$7:$AI$3000,"yes")+COUNTIFS($B$7:B1555,B1555,$C$7:C1555,C1555,$I$7:I1555,I1555,$AI$7:AI1555,"yes"),"")</f>
        <v>1</v>
      </c>
      <c r="AH1555" s="110" t="str">
        <f aca="false">IF(ISNUMBER(H1555),"yes","no")</f>
        <v>yes</v>
      </c>
      <c r="AI1555" s="110" t="str">
        <f aca="false">IF(ISNUMBER(I1555),"yes","no")</f>
        <v>yes</v>
      </c>
      <c r="AJ1555" s="120" t="n">
        <v>46297</v>
      </c>
      <c r="AK1555" s="110"/>
    </row>
    <row r="1556" customFormat="false" ht="35.05" hidden="false" customHeight="false" outlineLevel="0" collapsed="false">
      <c r="B1556" s="36" t="s">
        <v>90</v>
      </c>
      <c r="C1556" s="98" t="s">
        <v>17</v>
      </c>
      <c r="D1556" s="98" t="s">
        <v>357</v>
      </c>
      <c r="E1556" s="110" t="s">
        <v>4888</v>
      </c>
      <c r="F1556" s="99" t="n">
        <v>108</v>
      </c>
      <c r="G1556" s="98" t="s">
        <v>333</v>
      </c>
      <c r="H1556" s="112" t="n">
        <f aca="false">IF(AND(AE1556="yes",ISNUMBER(AD1556)),AD1556,"")</f>
        <v>89.26</v>
      </c>
      <c r="I1556" s="95" t="n">
        <f aca="false">IF(AND(AE1556="yes",ISNUMBER(AD1556),ISNUMBER(INDEX(Sources!$G$7:$G$10,MATCH(AB1556,Sources!$B$7:$B$10,0)))),ROUND(AD1556/INDEX(Sources!$G$7:$G$10,MATCH(AB1556,Sources!$B$7:$B$10,0)),6),"")</f>
        <v>3.65466</v>
      </c>
      <c r="J1556" s="98" t="s">
        <v>530</v>
      </c>
      <c r="K1556" s="98" t="s">
        <v>2059</v>
      </c>
      <c r="L1556" s="96"/>
      <c r="M1556" s="110" t="s">
        <v>4889</v>
      </c>
      <c r="N1556" s="117" t="s">
        <v>4890</v>
      </c>
      <c r="O1556" s="110" t="s">
        <v>388</v>
      </c>
      <c r="P1556" s="110" t="s">
        <v>265</v>
      </c>
      <c r="Q1556" s="118" t="n">
        <v>0.21</v>
      </c>
      <c r="R1556" s="110" t="n">
        <v>1</v>
      </c>
      <c r="S1556" s="110" t="s">
        <v>632</v>
      </c>
      <c r="T1556" s="110" t="s">
        <v>530</v>
      </c>
      <c r="U1556" s="110" t="s">
        <v>2918</v>
      </c>
      <c r="V1556" s="119" t="n">
        <v>89.26</v>
      </c>
      <c r="W1556" s="119"/>
      <c r="X1556" s="110" t="s">
        <v>2063</v>
      </c>
      <c r="Y1556" s="110" t="s">
        <v>2064</v>
      </c>
      <c r="Z1556" s="110"/>
      <c r="AA1556" s="110" t="s">
        <v>537</v>
      </c>
      <c r="AB1556" s="110" t="s">
        <v>333</v>
      </c>
      <c r="AC1556" s="110" t="s">
        <v>538</v>
      </c>
      <c r="AD1556" s="110" t="n">
        <f aca="false">IF(OR(F1556="",Q1556="",R1556=""),"",ROUND(IF(P1556="incl.",F1556/(1+Q1556),F1556)/IF(S1556="per pack",R1556,1),2))</f>
        <v>89.26</v>
      </c>
      <c r="AE1556" s="110" t="str">
        <f aca="false">IF(AND(AC1556="yes",ISNUMBER(F1556),IF(Compare!$H$5="All mapped",TRUE(),IF(Compare!$H$5="EXACT only",J1556="EXACT",OR(J1556="EXACT",J1556="CLOSE")))),"yes","no")</f>
        <v>yes</v>
      </c>
      <c r="AF1556" s="110" t="n">
        <f aca="false">IF(ISNUMBER(H1556),COUNTIFS($B$7:$B$3000,B1556,$C$7:$C$3000,C1556,$H$7:$H$3000,"&lt;"&amp;H1556,$AH$7:$AH$3000,"yes")+COUNTIFS($B$7:B1556,B1556,$C$7:C1556,C1556,$H$7:H1556,H1556,$AH$7:AH1556,"yes"),"")</f>
        <v>3</v>
      </c>
      <c r="AG1556" s="110" t="n">
        <f aca="false">IF(ISNUMBER(I1556),COUNTIFS($B$7:$B$3000,B1556,$C$7:$C$3000,C1556,$I$7:$I$3000,"&lt;"&amp;I1556,$AI$7:$AI$3000,"yes")+COUNTIFS($B$7:B1556,B1556,$C$7:C1556,C1556,$I$7:I1556,I1556,$AI$7:AI1556,"yes"),"")</f>
        <v>3</v>
      </c>
      <c r="AH1556" s="110" t="str">
        <f aca="false">IF(ISNUMBER(H1556),"yes","no")</f>
        <v>yes</v>
      </c>
      <c r="AI1556" s="110" t="str">
        <f aca="false">IF(ISNUMBER(I1556),"yes","no")</f>
        <v>yes</v>
      </c>
      <c r="AJ1556" s="120" t="n">
        <v>46297</v>
      </c>
      <c r="AK1556" s="110"/>
    </row>
    <row r="1557" customFormat="false" ht="35.05" hidden="false" customHeight="false" outlineLevel="0" collapsed="false">
      <c r="B1557" s="36" t="s">
        <v>90</v>
      </c>
      <c r="C1557" s="98" t="s">
        <v>17</v>
      </c>
      <c r="D1557" s="98" t="s">
        <v>361</v>
      </c>
      <c r="E1557" s="110" t="s">
        <v>4891</v>
      </c>
      <c r="F1557" s="99" t="n">
        <v>105</v>
      </c>
      <c r="G1557" s="98" t="s">
        <v>333</v>
      </c>
      <c r="H1557" s="112" t="n">
        <f aca="false">IF(AND(AE1557="yes",ISNUMBER(AD1557)),AD1557,"")</f>
        <v>86.78</v>
      </c>
      <c r="I1557" s="95" t="n">
        <f aca="false">IF(AND(AE1557="yes",ISNUMBER(AD1557),ISNUMBER(INDEX(Sources!$G$7:$G$10,MATCH(AB1557,Sources!$B$7:$B$10,0)))),ROUND(AD1557/INDEX(Sources!$G$7:$G$10,MATCH(AB1557,Sources!$B$7:$B$10,0)),6),"")</f>
        <v>3.553118</v>
      </c>
      <c r="J1557" s="98" t="s">
        <v>530</v>
      </c>
      <c r="K1557" s="98" t="s">
        <v>2059</v>
      </c>
      <c r="L1557" s="96"/>
      <c r="M1557" s="110" t="s">
        <v>4892</v>
      </c>
      <c r="N1557" s="117" t="s">
        <v>4893</v>
      </c>
      <c r="O1557" s="110" t="s">
        <v>642</v>
      </c>
      <c r="P1557" s="110" t="s">
        <v>265</v>
      </c>
      <c r="Q1557" s="118" t="n">
        <v>0.21</v>
      </c>
      <c r="R1557" s="110" t="n">
        <v>1</v>
      </c>
      <c r="S1557" s="110" t="s">
        <v>632</v>
      </c>
      <c r="T1557" s="110" t="s">
        <v>530</v>
      </c>
      <c r="U1557" s="110" t="s">
        <v>2918</v>
      </c>
      <c r="V1557" s="119" t="n">
        <v>86.78</v>
      </c>
      <c r="W1557" s="119"/>
      <c r="X1557" s="110" t="s">
        <v>2063</v>
      </c>
      <c r="Y1557" s="110" t="s">
        <v>2064</v>
      </c>
      <c r="Z1557" s="110" t="s">
        <v>2400</v>
      </c>
      <c r="AA1557" s="110" t="s">
        <v>537</v>
      </c>
      <c r="AB1557" s="110" t="s">
        <v>333</v>
      </c>
      <c r="AC1557" s="110" t="s">
        <v>538</v>
      </c>
      <c r="AD1557" s="110" t="n">
        <f aca="false">IF(OR(F1557="",Q1557="",R1557=""),"",ROUND(IF(P1557="incl.",F1557/(1+Q1557),F1557)/IF(S1557="per pack",R1557,1),2))</f>
        <v>86.78</v>
      </c>
      <c r="AE1557" s="110" t="str">
        <f aca="false">IF(AND(AC1557="yes",ISNUMBER(F1557),IF(Compare!$H$5="All mapped",TRUE(),IF(Compare!$H$5="EXACT only",J1557="EXACT",OR(J1557="EXACT",J1557="CLOSE")))),"yes","no")</f>
        <v>yes</v>
      </c>
      <c r="AF1557" s="110" t="n">
        <f aca="false">IF(ISNUMBER(H1557),COUNTIFS($B$7:$B$3000,B1557,$C$7:$C$3000,C1557,$H$7:$H$3000,"&lt;"&amp;H1557,$AH$7:$AH$3000,"yes")+COUNTIFS($B$7:B1557,B1557,$C$7:C1557,C1557,$H$7:H1557,H1557,$AH$7:AH1557,"yes"),"")</f>
        <v>2</v>
      </c>
      <c r="AG1557" s="110" t="n">
        <f aca="false">IF(ISNUMBER(I1557),COUNTIFS($B$7:$B$3000,B1557,$C$7:$C$3000,C1557,$I$7:$I$3000,"&lt;"&amp;I1557,$AI$7:$AI$3000,"yes")+COUNTIFS($B$7:B1557,B1557,$C$7:C1557,C1557,$I$7:I1557,I1557,$AI$7:AI1557,"yes"),"")</f>
        <v>2</v>
      </c>
      <c r="AH1557" s="110" t="str">
        <f aca="false">IF(ISNUMBER(H1557),"yes","no")</f>
        <v>yes</v>
      </c>
      <c r="AI1557" s="110" t="str">
        <f aca="false">IF(ISNUMBER(I1557),"yes","no")</f>
        <v>yes</v>
      </c>
      <c r="AJ1557" s="120" t="n">
        <v>46297</v>
      </c>
      <c r="AK1557" s="110"/>
    </row>
    <row r="1558" customFormat="false" ht="35.05" hidden="false" customHeight="false" outlineLevel="0" collapsed="false">
      <c r="B1558" s="36" t="s">
        <v>90</v>
      </c>
      <c r="C1558" s="98" t="s">
        <v>18</v>
      </c>
      <c r="D1558" s="98" t="s">
        <v>4648</v>
      </c>
      <c r="E1558" s="110" t="s">
        <v>4894</v>
      </c>
      <c r="F1558" s="99" t="n">
        <v>54.99</v>
      </c>
      <c r="G1558" s="98" t="s">
        <v>244</v>
      </c>
      <c r="H1558" s="112" t="n">
        <f aca="false">IF(AND(AE1558="yes",ISNUMBER(AD1558)),AD1558,"")</f>
        <v>4.58</v>
      </c>
      <c r="I1558" s="95" t="n">
        <f aca="false">IF(AND(AE1558="yes",ISNUMBER(AD1558),ISNUMBER(INDEX(Sources!$G$7:$G$10,MATCH(AB1558,Sources!$B$7:$B$10,0)))),ROUND(AD1558/INDEX(Sources!$G$7:$G$10,MATCH(AB1558,Sources!$B$7:$B$10,0)),6),"")</f>
        <v>4.58</v>
      </c>
      <c r="J1558" s="98" t="s">
        <v>530</v>
      </c>
      <c r="K1558" s="98" t="s">
        <v>2059</v>
      </c>
      <c r="L1558" s="96"/>
      <c r="M1558" s="110" t="s">
        <v>4895</v>
      </c>
      <c r="N1558" s="117" t="s">
        <v>4651</v>
      </c>
      <c r="O1558" s="110" t="s">
        <v>317</v>
      </c>
      <c r="P1558" s="110" t="s">
        <v>590</v>
      </c>
      <c r="Q1558" s="118" t="n">
        <v>0.23</v>
      </c>
      <c r="R1558" s="110" t="n">
        <v>12</v>
      </c>
      <c r="S1558" s="110" t="s">
        <v>625</v>
      </c>
      <c r="T1558" s="110" t="s">
        <v>530</v>
      </c>
      <c r="U1558" s="110" t="s">
        <v>2913</v>
      </c>
      <c r="V1558" s="119" t="n">
        <v>4.58</v>
      </c>
      <c r="W1558" s="119"/>
      <c r="X1558" s="110" t="s">
        <v>2063</v>
      </c>
      <c r="Y1558" s="110" t="s">
        <v>2064</v>
      </c>
      <c r="Z1558" s="110" t="s">
        <v>4652</v>
      </c>
      <c r="AA1558" s="110" t="s">
        <v>537</v>
      </c>
      <c r="AB1558" s="110" t="s">
        <v>244</v>
      </c>
      <c r="AC1558" s="110" t="s">
        <v>538</v>
      </c>
      <c r="AD1558" s="110" t="n">
        <f aca="false">IF(OR(F1558="",Q1558="",R1558=""),"",ROUND(IF(P1558="incl.",F1558/(1+Q1558),F1558)/IF(S1558="per pack",R1558,1),2))</f>
        <v>4.58</v>
      </c>
      <c r="AE1558" s="110" t="str">
        <f aca="false">IF(AND(AC1558="yes",ISNUMBER(F1558),IF(Compare!$H$5="All mapped",TRUE(),IF(Compare!$H$5="EXACT only",J1558="EXACT",OR(J1558="EXACT",J1558="CLOSE")))),"yes","no")</f>
        <v>yes</v>
      </c>
      <c r="AF1558" s="110" t="n">
        <f aca="false">IF(ISNUMBER(H1558),COUNTIFS($B$7:$B$3000,B1558,$C$7:$C$3000,C1558,$H$7:$H$3000,"&lt;"&amp;H1558,$AH$7:$AH$3000,"yes")+COUNTIFS($B$7:B1558,B1558,$C$7:C1558,C1558,$H$7:H1558,H1558,$AH$7:AH1558,"yes"),"")</f>
        <v>4</v>
      </c>
      <c r="AG1558" s="110" t="n">
        <f aca="false">IF(ISNUMBER(I1558),COUNTIFS($B$7:$B$3000,B1558,$C$7:$C$3000,C1558,$I$7:$I$3000,"&lt;"&amp;I1558,$AI$7:$AI$3000,"yes")+COUNTIFS($B$7:B1558,B1558,$C$7:C1558,C1558,$I$7:I1558,I1558,$AI$7:AI1558,"yes"),"")</f>
        <v>4</v>
      </c>
      <c r="AH1558" s="110" t="str">
        <f aca="false">IF(ISNUMBER(H1558),"yes","no")</f>
        <v>yes</v>
      </c>
      <c r="AI1558" s="110" t="str">
        <f aca="false">IF(ISNUMBER(I1558),"yes","no")</f>
        <v>yes</v>
      </c>
      <c r="AJ1558" s="120" t="n">
        <v>46297</v>
      </c>
      <c r="AK1558" s="110"/>
    </row>
    <row r="1559" customFormat="false" ht="23.85" hidden="false" customHeight="false" outlineLevel="0" collapsed="false">
      <c r="B1559" s="36" t="s">
        <v>90</v>
      </c>
      <c r="C1559" s="98" t="s">
        <v>18</v>
      </c>
      <c r="D1559" s="98" t="s">
        <v>3002</v>
      </c>
      <c r="E1559" s="110" t="s">
        <v>4896</v>
      </c>
      <c r="F1559" s="99" t="n">
        <v>4.45</v>
      </c>
      <c r="G1559" s="98" t="s">
        <v>244</v>
      </c>
      <c r="H1559" s="112" t="n">
        <f aca="false">IF(AND(AE1559="yes",ISNUMBER(AD1559)),AD1559,"")</f>
        <v>4.45</v>
      </c>
      <c r="I1559" s="95" t="n">
        <f aca="false">IF(AND(AE1559="yes",ISNUMBER(AD1559),ISNUMBER(INDEX(Sources!$G$7:$G$10,MATCH(AB1559,Sources!$B$7:$B$10,0)))),ROUND(AD1559/INDEX(Sources!$G$7:$G$10,MATCH(AB1559,Sources!$B$7:$B$10,0)),6),"")</f>
        <v>4.45</v>
      </c>
      <c r="J1559" s="98" t="s">
        <v>530</v>
      </c>
      <c r="K1559" s="98" t="s">
        <v>2059</v>
      </c>
      <c r="L1559" s="96"/>
      <c r="M1559" s="110" t="s">
        <v>4897</v>
      </c>
      <c r="N1559" s="117" t="s">
        <v>4404</v>
      </c>
      <c r="O1559" s="110" t="s">
        <v>2396</v>
      </c>
      <c r="P1559" s="110" t="s">
        <v>590</v>
      </c>
      <c r="Q1559" s="118" t="n">
        <v>0.23</v>
      </c>
      <c r="R1559" s="110" t="n">
        <v>1</v>
      </c>
      <c r="S1559" s="110" t="s">
        <v>632</v>
      </c>
      <c r="T1559" s="110" t="s">
        <v>530</v>
      </c>
      <c r="U1559" s="110" t="s">
        <v>2913</v>
      </c>
      <c r="V1559" s="119" t="n">
        <v>4.45</v>
      </c>
      <c r="W1559" s="119"/>
      <c r="X1559" s="110" t="s">
        <v>2063</v>
      </c>
      <c r="Y1559" s="110" t="s">
        <v>2064</v>
      </c>
      <c r="Z1559" s="110" t="s">
        <v>3006</v>
      </c>
      <c r="AA1559" s="110" t="s">
        <v>537</v>
      </c>
      <c r="AB1559" s="110" t="s">
        <v>244</v>
      </c>
      <c r="AC1559" s="110" t="s">
        <v>538</v>
      </c>
      <c r="AD1559" s="110" t="n">
        <f aca="false">IF(OR(F1559="",Q1559="",R1559=""),"",ROUND(IF(P1559="incl.",F1559/(1+Q1559),F1559)/IF(S1559="per pack",R1559,1),2))</f>
        <v>4.45</v>
      </c>
      <c r="AE1559" s="110" t="str">
        <f aca="false">IF(AND(AC1559="yes",ISNUMBER(F1559),IF(Compare!$H$5="All mapped",TRUE(),IF(Compare!$H$5="EXACT only",J1559="EXACT",OR(J1559="EXACT",J1559="CLOSE")))),"yes","no")</f>
        <v>yes</v>
      </c>
      <c r="AF1559" s="110" t="n">
        <f aca="false">IF(ISNUMBER(H1559),COUNTIFS($B$7:$B$3000,B1559,$C$7:$C$3000,C1559,$H$7:$H$3000,"&lt;"&amp;H1559,$AH$7:$AH$3000,"yes")+COUNTIFS($B$7:B1559,B1559,$C$7:C1559,C1559,$H$7:H1559,H1559,$AH$7:AH1559,"yes"),"")</f>
        <v>3</v>
      </c>
      <c r="AG1559" s="110" t="n">
        <f aca="false">IF(ISNUMBER(I1559),COUNTIFS($B$7:$B$3000,B1559,$C$7:$C$3000,C1559,$I$7:$I$3000,"&lt;"&amp;I1559,$AI$7:$AI$3000,"yes")+COUNTIFS($B$7:B1559,B1559,$C$7:C1559,C1559,$I$7:I1559,I1559,$AI$7:AI1559,"yes"),"")</f>
        <v>3</v>
      </c>
      <c r="AH1559" s="110" t="str">
        <f aca="false">IF(ISNUMBER(H1559),"yes","no")</f>
        <v>yes</v>
      </c>
      <c r="AI1559" s="110" t="str">
        <f aca="false">IF(ISNUMBER(I1559),"yes","no")</f>
        <v>yes</v>
      </c>
      <c r="AJ1559" s="120" t="n">
        <v>46297</v>
      </c>
      <c r="AK1559" s="110"/>
    </row>
    <row r="1560" customFormat="false" ht="35.05" hidden="false" customHeight="false" outlineLevel="0" collapsed="false">
      <c r="B1560" s="36" t="s">
        <v>90</v>
      </c>
      <c r="C1560" s="98" t="s">
        <v>18</v>
      </c>
      <c r="D1560" s="98" t="s">
        <v>365</v>
      </c>
      <c r="E1560" s="110" t="s">
        <v>4898</v>
      </c>
      <c r="F1560" s="99" t="n">
        <v>3.42</v>
      </c>
      <c r="G1560" s="98" t="s">
        <v>244</v>
      </c>
      <c r="H1560" s="112" t="n">
        <f aca="false">IF(AND(AE1560="yes",ISNUMBER(AD1560)),AD1560,"")</f>
        <v>2.78</v>
      </c>
      <c r="I1560" s="95" t="n">
        <f aca="false">IF(AND(AE1560="yes",ISNUMBER(AD1560),ISNUMBER(INDEX(Sources!$G$7:$G$10,MATCH(AB1560,Sources!$B$7:$B$10,0)))),ROUND(AD1560/INDEX(Sources!$G$7:$G$10,MATCH(AB1560,Sources!$B$7:$B$10,0)),6),"")</f>
        <v>2.78</v>
      </c>
      <c r="J1560" s="98" t="s">
        <v>530</v>
      </c>
      <c r="K1560" s="98" t="s">
        <v>2059</v>
      </c>
      <c r="L1560" s="96"/>
      <c r="M1560" s="110" t="s">
        <v>4899</v>
      </c>
      <c r="N1560" s="117" t="s">
        <v>4900</v>
      </c>
      <c r="O1560" s="110" t="s">
        <v>3076</v>
      </c>
      <c r="P1560" s="110" t="s">
        <v>265</v>
      </c>
      <c r="Q1560" s="118" t="n">
        <v>0.23</v>
      </c>
      <c r="R1560" s="110" t="n">
        <v>1</v>
      </c>
      <c r="S1560" s="110" t="s">
        <v>632</v>
      </c>
      <c r="T1560" s="110" t="s">
        <v>530</v>
      </c>
      <c r="U1560" s="110" t="s">
        <v>2918</v>
      </c>
      <c r="V1560" s="119" t="n">
        <v>2.78</v>
      </c>
      <c r="W1560" s="119"/>
      <c r="X1560" s="110" t="s">
        <v>2063</v>
      </c>
      <c r="Y1560" s="110" t="s">
        <v>2064</v>
      </c>
      <c r="Z1560" s="110" t="s">
        <v>3016</v>
      </c>
      <c r="AA1560" s="110" t="s">
        <v>537</v>
      </c>
      <c r="AB1560" s="110" t="s">
        <v>244</v>
      </c>
      <c r="AC1560" s="110" t="s">
        <v>538</v>
      </c>
      <c r="AD1560" s="110" t="n">
        <f aca="false">IF(OR(F1560="",Q1560="",R1560=""),"",ROUND(IF(P1560="incl.",F1560/(1+Q1560),F1560)/IF(S1560="per pack",R1560,1),2))</f>
        <v>2.78</v>
      </c>
      <c r="AE1560" s="110" t="str">
        <f aca="false">IF(AND(AC1560="yes",ISNUMBER(F1560),IF(Compare!$H$5="All mapped",TRUE(),IF(Compare!$H$5="EXACT only",J1560="EXACT",OR(J1560="EXACT",J1560="CLOSE")))),"yes","no")</f>
        <v>yes</v>
      </c>
      <c r="AF1560" s="110" t="n">
        <f aca="false">IF(ISNUMBER(H1560),COUNTIFS($B$7:$B$3000,B1560,$C$7:$C$3000,C1560,$H$7:$H$3000,"&lt;"&amp;H1560,$AH$7:$AH$3000,"yes")+COUNTIFS($B$7:B1560,B1560,$C$7:C1560,C1560,$H$7:H1560,H1560,$AH$7:AH1560,"yes"),"")</f>
        <v>1</v>
      </c>
      <c r="AG1560" s="110" t="n">
        <f aca="false">IF(ISNUMBER(I1560),COUNTIFS($B$7:$B$3000,B1560,$C$7:$C$3000,C1560,$I$7:$I$3000,"&lt;"&amp;I1560,$AI$7:$AI$3000,"yes")+COUNTIFS($B$7:B1560,B1560,$C$7:C1560,C1560,$I$7:I1560,I1560,$AI$7:AI1560,"yes"),"")</f>
        <v>1</v>
      </c>
      <c r="AH1560" s="110" t="str">
        <f aca="false">IF(ISNUMBER(H1560),"yes","no")</f>
        <v>yes</v>
      </c>
      <c r="AI1560" s="110" t="str">
        <f aca="false">IF(ISNUMBER(I1560),"yes","no")</f>
        <v>yes</v>
      </c>
      <c r="AJ1560" s="120" t="n">
        <v>46297</v>
      </c>
      <c r="AK1560" s="110"/>
    </row>
    <row r="1561" customFormat="false" ht="35.05" hidden="false" customHeight="false" outlineLevel="0" collapsed="false">
      <c r="B1561" s="36" t="s">
        <v>90</v>
      </c>
      <c r="C1561" s="98" t="s">
        <v>18</v>
      </c>
      <c r="D1561" s="98" t="s">
        <v>369</v>
      </c>
      <c r="E1561" s="110" t="s">
        <v>4901</v>
      </c>
      <c r="F1561" s="99" t="n">
        <v>11.73</v>
      </c>
      <c r="G1561" s="98" t="s">
        <v>244</v>
      </c>
      <c r="H1561" s="112" t="n">
        <f aca="false">IF(AND(AE1561="yes",ISNUMBER(AD1561)),AD1561,"")</f>
        <v>9.54</v>
      </c>
      <c r="I1561" s="95" t="n">
        <f aca="false">IF(AND(AE1561="yes",ISNUMBER(AD1561),ISNUMBER(INDEX(Sources!$G$7:$G$10,MATCH(AB1561,Sources!$B$7:$B$10,0)))),ROUND(AD1561/INDEX(Sources!$G$7:$G$10,MATCH(AB1561,Sources!$B$7:$B$10,0)),6),"")</f>
        <v>9.54</v>
      </c>
      <c r="J1561" s="98" t="s">
        <v>702</v>
      </c>
      <c r="K1561" s="98" t="s">
        <v>2059</v>
      </c>
      <c r="L1561" s="96"/>
      <c r="M1561" s="110" t="s">
        <v>4902</v>
      </c>
      <c r="N1561" s="117" t="s">
        <v>4903</v>
      </c>
      <c r="O1561" s="110" t="s">
        <v>565</v>
      </c>
      <c r="P1561" s="110" t="s">
        <v>265</v>
      </c>
      <c r="Q1561" s="118" t="n">
        <v>0.23</v>
      </c>
      <c r="R1561" s="110" t="n">
        <v>1</v>
      </c>
      <c r="S1561" s="110" t="s">
        <v>632</v>
      </c>
      <c r="T1561" s="110" t="s">
        <v>702</v>
      </c>
      <c r="U1561" s="110" t="s">
        <v>2918</v>
      </c>
      <c r="V1561" s="119" t="n">
        <v>9.54</v>
      </c>
      <c r="W1561" s="119"/>
      <c r="X1561" s="110" t="s">
        <v>2063</v>
      </c>
      <c r="Y1561" s="110" t="s">
        <v>2064</v>
      </c>
      <c r="Z1561" s="110" t="s">
        <v>3107</v>
      </c>
      <c r="AA1561" s="110" t="s">
        <v>537</v>
      </c>
      <c r="AB1561" s="110" t="s">
        <v>244</v>
      </c>
      <c r="AC1561" s="110" t="s">
        <v>538</v>
      </c>
      <c r="AD1561" s="110" t="n">
        <f aca="false">IF(OR(F1561="",Q1561="",R1561=""),"",ROUND(IF(P1561="incl.",F1561/(1+Q1561),F1561)/IF(S1561="per pack",R1561,1),2))</f>
        <v>9.54</v>
      </c>
      <c r="AE1561" s="110" t="str">
        <f aca="false">IF(AND(AC1561="yes",ISNUMBER(F1561),IF(Compare!$H$5="All mapped",TRUE(),IF(Compare!$H$5="EXACT only",J1561="EXACT",OR(J1561="EXACT",J1561="CLOSE")))),"yes","no")</f>
        <v>yes</v>
      </c>
      <c r="AF1561" s="110" t="n">
        <f aca="false">IF(ISNUMBER(H1561),COUNTIFS($B$7:$B$3000,B1561,$C$7:$C$3000,C1561,$H$7:$H$3000,"&lt;"&amp;H1561,$AH$7:$AH$3000,"yes")+COUNTIFS($B$7:B1561,B1561,$C$7:C1561,C1561,$H$7:H1561,H1561,$AH$7:AH1561,"yes"),"")</f>
        <v>5</v>
      </c>
      <c r="AG1561" s="110" t="n">
        <f aca="false">IF(ISNUMBER(I1561),COUNTIFS($B$7:$B$3000,B1561,$C$7:$C$3000,C1561,$I$7:$I$3000,"&lt;"&amp;I1561,$AI$7:$AI$3000,"yes")+COUNTIFS($B$7:B1561,B1561,$C$7:C1561,C1561,$I$7:I1561,I1561,$AI$7:AI1561,"yes"),"")</f>
        <v>5</v>
      </c>
      <c r="AH1561" s="110" t="str">
        <f aca="false">IF(ISNUMBER(H1561),"yes","no")</f>
        <v>yes</v>
      </c>
      <c r="AI1561" s="110" t="str">
        <f aca="false">IF(ISNUMBER(I1561),"yes","no")</f>
        <v>yes</v>
      </c>
      <c r="AJ1561" s="120" t="n">
        <v>46297</v>
      </c>
      <c r="AK1561" s="110"/>
    </row>
    <row r="1562" customFormat="false" ht="23.85" hidden="false" customHeight="false" outlineLevel="0" collapsed="false">
      <c r="B1562" s="36" t="s">
        <v>90</v>
      </c>
      <c r="C1562" s="98" t="s">
        <v>18</v>
      </c>
      <c r="D1562" s="98" t="s">
        <v>3021</v>
      </c>
      <c r="E1562" s="110" t="s">
        <v>4904</v>
      </c>
      <c r="F1562" s="99" t="n">
        <v>3.57</v>
      </c>
      <c r="G1562" s="98" t="s">
        <v>244</v>
      </c>
      <c r="H1562" s="112" t="n">
        <f aca="false">IF(AND(AE1562="yes",ISNUMBER(AD1562)),AD1562,"")</f>
        <v>3.57</v>
      </c>
      <c r="I1562" s="95" t="n">
        <f aca="false">IF(AND(AE1562="yes",ISNUMBER(AD1562),ISNUMBER(INDEX(Sources!$G$7:$G$10,MATCH(AB1562,Sources!$B$7:$B$10,0)))),ROUND(AD1562/INDEX(Sources!$G$7:$G$10,MATCH(AB1562,Sources!$B$7:$B$10,0)),6),"")</f>
        <v>3.57</v>
      </c>
      <c r="J1562" s="98" t="s">
        <v>530</v>
      </c>
      <c r="K1562" s="98" t="s">
        <v>2059</v>
      </c>
      <c r="L1562" s="96"/>
      <c r="M1562" s="110" t="s">
        <v>4905</v>
      </c>
      <c r="N1562" s="117" t="s">
        <v>4416</v>
      </c>
      <c r="O1562" s="110" t="s">
        <v>3024</v>
      </c>
      <c r="P1562" s="110" t="s">
        <v>590</v>
      </c>
      <c r="Q1562" s="118" t="n">
        <v>0.23</v>
      </c>
      <c r="R1562" s="110" t="n">
        <v>1</v>
      </c>
      <c r="S1562" s="110" t="s">
        <v>632</v>
      </c>
      <c r="T1562" s="110" t="s">
        <v>530</v>
      </c>
      <c r="U1562" s="110" t="s">
        <v>2913</v>
      </c>
      <c r="V1562" s="119" t="n">
        <v>3.57</v>
      </c>
      <c r="W1562" s="119"/>
      <c r="X1562" s="110" t="s">
        <v>2063</v>
      </c>
      <c r="Y1562" s="110" t="s">
        <v>2064</v>
      </c>
      <c r="Z1562" s="110" t="s">
        <v>3025</v>
      </c>
      <c r="AA1562" s="110" t="s">
        <v>537</v>
      </c>
      <c r="AB1562" s="110" t="s">
        <v>244</v>
      </c>
      <c r="AC1562" s="110" t="s">
        <v>538</v>
      </c>
      <c r="AD1562" s="110" t="n">
        <f aca="false">IF(OR(F1562="",Q1562="",R1562=""),"",ROUND(IF(P1562="incl.",F1562/(1+Q1562),F1562)/IF(S1562="per pack",R1562,1),2))</f>
        <v>3.57</v>
      </c>
      <c r="AE1562" s="110" t="str">
        <f aca="false">IF(AND(AC1562="yes",ISNUMBER(F1562),IF(Compare!$H$5="All mapped",TRUE(),IF(Compare!$H$5="EXACT only",J1562="EXACT",OR(J1562="EXACT",J1562="CLOSE")))),"yes","no")</f>
        <v>yes</v>
      </c>
      <c r="AF1562" s="110" t="n">
        <f aca="false">IF(ISNUMBER(H1562),COUNTIFS($B$7:$B$3000,B1562,$C$7:$C$3000,C1562,$H$7:$H$3000,"&lt;"&amp;H1562,$AH$7:$AH$3000,"yes")+COUNTIFS($B$7:B1562,B1562,$C$7:C1562,C1562,$H$7:H1562,H1562,$AH$7:AH1562,"yes"),"")</f>
        <v>2</v>
      </c>
      <c r="AG1562" s="110" t="n">
        <f aca="false">IF(ISNUMBER(I1562),COUNTIFS($B$7:$B$3000,B1562,$C$7:$C$3000,C1562,$I$7:$I$3000,"&lt;"&amp;I1562,$AI$7:$AI$3000,"yes")+COUNTIFS($B$7:B1562,B1562,$C$7:C1562,C1562,$I$7:I1562,I1562,$AI$7:AI1562,"yes"),"")</f>
        <v>2</v>
      </c>
      <c r="AH1562" s="110" t="str">
        <f aca="false">IF(ISNUMBER(H1562),"yes","no")</f>
        <v>yes</v>
      </c>
      <c r="AI1562" s="110" t="str">
        <f aca="false">IF(ISNUMBER(I1562),"yes","no")</f>
        <v>yes</v>
      </c>
      <c r="AJ1562" s="120" t="n">
        <v>46297</v>
      </c>
      <c r="AK1562" s="110"/>
    </row>
    <row r="1563" customFormat="false" ht="23.85" hidden="false" customHeight="false" outlineLevel="0" collapsed="false">
      <c r="B1563" s="36" t="s">
        <v>91</v>
      </c>
      <c r="C1563" s="98" t="s">
        <v>14</v>
      </c>
      <c r="D1563" s="98" t="s">
        <v>373</v>
      </c>
      <c r="E1563" s="110" t="s">
        <v>4906</v>
      </c>
      <c r="F1563" s="99" t="n">
        <v>23.01</v>
      </c>
      <c r="G1563" s="98" t="s">
        <v>374</v>
      </c>
      <c r="H1563" s="112" t="n">
        <f aca="false">IF(AND(AE1563="yes",ISNUMBER(AD1563)),AD1563,"")</f>
        <v>23.01</v>
      </c>
      <c r="I1563" s="95" t="n">
        <f aca="false">IF(AND(AE1563="yes",ISNUMBER(AD1563),ISNUMBER(INDEX(Sources!$G$7:$G$10,MATCH(AB1563,Sources!$B$7:$B$10,0)))),ROUND(AD1563/INDEX(Sources!$G$7:$G$10,MATCH(AB1563,Sources!$B$7:$B$10,0)),6),"")</f>
        <v>4.359902</v>
      </c>
      <c r="J1563" s="98" t="s">
        <v>530</v>
      </c>
      <c r="K1563" s="98" t="s">
        <v>2059</v>
      </c>
      <c r="L1563" s="96"/>
      <c r="M1563" s="110" t="s">
        <v>4907</v>
      </c>
      <c r="N1563" s="117" t="s">
        <v>4908</v>
      </c>
      <c r="O1563" s="110" t="s">
        <v>4321</v>
      </c>
      <c r="P1563" s="110" t="s">
        <v>590</v>
      </c>
      <c r="Q1563" s="118" t="n">
        <v>0.21</v>
      </c>
      <c r="R1563" s="110" t="n">
        <v>1</v>
      </c>
      <c r="S1563" s="110" t="s">
        <v>632</v>
      </c>
      <c r="T1563" s="110" t="s">
        <v>530</v>
      </c>
      <c r="U1563" s="110" t="s">
        <v>2913</v>
      </c>
      <c r="V1563" s="119" t="n">
        <v>23.01</v>
      </c>
      <c r="W1563" s="119"/>
      <c r="X1563" s="110" t="s">
        <v>2063</v>
      </c>
      <c r="Y1563" s="110" t="s">
        <v>2064</v>
      </c>
      <c r="Z1563" s="110"/>
      <c r="AA1563" s="110" t="s">
        <v>537</v>
      </c>
      <c r="AB1563" s="110" t="s">
        <v>374</v>
      </c>
      <c r="AC1563" s="110" t="s">
        <v>538</v>
      </c>
      <c r="AD1563" s="110" t="n">
        <f aca="false">IF(OR(F1563="",Q1563="",R1563=""),"",ROUND(IF(P1563="incl.",F1563/(1+Q1563),F1563)/IF(S1563="per pack",R1563,1),2))</f>
        <v>23.01</v>
      </c>
      <c r="AE1563" s="110" t="str">
        <f aca="false">IF(AND(AC1563="yes",ISNUMBER(F1563),IF(Compare!$H$5="All mapped",TRUE(),IF(Compare!$H$5="EXACT only",J1563="EXACT",OR(J1563="EXACT",J1563="CLOSE")))),"yes","no")</f>
        <v>yes</v>
      </c>
      <c r="AF1563" s="110" t="n">
        <f aca="false">IF(ISNUMBER(H1563),COUNTIFS($B$7:$B$3000,B1563,$C$7:$C$3000,C1563,$H$7:$H$3000,"&lt;"&amp;H1563,$AH$7:$AH$3000,"yes")+COUNTIFS($B$7:B1563,B1563,$C$7:C1563,C1563,$H$7:H1563,H1563,$AH$7:AH1563,"yes"),"")</f>
        <v>1</v>
      </c>
      <c r="AG1563" s="110" t="n">
        <f aca="false">IF(ISNUMBER(I1563),COUNTIFS($B$7:$B$3000,B1563,$C$7:$C$3000,C1563,$I$7:$I$3000,"&lt;"&amp;I1563,$AI$7:$AI$3000,"yes")+COUNTIFS($B$7:B1563,B1563,$C$7:C1563,C1563,$I$7:I1563,I1563,$AI$7:AI1563,"yes"),"")</f>
        <v>1</v>
      </c>
      <c r="AH1563" s="110" t="str">
        <f aca="false">IF(ISNUMBER(H1563),"yes","no")</f>
        <v>yes</v>
      </c>
      <c r="AI1563" s="110" t="str">
        <f aca="false">IF(ISNUMBER(I1563),"yes","no")</f>
        <v>yes</v>
      </c>
      <c r="AJ1563" s="120" t="n">
        <v>46297</v>
      </c>
      <c r="AK1563" s="110"/>
    </row>
    <row r="1564" customFormat="false" ht="46.25" hidden="false" customHeight="false" outlineLevel="0" collapsed="false">
      <c r="B1564" s="36" t="s">
        <v>91</v>
      </c>
      <c r="C1564" s="98" t="s">
        <v>14</v>
      </c>
      <c r="D1564" s="98" t="s">
        <v>4143</v>
      </c>
      <c r="E1564" s="110" t="s">
        <v>4909</v>
      </c>
      <c r="F1564" s="99" t="n">
        <v>400.06</v>
      </c>
      <c r="G1564" s="98" t="s">
        <v>374</v>
      </c>
      <c r="H1564" s="112" t="n">
        <f aca="false">IF(AND(AE1564="yes",ISNUMBER(AD1564)),AD1564,"")</f>
        <v>33.34</v>
      </c>
      <c r="I1564" s="95" t="n">
        <f aca="false">IF(AND(AE1564="yes",ISNUMBER(AD1564),ISNUMBER(INDEX(Sources!$G$7:$G$10,MATCH(AB1564,Sources!$B$7:$B$10,0)))),ROUND(AD1564/INDEX(Sources!$G$7:$G$10,MATCH(AB1564,Sources!$B$7:$B$10,0)),6),"")</f>
        <v>6.317216</v>
      </c>
      <c r="J1564" s="98" t="s">
        <v>530</v>
      </c>
      <c r="K1564" s="98" t="s">
        <v>2059</v>
      </c>
      <c r="L1564" s="96"/>
      <c r="M1564" s="110" t="s">
        <v>4910</v>
      </c>
      <c r="N1564" s="117" t="s">
        <v>4911</v>
      </c>
      <c r="O1564" s="110" t="s">
        <v>317</v>
      </c>
      <c r="P1564" s="110" t="s">
        <v>590</v>
      </c>
      <c r="Q1564" s="118" t="n">
        <v>0.21</v>
      </c>
      <c r="R1564" s="110" t="n">
        <v>12</v>
      </c>
      <c r="S1564" s="110" t="s">
        <v>625</v>
      </c>
      <c r="T1564" s="110" t="s">
        <v>530</v>
      </c>
      <c r="U1564" s="110" t="s">
        <v>2913</v>
      </c>
      <c r="V1564" s="119" t="n">
        <v>33.34</v>
      </c>
      <c r="W1564" s="119"/>
      <c r="X1564" s="110" t="s">
        <v>2063</v>
      </c>
      <c r="Y1564" s="110" t="s">
        <v>2064</v>
      </c>
      <c r="Z1564" s="110"/>
      <c r="AA1564" s="110" t="s">
        <v>537</v>
      </c>
      <c r="AB1564" s="110" t="s">
        <v>374</v>
      </c>
      <c r="AC1564" s="110" t="s">
        <v>538</v>
      </c>
      <c r="AD1564" s="110" t="n">
        <f aca="false">IF(OR(F1564="",Q1564="",R1564=""),"",ROUND(IF(P1564="incl.",F1564/(1+Q1564),F1564)/IF(S1564="per pack",R1564,1),2))</f>
        <v>33.34</v>
      </c>
      <c r="AE1564" s="110" t="str">
        <f aca="false">IF(AND(AC1564="yes",ISNUMBER(F1564),IF(Compare!$H$5="All mapped",TRUE(),IF(Compare!$H$5="EXACT only",J1564="EXACT",OR(J1564="EXACT",J1564="CLOSE")))),"yes","no")</f>
        <v>yes</v>
      </c>
      <c r="AF1564" s="110" t="n">
        <f aca="false">IF(ISNUMBER(H1564),COUNTIFS($B$7:$B$3000,B1564,$C$7:$C$3000,C1564,$H$7:$H$3000,"&lt;"&amp;H1564,$AH$7:$AH$3000,"yes")+COUNTIFS($B$7:B1564,B1564,$C$7:C1564,C1564,$H$7:H1564,H1564,$AH$7:AH1564,"yes"),"")</f>
        <v>4</v>
      </c>
      <c r="AG1564" s="110" t="n">
        <f aca="false">IF(ISNUMBER(I1564),COUNTIFS($B$7:$B$3000,B1564,$C$7:$C$3000,C1564,$I$7:$I$3000,"&lt;"&amp;I1564,$AI$7:$AI$3000,"yes")+COUNTIFS($B$7:B1564,B1564,$C$7:C1564,C1564,$I$7:I1564,I1564,$AI$7:AI1564,"yes"),"")</f>
        <v>4</v>
      </c>
      <c r="AH1564" s="110" t="str">
        <f aca="false">IF(ISNUMBER(H1564),"yes","no")</f>
        <v>yes</v>
      </c>
      <c r="AI1564" s="110" t="str">
        <f aca="false">IF(ISNUMBER(I1564),"yes","no")</f>
        <v>yes</v>
      </c>
      <c r="AJ1564" s="120" t="n">
        <v>46297</v>
      </c>
      <c r="AK1564" s="110"/>
    </row>
    <row r="1565" customFormat="false" ht="35.05" hidden="false" customHeight="false" outlineLevel="0" collapsed="false">
      <c r="B1565" s="36" t="s">
        <v>91</v>
      </c>
      <c r="C1565" s="98" t="s">
        <v>14</v>
      </c>
      <c r="D1565" s="98" t="s">
        <v>346</v>
      </c>
      <c r="E1565" s="110" t="s">
        <v>4912</v>
      </c>
      <c r="F1565" s="99" t="n">
        <v>49.71</v>
      </c>
      <c r="G1565" s="98" t="s">
        <v>374</v>
      </c>
      <c r="H1565" s="112" t="n">
        <f aca="false">IF(AND(AE1565="yes",ISNUMBER(AD1565)),AD1565,"")</f>
        <v>41.08</v>
      </c>
      <c r="I1565" s="95" t="n">
        <f aca="false">IF(AND(AE1565="yes",ISNUMBER(AD1565),ISNUMBER(INDEX(Sources!$G$7:$G$10,MATCH(AB1565,Sources!$B$7:$B$10,0)))),ROUND(AD1565/INDEX(Sources!$G$7:$G$10,MATCH(AB1565,Sources!$B$7:$B$10,0)),6),"")</f>
        <v>7.78378</v>
      </c>
      <c r="J1565" s="98" t="s">
        <v>530</v>
      </c>
      <c r="K1565" s="98" t="s">
        <v>2059</v>
      </c>
      <c r="L1565" s="96"/>
      <c r="M1565" s="110" t="s">
        <v>4913</v>
      </c>
      <c r="N1565" s="117" t="s">
        <v>4914</v>
      </c>
      <c r="O1565" s="110" t="s">
        <v>783</v>
      </c>
      <c r="P1565" s="110" t="s">
        <v>265</v>
      </c>
      <c r="Q1565" s="118" t="n">
        <v>0.21</v>
      </c>
      <c r="R1565" s="110" t="n">
        <v>1</v>
      </c>
      <c r="S1565" s="110" t="s">
        <v>632</v>
      </c>
      <c r="T1565" s="110" t="s">
        <v>530</v>
      </c>
      <c r="U1565" s="110" t="s">
        <v>2918</v>
      </c>
      <c r="V1565" s="119" t="n">
        <v>41.08</v>
      </c>
      <c r="W1565" s="119"/>
      <c r="X1565" s="110" t="s">
        <v>2063</v>
      </c>
      <c r="Y1565" s="110" t="s">
        <v>2064</v>
      </c>
      <c r="Z1565" s="110"/>
      <c r="AA1565" s="110" t="s">
        <v>537</v>
      </c>
      <c r="AB1565" s="110" t="s">
        <v>374</v>
      </c>
      <c r="AC1565" s="110" t="s">
        <v>538</v>
      </c>
      <c r="AD1565" s="110" t="n">
        <f aca="false">IF(OR(F1565="",Q1565="",R1565=""),"",ROUND(IF(P1565="incl.",F1565/(1+Q1565),F1565)/IF(S1565="per pack",R1565,1),2))</f>
        <v>41.08</v>
      </c>
      <c r="AE1565" s="110" t="str">
        <f aca="false">IF(AND(AC1565="yes",ISNUMBER(F1565),IF(Compare!$H$5="All mapped",TRUE(),IF(Compare!$H$5="EXACT only",J1565="EXACT",OR(J1565="EXACT",J1565="CLOSE")))),"yes","no")</f>
        <v>yes</v>
      </c>
      <c r="AF1565" s="110" t="n">
        <f aca="false">IF(ISNUMBER(H1565),COUNTIFS($B$7:$B$3000,B1565,$C$7:$C$3000,C1565,$H$7:$H$3000,"&lt;"&amp;H1565,$AH$7:$AH$3000,"yes")+COUNTIFS($B$7:B1565,B1565,$C$7:C1565,C1565,$H$7:H1565,H1565,$AH$7:AH1565,"yes"),"")</f>
        <v>5</v>
      </c>
      <c r="AG1565" s="110" t="n">
        <f aca="false">IF(ISNUMBER(I1565),COUNTIFS($B$7:$B$3000,B1565,$C$7:$C$3000,C1565,$I$7:$I$3000,"&lt;"&amp;I1565,$AI$7:$AI$3000,"yes")+COUNTIFS($B$7:B1565,B1565,$C$7:C1565,C1565,$I$7:I1565,I1565,$AI$7:AI1565,"yes"),"")</f>
        <v>5</v>
      </c>
      <c r="AH1565" s="110" t="str">
        <f aca="false">IF(ISNUMBER(H1565),"yes","no")</f>
        <v>yes</v>
      </c>
      <c r="AI1565" s="110" t="str">
        <f aca="false">IF(ISNUMBER(I1565),"yes","no")</f>
        <v>yes</v>
      </c>
      <c r="AJ1565" s="120" t="n">
        <v>46297</v>
      </c>
      <c r="AK1565" s="110"/>
    </row>
    <row r="1566" customFormat="false" ht="23.85" hidden="false" customHeight="false" outlineLevel="0" collapsed="false">
      <c r="B1566" s="36" t="s">
        <v>91</v>
      </c>
      <c r="C1566" s="98" t="s">
        <v>14</v>
      </c>
      <c r="D1566" s="98" t="s">
        <v>403</v>
      </c>
      <c r="E1566" s="110" t="s">
        <v>4915</v>
      </c>
      <c r="F1566" s="99" t="n">
        <v>26.27</v>
      </c>
      <c r="G1566" s="98" t="s">
        <v>374</v>
      </c>
      <c r="H1566" s="112" t="n">
        <f aca="false">IF(AND(AE1566="yes",ISNUMBER(AD1566)),AD1566,"")</f>
        <v>26.27</v>
      </c>
      <c r="I1566" s="95" t="n">
        <f aca="false">IF(AND(AE1566="yes",ISNUMBER(AD1566),ISNUMBER(INDEX(Sources!$G$7:$G$10,MATCH(AB1566,Sources!$B$7:$B$10,0)))),ROUND(AD1566/INDEX(Sources!$G$7:$G$10,MATCH(AB1566,Sources!$B$7:$B$10,0)),6),"")</f>
        <v>4.977602</v>
      </c>
      <c r="J1566" s="98" t="s">
        <v>530</v>
      </c>
      <c r="K1566" s="98" t="s">
        <v>2059</v>
      </c>
      <c r="L1566" s="96"/>
      <c r="M1566" s="110" t="s">
        <v>4916</v>
      </c>
      <c r="N1566" s="117" t="s">
        <v>4917</v>
      </c>
      <c r="O1566" s="110" t="s">
        <v>388</v>
      </c>
      <c r="P1566" s="110" t="s">
        <v>590</v>
      </c>
      <c r="Q1566" s="118" t="n">
        <v>0.21</v>
      </c>
      <c r="R1566" s="110" t="n">
        <v>1</v>
      </c>
      <c r="S1566" s="110" t="s">
        <v>632</v>
      </c>
      <c r="T1566" s="110" t="s">
        <v>530</v>
      </c>
      <c r="U1566" s="110" t="s">
        <v>2913</v>
      </c>
      <c r="V1566" s="119" t="n">
        <v>26.27</v>
      </c>
      <c r="W1566" s="119"/>
      <c r="X1566" s="110" t="s">
        <v>2063</v>
      </c>
      <c r="Y1566" s="110" t="s">
        <v>2064</v>
      </c>
      <c r="Z1566" s="110"/>
      <c r="AA1566" s="110" t="s">
        <v>537</v>
      </c>
      <c r="AB1566" s="110" t="s">
        <v>374</v>
      </c>
      <c r="AC1566" s="110" t="s">
        <v>538</v>
      </c>
      <c r="AD1566" s="110" t="n">
        <f aca="false">IF(OR(F1566="",Q1566="",R1566=""),"",ROUND(IF(P1566="incl.",F1566/(1+Q1566),F1566)/IF(S1566="per pack",R1566,1),2))</f>
        <v>26.27</v>
      </c>
      <c r="AE1566" s="110" t="str">
        <f aca="false">IF(AND(AC1566="yes",ISNUMBER(F1566),IF(Compare!$H$5="All mapped",TRUE(),IF(Compare!$H$5="EXACT only",J1566="EXACT",OR(J1566="EXACT",J1566="CLOSE")))),"yes","no")</f>
        <v>yes</v>
      </c>
      <c r="AF1566" s="110" t="n">
        <f aca="false">IF(ISNUMBER(H1566),COUNTIFS($B$7:$B$3000,B1566,$C$7:$C$3000,C1566,$H$7:$H$3000,"&lt;"&amp;H1566,$AH$7:$AH$3000,"yes")+COUNTIFS($B$7:B1566,B1566,$C$7:C1566,C1566,$H$7:H1566,H1566,$AH$7:AH1566,"yes"),"")</f>
        <v>2</v>
      </c>
      <c r="AG1566" s="110" t="n">
        <f aca="false">IF(ISNUMBER(I1566),COUNTIFS($B$7:$B$3000,B1566,$C$7:$C$3000,C1566,$I$7:$I$3000,"&lt;"&amp;I1566,$AI$7:$AI$3000,"yes")+COUNTIFS($B$7:B1566,B1566,$C$7:C1566,C1566,$I$7:I1566,I1566,$AI$7:AI1566,"yes"),"")</f>
        <v>2</v>
      </c>
      <c r="AH1566" s="110" t="str">
        <f aca="false">IF(ISNUMBER(H1566),"yes","no")</f>
        <v>yes</v>
      </c>
      <c r="AI1566" s="110" t="str">
        <f aca="false">IF(ISNUMBER(I1566),"yes","no")</f>
        <v>yes</v>
      </c>
      <c r="AJ1566" s="120" t="n">
        <v>46297</v>
      </c>
      <c r="AK1566" s="110"/>
    </row>
    <row r="1567" customFormat="false" ht="23.85" hidden="false" customHeight="false" outlineLevel="0" collapsed="false">
      <c r="B1567" s="36" t="s">
        <v>91</v>
      </c>
      <c r="C1567" s="98" t="s">
        <v>14</v>
      </c>
      <c r="D1567" s="98" t="s">
        <v>403</v>
      </c>
      <c r="E1567" s="110" t="s">
        <v>4918</v>
      </c>
      <c r="F1567" s="99" t="n">
        <v>31.14</v>
      </c>
      <c r="G1567" s="98" t="s">
        <v>374</v>
      </c>
      <c r="H1567" s="112" t="n">
        <f aca="false">IF(AND(AE1567="yes",ISNUMBER(AD1567)),AD1567,"")</f>
        <v>31.14</v>
      </c>
      <c r="I1567" s="95" t="n">
        <f aca="false">IF(AND(AE1567="yes",ISNUMBER(AD1567),ISNUMBER(INDEX(Sources!$G$7:$G$10,MATCH(AB1567,Sources!$B$7:$B$10,0)))),ROUND(AD1567/INDEX(Sources!$G$7:$G$10,MATCH(AB1567,Sources!$B$7:$B$10,0)),6),"")</f>
        <v>5.900363</v>
      </c>
      <c r="J1567" s="98" t="s">
        <v>530</v>
      </c>
      <c r="K1567" s="98" t="s">
        <v>2059</v>
      </c>
      <c r="L1567" s="96"/>
      <c r="M1567" s="110" t="s">
        <v>4919</v>
      </c>
      <c r="N1567" s="117" t="s">
        <v>4920</v>
      </c>
      <c r="O1567" s="110" t="s">
        <v>388</v>
      </c>
      <c r="P1567" s="110" t="s">
        <v>590</v>
      </c>
      <c r="Q1567" s="118" t="n">
        <v>0.21</v>
      </c>
      <c r="R1567" s="110" t="n">
        <v>1</v>
      </c>
      <c r="S1567" s="110" t="s">
        <v>632</v>
      </c>
      <c r="T1567" s="110" t="s">
        <v>530</v>
      </c>
      <c r="U1567" s="110" t="s">
        <v>2913</v>
      </c>
      <c r="V1567" s="119" t="n">
        <v>31.14</v>
      </c>
      <c r="W1567" s="119"/>
      <c r="X1567" s="110" t="s">
        <v>2063</v>
      </c>
      <c r="Y1567" s="110" t="s">
        <v>2064</v>
      </c>
      <c r="Z1567" s="110"/>
      <c r="AA1567" s="110" t="s">
        <v>537</v>
      </c>
      <c r="AB1567" s="110" t="s">
        <v>374</v>
      </c>
      <c r="AC1567" s="110" t="s">
        <v>538</v>
      </c>
      <c r="AD1567" s="110" t="n">
        <f aca="false">IF(OR(F1567="",Q1567="",R1567=""),"",ROUND(IF(P1567="incl.",F1567/(1+Q1567),F1567)/IF(S1567="per pack",R1567,1),2))</f>
        <v>31.14</v>
      </c>
      <c r="AE1567" s="110" t="str">
        <f aca="false">IF(AND(AC1567="yes",ISNUMBER(F1567),IF(Compare!$H$5="All mapped",TRUE(),IF(Compare!$H$5="EXACT only",J1567="EXACT",OR(J1567="EXACT",J1567="CLOSE")))),"yes","no")</f>
        <v>yes</v>
      </c>
      <c r="AF1567" s="110" t="n">
        <f aca="false">IF(ISNUMBER(H1567),COUNTIFS($B$7:$B$3000,B1567,$C$7:$C$3000,C1567,$H$7:$H$3000,"&lt;"&amp;H1567,$AH$7:$AH$3000,"yes")+COUNTIFS($B$7:B1567,B1567,$C$7:C1567,C1567,$H$7:H1567,H1567,$AH$7:AH1567,"yes"),"")</f>
        <v>3</v>
      </c>
      <c r="AG1567" s="110" t="n">
        <f aca="false">IF(ISNUMBER(I1567),COUNTIFS($B$7:$B$3000,B1567,$C$7:$C$3000,C1567,$I$7:$I$3000,"&lt;"&amp;I1567,$AI$7:$AI$3000,"yes")+COUNTIFS($B$7:B1567,B1567,$C$7:C1567,C1567,$I$7:I1567,I1567,$AI$7:AI1567,"yes"),"")</f>
        <v>3</v>
      </c>
      <c r="AH1567" s="110" t="str">
        <f aca="false">IF(ISNUMBER(H1567),"yes","no")</f>
        <v>yes</v>
      </c>
      <c r="AI1567" s="110" t="str">
        <f aca="false">IF(ISNUMBER(I1567),"yes","no")</f>
        <v>yes</v>
      </c>
      <c r="AJ1567" s="120" t="n">
        <v>46297</v>
      </c>
      <c r="AK1567" s="110"/>
    </row>
    <row r="1568" customFormat="false" ht="35.05" hidden="false" customHeight="false" outlineLevel="0" collapsed="false">
      <c r="B1568" s="36" t="s">
        <v>91</v>
      </c>
      <c r="C1568" s="98" t="s">
        <v>15</v>
      </c>
      <c r="D1568" s="98" t="s">
        <v>243</v>
      </c>
      <c r="E1568" s="110" t="s">
        <v>4921</v>
      </c>
      <c r="F1568" s="99" t="n">
        <v>8.28</v>
      </c>
      <c r="G1568" s="98" t="s">
        <v>244</v>
      </c>
      <c r="H1568" s="112" t="n">
        <f aca="false">IF(AND(AE1568="yes",ISNUMBER(AD1568)),AD1568,"")</f>
        <v>8.28</v>
      </c>
      <c r="I1568" s="95" t="n">
        <f aca="false">IF(AND(AE1568="yes",ISNUMBER(AD1568),ISNUMBER(INDEX(Sources!$G$7:$G$10,MATCH(AB1568,Sources!$B$7:$B$10,0)))),ROUND(AD1568/INDEX(Sources!$G$7:$G$10,MATCH(AB1568,Sources!$B$7:$B$10,0)),6),"")</f>
        <v>8.28</v>
      </c>
      <c r="J1568" s="98" t="s">
        <v>530</v>
      </c>
      <c r="K1568" s="98" t="s">
        <v>2059</v>
      </c>
      <c r="L1568" s="96"/>
      <c r="M1568" s="110" t="s">
        <v>4922</v>
      </c>
      <c r="N1568" s="117" t="s">
        <v>4923</v>
      </c>
      <c r="O1568" s="110" t="s">
        <v>388</v>
      </c>
      <c r="P1568" s="110" t="s">
        <v>590</v>
      </c>
      <c r="Q1568" s="118" t="n">
        <v>0.2</v>
      </c>
      <c r="R1568" s="110" t="n">
        <v>1</v>
      </c>
      <c r="S1568" s="110" t="s">
        <v>632</v>
      </c>
      <c r="T1568" s="110" t="s">
        <v>530</v>
      </c>
      <c r="U1568" s="110" t="s">
        <v>2913</v>
      </c>
      <c r="V1568" s="119" t="n">
        <v>8.28</v>
      </c>
      <c r="W1568" s="119"/>
      <c r="X1568" s="110" t="s">
        <v>2063</v>
      </c>
      <c r="Y1568" s="110" t="s">
        <v>2064</v>
      </c>
      <c r="Z1568" s="110" t="s">
        <v>4337</v>
      </c>
      <c r="AA1568" s="110" t="s">
        <v>537</v>
      </c>
      <c r="AB1568" s="110" t="s">
        <v>244</v>
      </c>
      <c r="AC1568" s="110" t="s">
        <v>538</v>
      </c>
      <c r="AD1568" s="110" t="n">
        <f aca="false">IF(OR(F1568="",Q1568="",R1568=""),"",ROUND(IF(P1568="incl.",F1568/(1+Q1568),F1568)/IF(S1568="per pack",R1568,1),2))</f>
        <v>8.28</v>
      </c>
      <c r="AE1568" s="110" t="str">
        <f aca="false">IF(AND(AC1568="yes",ISNUMBER(F1568),IF(Compare!$H$5="All mapped",TRUE(),IF(Compare!$H$5="EXACT only",J1568="EXACT",OR(J1568="EXACT",J1568="CLOSE")))),"yes","no")</f>
        <v>yes</v>
      </c>
      <c r="AF1568" s="110" t="n">
        <f aca="false">IF(ISNUMBER(H1568),COUNTIFS($B$7:$B$3000,B1568,$C$7:$C$3000,C1568,$H$7:$H$3000,"&lt;"&amp;H1568,$AH$7:$AH$3000,"yes")+COUNTIFS($B$7:B1568,B1568,$C$7:C1568,C1568,$H$7:H1568,H1568,$AH$7:AH1568,"yes"),"")</f>
        <v>5</v>
      </c>
      <c r="AG1568" s="110" t="n">
        <f aca="false">IF(ISNUMBER(I1568),COUNTIFS($B$7:$B$3000,B1568,$C$7:$C$3000,C1568,$I$7:$I$3000,"&lt;"&amp;I1568,$AI$7:$AI$3000,"yes")+COUNTIFS($B$7:B1568,B1568,$C$7:C1568,C1568,$I$7:I1568,I1568,$AI$7:AI1568,"yes"),"")</f>
        <v>5</v>
      </c>
      <c r="AH1568" s="110" t="str">
        <f aca="false">IF(ISNUMBER(H1568),"yes","no")</f>
        <v>yes</v>
      </c>
      <c r="AI1568" s="110" t="str">
        <f aca="false">IF(ISNUMBER(I1568),"yes","no")</f>
        <v>yes</v>
      </c>
      <c r="AJ1568" s="120" t="n">
        <v>46297</v>
      </c>
      <c r="AK1568" s="110"/>
    </row>
    <row r="1569" customFormat="false" ht="23.85" hidden="false" customHeight="false" outlineLevel="0" collapsed="false">
      <c r="B1569" s="36" t="s">
        <v>91</v>
      </c>
      <c r="C1569" s="98" t="s">
        <v>15</v>
      </c>
      <c r="D1569" s="98" t="s">
        <v>257</v>
      </c>
      <c r="E1569" s="110" t="s">
        <v>4924</v>
      </c>
      <c r="F1569" s="99" t="n">
        <v>6.2</v>
      </c>
      <c r="G1569" s="98" t="s">
        <v>244</v>
      </c>
      <c r="H1569" s="112" t="n">
        <f aca="false">IF(AND(AE1569="yes",ISNUMBER(AD1569)),AD1569,"")</f>
        <v>6.2</v>
      </c>
      <c r="I1569" s="95" t="n">
        <f aca="false">IF(AND(AE1569="yes",ISNUMBER(AD1569),ISNUMBER(INDEX(Sources!$G$7:$G$10,MATCH(AB1569,Sources!$B$7:$B$10,0)))),ROUND(AD1569/INDEX(Sources!$G$7:$G$10,MATCH(AB1569,Sources!$B$7:$B$10,0)),6),"")</f>
        <v>6.2</v>
      </c>
      <c r="J1569" s="98" t="s">
        <v>530</v>
      </c>
      <c r="K1569" s="98" t="s">
        <v>2059</v>
      </c>
      <c r="L1569" s="96"/>
      <c r="M1569" s="110" t="s">
        <v>4925</v>
      </c>
      <c r="N1569" s="117" t="s">
        <v>4926</v>
      </c>
      <c r="O1569" s="110" t="s">
        <v>2396</v>
      </c>
      <c r="P1569" s="110" t="s">
        <v>590</v>
      </c>
      <c r="Q1569" s="118" t="n">
        <v>0.2</v>
      </c>
      <c r="R1569" s="110" t="n">
        <v>1</v>
      </c>
      <c r="S1569" s="110" t="s">
        <v>632</v>
      </c>
      <c r="T1569" s="110" t="s">
        <v>530</v>
      </c>
      <c r="U1569" s="110" t="s">
        <v>2913</v>
      </c>
      <c r="V1569" s="119" t="n">
        <v>6.2</v>
      </c>
      <c r="W1569" s="119"/>
      <c r="X1569" s="110" t="s">
        <v>2063</v>
      </c>
      <c r="Y1569" s="110" t="s">
        <v>2064</v>
      </c>
      <c r="Z1569" s="110" t="s">
        <v>4341</v>
      </c>
      <c r="AA1569" s="110" t="s">
        <v>537</v>
      </c>
      <c r="AB1569" s="110" t="s">
        <v>244</v>
      </c>
      <c r="AC1569" s="110" t="s">
        <v>538</v>
      </c>
      <c r="AD1569" s="110" t="n">
        <f aca="false">IF(OR(F1569="",Q1569="",R1569=""),"",ROUND(IF(P1569="incl.",F1569/(1+Q1569),F1569)/IF(S1569="per pack",R1569,1),2))</f>
        <v>6.2</v>
      </c>
      <c r="AE1569" s="110" t="str">
        <f aca="false">IF(AND(AC1569="yes",ISNUMBER(F1569),IF(Compare!$H$5="All mapped",TRUE(),IF(Compare!$H$5="EXACT only",J1569="EXACT",OR(J1569="EXACT",J1569="CLOSE")))),"yes","no")</f>
        <v>yes</v>
      </c>
      <c r="AF1569" s="110" t="n">
        <f aca="false">IF(ISNUMBER(H1569),COUNTIFS($B$7:$B$3000,B1569,$C$7:$C$3000,C1569,$H$7:$H$3000,"&lt;"&amp;H1569,$AH$7:$AH$3000,"yes")+COUNTIFS($B$7:B1569,B1569,$C$7:C1569,C1569,$H$7:H1569,H1569,$AH$7:AH1569,"yes"),"")</f>
        <v>3</v>
      </c>
      <c r="AG1569" s="110" t="n">
        <f aca="false">IF(ISNUMBER(I1569),COUNTIFS($B$7:$B$3000,B1569,$C$7:$C$3000,C1569,$I$7:$I$3000,"&lt;"&amp;I1569,$AI$7:$AI$3000,"yes")+COUNTIFS($B$7:B1569,B1569,$C$7:C1569,C1569,$I$7:I1569,I1569,$AI$7:AI1569,"yes"),"")</f>
        <v>3</v>
      </c>
      <c r="AH1569" s="110" t="str">
        <f aca="false">IF(ISNUMBER(H1569),"yes","no")</f>
        <v>yes</v>
      </c>
      <c r="AI1569" s="110" t="str">
        <f aca="false">IF(ISNUMBER(I1569),"yes","no")</f>
        <v>yes</v>
      </c>
      <c r="AJ1569" s="120" t="n">
        <v>46297</v>
      </c>
      <c r="AK1569" s="110"/>
    </row>
    <row r="1570" customFormat="false" ht="23.85" hidden="false" customHeight="false" outlineLevel="0" collapsed="false">
      <c r="B1570" s="36" t="s">
        <v>91</v>
      </c>
      <c r="C1570" s="98" t="s">
        <v>15</v>
      </c>
      <c r="D1570" s="98" t="s">
        <v>269</v>
      </c>
      <c r="E1570" s="110" t="s">
        <v>4927</v>
      </c>
      <c r="F1570" s="99" t="n">
        <v>9.69</v>
      </c>
      <c r="G1570" s="98" t="s">
        <v>244</v>
      </c>
      <c r="H1570" s="112" t="n">
        <f aca="false">IF(AND(AE1570="yes",ISNUMBER(AD1570)),AD1570,"")</f>
        <v>9.69</v>
      </c>
      <c r="I1570" s="95" t="n">
        <f aca="false">IF(AND(AE1570="yes",ISNUMBER(AD1570),ISNUMBER(INDEX(Sources!$G$7:$G$10,MATCH(AB1570,Sources!$B$7:$B$10,0)))),ROUND(AD1570/INDEX(Sources!$G$7:$G$10,MATCH(AB1570,Sources!$B$7:$B$10,0)),6),"")</f>
        <v>9.69</v>
      </c>
      <c r="J1570" s="98" t="s">
        <v>530</v>
      </c>
      <c r="K1570" s="98" t="s">
        <v>2059</v>
      </c>
      <c r="L1570" s="96"/>
      <c r="M1570" s="110" t="s">
        <v>4928</v>
      </c>
      <c r="N1570" s="117" t="s">
        <v>4929</v>
      </c>
      <c r="O1570" s="110" t="s">
        <v>589</v>
      </c>
      <c r="P1570" s="110" t="s">
        <v>590</v>
      </c>
      <c r="Q1570" s="118" t="n">
        <v>0.19</v>
      </c>
      <c r="R1570" s="110" t="n">
        <v>1</v>
      </c>
      <c r="S1570" s="110" t="s">
        <v>632</v>
      </c>
      <c r="T1570" s="110" t="s">
        <v>530</v>
      </c>
      <c r="U1570" s="110" t="s">
        <v>2913</v>
      </c>
      <c r="V1570" s="119" t="n">
        <v>9.69</v>
      </c>
      <c r="W1570" s="119"/>
      <c r="X1570" s="110" t="s">
        <v>2063</v>
      </c>
      <c r="Y1570" s="110" t="s">
        <v>2064</v>
      </c>
      <c r="Z1570" s="110" t="s">
        <v>4345</v>
      </c>
      <c r="AA1570" s="110" t="s">
        <v>537</v>
      </c>
      <c r="AB1570" s="110" t="s">
        <v>244</v>
      </c>
      <c r="AC1570" s="110" t="s">
        <v>538</v>
      </c>
      <c r="AD1570" s="110" t="n">
        <f aca="false">IF(OR(F1570="",Q1570="",R1570=""),"",ROUND(IF(P1570="incl.",F1570/(1+Q1570),F1570)/IF(S1570="per pack",R1570,1),2))</f>
        <v>9.69</v>
      </c>
      <c r="AE1570" s="110" t="str">
        <f aca="false">IF(AND(AC1570="yes",ISNUMBER(F1570),IF(Compare!$H$5="All mapped",TRUE(),IF(Compare!$H$5="EXACT only",J1570="EXACT",OR(J1570="EXACT",J1570="CLOSE")))),"yes","no")</f>
        <v>yes</v>
      </c>
      <c r="AF1570" s="110" t="n">
        <f aca="false">IF(ISNUMBER(H1570),COUNTIFS($B$7:$B$3000,B1570,$C$7:$C$3000,C1570,$H$7:$H$3000,"&lt;"&amp;H1570,$AH$7:$AH$3000,"yes")+COUNTIFS($B$7:B1570,B1570,$C$7:C1570,C1570,$H$7:H1570,H1570,$AH$7:AH1570,"yes"),"")</f>
        <v>6</v>
      </c>
      <c r="AG1570" s="110" t="n">
        <f aca="false">IF(ISNUMBER(I1570),COUNTIFS($B$7:$B$3000,B1570,$C$7:$C$3000,C1570,$I$7:$I$3000,"&lt;"&amp;I1570,$AI$7:$AI$3000,"yes")+COUNTIFS($B$7:B1570,B1570,$C$7:C1570,C1570,$I$7:I1570,I1570,$AI$7:AI1570,"yes"),"")</f>
        <v>6</v>
      </c>
      <c r="AH1570" s="110" t="str">
        <f aca="false">IF(ISNUMBER(H1570),"yes","no")</f>
        <v>yes</v>
      </c>
      <c r="AI1570" s="110" t="str">
        <f aca="false">IF(ISNUMBER(I1570),"yes","no")</f>
        <v>yes</v>
      </c>
      <c r="AJ1570" s="120" t="n">
        <v>46297</v>
      </c>
      <c r="AK1570" s="110"/>
    </row>
    <row r="1571" customFormat="false" ht="23.85" hidden="false" customHeight="false" outlineLevel="0" collapsed="false">
      <c r="B1571" s="36" t="s">
        <v>91</v>
      </c>
      <c r="C1571" s="98" t="s">
        <v>15</v>
      </c>
      <c r="D1571" s="98" t="s">
        <v>264</v>
      </c>
      <c r="E1571" s="110" t="s">
        <v>4930</v>
      </c>
      <c r="F1571" s="99" t="n">
        <v>19.71</v>
      </c>
      <c r="G1571" s="98" t="s">
        <v>244</v>
      </c>
      <c r="H1571" s="112" t="n">
        <f aca="false">IF(AND(AE1571="yes",ISNUMBER(AD1571)),AD1571,"")</f>
        <v>19.71</v>
      </c>
      <c r="I1571" s="95" t="n">
        <f aca="false">IF(AND(AE1571="yes",ISNUMBER(AD1571),ISNUMBER(INDEX(Sources!$G$7:$G$10,MATCH(AB1571,Sources!$B$7:$B$10,0)))),ROUND(AD1571/INDEX(Sources!$G$7:$G$10,MATCH(AB1571,Sources!$B$7:$B$10,0)),6),"")</f>
        <v>19.71</v>
      </c>
      <c r="J1571" s="98" t="s">
        <v>530</v>
      </c>
      <c r="K1571" s="98" t="s">
        <v>2059</v>
      </c>
      <c r="L1571" s="96"/>
      <c r="M1571" s="110" t="s">
        <v>4931</v>
      </c>
      <c r="N1571" s="117" t="s">
        <v>4932</v>
      </c>
      <c r="O1571" s="110" t="s">
        <v>388</v>
      </c>
      <c r="P1571" s="110" t="s">
        <v>590</v>
      </c>
      <c r="Q1571" s="118" t="n">
        <v>0.19</v>
      </c>
      <c r="R1571" s="110" t="n">
        <v>1</v>
      </c>
      <c r="S1571" s="110" t="s">
        <v>632</v>
      </c>
      <c r="T1571" s="110" t="s">
        <v>530</v>
      </c>
      <c r="U1571" s="110" t="s">
        <v>2913</v>
      </c>
      <c r="V1571" s="119" t="n">
        <v>19.71</v>
      </c>
      <c r="W1571" s="119"/>
      <c r="X1571" s="110" t="s">
        <v>2063</v>
      </c>
      <c r="Y1571" s="110" t="s">
        <v>2064</v>
      </c>
      <c r="Z1571" s="110"/>
      <c r="AA1571" s="110" t="s">
        <v>537</v>
      </c>
      <c r="AB1571" s="110" t="s">
        <v>244</v>
      </c>
      <c r="AC1571" s="110" t="s">
        <v>538</v>
      </c>
      <c r="AD1571" s="110" t="n">
        <f aca="false">IF(OR(F1571="",Q1571="",R1571=""),"",ROUND(IF(P1571="incl.",F1571/(1+Q1571),F1571)/IF(S1571="per pack",R1571,1),2))</f>
        <v>19.71</v>
      </c>
      <c r="AE1571" s="110" t="str">
        <f aca="false">IF(AND(AC1571="yes",ISNUMBER(F1571),IF(Compare!$H$5="All mapped",TRUE(),IF(Compare!$H$5="EXACT only",J1571="EXACT",OR(J1571="EXACT",J1571="CLOSE")))),"yes","no")</f>
        <v>yes</v>
      </c>
      <c r="AF1571" s="110" t="n">
        <f aca="false">IF(ISNUMBER(H1571),COUNTIFS($B$7:$B$3000,B1571,$C$7:$C$3000,C1571,$H$7:$H$3000,"&lt;"&amp;H1571,$AH$7:$AH$3000,"yes")+COUNTIFS($B$7:B1571,B1571,$C$7:C1571,C1571,$H$7:H1571,H1571,$AH$7:AH1571,"yes"),"")</f>
        <v>7</v>
      </c>
      <c r="AG1571" s="110" t="n">
        <f aca="false">IF(ISNUMBER(I1571),COUNTIFS($B$7:$B$3000,B1571,$C$7:$C$3000,C1571,$I$7:$I$3000,"&lt;"&amp;I1571,$AI$7:$AI$3000,"yes")+COUNTIFS($B$7:B1571,B1571,$C$7:C1571,C1571,$I$7:I1571,I1571,$AI$7:AI1571,"yes"),"")</f>
        <v>7</v>
      </c>
      <c r="AH1571" s="110" t="str">
        <f aca="false">IF(ISNUMBER(H1571),"yes","no")</f>
        <v>yes</v>
      </c>
      <c r="AI1571" s="110" t="str">
        <f aca="false">IF(ISNUMBER(I1571),"yes","no")</f>
        <v>yes</v>
      </c>
      <c r="AJ1571" s="120" t="n">
        <v>46297</v>
      </c>
      <c r="AK1571" s="110"/>
    </row>
    <row r="1572" customFormat="false" ht="35.05" hidden="false" customHeight="false" outlineLevel="0" collapsed="false">
      <c r="B1572" s="36" t="s">
        <v>91</v>
      </c>
      <c r="C1572" s="98" t="s">
        <v>15</v>
      </c>
      <c r="D1572" s="98" t="s">
        <v>273</v>
      </c>
      <c r="E1572" s="110" t="s">
        <v>4933</v>
      </c>
      <c r="F1572" s="99" t="n">
        <v>8.39</v>
      </c>
      <c r="G1572" s="98" t="s">
        <v>244</v>
      </c>
      <c r="H1572" s="112" t="n">
        <f aca="false">IF(AND(AE1572="yes",ISNUMBER(AD1572)),AD1572,"")</f>
        <v>6.99</v>
      </c>
      <c r="I1572" s="95" t="n">
        <f aca="false">IF(AND(AE1572="yes",ISNUMBER(AD1572),ISNUMBER(INDEX(Sources!$G$7:$G$10,MATCH(AB1572,Sources!$B$7:$B$10,0)))),ROUND(AD1572/INDEX(Sources!$G$7:$G$10,MATCH(AB1572,Sources!$B$7:$B$10,0)),6),"")</f>
        <v>6.99</v>
      </c>
      <c r="J1572" s="98" t="s">
        <v>530</v>
      </c>
      <c r="K1572" s="98" t="s">
        <v>2059</v>
      </c>
      <c r="L1572" s="96"/>
      <c r="M1572" s="110" t="s">
        <v>4934</v>
      </c>
      <c r="N1572" s="117" t="s">
        <v>4935</v>
      </c>
      <c r="O1572" s="110" t="s">
        <v>642</v>
      </c>
      <c r="P1572" s="110" t="s">
        <v>265</v>
      </c>
      <c r="Q1572" s="118" t="n">
        <v>0.2</v>
      </c>
      <c r="R1572" s="110" t="n">
        <v>1</v>
      </c>
      <c r="S1572" s="110" t="s">
        <v>632</v>
      </c>
      <c r="T1572" s="110" t="s">
        <v>530</v>
      </c>
      <c r="U1572" s="110" t="s">
        <v>2918</v>
      </c>
      <c r="V1572" s="119" t="n">
        <v>6.99</v>
      </c>
      <c r="W1572" s="119"/>
      <c r="X1572" s="110" t="s">
        <v>2063</v>
      </c>
      <c r="Y1572" s="110" t="s">
        <v>2064</v>
      </c>
      <c r="Z1572" s="110"/>
      <c r="AA1572" s="110" t="s">
        <v>537</v>
      </c>
      <c r="AB1572" s="110" t="s">
        <v>244</v>
      </c>
      <c r="AC1572" s="110" t="s">
        <v>538</v>
      </c>
      <c r="AD1572" s="110" t="n">
        <f aca="false">IF(OR(F1572="",Q1572="",R1572=""),"",ROUND(IF(P1572="incl.",F1572/(1+Q1572),F1572)/IF(S1572="per pack",R1572,1),2))</f>
        <v>6.99</v>
      </c>
      <c r="AE1572" s="110" t="str">
        <f aca="false">IF(AND(AC1572="yes",ISNUMBER(F1572),IF(Compare!$H$5="All mapped",TRUE(),IF(Compare!$H$5="EXACT only",J1572="EXACT",OR(J1572="EXACT",J1572="CLOSE")))),"yes","no")</f>
        <v>yes</v>
      </c>
      <c r="AF1572" s="110" t="n">
        <f aca="false">IF(ISNUMBER(H1572),COUNTIFS($B$7:$B$3000,B1572,$C$7:$C$3000,C1572,$H$7:$H$3000,"&lt;"&amp;H1572,$AH$7:$AH$3000,"yes")+COUNTIFS($B$7:B1572,B1572,$C$7:C1572,C1572,$H$7:H1572,H1572,$AH$7:AH1572,"yes"),"")</f>
        <v>4</v>
      </c>
      <c r="AG1572" s="110" t="n">
        <f aca="false">IF(ISNUMBER(I1572),COUNTIFS($B$7:$B$3000,B1572,$C$7:$C$3000,C1572,$I$7:$I$3000,"&lt;"&amp;I1572,$AI$7:$AI$3000,"yes")+COUNTIFS($B$7:B1572,B1572,$C$7:C1572,C1572,$I$7:I1572,I1572,$AI$7:AI1572,"yes"),"")</f>
        <v>4</v>
      </c>
      <c r="AH1572" s="110" t="str">
        <f aca="false">IF(ISNUMBER(H1572),"yes","no")</f>
        <v>yes</v>
      </c>
      <c r="AI1572" s="110" t="str">
        <f aca="false">IF(ISNUMBER(I1572),"yes","no")</f>
        <v>yes</v>
      </c>
      <c r="AJ1572" s="120" t="n">
        <v>46297</v>
      </c>
      <c r="AK1572" s="110"/>
    </row>
    <row r="1573" customFormat="false" ht="46.25" hidden="false" customHeight="false" outlineLevel="0" collapsed="false">
      <c r="B1573" s="36" t="s">
        <v>91</v>
      </c>
      <c r="C1573" s="98" t="s">
        <v>15</v>
      </c>
      <c r="D1573" s="98" t="s">
        <v>281</v>
      </c>
      <c r="E1573" s="110" t="s">
        <v>4936</v>
      </c>
      <c r="F1573" s="99" t="n">
        <v>5.38</v>
      </c>
      <c r="G1573" s="98" t="s">
        <v>244</v>
      </c>
      <c r="H1573" s="112" t="n">
        <f aca="false">IF(AND(AE1573="yes",ISNUMBER(AD1573)),AD1573,"")</f>
        <v>5.38</v>
      </c>
      <c r="I1573" s="95" t="n">
        <f aca="false">IF(AND(AE1573="yes",ISNUMBER(AD1573),ISNUMBER(INDEX(Sources!$G$7:$G$10,MATCH(AB1573,Sources!$B$7:$B$10,0)))),ROUND(AD1573/INDEX(Sources!$G$7:$G$10,MATCH(AB1573,Sources!$B$7:$B$10,0)),6),"")</f>
        <v>5.38</v>
      </c>
      <c r="J1573" s="98" t="s">
        <v>530</v>
      </c>
      <c r="K1573" s="98" t="s">
        <v>2059</v>
      </c>
      <c r="L1573" s="96"/>
      <c r="M1573" s="110" t="s">
        <v>4937</v>
      </c>
      <c r="N1573" s="117" t="s">
        <v>4938</v>
      </c>
      <c r="O1573" s="110" t="s">
        <v>603</v>
      </c>
      <c r="P1573" s="110" t="s">
        <v>590</v>
      </c>
      <c r="Q1573" s="118" t="n">
        <v>0.2</v>
      </c>
      <c r="R1573" s="110" t="n">
        <v>1</v>
      </c>
      <c r="S1573" s="110" t="s">
        <v>632</v>
      </c>
      <c r="T1573" s="110" t="s">
        <v>530</v>
      </c>
      <c r="U1573" s="110" t="s">
        <v>2913</v>
      </c>
      <c r="V1573" s="119" t="n">
        <v>5.38</v>
      </c>
      <c r="W1573" s="119"/>
      <c r="X1573" s="110" t="s">
        <v>2063</v>
      </c>
      <c r="Y1573" s="110" t="s">
        <v>2064</v>
      </c>
      <c r="Z1573" s="110" t="s">
        <v>2125</v>
      </c>
      <c r="AA1573" s="110" t="s">
        <v>537</v>
      </c>
      <c r="AB1573" s="110" t="s">
        <v>244</v>
      </c>
      <c r="AC1573" s="110" t="s">
        <v>538</v>
      </c>
      <c r="AD1573" s="110" t="n">
        <f aca="false">IF(OR(F1573="",Q1573="",R1573=""),"",ROUND(IF(P1573="incl.",F1573/(1+Q1573),F1573)/IF(S1573="per pack",R1573,1),2))</f>
        <v>5.38</v>
      </c>
      <c r="AE1573" s="110" t="str">
        <f aca="false">IF(AND(AC1573="yes",ISNUMBER(F1573),IF(Compare!$H$5="All mapped",TRUE(),IF(Compare!$H$5="EXACT only",J1573="EXACT",OR(J1573="EXACT",J1573="CLOSE")))),"yes","no")</f>
        <v>yes</v>
      </c>
      <c r="AF1573" s="110" t="n">
        <f aca="false">IF(ISNUMBER(H1573),COUNTIFS($B$7:$B$3000,B1573,$C$7:$C$3000,C1573,$H$7:$H$3000,"&lt;"&amp;H1573,$AH$7:$AH$3000,"yes")+COUNTIFS($B$7:B1573,B1573,$C$7:C1573,C1573,$H$7:H1573,H1573,$AH$7:AH1573,"yes"),"")</f>
        <v>2</v>
      </c>
      <c r="AG1573" s="110" t="n">
        <f aca="false">IF(ISNUMBER(I1573),COUNTIFS($B$7:$B$3000,B1573,$C$7:$C$3000,C1573,$I$7:$I$3000,"&lt;"&amp;I1573,$AI$7:$AI$3000,"yes")+COUNTIFS($B$7:B1573,B1573,$C$7:C1573,C1573,$I$7:I1573,I1573,$AI$7:AI1573,"yes"),"")</f>
        <v>2</v>
      </c>
      <c r="AH1573" s="110" t="str">
        <f aca="false">IF(ISNUMBER(H1573),"yes","no")</f>
        <v>yes</v>
      </c>
      <c r="AI1573" s="110" t="str">
        <f aca="false">IF(ISNUMBER(I1573),"yes","no")</f>
        <v>yes</v>
      </c>
      <c r="AJ1573" s="120" t="n">
        <v>46297</v>
      </c>
      <c r="AK1573" s="110"/>
    </row>
    <row r="1574" customFormat="false" ht="35.05" hidden="false" customHeight="false" outlineLevel="0" collapsed="false">
      <c r="B1574" s="36" t="s">
        <v>91</v>
      </c>
      <c r="C1574" s="98" t="s">
        <v>15</v>
      </c>
      <c r="D1574" s="98" t="s">
        <v>293</v>
      </c>
      <c r="E1574" s="110" t="s">
        <v>4939</v>
      </c>
      <c r="F1574" s="99" t="n">
        <v>4.6</v>
      </c>
      <c r="G1574" s="98" t="s">
        <v>244</v>
      </c>
      <c r="H1574" s="112" t="n">
        <f aca="false">IF(AND(AE1574="yes",ISNUMBER(AD1574)),AD1574,"")</f>
        <v>4.6</v>
      </c>
      <c r="I1574" s="95" t="n">
        <f aca="false">IF(AND(AE1574="yes",ISNUMBER(AD1574),ISNUMBER(INDEX(Sources!$G$7:$G$10,MATCH(AB1574,Sources!$B$7:$B$10,0)))),ROUND(AD1574/INDEX(Sources!$G$7:$G$10,MATCH(AB1574,Sources!$B$7:$B$10,0)),6),"")</f>
        <v>4.6</v>
      </c>
      <c r="J1574" s="98" t="s">
        <v>530</v>
      </c>
      <c r="K1574" s="98" t="s">
        <v>2059</v>
      </c>
      <c r="L1574" s="96"/>
      <c r="M1574" s="110" t="s">
        <v>4940</v>
      </c>
      <c r="N1574" s="117" t="s">
        <v>4941</v>
      </c>
      <c r="O1574" s="110" t="s">
        <v>4358</v>
      </c>
      <c r="P1574" s="110" t="s">
        <v>590</v>
      </c>
      <c r="Q1574" s="118" t="n">
        <v>0.2</v>
      </c>
      <c r="R1574" s="110" t="n">
        <v>1</v>
      </c>
      <c r="S1574" s="110" t="s">
        <v>632</v>
      </c>
      <c r="T1574" s="110" t="s">
        <v>530</v>
      </c>
      <c r="U1574" s="110" t="s">
        <v>2913</v>
      </c>
      <c r="V1574" s="119" t="n">
        <v>4.6</v>
      </c>
      <c r="W1574" s="119"/>
      <c r="X1574" s="110" t="s">
        <v>2063</v>
      </c>
      <c r="Y1574" s="110" t="s">
        <v>2064</v>
      </c>
      <c r="Z1574" s="110"/>
      <c r="AA1574" s="110" t="s">
        <v>537</v>
      </c>
      <c r="AB1574" s="110" t="s">
        <v>244</v>
      </c>
      <c r="AC1574" s="110" t="s">
        <v>538</v>
      </c>
      <c r="AD1574" s="110" t="n">
        <f aca="false">IF(OR(F1574="",Q1574="",R1574=""),"",ROUND(IF(P1574="incl.",F1574/(1+Q1574),F1574)/IF(S1574="per pack",R1574,1),2))</f>
        <v>4.6</v>
      </c>
      <c r="AE1574" s="110" t="str">
        <f aca="false">IF(AND(AC1574="yes",ISNUMBER(F1574),IF(Compare!$H$5="All mapped",TRUE(),IF(Compare!$H$5="EXACT only",J1574="EXACT",OR(J1574="EXACT",J1574="CLOSE")))),"yes","no")</f>
        <v>yes</v>
      </c>
      <c r="AF1574" s="110" t="n">
        <f aca="false">IF(ISNUMBER(H1574),COUNTIFS($B$7:$B$3000,B1574,$C$7:$C$3000,C1574,$H$7:$H$3000,"&lt;"&amp;H1574,$AH$7:$AH$3000,"yes")+COUNTIFS($B$7:B1574,B1574,$C$7:C1574,C1574,$H$7:H1574,H1574,$AH$7:AH1574,"yes"),"")</f>
        <v>1</v>
      </c>
      <c r="AG1574" s="110" t="n">
        <f aca="false">IF(ISNUMBER(I1574),COUNTIFS($B$7:$B$3000,B1574,$C$7:$C$3000,C1574,$I$7:$I$3000,"&lt;"&amp;I1574,$AI$7:$AI$3000,"yes")+COUNTIFS($B$7:B1574,B1574,$C$7:C1574,C1574,$I$7:I1574,I1574,$AI$7:AI1574,"yes"),"")</f>
        <v>1</v>
      </c>
      <c r="AH1574" s="110" t="str">
        <f aca="false">IF(ISNUMBER(H1574),"yes","no")</f>
        <v>yes</v>
      </c>
      <c r="AI1574" s="110" t="str">
        <f aca="false">IF(ISNUMBER(I1574),"yes","no")</f>
        <v>yes</v>
      </c>
      <c r="AJ1574" s="120" t="n">
        <v>46297</v>
      </c>
      <c r="AK1574" s="110"/>
    </row>
    <row r="1575" customFormat="false" ht="23.85" hidden="false" customHeight="false" outlineLevel="0" collapsed="false">
      <c r="B1575" s="36" t="s">
        <v>91</v>
      </c>
      <c r="C1575" s="98" t="s">
        <v>16</v>
      </c>
      <c r="D1575" s="98" t="s">
        <v>296</v>
      </c>
      <c r="E1575" s="110" t="s">
        <v>4942</v>
      </c>
      <c r="F1575" s="99" t="n">
        <v>3.49</v>
      </c>
      <c r="G1575" s="98" t="s">
        <v>244</v>
      </c>
      <c r="H1575" s="112" t="n">
        <f aca="false">IF(AND(AE1575="yes",ISNUMBER(AD1575)),AD1575,"")</f>
        <v>3.49</v>
      </c>
      <c r="I1575" s="95" t="n">
        <f aca="false">IF(AND(AE1575="yes",ISNUMBER(AD1575),ISNUMBER(INDEX(Sources!$G$7:$G$10,MATCH(AB1575,Sources!$B$7:$B$10,0)))),ROUND(AD1575/INDEX(Sources!$G$7:$G$10,MATCH(AB1575,Sources!$B$7:$B$10,0)),6),"")</f>
        <v>3.49</v>
      </c>
      <c r="J1575" s="98" t="s">
        <v>530</v>
      </c>
      <c r="K1575" s="98" t="s">
        <v>2059</v>
      </c>
      <c r="L1575" s="96"/>
      <c r="M1575" s="110" t="s">
        <v>4943</v>
      </c>
      <c r="N1575" s="117" t="s">
        <v>4944</v>
      </c>
      <c r="O1575" s="110" t="s">
        <v>4362</v>
      </c>
      <c r="P1575" s="110" t="s">
        <v>590</v>
      </c>
      <c r="Q1575" s="118" t="n">
        <v>0.19</v>
      </c>
      <c r="R1575" s="110" t="n">
        <v>1</v>
      </c>
      <c r="S1575" s="110" t="s">
        <v>632</v>
      </c>
      <c r="T1575" s="110" t="s">
        <v>530</v>
      </c>
      <c r="U1575" s="110" t="s">
        <v>2913</v>
      </c>
      <c r="V1575" s="119" t="n">
        <v>3.49</v>
      </c>
      <c r="W1575" s="119"/>
      <c r="X1575" s="110" t="s">
        <v>2063</v>
      </c>
      <c r="Y1575" s="110" t="s">
        <v>2064</v>
      </c>
      <c r="Z1575" s="110" t="s">
        <v>2164</v>
      </c>
      <c r="AA1575" s="110" t="s">
        <v>537</v>
      </c>
      <c r="AB1575" s="110" t="s">
        <v>244</v>
      </c>
      <c r="AC1575" s="110" t="s">
        <v>538</v>
      </c>
      <c r="AD1575" s="110" t="n">
        <f aca="false">IF(OR(F1575="",Q1575="",R1575=""),"",ROUND(IF(P1575="incl.",F1575/(1+Q1575),F1575)/IF(S1575="per pack",R1575,1),2))</f>
        <v>3.49</v>
      </c>
      <c r="AE1575" s="110" t="str">
        <f aca="false">IF(AND(AC1575="yes",ISNUMBER(F1575),IF(Compare!$H$5="All mapped",TRUE(),IF(Compare!$H$5="EXACT only",J1575="EXACT",OR(J1575="EXACT",J1575="CLOSE")))),"yes","no")</f>
        <v>yes</v>
      </c>
      <c r="AF1575" s="110" t="n">
        <f aca="false">IF(ISNUMBER(H1575),COUNTIFS($B$7:$B$3000,B1575,$C$7:$C$3000,C1575,$H$7:$H$3000,"&lt;"&amp;H1575,$AH$7:$AH$3000,"yes")+COUNTIFS($B$7:B1575,B1575,$C$7:C1575,C1575,$H$7:H1575,H1575,$AH$7:AH1575,"yes"),"")</f>
        <v>1</v>
      </c>
      <c r="AG1575" s="110" t="n">
        <f aca="false">IF(ISNUMBER(I1575),COUNTIFS($B$7:$B$3000,B1575,$C$7:$C$3000,C1575,$I$7:$I$3000,"&lt;"&amp;I1575,$AI$7:$AI$3000,"yes")+COUNTIFS($B$7:B1575,B1575,$C$7:C1575,C1575,$I$7:I1575,I1575,$AI$7:AI1575,"yes"),"")</f>
        <v>1</v>
      </c>
      <c r="AH1575" s="110" t="str">
        <f aca="false">IF(ISNUMBER(H1575),"yes","no")</f>
        <v>yes</v>
      </c>
      <c r="AI1575" s="110" t="str">
        <f aca="false">IF(ISNUMBER(I1575),"yes","no")</f>
        <v>yes</v>
      </c>
      <c r="AJ1575" s="120" t="n">
        <v>46297</v>
      </c>
      <c r="AK1575" s="110"/>
    </row>
    <row r="1576" customFormat="false" ht="35.05" hidden="false" customHeight="false" outlineLevel="0" collapsed="false">
      <c r="B1576" s="36" t="s">
        <v>91</v>
      </c>
      <c r="C1576" s="98" t="s">
        <v>16</v>
      </c>
      <c r="D1576" s="98" t="s">
        <v>317</v>
      </c>
      <c r="E1576" s="110" t="s">
        <v>4945</v>
      </c>
      <c r="F1576" s="99" t="n">
        <v>68.99</v>
      </c>
      <c r="G1576" s="98" t="s">
        <v>244</v>
      </c>
      <c r="H1576" s="112" t="n">
        <f aca="false">IF(AND(AE1576="yes",ISNUMBER(AD1576)),AD1576,"")</f>
        <v>5.75</v>
      </c>
      <c r="I1576" s="95" t="n">
        <f aca="false">IF(AND(AE1576="yes",ISNUMBER(AD1576),ISNUMBER(INDEX(Sources!$G$7:$G$10,MATCH(AB1576,Sources!$B$7:$B$10,0)))),ROUND(AD1576/INDEX(Sources!$G$7:$G$10,MATCH(AB1576,Sources!$B$7:$B$10,0)),6),"")</f>
        <v>5.75</v>
      </c>
      <c r="J1576" s="98" t="s">
        <v>530</v>
      </c>
      <c r="K1576" s="98" t="s">
        <v>2059</v>
      </c>
      <c r="L1576" s="96"/>
      <c r="M1576" s="110" t="s">
        <v>4946</v>
      </c>
      <c r="N1576" s="117" t="s">
        <v>4947</v>
      </c>
      <c r="O1576" s="110" t="s">
        <v>317</v>
      </c>
      <c r="P1576" s="110" t="s">
        <v>590</v>
      </c>
      <c r="Q1576" s="118" t="n">
        <v>0.19</v>
      </c>
      <c r="R1576" s="110" t="n">
        <v>12</v>
      </c>
      <c r="S1576" s="110" t="s">
        <v>625</v>
      </c>
      <c r="T1576" s="110" t="s">
        <v>530</v>
      </c>
      <c r="U1576" s="110" t="s">
        <v>2913</v>
      </c>
      <c r="V1576" s="119" t="n">
        <v>5.75</v>
      </c>
      <c r="W1576" s="119"/>
      <c r="X1576" s="110" t="s">
        <v>2063</v>
      </c>
      <c r="Y1576" s="110" t="s">
        <v>2064</v>
      </c>
      <c r="Z1576" s="110" t="s">
        <v>4521</v>
      </c>
      <c r="AA1576" s="110" t="s">
        <v>537</v>
      </c>
      <c r="AB1576" s="110" t="s">
        <v>244</v>
      </c>
      <c r="AC1576" s="110" t="s">
        <v>538</v>
      </c>
      <c r="AD1576" s="110" t="n">
        <f aca="false">IF(OR(F1576="",Q1576="",R1576=""),"",ROUND(IF(P1576="incl.",F1576/(1+Q1576),F1576)/IF(S1576="per pack",R1576,1),2))</f>
        <v>5.75</v>
      </c>
      <c r="AE1576" s="110" t="str">
        <f aca="false">IF(AND(AC1576="yes",ISNUMBER(F1576),IF(Compare!$H$5="All mapped",TRUE(),IF(Compare!$H$5="EXACT only",J1576="EXACT",OR(J1576="EXACT",J1576="CLOSE")))),"yes","no")</f>
        <v>yes</v>
      </c>
      <c r="AF1576" s="110" t="n">
        <f aca="false">IF(ISNUMBER(H1576),COUNTIFS($B$7:$B$3000,B1576,$C$7:$C$3000,C1576,$H$7:$H$3000,"&lt;"&amp;H1576,$AH$7:$AH$3000,"yes")+COUNTIFS($B$7:B1576,B1576,$C$7:C1576,C1576,$H$7:H1576,H1576,$AH$7:AH1576,"yes"),"")</f>
        <v>4</v>
      </c>
      <c r="AG1576" s="110" t="n">
        <f aca="false">IF(ISNUMBER(I1576),COUNTIFS($B$7:$B$3000,B1576,$C$7:$C$3000,C1576,$I$7:$I$3000,"&lt;"&amp;I1576,$AI$7:$AI$3000,"yes")+COUNTIFS($B$7:B1576,B1576,$C$7:C1576,C1576,$I$7:I1576,I1576,$AI$7:AI1576,"yes"),"")</f>
        <v>4</v>
      </c>
      <c r="AH1576" s="110" t="str">
        <f aca="false">IF(ISNUMBER(H1576),"yes","no")</f>
        <v>yes</v>
      </c>
      <c r="AI1576" s="110" t="str">
        <f aca="false">IF(ISNUMBER(I1576),"yes","no")</f>
        <v>yes</v>
      </c>
      <c r="AJ1576" s="120" t="n">
        <v>46297</v>
      </c>
      <c r="AK1576" s="110"/>
    </row>
    <row r="1577" customFormat="false" ht="23.85" hidden="false" customHeight="false" outlineLevel="0" collapsed="false">
      <c r="B1577" s="36" t="s">
        <v>91</v>
      </c>
      <c r="C1577" s="98" t="s">
        <v>16</v>
      </c>
      <c r="D1577" s="98" t="s">
        <v>305</v>
      </c>
      <c r="E1577" s="110" t="s">
        <v>4948</v>
      </c>
      <c r="F1577" s="99" t="n">
        <v>4.71</v>
      </c>
      <c r="G1577" s="98" t="s">
        <v>244</v>
      </c>
      <c r="H1577" s="112" t="n">
        <f aca="false">IF(AND(AE1577="yes",ISNUMBER(AD1577)),AD1577,"")</f>
        <v>4.71</v>
      </c>
      <c r="I1577" s="95" t="n">
        <f aca="false">IF(AND(AE1577="yes",ISNUMBER(AD1577),ISNUMBER(INDEX(Sources!$G$7:$G$10,MATCH(AB1577,Sources!$B$7:$B$10,0)))),ROUND(AD1577/INDEX(Sources!$G$7:$G$10,MATCH(AB1577,Sources!$B$7:$B$10,0)),6),"")</f>
        <v>4.71</v>
      </c>
      <c r="J1577" s="98" t="s">
        <v>530</v>
      </c>
      <c r="K1577" s="98" t="s">
        <v>2059</v>
      </c>
      <c r="L1577" s="96"/>
      <c r="M1577" s="110" t="s">
        <v>4949</v>
      </c>
      <c r="N1577" s="117" t="s">
        <v>4950</v>
      </c>
      <c r="O1577" s="110" t="s">
        <v>603</v>
      </c>
      <c r="P1577" s="110" t="s">
        <v>590</v>
      </c>
      <c r="Q1577" s="118" t="n">
        <v>0.19</v>
      </c>
      <c r="R1577" s="110" t="n">
        <v>1</v>
      </c>
      <c r="S1577" s="110" t="s">
        <v>632</v>
      </c>
      <c r="T1577" s="110" t="s">
        <v>530</v>
      </c>
      <c r="U1577" s="110" t="s">
        <v>2913</v>
      </c>
      <c r="V1577" s="119" t="n">
        <v>4.71</v>
      </c>
      <c r="W1577" s="119"/>
      <c r="X1577" s="110" t="s">
        <v>2063</v>
      </c>
      <c r="Y1577" s="110" t="s">
        <v>2064</v>
      </c>
      <c r="Z1577" s="110" t="s">
        <v>2142</v>
      </c>
      <c r="AA1577" s="110" t="s">
        <v>537</v>
      </c>
      <c r="AB1577" s="110" t="s">
        <v>244</v>
      </c>
      <c r="AC1577" s="110" t="s">
        <v>538</v>
      </c>
      <c r="AD1577" s="110" t="n">
        <f aca="false">IF(OR(F1577="",Q1577="",R1577=""),"",ROUND(IF(P1577="incl.",F1577/(1+Q1577),F1577)/IF(S1577="per pack",R1577,1),2))</f>
        <v>4.71</v>
      </c>
      <c r="AE1577" s="110" t="str">
        <f aca="false">IF(AND(AC1577="yes",ISNUMBER(F1577),IF(Compare!$H$5="All mapped",TRUE(),IF(Compare!$H$5="EXACT only",J1577="EXACT",OR(J1577="EXACT",J1577="CLOSE")))),"yes","no")</f>
        <v>yes</v>
      </c>
      <c r="AF1577" s="110" t="n">
        <f aca="false">IF(ISNUMBER(H1577),COUNTIFS($B$7:$B$3000,B1577,$C$7:$C$3000,C1577,$H$7:$H$3000,"&lt;"&amp;H1577,$AH$7:$AH$3000,"yes")+COUNTIFS($B$7:B1577,B1577,$C$7:C1577,C1577,$H$7:H1577,H1577,$AH$7:AH1577,"yes"),"")</f>
        <v>3</v>
      </c>
      <c r="AG1577" s="110" t="n">
        <f aca="false">IF(ISNUMBER(I1577),COUNTIFS($B$7:$B$3000,B1577,$C$7:$C$3000,C1577,$I$7:$I$3000,"&lt;"&amp;I1577,$AI$7:$AI$3000,"yes")+COUNTIFS($B$7:B1577,B1577,$C$7:C1577,C1577,$I$7:I1577,I1577,$AI$7:AI1577,"yes"),"")</f>
        <v>3</v>
      </c>
      <c r="AH1577" s="110" t="str">
        <f aca="false">IF(ISNUMBER(H1577),"yes","no")</f>
        <v>yes</v>
      </c>
      <c r="AI1577" s="110" t="str">
        <f aca="false">IF(ISNUMBER(I1577),"yes","no")</f>
        <v>yes</v>
      </c>
      <c r="AJ1577" s="120" t="n">
        <v>46297</v>
      </c>
      <c r="AK1577" s="110"/>
    </row>
    <row r="1578" customFormat="false" ht="23.85" hidden="false" customHeight="false" outlineLevel="0" collapsed="false">
      <c r="B1578" s="36" t="s">
        <v>91</v>
      </c>
      <c r="C1578" s="98" t="s">
        <v>16</v>
      </c>
      <c r="D1578" s="98" t="s">
        <v>311</v>
      </c>
      <c r="E1578" s="110" t="s">
        <v>4927</v>
      </c>
      <c r="F1578" s="99" t="n">
        <v>6.39</v>
      </c>
      <c r="G1578" s="98" t="s">
        <v>244</v>
      </c>
      <c r="H1578" s="112" t="n">
        <f aca="false">IF(AND(AE1578="yes",ISNUMBER(AD1578)),AD1578,"")</f>
        <v>6.39</v>
      </c>
      <c r="I1578" s="95" t="n">
        <f aca="false">IF(AND(AE1578="yes",ISNUMBER(AD1578),ISNUMBER(INDEX(Sources!$G$7:$G$10,MATCH(AB1578,Sources!$B$7:$B$10,0)))),ROUND(AD1578/INDEX(Sources!$G$7:$G$10,MATCH(AB1578,Sources!$B$7:$B$10,0)),6),"")</f>
        <v>6.39</v>
      </c>
      <c r="J1578" s="98" t="s">
        <v>530</v>
      </c>
      <c r="K1578" s="98" t="s">
        <v>2059</v>
      </c>
      <c r="L1578" s="96"/>
      <c r="M1578" s="110" t="s">
        <v>4951</v>
      </c>
      <c r="N1578" s="117" t="s">
        <v>4952</v>
      </c>
      <c r="O1578" s="110" t="s">
        <v>589</v>
      </c>
      <c r="P1578" s="110" t="s">
        <v>590</v>
      </c>
      <c r="Q1578" s="118" t="n">
        <v>0.19</v>
      </c>
      <c r="R1578" s="110" t="n">
        <v>1</v>
      </c>
      <c r="S1578" s="110" t="s">
        <v>632</v>
      </c>
      <c r="T1578" s="110" t="s">
        <v>530</v>
      </c>
      <c r="U1578" s="110" t="s">
        <v>2913</v>
      </c>
      <c r="V1578" s="119" t="n">
        <v>6.39</v>
      </c>
      <c r="W1578" s="119"/>
      <c r="X1578" s="110" t="s">
        <v>2063</v>
      </c>
      <c r="Y1578" s="110" t="s">
        <v>2064</v>
      </c>
      <c r="Z1578" s="110" t="s">
        <v>4369</v>
      </c>
      <c r="AA1578" s="110" t="s">
        <v>537</v>
      </c>
      <c r="AB1578" s="110" t="s">
        <v>244</v>
      </c>
      <c r="AC1578" s="110" t="s">
        <v>538</v>
      </c>
      <c r="AD1578" s="110" t="n">
        <f aca="false">IF(OR(F1578="",Q1578="",R1578=""),"",ROUND(IF(P1578="incl.",F1578/(1+Q1578),F1578)/IF(S1578="per pack",R1578,1),2))</f>
        <v>6.39</v>
      </c>
      <c r="AE1578" s="110" t="str">
        <f aca="false">IF(AND(AC1578="yes",ISNUMBER(F1578),IF(Compare!$H$5="All mapped",TRUE(),IF(Compare!$H$5="EXACT only",J1578="EXACT",OR(J1578="EXACT",J1578="CLOSE")))),"yes","no")</f>
        <v>yes</v>
      </c>
      <c r="AF1578" s="110" t="n">
        <f aca="false">IF(ISNUMBER(H1578),COUNTIFS($B$7:$B$3000,B1578,$C$7:$C$3000,C1578,$H$7:$H$3000,"&lt;"&amp;H1578,$AH$7:$AH$3000,"yes")+COUNTIFS($B$7:B1578,B1578,$C$7:C1578,C1578,$H$7:H1578,H1578,$AH$7:AH1578,"yes"),"")</f>
        <v>5</v>
      </c>
      <c r="AG1578" s="110" t="n">
        <f aca="false">IF(ISNUMBER(I1578),COUNTIFS($B$7:$B$3000,B1578,$C$7:$C$3000,C1578,$I$7:$I$3000,"&lt;"&amp;I1578,$AI$7:$AI$3000,"yes")+COUNTIFS($B$7:B1578,B1578,$C$7:C1578,C1578,$I$7:I1578,I1578,$AI$7:AI1578,"yes"),"")</f>
        <v>5</v>
      </c>
      <c r="AH1578" s="110" t="str">
        <f aca="false">IF(ISNUMBER(H1578),"yes","no")</f>
        <v>yes</v>
      </c>
      <c r="AI1578" s="110" t="str">
        <f aca="false">IF(ISNUMBER(I1578),"yes","no")</f>
        <v>yes</v>
      </c>
      <c r="AJ1578" s="120" t="n">
        <v>46297</v>
      </c>
      <c r="AK1578" s="110"/>
    </row>
    <row r="1579" customFormat="false" ht="23.85" hidden="false" customHeight="false" outlineLevel="0" collapsed="false">
      <c r="B1579" s="36" t="s">
        <v>91</v>
      </c>
      <c r="C1579" s="98" t="s">
        <v>16</v>
      </c>
      <c r="D1579" s="98" t="s">
        <v>313</v>
      </c>
      <c r="E1579" s="110" t="s">
        <v>4933</v>
      </c>
      <c r="F1579" s="99" t="n">
        <v>8.39</v>
      </c>
      <c r="G1579" s="98" t="s">
        <v>244</v>
      </c>
      <c r="H1579" s="112" t="n">
        <f aca="false">IF(AND(AE1579="yes",ISNUMBER(AD1579)),AD1579,"")</f>
        <v>7.05</v>
      </c>
      <c r="I1579" s="95" t="n">
        <f aca="false">IF(AND(AE1579="yes",ISNUMBER(AD1579),ISNUMBER(INDEX(Sources!$G$7:$G$10,MATCH(AB1579,Sources!$B$7:$B$10,0)))),ROUND(AD1579/INDEX(Sources!$G$7:$G$10,MATCH(AB1579,Sources!$B$7:$B$10,0)),6),"")</f>
        <v>7.05</v>
      </c>
      <c r="J1579" s="98" t="s">
        <v>530</v>
      </c>
      <c r="K1579" s="98" t="s">
        <v>2059</v>
      </c>
      <c r="L1579" s="96"/>
      <c r="M1579" s="110" t="s">
        <v>4953</v>
      </c>
      <c r="N1579" s="117" t="s">
        <v>4954</v>
      </c>
      <c r="O1579" s="110" t="s">
        <v>642</v>
      </c>
      <c r="P1579" s="110" t="s">
        <v>265</v>
      </c>
      <c r="Q1579" s="118" t="n">
        <v>0.19</v>
      </c>
      <c r="R1579" s="110" t="n">
        <v>1</v>
      </c>
      <c r="S1579" s="110" t="s">
        <v>632</v>
      </c>
      <c r="T1579" s="110" t="s">
        <v>530</v>
      </c>
      <c r="U1579" s="110" t="s">
        <v>2918</v>
      </c>
      <c r="V1579" s="119" t="n">
        <v>7.05</v>
      </c>
      <c r="W1579" s="119"/>
      <c r="X1579" s="110" t="s">
        <v>2063</v>
      </c>
      <c r="Y1579" s="110" t="s">
        <v>2064</v>
      </c>
      <c r="Z1579" s="110" t="s">
        <v>4376</v>
      </c>
      <c r="AA1579" s="110" t="s">
        <v>537</v>
      </c>
      <c r="AB1579" s="110" t="s">
        <v>244</v>
      </c>
      <c r="AC1579" s="110" t="s">
        <v>538</v>
      </c>
      <c r="AD1579" s="110" t="n">
        <f aca="false">IF(OR(F1579="",Q1579="",R1579=""),"",ROUND(IF(P1579="incl.",F1579/(1+Q1579),F1579)/IF(S1579="per pack",R1579,1),2))</f>
        <v>7.05</v>
      </c>
      <c r="AE1579" s="110" t="str">
        <f aca="false">IF(AND(AC1579="yes",ISNUMBER(F1579),IF(Compare!$H$5="All mapped",TRUE(),IF(Compare!$H$5="EXACT only",J1579="EXACT",OR(J1579="EXACT",J1579="CLOSE")))),"yes","no")</f>
        <v>yes</v>
      </c>
      <c r="AF1579" s="110" t="n">
        <f aca="false">IF(ISNUMBER(H1579),COUNTIFS($B$7:$B$3000,B1579,$C$7:$C$3000,C1579,$H$7:$H$3000,"&lt;"&amp;H1579,$AH$7:$AH$3000,"yes")+COUNTIFS($B$7:B1579,B1579,$C$7:C1579,C1579,$H$7:H1579,H1579,$AH$7:AH1579,"yes"),"")</f>
        <v>7</v>
      </c>
      <c r="AG1579" s="110" t="n">
        <f aca="false">IF(ISNUMBER(I1579),COUNTIFS($B$7:$B$3000,B1579,$C$7:$C$3000,C1579,$I$7:$I$3000,"&lt;"&amp;I1579,$AI$7:$AI$3000,"yes")+COUNTIFS($B$7:B1579,B1579,$C$7:C1579,C1579,$I$7:I1579,I1579,$AI$7:AI1579,"yes"),"")</f>
        <v>7</v>
      </c>
      <c r="AH1579" s="110" t="str">
        <f aca="false">IF(ISNUMBER(H1579),"yes","no")</f>
        <v>yes</v>
      </c>
      <c r="AI1579" s="110" t="str">
        <f aca="false">IF(ISNUMBER(I1579),"yes","no")</f>
        <v>yes</v>
      </c>
      <c r="AJ1579" s="120" t="n">
        <v>46297</v>
      </c>
      <c r="AK1579" s="110"/>
    </row>
    <row r="1580" customFormat="false" ht="23.85" hidden="false" customHeight="false" outlineLevel="0" collapsed="false">
      <c r="B1580" s="36" t="s">
        <v>91</v>
      </c>
      <c r="C1580" s="98" t="s">
        <v>16</v>
      </c>
      <c r="D1580" s="98" t="s">
        <v>321</v>
      </c>
      <c r="E1580" s="110" t="s">
        <v>4955</v>
      </c>
      <c r="F1580" s="99" t="n">
        <v>6.41</v>
      </c>
      <c r="G1580" s="98" t="s">
        <v>244</v>
      </c>
      <c r="H1580" s="112" t="n">
        <f aca="false">IF(AND(AE1580="yes",ISNUMBER(AD1580)),AD1580,"")</f>
        <v>6.41</v>
      </c>
      <c r="I1580" s="95" t="n">
        <f aca="false">IF(AND(AE1580="yes",ISNUMBER(AD1580),ISNUMBER(INDEX(Sources!$G$7:$G$10,MATCH(AB1580,Sources!$B$7:$B$10,0)))),ROUND(AD1580/INDEX(Sources!$G$7:$G$10,MATCH(AB1580,Sources!$B$7:$B$10,0)),6),"")</f>
        <v>6.41</v>
      </c>
      <c r="J1580" s="98" t="s">
        <v>530</v>
      </c>
      <c r="K1580" s="98" t="s">
        <v>2059</v>
      </c>
      <c r="L1580" s="96"/>
      <c r="M1580" s="110" t="s">
        <v>4956</v>
      </c>
      <c r="N1580" s="117" t="s">
        <v>4957</v>
      </c>
      <c r="O1580" s="110" t="s">
        <v>589</v>
      </c>
      <c r="P1580" s="110" t="s">
        <v>590</v>
      </c>
      <c r="Q1580" s="118" t="n">
        <v>0.19</v>
      </c>
      <c r="R1580" s="110" t="n">
        <v>1</v>
      </c>
      <c r="S1580" s="110" t="s">
        <v>632</v>
      </c>
      <c r="T1580" s="110" t="s">
        <v>530</v>
      </c>
      <c r="U1580" s="110" t="s">
        <v>2913</v>
      </c>
      <c r="V1580" s="119" t="n">
        <v>6.41</v>
      </c>
      <c r="W1580" s="119"/>
      <c r="X1580" s="110" t="s">
        <v>2063</v>
      </c>
      <c r="Y1580" s="110" t="s">
        <v>2064</v>
      </c>
      <c r="Z1580" s="110" t="s">
        <v>4958</v>
      </c>
      <c r="AA1580" s="110" t="s">
        <v>537</v>
      </c>
      <c r="AB1580" s="110" t="s">
        <v>244</v>
      </c>
      <c r="AC1580" s="110" t="s">
        <v>538</v>
      </c>
      <c r="AD1580" s="110" t="n">
        <f aca="false">IF(OR(F1580="",Q1580="",R1580=""),"",ROUND(IF(P1580="incl.",F1580/(1+Q1580),F1580)/IF(S1580="per pack",R1580,1),2))</f>
        <v>6.41</v>
      </c>
      <c r="AE1580" s="110" t="str">
        <f aca="false">IF(AND(AC1580="yes",ISNUMBER(F1580),IF(Compare!$H$5="All mapped",TRUE(),IF(Compare!$H$5="EXACT only",J1580="EXACT",OR(J1580="EXACT",J1580="CLOSE")))),"yes","no")</f>
        <v>yes</v>
      </c>
      <c r="AF1580" s="110" t="n">
        <f aca="false">IF(ISNUMBER(H1580),COUNTIFS($B$7:$B$3000,B1580,$C$7:$C$3000,C1580,$H$7:$H$3000,"&lt;"&amp;H1580,$AH$7:$AH$3000,"yes")+COUNTIFS($B$7:B1580,B1580,$C$7:C1580,C1580,$H$7:H1580,H1580,$AH$7:AH1580,"yes"),"")</f>
        <v>6</v>
      </c>
      <c r="AG1580" s="110" t="n">
        <f aca="false">IF(ISNUMBER(I1580),COUNTIFS($B$7:$B$3000,B1580,$C$7:$C$3000,C1580,$I$7:$I$3000,"&lt;"&amp;I1580,$AI$7:$AI$3000,"yes")+COUNTIFS($B$7:B1580,B1580,$C$7:C1580,C1580,$I$7:I1580,I1580,$AI$7:AI1580,"yes"),"")</f>
        <v>6</v>
      </c>
      <c r="AH1580" s="110" t="str">
        <f aca="false">IF(ISNUMBER(H1580),"yes","no")</f>
        <v>yes</v>
      </c>
      <c r="AI1580" s="110" t="str">
        <f aca="false">IF(ISNUMBER(I1580),"yes","no")</f>
        <v>yes</v>
      </c>
      <c r="AJ1580" s="120" t="n">
        <v>46297</v>
      </c>
      <c r="AK1580" s="110"/>
    </row>
    <row r="1581" customFormat="false" ht="35.05" hidden="false" customHeight="false" outlineLevel="0" collapsed="false">
      <c r="B1581" s="36" t="s">
        <v>91</v>
      </c>
      <c r="C1581" s="98" t="s">
        <v>16</v>
      </c>
      <c r="D1581" s="98" t="s">
        <v>329</v>
      </c>
      <c r="E1581" s="110" t="s">
        <v>4959</v>
      </c>
      <c r="F1581" s="99" t="n">
        <v>4.39</v>
      </c>
      <c r="G1581" s="98" t="s">
        <v>244</v>
      </c>
      <c r="H1581" s="112" t="n">
        <f aca="false">IF(AND(AE1581="yes",ISNUMBER(AD1581)),AD1581,"")</f>
        <v>4.39</v>
      </c>
      <c r="I1581" s="95" t="n">
        <f aca="false">IF(AND(AE1581="yes",ISNUMBER(AD1581),ISNUMBER(INDEX(Sources!$G$7:$G$10,MATCH(AB1581,Sources!$B$7:$B$10,0)))),ROUND(AD1581/INDEX(Sources!$G$7:$G$10,MATCH(AB1581,Sources!$B$7:$B$10,0)),6),"")</f>
        <v>4.39</v>
      </c>
      <c r="J1581" s="98" t="s">
        <v>530</v>
      </c>
      <c r="K1581" s="98" t="s">
        <v>2059</v>
      </c>
      <c r="L1581" s="96"/>
      <c r="M1581" s="110" t="s">
        <v>4960</v>
      </c>
      <c r="N1581" s="117" t="s">
        <v>4961</v>
      </c>
      <c r="O1581" s="110" t="s">
        <v>642</v>
      </c>
      <c r="P1581" s="110" t="s">
        <v>590</v>
      </c>
      <c r="Q1581" s="118" t="n">
        <v>0.19</v>
      </c>
      <c r="R1581" s="110" t="n">
        <v>1</v>
      </c>
      <c r="S1581" s="110" t="s">
        <v>632</v>
      </c>
      <c r="T1581" s="110" t="s">
        <v>530</v>
      </c>
      <c r="U1581" s="110" t="s">
        <v>2913</v>
      </c>
      <c r="V1581" s="119" t="n">
        <v>4.39</v>
      </c>
      <c r="W1581" s="119"/>
      <c r="X1581" s="110" t="s">
        <v>2063</v>
      </c>
      <c r="Y1581" s="110" t="s">
        <v>2064</v>
      </c>
      <c r="Z1581" s="110" t="s">
        <v>2624</v>
      </c>
      <c r="AA1581" s="110" t="s">
        <v>537</v>
      </c>
      <c r="AB1581" s="110" t="s">
        <v>244</v>
      </c>
      <c r="AC1581" s="110" t="s">
        <v>538</v>
      </c>
      <c r="AD1581" s="110" t="n">
        <f aca="false">IF(OR(F1581="",Q1581="",R1581=""),"",ROUND(IF(P1581="incl.",F1581/(1+Q1581),F1581)/IF(S1581="per pack",R1581,1),2))</f>
        <v>4.39</v>
      </c>
      <c r="AE1581" s="110" t="str">
        <f aca="false">IF(AND(AC1581="yes",ISNUMBER(F1581),IF(Compare!$H$5="All mapped",TRUE(),IF(Compare!$H$5="EXACT only",J1581="EXACT",OR(J1581="EXACT",J1581="CLOSE")))),"yes","no")</f>
        <v>yes</v>
      </c>
      <c r="AF1581" s="110" t="n">
        <f aca="false">IF(ISNUMBER(H1581),COUNTIFS($B$7:$B$3000,B1581,$C$7:$C$3000,C1581,$H$7:$H$3000,"&lt;"&amp;H1581,$AH$7:$AH$3000,"yes")+COUNTIFS($B$7:B1581,B1581,$C$7:C1581,C1581,$H$7:H1581,H1581,$AH$7:AH1581,"yes"),"")</f>
        <v>2</v>
      </c>
      <c r="AG1581" s="110" t="n">
        <f aca="false">IF(ISNUMBER(I1581),COUNTIFS($B$7:$B$3000,B1581,$C$7:$C$3000,C1581,$I$7:$I$3000,"&lt;"&amp;I1581,$AI$7:$AI$3000,"yes")+COUNTIFS($B$7:B1581,B1581,$C$7:C1581,C1581,$I$7:I1581,I1581,$AI$7:AI1581,"yes"),"")</f>
        <v>2</v>
      </c>
      <c r="AH1581" s="110" t="str">
        <f aca="false">IF(ISNUMBER(H1581),"yes","no")</f>
        <v>yes</v>
      </c>
      <c r="AI1581" s="110" t="str">
        <f aca="false">IF(ISNUMBER(I1581),"yes","no")</f>
        <v>yes</v>
      </c>
      <c r="AJ1581" s="120" t="n">
        <v>46297</v>
      </c>
      <c r="AK1581" s="110"/>
    </row>
    <row r="1582" customFormat="false" ht="23.85" hidden="false" customHeight="false" outlineLevel="0" collapsed="false">
      <c r="B1582" s="36" t="s">
        <v>91</v>
      </c>
      <c r="C1582" s="98" t="s">
        <v>17</v>
      </c>
      <c r="D1582" s="98" t="s">
        <v>338</v>
      </c>
      <c r="E1582" s="110" t="s">
        <v>4962</v>
      </c>
      <c r="F1582" s="99" t="n">
        <v>198</v>
      </c>
      <c r="G1582" s="98" t="s">
        <v>333</v>
      </c>
      <c r="H1582" s="112" t="n">
        <f aca="false">IF(AND(AE1582="yes",ISNUMBER(AD1582)),AD1582,"")</f>
        <v>163.64</v>
      </c>
      <c r="I1582" s="95" t="n">
        <f aca="false">IF(AND(AE1582="yes",ISNUMBER(AD1582),ISNUMBER(INDEX(Sources!$G$7:$G$10,MATCH(AB1582,Sources!$B$7:$B$10,0)))),ROUND(AD1582/INDEX(Sources!$G$7:$G$10,MATCH(AB1582,Sources!$B$7:$B$10,0)),6),"")</f>
        <v>6.700073</v>
      </c>
      <c r="J1582" s="98" t="s">
        <v>530</v>
      </c>
      <c r="K1582" s="98" t="s">
        <v>2059</v>
      </c>
      <c r="L1582" s="96"/>
      <c r="M1582" s="110" t="s">
        <v>4963</v>
      </c>
      <c r="N1582" s="117" t="s">
        <v>4964</v>
      </c>
      <c r="O1582" s="110" t="s">
        <v>388</v>
      </c>
      <c r="P1582" s="110" t="s">
        <v>265</v>
      </c>
      <c r="Q1582" s="118" t="n">
        <v>0.21</v>
      </c>
      <c r="R1582" s="110" t="n">
        <v>1</v>
      </c>
      <c r="S1582" s="110" t="s">
        <v>632</v>
      </c>
      <c r="T1582" s="110" t="s">
        <v>530</v>
      </c>
      <c r="U1582" s="110" t="s">
        <v>2918</v>
      </c>
      <c r="V1582" s="119" t="n">
        <v>163.64</v>
      </c>
      <c r="W1582" s="119"/>
      <c r="X1582" s="110" t="s">
        <v>2063</v>
      </c>
      <c r="Y1582" s="110" t="s">
        <v>2064</v>
      </c>
      <c r="Z1582" s="110" t="s">
        <v>4387</v>
      </c>
      <c r="AA1582" s="110" t="s">
        <v>537</v>
      </c>
      <c r="AB1582" s="110" t="s">
        <v>333</v>
      </c>
      <c r="AC1582" s="110" t="s">
        <v>538</v>
      </c>
      <c r="AD1582" s="110" t="n">
        <f aca="false">IF(OR(F1582="",Q1582="",R1582=""),"",ROUND(IF(P1582="incl.",F1582/(1+Q1582),F1582)/IF(S1582="per pack",R1582,1),2))</f>
        <v>163.64</v>
      </c>
      <c r="AE1582" s="110" t="str">
        <f aca="false">IF(AND(AC1582="yes",ISNUMBER(F1582),IF(Compare!$H$5="All mapped",TRUE(),IF(Compare!$H$5="EXACT only",J1582="EXACT",OR(J1582="EXACT",J1582="CLOSE")))),"yes","no")</f>
        <v>yes</v>
      </c>
      <c r="AF1582" s="110" t="n">
        <f aca="false">IF(ISNUMBER(H1582),COUNTIFS($B$7:$B$3000,B1582,$C$7:$C$3000,C1582,$H$7:$H$3000,"&lt;"&amp;H1582,$AH$7:$AH$3000,"yes")+COUNTIFS($B$7:B1582,B1582,$C$7:C1582,C1582,$H$7:H1582,H1582,$AH$7:AH1582,"yes"),"")</f>
        <v>4</v>
      </c>
      <c r="AG1582" s="110" t="n">
        <f aca="false">IF(ISNUMBER(I1582),COUNTIFS($B$7:$B$3000,B1582,$C$7:$C$3000,C1582,$I$7:$I$3000,"&lt;"&amp;I1582,$AI$7:$AI$3000,"yes")+COUNTIFS($B$7:B1582,B1582,$C$7:C1582,C1582,$I$7:I1582,I1582,$AI$7:AI1582,"yes"),"")</f>
        <v>4</v>
      </c>
      <c r="AH1582" s="110" t="str">
        <f aca="false">IF(ISNUMBER(H1582),"yes","no")</f>
        <v>yes</v>
      </c>
      <c r="AI1582" s="110" t="str">
        <f aca="false">IF(ISNUMBER(I1582),"yes","no")</f>
        <v>yes</v>
      </c>
      <c r="AJ1582" s="120" t="n">
        <v>46297</v>
      </c>
      <c r="AK1582" s="110"/>
    </row>
    <row r="1583" customFormat="false" ht="35.05" hidden="false" customHeight="false" outlineLevel="0" collapsed="false">
      <c r="B1583" s="36" t="s">
        <v>91</v>
      </c>
      <c r="C1583" s="98" t="s">
        <v>17</v>
      </c>
      <c r="D1583" s="98" t="s">
        <v>342</v>
      </c>
      <c r="E1583" s="110" t="s">
        <v>4965</v>
      </c>
      <c r="F1583" s="99" t="n">
        <v>230</v>
      </c>
      <c r="G1583" s="98" t="s">
        <v>333</v>
      </c>
      <c r="H1583" s="112" t="n">
        <f aca="false">IF(AND(AE1583="yes",ISNUMBER(AD1583)),AD1583,"")</f>
        <v>230</v>
      </c>
      <c r="I1583" s="95" t="n">
        <f aca="false">IF(AND(AE1583="yes",ISNUMBER(AD1583),ISNUMBER(INDEX(Sources!$G$7:$G$10,MATCH(AB1583,Sources!$B$7:$B$10,0)))),ROUND(AD1583/INDEX(Sources!$G$7:$G$10,MATCH(AB1583,Sources!$B$7:$B$10,0)),6),"")</f>
        <v>9.417115</v>
      </c>
      <c r="J1583" s="98" t="s">
        <v>530</v>
      </c>
      <c r="K1583" s="98" t="s">
        <v>2059</v>
      </c>
      <c r="L1583" s="96"/>
      <c r="M1583" s="110" t="s">
        <v>4966</v>
      </c>
      <c r="N1583" s="117" t="s">
        <v>4967</v>
      </c>
      <c r="O1583" s="110" t="s">
        <v>388</v>
      </c>
      <c r="P1583" s="110" t="s">
        <v>590</v>
      </c>
      <c r="Q1583" s="118" t="n">
        <v>0.21</v>
      </c>
      <c r="R1583" s="110" t="n">
        <v>1</v>
      </c>
      <c r="S1583" s="110" t="s">
        <v>632</v>
      </c>
      <c r="T1583" s="110" t="s">
        <v>530</v>
      </c>
      <c r="U1583" s="110" t="s">
        <v>2913</v>
      </c>
      <c r="V1583" s="119" t="n">
        <v>230</v>
      </c>
      <c r="W1583" s="119"/>
      <c r="X1583" s="110" t="s">
        <v>2063</v>
      </c>
      <c r="Y1583" s="110" t="s">
        <v>2064</v>
      </c>
      <c r="Z1583" s="110" t="s">
        <v>4391</v>
      </c>
      <c r="AA1583" s="110" t="s">
        <v>537</v>
      </c>
      <c r="AB1583" s="110" t="s">
        <v>333</v>
      </c>
      <c r="AC1583" s="110" t="s">
        <v>538</v>
      </c>
      <c r="AD1583" s="110" t="n">
        <f aca="false">IF(OR(F1583="",Q1583="",R1583=""),"",ROUND(IF(P1583="incl.",F1583/(1+Q1583),F1583)/IF(S1583="per pack",R1583,1),2))</f>
        <v>230</v>
      </c>
      <c r="AE1583" s="110" t="str">
        <f aca="false">IF(AND(AC1583="yes",ISNUMBER(F1583),IF(Compare!$H$5="All mapped",TRUE(),IF(Compare!$H$5="EXACT only",J1583="EXACT",OR(J1583="EXACT",J1583="CLOSE")))),"yes","no")</f>
        <v>yes</v>
      </c>
      <c r="AF1583" s="110" t="n">
        <f aca="false">IF(ISNUMBER(H1583),COUNTIFS($B$7:$B$3000,B1583,$C$7:$C$3000,C1583,$H$7:$H$3000,"&lt;"&amp;H1583,$AH$7:$AH$3000,"yes")+COUNTIFS($B$7:B1583,B1583,$C$7:C1583,C1583,$H$7:H1583,H1583,$AH$7:AH1583,"yes"),"")</f>
        <v>5</v>
      </c>
      <c r="AG1583" s="110" t="n">
        <f aca="false">IF(ISNUMBER(I1583),COUNTIFS($B$7:$B$3000,B1583,$C$7:$C$3000,C1583,$I$7:$I$3000,"&lt;"&amp;I1583,$AI$7:$AI$3000,"yes")+COUNTIFS($B$7:B1583,B1583,$C$7:C1583,C1583,$I$7:I1583,I1583,$AI$7:AI1583,"yes"),"")</f>
        <v>5</v>
      </c>
      <c r="AH1583" s="110" t="str">
        <f aca="false">IF(ISNUMBER(H1583),"yes","no")</f>
        <v>yes</v>
      </c>
      <c r="AI1583" s="110" t="str">
        <f aca="false">IF(ISNUMBER(I1583),"yes","no")</f>
        <v>yes</v>
      </c>
      <c r="AJ1583" s="120" t="n">
        <v>46297</v>
      </c>
      <c r="AK1583" s="110"/>
    </row>
    <row r="1584" customFormat="false" ht="23.85" hidden="false" customHeight="false" outlineLevel="0" collapsed="false">
      <c r="B1584" s="36" t="s">
        <v>91</v>
      </c>
      <c r="C1584" s="98" t="s">
        <v>17</v>
      </c>
      <c r="D1584" s="98" t="s">
        <v>350</v>
      </c>
      <c r="E1584" s="110" t="s">
        <v>4968</v>
      </c>
      <c r="F1584" s="99" t="n">
        <v>122</v>
      </c>
      <c r="G1584" s="98" t="s">
        <v>333</v>
      </c>
      <c r="H1584" s="112" t="n">
        <f aca="false">IF(AND(AE1584="yes",ISNUMBER(AD1584)),AD1584,"")</f>
        <v>100.83</v>
      </c>
      <c r="I1584" s="95" t="n">
        <f aca="false">IF(AND(AE1584="yes",ISNUMBER(AD1584),ISNUMBER(INDEX(Sources!$G$7:$G$10,MATCH(AB1584,Sources!$B$7:$B$10,0)))),ROUND(AD1584/INDEX(Sources!$G$7:$G$10,MATCH(AB1584,Sources!$B$7:$B$10,0)),6),"")</f>
        <v>4.128381</v>
      </c>
      <c r="J1584" s="98" t="s">
        <v>530</v>
      </c>
      <c r="K1584" s="98" t="s">
        <v>2059</v>
      </c>
      <c r="L1584" s="96"/>
      <c r="M1584" s="110" t="s">
        <v>4969</v>
      </c>
      <c r="N1584" s="117" t="s">
        <v>4970</v>
      </c>
      <c r="O1584" s="110" t="s">
        <v>2452</v>
      </c>
      <c r="P1584" s="110" t="s">
        <v>265</v>
      </c>
      <c r="Q1584" s="118" t="n">
        <v>0.21</v>
      </c>
      <c r="R1584" s="110" t="n">
        <v>1</v>
      </c>
      <c r="S1584" s="110" t="s">
        <v>632</v>
      </c>
      <c r="T1584" s="110" t="s">
        <v>530</v>
      </c>
      <c r="U1584" s="110" t="s">
        <v>2918</v>
      </c>
      <c r="V1584" s="119" t="n">
        <v>100.83</v>
      </c>
      <c r="W1584" s="119"/>
      <c r="X1584" s="110" t="s">
        <v>2063</v>
      </c>
      <c r="Y1584" s="110" t="s">
        <v>2064</v>
      </c>
      <c r="Z1584" s="110" t="s">
        <v>2349</v>
      </c>
      <c r="AA1584" s="110" t="s">
        <v>537</v>
      </c>
      <c r="AB1584" s="110" t="s">
        <v>333</v>
      </c>
      <c r="AC1584" s="110" t="s">
        <v>538</v>
      </c>
      <c r="AD1584" s="110" t="n">
        <f aca="false">IF(OR(F1584="",Q1584="",R1584=""),"",ROUND(IF(P1584="incl.",F1584/(1+Q1584),F1584)/IF(S1584="per pack",R1584,1),2))</f>
        <v>100.83</v>
      </c>
      <c r="AE1584" s="110" t="str">
        <f aca="false">IF(AND(AC1584="yes",ISNUMBER(F1584),IF(Compare!$H$5="All mapped",TRUE(),IF(Compare!$H$5="EXACT only",J1584="EXACT",OR(J1584="EXACT",J1584="CLOSE")))),"yes","no")</f>
        <v>yes</v>
      </c>
      <c r="AF1584" s="110" t="n">
        <f aca="false">IF(ISNUMBER(H1584),COUNTIFS($B$7:$B$3000,B1584,$C$7:$C$3000,C1584,$H$7:$H$3000,"&lt;"&amp;H1584,$AH$7:$AH$3000,"yes")+COUNTIFS($B$7:B1584,B1584,$C$7:C1584,C1584,$H$7:H1584,H1584,$AH$7:AH1584,"yes"),"")</f>
        <v>1</v>
      </c>
      <c r="AG1584" s="110" t="n">
        <f aca="false">IF(ISNUMBER(I1584),COUNTIFS($B$7:$B$3000,B1584,$C$7:$C$3000,C1584,$I$7:$I$3000,"&lt;"&amp;I1584,$AI$7:$AI$3000,"yes")+COUNTIFS($B$7:B1584,B1584,$C$7:C1584,C1584,$I$7:I1584,I1584,$AI$7:AI1584,"yes"),"")</f>
        <v>1</v>
      </c>
      <c r="AH1584" s="110" t="str">
        <f aca="false">IF(ISNUMBER(H1584),"yes","no")</f>
        <v>yes</v>
      </c>
      <c r="AI1584" s="110" t="str">
        <f aca="false">IF(ISNUMBER(I1584),"yes","no")</f>
        <v>yes</v>
      </c>
      <c r="AJ1584" s="120" t="n">
        <v>46297</v>
      </c>
      <c r="AK1584" s="110"/>
    </row>
    <row r="1585" customFormat="false" ht="35.05" hidden="false" customHeight="false" outlineLevel="0" collapsed="false">
      <c r="B1585" s="36" t="s">
        <v>91</v>
      </c>
      <c r="C1585" s="98" t="s">
        <v>17</v>
      </c>
      <c r="D1585" s="98" t="s">
        <v>357</v>
      </c>
      <c r="E1585" s="110" t="s">
        <v>4971</v>
      </c>
      <c r="F1585" s="99" t="n">
        <v>159.2</v>
      </c>
      <c r="G1585" s="98" t="s">
        <v>333</v>
      </c>
      <c r="H1585" s="112" t="n">
        <f aca="false">IF(AND(AE1585="yes",ISNUMBER(AD1585)),AD1585,"")</f>
        <v>131.57</v>
      </c>
      <c r="I1585" s="95" t="n">
        <f aca="false">IF(AND(AE1585="yes",ISNUMBER(AD1585),ISNUMBER(INDEX(Sources!$G$7:$G$10,MATCH(AB1585,Sources!$B$7:$B$10,0)))),ROUND(AD1585/INDEX(Sources!$G$7:$G$10,MATCH(AB1585,Sources!$B$7:$B$10,0)),6),"")</f>
        <v>5.386999</v>
      </c>
      <c r="J1585" s="98" t="s">
        <v>530</v>
      </c>
      <c r="K1585" s="98" t="s">
        <v>2059</v>
      </c>
      <c r="L1585" s="96"/>
      <c r="M1585" s="110" t="s">
        <v>4972</v>
      </c>
      <c r="N1585" s="117" t="s">
        <v>4973</v>
      </c>
      <c r="O1585" s="110" t="s">
        <v>388</v>
      </c>
      <c r="P1585" s="110" t="s">
        <v>265</v>
      </c>
      <c r="Q1585" s="118" t="n">
        <v>0.21</v>
      </c>
      <c r="R1585" s="110" t="n">
        <v>1</v>
      </c>
      <c r="S1585" s="110" t="s">
        <v>632</v>
      </c>
      <c r="T1585" s="110" t="s">
        <v>530</v>
      </c>
      <c r="U1585" s="110" t="s">
        <v>2918</v>
      </c>
      <c r="V1585" s="119" t="n">
        <v>131.57</v>
      </c>
      <c r="W1585" s="119"/>
      <c r="X1585" s="110" t="s">
        <v>2063</v>
      </c>
      <c r="Y1585" s="110" t="s">
        <v>2064</v>
      </c>
      <c r="Z1585" s="110"/>
      <c r="AA1585" s="110" t="s">
        <v>537</v>
      </c>
      <c r="AB1585" s="110" t="s">
        <v>333</v>
      </c>
      <c r="AC1585" s="110" t="s">
        <v>538</v>
      </c>
      <c r="AD1585" s="110" t="n">
        <f aca="false">IF(OR(F1585="",Q1585="",R1585=""),"",ROUND(IF(P1585="incl.",F1585/(1+Q1585),F1585)/IF(S1585="per pack",R1585,1),2))</f>
        <v>131.57</v>
      </c>
      <c r="AE1585" s="110" t="str">
        <f aca="false">IF(AND(AC1585="yes",ISNUMBER(F1585),IF(Compare!$H$5="All mapped",TRUE(),IF(Compare!$H$5="EXACT only",J1585="EXACT",OR(J1585="EXACT",J1585="CLOSE")))),"yes","no")</f>
        <v>yes</v>
      </c>
      <c r="AF1585" s="110" t="n">
        <f aca="false">IF(ISNUMBER(H1585),COUNTIFS($B$7:$B$3000,B1585,$C$7:$C$3000,C1585,$H$7:$H$3000,"&lt;"&amp;H1585,$AH$7:$AH$3000,"yes")+COUNTIFS($B$7:B1585,B1585,$C$7:C1585,C1585,$H$7:H1585,H1585,$AH$7:AH1585,"yes"),"")</f>
        <v>2</v>
      </c>
      <c r="AG1585" s="110" t="n">
        <f aca="false">IF(ISNUMBER(I1585),COUNTIFS($B$7:$B$3000,B1585,$C$7:$C$3000,C1585,$I$7:$I$3000,"&lt;"&amp;I1585,$AI$7:$AI$3000,"yes")+COUNTIFS($B$7:B1585,B1585,$C$7:C1585,C1585,$I$7:I1585,I1585,$AI$7:AI1585,"yes"),"")</f>
        <v>2</v>
      </c>
      <c r="AH1585" s="110" t="str">
        <f aca="false">IF(ISNUMBER(H1585),"yes","no")</f>
        <v>yes</v>
      </c>
      <c r="AI1585" s="110" t="str">
        <f aca="false">IF(ISNUMBER(I1585),"yes","no")</f>
        <v>yes</v>
      </c>
      <c r="AJ1585" s="120" t="n">
        <v>46297</v>
      </c>
      <c r="AK1585" s="110"/>
    </row>
    <row r="1586" customFormat="false" ht="35.05" hidden="false" customHeight="false" outlineLevel="0" collapsed="false">
      <c r="B1586" s="36" t="s">
        <v>91</v>
      </c>
      <c r="C1586" s="98" t="s">
        <v>17</v>
      </c>
      <c r="D1586" s="98" t="s">
        <v>361</v>
      </c>
      <c r="E1586" s="110" t="s">
        <v>4974</v>
      </c>
      <c r="F1586" s="99" t="n">
        <v>169</v>
      </c>
      <c r="G1586" s="98" t="s">
        <v>333</v>
      </c>
      <c r="H1586" s="112" t="n">
        <f aca="false">IF(AND(AE1586="yes",ISNUMBER(AD1586)),AD1586,"")</f>
        <v>139.67</v>
      </c>
      <c r="I1586" s="95" t="n">
        <f aca="false">IF(AND(AE1586="yes",ISNUMBER(AD1586),ISNUMBER(INDEX(Sources!$G$7:$G$10,MATCH(AB1586,Sources!$B$7:$B$10,0)))),ROUND(AD1586/INDEX(Sources!$G$7:$G$10,MATCH(AB1586,Sources!$B$7:$B$10,0)),6),"")</f>
        <v>5.718645</v>
      </c>
      <c r="J1586" s="98" t="s">
        <v>530</v>
      </c>
      <c r="K1586" s="98" t="s">
        <v>2059</v>
      </c>
      <c r="L1586" s="96"/>
      <c r="M1586" s="110" t="s">
        <v>4975</v>
      </c>
      <c r="N1586" s="117" t="s">
        <v>4976</v>
      </c>
      <c r="O1586" s="110" t="s">
        <v>642</v>
      </c>
      <c r="P1586" s="110" t="s">
        <v>265</v>
      </c>
      <c r="Q1586" s="118" t="n">
        <v>0.21</v>
      </c>
      <c r="R1586" s="110" t="n">
        <v>1</v>
      </c>
      <c r="S1586" s="110" t="s">
        <v>632</v>
      </c>
      <c r="T1586" s="110" t="s">
        <v>530</v>
      </c>
      <c r="U1586" s="110" t="s">
        <v>2918</v>
      </c>
      <c r="V1586" s="119" t="n">
        <v>139.67</v>
      </c>
      <c r="W1586" s="119"/>
      <c r="X1586" s="110" t="s">
        <v>2063</v>
      </c>
      <c r="Y1586" s="110" t="s">
        <v>2064</v>
      </c>
      <c r="Z1586" s="110" t="s">
        <v>2400</v>
      </c>
      <c r="AA1586" s="110" t="s">
        <v>537</v>
      </c>
      <c r="AB1586" s="110" t="s">
        <v>333</v>
      </c>
      <c r="AC1586" s="110" t="s">
        <v>538</v>
      </c>
      <c r="AD1586" s="110" t="n">
        <f aca="false">IF(OR(F1586="",Q1586="",R1586=""),"",ROUND(IF(P1586="incl.",F1586/(1+Q1586),F1586)/IF(S1586="per pack",R1586,1),2))</f>
        <v>139.67</v>
      </c>
      <c r="AE1586" s="110" t="str">
        <f aca="false">IF(AND(AC1586="yes",ISNUMBER(F1586),IF(Compare!$H$5="All mapped",TRUE(),IF(Compare!$H$5="EXACT only",J1586="EXACT",OR(J1586="EXACT",J1586="CLOSE")))),"yes","no")</f>
        <v>yes</v>
      </c>
      <c r="AF1586" s="110" t="n">
        <f aca="false">IF(ISNUMBER(H1586),COUNTIFS($B$7:$B$3000,B1586,$C$7:$C$3000,C1586,$H$7:$H$3000,"&lt;"&amp;H1586,$AH$7:$AH$3000,"yes")+COUNTIFS($B$7:B1586,B1586,$C$7:C1586,C1586,$H$7:H1586,H1586,$AH$7:AH1586,"yes"),"")</f>
        <v>3</v>
      </c>
      <c r="AG1586" s="110" t="n">
        <f aca="false">IF(ISNUMBER(I1586),COUNTIFS($B$7:$B$3000,B1586,$C$7:$C$3000,C1586,$I$7:$I$3000,"&lt;"&amp;I1586,$AI$7:$AI$3000,"yes")+COUNTIFS($B$7:B1586,B1586,$C$7:C1586,C1586,$I$7:I1586,I1586,$AI$7:AI1586,"yes"),"")</f>
        <v>3</v>
      </c>
      <c r="AH1586" s="110" t="str">
        <f aca="false">IF(ISNUMBER(H1586),"yes","no")</f>
        <v>yes</v>
      </c>
      <c r="AI1586" s="110" t="str">
        <f aca="false">IF(ISNUMBER(I1586),"yes","no")</f>
        <v>yes</v>
      </c>
      <c r="AJ1586" s="120" t="n">
        <v>46297</v>
      </c>
      <c r="AK1586" s="110"/>
    </row>
    <row r="1587" customFormat="false" ht="23.85" hidden="false" customHeight="false" outlineLevel="0" collapsed="false">
      <c r="B1587" s="36" t="s">
        <v>91</v>
      </c>
      <c r="C1587" s="98" t="s">
        <v>18</v>
      </c>
      <c r="D1587" s="98" t="s">
        <v>3002</v>
      </c>
      <c r="E1587" s="110" t="s">
        <v>4977</v>
      </c>
      <c r="F1587" s="99" t="n">
        <v>6.55</v>
      </c>
      <c r="G1587" s="98" t="s">
        <v>244</v>
      </c>
      <c r="H1587" s="112" t="n">
        <f aca="false">IF(AND(AE1587="yes",ISNUMBER(AD1587)),AD1587,"")</f>
        <v>6.55</v>
      </c>
      <c r="I1587" s="95" t="n">
        <f aca="false">IF(AND(AE1587="yes",ISNUMBER(AD1587),ISNUMBER(INDEX(Sources!$G$7:$G$10,MATCH(AB1587,Sources!$B$7:$B$10,0)))),ROUND(AD1587/INDEX(Sources!$G$7:$G$10,MATCH(AB1587,Sources!$B$7:$B$10,0)),6),"")</f>
        <v>6.55</v>
      </c>
      <c r="J1587" s="98" t="s">
        <v>530</v>
      </c>
      <c r="K1587" s="98" t="s">
        <v>2059</v>
      </c>
      <c r="L1587" s="96"/>
      <c r="M1587" s="110" t="s">
        <v>4978</v>
      </c>
      <c r="N1587" s="117" t="s">
        <v>4404</v>
      </c>
      <c r="O1587" s="110" t="s">
        <v>2396</v>
      </c>
      <c r="P1587" s="110" t="s">
        <v>590</v>
      </c>
      <c r="Q1587" s="118" t="n">
        <v>0.23</v>
      </c>
      <c r="R1587" s="110" t="n">
        <v>1</v>
      </c>
      <c r="S1587" s="110" t="s">
        <v>632</v>
      </c>
      <c r="T1587" s="110" t="s">
        <v>530</v>
      </c>
      <c r="U1587" s="110" t="s">
        <v>2913</v>
      </c>
      <c r="V1587" s="119" t="n">
        <v>6.55</v>
      </c>
      <c r="W1587" s="119"/>
      <c r="X1587" s="110" t="s">
        <v>2063</v>
      </c>
      <c r="Y1587" s="110" t="s">
        <v>2064</v>
      </c>
      <c r="Z1587" s="110" t="s">
        <v>3346</v>
      </c>
      <c r="AA1587" s="110" t="s">
        <v>537</v>
      </c>
      <c r="AB1587" s="110" t="s">
        <v>244</v>
      </c>
      <c r="AC1587" s="110" t="s">
        <v>538</v>
      </c>
      <c r="AD1587" s="110" t="n">
        <f aca="false">IF(OR(F1587="",Q1587="",R1587=""),"",ROUND(IF(P1587="incl.",F1587/(1+Q1587),F1587)/IF(S1587="per pack",R1587,1),2))</f>
        <v>6.55</v>
      </c>
      <c r="AE1587" s="110" t="str">
        <f aca="false">IF(AND(AC1587="yes",ISNUMBER(F1587),IF(Compare!$H$5="All mapped",TRUE(),IF(Compare!$H$5="EXACT only",J1587="EXACT",OR(J1587="EXACT",J1587="CLOSE")))),"yes","no")</f>
        <v>yes</v>
      </c>
      <c r="AF1587" s="110" t="n">
        <f aca="false">IF(ISNUMBER(H1587),COUNTIFS($B$7:$B$3000,B1587,$C$7:$C$3000,C1587,$H$7:$H$3000,"&lt;"&amp;H1587,$AH$7:$AH$3000,"yes")+COUNTIFS($B$7:B1587,B1587,$C$7:C1587,C1587,$H$7:H1587,H1587,$AH$7:AH1587,"yes"),"")</f>
        <v>4</v>
      </c>
      <c r="AG1587" s="110" t="n">
        <f aca="false">IF(ISNUMBER(I1587),COUNTIFS($B$7:$B$3000,B1587,$C$7:$C$3000,C1587,$I$7:$I$3000,"&lt;"&amp;I1587,$AI$7:$AI$3000,"yes")+COUNTIFS($B$7:B1587,B1587,$C$7:C1587,C1587,$I$7:I1587,I1587,$AI$7:AI1587,"yes"),"")</f>
        <v>4</v>
      </c>
      <c r="AH1587" s="110" t="str">
        <f aca="false">IF(ISNUMBER(H1587),"yes","no")</f>
        <v>yes</v>
      </c>
      <c r="AI1587" s="110" t="str">
        <f aca="false">IF(ISNUMBER(I1587),"yes","no")</f>
        <v>yes</v>
      </c>
      <c r="AJ1587" s="120" t="n">
        <v>46297</v>
      </c>
      <c r="AK1587" s="110"/>
    </row>
    <row r="1588" customFormat="false" ht="23.85" hidden="false" customHeight="false" outlineLevel="0" collapsed="false">
      <c r="B1588" s="36" t="s">
        <v>91</v>
      </c>
      <c r="C1588" s="98" t="s">
        <v>18</v>
      </c>
      <c r="D1588" s="98" t="s">
        <v>3007</v>
      </c>
      <c r="E1588" s="110" t="s">
        <v>4979</v>
      </c>
      <c r="F1588" s="99" t="n">
        <v>6.38</v>
      </c>
      <c r="G1588" s="98" t="s">
        <v>244</v>
      </c>
      <c r="H1588" s="112" t="n">
        <f aca="false">IF(AND(AE1588="yes",ISNUMBER(AD1588)),AD1588,"")</f>
        <v>6.38</v>
      </c>
      <c r="I1588" s="95" t="n">
        <f aca="false">IF(AND(AE1588="yes",ISNUMBER(AD1588),ISNUMBER(INDEX(Sources!$G$7:$G$10,MATCH(AB1588,Sources!$B$7:$B$10,0)))),ROUND(AD1588/INDEX(Sources!$G$7:$G$10,MATCH(AB1588,Sources!$B$7:$B$10,0)),6),"")</f>
        <v>6.38</v>
      </c>
      <c r="J1588" s="98" t="s">
        <v>530</v>
      </c>
      <c r="K1588" s="98" t="s">
        <v>2059</v>
      </c>
      <c r="L1588" s="96"/>
      <c r="M1588" s="110" t="s">
        <v>4980</v>
      </c>
      <c r="N1588" s="117" t="s">
        <v>4407</v>
      </c>
      <c r="O1588" s="110" t="s">
        <v>642</v>
      </c>
      <c r="P1588" s="110" t="s">
        <v>590</v>
      </c>
      <c r="Q1588" s="118" t="n">
        <v>0.23</v>
      </c>
      <c r="R1588" s="110" t="n">
        <v>1</v>
      </c>
      <c r="S1588" s="110" t="s">
        <v>632</v>
      </c>
      <c r="T1588" s="110" t="s">
        <v>530</v>
      </c>
      <c r="U1588" s="110" t="s">
        <v>2913</v>
      </c>
      <c r="V1588" s="119" t="n">
        <v>6.38</v>
      </c>
      <c r="W1588" s="119"/>
      <c r="X1588" s="110" t="s">
        <v>2063</v>
      </c>
      <c r="Y1588" s="110" t="s">
        <v>2064</v>
      </c>
      <c r="Z1588" s="110" t="s">
        <v>3012</v>
      </c>
      <c r="AA1588" s="110" t="s">
        <v>537</v>
      </c>
      <c r="AB1588" s="110" t="s">
        <v>244</v>
      </c>
      <c r="AC1588" s="110" t="s">
        <v>538</v>
      </c>
      <c r="AD1588" s="110" t="n">
        <f aca="false">IF(OR(F1588="",Q1588="",R1588=""),"",ROUND(IF(P1588="incl.",F1588/(1+Q1588),F1588)/IF(S1588="per pack",R1588,1),2))</f>
        <v>6.38</v>
      </c>
      <c r="AE1588" s="110" t="str">
        <f aca="false">IF(AND(AC1588="yes",ISNUMBER(F1588),IF(Compare!$H$5="All mapped",TRUE(),IF(Compare!$H$5="EXACT only",J1588="EXACT",OR(J1588="EXACT",J1588="CLOSE")))),"yes","no")</f>
        <v>yes</v>
      </c>
      <c r="AF1588" s="110" t="n">
        <f aca="false">IF(ISNUMBER(H1588),COUNTIFS($B$7:$B$3000,B1588,$C$7:$C$3000,C1588,$H$7:$H$3000,"&lt;"&amp;H1588,$AH$7:$AH$3000,"yes")+COUNTIFS($B$7:B1588,B1588,$C$7:C1588,C1588,$H$7:H1588,H1588,$AH$7:AH1588,"yes"),"")</f>
        <v>3</v>
      </c>
      <c r="AG1588" s="110" t="n">
        <f aca="false">IF(ISNUMBER(I1588),COUNTIFS($B$7:$B$3000,B1588,$C$7:$C$3000,C1588,$I$7:$I$3000,"&lt;"&amp;I1588,$AI$7:$AI$3000,"yes")+COUNTIFS($B$7:B1588,B1588,$C$7:C1588,C1588,$I$7:I1588,I1588,$AI$7:AI1588,"yes"),"")</f>
        <v>3</v>
      </c>
      <c r="AH1588" s="110" t="str">
        <f aca="false">IF(ISNUMBER(H1588),"yes","no")</f>
        <v>yes</v>
      </c>
      <c r="AI1588" s="110" t="str">
        <f aca="false">IF(ISNUMBER(I1588),"yes","no")</f>
        <v>yes</v>
      </c>
      <c r="AJ1588" s="120" t="n">
        <v>46297</v>
      </c>
      <c r="AK1588" s="110"/>
    </row>
    <row r="1589" customFormat="false" ht="35.05" hidden="false" customHeight="false" outlineLevel="0" collapsed="false">
      <c r="B1589" s="36" t="s">
        <v>91</v>
      </c>
      <c r="C1589" s="98" t="s">
        <v>18</v>
      </c>
      <c r="D1589" s="98" t="s">
        <v>365</v>
      </c>
      <c r="E1589" s="110" t="s">
        <v>4981</v>
      </c>
      <c r="F1589" s="99" t="n">
        <v>4.96</v>
      </c>
      <c r="G1589" s="98" t="s">
        <v>244</v>
      </c>
      <c r="H1589" s="112" t="n">
        <f aca="false">IF(AND(AE1589="yes",ISNUMBER(AD1589)),AD1589,"")</f>
        <v>4.03</v>
      </c>
      <c r="I1589" s="95" t="n">
        <f aca="false">IF(AND(AE1589="yes",ISNUMBER(AD1589),ISNUMBER(INDEX(Sources!$G$7:$G$10,MATCH(AB1589,Sources!$B$7:$B$10,0)))),ROUND(AD1589/INDEX(Sources!$G$7:$G$10,MATCH(AB1589,Sources!$B$7:$B$10,0)),6),"")</f>
        <v>4.03</v>
      </c>
      <c r="J1589" s="98" t="s">
        <v>530</v>
      </c>
      <c r="K1589" s="98" t="s">
        <v>2059</v>
      </c>
      <c r="L1589" s="96"/>
      <c r="M1589" s="110" t="s">
        <v>4982</v>
      </c>
      <c r="N1589" s="117" t="s">
        <v>4983</v>
      </c>
      <c r="O1589" s="110" t="s">
        <v>3076</v>
      </c>
      <c r="P1589" s="110" t="s">
        <v>265</v>
      </c>
      <c r="Q1589" s="118" t="n">
        <v>0.23</v>
      </c>
      <c r="R1589" s="110" t="n">
        <v>1</v>
      </c>
      <c r="S1589" s="110" t="s">
        <v>632</v>
      </c>
      <c r="T1589" s="110" t="s">
        <v>530</v>
      </c>
      <c r="U1589" s="110" t="s">
        <v>2918</v>
      </c>
      <c r="V1589" s="119" t="n">
        <v>4.03</v>
      </c>
      <c r="W1589" s="119"/>
      <c r="X1589" s="110" t="s">
        <v>2063</v>
      </c>
      <c r="Y1589" s="110" t="s">
        <v>2064</v>
      </c>
      <c r="Z1589" s="110" t="s">
        <v>3016</v>
      </c>
      <c r="AA1589" s="110" t="s">
        <v>537</v>
      </c>
      <c r="AB1589" s="110" t="s">
        <v>244</v>
      </c>
      <c r="AC1589" s="110" t="s">
        <v>538</v>
      </c>
      <c r="AD1589" s="110" t="n">
        <f aca="false">IF(OR(F1589="",Q1589="",R1589=""),"",ROUND(IF(P1589="incl.",F1589/(1+Q1589),F1589)/IF(S1589="per pack",R1589,1),2))</f>
        <v>4.03</v>
      </c>
      <c r="AE1589" s="110" t="str">
        <f aca="false">IF(AND(AC1589="yes",ISNUMBER(F1589),IF(Compare!$H$5="All mapped",TRUE(),IF(Compare!$H$5="EXACT only",J1589="EXACT",OR(J1589="EXACT",J1589="CLOSE")))),"yes","no")</f>
        <v>yes</v>
      </c>
      <c r="AF1589" s="110" t="n">
        <f aca="false">IF(ISNUMBER(H1589),COUNTIFS($B$7:$B$3000,B1589,$C$7:$C$3000,C1589,$H$7:$H$3000,"&lt;"&amp;H1589,$AH$7:$AH$3000,"yes")+COUNTIFS($B$7:B1589,B1589,$C$7:C1589,C1589,$H$7:H1589,H1589,$AH$7:AH1589,"yes"),"")</f>
        <v>1</v>
      </c>
      <c r="AG1589" s="110" t="n">
        <f aca="false">IF(ISNUMBER(I1589),COUNTIFS($B$7:$B$3000,B1589,$C$7:$C$3000,C1589,$I$7:$I$3000,"&lt;"&amp;I1589,$AI$7:$AI$3000,"yes")+COUNTIFS($B$7:B1589,B1589,$C$7:C1589,C1589,$I$7:I1589,I1589,$AI$7:AI1589,"yes"),"")</f>
        <v>1</v>
      </c>
      <c r="AH1589" s="110" t="str">
        <f aca="false">IF(ISNUMBER(H1589),"yes","no")</f>
        <v>yes</v>
      </c>
      <c r="AI1589" s="110" t="str">
        <f aca="false">IF(ISNUMBER(I1589),"yes","no")</f>
        <v>yes</v>
      </c>
      <c r="AJ1589" s="120" t="n">
        <v>46297</v>
      </c>
      <c r="AK1589" s="110"/>
    </row>
    <row r="1590" customFormat="false" ht="35.05" hidden="false" customHeight="false" outlineLevel="0" collapsed="false">
      <c r="B1590" s="36" t="s">
        <v>91</v>
      </c>
      <c r="C1590" s="98" t="s">
        <v>18</v>
      </c>
      <c r="D1590" s="98" t="s">
        <v>369</v>
      </c>
      <c r="E1590" s="110" t="s">
        <v>4984</v>
      </c>
      <c r="F1590" s="99" t="n">
        <v>9.1</v>
      </c>
      <c r="G1590" s="98" t="s">
        <v>244</v>
      </c>
      <c r="H1590" s="112" t="n">
        <f aca="false">IF(AND(AE1590="yes",ISNUMBER(AD1590)),AD1590,"")</f>
        <v>7.4</v>
      </c>
      <c r="I1590" s="95" t="n">
        <f aca="false">IF(AND(AE1590="yes",ISNUMBER(AD1590),ISNUMBER(INDEX(Sources!$G$7:$G$10,MATCH(AB1590,Sources!$B$7:$B$10,0)))),ROUND(AD1590/INDEX(Sources!$G$7:$G$10,MATCH(AB1590,Sources!$B$7:$B$10,0)),6),"")</f>
        <v>7.4</v>
      </c>
      <c r="J1590" s="98" t="s">
        <v>530</v>
      </c>
      <c r="K1590" s="98" t="s">
        <v>2059</v>
      </c>
      <c r="L1590" s="96"/>
      <c r="M1590" s="110" t="s">
        <v>4985</v>
      </c>
      <c r="N1590" s="117" t="s">
        <v>4986</v>
      </c>
      <c r="O1590" s="110" t="s">
        <v>783</v>
      </c>
      <c r="P1590" s="110" t="s">
        <v>265</v>
      </c>
      <c r="Q1590" s="118" t="n">
        <v>0.23</v>
      </c>
      <c r="R1590" s="110" t="n">
        <v>1</v>
      </c>
      <c r="S1590" s="110" t="s">
        <v>632</v>
      </c>
      <c r="T1590" s="110" t="s">
        <v>530</v>
      </c>
      <c r="U1590" s="110" t="s">
        <v>2918</v>
      </c>
      <c r="V1590" s="119" t="n">
        <v>7.4</v>
      </c>
      <c r="W1590" s="119"/>
      <c r="X1590" s="110" t="s">
        <v>2063</v>
      </c>
      <c r="Y1590" s="110" t="s">
        <v>2064</v>
      </c>
      <c r="Z1590" s="110" t="s">
        <v>3514</v>
      </c>
      <c r="AA1590" s="110" t="s">
        <v>537</v>
      </c>
      <c r="AB1590" s="110" t="s">
        <v>244</v>
      </c>
      <c r="AC1590" s="110" t="s">
        <v>538</v>
      </c>
      <c r="AD1590" s="110" t="n">
        <f aca="false">IF(OR(F1590="",Q1590="",R1590=""),"",ROUND(IF(P1590="incl.",F1590/(1+Q1590),F1590)/IF(S1590="per pack",R1590,1),2))</f>
        <v>7.4</v>
      </c>
      <c r="AE1590" s="110" t="str">
        <f aca="false">IF(AND(AC1590="yes",ISNUMBER(F1590),IF(Compare!$H$5="All mapped",TRUE(),IF(Compare!$H$5="EXACT only",J1590="EXACT",OR(J1590="EXACT",J1590="CLOSE")))),"yes","no")</f>
        <v>yes</v>
      </c>
      <c r="AF1590" s="110" t="n">
        <f aca="false">IF(ISNUMBER(H1590),COUNTIFS($B$7:$B$3000,B1590,$C$7:$C$3000,C1590,$H$7:$H$3000,"&lt;"&amp;H1590,$AH$7:$AH$3000,"yes")+COUNTIFS($B$7:B1590,B1590,$C$7:C1590,C1590,$H$7:H1590,H1590,$AH$7:AH1590,"yes"),"")</f>
        <v>5</v>
      </c>
      <c r="AG1590" s="110" t="n">
        <f aca="false">IF(ISNUMBER(I1590),COUNTIFS($B$7:$B$3000,B1590,$C$7:$C$3000,C1590,$I$7:$I$3000,"&lt;"&amp;I1590,$AI$7:$AI$3000,"yes")+COUNTIFS($B$7:B1590,B1590,$C$7:C1590,C1590,$I$7:I1590,I1590,$AI$7:AI1590,"yes"),"")</f>
        <v>5</v>
      </c>
      <c r="AH1590" s="110" t="str">
        <f aca="false">IF(ISNUMBER(H1590),"yes","no")</f>
        <v>yes</v>
      </c>
      <c r="AI1590" s="110" t="str">
        <f aca="false">IF(ISNUMBER(I1590),"yes","no")</f>
        <v>yes</v>
      </c>
      <c r="AJ1590" s="120" t="n">
        <v>46297</v>
      </c>
      <c r="AK1590" s="110"/>
    </row>
    <row r="1591" customFormat="false" ht="23.85" hidden="false" customHeight="false" outlineLevel="0" collapsed="false">
      <c r="B1591" s="36" t="s">
        <v>91</v>
      </c>
      <c r="C1591" s="98" t="s">
        <v>18</v>
      </c>
      <c r="D1591" s="98" t="s">
        <v>3021</v>
      </c>
      <c r="E1591" s="110" t="s">
        <v>4987</v>
      </c>
      <c r="F1591" s="99" t="n">
        <v>4.46</v>
      </c>
      <c r="G1591" s="98" t="s">
        <v>244</v>
      </c>
      <c r="H1591" s="112" t="n">
        <f aca="false">IF(AND(AE1591="yes",ISNUMBER(AD1591)),AD1591,"")</f>
        <v>4.46</v>
      </c>
      <c r="I1591" s="95" t="n">
        <f aca="false">IF(AND(AE1591="yes",ISNUMBER(AD1591),ISNUMBER(INDEX(Sources!$G$7:$G$10,MATCH(AB1591,Sources!$B$7:$B$10,0)))),ROUND(AD1591/INDEX(Sources!$G$7:$G$10,MATCH(AB1591,Sources!$B$7:$B$10,0)),6),"")</f>
        <v>4.46</v>
      </c>
      <c r="J1591" s="98" t="s">
        <v>530</v>
      </c>
      <c r="K1591" s="98" t="s">
        <v>2059</v>
      </c>
      <c r="L1591" s="96"/>
      <c r="M1591" s="110" t="s">
        <v>4988</v>
      </c>
      <c r="N1591" s="117" t="s">
        <v>4416</v>
      </c>
      <c r="O1591" s="110" t="s">
        <v>3024</v>
      </c>
      <c r="P1591" s="110" t="s">
        <v>590</v>
      </c>
      <c r="Q1591" s="118" t="n">
        <v>0.23</v>
      </c>
      <c r="R1591" s="110" t="n">
        <v>1</v>
      </c>
      <c r="S1591" s="110" t="s">
        <v>632</v>
      </c>
      <c r="T1591" s="110" t="s">
        <v>530</v>
      </c>
      <c r="U1591" s="110" t="s">
        <v>2913</v>
      </c>
      <c r="V1591" s="119" t="n">
        <v>4.46</v>
      </c>
      <c r="W1591" s="119"/>
      <c r="X1591" s="110" t="s">
        <v>2063</v>
      </c>
      <c r="Y1591" s="110" t="s">
        <v>2064</v>
      </c>
      <c r="Z1591" s="110" t="s">
        <v>3025</v>
      </c>
      <c r="AA1591" s="110" t="s">
        <v>537</v>
      </c>
      <c r="AB1591" s="110" t="s">
        <v>244</v>
      </c>
      <c r="AC1591" s="110" t="s">
        <v>538</v>
      </c>
      <c r="AD1591" s="110" t="n">
        <f aca="false">IF(OR(F1591="",Q1591="",R1591=""),"",ROUND(IF(P1591="incl.",F1591/(1+Q1591),F1591)/IF(S1591="per pack",R1591,1),2))</f>
        <v>4.46</v>
      </c>
      <c r="AE1591" s="110" t="str">
        <f aca="false">IF(AND(AC1591="yes",ISNUMBER(F1591),IF(Compare!$H$5="All mapped",TRUE(),IF(Compare!$H$5="EXACT only",J1591="EXACT",OR(J1591="EXACT",J1591="CLOSE")))),"yes","no")</f>
        <v>yes</v>
      </c>
      <c r="AF1591" s="110" t="n">
        <f aca="false">IF(ISNUMBER(H1591),COUNTIFS($B$7:$B$3000,B1591,$C$7:$C$3000,C1591,$H$7:$H$3000,"&lt;"&amp;H1591,$AH$7:$AH$3000,"yes")+COUNTIFS($B$7:B1591,B1591,$C$7:C1591,C1591,$H$7:H1591,H1591,$AH$7:AH1591,"yes"),"")</f>
        <v>2</v>
      </c>
      <c r="AG1591" s="110" t="n">
        <f aca="false">IF(ISNUMBER(I1591),COUNTIFS($B$7:$B$3000,B1591,$C$7:$C$3000,C1591,$I$7:$I$3000,"&lt;"&amp;I1591,$AI$7:$AI$3000,"yes")+COUNTIFS($B$7:B1591,B1591,$C$7:C1591,C1591,$I$7:I1591,I1591,$AI$7:AI1591,"yes"),"")</f>
        <v>2</v>
      </c>
      <c r="AH1591" s="110" t="str">
        <f aca="false">IF(ISNUMBER(H1591),"yes","no")</f>
        <v>yes</v>
      </c>
      <c r="AI1591" s="110" t="str">
        <f aca="false">IF(ISNUMBER(I1591),"yes","no")</f>
        <v>yes</v>
      </c>
      <c r="AJ1591" s="120" t="n">
        <v>46297</v>
      </c>
      <c r="AK1591" s="110"/>
    </row>
    <row r="1592" customFormat="false" ht="23.85" hidden="false" customHeight="false" outlineLevel="0" collapsed="false">
      <c r="B1592" s="36" t="s">
        <v>92</v>
      </c>
      <c r="C1592" s="98" t="s">
        <v>14</v>
      </c>
      <c r="D1592" s="98" t="s">
        <v>373</v>
      </c>
      <c r="E1592" s="110" t="s">
        <v>4989</v>
      </c>
      <c r="F1592" s="99" t="n">
        <v>27.61</v>
      </c>
      <c r="G1592" s="98" t="s">
        <v>374</v>
      </c>
      <c r="H1592" s="112" t="n">
        <f aca="false">IF(AND(AE1592="yes",ISNUMBER(AD1592)),AD1592,"")</f>
        <v>27.61</v>
      </c>
      <c r="I1592" s="95" t="n">
        <f aca="false">IF(AND(AE1592="yes",ISNUMBER(AD1592),ISNUMBER(INDEX(Sources!$G$7:$G$10,MATCH(AB1592,Sources!$B$7:$B$10,0)))),ROUND(AD1592/INDEX(Sources!$G$7:$G$10,MATCH(AB1592,Sources!$B$7:$B$10,0)),6),"")</f>
        <v>5.231503</v>
      </c>
      <c r="J1592" s="98" t="s">
        <v>530</v>
      </c>
      <c r="K1592" s="98" t="s">
        <v>2059</v>
      </c>
      <c r="L1592" s="96"/>
      <c r="M1592" s="110" t="s">
        <v>4990</v>
      </c>
      <c r="N1592" s="117" t="s">
        <v>4991</v>
      </c>
      <c r="O1592" s="110" t="s">
        <v>4321</v>
      </c>
      <c r="P1592" s="110" t="s">
        <v>590</v>
      </c>
      <c r="Q1592" s="118" t="n">
        <v>0.21</v>
      </c>
      <c r="R1592" s="110" t="n">
        <v>1</v>
      </c>
      <c r="S1592" s="110" t="s">
        <v>632</v>
      </c>
      <c r="T1592" s="110" t="s">
        <v>530</v>
      </c>
      <c r="U1592" s="110" t="s">
        <v>2913</v>
      </c>
      <c r="V1592" s="119" t="n">
        <v>27.61</v>
      </c>
      <c r="W1592" s="119"/>
      <c r="X1592" s="110" t="s">
        <v>2063</v>
      </c>
      <c r="Y1592" s="110" t="s">
        <v>2064</v>
      </c>
      <c r="Z1592" s="110"/>
      <c r="AA1592" s="110" t="s">
        <v>537</v>
      </c>
      <c r="AB1592" s="110" t="s">
        <v>374</v>
      </c>
      <c r="AC1592" s="110" t="s">
        <v>538</v>
      </c>
      <c r="AD1592" s="110" t="n">
        <f aca="false">IF(OR(F1592="",Q1592="",R1592=""),"",ROUND(IF(P1592="incl.",F1592/(1+Q1592),F1592)/IF(S1592="per pack",R1592,1),2))</f>
        <v>27.61</v>
      </c>
      <c r="AE1592" s="110" t="str">
        <f aca="false">IF(AND(AC1592="yes",ISNUMBER(F1592),IF(Compare!$H$5="All mapped",TRUE(),IF(Compare!$H$5="EXACT only",J1592="EXACT",OR(J1592="EXACT",J1592="CLOSE")))),"yes","no")</f>
        <v>yes</v>
      </c>
      <c r="AF1592" s="110" t="n">
        <f aca="false">IF(ISNUMBER(H1592),COUNTIFS($B$7:$B$3000,B1592,$C$7:$C$3000,C1592,$H$7:$H$3000,"&lt;"&amp;H1592,$AH$7:$AH$3000,"yes")+COUNTIFS($B$7:B1592,B1592,$C$7:C1592,C1592,$H$7:H1592,H1592,$AH$7:AH1592,"yes"),"")</f>
        <v>1</v>
      </c>
      <c r="AG1592" s="110" t="n">
        <f aca="false">IF(ISNUMBER(I1592),COUNTIFS($B$7:$B$3000,B1592,$C$7:$C$3000,C1592,$I$7:$I$3000,"&lt;"&amp;I1592,$AI$7:$AI$3000,"yes")+COUNTIFS($B$7:B1592,B1592,$C$7:C1592,C1592,$I$7:I1592,I1592,$AI$7:AI1592,"yes"),"")</f>
        <v>1</v>
      </c>
      <c r="AH1592" s="110" t="str">
        <f aca="false">IF(ISNUMBER(H1592),"yes","no")</f>
        <v>yes</v>
      </c>
      <c r="AI1592" s="110" t="str">
        <f aca="false">IF(ISNUMBER(I1592),"yes","no")</f>
        <v>yes</v>
      </c>
      <c r="AJ1592" s="120" t="n">
        <v>46297</v>
      </c>
      <c r="AK1592" s="110"/>
    </row>
    <row r="1593" customFormat="false" ht="35.05" hidden="false" customHeight="false" outlineLevel="0" collapsed="false">
      <c r="B1593" s="36" t="s">
        <v>92</v>
      </c>
      <c r="C1593" s="98" t="s">
        <v>14</v>
      </c>
      <c r="D1593" s="98" t="s">
        <v>346</v>
      </c>
      <c r="E1593" s="110" t="s">
        <v>4992</v>
      </c>
      <c r="F1593" s="99" t="n">
        <v>59.22</v>
      </c>
      <c r="G1593" s="98" t="s">
        <v>374</v>
      </c>
      <c r="H1593" s="112" t="n">
        <f aca="false">IF(AND(AE1593="yes",ISNUMBER(AD1593)),AD1593,"")</f>
        <v>48.94</v>
      </c>
      <c r="I1593" s="95" t="n">
        <f aca="false">IF(AND(AE1593="yes",ISNUMBER(AD1593),ISNUMBER(INDEX(Sources!$G$7:$G$10,MATCH(AB1593,Sources!$B$7:$B$10,0)))),ROUND(AD1593/INDEX(Sources!$G$7:$G$10,MATCH(AB1593,Sources!$B$7:$B$10,0)),6),"")</f>
        <v>9.273081</v>
      </c>
      <c r="J1593" s="98" t="s">
        <v>530</v>
      </c>
      <c r="K1593" s="98" t="s">
        <v>2059</v>
      </c>
      <c r="L1593" s="96"/>
      <c r="M1593" s="110" t="s">
        <v>4993</v>
      </c>
      <c r="N1593" s="117" t="s">
        <v>4994</v>
      </c>
      <c r="O1593" s="110" t="s">
        <v>662</v>
      </c>
      <c r="P1593" s="110" t="s">
        <v>265</v>
      </c>
      <c r="Q1593" s="118" t="n">
        <v>0.21</v>
      </c>
      <c r="R1593" s="110" t="n">
        <v>1</v>
      </c>
      <c r="S1593" s="110" t="s">
        <v>632</v>
      </c>
      <c r="T1593" s="110" t="s">
        <v>530</v>
      </c>
      <c r="U1593" s="110" t="s">
        <v>2918</v>
      </c>
      <c r="V1593" s="119" t="n">
        <v>48.94</v>
      </c>
      <c r="W1593" s="119"/>
      <c r="X1593" s="110" t="s">
        <v>2063</v>
      </c>
      <c r="Y1593" s="110" t="s">
        <v>2064</v>
      </c>
      <c r="Z1593" s="110"/>
      <c r="AA1593" s="110" t="s">
        <v>537</v>
      </c>
      <c r="AB1593" s="110" t="s">
        <v>374</v>
      </c>
      <c r="AC1593" s="110" t="s">
        <v>538</v>
      </c>
      <c r="AD1593" s="110" t="n">
        <f aca="false">IF(OR(F1593="",Q1593="",R1593=""),"",ROUND(IF(P1593="incl.",F1593/(1+Q1593),F1593)/IF(S1593="per pack",R1593,1),2))</f>
        <v>48.94</v>
      </c>
      <c r="AE1593" s="110" t="str">
        <f aca="false">IF(AND(AC1593="yes",ISNUMBER(F1593),IF(Compare!$H$5="All mapped",TRUE(),IF(Compare!$H$5="EXACT only",J1593="EXACT",OR(J1593="EXACT",J1593="CLOSE")))),"yes","no")</f>
        <v>yes</v>
      </c>
      <c r="AF1593" s="110" t="n">
        <f aca="false">IF(ISNUMBER(H1593),COUNTIFS($B$7:$B$3000,B1593,$C$7:$C$3000,C1593,$H$7:$H$3000,"&lt;"&amp;H1593,$AH$7:$AH$3000,"yes")+COUNTIFS($B$7:B1593,B1593,$C$7:C1593,C1593,$H$7:H1593,H1593,$AH$7:AH1593,"yes"),"")</f>
        <v>5</v>
      </c>
      <c r="AG1593" s="110" t="n">
        <f aca="false">IF(ISNUMBER(I1593),COUNTIFS($B$7:$B$3000,B1593,$C$7:$C$3000,C1593,$I$7:$I$3000,"&lt;"&amp;I1593,$AI$7:$AI$3000,"yes")+COUNTIFS($B$7:B1593,B1593,$C$7:C1593,C1593,$I$7:I1593,I1593,$AI$7:AI1593,"yes"),"")</f>
        <v>5</v>
      </c>
      <c r="AH1593" s="110" t="str">
        <f aca="false">IF(ISNUMBER(H1593),"yes","no")</f>
        <v>yes</v>
      </c>
      <c r="AI1593" s="110" t="str">
        <f aca="false">IF(ISNUMBER(I1593),"yes","no")</f>
        <v>yes</v>
      </c>
      <c r="AJ1593" s="120" t="n">
        <v>46297</v>
      </c>
      <c r="AK1593" s="110"/>
    </row>
    <row r="1594" customFormat="false" ht="23.85" hidden="false" customHeight="false" outlineLevel="0" collapsed="false">
      <c r="B1594" s="36" t="s">
        <v>92</v>
      </c>
      <c r="C1594" s="98" t="s">
        <v>14</v>
      </c>
      <c r="D1594" s="98" t="s">
        <v>403</v>
      </c>
      <c r="E1594" s="110" t="s">
        <v>4995</v>
      </c>
      <c r="F1594" s="99" t="n">
        <v>31.14</v>
      </c>
      <c r="G1594" s="98" t="s">
        <v>374</v>
      </c>
      <c r="H1594" s="112" t="n">
        <f aca="false">IF(AND(AE1594="yes",ISNUMBER(AD1594)),AD1594,"")</f>
        <v>31.14</v>
      </c>
      <c r="I1594" s="95" t="n">
        <f aca="false">IF(AND(AE1594="yes",ISNUMBER(AD1594),ISNUMBER(INDEX(Sources!$G$7:$G$10,MATCH(AB1594,Sources!$B$7:$B$10,0)))),ROUND(AD1594/INDEX(Sources!$G$7:$G$10,MATCH(AB1594,Sources!$B$7:$B$10,0)),6),"")</f>
        <v>5.900363</v>
      </c>
      <c r="J1594" s="98" t="s">
        <v>530</v>
      </c>
      <c r="K1594" s="98" t="s">
        <v>2059</v>
      </c>
      <c r="L1594" s="96"/>
      <c r="M1594" s="110" t="s">
        <v>4996</v>
      </c>
      <c r="N1594" s="117" t="s">
        <v>4997</v>
      </c>
      <c r="O1594" s="110" t="s">
        <v>388</v>
      </c>
      <c r="P1594" s="110" t="s">
        <v>590</v>
      </c>
      <c r="Q1594" s="118" t="n">
        <v>0.21</v>
      </c>
      <c r="R1594" s="110" t="n">
        <v>1</v>
      </c>
      <c r="S1594" s="110" t="s">
        <v>632</v>
      </c>
      <c r="T1594" s="110" t="s">
        <v>530</v>
      </c>
      <c r="U1594" s="110" t="s">
        <v>2913</v>
      </c>
      <c r="V1594" s="119" t="n">
        <v>31.14</v>
      </c>
      <c r="W1594" s="119"/>
      <c r="X1594" s="110" t="s">
        <v>2063</v>
      </c>
      <c r="Y1594" s="110" t="s">
        <v>2064</v>
      </c>
      <c r="Z1594" s="110"/>
      <c r="AA1594" s="110" t="s">
        <v>537</v>
      </c>
      <c r="AB1594" s="110" t="s">
        <v>374</v>
      </c>
      <c r="AC1594" s="110" t="s">
        <v>538</v>
      </c>
      <c r="AD1594" s="110" t="n">
        <f aca="false">IF(OR(F1594="",Q1594="",R1594=""),"",ROUND(IF(P1594="incl.",F1594/(1+Q1594),F1594)/IF(S1594="per pack",R1594,1),2))</f>
        <v>31.14</v>
      </c>
      <c r="AE1594" s="110" t="str">
        <f aca="false">IF(AND(AC1594="yes",ISNUMBER(F1594),IF(Compare!$H$5="All mapped",TRUE(),IF(Compare!$H$5="EXACT only",J1594="EXACT",OR(J1594="EXACT",J1594="CLOSE")))),"yes","no")</f>
        <v>yes</v>
      </c>
      <c r="AF1594" s="110" t="n">
        <f aca="false">IF(ISNUMBER(H1594),COUNTIFS($B$7:$B$3000,B1594,$C$7:$C$3000,C1594,$H$7:$H$3000,"&lt;"&amp;H1594,$AH$7:$AH$3000,"yes")+COUNTIFS($B$7:B1594,B1594,$C$7:C1594,C1594,$H$7:H1594,H1594,$AH$7:AH1594,"yes"),"")</f>
        <v>2</v>
      </c>
      <c r="AG1594" s="110" t="n">
        <f aca="false">IF(ISNUMBER(I1594),COUNTIFS($B$7:$B$3000,B1594,$C$7:$C$3000,C1594,$I$7:$I$3000,"&lt;"&amp;I1594,$AI$7:$AI$3000,"yes")+COUNTIFS($B$7:B1594,B1594,$C$7:C1594,C1594,$I$7:I1594,I1594,$AI$7:AI1594,"yes"),"")</f>
        <v>2</v>
      </c>
      <c r="AH1594" s="110" t="str">
        <f aca="false">IF(ISNUMBER(H1594),"yes","no")</f>
        <v>yes</v>
      </c>
      <c r="AI1594" s="110" t="str">
        <f aca="false">IF(ISNUMBER(I1594),"yes","no")</f>
        <v>yes</v>
      </c>
      <c r="AJ1594" s="120" t="n">
        <v>46297</v>
      </c>
      <c r="AK1594" s="110"/>
    </row>
    <row r="1595" customFormat="false" ht="23.85" hidden="false" customHeight="false" outlineLevel="0" collapsed="false">
      <c r="B1595" s="36" t="s">
        <v>92</v>
      </c>
      <c r="C1595" s="98" t="s">
        <v>14</v>
      </c>
      <c r="D1595" s="98" t="s">
        <v>403</v>
      </c>
      <c r="E1595" s="110" t="s">
        <v>4998</v>
      </c>
      <c r="F1595" s="99" t="n">
        <v>36.88</v>
      </c>
      <c r="G1595" s="98" t="s">
        <v>374</v>
      </c>
      <c r="H1595" s="112" t="n">
        <f aca="false">IF(AND(AE1595="yes",ISNUMBER(AD1595)),AD1595,"")</f>
        <v>36.88</v>
      </c>
      <c r="I1595" s="95" t="n">
        <f aca="false">IF(AND(AE1595="yes",ISNUMBER(AD1595),ISNUMBER(INDEX(Sources!$G$7:$G$10,MATCH(AB1595,Sources!$B$7:$B$10,0)))),ROUND(AD1595/INDEX(Sources!$G$7:$G$10,MATCH(AB1595,Sources!$B$7:$B$10,0)),6),"")</f>
        <v>6.98797</v>
      </c>
      <c r="J1595" s="98" t="s">
        <v>530</v>
      </c>
      <c r="K1595" s="98" t="s">
        <v>2059</v>
      </c>
      <c r="L1595" s="96"/>
      <c r="M1595" s="110" t="s">
        <v>4999</v>
      </c>
      <c r="N1595" s="117" t="s">
        <v>5000</v>
      </c>
      <c r="O1595" s="110" t="s">
        <v>662</v>
      </c>
      <c r="P1595" s="110" t="s">
        <v>590</v>
      </c>
      <c r="Q1595" s="118" t="n">
        <v>0.21</v>
      </c>
      <c r="R1595" s="110" t="n">
        <v>1</v>
      </c>
      <c r="S1595" s="110" t="s">
        <v>632</v>
      </c>
      <c r="T1595" s="110" t="s">
        <v>530</v>
      </c>
      <c r="U1595" s="110" t="s">
        <v>2913</v>
      </c>
      <c r="V1595" s="119" t="n">
        <v>36.88</v>
      </c>
      <c r="W1595" s="119"/>
      <c r="X1595" s="110" t="s">
        <v>2063</v>
      </c>
      <c r="Y1595" s="110" t="s">
        <v>2064</v>
      </c>
      <c r="Z1595" s="110"/>
      <c r="AA1595" s="110" t="s">
        <v>537</v>
      </c>
      <c r="AB1595" s="110" t="s">
        <v>374</v>
      </c>
      <c r="AC1595" s="110" t="s">
        <v>538</v>
      </c>
      <c r="AD1595" s="110" t="n">
        <f aca="false">IF(OR(F1595="",Q1595="",R1595=""),"",ROUND(IF(P1595="incl.",F1595/(1+Q1595),F1595)/IF(S1595="per pack",R1595,1),2))</f>
        <v>36.88</v>
      </c>
      <c r="AE1595" s="110" t="str">
        <f aca="false">IF(AND(AC1595="yes",ISNUMBER(F1595),IF(Compare!$H$5="All mapped",TRUE(),IF(Compare!$H$5="EXACT only",J1595="EXACT",OR(J1595="EXACT",J1595="CLOSE")))),"yes","no")</f>
        <v>yes</v>
      </c>
      <c r="AF1595" s="110" t="n">
        <f aca="false">IF(ISNUMBER(H1595),COUNTIFS($B$7:$B$3000,B1595,$C$7:$C$3000,C1595,$H$7:$H$3000,"&lt;"&amp;H1595,$AH$7:$AH$3000,"yes")+COUNTIFS($B$7:B1595,B1595,$C$7:C1595,C1595,$H$7:H1595,H1595,$AH$7:AH1595,"yes"),"")</f>
        <v>4</v>
      </c>
      <c r="AG1595" s="110" t="n">
        <f aca="false">IF(ISNUMBER(I1595),COUNTIFS($B$7:$B$3000,B1595,$C$7:$C$3000,C1595,$I$7:$I$3000,"&lt;"&amp;I1595,$AI$7:$AI$3000,"yes")+COUNTIFS($B$7:B1595,B1595,$C$7:C1595,C1595,$I$7:I1595,I1595,$AI$7:AI1595,"yes"),"")</f>
        <v>4</v>
      </c>
      <c r="AH1595" s="110" t="str">
        <f aca="false">IF(ISNUMBER(H1595),"yes","no")</f>
        <v>yes</v>
      </c>
      <c r="AI1595" s="110" t="str">
        <f aca="false">IF(ISNUMBER(I1595),"yes","no")</f>
        <v>yes</v>
      </c>
      <c r="AJ1595" s="120" t="n">
        <v>46297</v>
      </c>
      <c r="AK1595" s="110"/>
    </row>
    <row r="1596" customFormat="false" ht="23.85" hidden="false" customHeight="false" outlineLevel="0" collapsed="false">
      <c r="B1596" s="36" t="s">
        <v>92</v>
      </c>
      <c r="C1596" s="98" t="s">
        <v>14</v>
      </c>
      <c r="D1596" s="98" t="s">
        <v>403</v>
      </c>
      <c r="E1596" s="110" t="s">
        <v>5001</v>
      </c>
      <c r="F1596" s="99" t="n">
        <v>36</v>
      </c>
      <c r="G1596" s="98" t="s">
        <v>374</v>
      </c>
      <c r="H1596" s="112" t="n">
        <f aca="false">IF(AND(AE1596="yes",ISNUMBER(AD1596)),AD1596,"")</f>
        <v>36</v>
      </c>
      <c r="I1596" s="95" t="n">
        <f aca="false">IF(AND(AE1596="yes",ISNUMBER(AD1596),ISNUMBER(INDEX(Sources!$G$7:$G$10,MATCH(AB1596,Sources!$B$7:$B$10,0)))),ROUND(AD1596/INDEX(Sources!$G$7:$G$10,MATCH(AB1596,Sources!$B$7:$B$10,0)),6),"")</f>
        <v>6.821229</v>
      </c>
      <c r="J1596" s="98" t="s">
        <v>530</v>
      </c>
      <c r="K1596" s="98" t="s">
        <v>2059</v>
      </c>
      <c r="L1596" s="96"/>
      <c r="M1596" s="110" t="s">
        <v>5002</v>
      </c>
      <c r="N1596" s="117" t="s">
        <v>5003</v>
      </c>
      <c r="O1596" s="110" t="s">
        <v>388</v>
      </c>
      <c r="P1596" s="110" t="s">
        <v>590</v>
      </c>
      <c r="Q1596" s="118" t="n">
        <v>0.21</v>
      </c>
      <c r="R1596" s="110" t="n">
        <v>1</v>
      </c>
      <c r="S1596" s="110" t="s">
        <v>632</v>
      </c>
      <c r="T1596" s="110" t="s">
        <v>530</v>
      </c>
      <c r="U1596" s="110" t="s">
        <v>2913</v>
      </c>
      <c r="V1596" s="119" t="n">
        <v>36</v>
      </c>
      <c r="W1596" s="119"/>
      <c r="X1596" s="110" t="s">
        <v>2063</v>
      </c>
      <c r="Y1596" s="110" t="s">
        <v>2064</v>
      </c>
      <c r="Z1596" s="110"/>
      <c r="AA1596" s="110" t="s">
        <v>537</v>
      </c>
      <c r="AB1596" s="110" t="s">
        <v>374</v>
      </c>
      <c r="AC1596" s="110" t="s">
        <v>538</v>
      </c>
      <c r="AD1596" s="110" t="n">
        <f aca="false">IF(OR(F1596="",Q1596="",R1596=""),"",ROUND(IF(P1596="incl.",F1596/(1+Q1596),F1596)/IF(S1596="per pack",R1596,1),2))</f>
        <v>36</v>
      </c>
      <c r="AE1596" s="110" t="str">
        <f aca="false">IF(AND(AC1596="yes",ISNUMBER(F1596),IF(Compare!$H$5="All mapped",TRUE(),IF(Compare!$H$5="EXACT only",J1596="EXACT",OR(J1596="EXACT",J1596="CLOSE")))),"yes","no")</f>
        <v>yes</v>
      </c>
      <c r="AF1596" s="110" t="n">
        <f aca="false">IF(ISNUMBER(H1596),COUNTIFS($B$7:$B$3000,B1596,$C$7:$C$3000,C1596,$H$7:$H$3000,"&lt;"&amp;H1596,$AH$7:$AH$3000,"yes")+COUNTIFS($B$7:B1596,B1596,$C$7:C1596,C1596,$H$7:H1596,H1596,$AH$7:AH1596,"yes"),"")</f>
        <v>3</v>
      </c>
      <c r="AG1596" s="110" t="n">
        <f aca="false">IF(ISNUMBER(I1596),COUNTIFS($B$7:$B$3000,B1596,$C$7:$C$3000,C1596,$I$7:$I$3000,"&lt;"&amp;I1596,$AI$7:$AI$3000,"yes")+COUNTIFS($B$7:B1596,B1596,$C$7:C1596,C1596,$I$7:I1596,I1596,$AI$7:AI1596,"yes"),"")</f>
        <v>3</v>
      </c>
      <c r="AH1596" s="110" t="str">
        <f aca="false">IF(ISNUMBER(H1596),"yes","no")</f>
        <v>yes</v>
      </c>
      <c r="AI1596" s="110" t="str">
        <f aca="false">IF(ISNUMBER(I1596),"yes","no")</f>
        <v>yes</v>
      </c>
      <c r="AJ1596" s="120" t="n">
        <v>46297</v>
      </c>
      <c r="AK1596" s="110"/>
    </row>
    <row r="1597" customFormat="false" ht="35.05" hidden="false" customHeight="false" outlineLevel="0" collapsed="false">
      <c r="B1597" s="36" t="s">
        <v>92</v>
      </c>
      <c r="C1597" s="98" t="s">
        <v>15</v>
      </c>
      <c r="D1597" s="98" t="s">
        <v>243</v>
      </c>
      <c r="E1597" s="110" t="s">
        <v>5004</v>
      </c>
      <c r="F1597" s="99" t="n">
        <v>9.64</v>
      </c>
      <c r="G1597" s="98" t="s">
        <v>244</v>
      </c>
      <c r="H1597" s="112" t="n">
        <f aca="false">IF(AND(AE1597="yes",ISNUMBER(AD1597)),AD1597,"")</f>
        <v>9.64</v>
      </c>
      <c r="I1597" s="95" t="n">
        <f aca="false">IF(AND(AE1597="yes",ISNUMBER(AD1597),ISNUMBER(INDEX(Sources!$G$7:$G$10,MATCH(AB1597,Sources!$B$7:$B$10,0)))),ROUND(AD1597/INDEX(Sources!$G$7:$G$10,MATCH(AB1597,Sources!$B$7:$B$10,0)),6),"")</f>
        <v>9.64</v>
      </c>
      <c r="J1597" s="98" t="s">
        <v>530</v>
      </c>
      <c r="K1597" s="98" t="s">
        <v>2059</v>
      </c>
      <c r="L1597" s="96"/>
      <c r="M1597" s="110" t="s">
        <v>5005</v>
      </c>
      <c r="N1597" s="117" t="s">
        <v>5006</v>
      </c>
      <c r="O1597" s="110" t="s">
        <v>388</v>
      </c>
      <c r="P1597" s="110" t="s">
        <v>590</v>
      </c>
      <c r="Q1597" s="118" t="n">
        <v>0.2</v>
      </c>
      <c r="R1597" s="110" t="n">
        <v>1</v>
      </c>
      <c r="S1597" s="110" t="s">
        <v>632</v>
      </c>
      <c r="T1597" s="110" t="s">
        <v>530</v>
      </c>
      <c r="U1597" s="110" t="s">
        <v>2913</v>
      </c>
      <c r="V1597" s="119" t="n">
        <v>9.64</v>
      </c>
      <c r="W1597" s="119"/>
      <c r="X1597" s="110" t="s">
        <v>2063</v>
      </c>
      <c r="Y1597" s="110" t="s">
        <v>2064</v>
      </c>
      <c r="Z1597" s="110" t="s">
        <v>4337</v>
      </c>
      <c r="AA1597" s="110" t="s">
        <v>537</v>
      </c>
      <c r="AB1597" s="110" t="s">
        <v>244</v>
      </c>
      <c r="AC1597" s="110" t="s">
        <v>538</v>
      </c>
      <c r="AD1597" s="110" t="n">
        <f aca="false">IF(OR(F1597="",Q1597="",R1597=""),"",ROUND(IF(P1597="incl.",F1597/(1+Q1597),F1597)/IF(S1597="per pack",R1597,1),2))</f>
        <v>9.64</v>
      </c>
      <c r="AE1597" s="110" t="str">
        <f aca="false">IF(AND(AC1597="yes",ISNUMBER(F1597),IF(Compare!$H$5="All mapped",TRUE(),IF(Compare!$H$5="EXACT only",J1597="EXACT",OR(J1597="EXACT",J1597="CLOSE")))),"yes","no")</f>
        <v>yes</v>
      </c>
      <c r="AF1597" s="110" t="n">
        <f aca="false">IF(ISNUMBER(H1597),COUNTIFS($B$7:$B$3000,B1597,$C$7:$C$3000,C1597,$H$7:$H$3000,"&lt;"&amp;H1597,$AH$7:$AH$3000,"yes")+COUNTIFS($B$7:B1597,B1597,$C$7:C1597,C1597,$H$7:H1597,H1597,$AH$7:AH1597,"yes"),"")</f>
        <v>5</v>
      </c>
      <c r="AG1597" s="110" t="n">
        <f aca="false">IF(ISNUMBER(I1597),COUNTIFS($B$7:$B$3000,B1597,$C$7:$C$3000,C1597,$I$7:$I$3000,"&lt;"&amp;I1597,$AI$7:$AI$3000,"yes")+COUNTIFS($B$7:B1597,B1597,$C$7:C1597,C1597,$I$7:I1597,I1597,$AI$7:AI1597,"yes"),"")</f>
        <v>5</v>
      </c>
      <c r="AH1597" s="110" t="str">
        <f aca="false">IF(ISNUMBER(H1597),"yes","no")</f>
        <v>yes</v>
      </c>
      <c r="AI1597" s="110" t="str">
        <f aca="false">IF(ISNUMBER(I1597),"yes","no")</f>
        <v>yes</v>
      </c>
      <c r="AJ1597" s="120" t="n">
        <v>46297</v>
      </c>
      <c r="AK1597" s="110"/>
    </row>
    <row r="1598" customFormat="false" ht="23.85" hidden="false" customHeight="false" outlineLevel="0" collapsed="false">
      <c r="B1598" s="36" t="s">
        <v>92</v>
      </c>
      <c r="C1598" s="98" t="s">
        <v>15</v>
      </c>
      <c r="D1598" s="98" t="s">
        <v>257</v>
      </c>
      <c r="E1598" s="110" t="s">
        <v>5007</v>
      </c>
      <c r="F1598" s="99" t="n">
        <v>7.45</v>
      </c>
      <c r="G1598" s="98" t="s">
        <v>244</v>
      </c>
      <c r="H1598" s="112" t="n">
        <f aca="false">IF(AND(AE1598="yes",ISNUMBER(AD1598)),AD1598,"")</f>
        <v>7.45</v>
      </c>
      <c r="I1598" s="95" t="n">
        <f aca="false">IF(AND(AE1598="yes",ISNUMBER(AD1598),ISNUMBER(INDEX(Sources!$G$7:$G$10,MATCH(AB1598,Sources!$B$7:$B$10,0)))),ROUND(AD1598/INDEX(Sources!$G$7:$G$10,MATCH(AB1598,Sources!$B$7:$B$10,0)),6),"")</f>
        <v>7.45</v>
      </c>
      <c r="J1598" s="98" t="s">
        <v>530</v>
      </c>
      <c r="K1598" s="98" t="s">
        <v>2059</v>
      </c>
      <c r="L1598" s="96"/>
      <c r="M1598" s="110" t="s">
        <v>5008</v>
      </c>
      <c r="N1598" s="117" t="s">
        <v>5009</v>
      </c>
      <c r="O1598" s="110" t="s">
        <v>2396</v>
      </c>
      <c r="P1598" s="110" t="s">
        <v>590</v>
      </c>
      <c r="Q1598" s="118" t="n">
        <v>0.2</v>
      </c>
      <c r="R1598" s="110" t="n">
        <v>1</v>
      </c>
      <c r="S1598" s="110" t="s">
        <v>632</v>
      </c>
      <c r="T1598" s="110" t="s">
        <v>530</v>
      </c>
      <c r="U1598" s="110" t="s">
        <v>2913</v>
      </c>
      <c r="V1598" s="119" t="n">
        <v>7.45</v>
      </c>
      <c r="W1598" s="119"/>
      <c r="X1598" s="110" t="s">
        <v>2063</v>
      </c>
      <c r="Y1598" s="110" t="s">
        <v>2064</v>
      </c>
      <c r="Z1598" s="110" t="s">
        <v>4341</v>
      </c>
      <c r="AA1598" s="110" t="s">
        <v>537</v>
      </c>
      <c r="AB1598" s="110" t="s">
        <v>244</v>
      </c>
      <c r="AC1598" s="110" t="s">
        <v>538</v>
      </c>
      <c r="AD1598" s="110" t="n">
        <f aca="false">IF(OR(F1598="",Q1598="",R1598=""),"",ROUND(IF(P1598="incl.",F1598/(1+Q1598),F1598)/IF(S1598="per pack",R1598,1),2))</f>
        <v>7.45</v>
      </c>
      <c r="AE1598" s="110" t="str">
        <f aca="false">IF(AND(AC1598="yes",ISNUMBER(F1598),IF(Compare!$H$5="All mapped",TRUE(),IF(Compare!$H$5="EXACT only",J1598="EXACT",OR(J1598="EXACT",J1598="CLOSE")))),"yes","no")</f>
        <v>yes</v>
      </c>
      <c r="AF1598" s="110" t="n">
        <f aca="false">IF(ISNUMBER(H1598),COUNTIFS($B$7:$B$3000,B1598,$C$7:$C$3000,C1598,$H$7:$H$3000,"&lt;"&amp;H1598,$AH$7:$AH$3000,"yes")+COUNTIFS($B$7:B1598,B1598,$C$7:C1598,C1598,$H$7:H1598,H1598,$AH$7:AH1598,"yes"),"")</f>
        <v>4</v>
      </c>
      <c r="AG1598" s="110" t="n">
        <f aca="false">IF(ISNUMBER(I1598),COUNTIFS($B$7:$B$3000,B1598,$C$7:$C$3000,C1598,$I$7:$I$3000,"&lt;"&amp;I1598,$AI$7:$AI$3000,"yes")+COUNTIFS($B$7:B1598,B1598,$C$7:C1598,C1598,$I$7:I1598,I1598,$AI$7:AI1598,"yes"),"")</f>
        <v>4</v>
      </c>
      <c r="AH1598" s="110" t="str">
        <f aca="false">IF(ISNUMBER(H1598),"yes","no")</f>
        <v>yes</v>
      </c>
      <c r="AI1598" s="110" t="str">
        <f aca="false">IF(ISNUMBER(I1598),"yes","no")</f>
        <v>yes</v>
      </c>
      <c r="AJ1598" s="120" t="n">
        <v>46297</v>
      </c>
      <c r="AK1598" s="110"/>
    </row>
    <row r="1599" customFormat="false" ht="35.05" hidden="false" customHeight="false" outlineLevel="0" collapsed="false">
      <c r="B1599" s="36" t="s">
        <v>92</v>
      </c>
      <c r="C1599" s="98" t="s">
        <v>15</v>
      </c>
      <c r="D1599" s="98" t="s">
        <v>261</v>
      </c>
      <c r="E1599" s="110" t="s">
        <v>5010</v>
      </c>
      <c r="F1599" s="99" t="n">
        <v>5.35</v>
      </c>
      <c r="G1599" s="98" t="s">
        <v>244</v>
      </c>
      <c r="H1599" s="112" t="n">
        <f aca="false">IF(AND(AE1599="yes",ISNUMBER(AD1599)),AD1599,"")</f>
        <v>5.35</v>
      </c>
      <c r="I1599" s="95" t="n">
        <f aca="false">IF(AND(AE1599="yes",ISNUMBER(AD1599),ISNUMBER(INDEX(Sources!$G$7:$G$10,MATCH(AB1599,Sources!$B$7:$B$10,0)))),ROUND(AD1599/INDEX(Sources!$G$7:$G$10,MATCH(AB1599,Sources!$B$7:$B$10,0)),6),"")</f>
        <v>5.35</v>
      </c>
      <c r="J1599" s="98" t="s">
        <v>530</v>
      </c>
      <c r="K1599" s="98" t="s">
        <v>2059</v>
      </c>
      <c r="L1599" s="96"/>
      <c r="M1599" s="110" t="s">
        <v>5011</v>
      </c>
      <c r="N1599" s="117" t="s">
        <v>5012</v>
      </c>
      <c r="O1599" s="110"/>
      <c r="P1599" s="110" t="s">
        <v>590</v>
      </c>
      <c r="Q1599" s="118" t="n">
        <v>0.2</v>
      </c>
      <c r="R1599" s="110" t="n">
        <v>1</v>
      </c>
      <c r="S1599" s="110" t="s">
        <v>632</v>
      </c>
      <c r="T1599" s="110" t="s">
        <v>530</v>
      </c>
      <c r="U1599" s="110" t="s">
        <v>2913</v>
      </c>
      <c r="V1599" s="119" t="n">
        <v>5.35</v>
      </c>
      <c r="W1599" s="119"/>
      <c r="X1599" s="110" t="s">
        <v>2063</v>
      </c>
      <c r="Y1599" s="110" t="s">
        <v>2064</v>
      </c>
      <c r="Z1599" s="110" t="s">
        <v>4767</v>
      </c>
      <c r="AA1599" s="110" t="s">
        <v>537</v>
      </c>
      <c r="AB1599" s="110" t="s">
        <v>244</v>
      </c>
      <c r="AC1599" s="110" t="s">
        <v>538</v>
      </c>
      <c r="AD1599" s="110" t="n">
        <f aca="false">IF(OR(F1599="",Q1599="",R1599=""),"",ROUND(IF(P1599="incl.",F1599/(1+Q1599),F1599)/IF(S1599="per pack",R1599,1),2))</f>
        <v>5.35</v>
      </c>
      <c r="AE1599" s="110" t="str">
        <f aca="false">IF(AND(AC1599="yes",ISNUMBER(F1599),IF(Compare!$H$5="All mapped",TRUE(),IF(Compare!$H$5="EXACT only",J1599="EXACT",OR(J1599="EXACT",J1599="CLOSE")))),"yes","no")</f>
        <v>yes</v>
      </c>
      <c r="AF1599" s="110" t="n">
        <f aca="false">IF(ISNUMBER(H1599),COUNTIFS($B$7:$B$3000,B1599,$C$7:$C$3000,C1599,$H$7:$H$3000,"&lt;"&amp;H1599,$AH$7:$AH$3000,"yes")+COUNTIFS($B$7:B1599,B1599,$C$7:C1599,C1599,$H$7:H1599,H1599,$AH$7:AH1599,"yes"),"")</f>
        <v>2</v>
      </c>
      <c r="AG1599" s="110" t="n">
        <f aca="false">IF(ISNUMBER(I1599),COUNTIFS($B$7:$B$3000,B1599,$C$7:$C$3000,C1599,$I$7:$I$3000,"&lt;"&amp;I1599,$AI$7:$AI$3000,"yes")+COUNTIFS($B$7:B1599,B1599,$C$7:C1599,C1599,$I$7:I1599,I1599,$AI$7:AI1599,"yes"),"")</f>
        <v>2</v>
      </c>
      <c r="AH1599" s="110" t="str">
        <f aca="false">IF(ISNUMBER(H1599),"yes","no")</f>
        <v>yes</v>
      </c>
      <c r="AI1599" s="110" t="str">
        <f aca="false">IF(ISNUMBER(I1599),"yes","no")</f>
        <v>yes</v>
      </c>
      <c r="AJ1599" s="120" t="n">
        <v>46297</v>
      </c>
      <c r="AK1599" s="110"/>
    </row>
    <row r="1600" customFormat="false" ht="23.85" hidden="false" customHeight="false" outlineLevel="0" collapsed="false">
      <c r="B1600" s="36" t="s">
        <v>92</v>
      </c>
      <c r="C1600" s="98" t="s">
        <v>15</v>
      </c>
      <c r="D1600" s="98" t="s">
        <v>264</v>
      </c>
      <c r="E1600" s="110" t="s">
        <v>5013</v>
      </c>
      <c r="F1600" s="99" t="n">
        <v>12.75</v>
      </c>
      <c r="G1600" s="98" t="s">
        <v>244</v>
      </c>
      <c r="H1600" s="112" t="n">
        <f aca="false">IF(AND(AE1600="yes",ISNUMBER(AD1600)),AD1600,"")</f>
        <v>12.75</v>
      </c>
      <c r="I1600" s="95" t="n">
        <f aca="false">IF(AND(AE1600="yes",ISNUMBER(AD1600),ISNUMBER(INDEX(Sources!$G$7:$G$10,MATCH(AB1600,Sources!$B$7:$B$10,0)))),ROUND(AD1600/INDEX(Sources!$G$7:$G$10,MATCH(AB1600,Sources!$B$7:$B$10,0)),6),"")</f>
        <v>12.75</v>
      </c>
      <c r="J1600" s="98" t="s">
        <v>530</v>
      </c>
      <c r="K1600" s="98" t="s">
        <v>2059</v>
      </c>
      <c r="L1600" s="96"/>
      <c r="M1600" s="110" t="s">
        <v>5014</v>
      </c>
      <c r="N1600" s="117" t="s">
        <v>5015</v>
      </c>
      <c r="O1600" s="110" t="s">
        <v>388</v>
      </c>
      <c r="P1600" s="110" t="s">
        <v>590</v>
      </c>
      <c r="Q1600" s="118" t="n">
        <v>0.19</v>
      </c>
      <c r="R1600" s="110" t="n">
        <v>1</v>
      </c>
      <c r="S1600" s="110" t="s">
        <v>632</v>
      </c>
      <c r="T1600" s="110" t="s">
        <v>530</v>
      </c>
      <c r="U1600" s="110" t="s">
        <v>2913</v>
      </c>
      <c r="V1600" s="119" t="n">
        <v>12.75</v>
      </c>
      <c r="W1600" s="119"/>
      <c r="X1600" s="110" t="s">
        <v>2063</v>
      </c>
      <c r="Y1600" s="110" t="s">
        <v>2064</v>
      </c>
      <c r="Z1600" s="110"/>
      <c r="AA1600" s="110" t="s">
        <v>537</v>
      </c>
      <c r="AB1600" s="110" t="s">
        <v>244</v>
      </c>
      <c r="AC1600" s="110" t="s">
        <v>538</v>
      </c>
      <c r="AD1600" s="110" t="n">
        <f aca="false">IF(OR(F1600="",Q1600="",R1600=""),"",ROUND(IF(P1600="incl.",F1600/(1+Q1600),F1600)/IF(S1600="per pack",R1600,1),2))</f>
        <v>12.75</v>
      </c>
      <c r="AE1600" s="110" t="str">
        <f aca="false">IF(AND(AC1600="yes",ISNUMBER(F1600),IF(Compare!$H$5="All mapped",TRUE(),IF(Compare!$H$5="EXACT only",J1600="EXACT",OR(J1600="EXACT",J1600="CLOSE")))),"yes","no")</f>
        <v>yes</v>
      </c>
      <c r="AF1600" s="110" t="n">
        <f aca="false">IF(ISNUMBER(H1600),COUNTIFS($B$7:$B$3000,B1600,$C$7:$C$3000,C1600,$H$7:$H$3000,"&lt;"&amp;H1600,$AH$7:$AH$3000,"yes")+COUNTIFS($B$7:B1600,B1600,$C$7:C1600,C1600,$H$7:H1600,H1600,$AH$7:AH1600,"yes"),"")</f>
        <v>6</v>
      </c>
      <c r="AG1600" s="110" t="n">
        <f aca="false">IF(ISNUMBER(I1600),COUNTIFS($B$7:$B$3000,B1600,$C$7:$C$3000,C1600,$I$7:$I$3000,"&lt;"&amp;I1600,$AI$7:$AI$3000,"yes")+COUNTIFS($B$7:B1600,B1600,$C$7:C1600,C1600,$I$7:I1600,I1600,$AI$7:AI1600,"yes"),"")</f>
        <v>6</v>
      </c>
      <c r="AH1600" s="110" t="str">
        <f aca="false">IF(ISNUMBER(H1600),"yes","no")</f>
        <v>yes</v>
      </c>
      <c r="AI1600" s="110" t="str">
        <f aca="false">IF(ISNUMBER(I1600),"yes","no")</f>
        <v>yes</v>
      </c>
      <c r="AJ1600" s="120" t="n">
        <v>46297</v>
      </c>
      <c r="AK1600" s="110"/>
    </row>
    <row r="1601" customFormat="false" ht="46.25" hidden="false" customHeight="false" outlineLevel="0" collapsed="false">
      <c r="B1601" s="36" t="s">
        <v>92</v>
      </c>
      <c r="C1601" s="98" t="s">
        <v>15</v>
      </c>
      <c r="D1601" s="98" t="s">
        <v>281</v>
      </c>
      <c r="E1601" s="110" t="s">
        <v>5016</v>
      </c>
      <c r="F1601" s="99" t="n">
        <v>6.25</v>
      </c>
      <c r="G1601" s="98" t="s">
        <v>244</v>
      </c>
      <c r="H1601" s="112" t="n">
        <f aca="false">IF(AND(AE1601="yes",ISNUMBER(AD1601)),AD1601,"")</f>
        <v>6.25</v>
      </c>
      <c r="I1601" s="95" t="n">
        <f aca="false">IF(AND(AE1601="yes",ISNUMBER(AD1601),ISNUMBER(INDEX(Sources!$G$7:$G$10,MATCH(AB1601,Sources!$B$7:$B$10,0)))),ROUND(AD1601/INDEX(Sources!$G$7:$G$10,MATCH(AB1601,Sources!$B$7:$B$10,0)),6),"")</f>
        <v>6.25</v>
      </c>
      <c r="J1601" s="98" t="s">
        <v>530</v>
      </c>
      <c r="K1601" s="98" t="s">
        <v>2059</v>
      </c>
      <c r="L1601" s="96"/>
      <c r="M1601" s="110" t="s">
        <v>5017</v>
      </c>
      <c r="N1601" s="117" t="s">
        <v>5018</v>
      </c>
      <c r="O1601" s="110" t="s">
        <v>603</v>
      </c>
      <c r="P1601" s="110" t="s">
        <v>590</v>
      </c>
      <c r="Q1601" s="118" t="n">
        <v>0.2</v>
      </c>
      <c r="R1601" s="110" t="n">
        <v>1</v>
      </c>
      <c r="S1601" s="110" t="s">
        <v>632</v>
      </c>
      <c r="T1601" s="110" t="s">
        <v>530</v>
      </c>
      <c r="U1601" s="110" t="s">
        <v>2913</v>
      </c>
      <c r="V1601" s="119" t="n">
        <v>6.25</v>
      </c>
      <c r="W1601" s="119"/>
      <c r="X1601" s="110" t="s">
        <v>2063</v>
      </c>
      <c r="Y1601" s="110" t="s">
        <v>2064</v>
      </c>
      <c r="Z1601" s="110" t="s">
        <v>2125</v>
      </c>
      <c r="AA1601" s="110" t="s">
        <v>537</v>
      </c>
      <c r="AB1601" s="110" t="s">
        <v>244</v>
      </c>
      <c r="AC1601" s="110" t="s">
        <v>538</v>
      </c>
      <c r="AD1601" s="110" t="n">
        <f aca="false">IF(OR(F1601="",Q1601="",R1601=""),"",ROUND(IF(P1601="incl.",F1601/(1+Q1601),F1601)/IF(S1601="per pack",R1601,1),2))</f>
        <v>6.25</v>
      </c>
      <c r="AE1601" s="110" t="str">
        <f aca="false">IF(AND(AC1601="yes",ISNUMBER(F1601),IF(Compare!$H$5="All mapped",TRUE(),IF(Compare!$H$5="EXACT only",J1601="EXACT",OR(J1601="EXACT",J1601="CLOSE")))),"yes","no")</f>
        <v>yes</v>
      </c>
      <c r="AF1601" s="110" t="n">
        <f aca="false">IF(ISNUMBER(H1601),COUNTIFS($B$7:$B$3000,B1601,$C$7:$C$3000,C1601,$H$7:$H$3000,"&lt;"&amp;H1601,$AH$7:$AH$3000,"yes")+COUNTIFS($B$7:B1601,B1601,$C$7:C1601,C1601,$H$7:H1601,H1601,$AH$7:AH1601,"yes"),"")</f>
        <v>3</v>
      </c>
      <c r="AG1601" s="110" t="n">
        <f aca="false">IF(ISNUMBER(I1601),COUNTIFS($B$7:$B$3000,B1601,$C$7:$C$3000,C1601,$I$7:$I$3000,"&lt;"&amp;I1601,$AI$7:$AI$3000,"yes")+COUNTIFS($B$7:B1601,B1601,$C$7:C1601,C1601,$I$7:I1601,I1601,$AI$7:AI1601,"yes"),"")</f>
        <v>3</v>
      </c>
      <c r="AH1601" s="110" t="str">
        <f aca="false">IF(ISNUMBER(H1601),"yes","no")</f>
        <v>yes</v>
      </c>
      <c r="AI1601" s="110" t="str">
        <f aca="false">IF(ISNUMBER(I1601),"yes","no")</f>
        <v>yes</v>
      </c>
      <c r="AJ1601" s="120" t="n">
        <v>46297</v>
      </c>
      <c r="AK1601" s="110"/>
    </row>
    <row r="1602" customFormat="false" ht="35.05" hidden="false" customHeight="false" outlineLevel="0" collapsed="false">
      <c r="B1602" s="36" t="s">
        <v>92</v>
      </c>
      <c r="C1602" s="98" t="s">
        <v>15</v>
      </c>
      <c r="D1602" s="98" t="s">
        <v>293</v>
      </c>
      <c r="E1602" s="110" t="s">
        <v>5019</v>
      </c>
      <c r="F1602" s="99" t="n">
        <v>5.3</v>
      </c>
      <c r="G1602" s="98" t="s">
        <v>244</v>
      </c>
      <c r="H1602" s="112" t="n">
        <f aca="false">IF(AND(AE1602="yes",ISNUMBER(AD1602)),AD1602,"")</f>
        <v>5.3</v>
      </c>
      <c r="I1602" s="95" t="n">
        <f aca="false">IF(AND(AE1602="yes",ISNUMBER(AD1602),ISNUMBER(INDEX(Sources!$G$7:$G$10,MATCH(AB1602,Sources!$B$7:$B$10,0)))),ROUND(AD1602/INDEX(Sources!$G$7:$G$10,MATCH(AB1602,Sources!$B$7:$B$10,0)),6),"")</f>
        <v>5.3</v>
      </c>
      <c r="J1602" s="98" t="s">
        <v>530</v>
      </c>
      <c r="K1602" s="98" t="s">
        <v>2059</v>
      </c>
      <c r="L1602" s="96"/>
      <c r="M1602" s="110" t="s">
        <v>5020</v>
      </c>
      <c r="N1602" s="117" t="s">
        <v>5021</v>
      </c>
      <c r="O1602" s="110" t="s">
        <v>4358</v>
      </c>
      <c r="P1602" s="110" t="s">
        <v>590</v>
      </c>
      <c r="Q1602" s="118" t="n">
        <v>0.2</v>
      </c>
      <c r="R1602" s="110" t="n">
        <v>1</v>
      </c>
      <c r="S1602" s="110" t="s">
        <v>632</v>
      </c>
      <c r="T1602" s="110" t="s">
        <v>530</v>
      </c>
      <c r="U1602" s="110" t="s">
        <v>2913</v>
      </c>
      <c r="V1602" s="119" t="n">
        <v>5.3</v>
      </c>
      <c r="W1602" s="119"/>
      <c r="X1602" s="110" t="s">
        <v>2063</v>
      </c>
      <c r="Y1602" s="110" t="s">
        <v>2064</v>
      </c>
      <c r="Z1602" s="110"/>
      <c r="AA1602" s="110" t="s">
        <v>537</v>
      </c>
      <c r="AB1602" s="110" t="s">
        <v>244</v>
      </c>
      <c r="AC1602" s="110" t="s">
        <v>538</v>
      </c>
      <c r="AD1602" s="110" t="n">
        <f aca="false">IF(OR(F1602="",Q1602="",R1602=""),"",ROUND(IF(P1602="incl.",F1602/(1+Q1602),F1602)/IF(S1602="per pack",R1602,1),2))</f>
        <v>5.3</v>
      </c>
      <c r="AE1602" s="110" t="str">
        <f aca="false">IF(AND(AC1602="yes",ISNUMBER(F1602),IF(Compare!$H$5="All mapped",TRUE(),IF(Compare!$H$5="EXACT only",J1602="EXACT",OR(J1602="EXACT",J1602="CLOSE")))),"yes","no")</f>
        <v>yes</v>
      </c>
      <c r="AF1602" s="110" t="n">
        <f aca="false">IF(ISNUMBER(H1602),COUNTIFS($B$7:$B$3000,B1602,$C$7:$C$3000,C1602,$H$7:$H$3000,"&lt;"&amp;H1602,$AH$7:$AH$3000,"yes")+COUNTIFS($B$7:B1602,B1602,$C$7:C1602,C1602,$H$7:H1602,H1602,$AH$7:AH1602,"yes"),"")</f>
        <v>1</v>
      </c>
      <c r="AG1602" s="110" t="n">
        <f aca="false">IF(ISNUMBER(I1602),COUNTIFS($B$7:$B$3000,B1602,$C$7:$C$3000,C1602,$I$7:$I$3000,"&lt;"&amp;I1602,$AI$7:$AI$3000,"yes")+COUNTIFS($B$7:B1602,B1602,$C$7:C1602,C1602,$I$7:I1602,I1602,$AI$7:AI1602,"yes"),"")</f>
        <v>1</v>
      </c>
      <c r="AH1602" s="110" t="str">
        <f aca="false">IF(ISNUMBER(H1602),"yes","no")</f>
        <v>yes</v>
      </c>
      <c r="AI1602" s="110" t="str">
        <f aca="false">IF(ISNUMBER(I1602),"yes","no")</f>
        <v>yes</v>
      </c>
      <c r="AJ1602" s="120" t="n">
        <v>46297</v>
      </c>
      <c r="AK1602" s="110"/>
    </row>
    <row r="1603" customFormat="false" ht="23.85" hidden="false" customHeight="false" outlineLevel="0" collapsed="false">
      <c r="B1603" s="36" t="s">
        <v>92</v>
      </c>
      <c r="C1603" s="98" t="s">
        <v>16</v>
      </c>
      <c r="D1603" s="98" t="s">
        <v>296</v>
      </c>
      <c r="E1603" s="110" t="s">
        <v>5004</v>
      </c>
      <c r="F1603" s="99" t="n">
        <v>9.64</v>
      </c>
      <c r="G1603" s="98" t="s">
        <v>244</v>
      </c>
      <c r="H1603" s="112" t="n">
        <f aca="false">IF(AND(AE1603="yes",ISNUMBER(AD1603)),AD1603,"")</f>
        <v>9.64</v>
      </c>
      <c r="I1603" s="95" t="n">
        <f aca="false">IF(AND(AE1603="yes",ISNUMBER(AD1603),ISNUMBER(INDEX(Sources!$G$7:$G$10,MATCH(AB1603,Sources!$B$7:$B$10,0)))),ROUND(AD1603/INDEX(Sources!$G$7:$G$10,MATCH(AB1603,Sources!$B$7:$B$10,0)),6),"")</f>
        <v>9.64</v>
      </c>
      <c r="J1603" s="98" t="s">
        <v>530</v>
      </c>
      <c r="K1603" s="98" t="s">
        <v>2059</v>
      </c>
      <c r="L1603" s="96"/>
      <c r="M1603" s="110" t="s">
        <v>5022</v>
      </c>
      <c r="N1603" s="117" t="s">
        <v>5023</v>
      </c>
      <c r="O1603" s="110" t="s">
        <v>388</v>
      </c>
      <c r="P1603" s="110" t="s">
        <v>590</v>
      </c>
      <c r="Q1603" s="118" t="n">
        <v>0.19</v>
      </c>
      <c r="R1603" s="110" t="n">
        <v>1</v>
      </c>
      <c r="S1603" s="110" t="s">
        <v>632</v>
      </c>
      <c r="T1603" s="110" t="s">
        <v>530</v>
      </c>
      <c r="U1603" s="110" t="s">
        <v>2913</v>
      </c>
      <c r="V1603" s="119" t="n">
        <v>9.64</v>
      </c>
      <c r="W1603" s="119"/>
      <c r="X1603" s="110" t="s">
        <v>2063</v>
      </c>
      <c r="Y1603" s="110" t="s">
        <v>2064</v>
      </c>
      <c r="Z1603" s="110" t="s">
        <v>2065</v>
      </c>
      <c r="AA1603" s="110" t="s">
        <v>537</v>
      </c>
      <c r="AB1603" s="110" t="s">
        <v>244</v>
      </c>
      <c r="AC1603" s="110" t="s">
        <v>538</v>
      </c>
      <c r="AD1603" s="110" t="n">
        <f aca="false">IF(OR(F1603="",Q1603="",R1603=""),"",ROUND(IF(P1603="incl.",F1603/(1+Q1603),F1603)/IF(S1603="per pack",R1603,1),2))</f>
        <v>9.64</v>
      </c>
      <c r="AE1603" s="110" t="str">
        <f aca="false">IF(AND(AC1603="yes",ISNUMBER(F1603),IF(Compare!$H$5="All mapped",TRUE(),IF(Compare!$H$5="EXACT only",J1603="EXACT",OR(J1603="EXACT",J1603="CLOSE")))),"yes","no")</f>
        <v>yes</v>
      </c>
      <c r="AF1603" s="110" t="n">
        <f aca="false">IF(ISNUMBER(H1603),COUNTIFS($B$7:$B$3000,B1603,$C$7:$C$3000,C1603,$H$7:$H$3000,"&lt;"&amp;H1603,$AH$7:$AH$3000,"yes")+COUNTIFS($B$7:B1603,B1603,$C$7:C1603,C1603,$H$7:H1603,H1603,$AH$7:AH1603,"yes"),"")</f>
        <v>4</v>
      </c>
      <c r="AG1603" s="110" t="n">
        <f aca="false">IF(ISNUMBER(I1603),COUNTIFS($B$7:$B$3000,B1603,$C$7:$C$3000,C1603,$I$7:$I$3000,"&lt;"&amp;I1603,$AI$7:$AI$3000,"yes")+COUNTIFS($B$7:B1603,B1603,$C$7:C1603,C1603,$I$7:I1603,I1603,$AI$7:AI1603,"yes"),"")</f>
        <v>4</v>
      </c>
      <c r="AH1603" s="110" t="str">
        <f aca="false">IF(ISNUMBER(H1603),"yes","no")</f>
        <v>yes</v>
      </c>
      <c r="AI1603" s="110" t="str">
        <f aca="false">IF(ISNUMBER(I1603),"yes","no")</f>
        <v>yes</v>
      </c>
      <c r="AJ1603" s="120" t="n">
        <v>46297</v>
      </c>
      <c r="AK1603" s="110"/>
    </row>
    <row r="1604" customFormat="false" ht="35.05" hidden="false" customHeight="false" outlineLevel="0" collapsed="false">
      <c r="B1604" s="36" t="s">
        <v>92</v>
      </c>
      <c r="C1604" s="98" t="s">
        <v>16</v>
      </c>
      <c r="D1604" s="98" t="s">
        <v>317</v>
      </c>
      <c r="E1604" s="110" t="s">
        <v>5024</v>
      </c>
      <c r="F1604" s="99" t="n">
        <v>32.99</v>
      </c>
      <c r="G1604" s="98" t="s">
        <v>244</v>
      </c>
      <c r="H1604" s="112" t="n">
        <f aca="false">IF(AND(AE1604="yes",ISNUMBER(AD1604)),AD1604,"")</f>
        <v>5.5</v>
      </c>
      <c r="I1604" s="95" t="n">
        <f aca="false">IF(AND(AE1604="yes",ISNUMBER(AD1604),ISNUMBER(INDEX(Sources!$G$7:$G$10,MATCH(AB1604,Sources!$B$7:$B$10,0)))),ROUND(AD1604/INDEX(Sources!$G$7:$G$10,MATCH(AB1604,Sources!$B$7:$B$10,0)),6),"")</f>
        <v>5.5</v>
      </c>
      <c r="J1604" s="98" t="s">
        <v>530</v>
      </c>
      <c r="K1604" s="98" t="s">
        <v>2059</v>
      </c>
      <c r="L1604" s="96"/>
      <c r="M1604" s="110" t="s">
        <v>5025</v>
      </c>
      <c r="N1604" s="117" t="s">
        <v>5026</v>
      </c>
      <c r="O1604" s="110" t="s">
        <v>642</v>
      </c>
      <c r="P1604" s="110" t="s">
        <v>590</v>
      </c>
      <c r="Q1604" s="118" t="n">
        <v>0.19</v>
      </c>
      <c r="R1604" s="110" t="n">
        <v>6</v>
      </c>
      <c r="S1604" s="110" t="s">
        <v>625</v>
      </c>
      <c r="T1604" s="110" t="s">
        <v>530</v>
      </c>
      <c r="U1604" s="110" t="s">
        <v>2913</v>
      </c>
      <c r="V1604" s="119" t="n">
        <v>5.5</v>
      </c>
      <c r="W1604" s="119"/>
      <c r="X1604" s="110" t="s">
        <v>2063</v>
      </c>
      <c r="Y1604" s="110" t="s">
        <v>2064</v>
      </c>
      <c r="Z1604" s="110" t="s">
        <v>5027</v>
      </c>
      <c r="AA1604" s="110" t="s">
        <v>537</v>
      </c>
      <c r="AB1604" s="110" t="s">
        <v>244</v>
      </c>
      <c r="AC1604" s="110" t="s">
        <v>538</v>
      </c>
      <c r="AD1604" s="110" t="n">
        <f aca="false">IF(OR(F1604="",Q1604="",R1604=""),"",ROUND(IF(P1604="incl.",F1604/(1+Q1604),F1604)/IF(S1604="per pack",R1604,1),2))</f>
        <v>5.5</v>
      </c>
      <c r="AE1604" s="110" t="str">
        <f aca="false">IF(AND(AC1604="yes",ISNUMBER(F1604),IF(Compare!$H$5="All mapped",TRUE(),IF(Compare!$H$5="EXACT only",J1604="EXACT",OR(J1604="EXACT",J1604="CLOSE")))),"yes","no")</f>
        <v>yes</v>
      </c>
      <c r="AF1604" s="110" t="n">
        <f aca="false">IF(ISNUMBER(H1604),COUNTIFS($B$7:$B$3000,B1604,$C$7:$C$3000,C1604,$H$7:$H$3000,"&lt;"&amp;H1604,$AH$7:$AH$3000,"yes")+COUNTIFS($B$7:B1604,B1604,$C$7:C1604,C1604,$H$7:H1604,H1604,$AH$7:AH1604,"yes"),"")</f>
        <v>2</v>
      </c>
      <c r="AG1604" s="110" t="n">
        <f aca="false">IF(ISNUMBER(I1604),COUNTIFS($B$7:$B$3000,B1604,$C$7:$C$3000,C1604,$I$7:$I$3000,"&lt;"&amp;I1604,$AI$7:$AI$3000,"yes")+COUNTIFS($B$7:B1604,B1604,$C$7:C1604,C1604,$I$7:I1604,I1604,$AI$7:AI1604,"yes"),"")</f>
        <v>2</v>
      </c>
      <c r="AH1604" s="110" t="str">
        <f aca="false">IF(ISNUMBER(H1604),"yes","no")</f>
        <v>yes</v>
      </c>
      <c r="AI1604" s="110" t="str">
        <f aca="false">IF(ISNUMBER(I1604),"yes","no")</f>
        <v>yes</v>
      </c>
      <c r="AJ1604" s="120" t="n">
        <v>46297</v>
      </c>
      <c r="AK1604" s="110"/>
    </row>
    <row r="1605" customFormat="false" ht="23.85" hidden="false" customHeight="false" outlineLevel="0" collapsed="false">
      <c r="B1605" s="36" t="s">
        <v>92</v>
      </c>
      <c r="C1605" s="98" t="s">
        <v>16</v>
      </c>
      <c r="D1605" s="98" t="s">
        <v>305</v>
      </c>
      <c r="E1605" s="110" t="s">
        <v>5028</v>
      </c>
      <c r="F1605" s="99" t="n">
        <v>5.43</v>
      </c>
      <c r="G1605" s="98" t="s">
        <v>244</v>
      </c>
      <c r="H1605" s="112" t="n">
        <f aca="false">IF(AND(AE1605="yes",ISNUMBER(AD1605)),AD1605,"")</f>
        <v>5.43</v>
      </c>
      <c r="I1605" s="95" t="n">
        <f aca="false">IF(AND(AE1605="yes",ISNUMBER(AD1605),ISNUMBER(INDEX(Sources!$G$7:$G$10,MATCH(AB1605,Sources!$B$7:$B$10,0)))),ROUND(AD1605/INDEX(Sources!$G$7:$G$10,MATCH(AB1605,Sources!$B$7:$B$10,0)),6),"")</f>
        <v>5.43</v>
      </c>
      <c r="J1605" s="98" t="s">
        <v>530</v>
      </c>
      <c r="K1605" s="98" t="s">
        <v>2059</v>
      </c>
      <c r="L1605" s="96"/>
      <c r="M1605" s="110" t="s">
        <v>5029</v>
      </c>
      <c r="N1605" s="117" t="s">
        <v>5030</v>
      </c>
      <c r="O1605" s="110" t="s">
        <v>603</v>
      </c>
      <c r="P1605" s="110" t="s">
        <v>590</v>
      </c>
      <c r="Q1605" s="118" t="n">
        <v>0.19</v>
      </c>
      <c r="R1605" s="110" t="n">
        <v>1</v>
      </c>
      <c r="S1605" s="110" t="s">
        <v>632</v>
      </c>
      <c r="T1605" s="110" t="s">
        <v>530</v>
      </c>
      <c r="U1605" s="110" t="s">
        <v>2913</v>
      </c>
      <c r="V1605" s="119" t="n">
        <v>5.43</v>
      </c>
      <c r="W1605" s="119"/>
      <c r="X1605" s="110" t="s">
        <v>2063</v>
      </c>
      <c r="Y1605" s="110" t="s">
        <v>2064</v>
      </c>
      <c r="Z1605" s="110" t="s">
        <v>2142</v>
      </c>
      <c r="AA1605" s="110" t="s">
        <v>537</v>
      </c>
      <c r="AB1605" s="110" t="s">
        <v>244</v>
      </c>
      <c r="AC1605" s="110" t="s">
        <v>538</v>
      </c>
      <c r="AD1605" s="110" t="n">
        <f aca="false">IF(OR(F1605="",Q1605="",R1605=""),"",ROUND(IF(P1605="incl.",F1605/(1+Q1605),F1605)/IF(S1605="per pack",R1605,1),2))</f>
        <v>5.43</v>
      </c>
      <c r="AE1605" s="110" t="str">
        <f aca="false">IF(AND(AC1605="yes",ISNUMBER(F1605),IF(Compare!$H$5="All mapped",TRUE(),IF(Compare!$H$5="EXACT only",J1605="EXACT",OR(J1605="EXACT",J1605="CLOSE")))),"yes","no")</f>
        <v>yes</v>
      </c>
      <c r="AF1605" s="110" t="n">
        <f aca="false">IF(ISNUMBER(H1605),COUNTIFS($B$7:$B$3000,B1605,$C$7:$C$3000,C1605,$H$7:$H$3000,"&lt;"&amp;H1605,$AH$7:$AH$3000,"yes")+COUNTIFS($B$7:B1605,B1605,$C$7:C1605,C1605,$H$7:H1605,H1605,$AH$7:AH1605,"yes"),"")</f>
        <v>1</v>
      </c>
      <c r="AG1605" s="110" t="n">
        <f aca="false">IF(ISNUMBER(I1605),COUNTIFS($B$7:$B$3000,B1605,$C$7:$C$3000,C1605,$I$7:$I$3000,"&lt;"&amp;I1605,$AI$7:$AI$3000,"yes")+COUNTIFS($B$7:B1605,B1605,$C$7:C1605,C1605,$I$7:I1605,I1605,$AI$7:AI1605,"yes"),"")</f>
        <v>1</v>
      </c>
      <c r="AH1605" s="110" t="str">
        <f aca="false">IF(ISNUMBER(H1605),"yes","no")</f>
        <v>yes</v>
      </c>
      <c r="AI1605" s="110" t="str">
        <f aca="false">IF(ISNUMBER(I1605),"yes","no")</f>
        <v>yes</v>
      </c>
      <c r="AJ1605" s="120" t="n">
        <v>46297</v>
      </c>
      <c r="AK1605" s="110"/>
    </row>
    <row r="1606" customFormat="false" ht="35.05" hidden="false" customHeight="false" outlineLevel="0" collapsed="false">
      <c r="B1606" s="36" t="s">
        <v>92</v>
      </c>
      <c r="C1606" s="98" t="s">
        <v>16</v>
      </c>
      <c r="D1606" s="98" t="s">
        <v>329</v>
      </c>
      <c r="E1606" s="110" t="s">
        <v>5031</v>
      </c>
      <c r="F1606" s="99" t="n">
        <v>8.99</v>
      </c>
      <c r="G1606" s="98" t="s">
        <v>244</v>
      </c>
      <c r="H1606" s="112" t="n">
        <f aca="false">IF(AND(AE1606="yes",ISNUMBER(AD1606)),AD1606,"")</f>
        <v>8.99</v>
      </c>
      <c r="I1606" s="95" t="n">
        <f aca="false">IF(AND(AE1606="yes",ISNUMBER(AD1606),ISNUMBER(INDEX(Sources!$G$7:$G$10,MATCH(AB1606,Sources!$B$7:$B$10,0)))),ROUND(AD1606/INDEX(Sources!$G$7:$G$10,MATCH(AB1606,Sources!$B$7:$B$10,0)),6),"")</f>
        <v>8.99</v>
      </c>
      <c r="J1606" s="98" t="s">
        <v>530</v>
      </c>
      <c r="K1606" s="98" t="s">
        <v>2059</v>
      </c>
      <c r="L1606" s="96"/>
      <c r="M1606" s="110" t="s">
        <v>5032</v>
      </c>
      <c r="N1606" s="117" t="s">
        <v>5033</v>
      </c>
      <c r="O1606" s="110" t="s">
        <v>642</v>
      </c>
      <c r="P1606" s="110" t="s">
        <v>590</v>
      </c>
      <c r="Q1606" s="118" t="n">
        <v>0.19</v>
      </c>
      <c r="R1606" s="110" t="n">
        <v>1</v>
      </c>
      <c r="S1606" s="110" t="s">
        <v>632</v>
      </c>
      <c r="T1606" s="110" t="s">
        <v>530</v>
      </c>
      <c r="U1606" s="110" t="s">
        <v>2913</v>
      </c>
      <c r="V1606" s="119" t="n">
        <v>8.99</v>
      </c>
      <c r="W1606" s="119"/>
      <c r="X1606" s="110" t="s">
        <v>2063</v>
      </c>
      <c r="Y1606" s="110" t="s">
        <v>2064</v>
      </c>
      <c r="Z1606" s="110" t="s">
        <v>2777</v>
      </c>
      <c r="AA1606" s="110" t="s">
        <v>537</v>
      </c>
      <c r="AB1606" s="110" t="s">
        <v>244</v>
      </c>
      <c r="AC1606" s="110" t="s">
        <v>538</v>
      </c>
      <c r="AD1606" s="110" t="n">
        <f aca="false">IF(OR(F1606="",Q1606="",R1606=""),"",ROUND(IF(P1606="incl.",F1606/(1+Q1606),F1606)/IF(S1606="per pack",R1606,1),2))</f>
        <v>8.99</v>
      </c>
      <c r="AE1606" s="110" t="str">
        <f aca="false">IF(AND(AC1606="yes",ISNUMBER(F1606),IF(Compare!$H$5="All mapped",TRUE(),IF(Compare!$H$5="EXACT only",J1606="EXACT",OR(J1606="EXACT",J1606="CLOSE")))),"yes","no")</f>
        <v>yes</v>
      </c>
      <c r="AF1606" s="110" t="n">
        <f aca="false">IF(ISNUMBER(H1606),COUNTIFS($B$7:$B$3000,B1606,$C$7:$C$3000,C1606,$H$7:$H$3000,"&lt;"&amp;H1606,$AH$7:$AH$3000,"yes")+COUNTIFS($B$7:B1606,B1606,$C$7:C1606,C1606,$H$7:H1606,H1606,$AH$7:AH1606,"yes"),"")</f>
        <v>3</v>
      </c>
      <c r="AG1606" s="110" t="n">
        <f aca="false">IF(ISNUMBER(I1606),COUNTIFS($B$7:$B$3000,B1606,$C$7:$C$3000,C1606,$I$7:$I$3000,"&lt;"&amp;I1606,$AI$7:$AI$3000,"yes")+COUNTIFS($B$7:B1606,B1606,$C$7:C1606,C1606,$I$7:I1606,I1606,$AI$7:AI1606,"yes"),"")</f>
        <v>3</v>
      </c>
      <c r="AH1606" s="110" t="str">
        <f aca="false">IF(ISNUMBER(H1606),"yes","no")</f>
        <v>yes</v>
      </c>
      <c r="AI1606" s="110" t="str">
        <f aca="false">IF(ISNUMBER(I1606),"yes","no")</f>
        <v>yes</v>
      </c>
      <c r="AJ1606" s="120" t="n">
        <v>46297</v>
      </c>
      <c r="AK1606" s="110"/>
    </row>
    <row r="1607" customFormat="false" ht="23.85" hidden="false" customHeight="false" outlineLevel="0" collapsed="false">
      <c r="B1607" s="36" t="s">
        <v>92</v>
      </c>
      <c r="C1607" s="98" t="s">
        <v>17</v>
      </c>
      <c r="D1607" s="98" t="s">
        <v>338</v>
      </c>
      <c r="E1607" s="110" t="s">
        <v>5034</v>
      </c>
      <c r="F1607" s="99" t="n">
        <v>232</v>
      </c>
      <c r="G1607" s="98" t="s">
        <v>333</v>
      </c>
      <c r="H1607" s="112" t="n">
        <f aca="false">IF(AND(AE1607="yes",ISNUMBER(AD1607)),AD1607,"")</f>
        <v>191.74</v>
      </c>
      <c r="I1607" s="95" t="n">
        <f aca="false">IF(AND(AE1607="yes",ISNUMBER(AD1607),ISNUMBER(INDEX(Sources!$G$7:$G$10,MATCH(AB1607,Sources!$B$7:$B$10,0)))),ROUND(AD1607/INDEX(Sources!$G$7:$G$10,MATCH(AB1607,Sources!$B$7:$B$10,0)),6),"")</f>
        <v>7.850598</v>
      </c>
      <c r="J1607" s="98" t="s">
        <v>530</v>
      </c>
      <c r="K1607" s="98" t="s">
        <v>2059</v>
      </c>
      <c r="L1607" s="96"/>
      <c r="M1607" s="110" t="s">
        <v>5035</v>
      </c>
      <c r="N1607" s="117" t="s">
        <v>5036</v>
      </c>
      <c r="O1607" s="110" t="s">
        <v>388</v>
      </c>
      <c r="P1607" s="110" t="s">
        <v>265</v>
      </c>
      <c r="Q1607" s="118" t="n">
        <v>0.21</v>
      </c>
      <c r="R1607" s="110" t="n">
        <v>1</v>
      </c>
      <c r="S1607" s="110" t="s">
        <v>632</v>
      </c>
      <c r="T1607" s="110" t="s">
        <v>530</v>
      </c>
      <c r="U1607" s="110" t="s">
        <v>2918</v>
      </c>
      <c r="V1607" s="119" t="n">
        <v>191.74</v>
      </c>
      <c r="W1607" s="119"/>
      <c r="X1607" s="110" t="s">
        <v>2063</v>
      </c>
      <c r="Y1607" s="110" t="s">
        <v>2064</v>
      </c>
      <c r="Z1607" s="110" t="s">
        <v>4387</v>
      </c>
      <c r="AA1607" s="110" t="s">
        <v>537</v>
      </c>
      <c r="AB1607" s="110" t="s">
        <v>333</v>
      </c>
      <c r="AC1607" s="110" t="s">
        <v>538</v>
      </c>
      <c r="AD1607" s="110" t="n">
        <f aca="false">IF(OR(F1607="",Q1607="",R1607=""),"",ROUND(IF(P1607="incl.",F1607/(1+Q1607),F1607)/IF(S1607="per pack",R1607,1),2))</f>
        <v>191.74</v>
      </c>
      <c r="AE1607" s="110" t="str">
        <f aca="false">IF(AND(AC1607="yes",ISNUMBER(F1607),IF(Compare!$H$5="All mapped",TRUE(),IF(Compare!$H$5="EXACT only",J1607="EXACT",OR(J1607="EXACT",J1607="CLOSE")))),"yes","no")</f>
        <v>yes</v>
      </c>
      <c r="AF1607" s="110" t="n">
        <f aca="false">IF(ISNUMBER(H1607),COUNTIFS($B$7:$B$3000,B1607,$C$7:$C$3000,C1607,$H$7:$H$3000,"&lt;"&amp;H1607,$AH$7:$AH$3000,"yes")+COUNTIFS($B$7:B1607,B1607,$C$7:C1607,C1607,$H$7:H1607,H1607,$AH$7:AH1607,"yes"),"")</f>
        <v>2</v>
      </c>
      <c r="AG1607" s="110" t="n">
        <f aca="false">IF(ISNUMBER(I1607),COUNTIFS($B$7:$B$3000,B1607,$C$7:$C$3000,C1607,$I$7:$I$3000,"&lt;"&amp;I1607,$AI$7:$AI$3000,"yes")+COUNTIFS($B$7:B1607,B1607,$C$7:C1607,C1607,$I$7:I1607,I1607,$AI$7:AI1607,"yes"),"")</f>
        <v>2</v>
      </c>
      <c r="AH1607" s="110" t="str">
        <f aca="false">IF(ISNUMBER(H1607),"yes","no")</f>
        <v>yes</v>
      </c>
      <c r="AI1607" s="110" t="str">
        <f aca="false">IF(ISNUMBER(I1607),"yes","no")</f>
        <v>yes</v>
      </c>
      <c r="AJ1607" s="120" t="n">
        <v>46297</v>
      </c>
      <c r="AK1607" s="110"/>
    </row>
    <row r="1608" customFormat="false" ht="35.05" hidden="false" customHeight="false" outlineLevel="0" collapsed="false">
      <c r="B1608" s="36" t="s">
        <v>92</v>
      </c>
      <c r="C1608" s="98" t="s">
        <v>17</v>
      </c>
      <c r="D1608" s="98" t="s">
        <v>342</v>
      </c>
      <c r="E1608" s="110" t="s">
        <v>5037</v>
      </c>
      <c r="F1608" s="99" t="n">
        <v>267</v>
      </c>
      <c r="G1608" s="98" t="s">
        <v>333</v>
      </c>
      <c r="H1608" s="112" t="n">
        <f aca="false">IF(AND(AE1608="yes",ISNUMBER(AD1608)),AD1608,"")</f>
        <v>267</v>
      </c>
      <c r="I1608" s="95" t="n">
        <f aca="false">IF(AND(AE1608="yes",ISNUMBER(AD1608),ISNUMBER(INDEX(Sources!$G$7:$G$10,MATCH(AB1608,Sources!$B$7:$B$10,0)))),ROUND(AD1608/INDEX(Sources!$G$7:$G$10,MATCH(AB1608,Sources!$B$7:$B$10,0)),6),"")</f>
        <v>10.932042</v>
      </c>
      <c r="J1608" s="98" t="s">
        <v>530</v>
      </c>
      <c r="K1608" s="98" t="s">
        <v>2059</v>
      </c>
      <c r="L1608" s="96"/>
      <c r="M1608" s="110" t="s">
        <v>5038</v>
      </c>
      <c r="N1608" s="117" t="s">
        <v>5039</v>
      </c>
      <c r="O1608" s="110" t="s">
        <v>388</v>
      </c>
      <c r="P1608" s="110" t="s">
        <v>590</v>
      </c>
      <c r="Q1608" s="118" t="n">
        <v>0.21</v>
      </c>
      <c r="R1608" s="110" t="n">
        <v>1</v>
      </c>
      <c r="S1608" s="110" t="s">
        <v>632</v>
      </c>
      <c r="T1608" s="110" t="s">
        <v>530</v>
      </c>
      <c r="U1608" s="110" t="s">
        <v>2913</v>
      </c>
      <c r="V1608" s="119" t="n">
        <v>267</v>
      </c>
      <c r="W1608" s="119"/>
      <c r="X1608" s="110" t="s">
        <v>2063</v>
      </c>
      <c r="Y1608" s="110" t="s">
        <v>2064</v>
      </c>
      <c r="Z1608" s="110" t="s">
        <v>4391</v>
      </c>
      <c r="AA1608" s="110" t="s">
        <v>537</v>
      </c>
      <c r="AB1608" s="110" t="s">
        <v>333</v>
      </c>
      <c r="AC1608" s="110" t="s">
        <v>538</v>
      </c>
      <c r="AD1608" s="110" t="n">
        <f aca="false">IF(OR(F1608="",Q1608="",R1608=""),"",ROUND(IF(P1608="incl.",F1608/(1+Q1608),F1608)/IF(S1608="per pack",R1608,1),2))</f>
        <v>267</v>
      </c>
      <c r="AE1608" s="110" t="str">
        <f aca="false">IF(AND(AC1608="yes",ISNUMBER(F1608),IF(Compare!$H$5="All mapped",TRUE(),IF(Compare!$H$5="EXACT only",J1608="EXACT",OR(J1608="EXACT",J1608="CLOSE")))),"yes","no")</f>
        <v>yes</v>
      </c>
      <c r="AF1608" s="110" t="n">
        <f aca="false">IF(ISNUMBER(H1608),COUNTIFS($B$7:$B$3000,B1608,$C$7:$C$3000,C1608,$H$7:$H$3000,"&lt;"&amp;H1608,$AH$7:$AH$3000,"yes")+COUNTIFS($B$7:B1608,B1608,$C$7:C1608,C1608,$H$7:H1608,H1608,$AH$7:AH1608,"yes"),"")</f>
        <v>5</v>
      </c>
      <c r="AG1608" s="110" t="n">
        <f aca="false">IF(ISNUMBER(I1608),COUNTIFS($B$7:$B$3000,B1608,$C$7:$C$3000,C1608,$I$7:$I$3000,"&lt;"&amp;I1608,$AI$7:$AI$3000,"yes")+COUNTIFS($B$7:B1608,B1608,$C$7:C1608,C1608,$I$7:I1608,I1608,$AI$7:AI1608,"yes"),"")</f>
        <v>5</v>
      </c>
      <c r="AH1608" s="110" t="str">
        <f aca="false">IF(ISNUMBER(H1608),"yes","no")</f>
        <v>yes</v>
      </c>
      <c r="AI1608" s="110" t="str">
        <f aca="false">IF(ISNUMBER(I1608),"yes","no")</f>
        <v>yes</v>
      </c>
      <c r="AJ1608" s="120" t="n">
        <v>46297</v>
      </c>
      <c r="AK1608" s="110"/>
    </row>
    <row r="1609" customFormat="false" ht="35.05" hidden="false" customHeight="false" outlineLevel="0" collapsed="false">
      <c r="B1609" s="36" t="s">
        <v>92</v>
      </c>
      <c r="C1609" s="98" t="s">
        <v>17</v>
      </c>
      <c r="D1609" s="98" t="s">
        <v>346</v>
      </c>
      <c r="E1609" s="110" t="s">
        <v>5040</v>
      </c>
      <c r="F1609" s="99" t="n">
        <v>223</v>
      </c>
      <c r="G1609" s="98" t="s">
        <v>333</v>
      </c>
      <c r="H1609" s="112" t="n">
        <f aca="false">IF(AND(AE1609="yes",ISNUMBER(AD1609)),AD1609,"")</f>
        <v>223</v>
      </c>
      <c r="I1609" s="95" t="n">
        <f aca="false">IF(AND(AE1609="yes",ISNUMBER(AD1609),ISNUMBER(INDEX(Sources!$G$7:$G$10,MATCH(AB1609,Sources!$B$7:$B$10,0)))),ROUND(AD1609/INDEX(Sources!$G$7:$G$10,MATCH(AB1609,Sources!$B$7:$B$10,0)),6),"")</f>
        <v>9.130507</v>
      </c>
      <c r="J1609" s="98" t="s">
        <v>530</v>
      </c>
      <c r="K1609" s="98" t="s">
        <v>2059</v>
      </c>
      <c r="L1609" s="96"/>
      <c r="M1609" s="110" t="s">
        <v>5041</v>
      </c>
      <c r="N1609" s="117" t="s">
        <v>5042</v>
      </c>
      <c r="O1609" s="110" t="s">
        <v>662</v>
      </c>
      <c r="P1609" s="110" t="s">
        <v>590</v>
      </c>
      <c r="Q1609" s="118" t="n">
        <v>0.21</v>
      </c>
      <c r="R1609" s="110" t="n">
        <v>1</v>
      </c>
      <c r="S1609" s="110" t="s">
        <v>632</v>
      </c>
      <c r="T1609" s="110" t="s">
        <v>530</v>
      </c>
      <c r="U1609" s="110" t="s">
        <v>2913</v>
      </c>
      <c r="V1609" s="119" t="n">
        <v>223</v>
      </c>
      <c r="W1609" s="119"/>
      <c r="X1609" s="110" t="s">
        <v>2063</v>
      </c>
      <c r="Y1609" s="110" t="s">
        <v>2064</v>
      </c>
      <c r="Z1609" s="110" t="s">
        <v>4395</v>
      </c>
      <c r="AA1609" s="110" t="s">
        <v>537</v>
      </c>
      <c r="AB1609" s="110" t="s">
        <v>333</v>
      </c>
      <c r="AC1609" s="110" t="s">
        <v>538</v>
      </c>
      <c r="AD1609" s="110" t="n">
        <f aca="false">IF(OR(F1609="",Q1609="",R1609=""),"",ROUND(IF(P1609="incl.",F1609/(1+Q1609),F1609)/IF(S1609="per pack",R1609,1),2))</f>
        <v>223</v>
      </c>
      <c r="AE1609" s="110" t="str">
        <f aca="false">IF(AND(AC1609="yes",ISNUMBER(F1609),IF(Compare!$H$5="All mapped",TRUE(),IF(Compare!$H$5="EXACT only",J1609="EXACT",OR(J1609="EXACT",J1609="CLOSE")))),"yes","no")</f>
        <v>yes</v>
      </c>
      <c r="AF1609" s="110" t="n">
        <f aca="false">IF(ISNUMBER(H1609),COUNTIFS($B$7:$B$3000,B1609,$C$7:$C$3000,C1609,$H$7:$H$3000,"&lt;"&amp;H1609,$AH$7:$AH$3000,"yes")+COUNTIFS($B$7:B1609,B1609,$C$7:C1609,C1609,$H$7:H1609,H1609,$AH$7:AH1609,"yes"),"")</f>
        <v>4</v>
      </c>
      <c r="AG1609" s="110" t="n">
        <f aca="false">IF(ISNUMBER(I1609),COUNTIFS($B$7:$B$3000,B1609,$C$7:$C$3000,C1609,$I$7:$I$3000,"&lt;"&amp;I1609,$AI$7:$AI$3000,"yes")+COUNTIFS($B$7:B1609,B1609,$C$7:C1609,C1609,$I$7:I1609,I1609,$AI$7:AI1609,"yes"),"")</f>
        <v>4</v>
      </c>
      <c r="AH1609" s="110" t="str">
        <f aca="false">IF(ISNUMBER(H1609),"yes","no")</f>
        <v>yes</v>
      </c>
      <c r="AI1609" s="110" t="str">
        <f aca="false">IF(ISNUMBER(I1609),"yes","no")</f>
        <v>yes</v>
      </c>
      <c r="AJ1609" s="120" t="n">
        <v>46297</v>
      </c>
      <c r="AK1609" s="110"/>
    </row>
    <row r="1610" customFormat="false" ht="23.85" hidden="false" customHeight="false" outlineLevel="0" collapsed="false">
      <c r="B1610" s="36" t="s">
        <v>92</v>
      </c>
      <c r="C1610" s="98" t="s">
        <v>17</v>
      </c>
      <c r="D1610" s="98" t="s">
        <v>350</v>
      </c>
      <c r="E1610" s="110" t="s">
        <v>5043</v>
      </c>
      <c r="F1610" s="99" t="n">
        <v>133</v>
      </c>
      <c r="G1610" s="98" t="s">
        <v>333</v>
      </c>
      <c r="H1610" s="112" t="n">
        <f aca="false">IF(AND(AE1610="yes",ISNUMBER(AD1610)),AD1610,"")</f>
        <v>109.92</v>
      </c>
      <c r="I1610" s="95" t="n">
        <f aca="false">IF(AND(AE1610="yes",ISNUMBER(AD1610),ISNUMBER(INDEX(Sources!$G$7:$G$10,MATCH(AB1610,Sources!$B$7:$B$10,0)))),ROUND(AD1610/INDEX(Sources!$G$7:$G$10,MATCH(AB1610,Sources!$B$7:$B$10,0)),6),"")</f>
        <v>4.500562</v>
      </c>
      <c r="J1610" s="98" t="s">
        <v>530</v>
      </c>
      <c r="K1610" s="98" t="s">
        <v>2059</v>
      </c>
      <c r="L1610" s="96"/>
      <c r="M1610" s="110" t="s">
        <v>5044</v>
      </c>
      <c r="N1610" s="117" t="s">
        <v>5045</v>
      </c>
      <c r="O1610" s="110" t="s">
        <v>2452</v>
      </c>
      <c r="P1610" s="110" t="s">
        <v>265</v>
      </c>
      <c r="Q1610" s="118" t="n">
        <v>0.21</v>
      </c>
      <c r="R1610" s="110" t="n">
        <v>1</v>
      </c>
      <c r="S1610" s="110" t="s">
        <v>632</v>
      </c>
      <c r="T1610" s="110" t="s">
        <v>530</v>
      </c>
      <c r="U1610" s="110" t="s">
        <v>2918</v>
      </c>
      <c r="V1610" s="119" t="n">
        <v>109.92</v>
      </c>
      <c r="W1610" s="119"/>
      <c r="X1610" s="110" t="s">
        <v>2063</v>
      </c>
      <c r="Y1610" s="110" t="s">
        <v>2064</v>
      </c>
      <c r="Z1610" s="110" t="s">
        <v>2344</v>
      </c>
      <c r="AA1610" s="110" t="s">
        <v>537</v>
      </c>
      <c r="AB1610" s="110" t="s">
        <v>333</v>
      </c>
      <c r="AC1610" s="110" t="s">
        <v>538</v>
      </c>
      <c r="AD1610" s="110" t="n">
        <f aca="false">IF(OR(F1610="",Q1610="",R1610=""),"",ROUND(IF(P1610="incl.",F1610/(1+Q1610),F1610)/IF(S1610="per pack",R1610,1),2))</f>
        <v>109.92</v>
      </c>
      <c r="AE1610" s="110" t="str">
        <f aca="false">IF(AND(AC1610="yes",ISNUMBER(F1610),IF(Compare!$H$5="All mapped",TRUE(),IF(Compare!$H$5="EXACT only",J1610="EXACT",OR(J1610="EXACT",J1610="CLOSE")))),"yes","no")</f>
        <v>yes</v>
      </c>
      <c r="AF1610" s="110" t="n">
        <f aca="false">IF(ISNUMBER(H1610),COUNTIFS($B$7:$B$3000,B1610,$C$7:$C$3000,C1610,$H$7:$H$3000,"&lt;"&amp;H1610,$AH$7:$AH$3000,"yes")+COUNTIFS($B$7:B1610,B1610,$C$7:C1610,C1610,$H$7:H1610,H1610,$AH$7:AH1610,"yes"),"")</f>
        <v>1</v>
      </c>
      <c r="AG1610" s="110" t="n">
        <f aca="false">IF(ISNUMBER(I1610),COUNTIFS($B$7:$B$3000,B1610,$C$7:$C$3000,C1610,$I$7:$I$3000,"&lt;"&amp;I1610,$AI$7:$AI$3000,"yes")+COUNTIFS($B$7:B1610,B1610,$C$7:C1610,C1610,$I$7:I1610,I1610,$AI$7:AI1610,"yes"),"")</f>
        <v>1</v>
      </c>
      <c r="AH1610" s="110" t="str">
        <f aca="false">IF(ISNUMBER(H1610),"yes","no")</f>
        <v>yes</v>
      </c>
      <c r="AI1610" s="110" t="str">
        <f aca="false">IF(ISNUMBER(I1610),"yes","no")</f>
        <v>yes</v>
      </c>
      <c r="AJ1610" s="120" t="n">
        <v>46297</v>
      </c>
      <c r="AK1610" s="110"/>
    </row>
    <row r="1611" customFormat="false" ht="35.05" hidden="false" customHeight="false" outlineLevel="0" collapsed="false">
      <c r="B1611" s="36" t="s">
        <v>92</v>
      </c>
      <c r="C1611" s="98" t="s">
        <v>17</v>
      </c>
      <c r="D1611" s="98" t="s">
        <v>361</v>
      </c>
      <c r="E1611" s="110" t="s">
        <v>5046</v>
      </c>
      <c r="F1611" s="99" t="n">
        <v>255</v>
      </c>
      <c r="G1611" s="98" t="s">
        <v>333</v>
      </c>
      <c r="H1611" s="112" t="n">
        <f aca="false">IF(AND(AE1611="yes",ISNUMBER(AD1611)),AD1611,"")</f>
        <v>210.74</v>
      </c>
      <c r="I1611" s="95" t="n">
        <f aca="false">IF(AND(AE1611="yes",ISNUMBER(AD1611),ISNUMBER(INDEX(Sources!$G$7:$G$10,MATCH(AB1611,Sources!$B$7:$B$10,0)))),ROUND(AD1611/INDEX(Sources!$G$7:$G$10,MATCH(AB1611,Sources!$B$7:$B$10,0)),6),"")</f>
        <v>8.628534</v>
      </c>
      <c r="J1611" s="98" t="s">
        <v>530</v>
      </c>
      <c r="K1611" s="98" t="s">
        <v>2059</v>
      </c>
      <c r="L1611" s="96"/>
      <c r="M1611" s="110" t="s">
        <v>5047</v>
      </c>
      <c r="N1611" s="117" t="s">
        <v>5048</v>
      </c>
      <c r="O1611" s="110" t="s">
        <v>642</v>
      </c>
      <c r="P1611" s="110" t="s">
        <v>265</v>
      </c>
      <c r="Q1611" s="118" t="n">
        <v>0.21</v>
      </c>
      <c r="R1611" s="110" t="n">
        <v>1</v>
      </c>
      <c r="S1611" s="110" t="s">
        <v>632</v>
      </c>
      <c r="T1611" s="110" t="s">
        <v>530</v>
      </c>
      <c r="U1611" s="110" t="s">
        <v>2918</v>
      </c>
      <c r="V1611" s="119" t="n">
        <v>210.74</v>
      </c>
      <c r="W1611" s="119"/>
      <c r="X1611" s="110" t="s">
        <v>2063</v>
      </c>
      <c r="Y1611" s="110" t="s">
        <v>2064</v>
      </c>
      <c r="Z1611" s="110" t="s">
        <v>2400</v>
      </c>
      <c r="AA1611" s="110" t="s">
        <v>537</v>
      </c>
      <c r="AB1611" s="110" t="s">
        <v>333</v>
      </c>
      <c r="AC1611" s="110" t="s">
        <v>538</v>
      </c>
      <c r="AD1611" s="110" t="n">
        <f aca="false">IF(OR(F1611="",Q1611="",R1611=""),"",ROUND(IF(P1611="incl.",F1611/(1+Q1611),F1611)/IF(S1611="per pack",R1611,1),2))</f>
        <v>210.74</v>
      </c>
      <c r="AE1611" s="110" t="str">
        <f aca="false">IF(AND(AC1611="yes",ISNUMBER(F1611),IF(Compare!$H$5="All mapped",TRUE(),IF(Compare!$H$5="EXACT only",J1611="EXACT",OR(J1611="EXACT",J1611="CLOSE")))),"yes","no")</f>
        <v>yes</v>
      </c>
      <c r="AF1611" s="110" t="n">
        <f aca="false">IF(ISNUMBER(H1611),COUNTIFS($B$7:$B$3000,B1611,$C$7:$C$3000,C1611,$H$7:$H$3000,"&lt;"&amp;H1611,$AH$7:$AH$3000,"yes")+COUNTIFS($B$7:B1611,B1611,$C$7:C1611,C1611,$H$7:H1611,H1611,$AH$7:AH1611,"yes"),"")</f>
        <v>3</v>
      </c>
      <c r="AG1611" s="110" t="n">
        <f aca="false">IF(ISNUMBER(I1611),COUNTIFS($B$7:$B$3000,B1611,$C$7:$C$3000,C1611,$I$7:$I$3000,"&lt;"&amp;I1611,$AI$7:$AI$3000,"yes")+COUNTIFS($B$7:B1611,B1611,$C$7:C1611,C1611,$I$7:I1611,I1611,$AI$7:AI1611,"yes"),"")</f>
        <v>3</v>
      </c>
      <c r="AH1611" s="110" t="str">
        <f aca="false">IF(ISNUMBER(H1611),"yes","no")</f>
        <v>yes</v>
      </c>
      <c r="AI1611" s="110" t="str">
        <f aca="false">IF(ISNUMBER(I1611),"yes","no")</f>
        <v>yes</v>
      </c>
      <c r="AJ1611" s="120" t="n">
        <v>46297</v>
      </c>
      <c r="AK1611" s="110"/>
    </row>
    <row r="1612" customFormat="false" ht="23.85" hidden="false" customHeight="false" outlineLevel="0" collapsed="false">
      <c r="B1612" s="36" t="s">
        <v>92</v>
      </c>
      <c r="C1612" s="98" t="s">
        <v>18</v>
      </c>
      <c r="D1612" s="98" t="s">
        <v>3002</v>
      </c>
      <c r="E1612" s="110" t="s">
        <v>5049</v>
      </c>
      <c r="F1612" s="99" t="n">
        <v>7.7</v>
      </c>
      <c r="G1612" s="98" t="s">
        <v>244</v>
      </c>
      <c r="H1612" s="112" t="n">
        <f aca="false">IF(AND(AE1612="yes",ISNUMBER(AD1612)),AD1612,"")</f>
        <v>7.7</v>
      </c>
      <c r="I1612" s="95" t="n">
        <f aca="false">IF(AND(AE1612="yes",ISNUMBER(AD1612),ISNUMBER(INDEX(Sources!$G$7:$G$10,MATCH(AB1612,Sources!$B$7:$B$10,0)))),ROUND(AD1612/INDEX(Sources!$G$7:$G$10,MATCH(AB1612,Sources!$B$7:$B$10,0)),6),"")</f>
        <v>7.7</v>
      </c>
      <c r="J1612" s="98" t="s">
        <v>530</v>
      </c>
      <c r="K1612" s="98" t="s">
        <v>2059</v>
      </c>
      <c r="L1612" s="96"/>
      <c r="M1612" s="110" t="s">
        <v>5050</v>
      </c>
      <c r="N1612" s="117" t="s">
        <v>4404</v>
      </c>
      <c r="O1612" s="110" t="s">
        <v>2396</v>
      </c>
      <c r="P1612" s="110" t="s">
        <v>590</v>
      </c>
      <c r="Q1612" s="118" t="n">
        <v>0.23</v>
      </c>
      <c r="R1612" s="110" t="n">
        <v>1</v>
      </c>
      <c r="S1612" s="110" t="s">
        <v>632</v>
      </c>
      <c r="T1612" s="110" t="s">
        <v>530</v>
      </c>
      <c r="U1612" s="110" t="s">
        <v>2913</v>
      </c>
      <c r="V1612" s="119" t="n">
        <v>7.7</v>
      </c>
      <c r="W1612" s="119"/>
      <c r="X1612" s="110" t="s">
        <v>2063</v>
      </c>
      <c r="Y1612" s="110" t="s">
        <v>2064</v>
      </c>
      <c r="Z1612" s="110" t="s">
        <v>3346</v>
      </c>
      <c r="AA1612" s="110" t="s">
        <v>537</v>
      </c>
      <c r="AB1612" s="110" t="s">
        <v>244</v>
      </c>
      <c r="AC1612" s="110" t="s">
        <v>538</v>
      </c>
      <c r="AD1612" s="110" t="n">
        <f aca="false">IF(OR(F1612="",Q1612="",R1612=""),"",ROUND(IF(P1612="incl.",F1612/(1+Q1612),F1612)/IF(S1612="per pack",R1612,1),2))</f>
        <v>7.7</v>
      </c>
      <c r="AE1612" s="110" t="str">
        <f aca="false">IF(AND(AC1612="yes",ISNUMBER(F1612),IF(Compare!$H$5="All mapped",TRUE(),IF(Compare!$H$5="EXACT only",J1612="EXACT",OR(J1612="EXACT",J1612="CLOSE")))),"yes","no")</f>
        <v>yes</v>
      </c>
      <c r="AF1612" s="110" t="n">
        <f aca="false">IF(ISNUMBER(H1612),COUNTIFS($B$7:$B$3000,B1612,$C$7:$C$3000,C1612,$H$7:$H$3000,"&lt;"&amp;H1612,$AH$7:$AH$3000,"yes")+COUNTIFS($B$7:B1612,B1612,$C$7:C1612,C1612,$H$7:H1612,H1612,$AH$7:AH1612,"yes"),"")</f>
        <v>4</v>
      </c>
      <c r="AG1612" s="110" t="n">
        <f aca="false">IF(ISNUMBER(I1612),COUNTIFS($B$7:$B$3000,B1612,$C$7:$C$3000,C1612,$I$7:$I$3000,"&lt;"&amp;I1612,$AI$7:$AI$3000,"yes")+COUNTIFS($B$7:B1612,B1612,$C$7:C1612,C1612,$I$7:I1612,I1612,$AI$7:AI1612,"yes"),"")</f>
        <v>4</v>
      </c>
      <c r="AH1612" s="110" t="str">
        <f aca="false">IF(ISNUMBER(H1612),"yes","no")</f>
        <v>yes</v>
      </c>
      <c r="AI1612" s="110" t="str">
        <f aca="false">IF(ISNUMBER(I1612),"yes","no")</f>
        <v>yes</v>
      </c>
      <c r="AJ1612" s="120" t="n">
        <v>46297</v>
      </c>
      <c r="AK1612" s="110"/>
    </row>
    <row r="1613" customFormat="false" ht="35.05" hidden="false" customHeight="false" outlineLevel="0" collapsed="false">
      <c r="B1613" s="36" t="s">
        <v>92</v>
      </c>
      <c r="C1613" s="98" t="s">
        <v>18</v>
      </c>
      <c r="D1613" s="98" t="s">
        <v>365</v>
      </c>
      <c r="E1613" s="110" t="s">
        <v>5051</v>
      </c>
      <c r="F1613" s="99" t="n">
        <v>6.04</v>
      </c>
      <c r="G1613" s="98" t="s">
        <v>244</v>
      </c>
      <c r="H1613" s="112" t="n">
        <f aca="false">IF(AND(AE1613="yes",ISNUMBER(AD1613)),AD1613,"")</f>
        <v>4.91</v>
      </c>
      <c r="I1613" s="95" t="n">
        <f aca="false">IF(AND(AE1613="yes",ISNUMBER(AD1613),ISNUMBER(INDEX(Sources!$G$7:$G$10,MATCH(AB1613,Sources!$B$7:$B$10,0)))),ROUND(AD1613/INDEX(Sources!$G$7:$G$10,MATCH(AB1613,Sources!$B$7:$B$10,0)),6),"")</f>
        <v>4.91</v>
      </c>
      <c r="J1613" s="98" t="s">
        <v>530</v>
      </c>
      <c r="K1613" s="98" t="s">
        <v>2059</v>
      </c>
      <c r="L1613" s="96"/>
      <c r="M1613" s="110" t="s">
        <v>5052</v>
      </c>
      <c r="N1613" s="117" t="s">
        <v>5053</v>
      </c>
      <c r="O1613" s="110" t="s">
        <v>3076</v>
      </c>
      <c r="P1613" s="110" t="s">
        <v>265</v>
      </c>
      <c r="Q1613" s="118" t="n">
        <v>0.23</v>
      </c>
      <c r="R1613" s="110" t="n">
        <v>1</v>
      </c>
      <c r="S1613" s="110" t="s">
        <v>632</v>
      </c>
      <c r="T1613" s="110" t="s">
        <v>530</v>
      </c>
      <c r="U1613" s="110" t="s">
        <v>2918</v>
      </c>
      <c r="V1613" s="119" t="n">
        <v>4.91</v>
      </c>
      <c r="W1613" s="119"/>
      <c r="X1613" s="110" t="s">
        <v>2063</v>
      </c>
      <c r="Y1613" s="110" t="s">
        <v>2064</v>
      </c>
      <c r="Z1613" s="110" t="s">
        <v>3016</v>
      </c>
      <c r="AA1613" s="110" t="s">
        <v>537</v>
      </c>
      <c r="AB1613" s="110" t="s">
        <v>244</v>
      </c>
      <c r="AC1613" s="110" t="s">
        <v>538</v>
      </c>
      <c r="AD1613" s="110" t="n">
        <f aca="false">IF(OR(F1613="",Q1613="",R1613=""),"",ROUND(IF(P1613="incl.",F1613/(1+Q1613),F1613)/IF(S1613="per pack",R1613,1),2))</f>
        <v>4.91</v>
      </c>
      <c r="AE1613" s="110" t="str">
        <f aca="false">IF(AND(AC1613="yes",ISNUMBER(F1613),IF(Compare!$H$5="All mapped",TRUE(),IF(Compare!$H$5="EXACT only",J1613="EXACT",OR(J1613="EXACT",J1613="CLOSE")))),"yes","no")</f>
        <v>yes</v>
      </c>
      <c r="AF1613" s="110" t="n">
        <f aca="false">IF(ISNUMBER(H1613),COUNTIFS($B$7:$B$3000,B1613,$C$7:$C$3000,C1613,$H$7:$H$3000,"&lt;"&amp;H1613,$AH$7:$AH$3000,"yes")+COUNTIFS($B$7:B1613,B1613,$C$7:C1613,C1613,$H$7:H1613,H1613,$AH$7:AH1613,"yes"),"")</f>
        <v>1</v>
      </c>
      <c r="AG1613" s="110" t="n">
        <f aca="false">IF(ISNUMBER(I1613),COUNTIFS($B$7:$B$3000,B1613,$C$7:$C$3000,C1613,$I$7:$I$3000,"&lt;"&amp;I1613,$AI$7:$AI$3000,"yes")+COUNTIFS($B$7:B1613,B1613,$C$7:C1613,C1613,$I$7:I1613,I1613,$AI$7:AI1613,"yes"),"")</f>
        <v>1</v>
      </c>
      <c r="AH1613" s="110" t="str">
        <f aca="false">IF(ISNUMBER(H1613),"yes","no")</f>
        <v>yes</v>
      </c>
      <c r="AI1613" s="110" t="str">
        <f aca="false">IF(ISNUMBER(I1613),"yes","no")</f>
        <v>yes</v>
      </c>
      <c r="AJ1613" s="120" t="n">
        <v>46297</v>
      </c>
      <c r="AK1613" s="110"/>
    </row>
    <row r="1614" customFormat="false" ht="35.05" hidden="false" customHeight="false" outlineLevel="0" collapsed="false">
      <c r="B1614" s="36" t="s">
        <v>92</v>
      </c>
      <c r="C1614" s="98" t="s">
        <v>18</v>
      </c>
      <c r="D1614" s="98" t="s">
        <v>369</v>
      </c>
      <c r="E1614" s="110" t="s">
        <v>5054</v>
      </c>
      <c r="F1614" s="99" t="n">
        <v>11.54</v>
      </c>
      <c r="G1614" s="98" t="s">
        <v>244</v>
      </c>
      <c r="H1614" s="112" t="n">
        <f aca="false">IF(AND(AE1614="yes",ISNUMBER(AD1614)),AD1614,"")</f>
        <v>9.38</v>
      </c>
      <c r="I1614" s="95" t="n">
        <f aca="false">IF(AND(AE1614="yes",ISNUMBER(AD1614),ISNUMBER(INDEX(Sources!$G$7:$G$10,MATCH(AB1614,Sources!$B$7:$B$10,0)))),ROUND(AD1614/INDEX(Sources!$G$7:$G$10,MATCH(AB1614,Sources!$B$7:$B$10,0)),6),"")</f>
        <v>9.38</v>
      </c>
      <c r="J1614" s="98" t="s">
        <v>530</v>
      </c>
      <c r="K1614" s="98" t="s">
        <v>2059</v>
      </c>
      <c r="L1614" s="96"/>
      <c r="M1614" s="110" t="s">
        <v>5055</v>
      </c>
      <c r="N1614" s="117" t="s">
        <v>5056</v>
      </c>
      <c r="O1614" s="110" t="s">
        <v>783</v>
      </c>
      <c r="P1614" s="110" t="s">
        <v>265</v>
      </c>
      <c r="Q1614" s="118" t="n">
        <v>0.23</v>
      </c>
      <c r="R1614" s="110" t="n">
        <v>1</v>
      </c>
      <c r="S1614" s="110" t="s">
        <v>632</v>
      </c>
      <c r="T1614" s="110" t="s">
        <v>530</v>
      </c>
      <c r="U1614" s="110" t="s">
        <v>2918</v>
      </c>
      <c r="V1614" s="119" t="n">
        <v>9.38</v>
      </c>
      <c r="W1614" s="119"/>
      <c r="X1614" s="110" t="s">
        <v>2063</v>
      </c>
      <c r="Y1614" s="110" t="s">
        <v>2064</v>
      </c>
      <c r="Z1614" s="110" t="s">
        <v>4300</v>
      </c>
      <c r="AA1614" s="110" t="s">
        <v>537</v>
      </c>
      <c r="AB1614" s="110" t="s">
        <v>244</v>
      </c>
      <c r="AC1614" s="110" t="s">
        <v>538</v>
      </c>
      <c r="AD1614" s="110" t="n">
        <f aca="false">IF(OR(F1614="",Q1614="",R1614=""),"",ROUND(IF(P1614="incl.",F1614/(1+Q1614),F1614)/IF(S1614="per pack",R1614,1),2))</f>
        <v>9.38</v>
      </c>
      <c r="AE1614" s="110" t="str">
        <f aca="false">IF(AND(AC1614="yes",ISNUMBER(F1614),IF(Compare!$H$5="All mapped",TRUE(),IF(Compare!$H$5="EXACT only",J1614="EXACT",OR(J1614="EXACT",J1614="CLOSE")))),"yes","no")</f>
        <v>yes</v>
      </c>
      <c r="AF1614" s="110" t="n">
        <f aca="false">IF(ISNUMBER(H1614),COUNTIFS($B$7:$B$3000,B1614,$C$7:$C$3000,C1614,$H$7:$H$3000,"&lt;"&amp;H1614,$AH$7:$AH$3000,"yes")+COUNTIFS($B$7:B1614,B1614,$C$7:C1614,C1614,$H$7:H1614,H1614,$AH$7:AH1614,"yes"),"")</f>
        <v>5</v>
      </c>
      <c r="AG1614" s="110" t="n">
        <f aca="false">IF(ISNUMBER(I1614),COUNTIFS($B$7:$B$3000,B1614,$C$7:$C$3000,C1614,$I$7:$I$3000,"&lt;"&amp;I1614,$AI$7:$AI$3000,"yes")+COUNTIFS($B$7:B1614,B1614,$C$7:C1614,C1614,$I$7:I1614,I1614,$AI$7:AI1614,"yes"),"")</f>
        <v>5</v>
      </c>
      <c r="AH1614" s="110" t="str">
        <f aca="false">IF(ISNUMBER(H1614),"yes","no")</f>
        <v>yes</v>
      </c>
      <c r="AI1614" s="110" t="str">
        <f aca="false">IF(ISNUMBER(I1614),"yes","no")</f>
        <v>yes</v>
      </c>
      <c r="AJ1614" s="120" t="n">
        <v>46297</v>
      </c>
      <c r="AK1614" s="110"/>
    </row>
    <row r="1615" customFormat="false" ht="23.85" hidden="false" customHeight="false" outlineLevel="0" collapsed="false">
      <c r="B1615" s="36" t="s">
        <v>92</v>
      </c>
      <c r="C1615" s="98" t="s">
        <v>18</v>
      </c>
      <c r="D1615" s="98" t="s">
        <v>4579</v>
      </c>
      <c r="E1615" s="110" t="s">
        <v>5057</v>
      </c>
      <c r="F1615" s="99" t="n">
        <v>9.22</v>
      </c>
      <c r="G1615" s="98" t="s">
        <v>244</v>
      </c>
      <c r="H1615" s="112" t="n">
        <f aca="false">IF(AND(AE1615="yes",ISNUMBER(AD1615)),AD1615,"")</f>
        <v>7.5</v>
      </c>
      <c r="I1615" s="95" t="n">
        <f aca="false">IF(AND(AE1615="yes",ISNUMBER(AD1615),ISNUMBER(INDEX(Sources!$G$7:$G$10,MATCH(AB1615,Sources!$B$7:$B$10,0)))),ROUND(AD1615/INDEX(Sources!$G$7:$G$10,MATCH(AB1615,Sources!$B$7:$B$10,0)),6),"")</f>
        <v>7.5</v>
      </c>
      <c r="J1615" s="98" t="s">
        <v>530</v>
      </c>
      <c r="K1615" s="98" t="s">
        <v>2059</v>
      </c>
      <c r="L1615" s="96"/>
      <c r="M1615" s="110" t="s">
        <v>5058</v>
      </c>
      <c r="N1615" s="117" t="s">
        <v>4582</v>
      </c>
      <c r="O1615" s="110" t="s">
        <v>246</v>
      </c>
      <c r="P1615" s="110" t="s">
        <v>265</v>
      </c>
      <c r="Q1615" s="118" t="n">
        <v>0.23</v>
      </c>
      <c r="R1615" s="110" t="n">
        <v>1</v>
      </c>
      <c r="S1615" s="110" t="s">
        <v>632</v>
      </c>
      <c r="T1615" s="110" t="s">
        <v>530</v>
      </c>
      <c r="U1615" s="110" t="s">
        <v>2918</v>
      </c>
      <c r="V1615" s="119" t="n">
        <v>7.5</v>
      </c>
      <c r="W1615" s="119"/>
      <c r="X1615" s="110" t="s">
        <v>2063</v>
      </c>
      <c r="Y1615" s="110" t="s">
        <v>2064</v>
      </c>
      <c r="Z1615" s="110" t="s">
        <v>4826</v>
      </c>
      <c r="AA1615" s="110" t="s">
        <v>537</v>
      </c>
      <c r="AB1615" s="110" t="s">
        <v>244</v>
      </c>
      <c r="AC1615" s="110" t="s">
        <v>538</v>
      </c>
      <c r="AD1615" s="110" t="n">
        <f aca="false">IF(OR(F1615="",Q1615="",R1615=""),"",ROUND(IF(P1615="incl.",F1615/(1+Q1615),F1615)/IF(S1615="per pack",R1615,1),2))</f>
        <v>7.5</v>
      </c>
      <c r="AE1615" s="110" t="str">
        <f aca="false">IF(AND(AC1615="yes",ISNUMBER(F1615),IF(Compare!$H$5="All mapped",TRUE(),IF(Compare!$H$5="EXACT only",J1615="EXACT",OR(J1615="EXACT",J1615="CLOSE")))),"yes","no")</f>
        <v>yes</v>
      </c>
      <c r="AF1615" s="110" t="n">
        <f aca="false">IF(ISNUMBER(H1615),COUNTIFS($B$7:$B$3000,B1615,$C$7:$C$3000,C1615,$H$7:$H$3000,"&lt;"&amp;H1615,$AH$7:$AH$3000,"yes")+COUNTIFS($B$7:B1615,B1615,$C$7:C1615,C1615,$H$7:H1615,H1615,$AH$7:AH1615,"yes"),"")</f>
        <v>3</v>
      </c>
      <c r="AG1615" s="110" t="n">
        <f aca="false">IF(ISNUMBER(I1615),COUNTIFS($B$7:$B$3000,B1615,$C$7:$C$3000,C1615,$I$7:$I$3000,"&lt;"&amp;I1615,$AI$7:$AI$3000,"yes")+COUNTIFS($B$7:B1615,B1615,$C$7:C1615,C1615,$I$7:I1615,I1615,$AI$7:AI1615,"yes"),"")</f>
        <v>3</v>
      </c>
      <c r="AH1615" s="110" t="str">
        <f aca="false">IF(ISNUMBER(H1615),"yes","no")</f>
        <v>yes</v>
      </c>
      <c r="AI1615" s="110" t="str">
        <f aca="false">IF(ISNUMBER(I1615),"yes","no")</f>
        <v>yes</v>
      </c>
      <c r="AJ1615" s="120" t="n">
        <v>46297</v>
      </c>
      <c r="AK1615" s="110"/>
    </row>
    <row r="1616" customFormat="false" ht="23.85" hidden="false" customHeight="false" outlineLevel="0" collapsed="false">
      <c r="B1616" s="36" t="s">
        <v>92</v>
      </c>
      <c r="C1616" s="98" t="s">
        <v>18</v>
      </c>
      <c r="D1616" s="98" t="s">
        <v>3021</v>
      </c>
      <c r="E1616" s="110" t="s">
        <v>5059</v>
      </c>
      <c r="F1616" s="99" t="n">
        <v>5.12</v>
      </c>
      <c r="G1616" s="98" t="s">
        <v>244</v>
      </c>
      <c r="H1616" s="112" t="n">
        <f aca="false">IF(AND(AE1616="yes",ISNUMBER(AD1616)),AD1616,"")</f>
        <v>5.12</v>
      </c>
      <c r="I1616" s="95" t="n">
        <f aca="false">IF(AND(AE1616="yes",ISNUMBER(AD1616),ISNUMBER(INDEX(Sources!$G$7:$G$10,MATCH(AB1616,Sources!$B$7:$B$10,0)))),ROUND(AD1616/INDEX(Sources!$G$7:$G$10,MATCH(AB1616,Sources!$B$7:$B$10,0)),6),"")</f>
        <v>5.12</v>
      </c>
      <c r="J1616" s="98" t="s">
        <v>530</v>
      </c>
      <c r="K1616" s="98" t="s">
        <v>2059</v>
      </c>
      <c r="L1616" s="96"/>
      <c r="M1616" s="110" t="s">
        <v>5060</v>
      </c>
      <c r="N1616" s="117" t="s">
        <v>4416</v>
      </c>
      <c r="O1616" s="110" t="s">
        <v>3024</v>
      </c>
      <c r="P1616" s="110" t="s">
        <v>590</v>
      </c>
      <c r="Q1616" s="118" t="n">
        <v>0.23</v>
      </c>
      <c r="R1616" s="110" t="n">
        <v>1</v>
      </c>
      <c r="S1616" s="110" t="s">
        <v>632</v>
      </c>
      <c r="T1616" s="110" t="s">
        <v>530</v>
      </c>
      <c r="U1616" s="110" t="s">
        <v>2913</v>
      </c>
      <c r="V1616" s="119" t="n">
        <v>5.12</v>
      </c>
      <c r="W1616" s="119"/>
      <c r="X1616" s="110" t="s">
        <v>2063</v>
      </c>
      <c r="Y1616" s="110" t="s">
        <v>2064</v>
      </c>
      <c r="Z1616" s="110" t="s">
        <v>3025</v>
      </c>
      <c r="AA1616" s="110" t="s">
        <v>537</v>
      </c>
      <c r="AB1616" s="110" t="s">
        <v>244</v>
      </c>
      <c r="AC1616" s="110" t="s">
        <v>538</v>
      </c>
      <c r="AD1616" s="110" t="n">
        <f aca="false">IF(OR(F1616="",Q1616="",R1616=""),"",ROUND(IF(P1616="incl.",F1616/(1+Q1616),F1616)/IF(S1616="per pack",R1616,1),2))</f>
        <v>5.12</v>
      </c>
      <c r="AE1616" s="110" t="str">
        <f aca="false">IF(AND(AC1616="yes",ISNUMBER(F1616),IF(Compare!$H$5="All mapped",TRUE(),IF(Compare!$H$5="EXACT only",J1616="EXACT",OR(J1616="EXACT",J1616="CLOSE")))),"yes","no")</f>
        <v>yes</v>
      </c>
      <c r="AF1616" s="110" t="n">
        <f aca="false">IF(ISNUMBER(H1616),COUNTIFS($B$7:$B$3000,B1616,$C$7:$C$3000,C1616,$H$7:$H$3000,"&lt;"&amp;H1616,$AH$7:$AH$3000,"yes")+COUNTIFS($B$7:B1616,B1616,$C$7:C1616,C1616,$H$7:H1616,H1616,$AH$7:AH1616,"yes"),"")</f>
        <v>2</v>
      </c>
      <c r="AG1616" s="110" t="n">
        <f aca="false">IF(ISNUMBER(I1616),COUNTIFS($B$7:$B$3000,B1616,$C$7:$C$3000,C1616,$I$7:$I$3000,"&lt;"&amp;I1616,$AI$7:$AI$3000,"yes")+COUNTIFS($B$7:B1616,B1616,$C$7:C1616,C1616,$I$7:I1616,I1616,$AI$7:AI1616,"yes"),"")</f>
        <v>2</v>
      </c>
      <c r="AH1616" s="110" t="str">
        <f aca="false">IF(ISNUMBER(H1616),"yes","no")</f>
        <v>yes</v>
      </c>
      <c r="AI1616" s="110" t="str">
        <f aca="false">IF(ISNUMBER(I1616),"yes","no")</f>
        <v>yes</v>
      </c>
      <c r="AJ1616" s="120" t="n">
        <v>46297</v>
      </c>
      <c r="AK1616" s="110"/>
    </row>
    <row r="1617" customFormat="false" ht="23.85" hidden="false" customHeight="false" outlineLevel="0" collapsed="false">
      <c r="B1617" s="36" t="s">
        <v>93</v>
      </c>
      <c r="C1617" s="98" t="s">
        <v>14</v>
      </c>
      <c r="D1617" s="98" t="s">
        <v>373</v>
      </c>
      <c r="E1617" s="110" t="s">
        <v>5061</v>
      </c>
      <c r="F1617" s="99" t="n">
        <v>10.59</v>
      </c>
      <c r="G1617" s="98" t="s">
        <v>374</v>
      </c>
      <c r="H1617" s="112" t="n">
        <f aca="false">IF(AND(AE1617="yes",ISNUMBER(AD1617)),AD1617,"")</f>
        <v>10.59</v>
      </c>
      <c r="I1617" s="95" t="n">
        <f aca="false">IF(AND(AE1617="yes",ISNUMBER(AD1617),ISNUMBER(INDEX(Sources!$G$7:$G$10,MATCH(AB1617,Sources!$B$7:$B$10,0)))),ROUND(AD1617/INDEX(Sources!$G$7:$G$10,MATCH(AB1617,Sources!$B$7:$B$10,0)),6),"")</f>
        <v>2.006578</v>
      </c>
      <c r="J1617" s="98" t="s">
        <v>530</v>
      </c>
      <c r="K1617" s="98" t="s">
        <v>2059</v>
      </c>
      <c r="L1617" s="96"/>
      <c r="M1617" s="110" t="s">
        <v>5062</v>
      </c>
      <c r="N1617" s="117" t="s">
        <v>5063</v>
      </c>
      <c r="O1617" s="110" t="s">
        <v>4321</v>
      </c>
      <c r="P1617" s="110" t="s">
        <v>590</v>
      </c>
      <c r="Q1617" s="118" t="n">
        <v>0.21</v>
      </c>
      <c r="R1617" s="110" t="n">
        <v>1</v>
      </c>
      <c r="S1617" s="110" t="s">
        <v>632</v>
      </c>
      <c r="T1617" s="110" t="s">
        <v>530</v>
      </c>
      <c r="U1617" s="110" t="s">
        <v>2913</v>
      </c>
      <c r="V1617" s="119" t="n">
        <v>10.59</v>
      </c>
      <c r="W1617" s="119"/>
      <c r="X1617" s="110" t="s">
        <v>2063</v>
      </c>
      <c r="Y1617" s="110" t="s">
        <v>2064</v>
      </c>
      <c r="Z1617" s="110"/>
      <c r="AA1617" s="110" t="s">
        <v>537</v>
      </c>
      <c r="AB1617" s="110" t="s">
        <v>374</v>
      </c>
      <c r="AC1617" s="110" t="s">
        <v>538</v>
      </c>
      <c r="AD1617" s="110" t="n">
        <f aca="false">IF(OR(F1617="",Q1617="",R1617=""),"",ROUND(IF(P1617="incl.",F1617/(1+Q1617),F1617)/IF(S1617="per pack",R1617,1),2))</f>
        <v>10.59</v>
      </c>
      <c r="AE1617" s="110" t="str">
        <f aca="false">IF(AND(AC1617="yes",ISNUMBER(F1617),IF(Compare!$H$5="All mapped",TRUE(),IF(Compare!$H$5="EXACT only",J1617="EXACT",OR(J1617="EXACT",J1617="CLOSE")))),"yes","no")</f>
        <v>yes</v>
      </c>
      <c r="AF1617" s="110" t="n">
        <f aca="false">IF(ISNUMBER(H1617),COUNTIFS($B$7:$B$3000,B1617,$C$7:$C$3000,C1617,$H$7:$H$3000,"&lt;"&amp;H1617,$AH$7:$AH$3000,"yes")+COUNTIFS($B$7:B1617,B1617,$C$7:C1617,C1617,$H$7:H1617,H1617,$AH$7:AH1617,"yes"),"")</f>
        <v>1</v>
      </c>
      <c r="AG1617" s="110" t="n">
        <f aca="false">IF(ISNUMBER(I1617),COUNTIFS($B$7:$B$3000,B1617,$C$7:$C$3000,C1617,$I$7:$I$3000,"&lt;"&amp;I1617,$AI$7:$AI$3000,"yes")+COUNTIFS($B$7:B1617,B1617,$C$7:C1617,C1617,$I$7:I1617,I1617,$AI$7:AI1617,"yes"),"")</f>
        <v>1</v>
      </c>
      <c r="AH1617" s="110" t="str">
        <f aca="false">IF(ISNUMBER(H1617),"yes","no")</f>
        <v>yes</v>
      </c>
      <c r="AI1617" s="110" t="str">
        <f aca="false">IF(ISNUMBER(I1617),"yes","no")</f>
        <v>yes</v>
      </c>
      <c r="AJ1617" s="120" t="n">
        <v>46297</v>
      </c>
      <c r="AK1617" s="110"/>
    </row>
    <row r="1618" customFormat="false" ht="35.05" hidden="false" customHeight="false" outlineLevel="0" collapsed="false">
      <c r="B1618" s="36" t="s">
        <v>93</v>
      </c>
      <c r="C1618" s="98" t="s">
        <v>14</v>
      </c>
      <c r="D1618" s="98" t="s">
        <v>346</v>
      </c>
      <c r="E1618" s="110" t="s">
        <v>5064</v>
      </c>
      <c r="F1618" s="99" t="n">
        <v>33.32</v>
      </c>
      <c r="G1618" s="98" t="s">
        <v>374</v>
      </c>
      <c r="H1618" s="112" t="n">
        <f aca="false">IF(AND(AE1618="yes",ISNUMBER(AD1618)),AD1618,"")</f>
        <v>27.54</v>
      </c>
      <c r="I1618" s="95" t="n">
        <f aca="false">IF(AND(AE1618="yes",ISNUMBER(AD1618),ISNUMBER(INDEX(Sources!$G$7:$G$10,MATCH(AB1618,Sources!$B$7:$B$10,0)))),ROUND(AD1618/INDEX(Sources!$G$7:$G$10,MATCH(AB1618,Sources!$B$7:$B$10,0)),6),"")</f>
        <v>5.21824</v>
      </c>
      <c r="J1618" s="98" t="s">
        <v>530</v>
      </c>
      <c r="K1618" s="98" t="s">
        <v>2059</v>
      </c>
      <c r="L1618" s="96"/>
      <c r="M1618" s="110" t="s">
        <v>5065</v>
      </c>
      <c r="N1618" s="117" t="s">
        <v>5066</v>
      </c>
      <c r="O1618" s="110" t="s">
        <v>783</v>
      </c>
      <c r="P1618" s="110" t="s">
        <v>265</v>
      </c>
      <c r="Q1618" s="118" t="n">
        <v>0.21</v>
      </c>
      <c r="R1618" s="110" t="n">
        <v>1</v>
      </c>
      <c r="S1618" s="110" t="s">
        <v>632</v>
      </c>
      <c r="T1618" s="110" t="s">
        <v>530</v>
      </c>
      <c r="U1618" s="110" t="s">
        <v>2918</v>
      </c>
      <c r="V1618" s="119" t="n">
        <v>27.54</v>
      </c>
      <c r="W1618" s="119"/>
      <c r="X1618" s="110" t="s">
        <v>2063</v>
      </c>
      <c r="Y1618" s="110" t="s">
        <v>2064</v>
      </c>
      <c r="Z1618" s="110"/>
      <c r="AA1618" s="110" t="s">
        <v>537</v>
      </c>
      <c r="AB1618" s="110" t="s">
        <v>374</v>
      </c>
      <c r="AC1618" s="110" t="s">
        <v>538</v>
      </c>
      <c r="AD1618" s="110" t="n">
        <f aca="false">IF(OR(F1618="",Q1618="",R1618=""),"",ROUND(IF(P1618="incl.",F1618/(1+Q1618),F1618)/IF(S1618="per pack",R1618,1),2))</f>
        <v>27.54</v>
      </c>
      <c r="AE1618" s="110" t="str">
        <f aca="false">IF(AND(AC1618="yes",ISNUMBER(F1618),IF(Compare!$H$5="All mapped",TRUE(),IF(Compare!$H$5="EXACT only",J1618="EXACT",OR(J1618="EXACT",J1618="CLOSE")))),"yes","no")</f>
        <v>yes</v>
      </c>
      <c r="AF1618" s="110" t="n">
        <f aca="false">IF(ISNUMBER(H1618),COUNTIFS($B$7:$B$3000,B1618,$C$7:$C$3000,C1618,$H$7:$H$3000,"&lt;"&amp;H1618,$AH$7:$AH$3000,"yes")+COUNTIFS($B$7:B1618,B1618,$C$7:C1618,C1618,$H$7:H1618,H1618,$AH$7:AH1618,"yes"),"")</f>
        <v>5</v>
      </c>
      <c r="AG1618" s="110" t="n">
        <f aca="false">IF(ISNUMBER(I1618),COUNTIFS($B$7:$B$3000,B1618,$C$7:$C$3000,C1618,$I$7:$I$3000,"&lt;"&amp;I1618,$AI$7:$AI$3000,"yes")+COUNTIFS($B$7:B1618,B1618,$C$7:C1618,C1618,$I$7:I1618,I1618,$AI$7:AI1618,"yes"),"")</f>
        <v>5</v>
      </c>
      <c r="AH1618" s="110" t="str">
        <f aca="false">IF(ISNUMBER(H1618),"yes","no")</f>
        <v>yes</v>
      </c>
      <c r="AI1618" s="110" t="str">
        <f aca="false">IF(ISNUMBER(I1618),"yes","no")</f>
        <v>yes</v>
      </c>
      <c r="AJ1618" s="120" t="n">
        <v>46297</v>
      </c>
      <c r="AK1618" s="110"/>
    </row>
    <row r="1619" customFormat="false" ht="23.85" hidden="false" customHeight="false" outlineLevel="0" collapsed="false">
      <c r="B1619" s="36" t="s">
        <v>93</v>
      </c>
      <c r="C1619" s="98" t="s">
        <v>14</v>
      </c>
      <c r="D1619" s="98" t="s">
        <v>403</v>
      </c>
      <c r="E1619" s="110" t="s">
        <v>5067</v>
      </c>
      <c r="F1619" s="99" t="n">
        <v>17.73</v>
      </c>
      <c r="G1619" s="98" t="s">
        <v>374</v>
      </c>
      <c r="H1619" s="112" t="n">
        <f aca="false">IF(AND(AE1619="yes",ISNUMBER(AD1619)),AD1619,"")</f>
        <v>17.73</v>
      </c>
      <c r="I1619" s="95" t="n">
        <f aca="false">IF(AND(AE1619="yes",ISNUMBER(AD1619),ISNUMBER(INDEX(Sources!$G$7:$G$10,MATCH(AB1619,Sources!$B$7:$B$10,0)))),ROUND(AD1619/INDEX(Sources!$G$7:$G$10,MATCH(AB1619,Sources!$B$7:$B$10,0)),6),"")</f>
        <v>3.359455</v>
      </c>
      <c r="J1619" s="98" t="s">
        <v>530</v>
      </c>
      <c r="K1619" s="98" t="s">
        <v>2059</v>
      </c>
      <c r="L1619" s="96"/>
      <c r="M1619" s="110" t="s">
        <v>5068</v>
      </c>
      <c r="N1619" s="117" t="s">
        <v>5069</v>
      </c>
      <c r="O1619" s="110" t="s">
        <v>662</v>
      </c>
      <c r="P1619" s="110" t="s">
        <v>590</v>
      </c>
      <c r="Q1619" s="118" t="n">
        <v>0.21</v>
      </c>
      <c r="R1619" s="110" t="n">
        <v>1</v>
      </c>
      <c r="S1619" s="110" t="s">
        <v>632</v>
      </c>
      <c r="T1619" s="110" t="s">
        <v>530</v>
      </c>
      <c r="U1619" s="110" t="s">
        <v>2913</v>
      </c>
      <c r="V1619" s="119" t="n">
        <v>17.73</v>
      </c>
      <c r="W1619" s="119"/>
      <c r="X1619" s="110" t="s">
        <v>2063</v>
      </c>
      <c r="Y1619" s="110" t="s">
        <v>2064</v>
      </c>
      <c r="Z1619" s="110"/>
      <c r="AA1619" s="110" t="s">
        <v>537</v>
      </c>
      <c r="AB1619" s="110" t="s">
        <v>374</v>
      </c>
      <c r="AC1619" s="110" t="s">
        <v>538</v>
      </c>
      <c r="AD1619" s="110" t="n">
        <f aca="false">IF(OR(F1619="",Q1619="",R1619=""),"",ROUND(IF(P1619="incl.",F1619/(1+Q1619),F1619)/IF(S1619="per pack",R1619,1),2))</f>
        <v>17.73</v>
      </c>
      <c r="AE1619" s="110" t="str">
        <f aca="false">IF(AND(AC1619="yes",ISNUMBER(F1619),IF(Compare!$H$5="All mapped",TRUE(),IF(Compare!$H$5="EXACT only",J1619="EXACT",OR(J1619="EXACT",J1619="CLOSE")))),"yes","no")</f>
        <v>yes</v>
      </c>
      <c r="AF1619" s="110" t="n">
        <f aca="false">IF(ISNUMBER(H1619),COUNTIFS($B$7:$B$3000,B1619,$C$7:$C$3000,C1619,$H$7:$H$3000,"&lt;"&amp;H1619,$AH$7:$AH$3000,"yes")+COUNTIFS($B$7:B1619,B1619,$C$7:C1619,C1619,$H$7:H1619,H1619,$AH$7:AH1619,"yes"),"")</f>
        <v>2</v>
      </c>
      <c r="AG1619" s="110" t="n">
        <f aca="false">IF(ISNUMBER(I1619),COUNTIFS($B$7:$B$3000,B1619,$C$7:$C$3000,C1619,$I$7:$I$3000,"&lt;"&amp;I1619,$AI$7:$AI$3000,"yes")+COUNTIFS($B$7:B1619,B1619,$C$7:C1619,C1619,$I$7:I1619,I1619,$AI$7:AI1619,"yes"),"")</f>
        <v>2</v>
      </c>
      <c r="AH1619" s="110" t="str">
        <f aca="false">IF(ISNUMBER(H1619),"yes","no")</f>
        <v>yes</v>
      </c>
      <c r="AI1619" s="110" t="str">
        <f aca="false">IF(ISNUMBER(I1619),"yes","no")</f>
        <v>yes</v>
      </c>
      <c r="AJ1619" s="120" t="n">
        <v>46297</v>
      </c>
      <c r="AK1619" s="110"/>
    </row>
    <row r="1620" customFormat="false" ht="23.85" hidden="false" customHeight="false" outlineLevel="0" collapsed="false">
      <c r="B1620" s="36" t="s">
        <v>93</v>
      </c>
      <c r="C1620" s="98" t="s">
        <v>14</v>
      </c>
      <c r="D1620" s="98" t="s">
        <v>403</v>
      </c>
      <c r="E1620" s="110" t="s">
        <v>5070</v>
      </c>
      <c r="F1620" s="99" t="n">
        <v>18.5</v>
      </c>
      <c r="G1620" s="98" t="s">
        <v>374</v>
      </c>
      <c r="H1620" s="112" t="n">
        <f aca="false">IF(AND(AE1620="yes",ISNUMBER(AD1620)),AD1620,"")</f>
        <v>18.5</v>
      </c>
      <c r="I1620" s="95" t="n">
        <f aca="false">IF(AND(AE1620="yes",ISNUMBER(AD1620),ISNUMBER(INDEX(Sources!$G$7:$G$10,MATCH(AB1620,Sources!$B$7:$B$10,0)))),ROUND(AD1620/INDEX(Sources!$G$7:$G$10,MATCH(AB1620,Sources!$B$7:$B$10,0)),6),"")</f>
        <v>3.505354</v>
      </c>
      <c r="J1620" s="98" t="s">
        <v>530</v>
      </c>
      <c r="K1620" s="98" t="s">
        <v>2059</v>
      </c>
      <c r="L1620" s="96"/>
      <c r="M1620" s="110" t="s">
        <v>5071</v>
      </c>
      <c r="N1620" s="117" t="s">
        <v>5072</v>
      </c>
      <c r="O1620" s="110" t="s">
        <v>388</v>
      </c>
      <c r="P1620" s="110" t="s">
        <v>590</v>
      </c>
      <c r="Q1620" s="118" t="n">
        <v>0.21</v>
      </c>
      <c r="R1620" s="110" t="n">
        <v>1</v>
      </c>
      <c r="S1620" s="110" t="s">
        <v>632</v>
      </c>
      <c r="T1620" s="110" t="s">
        <v>530</v>
      </c>
      <c r="U1620" s="110" t="s">
        <v>2913</v>
      </c>
      <c r="V1620" s="119" t="n">
        <v>18.5</v>
      </c>
      <c r="W1620" s="119"/>
      <c r="X1620" s="110" t="s">
        <v>2063</v>
      </c>
      <c r="Y1620" s="110" t="s">
        <v>2064</v>
      </c>
      <c r="Z1620" s="110"/>
      <c r="AA1620" s="110" t="s">
        <v>537</v>
      </c>
      <c r="AB1620" s="110" t="s">
        <v>374</v>
      </c>
      <c r="AC1620" s="110" t="s">
        <v>538</v>
      </c>
      <c r="AD1620" s="110" t="n">
        <f aca="false">IF(OR(F1620="",Q1620="",R1620=""),"",ROUND(IF(P1620="incl.",F1620/(1+Q1620),F1620)/IF(S1620="per pack",R1620,1),2))</f>
        <v>18.5</v>
      </c>
      <c r="AE1620" s="110" t="str">
        <f aca="false">IF(AND(AC1620="yes",ISNUMBER(F1620),IF(Compare!$H$5="All mapped",TRUE(),IF(Compare!$H$5="EXACT only",J1620="EXACT",OR(J1620="EXACT",J1620="CLOSE")))),"yes","no")</f>
        <v>yes</v>
      </c>
      <c r="AF1620" s="110" t="n">
        <f aca="false">IF(ISNUMBER(H1620),COUNTIFS($B$7:$B$3000,B1620,$C$7:$C$3000,C1620,$H$7:$H$3000,"&lt;"&amp;H1620,$AH$7:$AH$3000,"yes")+COUNTIFS($B$7:B1620,B1620,$C$7:C1620,C1620,$H$7:H1620,H1620,$AH$7:AH1620,"yes"),"")</f>
        <v>3</v>
      </c>
      <c r="AG1620" s="110" t="n">
        <f aca="false">IF(ISNUMBER(I1620),COUNTIFS($B$7:$B$3000,B1620,$C$7:$C$3000,C1620,$I$7:$I$3000,"&lt;"&amp;I1620,$AI$7:$AI$3000,"yes")+COUNTIFS($B$7:B1620,B1620,$C$7:C1620,C1620,$I$7:I1620,I1620,$AI$7:AI1620,"yes"),"")</f>
        <v>3</v>
      </c>
      <c r="AH1620" s="110" t="str">
        <f aca="false">IF(ISNUMBER(H1620),"yes","no")</f>
        <v>yes</v>
      </c>
      <c r="AI1620" s="110" t="str">
        <f aca="false">IF(ISNUMBER(I1620),"yes","no")</f>
        <v>yes</v>
      </c>
      <c r="AJ1620" s="120" t="n">
        <v>46297</v>
      </c>
      <c r="AK1620" s="110"/>
    </row>
    <row r="1621" customFormat="false" ht="23.85" hidden="false" customHeight="false" outlineLevel="0" collapsed="false">
      <c r="B1621" s="36" t="s">
        <v>93</v>
      </c>
      <c r="C1621" s="98" t="s">
        <v>14</v>
      </c>
      <c r="D1621" s="98" t="s">
        <v>403</v>
      </c>
      <c r="E1621" s="110" t="s">
        <v>5073</v>
      </c>
      <c r="F1621" s="99" t="n">
        <v>26.27</v>
      </c>
      <c r="G1621" s="98" t="s">
        <v>374</v>
      </c>
      <c r="H1621" s="112" t="n">
        <f aca="false">IF(AND(AE1621="yes",ISNUMBER(AD1621)),AD1621,"")</f>
        <v>26.27</v>
      </c>
      <c r="I1621" s="95" t="n">
        <f aca="false">IF(AND(AE1621="yes",ISNUMBER(AD1621),ISNUMBER(INDEX(Sources!$G$7:$G$10,MATCH(AB1621,Sources!$B$7:$B$10,0)))),ROUND(AD1621/INDEX(Sources!$G$7:$G$10,MATCH(AB1621,Sources!$B$7:$B$10,0)),6),"")</f>
        <v>4.977602</v>
      </c>
      <c r="J1621" s="98" t="s">
        <v>530</v>
      </c>
      <c r="K1621" s="98" t="s">
        <v>2059</v>
      </c>
      <c r="L1621" s="96"/>
      <c r="M1621" s="110" t="s">
        <v>5074</v>
      </c>
      <c r="N1621" s="117" t="s">
        <v>5075</v>
      </c>
      <c r="O1621" s="110" t="s">
        <v>388</v>
      </c>
      <c r="P1621" s="110" t="s">
        <v>590</v>
      </c>
      <c r="Q1621" s="118" t="n">
        <v>0.21</v>
      </c>
      <c r="R1621" s="110" t="n">
        <v>1</v>
      </c>
      <c r="S1621" s="110" t="s">
        <v>632</v>
      </c>
      <c r="T1621" s="110" t="s">
        <v>530</v>
      </c>
      <c r="U1621" s="110" t="s">
        <v>2913</v>
      </c>
      <c r="V1621" s="119" t="n">
        <v>26.27</v>
      </c>
      <c r="W1621" s="119"/>
      <c r="X1621" s="110" t="s">
        <v>2063</v>
      </c>
      <c r="Y1621" s="110" t="s">
        <v>2064</v>
      </c>
      <c r="Z1621" s="110"/>
      <c r="AA1621" s="110" t="s">
        <v>537</v>
      </c>
      <c r="AB1621" s="110" t="s">
        <v>374</v>
      </c>
      <c r="AC1621" s="110" t="s">
        <v>538</v>
      </c>
      <c r="AD1621" s="110" t="n">
        <f aca="false">IF(OR(F1621="",Q1621="",R1621=""),"",ROUND(IF(P1621="incl.",F1621/(1+Q1621),F1621)/IF(S1621="per pack",R1621,1),2))</f>
        <v>26.27</v>
      </c>
      <c r="AE1621" s="110" t="str">
        <f aca="false">IF(AND(AC1621="yes",ISNUMBER(F1621),IF(Compare!$H$5="All mapped",TRUE(),IF(Compare!$H$5="EXACT only",J1621="EXACT",OR(J1621="EXACT",J1621="CLOSE")))),"yes","no")</f>
        <v>yes</v>
      </c>
      <c r="AF1621" s="110" t="n">
        <f aca="false">IF(ISNUMBER(H1621),COUNTIFS($B$7:$B$3000,B1621,$C$7:$C$3000,C1621,$H$7:$H$3000,"&lt;"&amp;H1621,$AH$7:$AH$3000,"yes")+COUNTIFS($B$7:B1621,B1621,$C$7:C1621,C1621,$H$7:H1621,H1621,$AH$7:AH1621,"yes"),"")</f>
        <v>4</v>
      </c>
      <c r="AG1621" s="110" t="n">
        <f aca="false">IF(ISNUMBER(I1621),COUNTIFS($B$7:$B$3000,B1621,$C$7:$C$3000,C1621,$I$7:$I$3000,"&lt;"&amp;I1621,$AI$7:$AI$3000,"yes")+COUNTIFS($B$7:B1621,B1621,$C$7:C1621,C1621,$I$7:I1621,I1621,$AI$7:AI1621,"yes"),"")</f>
        <v>4</v>
      </c>
      <c r="AH1621" s="110" t="str">
        <f aca="false">IF(ISNUMBER(H1621),"yes","no")</f>
        <v>yes</v>
      </c>
      <c r="AI1621" s="110" t="str">
        <f aca="false">IF(ISNUMBER(I1621),"yes","no")</f>
        <v>yes</v>
      </c>
      <c r="AJ1621" s="120" t="n">
        <v>46297</v>
      </c>
      <c r="AK1621" s="110"/>
    </row>
    <row r="1622" customFormat="false" ht="35.05" hidden="false" customHeight="false" outlineLevel="0" collapsed="false">
      <c r="B1622" s="36" t="s">
        <v>93</v>
      </c>
      <c r="C1622" s="98" t="s">
        <v>15</v>
      </c>
      <c r="D1622" s="98" t="s">
        <v>269</v>
      </c>
      <c r="E1622" s="110" t="s">
        <v>5076</v>
      </c>
      <c r="F1622" s="99" t="n">
        <v>7.49</v>
      </c>
      <c r="G1622" s="98" t="s">
        <v>244</v>
      </c>
      <c r="H1622" s="112" t="n">
        <f aca="false">IF(AND(AE1622="yes",ISNUMBER(AD1622)),AD1622,"")</f>
        <v>7.49</v>
      </c>
      <c r="I1622" s="95" t="n">
        <f aca="false">IF(AND(AE1622="yes",ISNUMBER(AD1622),ISNUMBER(INDEX(Sources!$G$7:$G$10,MATCH(AB1622,Sources!$B$7:$B$10,0)))),ROUND(AD1622/INDEX(Sources!$G$7:$G$10,MATCH(AB1622,Sources!$B$7:$B$10,0)),6),"")</f>
        <v>7.49</v>
      </c>
      <c r="J1622" s="98" t="s">
        <v>702</v>
      </c>
      <c r="K1622" s="98" t="s">
        <v>2059</v>
      </c>
      <c r="L1622" s="96"/>
      <c r="M1622" s="110" t="s">
        <v>5077</v>
      </c>
      <c r="N1622" s="117" t="s">
        <v>5078</v>
      </c>
      <c r="O1622" s="110" t="s">
        <v>388</v>
      </c>
      <c r="P1622" s="110" t="s">
        <v>590</v>
      </c>
      <c r="Q1622" s="118" t="n">
        <v>0.19</v>
      </c>
      <c r="R1622" s="110" t="n">
        <v>1</v>
      </c>
      <c r="S1622" s="110" t="s">
        <v>632</v>
      </c>
      <c r="T1622" s="110" t="s">
        <v>702</v>
      </c>
      <c r="U1622" s="110" t="s">
        <v>2913</v>
      </c>
      <c r="V1622" s="119" t="n">
        <v>7.49</v>
      </c>
      <c r="W1622" s="119"/>
      <c r="X1622" s="110" t="s">
        <v>2063</v>
      </c>
      <c r="Y1622" s="110" t="s">
        <v>2064</v>
      </c>
      <c r="Z1622" s="110" t="s">
        <v>4345</v>
      </c>
      <c r="AA1622" s="110" t="s">
        <v>537</v>
      </c>
      <c r="AB1622" s="110" t="s">
        <v>244</v>
      </c>
      <c r="AC1622" s="110" t="s">
        <v>538</v>
      </c>
      <c r="AD1622" s="110" t="n">
        <f aca="false">IF(OR(F1622="",Q1622="",R1622=""),"",ROUND(IF(P1622="incl.",F1622/(1+Q1622),F1622)/IF(S1622="per pack",R1622,1),2))</f>
        <v>7.49</v>
      </c>
      <c r="AE1622" s="110" t="str">
        <f aca="false">IF(AND(AC1622="yes",ISNUMBER(F1622),IF(Compare!$H$5="All mapped",TRUE(),IF(Compare!$H$5="EXACT only",J1622="EXACT",OR(J1622="EXACT",J1622="CLOSE")))),"yes","no")</f>
        <v>yes</v>
      </c>
      <c r="AF1622" s="110" t="n">
        <f aca="false">IF(ISNUMBER(H1622),COUNTIFS($B$7:$B$3000,B1622,$C$7:$C$3000,C1622,$H$7:$H$3000,"&lt;"&amp;H1622,$AH$7:$AH$3000,"yes")+COUNTIFS($B$7:B1622,B1622,$C$7:C1622,C1622,$H$7:H1622,H1622,$AH$7:AH1622,"yes"),"")</f>
        <v>3</v>
      </c>
      <c r="AG1622" s="110" t="n">
        <f aca="false">IF(ISNUMBER(I1622),COUNTIFS($B$7:$B$3000,B1622,$C$7:$C$3000,C1622,$I$7:$I$3000,"&lt;"&amp;I1622,$AI$7:$AI$3000,"yes")+COUNTIFS($B$7:B1622,B1622,$C$7:C1622,C1622,$I$7:I1622,I1622,$AI$7:AI1622,"yes"),"")</f>
        <v>3</v>
      </c>
      <c r="AH1622" s="110" t="str">
        <f aca="false">IF(ISNUMBER(H1622),"yes","no")</f>
        <v>yes</v>
      </c>
      <c r="AI1622" s="110" t="str">
        <f aca="false">IF(ISNUMBER(I1622),"yes","no")</f>
        <v>yes</v>
      </c>
      <c r="AJ1622" s="120" t="n">
        <v>46297</v>
      </c>
      <c r="AK1622" s="110"/>
    </row>
    <row r="1623" customFormat="false" ht="35.05" hidden="false" customHeight="false" outlineLevel="0" collapsed="false">
      <c r="B1623" s="36" t="s">
        <v>93</v>
      </c>
      <c r="C1623" s="98" t="s">
        <v>15</v>
      </c>
      <c r="D1623" s="98" t="s">
        <v>264</v>
      </c>
      <c r="E1623" s="110" t="s">
        <v>5079</v>
      </c>
      <c r="F1623" s="99" t="n">
        <v>12.46</v>
      </c>
      <c r="G1623" s="98" t="s">
        <v>244</v>
      </c>
      <c r="H1623" s="112" t="n">
        <f aca="false">IF(AND(AE1623="yes",ISNUMBER(AD1623)),AD1623,"")</f>
        <v>12.46</v>
      </c>
      <c r="I1623" s="95" t="n">
        <f aca="false">IF(AND(AE1623="yes",ISNUMBER(AD1623),ISNUMBER(INDEX(Sources!$G$7:$G$10,MATCH(AB1623,Sources!$B$7:$B$10,0)))),ROUND(AD1623/INDEX(Sources!$G$7:$G$10,MATCH(AB1623,Sources!$B$7:$B$10,0)),6),"")</f>
        <v>12.46</v>
      </c>
      <c r="J1623" s="98" t="s">
        <v>530</v>
      </c>
      <c r="K1623" s="98" t="s">
        <v>2059</v>
      </c>
      <c r="L1623" s="96"/>
      <c r="M1623" s="110" t="s">
        <v>5080</v>
      </c>
      <c r="N1623" s="117" t="s">
        <v>5081</v>
      </c>
      <c r="O1623" s="110" t="s">
        <v>388</v>
      </c>
      <c r="P1623" s="110" t="s">
        <v>590</v>
      </c>
      <c r="Q1623" s="118" t="n">
        <v>0.19</v>
      </c>
      <c r="R1623" s="110" t="n">
        <v>1</v>
      </c>
      <c r="S1623" s="110" t="s">
        <v>632</v>
      </c>
      <c r="T1623" s="110" t="s">
        <v>530</v>
      </c>
      <c r="U1623" s="110" t="s">
        <v>2913</v>
      </c>
      <c r="V1623" s="119" t="n">
        <v>12.46</v>
      </c>
      <c r="W1623" s="119"/>
      <c r="X1623" s="110" t="s">
        <v>2063</v>
      </c>
      <c r="Y1623" s="110" t="s">
        <v>2064</v>
      </c>
      <c r="Z1623" s="110"/>
      <c r="AA1623" s="110" t="s">
        <v>537</v>
      </c>
      <c r="AB1623" s="110" t="s">
        <v>244</v>
      </c>
      <c r="AC1623" s="110" t="s">
        <v>538</v>
      </c>
      <c r="AD1623" s="110" t="n">
        <f aca="false">IF(OR(F1623="",Q1623="",R1623=""),"",ROUND(IF(P1623="incl.",F1623/(1+Q1623),F1623)/IF(S1623="per pack",R1623,1),2))</f>
        <v>12.46</v>
      </c>
      <c r="AE1623" s="110" t="str">
        <f aca="false">IF(AND(AC1623="yes",ISNUMBER(F1623),IF(Compare!$H$5="All mapped",TRUE(),IF(Compare!$H$5="EXACT only",J1623="EXACT",OR(J1623="EXACT",J1623="CLOSE")))),"yes","no")</f>
        <v>yes</v>
      </c>
      <c r="AF1623" s="110" t="n">
        <f aca="false">IF(ISNUMBER(H1623),COUNTIFS($B$7:$B$3000,B1623,$C$7:$C$3000,C1623,$H$7:$H$3000,"&lt;"&amp;H1623,$AH$7:$AH$3000,"yes")+COUNTIFS($B$7:B1623,B1623,$C$7:C1623,C1623,$H$7:H1623,H1623,$AH$7:AH1623,"yes"),"")</f>
        <v>4</v>
      </c>
      <c r="AG1623" s="110" t="n">
        <f aca="false">IF(ISNUMBER(I1623),COUNTIFS($B$7:$B$3000,B1623,$C$7:$C$3000,C1623,$I$7:$I$3000,"&lt;"&amp;I1623,$AI$7:$AI$3000,"yes")+COUNTIFS($B$7:B1623,B1623,$C$7:C1623,C1623,$I$7:I1623,I1623,$AI$7:AI1623,"yes"),"")</f>
        <v>4</v>
      </c>
      <c r="AH1623" s="110" t="str">
        <f aca="false">IF(ISNUMBER(H1623),"yes","no")</f>
        <v>yes</v>
      </c>
      <c r="AI1623" s="110" t="str">
        <f aca="false">IF(ISNUMBER(I1623),"yes","no")</f>
        <v>yes</v>
      </c>
      <c r="AJ1623" s="120" t="n">
        <v>46297</v>
      </c>
      <c r="AK1623" s="110"/>
    </row>
    <row r="1624" customFormat="false" ht="46.25" hidden="false" customHeight="false" outlineLevel="0" collapsed="false">
      <c r="B1624" s="36" t="s">
        <v>93</v>
      </c>
      <c r="C1624" s="98" t="s">
        <v>15</v>
      </c>
      <c r="D1624" s="98" t="s">
        <v>281</v>
      </c>
      <c r="E1624" s="110" t="s">
        <v>5082</v>
      </c>
      <c r="F1624" s="99" t="n">
        <v>3.83</v>
      </c>
      <c r="G1624" s="98" t="s">
        <v>244</v>
      </c>
      <c r="H1624" s="112" t="n">
        <f aca="false">IF(AND(AE1624="yes",ISNUMBER(AD1624)),AD1624,"")</f>
        <v>3.83</v>
      </c>
      <c r="I1624" s="95" t="n">
        <f aca="false">IF(AND(AE1624="yes",ISNUMBER(AD1624),ISNUMBER(INDEX(Sources!$G$7:$G$10,MATCH(AB1624,Sources!$B$7:$B$10,0)))),ROUND(AD1624/INDEX(Sources!$G$7:$G$10,MATCH(AB1624,Sources!$B$7:$B$10,0)),6),"")</f>
        <v>3.83</v>
      </c>
      <c r="J1624" s="98" t="s">
        <v>530</v>
      </c>
      <c r="K1624" s="98" t="s">
        <v>2059</v>
      </c>
      <c r="L1624" s="96"/>
      <c r="M1624" s="110" t="s">
        <v>5083</v>
      </c>
      <c r="N1624" s="117" t="s">
        <v>5084</v>
      </c>
      <c r="O1624" s="110" t="s">
        <v>603</v>
      </c>
      <c r="P1624" s="110" t="s">
        <v>590</v>
      </c>
      <c r="Q1624" s="118" t="n">
        <v>0.2</v>
      </c>
      <c r="R1624" s="110" t="n">
        <v>1</v>
      </c>
      <c r="S1624" s="110" t="s">
        <v>632</v>
      </c>
      <c r="T1624" s="110" t="s">
        <v>530</v>
      </c>
      <c r="U1624" s="110" t="s">
        <v>2913</v>
      </c>
      <c r="V1624" s="119" t="n">
        <v>3.83</v>
      </c>
      <c r="W1624" s="119"/>
      <c r="X1624" s="110" t="s">
        <v>2063</v>
      </c>
      <c r="Y1624" s="110" t="s">
        <v>2064</v>
      </c>
      <c r="Z1624" s="110" t="s">
        <v>2125</v>
      </c>
      <c r="AA1624" s="110" t="s">
        <v>537</v>
      </c>
      <c r="AB1624" s="110" t="s">
        <v>244</v>
      </c>
      <c r="AC1624" s="110" t="s">
        <v>538</v>
      </c>
      <c r="AD1624" s="110" t="n">
        <f aca="false">IF(OR(F1624="",Q1624="",R1624=""),"",ROUND(IF(P1624="incl.",F1624/(1+Q1624),F1624)/IF(S1624="per pack",R1624,1),2))</f>
        <v>3.83</v>
      </c>
      <c r="AE1624" s="110" t="str">
        <f aca="false">IF(AND(AC1624="yes",ISNUMBER(F1624),IF(Compare!$H$5="All mapped",TRUE(),IF(Compare!$H$5="EXACT only",J1624="EXACT",OR(J1624="EXACT",J1624="CLOSE")))),"yes","no")</f>
        <v>yes</v>
      </c>
      <c r="AF1624" s="110" t="n">
        <f aca="false">IF(ISNUMBER(H1624),COUNTIFS($B$7:$B$3000,B1624,$C$7:$C$3000,C1624,$H$7:$H$3000,"&lt;"&amp;H1624,$AH$7:$AH$3000,"yes")+COUNTIFS($B$7:B1624,B1624,$C$7:C1624,C1624,$H$7:H1624,H1624,$AH$7:AH1624,"yes"),"")</f>
        <v>2</v>
      </c>
      <c r="AG1624" s="110" t="n">
        <f aca="false">IF(ISNUMBER(I1624),COUNTIFS($B$7:$B$3000,B1624,$C$7:$C$3000,C1624,$I$7:$I$3000,"&lt;"&amp;I1624,$AI$7:$AI$3000,"yes")+COUNTIFS($B$7:B1624,B1624,$C$7:C1624,C1624,$I$7:I1624,I1624,$AI$7:AI1624,"yes"),"")</f>
        <v>2</v>
      </c>
      <c r="AH1624" s="110" t="str">
        <f aca="false">IF(ISNUMBER(H1624),"yes","no")</f>
        <v>yes</v>
      </c>
      <c r="AI1624" s="110" t="str">
        <f aca="false">IF(ISNUMBER(I1624),"yes","no")</f>
        <v>yes</v>
      </c>
      <c r="AJ1624" s="120" t="n">
        <v>46297</v>
      </c>
      <c r="AK1624" s="110"/>
    </row>
    <row r="1625" customFormat="false" ht="35.05" hidden="false" customHeight="false" outlineLevel="0" collapsed="false">
      <c r="B1625" s="36" t="s">
        <v>93</v>
      </c>
      <c r="C1625" s="98" t="s">
        <v>15</v>
      </c>
      <c r="D1625" s="98" t="s">
        <v>293</v>
      </c>
      <c r="E1625" s="110" t="s">
        <v>5085</v>
      </c>
      <c r="F1625" s="99" t="n">
        <v>2.8</v>
      </c>
      <c r="G1625" s="98" t="s">
        <v>244</v>
      </c>
      <c r="H1625" s="112" t="n">
        <f aca="false">IF(AND(AE1625="yes",ISNUMBER(AD1625)),AD1625,"")</f>
        <v>2.8</v>
      </c>
      <c r="I1625" s="95" t="n">
        <f aca="false">IF(AND(AE1625="yes",ISNUMBER(AD1625),ISNUMBER(INDEX(Sources!$G$7:$G$10,MATCH(AB1625,Sources!$B$7:$B$10,0)))),ROUND(AD1625/INDEX(Sources!$G$7:$G$10,MATCH(AB1625,Sources!$B$7:$B$10,0)),6),"")</f>
        <v>2.8</v>
      </c>
      <c r="J1625" s="98" t="s">
        <v>530</v>
      </c>
      <c r="K1625" s="98" t="s">
        <v>2059</v>
      </c>
      <c r="L1625" s="96"/>
      <c r="M1625" s="110" t="s">
        <v>5086</v>
      </c>
      <c r="N1625" s="117" t="s">
        <v>5087</v>
      </c>
      <c r="O1625" s="110"/>
      <c r="P1625" s="110" t="s">
        <v>590</v>
      </c>
      <c r="Q1625" s="118" t="n">
        <v>0.2</v>
      </c>
      <c r="R1625" s="110" t="n">
        <v>1</v>
      </c>
      <c r="S1625" s="110" t="s">
        <v>632</v>
      </c>
      <c r="T1625" s="110" t="s">
        <v>530</v>
      </c>
      <c r="U1625" s="110" t="s">
        <v>2913</v>
      </c>
      <c r="V1625" s="119" t="n">
        <v>2.8</v>
      </c>
      <c r="W1625" s="119"/>
      <c r="X1625" s="110" t="s">
        <v>2063</v>
      </c>
      <c r="Y1625" s="110" t="s">
        <v>2064</v>
      </c>
      <c r="Z1625" s="110"/>
      <c r="AA1625" s="110" t="s">
        <v>537</v>
      </c>
      <c r="AB1625" s="110" t="s">
        <v>244</v>
      </c>
      <c r="AC1625" s="110" t="s">
        <v>538</v>
      </c>
      <c r="AD1625" s="110" t="n">
        <f aca="false">IF(OR(F1625="",Q1625="",R1625=""),"",ROUND(IF(P1625="incl.",F1625/(1+Q1625),F1625)/IF(S1625="per pack",R1625,1),2))</f>
        <v>2.8</v>
      </c>
      <c r="AE1625" s="110" t="str">
        <f aca="false">IF(AND(AC1625="yes",ISNUMBER(F1625),IF(Compare!$H$5="All mapped",TRUE(),IF(Compare!$H$5="EXACT only",J1625="EXACT",OR(J1625="EXACT",J1625="CLOSE")))),"yes","no")</f>
        <v>yes</v>
      </c>
      <c r="AF1625" s="110" t="n">
        <f aca="false">IF(ISNUMBER(H1625),COUNTIFS($B$7:$B$3000,B1625,$C$7:$C$3000,C1625,$H$7:$H$3000,"&lt;"&amp;H1625,$AH$7:$AH$3000,"yes")+COUNTIFS($B$7:B1625,B1625,$C$7:C1625,C1625,$H$7:H1625,H1625,$AH$7:AH1625,"yes"),"")</f>
        <v>1</v>
      </c>
      <c r="AG1625" s="110" t="n">
        <f aca="false">IF(ISNUMBER(I1625),COUNTIFS($B$7:$B$3000,B1625,$C$7:$C$3000,C1625,$I$7:$I$3000,"&lt;"&amp;I1625,$AI$7:$AI$3000,"yes")+COUNTIFS($B$7:B1625,B1625,$C$7:C1625,C1625,$I$7:I1625,I1625,$AI$7:AI1625,"yes"),"")</f>
        <v>1</v>
      </c>
      <c r="AH1625" s="110" t="str">
        <f aca="false">IF(ISNUMBER(H1625),"yes","no")</f>
        <v>yes</v>
      </c>
      <c r="AI1625" s="110" t="str">
        <f aca="false">IF(ISNUMBER(I1625),"yes","no")</f>
        <v>yes</v>
      </c>
      <c r="AJ1625" s="120" t="n">
        <v>46297</v>
      </c>
      <c r="AK1625" s="110"/>
    </row>
    <row r="1626" customFormat="false" ht="23.85" hidden="false" customHeight="false" outlineLevel="0" collapsed="false">
      <c r="B1626" s="36" t="s">
        <v>93</v>
      </c>
      <c r="C1626" s="98" t="s">
        <v>16</v>
      </c>
      <c r="D1626" s="98" t="s">
        <v>296</v>
      </c>
      <c r="E1626" s="110" t="s">
        <v>5088</v>
      </c>
      <c r="F1626" s="99" t="n">
        <v>2.85</v>
      </c>
      <c r="G1626" s="98" t="s">
        <v>244</v>
      </c>
      <c r="H1626" s="112" t="n">
        <f aca="false">IF(AND(AE1626="yes",ISNUMBER(AD1626)),AD1626,"")</f>
        <v>2.85</v>
      </c>
      <c r="I1626" s="95" t="n">
        <f aca="false">IF(AND(AE1626="yes",ISNUMBER(AD1626),ISNUMBER(INDEX(Sources!$G$7:$G$10,MATCH(AB1626,Sources!$B$7:$B$10,0)))),ROUND(AD1626/INDEX(Sources!$G$7:$G$10,MATCH(AB1626,Sources!$B$7:$B$10,0)),6),"")</f>
        <v>2.85</v>
      </c>
      <c r="J1626" s="98" t="s">
        <v>530</v>
      </c>
      <c r="K1626" s="98" t="s">
        <v>2059</v>
      </c>
      <c r="L1626" s="96"/>
      <c r="M1626" s="110" t="s">
        <v>5089</v>
      </c>
      <c r="N1626" s="117" t="s">
        <v>5090</v>
      </c>
      <c r="O1626" s="110" t="s">
        <v>4362</v>
      </c>
      <c r="P1626" s="110" t="s">
        <v>590</v>
      </c>
      <c r="Q1626" s="118" t="n">
        <v>0.19</v>
      </c>
      <c r="R1626" s="110" t="n">
        <v>1</v>
      </c>
      <c r="S1626" s="110" t="s">
        <v>632</v>
      </c>
      <c r="T1626" s="110" t="s">
        <v>530</v>
      </c>
      <c r="U1626" s="110" t="s">
        <v>2913</v>
      </c>
      <c r="V1626" s="119" t="n">
        <v>2.85</v>
      </c>
      <c r="W1626" s="119"/>
      <c r="X1626" s="110" t="s">
        <v>2063</v>
      </c>
      <c r="Y1626" s="110" t="s">
        <v>2064</v>
      </c>
      <c r="Z1626" s="110" t="s">
        <v>2164</v>
      </c>
      <c r="AA1626" s="110" t="s">
        <v>537</v>
      </c>
      <c r="AB1626" s="110" t="s">
        <v>244</v>
      </c>
      <c r="AC1626" s="110" t="s">
        <v>538</v>
      </c>
      <c r="AD1626" s="110" t="n">
        <f aca="false">IF(OR(F1626="",Q1626="",R1626=""),"",ROUND(IF(P1626="incl.",F1626/(1+Q1626),F1626)/IF(S1626="per pack",R1626,1),2))</f>
        <v>2.85</v>
      </c>
      <c r="AE1626" s="110" t="str">
        <f aca="false">IF(AND(AC1626="yes",ISNUMBER(F1626),IF(Compare!$H$5="All mapped",TRUE(),IF(Compare!$H$5="EXACT only",J1626="EXACT",OR(J1626="EXACT",J1626="CLOSE")))),"yes","no")</f>
        <v>yes</v>
      </c>
      <c r="AF1626" s="110" t="n">
        <f aca="false">IF(ISNUMBER(H1626),COUNTIFS($B$7:$B$3000,B1626,$C$7:$C$3000,C1626,$H$7:$H$3000,"&lt;"&amp;H1626,$AH$7:$AH$3000,"yes")+COUNTIFS($B$7:B1626,B1626,$C$7:C1626,C1626,$H$7:H1626,H1626,$AH$7:AH1626,"yes"),"")</f>
        <v>1</v>
      </c>
      <c r="AG1626" s="110" t="n">
        <f aca="false">IF(ISNUMBER(I1626),COUNTIFS($B$7:$B$3000,B1626,$C$7:$C$3000,C1626,$I$7:$I$3000,"&lt;"&amp;I1626,$AI$7:$AI$3000,"yes")+COUNTIFS($B$7:B1626,B1626,$C$7:C1626,C1626,$I$7:I1626,I1626,$AI$7:AI1626,"yes"),"")</f>
        <v>1</v>
      </c>
      <c r="AH1626" s="110" t="str">
        <f aca="false">IF(ISNUMBER(H1626),"yes","no")</f>
        <v>yes</v>
      </c>
      <c r="AI1626" s="110" t="str">
        <f aca="false">IF(ISNUMBER(I1626),"yes","no")</f>
        <v>yes</v>
      </c>
      <c r="AJ1626" s="120" t="n">
        <v>46297</v>
      </c>
      <c r="AK1626" s="110"/>
    </row>
    <row r="1627" customFormat="false" ht="35.05" hidden="false" customHeight="false" outlineLevel="0" collapsed="false">
      <c r="B1627" s="36" t="s">
        <v>93</v>
      </c>
      <c r="C1627" s="98" t="s">
        <v>16</v>
      </c>
      <c r="D1627" s="98" t="s">
        <v>317</v>
      </c>
      <c r="E1627" s="110" t="s">
        <v>5091</v>
      </c>
      <c r="F1627" s="99" t="n">
        <v>17.99</v>
      </c>
      <c r="G1627" s="98" t="s">
        <v>244</v>
      </c>
      <c r="H1627" s="112" t="n">
        <f aca="false">IF(AND(AE1627="yes",ISNUMBER(AD1627)),AD1627,"")</f>
        <v>3</v>
      </c>
      <c r="I1627" s="95" t="n">
        <f aca="false">IF(AND(AE1627="yes",ISNUMBER(AD1627),ISNUMBER(INDEX(Sources!$G$7:$G$10,MATCH(AB1627,Sources!$B$7:$B$10,0)))),ROUND(AD1627/INDEX(Sources!$G$7:$G$10,MATCH(AB1627,Sources!$B$7:$B$10,0)),6),"")</f>
        <v>3</v>
      </c>
      <c r="J1627" s="98" t="s">
        <v>530</v>
      </c>
      <c r="K1627" s="98" t="s">
        <v>2059</v>
      </c>
      <c r="L1627" s="96"/>
      <c r="M1627" s="110" t="s">
        <v>5092</v>
      </c>
      <c r="N1627" s="117" t="s">
        <v>5093</v>
      </c>
      <c r="O1627" s="110" t="s">
        <v>642</v>
      </c>
      <c r="P1627" s="110" t="s">
        <v>590</v>
      </c>
      <c r="Q1627" s="118" t="n">
        <v>0.19</v>
      </c>
      <c r="R1627" s="110" t="n">
        <v>6</v>
      </c>
      <c r="S1627" s="110" t="s">
        <v>625</v>
      </c>
      <c r="T1627" s="110" t="s">
        <v>530</v>
      </c>
      <c r="U1627" s="110" t="s">
        <v>2913</v>
      </c>
      <c r="V1627" s="119" t="n">
        <v>3</v>
      </c>
      <c r="W1627" s="119"/>
      <c r="X1627" s="110" t="s">
        <v>2063</v>
      </c>
      <c r="Y1627" s="110" t="s">
        <v>2064</v>
      </c>
      <c r="Z1627" s="110" t="s">
        <v>5027</v>
      </c>
      <c r="AA1627" s="110" t="s">
        <v>537</v>
      </c>
      <c r="AB1627" s="110" t="s">
        <v>244</v>
      </c>
      <c r="AC1627" s="110" t="s">
        <v>538</v>
      </c>
      <c r="AD1627" s="110" t="n">
        <f aca="false">IF(OR(F1627="",Q1627="",R1627=""),"",ROUND(IF(P1627="incl.",F1627/(1+Q1627),F1627)/IF(S1627="per pack",R1627,1),2))</f>
        <v>3</v>
      </c>
      <c r="AE1627" s="110" t="str">
        <f aca="false">IF(AND(AC1627="yes",ISNUMBER(F1627),IF(Compare!$H$5="All mapped",TRUE(),IF(Compare!$H$5="EXACT only",J1627="EXACT",OR(J1627="EXACT",J1627="CLOSE")))),"yes","no")</f>
        <v>yes</v>
      </c>
      <c r="AF1627" s="110" t="n">
        <f aca="false">IF(ISNUMBER(H1627),COUNTIFS($B$7:$B$3000,B1627,$C$7:$C$3000,C1627,$H$7:$H$3000,"&lt;"&amp;H1627,$AH$7:$AH$3000,"yes")+COUNTIFS($B$7:B1627,B1627,$C$7:C1627,C1627,$H$7:H1627,H1627,$AH$7:AH1627,"yes"),"")</f>
        <v>2</v>
      </c>
      <c r="AG1627" s="110" t="n">
        <f aca="false">IF(ISNUMBER(I1627),COUNTIFS($B$7:$B$3000,B1627,$C$7:$C$3000,C1627,$I$7:$I$3000,"&lt;"&amp;I1627,$AI$7:$AI$3000,"yes")+COUNTIFS($B$7:B1627,B1627,$C$7:C1627,C1627,$I$7:I1627,I1627,$AI$7:AI1627,"yes"),"")</f>
        <v>2</v>
      </c>
      <c r="AH1627" s="110" t="str">
        <f aca="false">IF(ISNUMBER(H1627),"yes","no")</f>
        <v>yes</v>
      </c>
      <c r="AI1627" s="110" t="str">
        <f aca="false">IF(ISNUMBER(I1627),"yes","no")</f>
        <v>yes</v>
      </c>
      <c r="AJ1627" s="120" t="n">
        <v>46297</v>
      </c>
      <c r="AK1627" s="110"/>
    </row>
    <row r="1628" customFormat="false" ht="23.85" hidden="false" customHeight="false" outlineLevel="0" collapsed="false">
      <c r="B1628" s="36" t="s">
        <v>93</v>
      </c>
      <c r="C1628" s="98" t="s">
        <v>16</v>
      </c>
      <c r="D1628" s="98" t="s">
        <v>305</v>
      </c>
      <c r="E1628" s="110" t="s">
        <v>5094</v>
      </c>
      <c r="F1628" s="99" t="n">
        <v>3.4</v>
      </c>
      <c r="G1628" s="98" t="s">
        <v>244</v>
      </c>
      <c r="H1628" s="112" t="n">
        <f aca="false">IF(AND(AE1628="yes",ISNUMBER(AD1628)),AD1628,"")</f>
        <v>3.4</v>
      </c>
      <c r="I1628" s="95" t="n">
        <f aca="false">IF(AND(AE1628="yes",ISNUMBER(AD1628),ISNUMBER(INDEX(Sources!$G$7:$G$10,MATCH(AB1628,Sources!$B$7:$B$10,0)))),ROUND(AD1628/INDEX(Sources!$G$7:$G$10,MATCH(AB1628,Sources!$B$7:$B$10,0)),6),"")</f>
        <v>3.4</v>
      </c>
      <c r="J1628" s="98" t="s">
        <v>530</v>
      </c>
      <c r="K1628" s="98" t="s">
        <v>2059</v>
      </c>
      <c r="L1628" s="96"/>
      <c r="M1628" s="110" t="s">
        <v>5095</v>
      </c>
      <c r="N1628" s="117" t="s">
        <v>5096</v>
      </c>
      <c r="O1628" s="110" t="s">
        <v>603</v>
      </c>
      <c r="P1628" s="110" t="s">
        <v>590</v>
      </c>
      <c r="Q1628" s="118" t="n">
        <v>0.19</v>
      </c>
      <c r="R1628" s="110" t="n">
        <v>1</v>
      </c>
      <c r="S1628" s="110" t="s">
        <v>632</v>
      </c>
      <c r="T1628" s="110" t="s">
        <v>530</v>
      </c>
      <c r="U1628" s="110" t="s">
        <v>2913</v>
      </c>
      <c r="V1628" s="119" t="n">
        <v>3.4</v>
      </c>
      <c r="W1628" s="119"/>
      <c r="X1628" s="110" t="s">
        <v>2063</v>
      </c>
      <c r="Y1628" s="110" t="s">
        <v>2064</v>
      </c>
      <c r="Z1628" s="110" t="s">
        <v>2142</v>
      </c>
      <c r="AA1628" s="110" t="s">
        <v>537</v>
      </c>
      <c r="AB1628" s="110" t="s">
        <v>244</v>
      </c>
      <c r="AC1628" s="110" t="s">
        <v>538</v>
      </c>
      <c r="AD1628" s="110" t="n">
        <f aca="false">IF(OR(F1628="",Q1628="",R1628=""),"",ROUND(IF(P1628="incl.",F1628/(1+Q1628),F1628)/IF(S1628="per pack",R1628,1),2))</f>
        <v>3.4</v>
      </c>
      <c r="AE1628" s="110" t="str">
        <f aca="false">IF(AND(AC1628="yes",ISNUMBER(F1628),IF(Compare!$H$5="All mapped",TRUE(),IF(Compare!$H$5="EXACT only",J1628="EXACT",OR(J1628="EXACT",J1628="CLOSE")))),"yes","no")</f>
        <v>yes</v>
      </c>
      <c r="AF1628" s="110" t="n">
        <f aca="false">IF(ISNUMBER(H1628),COUNTIFS($B$7:$B$3000,B1628,$C$7:$C$3000,C1628,$H$7:$H$3000,"&lt;"&amp;H1628,$AH$7:$AH$3000,"yes")+COUNTIFS($B$7:B1628,B1628,$C$7:C1628,C1628,$H$7:H1628,H1628,$AH$7:AH1628,"yes"),"")</f>
        <v>3</v>
      </c>
      <c r="AG1628" s="110" t="n">
        <f aca="false">IF(ISNUMBER(I1628),COUNTIFS($B$7:$B$3000,B1628,$C$7:$C$3000,C1628,$I$7:$I$3000,"&lt;"&amp;I1628,$AI$7:$AI$3000,"yes")+COUNTIFS($B$7:B1628,B1628,$C$7:C1628,C1628,$I$7:I1628,I1628,$AI$7:AI1628,"yes"),"")</f>
        <v>3</v>
      </c>
      <c r="AH1628" s="110" t="str">
        <f aca="false">IF(ISNUMBER(H1628),"yes","no")</f>
        <v>yes</v>
      </c>
      <c r="AI1628" s="110" t="str">
        <f aca="false">IF(ISNUMBER(I1628),"yes","no")</f>
        <v>yes</v>
      </c>
      <c r="AJ1628" s="120" t="n">
        <v>46297</v>
      </c>
      <c r="AK1628" s="110"/>
    </row>
    <row r="1629" customFormat="false" ht="23.85" hidden="false" customHeight="false" outlineLevel="0" collapsed="false">
      <c r="B1629" s="36" t="s">
        <v>93</v>
      </c>
      <c r="C1629" s="98" t="s">
        <v>16</v>
      </c>
      <c r="D1629" s="98" t="s">
        <v>311</v>
      </c>
      <c r="E1629" s="110" t="s">
        <v>5076</v>
      </c>
      <c r="F1629" s="99" t="n">
        <v>7.09</v>
      </c>
      <c r="G1629" s="98" t="s">
        <v>244</v>
      </c>
      <c r="H1629" s="112" t="n">
        <f aca="false">IF(AND(AE1629="yes",ISNUMBER(AD1629)),AD1629,"")</f>
        <v>7.09</v>
      </c>
      <c r="I1629" s="95" t="n">
        <f aca="false">IF(AND(AE1629="yes",ISNUMBER(AD1629),ISNUMBER(INDEX(Sources!$G$7:$G$10,MATCH(AB1629,Sources!$B$7:$B$10,0)))),ROUND(AD1629/INDEX(Sources!$G$7:$G$10,MATCH(AB1629,Sources!$B$7:$B$10,0)),6),"")</f>
        <v>7.09</v>
      </c>
      <c r="J1629" s="98" t="s">
        <v>702</v>
      </c>
      <c r="K1629" s="98" t="s">
        <v>2059</v>
      </c>
      <c r="L1629" s="96"/>
      <c r="M1629" s="110" t="s">
        <v>5097</v>
      </c>
      <c r="N1629" s="117" t="s">
        <v>5098</v>
      </c>
      <c r="O1629" s="110" t="s">
        <v>388</v>
      </c>
      <c r="P1629" s="110" t="s">
        <v>590</v>
      </c>
      <c r="Q1629" s="118" t="n">
        <v>0.19</v>
      </c>
      <c r="R1629" s="110" t="n">
        <v>1</v>
      </c>
      <c r="S1629" s="110" t="s">
        <v>632</v>
      </c>
      <c r="T1629" s="110" t="s">
        <v>702</v>
      </c>
      <c r="U1629" s="110" t="s">
        <v>2913</v>
      </c>
      <c r="V1629" s="119" t="n">
        <v>7.09</v>
      </c>
      <c r="W1629" s="119"/>
      <c r="X1629" s="110" t="s">
        <v>2063</v>
      </c>
      <c r="Y1629" s="110" t="s">
        <v>2064</v>
      </c>
      <c r="Z1629" s="110" t="s">
        <v>4369</v>
      </c>
      <c r="AA1629" s="110" t="s">
        <v>537</v>
      </c>
      <c r="AB1629" s="110" t="s">
        <v>244</v>
      </c>
      <c r="AC1629" s="110" t="s">
        <v>538</v>
      </c>
      <c r="AD1629" s="110" t="n">
        <f aca="false">IF(OR(F1629="",Q1629="",R1629=""),"",ROUND(IF(P1629="incl.",F1629/(1+Q1629),F1629)/IF(S1629="per pack",R1629,1),2))</f>
        <v>7.09</v>
      </c>
      <c r="AE1629" s="110" t="str">
        <f aca="false">IF(AND(AC1629="yes",ISNUMBER(F1629),IF(Compare!$H$5="All mapped",TRUE(),IF(Compare!$H$5="EXACT only",J1629="EXACT",OR(J1629="EXACT",J1629="CLOSE")))),"yes","no")</f>
        <v>yes</v>
      </c>
      <c r="AF1629" s="110" t="n">
        <f aca="false">IF(ISNUMBER(H1629),COUNTIFS($B$7:$B$3000,B1629,$C$7:$C$3000,C1629,$H$7:$H$3000,"&lt;"&amp;H1629,$AH$7:$AH$3000,"yes")+COUNTIFS($B$7:B1629,B1629,$C$7:C1629,C1629,$H$7:H1629,H1629,$AH$7:AH1629,"yes"),"")</f>
        <v>6</v>
      </c>
      <c r="AG1629" s="110" t="n">
        <f aca="false">IF(ISNUMBER(I1629),COUNTIFS($B$7:$B$3000,B1629,$C$7:$C$3000,C1629,$I$7:$I$3000,"&lt;"&amp;I1629,$AI$7:$AI$3000,"yes")+COUNTIFS($B$7:B1629,B1629,$C$7:C1629,C1629,$I$7:I1629,I1629,$AI$7:AI1629,"yes"),"")</f>
        <v>6</v>
      </c>
      <c r="AH1629" s="110" t="str">
        <f aca="false">IF(ISNUMBER(H1629),"yes","no")</f>
        <v>yes</v>
      </c>
      <c r="AI1629" s="110" t="str">
        <f aca="false">IF(ISNUMBER(I1629),"yes","no")</f>
        <v>yes</v>
      </c>
      <c r="AJ1629" s="120" t="n">
        <v>46297</v>
      </c>
      <c r="AK1629" s="110"/>
    </row>
    <row r="1630" customFormat="false" ht="35.05" hidden="false" customHeight="false" outlineLevel="0" collapsed="false">
      <c r="B1630" s="36" t="s">
        <v>93</v>
      </c>
      <c r="C1630" s="98" t="s">
        <v>16</v>
      </c>
      <c r="D1630" s="98" t="s">
        <v>321</v>
      </c>
      <c r="E1630" s="110" t="s">
        <v>5082</v>
      </c>
      <c r="F1630" s="99" t="n">
        <v>3.83</v>
      </c>
      <c r="G1630" s="98" t="s">
        <v>244</v>
      </c>
      <c r="H1630" s="112" t="n">
        <f aca="false">IF(AND(AE1630="yes",ISNUMBER(AD1630)),AD1630,"")</f>
        <v>3.83</v>
      </c>
      <c r="I1630" s="95" t="n">
        <f aca="false">IF(AND(AE1630="yes",ISNUMBER(AD1630),ISNUMBER(INDEX(Sources!$G$7:$G$10,MATCH(AB1630,Sources!$B$7:$B$10,0)))),ROUND(AD1630/INDEX(Sources!$G$7:$G$10,MATCH(AB1630,Sources!$B$7:$B$10,0)),6),"")</f>
        <v>3.83</v>
      </c>
      <c r="J1630" s="98" t="s">
        <v>530</v>
      </c>
      <c r="K1630" s="98" t="s">
        <v>2059</v>
      </c>
      <c r="L1630" s="96"/>
      <c r="M1630" s="110" t="s">
        <v>5099</v>
      </c>
      <c r="N1630" s="117" t="s">
        <v>5100</v>
      </c>
      <c r="O1630" s="110" t="s">
        <v>603</v>
      </c>
      <c r="P1630" s="110" t="s">
        <v>590</v>
      </c>
      <c r="Q1630" s="118" t="n">
        <v>0.19</v>
      </c>
      <c r="R1630" s="110" t="n">
        <v>1</v>
      </c>
      <c r="S1630" s="110" t="s">
        <v>632</v>
      </c>
      <c r="T1630" s="110" t="s">
        <v>530</v>
      </c>
      <c r="U1630" s="110" t="s">
        <v>2913</v>
      </c>
      <c r="V1630" s="119" t="n">
        <v>3.83</v>
      </c>
      <c r="W1630" s="119"/>
      <c r="X1630" s="110" t="s">
        <v>2063</v>
      </c>
      <c r="Y1630" s="110" t="s">
        <v>2064</v>
      </c>
      <c r="Z1630" s="110" t="s">
        <v>2857</v>
      </c>
      <c r="AA1630" s="110" t="s">
        <v>537</v>
      </c>
      <c r="AB1630" s="110" t="s">
        <v>244</v>
      </c>
      <c r="AC1630" s="110" t="s">
        <v>538</v>
      </c>
      <c r="AD1630" s="110" t="n">
        <f aca="false">IF(OR(F1630="",Q1630="",R1630=""),"",ROUND(IF(P1630="incl.",F1630/(1+Q1630),F1630)/IF(S1630="per pack",R1630,1),2))</f>
        <v>3.83</v>
      </c>
      <c r="AE1630" s="110" t="str">
        <f aca="false">IF(AND(AC1630="yes",ISNUMBER(F1630),IF(Compare!$H$5="All mapped",TRUE(),IF(Compare!$H$5="EXACT only",J1630="EXACT",OR(J1630="EXACT",J1630="CLOSE")))),"yes","no")</f>
        <v>yes</v>
      </c>
      <c r="AF1630" s="110" t="n">
        <f aca="false">IF(ISNUMBER(H1630),COUNTIFS($B$7:$B$3000,B1630,$C$7:$C$3000,C1630,$H$7:$H$3000,"&lt;"&amp;H1630,$AH$7:$AH$3000,"yes")+COUNTIFS($B$7:B1630,B1630,$C$7:C1630,C1630,$H$7:H1630,H1630,$AH$7:AH1630,"yes"),"")</f>
        <v>4</v>
      </c>
      <c r="AG1630" s="110" t="n">
        <f aca="false">IF(ISNUMBER(I1630),COUNTIFS($B$7:$B$3000,B1630,$C$7:$C$3000,C1630,$I$7:$I$3000,"&lt;"&amp;I1630,$AI$7:$AI$3000,"yes")+COUNTIFS($B$7:B1630,B1630,$C$7:C1630,C1630,$I$7:I1630,I1630,$AI$7:AI1630,"yes"),"")</f>
        <v>4</v>
      </c>
      <c r="AH1630" s="110" t="str">
        <f aca="false">IF(ISNUMBER(H1630),"yes","no")</f>
        <v>yes</v>
      </c>
      <c r="AI1630" s="110" t="str">
        <f aca="false">IF(ISNUMBER(I1630),"yes","no")</f>
        <v>yes</v>
      </c>
      <c r="AJ1630" s="120" t="n">
        <v>46297</v>
      </c>
      <c r="AK1630" s="110"/>
    </row>
    <row r="1631" customFormat="false" ht="35.05" hidden="false" customHeight="false" outlineLevel="0" collapsed="false">
      <c r="B1631" s="36" t="s">
        <v>93</v>
      </c>
      <c r="C1631" s="98" t="s">
        <v>16</v>
      </c>
      <c r="D1631" s="98" t="s">
        <v>329</v>
      </c>
      <c r="E1631" s="110" t="s">
        <v>5101</v>
      </c>
      <c r="F1631" s="99" t="n">
        <v>3.99</v>
      </c>
      <c r="G1631" s="98" t="s">
        <v>244</v>
      </c>
      <c r="H1631" s="112" t="n">
        <f aca="false">IF(AND(AE1631="yes",ISNUMBER(AD1631)),AD1631,"")</f>
        <v>3.99</v>
      </c>
      <c r="I1631" s="95" t="n">
        <f aca="false">IF(AND(AE1631="yes",ISNUMBER(AD1631),ISNUMBER(INDEX(Sources!$G$7:$G$10,MATCH(AB1631,Sources!$B$7:$B$10,0)))),ROUND(AD1631/INDEX(Sources!$G$7:$G$10,MATCH(AB1631,Sources!$B$7:$B$10,0)),6),"")</f>
        <v>3.99</v>
      </c>
      <c r="J1631" s="98" t="s">
        <v>530</v>
      </c>
      <c r="K1631" s="98" t="s">
        <v>2059</v>
      </c>
      <c r="L1631" s="96"/>
      <c r="M1631" s="110" t="s">
        <v>5102</v>
      </c>
      <c r="N1631" s="117" t="s">
        <v>5103</v>
      </c>
      <c r="O1631" s="110" t="s">
        <v>642</v>
      </c>
      <c r="P1631" s="110" t="s">
        <v>590</v>
      </c>
      <c r="Q1631" s="118" t="n">
        <v>0.19</v>
      </c>
      <c r="R1631" s="110" t="n">
        <v>1</v>
      </c>
      <c r="S1631" s="110" t="s">
        <v>632</v>
      </c>
      <c r="T1631" s="110" t="s">
        <v>530</v>
      </c>
      <c r="U1631" s="110" t="s">
        <v>2913</v>
      </c>
      <c r="V1631" s="119" t="n">
        <v>3.99</v>
      </c>
      <c r="W1631" s="119"/>
      <c r="X1631" s="110" t="s">
        <v>2063</v>
      </c>
      <c r="Y1631" s="110" t="s">
        <v>2064</v>
      </c>
      <c r="Z1631" s="110" t="s">
        <v>2777</v>
      </c>
      <c r="AA1631" s="110" t="s">
        <v>537</v>
      </c>
      <c r="AB1631" s="110" t="s">
        <v>244</v>
      </c>
      <c r="AC1631" s="110" t="s">
        <v>538</v>
      </c>
      <c r="AD1631" s="110" t="n">
        <f aca="false">IF(OR(F1631="",Q1631="",R1631=""),"",ROUND(IF(P1631="incl.",F1631/(1+Q1631),F1631)/IF(S1631="per pack",R1631,1),2))</f>
        <v>3.99</v>
      </c>
      <c r="AE1631" s="110" t="str">
        <f aca="false">IF(AND(AC1631="yes",ISNUMBER(F1631),IF(Compare!$H$5="All mapped",TRUE(),IF(Compare!$H$5="EXACT only",J1631="EXACT",OR(J1631="EXACT",J1631="CLOSE")))),"yes","no")</f>
        <v>yes</v>
      </c>
      <c r="AF1631" s="110" t="n">
        <f aca="false">IF(ISNUMBER(H1631),COUNTIFS($B$7:$B$3000,B1631,$C$7:$C$3000,C1631,$H$7:$H$3000,"&lt;"&amp;H1631,$AH$7:$AH$3000,"yes")+COUNTIFS($B$7:B1631,B1631,$C$7:C1631,C1631,$H$7:H1631,H1631,$AH$7:AH1631,"yes"),"")</f>
        <v>5</v>
      </c>
      <c r="AG1631" s="110" t="n">
        <f aca="false">IF(ISNUMBER(I1631),COUNTIFS($B$7:$B$3000,B1631,$C$7:$C$3000,C1631,$I$7:$I$3000,"&lt;"&amp;I1631,$AI$7:$AI$3000,"yes")+COUNTIFS($B$7:B1631,B1631,$C$7:C1631,C1631,$I$7:I1631,I1631,$AI$7:AI1631,"yes"),"")</f>
        <v>5</v>
      </c>
      <c r="AH1631" s="110" t="str">
        <f aca="false">IF(ISNUMBER(H1631),"yes","no")</f>
        <v>yes</v>
      </c>
      <c r="AI1631" s="110" t="str">
        <f aca="false">IF(ISNUMBER(I1631),"yes","no")</f>
        <v>yes</v>
      </c>
      <c r="AJ1631" s="120" t="n">
        <v>46297</v>
      </c>
      <c r="AK1631" s="110"/>
    </row>
    <row r="1632" customFormat="false" ht="35.05" hidden="false" customHeight="false" outlineLevel="0" collapsed="false">
      <c r="B1632" s="36" t="s">
        <v>93</v>
      </c>
      <c r="C1632" s="98" t="s">
        <v>17</v>
      </c>
      <c r="D1632" s="98" t="s">
        <v>338</v>
      </c>
      <c r="E1632" s="110" t="s">
        <v>5104</v>
      </c>
      <c r="F1632" s="99" t="n">
        <v>108</v>
      </c>
      <c r="G1632" s="98" t="s">
        <v>333</v>
      </c>
      <c r="H1632" s="112" t="n">
        <f aca="false">IF(AND(AE1632="yes",ISNUMBER(AD1632)),AD1632,"")</f>
        <v>89.26</v>
      </c>
      <c r="I1632" s="95" t="n">
        <f aca="false">IF(AND(AE1632="yes",ISNUMBER(AD1632),ISNUMBER(INDEX(Sources!$G$7:$G$10,MATCH(AB1632,Sources!$B$7:$B$10,0)))),ROUND(AD1632/INDEX(Sources!$G$7:$G$10,MATCH(AB1632,Sources!$B$7:$B$10,0)),6),"")</f>
        <v>3.65466</v>
      </c>
      <c r="J1632" s="98" t="s">
        <v>530</v>
      </c>
      <c r="K1632" s="98" t="s">
        <v>2059</v>
      </c>
      <c r="L1632" s="96"/>
      <c r="M1632" s="110" t="s">
        <v>5105</v>
      </c>
      <c r="N1632" s="117" t="s">
        <v>5106</v>
      </c>
      <c r="O1632" s="110" t="s">
        <v>5107</v>
      </c>
      <c r="P1632" s="110" t="s">
        <v>265</v>
      </c>
      <c r="Q1632" s="118" t="n">
        <v>0.21</v>
      </c>
      <c r="R1632" s="110" t="n">
        <v>1</v>
      </c>
      <c r="S1632" s="110" t="s">
        <v>632</v>
      </c>
      <c r="T1632" s="110" t="s">
        <v>530</v>
      </c>
      <c r="U1632" s="110" t="s">
        <v>2918</v>
      </c>
      <c r="V1632" s="119" t="n">
        <v>89.26</v>
      </c>
      <c r="W1632" s="119"/>
      <c r="X1632" s="110" t="s">
        <v>2063</v>
      </c>
      <c r="Y1632" s="110" t="s">
        <v>2064</v>
      </c>
      <c r="Z1632" s="110" t="s">
        <v>5108</v>
      </c>
      <c r="AA1632" s="110" t="s">
        <v>537</v>
      </c>
      <c r="AB1632" s="110" t="s">
        <v>333</v>
      </c>
      <c r="AC1632" s="110" t="s">
        <v>538</v>
      </c>
      <c r="AD1632" s="110" t="n">
        <f aca="false">IF(OR(F1632="",Q1632="",R1632=""),"",ROUND(IF(P1632="incl.",F1632/(1+Q1632),F1632)/IF(S1632="per pack",R1632,1),2))</f>
        <v>89.26</v>
      </c>
      <c r="AE1632" s="110" t="str">
        <f aca="false">IF(AND(AC1632="yes",ISNUMBER(F1632),IF(Compare!$H$5="All mapped",TRUE(),IF(Compare!$H$5="EXACT only",J1632="EXACT",OR(J1632="EXACT",J1632="CLOSE")))),"yes","no")</f>
        <v>yes</v>
      </c>
      <c r="AF1632" s="110" t="n">
        <f aca="false">IF(ISNUMBER(H1632),COUNTIFS($B$7:$B$3000,B1632,$C$7:$C$3000,C1632,$H$7:$H$3000,"&lt;"&amp;H1632,$AH$7:$AH$3000,"yes")+COUNTIFS($B$7:B1632,B1632,$C$7:C1632,C1632,$H$7:H1632,H1632,$AH$7:AH1632,"yes"),"")</f>
        <v>4</v>
      </c>
      <c r="AG1632" s="110" t="n">
        <f aca="false">IF(ISNUMBER(I1632),COUNTIFS($B$7:$B$3000,B1632,$C$7:$C$3000,C1632,$I$7:$I$3000,"&lt;"&amp;I1632,$AI$7:$AI$3000,"yes")+COUNTIFS($B$7:B1632,B1632,$C$7:C1632,C1632,$I$7:I1632,I1632,$AI$7:AI1632,"yes"),"")</f>
        <v>4</v>
      </c>
      <c r="AH1632" s="110" t="str">
        <f aca="false">IF(ISNUMBER(H1632),"yes","no")</f>
        <v>yes</v>
      </c>
      <c r="AI1632" s="110" t="str">
        <f aca="false">IF(ISNUMBER(I1632),"yes","no")</f>
        <v>yes</v>
      </c>
      <c r="AJ1632" s="120" t="n">
        <v>46297</v>
      </c>
      <c r="AK1632" s="110"/>
    </row>
    <row r="1633" customFormat="false" ht="35.05" hidden="false" customHeight="false" outlineLevel="0" collapsed="false">
      <c r="B1633" s="36" t="s">
        <v>93</v>
      </c>
      <c r="C1633" s="98" t="s">
        <v>17</v>
      </c>
      <c r="D1633" s="98" t="s">
        <v>342</v>
      </c>
      <c r="E1633" s="110" t="s">
        <v>5109</v>
      </c>
      <c r="F1633" s="99" t="n">
        <v>149</v>
      </c>
      <c r="G1633" s="98" t="s">
        <v>333</v>
      </c>
      <c r="H1633" s="112" t="n">
        <f aca="false">IF(AND(AE1633="yes",ISNUMBER(AD1633)),AD1633,"")</f>
        <v>149</v>
      </c>
      <c r="I1633" s="95" t="n">
        <f aca="false">IF(AND(AE1633="yes",ISNUMBER(AD1633),ISNUMBER(INDEX(Sources!$G$7:$G$10,MATCH(AB1633,Sources!$B$7:$B$10,0)))),ROUND(AD1633/INDEX(Sources!$G$7:$G$10,MATCH(AB1633,Sources!$B$7:$B$10,0)),6),"")</f>
        <v>6.100653</v>
      </c>
      <c r="J1633" s="98" t="s">
        <v>530</v>
      </c>
      <c r="K1633" s="98" t="s">
        <v>2059</v>
      </c>
      <c r="L1633" s="96"/>
      <c r="M1633" s="110" t="s">
        <v>5110</v>
      </c>
      <c r="N1633" s="117" t="s">
        <v>5111</v>
      </c>
      <c r="O1633" s="110" t="s">
        <v>388</v>
      </c>
      <c r="P1633" s="110" t="s">
        <v>590</v>
      </c>
      <c r="Q1633" s="118" t="n">
        <v>0.21</v>
      </c>
      <c r="R1633" s="110" t="n">
        <v>1</v>
      </c>
      <c r="S1633" s="110" t="s">
        <v>632</v>
      </c>
      <c r="T1633" s="110" t="s">
        <v>530</v>
      </c>
      <c r="U1633" s="110" t="s">
        <v>2913</v>
      </c>
      <c r="V1633" s="119" t="n">
        <v>149</v>
      </c>
      <c r="W1633" s="119"/>
      <c r="X1633" s="110" t="s">
        <v>2063</v>
      </c>
      <c r="Y1633" s="110" t="s">
        <v>2064</v>
      </c>
      <c r="Z1633" s="110" t="s">
        <v>4391</v>
      </c>
      <c r="AA1633" s="110" t="s">
        <v>537</v>
      </c>
      <c r="AB1633" s="110" t="s">
        <v>333</v>
      </c>
      <c r="AC1633" s="110" t="s">
        <v>538</v>
      </c>
      <c r="AD1633" s="110" t="n">
        <f aca="false">IF(OR(F1633="",Q1633="",R1633=""),"",ROUND(IF(P1633="incl.",F1633/(1+Q1633),F1633)/IF(S1633="per pack",R1633,1),2))</f>
        <v>149</v>
      </c>
      <c r="AE1633" s="110" t="str">
        <f aca="false">IF(AND(AC1633="yes",ISNUMBER(F1633),IF(Compare!$H$5="All mapped",TRUE(),IF(Compare!$H$5="EXACT only",J1633="EXACT",OR(J1633="EXACT",J1633="CLOSE")))),"yes","no")</f>
        <v>yes</v>
      </c>
      <c r="AF1633" s="110" t="n">
        <f aca="false">IF(ISNUMBER(H1633),COUNTIFS($B$7:$B$3000,B1633,$C$7:$C$3000,C1633,$H$7:$H$3000,"&lt;"&amp;H1633,$AH$7:$AH$3000,"yes")+COUNTIFS($B$7:B1633,B1633,$C$7:C1633,C1633,$H$7:H1633,H1633,$AH$7:AH1633,"yes"),"")</f>
        <v>5</v>
      </c>
      <c r="AG1633" s="110" t="n">
        <f aca="false">IF(ISNUMBER(I1633),COUNTIFS($B$7:$B$3000,B1633,$C$7:$C$3000,C1633,$I$7:$I$3000,"&lt;"&amp;I1633,$AI$7:$AI$3000,"yes")+COUNTIFS($B$7:B1633,B1633,$C$7:C1633,C1633,$I$7:I1633,I1633,$AI$7:AI1633,"yes"),"")</f>
        <v>5</v>
      </c>
      <c r="AH1633" s="110" t="str">
        <f aca="false">IF(ISNUMBER(H1633),"yes","no")</f>
        <v>yes</v>
      </c>
      <c r="AI1633" s="110" t="str">
        <f aca="false">IF(ISNUMBER(I1633),"yes","no")</f>
        <v>yes</v>
      </c>
      <c r="AJ1633" s="120" t="n">
        <v>46297</v>
      </c>
      <c r="AK1633" s="110"/>
    </row>
    <row r="1634" customFormat="false" ht="23.85" hidden="false" customHeight="false" outlineLevel="0" collapsed="false">
      <c r="B1634" s="36" t="s">
        <v>93</v>
      </c>
      <c r="C1634" s="98" t="s">
        <v>17</v>
      </c>
      <c r="D1634" s="98" t="s">
        <v>350</v>
      </c>
      <c r="E1634" s="110" t="s">
        <v>5112</v>
      </c>
      <c r="F1634" s="99" t="n">
        <v>64</v>
      </c>
      <c r="G1634" s="98" t="s">
        <v>333</v>
      </c>
      <c r="H1634" s="112" t="n">
        <f aca="false">IF(AND(AE1634="yes",ISNUMBER(AD1634)),AD1634,"")</f>
        <v>52.89</v>
      </c>
      <c r="I1634" s="95" t="n">
        <f aca="false">IF(AND(AE1634="yes",ISNUMBER(AD1634),ISNUMBER(INDEX(Sources!$G$7:$G$10,MATCH(AB1634,Sources!$B$7:$B$10,0)))),ROUND(AD1634/INDEX(Sources!$G$7:$G$10,MATCH(AB1634,Sources!$B$7:$B$10,0)),6),"")</f>
        <v>2.165527</v>
      </c>
      <c r="J1634" s="98" t="s">
        <v>530</v>
      </c>
      <c r="K1634" s="98" t="s">
        <v>2059</v>
      </c>
      <c r="L1634" s="96"/>
      <c r="M1634" s="110" t="s">
        <v>5113</v>
      </c>
      <c r="N1634" s="117" t="s">
        <v>5114</v>
      </c>
      <c r="O1634" s="110" t="s">
        <v>2452</v>
      </c>
      <c r="P1634" s="110" t="s">
        <v>265</v>
      </c>
      <c r="Q1634" s="118" t="n">
        <v>0.21</v>
      </c>
      <c r="R1634" s="110" t="n">
        <v>1</v>
      </c>
      <c r="S1634" s="110" t="s">
        <v>632</v>
      </c>
      <c r="T1634" s="110" t="s">
        <v>530</v>
      </c>
      <c r="U1634" s="110" t="s">
        <v>2918</v>
      </c>
      <c r="V1634" s="119" t="n">
        <v>52.89</v>
      </c>
      <c r="W1634" s="119"/>
      <c r="X1634" s="110" t="s">
        <v>2063</v>
      </c>
      <c r="Y1634" s="110" t="s">
        <v>2064</v>
      </c>
      <c r="Z1634" s="110" t="s">
        <v>2344</v>
      </c>
      <c r="AA1634" s="110" t="s">
        <v>537</v>
      </c>
      <c r="AB1634" s="110" t="s">
        <v>333</v>
      </c>
      <c r="AC1634" s="110" t="s">
        <v>538</v>
      </c>
      <c r="AD1634" s="110" t="n">
        <f aca="false">IF(OR(F1634="",Q1634="",R1634=""),"",ROUND(IF(P1634="incl.",F1634/(1+Q1634),F1634)/IF(S1634="per pack",R1634,1),2))</f>
        <v>52.89</v>
      </c>
      <c r="AE1634" s="110" t="str">
        <f aca="false">IF(AND(AC1634="yes",ISNUMBER(F1634),IF(Compare!$H$5="All mapped",TRUE(),IF(Compare!$H$5="EXACT only",J1634="EXACT",OR(J1634="EXACT",J1634="CLOSE")))),"yes","no")</f>
        <v>yes</v>
      </c>
      <c r="AF1634" s="110" t="n">
        <f aca="false">IF(ISNUMBER(H1634),COUNTIFS($B$7:$B$3000,B1634,$C$7:$C$3000,C1634,$H$7:$H$3000,"&lt;"&amp;H1634,$AH$7:$AH$3000,"yes")+COUNTIFS($B$7:B1634,B1634,$C$7:C1634,C1634,$H$7:H1634,H1634,$AH$7:AH1634,"yes"),"")</f>
        <v>1</v>
      </c>
      <c r="AG1634" s="110" t="n">
        <f aca="false">IF(ISNUMBER(I1634),COUNTIFS($B$7:$B$3000,B1634,$C$7:$C$3000,C1634,$I$7:$I$3000,"&lt;"&amp;I1634,$AI$7:$AI$3000,"yes")+COUNTIFS($B$7:B1634,B1634,$C$7:C1634,C1634,$I$7:I1634,I1634,$AI$7:AI1634,"yes"),"")</f>
        <v>1</v>
      </c>
      <c r="AH1634" s="110" t="str">
        <f aca="false">IF(ISNUMBER(H1634),"yes","no")</f>
        <v>yes</v>
      </c>
      <c r="AI1634" s="110" t="str">
        <f aca="false">IF(ISNUMBER(I1634),"yes","no")</f>
        <v>yes</v>
      </c>
      <c r="AJ1634" s="120" t="n">
        <v>46297</v>
      </c>
      <c r="AK1634" s="110"/>
    </row>
    <row r="1635" customFormat="false" ht="35.05" hidden="false" customHeight="false" outlineLevel="0" collapsed="false">
      <c r="B1635" s="36" t="s">
        <v>93</v>
      </c>
      <c r="C1635" s="98" t="s">
        <v>17</v>
      </c>
      <c r="D1635" s="98" t="s">
        <v>357</v>
      </c>
      <c r="E1635" s="110" t="s">
        <v>5115</v>
      </c>
      <c r="F1635" s="99" t="n">
        <v>96.8</v>
      </c>
      <c r="G1635" s="98" t="s">
        <v>333</v>
      </c>
      <c r="H1635" s="112" t="n">
        <f aca="false">IF(AND(AE1635="yes",ISNUMBER(AD1635)),AD1635,"")</f>
        <v>80</v>
      </c>
      <c r="I1635" s="95" t="n">
        <f aca="false">IF(AND(AE1635="yes",ISNUMBER(AD1635),ISNUMBER(INDEX(Sources!$G$7:$G$10,MATCH(AB1635,Sources!$B$7:$B$10,0)))),ROUND(AD1635/INDEX(Sources!$G$7:$G$10,MATCH(AB1635,Sources!$B$7:$B$10,0)),6),"")</f>
        <v>3.275518</v>
      </c>
      <c r="J1635" s="98" t="s">
        <v>530</v>
      </c>
      <c r="K1635" s="98" t="s">
        <v>2059</v>
      </c>
      <c r="L1635" s="96"/>
      <c r="M1635" s="110" t="s">
        <v>5116</v>
      </c>
      <c r="N1635" s="117" t="s">
        <v>5117</v>
      </c>
      <c r="O1635" s="110" t="s">
        <v>388</v>
      </c>
      <c r="P1635" s="110" t="s">
        <v>265</v>
      </c>
      <c r="Q1635" s="118" t="n">
        <v>0.21</v>
      </c>
      <c r="R1635" s="110" t="n">
        <v>1</v>
      </c>
      <c r="S1635" s="110" t="s">
        <v>632</v>
      </c>
      <c r="T1635" s="110" t="s">
        <v>530</v>
      </c>
      <c r="U1635" s="110" t="s">
        <v>2918</v>
      </c>
      <c r="V1635" s="119" t="n">
        <v>80</v>
      </c>
      <c r="W1635" s="119"/>
      <c r="X1635" s="110" t="s">
        <v>2063</v>
      </c>
      <c r="Y1635" s="110" t="s">
        <v>2064</v>
      </c>
      <c r="Z1635" s="110"/>
      <c r="AA1635" s="110" t="s">
        <v>537</v>
      </c>
      <c r="AB1635" s="110" t="s">
        <v>333</v>
      </c>
      <c r="AC1635" s="110" t="s">
        <v>538</v>
      </c>
      <c r="AD1635" s="110" t="n">
        <f aca="false">IF(OR(F1635="",Q1635="",R1635=""),"",ROUND(IF(P1635="incl.",F1635/(1+Q1635),F1635)/IF(S1635="per pack",R1635,1),2))</f>
        <v>80</v>
      </c>
      <c r="AE1635" s="110" t="str">
        <f aca="false">IF(AND(AC1635="yes",ISNUMBER(F1635),IF(Compare!$H$5="All mapped",TRUE(),IF(Compare!$H$5="EXACT only",J1635="EXACT",OR(J1635="EXACT",J1635="CLOSE")))),"yes","no")</f>
        <v>yes</v>
      </c>
      <c r="AF1635" s="110" t="n">
        <f aca="false">IF(ISNUMBER(H1635),COUNTIFS($B$7:$B$3000,B1635,$C$7:$C$3000,C1635,$H$7:$H$3000,"&lt;"&amp;H1635,$AH$7:$AH$3000,"yes")+COUNTIFS($B$7:B1635,B1635,$C$7:C1635,C1635,$H$7:H1635,H1635,$AH$7:AH1635,"yes"),"")</f>
        <v>2</v>
      </c>
      <c r="AG1635" s="110" t="n">
        <f aca="false">IF(ISNUMBER(I1635),COUNTIFS($B$7:$B$3000,B1635,$C$7:$C$3000,C1635,$I$7:$I$3000,"&lt;"&amp;I1635,$AI$7:$AI$3000,"yes")+COUNTIFS($B$7:B1635,B1635,$C$7:C1635,C1635,$I$7:I1635,I1635,$AI$7:AI1635,"yes"),"")</f>
        <v>2</v>
      </c>
      <c r="AH1635" s="110" t="str">
        <f aca="false">IF(ISNUMBER(H1635),"yes","no")</f>
        <v>yes</v>
      </c>
      <c r="AI1635" s="110" t="str">
        <f aca="false">IF(ISNUMBER(I1635),"yes","no")</f>
        <v>yes</v>
      </c>
      <c r="AJ1635" s="120" t="n">
        <v>46297</v>
      </c>
      <c r="AK1635" s="110"/>
    </row>
    <row r="1636" customFormat="false" ht="35.05" hidden="false" customHeight="false" outlineLevel="0" collapsed="false">
      <c r="B1636" s="36" t="s">
        <v>93</v>
      </c>
      <c r="C1636" s="98" t="s">
        <v>17</v>
      </c>
      <c r="D1636" s="98" t="s">
        <v>361</v>
      </c>
      <c r="E1636" s="110" t="s">
        <v>5118</v>
      </c>
      <c r="F1636" s="99" t="n">
        <v>105</v>
      </c>
      <c r="G1636" s="98" t="s">
        <v>333</v>
      </c>
      <c r="H1636" s="112" t="n">
        <f aca="false">IF(AND(AE1636="yes",ISNUMBER(AD1636)),AD1636,"")</f>
        <v>86.78</v>
      </c>
      <c r="I1636" s="95" t="n">
        <f aca="false">IF(AND(AE1636="yes",ISNUMBER(AD1636),ISNUMBER(INDEX(Sources!$G$7:$G$10,MATCH(AB1636,Sources!$B$7:$B$10,0)))),ROUND(AD1636/INDEX(Sources!$G$7:$G$10,MATCH(AB1636,Sources!$B$7:$B$10,0)),6),"")</f>
        <v>3.553118</v>
      </c>
      <c r="J1636" s="98" t="s">
        <v>530</v>
      </c>
      <c r="K1636" s="98" t="s">
        <v>2059</v>
      </c>
      <c r="L1636" s="96"/>
      <c r="M1636" s="110" t="s">
        <v>5119</v>
      </c>
      <c r="N1636" s="117" t="s">
        <v>5120</v>
      </c>
      <c r="O1636" s="110" t="s">
        <v>642</v>
      </c>
      <c r="P1636" s="110" t="s">
        <v>265</v>
      </c>
      <c r="Q1636" s="118" t="n">
        <v>0.21</v>
      </c>
      <c r="R1636" s="110" t="n">
        <v>1</v>
      </c>
      <c r="S1636" s="110" t="s">
        <v>632</v>
      </c>
      <c r="T1636" s="110" t="s">
        <v>530</v>
      </c>
      <c r="U1636" s="110" t="s">
        <v>2918</v>
      </c>
      <c r="V1636" s="119" t="n">
        <v>86.78</v>
      </c>
      <c r="W1636" s="119"/>
      <c r="X1636" s="110" t="s">
        <v>2063</v>
      </c>
      <c r="Y1636" s="110" t="s">
        <v>2064</v>
      </c>
      <c r="Z1636" s="110" t="s">
        <v>2400</v>
      </c>
      <c r="AA1636" s="110" t="s">
        <v>537</v>
      </c>
      <c r="AB1636" s="110" t="s">
        <v>333</v>
      </c>
      <c r="AC1636" s="110" t="s">
        <v>538</v>
      </c>
      <c r="AD1636" s="110" t="n">
        <f aca="false">IF(OR(F1636="",Q1636="",R1636=""),"",ROUND(IF(P1636="incl.",F1636/(1+Q1636),F1636)/IF(S1636="per pack",R1636,1),2))</f>
        <v>86.78</v>
      </c>
      <c r="AE1636" s="110" t="str">
        <f aca="false">IF(AND(AC1636="yes",ISNUMBER(F1636),IF(Compare!$H$5="All mapped",TRUE(),IF(Compare!$H$5="EXACT only",J1636="EXACT",OR(J1636="EXACT",J1636="CLOSE")))),"yes","no")</f>
        <v>yes</v>
      </c>
      <c r="AF1636" s="110" t="n">
        <f aca="false">IF(ISNUMBER(H1636),COUNTIFS($B$7:$B$3000,B1636,$C$7:$C$3000,C1636,$H$7:$H$3000,"&lt;"&amp;H1636,$AH$7:$AH$3000,"yes")+COUNTIFS($B$7:B1636,B1636,$C$7:C1636,C1636,$H$7:H1636,H1636,$AH$7:AH1636,"yes"),"")</f>
        <v>3</v>
      </c>
      <c r="AG1636" s="110" t="n">
        <f aca="false">IF(ISNUMBER(I1636),COUNTIFS($B$7:$B$3000,B1636,$C$7:$C$3000,C1636,$I$7:$I$3000,"&lt;"&amp;I1636,$AI$7:$AI$3000,"yes")+COUNTIFS($B$7:B1636,B1636,$C$7:C1636,C1636,$I$7:I1636,I1636,$AI$7:AI1636,"yes"),"")</f>
        <v>3</v>
      </c>
      <c r="AH1636" s="110" t="str">
        <f aca="false">IF(ISNUMBER(H1636),"yes","no")</f>
        <v>yes</v>
      </c>
      <c r="AI1636" s="110" t="str">
        <f aca="false">IF(ISNUMBER(I1636),"yes","no")</f>
        <v>yes</v>
      </c>
      <c r="AJ1636" s="120" t="n">
        <v>46297</v>
      </c>
      <c r="AK1636" s="110"/>
    </row>
    <row r="1637" customFormat="false" ht="23.85" hidden="false" customHeight="false" outlineLevel="0" collapsed="false">
      <c r="B1637" s="36" t="s">
        <v>93</v>
      </c>
      <c r="C1637" s="98" t="s">
        <v>18</v>
      </c>
      <c r="D1637" s="98" t="s">
        <v>3002</v>
      </c>
      <c r="E1637" s="110" t="s">
        <v>5121</v>
      </c>
      <c r="F1637" s="99" t="n">
        <v>4</v>
      </c>
      <c r="G1637" s="98" t="s">
        <v>244</v>
      </c>
      <c r="H1637" s="112" t="n">
        <f aca="false">IF(AND(AE1637="yes",ISNUMBER(AD1637)),AD1637,"")</f>
        <v>4</v>
      </c>
      <c r="I1637" s="95" t="n">
        <f aca="false">IF(AND(AE1637="yes",ISNUMBER(AD1637),ISNUMBER(INDEX(Sources!$G$7:$G$10,MATCH(AB1637,Sources!$B$7:$B$10,0)))),ROUND(AD1637/INDEX(Sources!$G$7:$G$10,MATCH(AB1637,Sources!$B$7:$B$10,0)),6),"")</f>
        <v>4</v>
      </c>
      <c r="J1637" s="98" t="s">
        <v>530</v>
      </c>
      <c r="K1637" s="98" t="s">
        <v>2059</v>
      </c>
      <c r="L1637" s="96"/>
      <c r="M1637" s="110" t="s">
        <v>5122</v>
      </c>
      <c r="N1637" s="117" t="s">
        <v>4404</v>
      </c>
      <c r="O1637" s="110" t="s">
        <v>2396</v>
      </c>
      <c r="P1637" s="110" t="s">
        <v>590</v>
      </c>
      <c r="Q1637" s="118" t="n">
        <v>0.23</v>
      </c>
      <c r="R1637" s="110" t="n">
        <v>1</v>
      </c>
      <c r="S1637" s="110" t="s">
        <v>632</v>
      </c>
      <c r="T1637" s="110" t="s">
        <v>530</v>
      </c>
      <c r="U1637" s="110" t="s">
        <v>2913</v>
      </c>
      <c r="V1637" s="119" t="n">
        <v>4</v>
      </c>
      <c r="W1637" s="119"/>
      <c r="X1637" s="110" t="s">
        <v>2063</v>
      </c>
      <c r="Y1637" s="110" t="s">
        <v>2064</v>
      </c>
      <c r="Z1637" s="110" t="s">
        <v>3346</v>
      </c>
      <c r="AA1637" s="110" t="s">
        <v>537</v>
      </c>
      <c r="AB1637" s="110" t="s">
        <v>244</v>
      </c>
      <c r="AC1637" s="110" t="s">
        <v>538</v>
      </c>
      <c r="AD1637" s="110" t="n">
        <f aca="false">IF(OR(F1637="",Q1637="",R1637=""),"",ROUND(IF(P1637="incl.",F1637/(1+Q1637),F1637)/IF(S1637="per pack",R1637,1),2))</f>
        <v>4</v>
      </c>
      <c r="AE1637" s="110" t="str">
        <f aca="false">IF(AND(AC1637="yes",ISNUMBER(F1637),IF(Compare!$H$5="All mapped",TRUE(),IF(Compare!$H$5="EXACT only",J1637="EXACT",OR(J1637="EXACT",J1637="CLOSE")))),"yes","no")</f>
        <v>yes</v>
      </c>
      <c r="AF1637" s="110" t="n">
        <f aca="false">IF(ISNUMBER(H1637),COUNTIFS($B$7:$B$3000,B1637,$C$7:$C$3000,C1637,$H$7:$H$3000,"&lt;"&amp;H1637,$AH$7:$AH$3000,"yes")+COUNTIFS($B$7:B1637,B1637,$C$7:C1637,C1637,$H$7:H1637,H1637,$AH$7:AH1637,"yes"),"")</f>
        <v>4</v>
      </c>
      <c r="AG1637" s="110" t="n">
        <f aca="false">IF(ISNUMBER(I1637),COUNTIFS($B$7:$B$3000,B1637,$C$7:$C$3000,C1637,$I$7:$I$3000,"&lt;"&amp;I1637,$AI$7:$AI$3000,"yes")+COUNTIFS($B$7:B1637,B1637,$C$7:C1637,C1637,$I$7:I1637,I1637,$AI$7:AI1637,"yes"),"")</f>
        <v>4</v>
      </c>
      <c r="AH1637" s="110" t="str">
        <f aca="false">IF(ISNUMBER(H1637),"yes","no")</f>
        <v>yes</v>
      </c>
      <c r="AI1637" s="110" t="str">
        <f aca="false">IF(ISNUMBER(I1637),"yes","no")</f>
        <v>yes</v>
      </c>
      <c r="AJ1637" s="120" t="n">
        <v>46297</v>
      </c>
      <c r="AK1637" s="110"/>
    </row>
    <row r="1638" customFormat="false" ht="35.05" hidden="false" customHeight="false" outlineLevel="0" collapsed="false">
      <c r="B1638" s="36" t="s">
        <v>93</v>
      </c>
      <c r="C1638" s="98" t="s">
        <v>18</v>
      </c>
      <c r="D1638" s="98" t="s">
        <v>365</v>
      </c>
      <c r="E1638" s="110" t="s">
        <v>5123</v>
      </c>
      <c r="F1638" s="99" t="n">
        <v>2.66</v>
      </c>
      <c r="G1638" s="98" t="s">
        <v>244</v>
      </c>
      <c r="H1638" s="112" t="n">
        <f aca="false">IF(AND(AE1638="yes",ISNUMBER(AD1638)),AD1638,"")</f>
        <v>2.16</v>
      </c>
      <c r="I1638" s="95" t="n">
        <f aca="false">IF(AND(AE1638="yes",ISNUMBER(AD1638),ISNUMBER(INDEX(Sources!$G$7:$G$10,MATCH(AB1638,Sources!$B$7:$B$10,0)))),ROUND(AD1638/INDEX(Sources!$G$7:$G$10,MATCH(AB1638,Sources!$B$7:$B$10,0)),6),"")</f>
        <v>2.16</v>
      </c>
      <c r="J1638" s="98" t="s">
        <v>530</v>
      </c>
      <c r="K1638" s="98" t="s">
        <v>2059</v>
      </c>
      <c r="L1638" s="96"/>
      <c r="M1638" s="110" t="s">
        <v>5124</v>
      </c>
      <c r="N1638" s="117" t="s">
        <v>5125</v>
      </c>
      <c r="O1638" s="110" t="s">
        <v>3076</v>
      </c>
      <c r="P1638" s="110" t="s">
        <v>265</v>
      </c>
      <c r="Q1638" s="118" t="n">
        <v>0.23</v>
      </c>
      <c r="R1638" s="110" t="n">
        <v>1</v>
      </c>
      <c r="S1638" s="110" t="s">
        <v>632</v>
      </c>
      <c r="T1638" s="110" t="s">
        <v>530</v>
      </c>
      <c r="U1638" s="110" t="s">
        <v>2918</v>
      </c>
      <c r="V1638" s="119" t="n">
        <v>2.16</v>
      </c>
      <c r="W1638" s="119"/>
      <c r="X1638" s="110" t="s">
        <v>2063</v>
      </c>
      <c r="Y1638" s="110" t="s">
        <v>2064</v>
      </c>
      <c r="Z1638" s="110" t="s">
        <v>3016</v>
      </c>
      <c r="AA1638" s="110" t="s">
        <v>537</v>
      </c>
      <c r="AB1638" s="110" t="s">
        <v>244</v>
      </c>
      <c r="AC1638" s="110" t="s">
        <v>538</v>
      </c>
      <c r="AD1638" s="110" t="n">
        <f aca="false">IF(OR(F1638="",Q1638="",R1638=""),"",ROUND(IF(P1638="incl.",F1638/(1+Q1638),F1638)/IF(S1638="per pack",R1638,1),2))</f>
        <v>2.16</v>
      </c>
      <c r="AE1638" s="110" t="str">
        <f aca="false">IF(AND(AC1638="yes",ISNUMBER(F1638),IF(Compare!$H$5="All mapped",TRUE(),IF(Compare!$H$5="EXACT only",J1638="EXACT",OR(J1638="EXACT",J1638="CLOSE")))),"yes","no")</f>
        <v>yes</v>
      </c>
      <c r="AF1638" s="110" t="n">
        <f aca="false">IF(ISNUMBER(H1638),COUNTIFS($B$7:$B$3000,B1638,$C$7:$C$3000,C1638,$H$7:$H$3000,"&lt;"&amp;H1638,$AH$7:$AH$3000,"yes")+COUNTIFS($B$7:B1638,B1638,$C$7:C1638,C1638,$H$7:H1638,H1638,$AH$7:AH1638,"yes"),"")</f>
        <v>1</v>
      </c>
      <c r="AG1638" s="110" t="n">
        <f aca="false">IF(ISNUMBER(I1638),COUNTIFS($B$7:$B$3000,B1638,$C$7:$C$3000,C1638,$I$7:$I$3000,"&lt;"&amp;I1638,$AI$7:$AI$3000,"yes")+COUNTIFS($B$7:B1638,B1638,$C$7:C1638,C1638,$I$7:I1638,I1638,$AI$7:AI1638,"yes"),"")</f>
        <v>1</v>
      </c>
      <c r="AH1638" s="110" t="str">
        <f aca="false">IF(ISNUMBER(H1638),"yes","no")</f>
        <v>yes</v>
      </c>
      <c r="AI1638" s="110" t="str">
        <f aca="false">IF(ISNUMBER(I1638),"yes","no")</f>
        <v>yes</v>
      </c>
      <c r="AJ1638" s="120" t="n">
        <v>46297</v>
      </c>
      <c r="AK1638" s="110"/>
    </row>
    <row r="1639" customFormat="false" ht="35.05" hidden="false" customHeight="false" outlineLevel="0" collapsed="false">
      <c r="B1639" s="36" t="s">
        <v>93</v>
      </c>
      <c r="C1639" s="98" t="s">
        <v>18</v>
      </c>
      <c r="D1639" s="98" t="s">
        <v>369</v>
      </c>
      <c r="E1639" s="110" t="s">
        <v>5126</v>
      </c>
      <c r="F1639" s="99" t="n">
        <v>6.1</v>
      </c>
      <c r="G1639" s="98" t="s">
        <v>244</v>
      </c>
      <c r="H1639" s="112" t="n">
        <f aca="false">IF(AND(AE1639="yes",ISNUMBER(AD1639)),AD1639,"")</f>
        <v>4.96</v>
      </c>
      <c r="I1639" s="95" t="n">
        <f aca="false">IF(AND(AE1639="yes",ISNUMBER(AD1639),ISNUMBER(INDEX(Sources!$G$7:$G$10,MATCH(AB1639,Sources!$B$7:$B$10,0)))),ROUND(AD1639/INDEX(Sources!$G$7:$G$10,MATCH(AB1639,Sources!$B$7:$B$10,0)),6),"")</f>
        <v>4.96</v>
      </c>
      <c r="J1639" s="98" t="s">
        <v>530</v>
      </c>
      <c r="K1639" s="98" t="s">
        <v>2059</v>
      </c>
      <c r="L1639" s="96"/>
      <c r="M1639" s="110" t="s">
        <v>5127</v>
      </c>
      <c r="N1639" s="117" t="s">
        <v>5128</v>
      </c>
      <c r="O1639" s="110" t="s">
        <v>783</v>
      </c>
      <c r="P1639" s="110" t="s">
        <v>265</v>
      </c>
      <c r="Q1639" s="118" t="n">
        <v>0.23</v>
      </c>
      <c r="R1639" s="110" t="n">
        <v>1</v>
      </c>
      <c r="S1639" s="110" t="s">
        <v>632</v>
      </c>
      <c r="T1639" s="110" t="s">
        <v>530</v>
      </c>
      <c r="U1639" s="110" t="s">
        <v>2918</v>
      </c>
      <c r="V1639" s="119" t="n">
        <v>4.96</v>
      </c>
      <c r="W1639" s="119"/>
      <c r="X1639" s="110" t="s">
        <v>2063</v>
      </c>
      <c r="Y1639" s="110" t="s">
        <v>2064</v>
      </c>
      <c r="Z1639" s="110" t="s">
        <v>3020</v>
      </c>
      <c r="AA1639" s="110" t="s">
        <v>537</v>
      </c>
      <c r="AB1639" s="110" t="s">
        <v>244</v>
      </c>
      <c r="AC1639" s="110" t="s">
        <v>538</v>
      </c>
      <c r="AD1639" s="110" t="n">
        <f aca="false">IF(OR(F1639="",Q1639="",R1639=""),"",ROUND(IF(P1639="incl.",F1639/(1+Q1639),F1639)/IF(S1639="per pack",R1639,1),2))</f>
        <v>4.96</v>
      </c>
      <c r="AE1639" s="110" t="str">
        <f aca="false">IF(AND(AC1639="yes",ISNUMBER(F1639),IF(Compare!$H$5="All mapped",TRUE(),IF(Compare!$H$5="EXACT only",J1639="EXACT",OR(J1639="EXACT",J1639="CLOSE")))),"yes","no")</f>
        <v>yes</v>
      </c>
      <c r="AF1639" s="110" t="n">
        <f aca="false">IF(ISNUMBER(H1639),COUNTIFS($B$7:$B$3000,B1639,$C$7:$C$3000,C1639,$H$7:$H$3000,"&lt;"&amp;H1639,$AH$7:$AH$3000,"yes")+COUNTIFS($B$7:B1639,B1639,$C$7:C1639,C1639,$H$7:H1639,H1639,$AH$7:AH1639,"yes"),"")</f>
        <v>5</v>
      </c>
      <c r="AG1639" s="110" t="n">
        <f aca="false">IF(ISNUMBER(I1639),COUNTIFS($B$7:$B$3000,B1639,$C$7:$C$3000,C1639,$I$7:$I$3000,"&lt;"&amp;I1639,$AI$7:$AI$3000,"yes")+COUNTIFS($B$7:B1639,B1639,$C$7:C1639,C1639,$I$7:I1639,I1639,$AI$7:AI1639,"yes"),"")</f>
        <v>5</v>
      </c>
      <c r="AH1639" s="110" t="str">
        <f aca="false">IF(ISNUMBER(H1639),"yes","no")</f>
        <v>yes</v>
      </c>
      <c r="AI1639" s="110" t="str">
        <f aca="false">IF(ISNUMBER(I1639),"yes","no")</f>
        <v>yes</v>
      </c>
      <c r="AJ1639" s="120" t="n">
        <v>46297</v>
      </c>
      <c r="AK1639" s="110"/>
    </row>
    <row r="1640" customFormat="false" ht="23.85" hidden="false" customHeight="false" outlineLevel="0" collapsed="false">
      <c r="B1640" s="36" t="s">
        <v>93</v>
      </c>
      <c r="C1640" s="98" t="s">
        <v>18</v>
      </c>
      <c r="D1640" s="98" t="s">
        <v>4579</v>
      </c>
      <c r="E1640" s="110" t="s">
        <v>5129</v>
      </c>
      <c r="F1640" s="99" t="n">
        <v>4.47</v>
      </c>
      <c r="G1640" s="98" t="s">
        <v>244</v>
      </c>
      <c r="H1640" s="112" t="n">
        <f aca="false">IF(AND(AE1640="yes",ISNUMBER(AD1640)),AD1640,"")</f>
        <v>3.63</v>
      </c>
      <c r="I1640" s="95" t="n">
        <f aca="false">IF(AND(AE1640="yes",ISNUMBER(AD1640),ISNUMBER(INDEX(Sources!$G$7:$G$10,MATCH(AB1640,Sources!$B$7:$B$10,0)))),ROUND(AD1640/INDEX(Sources!$G$7:$G$10,MATCH(AB1640,Sources!$B$7:$B$10,0)),6),"")</f>
        <v>3.63</v>
      </c>
      <c r="J1640" s="98" t="s">
        <v>530</v>
      </c>
      <c r="K1640" s="98" t="s">
        <v>2059</v>
      </c>
      <c r="L1640" s="96"/>
      <c r="M1640" s="110" t="s">
        <v>5130</v>
      </c>
      <c r="N1640" s="117" t="s">
        <v>4825</v>
      </c>
      <c r="O1640" s="110" t="s">
        <v>246</v>
      </c>
      <c r="P1640" s="110" t="s">
        <v>265</v>
      </c>
      <c r="Q1640" s="118" t="n">
        <v>0.23</v>
      </c>
      <c r="R1640" s="110" t="n">
        <v>1</v>
      </c>
      <c r="S1640" s="110" t="s">
        <v>632</v>
      </c>
      <c r="T1640" s="110" t="s">
        <v>530</v>
      </c>
      <c r="U1640" s="110" t="s">
        <v>2918</v>
      </c>
      <c r="V1640" s="119" t="n">
        <v>3.63</v>
      </c>
      <c r="W1640" s="119"/>
      <c r="X1640" s="110" t="s">
        <v>2063</v>
      </c>
      <c r="Y1640" s="110" t="s">
        <v>2064</v>
      </c>
      <c r="Z1640" s="110" t="s">
        <v>4826</v>
      </c>
      <c r="AA1640" s="110" t="s">
        <v>537</v>
      </c>
      <c r="AB1640" s="110" t="s">
        <v>244</v>
      </c>
      <c r="AC1640" s="110" t="s">
        <v>538</v>
      </c>
      <c r="AD1640" s="110" t="n">
        <f aca="false">IF(OR(F1640="",Q1640="",R1640=""),"",ROUND(IF(P1640="incl.",F1640/(1+Q1640),F1640)/IF(S1640="per pack",R1640,1),2))</f>
        <v>3.63</v>
      </c>
      <c r="AE1640" s="110" t="str">
        <f aca="false">IF(AND(AC1640="yes",ISNUMBER(F1640),IF(Compare!$H$5="All mapped",TRUE(),IF(Compare!$H$5="EXACT only",J1640="EXACT",OR(J1640="EXACT",J1640="CLOSE")))),"yes","no")</f>
        <v>yes</v>
      </c>
      <c r="AF1640" s="110" t="n">
        <f aca="false">IF(ISNUMBER(H1640),COUNTIFS($B$7:$B$3000,B1640,$C$7:$C$3000,C1640,$H$7:$H$3000,"&lt;"&amp;H1640,$AH$7:$AH$3000,"yes")+COUNTIFS($B$7:B1640,B1640,$C$7:C1640,C1640,$H$7:H1640,H1640,$AH$7:AH1640,"yes"),"")</f>
        <v>3</v>
      </c>
      <c r="AG1640" s="110" t="n">
        <f aca="false">IF(ISNUMBER(I1640),COUNTIFS($B$7:$B$3000,B1640,$C$7:$C$3000,C1640,$I$7:$I$3000,"&lt;"&amp;I1640,$AI$7:$AI$3000,"yes")+COUNTIFS($B$7:B1640,B1640,$C$7:C1640,C1640,$I$7:I1640,I1640,$AI$7:AI1640,"yes"),"")</f>
        <v>3</v>
      </c>
      <c r="AH1640" s="110" t="str">
        <f aca="false">IF(ISNUMBER(H1640),"yes","no")</f>
        <v>yes</v>
      </c>
      <c r="AI1640" s="110" t="str">
        <f aca="false">IF(ISNUMBER(I1640),"yes","no")</f>
        <v>yes</v>
      </c>
      <c r="AJ1640" s="120" t="n">
        <v>46297</v>
      </c>
      <c r="AK1640" s="110"/>
    </row>
    <row r="1641" customFormat="false" ht="23.85" hidden="false" customHeight="false" outlineLevel="0" collapsed="false">
      <c r="B1641" s="36" t="s">
        <v>93</v>
      </c>
      <c r="C1641" s="98" t="s">
        <v>18</v>
      </c>
      <c r="D1641" s="98" t="s">
        <v>3021</v>
      </c>
      <c r="E1641" s="110" t="s">
        <v>5131</v>
      </c>
      <c r="F1641" s="99" t="n">
        <v>3.17</v>
      </c>
      <c r="G1641" s="98" t="s">
        <v>244</v>
      </c>
      <c r="H1641" s="112" t="n">
        <f aca="false">IF(AND(AE1641="yes",ISNUMBER(AD1641)),AD1641,"")</f>
        <v>3.17</v>
      </c>
      <c r="I1641" s="95" t="n">
        <f aca="false">IF(AND(AE1641="yes",ISNUMBER(AD1641),ISNUMBER(INDEX(Sources!$G$7:$G$10,MATCH(AB1641,Sources!$B$7:$B$10,0)))),ROUND(AD1641/INDEX(Sources!$G$7:$G$10,MATCH(AB1641,Sources!$B$7:$B$10,0)),6),"")</f>
        <v>3.17</v>
      </c>
      <c r="J1641" s="98" t="s">
        <v>530</v>
      </c>
      <c r="K1641" s="98" t="s">
        <v>2059</v>
      </c>
      <c r="L1641" s="96"/>
      <c r="M1641" s="110" t="s">
        <v>5132</v>
      </c>
      <c r="N1641" s="117" t="s">
        <v>4416</v>
      </c>
      <c r="O1641" s="110" t="s">
        <v>3024</v>
      </c>
      <c r="P1641" s="110" t="s">
        <v>590</v>
      </c>
      <c r="Q1641" s="118" t="n">
        <v>0.23</v>
      </c>
      <c r="R1641" s="110" t="n">
        <v>1</v>
      </c>
      <c r="S1641" s="110" t="s">
        <v>632</v>
      </c>
      <c r="T1641" s="110" t="s">
        <v>530</v>
      </c>
      <c r="U1641" s="110" t="s">
        <v>2913</v>
      </c>
      <c r="V1641" s="119" t="n">
        <v>3.17</v>
      </c>
      <c r="W1641" s="119"/>
      <c r="X1641" s="110" t="s">
        <v>2063</v>
      </c>
      <c r="Y1641" s="110" t="s">
        <v>2064</v>
      </c>
      <c r="Z1641" s="110" t="s">
        <v>3025</v>
      </c>
      <c r="AA1641" s="110" t="s">
        <v>537</v>
      </c>
      <c r="AB1641" s="110" t="s">
        <v>244</v>
      </c>
      <c r="AC1641" s="110" t="s">
        <v>538</v>
      </c>
      <c r="AD1641" s="110" t="n">
        <f aca="false">IF(OR(F1641="",Q1641="",R1641=""),"",ROUND(IF(P1641="incl.",F1641/(1+Q1641),F1641)/IF(S1641="per pack",R1641,1),2))</f>
        <v>3.17</v>
      </c>
      <c r="AE1641" s="110" t="str">
        <f aca="false">IF(AND(AC1641="yes",ISNUMBER(F1641),IF(Compare!$H$5="All mapped",TRUE(),IF(Compare!$H$5="EXACT only",J1641="EXACT",OR(J1641="EXACT",J1641="CLOSE")))),"yes","no")</f>
        <v>yes</v>
      </c>
      <c r="AF1641" s="110" t="n">
        <f aca="false">IF(ISNUMBER(H1641),COUNTIFS($B$7:$B$3000,B1641,$C$7:$C$3000,C1641,$H$7:$H$3000,"&lt;"&amp;H1641,$AH$7:$AH$3000,"yes")+COUNTIFS($B$7:B1641,B1641,$C$7:C1641,C1641,$H$7:H1641,H1641,$AH$7:AH1641,"yes"),"")</f>
        <v>2</v>
      </c>
      <c r="AG1641" s="110" t="n">
        <f aca="false">IF(ISNUMBER(I1641),COUNTIFS($B$7:$B$3000,B1641,$C$7:$C$3000,C1641,$I$7:$I$3000,"&lt;"&amp;I1641,$AI$7:$AI$3000,"yes")+COUNTIFS($B$7:B1641,B1641,$C$7:C1641,C1641,$I$7:I1641,I1641,$AI$7:AI1641,"yes"),"")</f>
        <v>2</v>
      </c>
      <c r="AH1641" s="110" t="str">
        <f aca="false">IF(ISNUMBER(H1641),"yes","no")</f>
        <v>yes</v>
      </c>
      <c r="AI1641" s="110" t="str">
        <f aca="false">IF(ISNUMBER(I1641),"yes","no")</f>
        <v>yes</v>
      </c>
      <c r="AJ1641" s="120" t="n">
        <v>46297</v>
      </c>
      <c r="AK1641" s="110"/>
    </row>
    <row r="1642" customFormat="false" ht="23.85" hidden="false" customHeight="false" outlineLevel="0" collapsed="false">
      <c r="B1642" s="36" t="s">
        <v>94</v>
      </c>
      <c r="C1642" s="98" t="s">
        <v>14</v>
      </c>
      <c r="D1642" s="98" t="s">
        <v>373</v>
      </c>
      <c r="E1642" s="110" t="s">
        <v>5133</v>
      </c>
      <c r="F1642" s="99" t="n">
        <v>12.84</v>
      </c>
      <c r="G1642" s="98" t="s">
        <v>374</v>
      </c>
      <c r="H1642" s="112" t="n">
        <f aca="false">IF(AND(AE1642="yes",ISNUMBER(AD1642)),AD1642,"")</f>
        <v>12.84</v>
      </c>
      <c r="I1642" s="95" t="n">
        <f aca="false">IF(AND(AE1642="yes",ISNUMBER(AD1642),ISNUMBER(INDEX(Sources!$G$7:$G$10,MATCH(AB1642,Sources!$B$7:$B$10,0)))),ROUND(AD1642/INDEX(Sources!$G$7:$G$10,MATCH(AB1642,Sources!$B$7:$B$10,0)),6),"")</f>
        <v>2.432905</v>
      </c>
      <c r="J1642" s="98" t="s">
        <v>530</v>
      </c>
      <c r="K1642" s="98" t="s">
        <v>2059</v>
      </c>
      <c r="L1642" s="96"/>
      <c r="M1642" s="110" t="s">
        <v>5134</v>
      </c>
      <c r="N1642" s="117" t="s">
        <v>5135</v>
      </c>
      <c r="O1642" s="110" t="s">
        <v>4321</v>
      </c>
      <c r="P1642" s="110" t="s">
        <v>590</v>
      </c>
      <c r="Q1642" s="118" t="n">
        <v>0.21</v>
      </c>
      <c r="R1642" s="110" t="n">
        <v>1</v>
      </c>
      <c r="S1642" s="110" t="s">
        <v>632</v>
      </c>
      <c r="T1642" s="110" t="s">
        <v>530</v>
      </c>
      <c r="U1642" s="110" t="s">
        <v>2913</v>
      </c>
      <c r="V1642" s="119" t="n">
        <v>12.84</v>
      </c>
      <c r="W1642" s="119"/>
      <c r="X1642" s="110" t="s">
        <v>2063</v>
      </c>
      <c r="Y1642" s="110" t="s">
        <v>2064</v>
      </c>
      <c r="Z1642" s="110"/>
      <c r="AA1642" s="110" t="s">
        <v>537</v>
      </c>
      <c r="AB1642" s="110" t="s">
        <v>374</v>
      </c>
      <c r="AC1642" s="110" t="s">
        <v>538</v>
      </c>
      <c r="AD1642" s="110" t="n">
        <f aca="false">IF(OR(F1642="",Q1642="",R1642=""),"",ROUND(IF(P1642="incl.",F1642/(1+Q1642),F1642)/IF(S1642="per pack",R1642,1),2))</f>
        <v>12.84</v>
      </c>
      <c r="AE1642" s="110" t="str">
        <f aca="false">IF(AND(AC1642="yes",ISNUMBER(F1642),IF(Compare!$H$5="All mapped",TRUE(),IF(Compare!$H$5="EXACT only",J1642="EXACT",OR(J1642="EXACT",J1642="CLOSE")))),"yes","no")</f>
        <v>yes</v>
      </c>
      <c r="AF1642" s="110" t="n">
        <f aca="false">IF(ISNUMBER(H1642),COUNTIFS($B$7:$B$3000,B1642,$C$7:$C$3000,C1642,$H$7:$H$3000,"&lt;"&amp;H1642,$AH$7:$AH$3000,"yes")+COUNTIFS($B$7:B1642,B1642,$C$7:C1642,C1642,$H$7:H1642,H1642,$AH$7:AH1642,"yes"),"")</f>
        <v>1</v>
      </c>
      <c r="AG1642" s="110" t="n">
        <f aca="false">IF(ISNUMBER(I1642),COUNTIFS($B$7:$B$3000,B1642,$C$7:$C$3000,C1642,$I$7:$I$3000,"&lt;"&amp;I1642,$AI$7:$AI$3000,"yes")+COUNTIFS($B$7:B1642,B1642,$C$7:C1642,C1642,$I$7:I1642,I1642,$AI$7:AI1642,"yes"),"")</f>
        <v>1</v>
      </c>
      <c r="AH1642" s="110" t="str">
        <f aca="false">IF(ISNUMBER(H1642),"yes","no")</f>
        <v>yes</v>
      </c>
      <c r="AI1642" s="110" t="str">
        <f aca="false">IF(ISNUMBER(I1642),"yes","no")</f>
        <v>yes</v>
      </c>
      <c r="AJ1642" s="120" t="n">
        <v>46297</v>
      </c>
      <c r="AK1642" s="110"/>
    </row>
    <row r="1643" customFormat="false" ht="46.25" hidden="false" customHeight="false" outlineLevel="0" collapsed="false">
      <c r="B1643" s="36" t="s">
        <v>94</v>
      </c>
      <c r="C1643" s="98" t="s">
        <v>14</v>
      </c>
      <c r="D1643" s="98" t="s">
        <v>4143</v>
      </c>
      <c r="E1643" s="110" t="s">
        <v>5136</v>
      </c>
      <c r="F1643" s="99" t="n">
        <v>278.98</v>
      </c>
      <c r="G1643" s="98" t="s">
        <v>374</v>
      </c>
      <c r="H1643" s="112" t="n">
        <f aca="false">IF(AND(AE1643="yes",ISNUMBER(AD1643)),AD1643,"")</f>
        <v>23.25</v>
      </c>
      <c r="I1643" s="95" t="n">
        <f aca="false">IF(AND(AE1643="yes",ISNUMBER(AD1643),ISNUMBER(INDEX(Sources!$G$7:$G$10,MATCH(AB1643,Sources!$B$7:$B$10,0)))),ROUND(AD1643/INDEX(Sources!$G$7:$G$10,MATCH(AB1643,Sources!$B$7:$B$10,0)),6),"")</f>
        <v>4.405377</v>
      </c>
      <c r="J1643" s="98" t="s">
        <v>530</v>
      </c>
      <c r="K1643" s="98" t="s">
        <v>2059</v>
      </c>
      <c r="L1643" s="96"/>
      <c r="M1643" s="110" t="s">
        <v>5137</v>
      </c>
      <c r="N1643" s="117" t="s">
        <v>5138</v>
      </c>
      <c r="O1643" s="110" t="s">
        <v>317</v>
      </c>
      <c r="P1643" s="110" t="s">
        <v>590</v>
      </c>
      <c r="Q1643" s="118" t="n">
        <v>0.21</v>
      </c>
      <c r="R1643" s="110" t="n">
        <v>12</v>
      </c>
      <c r="S1643" s="110" t="s">
        <v>625</v>
      </c>
      <c r="T1643" s="110" t="s">
        <v>530</v>
      </c>
      <c r="U1643" s="110" t="s">
        <v>2913</v>
      </c>
      <c r="V1643" s="119" t="n">
        <v>23.25</v>
      </c>
      <c r="W1643" s="119"/>
      <c r="X1643" s="110" t="s">
        <v>2063</v>
      </c>
      <c r="Y1643" s="110" t="s">
        <v>2064</v>
      </c>
      <c r="Z1643" s="110"/>
      <c r="AA1643" s="110" t="s">
        <v>537</v>
      </c>
      <c r="AB1643" s="110" t="s">
        <v>374</v>
      </c>
      <c r="AC1643" s="110" t="s">
        <v>538</v>
      </c>
      <c r="AD1643" s="110" t="n">
        <f aca="false">IF(OR(F1643="",Q1643="",R1643=""),"",ROUND(IF(P1643="incl.",F1643/(1+Q1643),F1643)/IF(S1643="per pack",R1643,1),2))</f>
        <v>23.25</v>
      </c>
      <c r="AE1643" s="110" t="str">
        <f aca="false">IF(AND(AC1643="yes",ISNUMBER(F1643),IF(Compare!$H$5="All mapped",TRUE(),IF(Compare!$H$5="EXACT only",J1643="EXACT",OR(J1643="EXACT",J1643="CLOSE")))),"yes","no")</f>
        <v>yes</v>
      </c>
      <c r="AF1643" s="110" t="n">
        <f aca="false">IF(ISNUMBER(H1643),COUNTIFS($B$7:$B$3000,B1643,$C$7:$C$3000,C1643,$H$7:$H$3000,"&lt;"&amp;H1643,$AH$7:$AH$3000,"yes")+COUNTIFS($B$7:B1643,B1643,$C$7:C1643,C1643,$H$7:H1643,H1643,$AH$7:AH1643,"yes"),"")</f>
        <v>4</v>
      </c>
      <c r="AG1643" s="110" t="n">
        <f aca="false">IF(ISNUMBER(I1643),COUNTIFS($B$7:$B$3000,B1643,$C$7:$C$3000,C1643,$I$7:$I$3000,"&lt;"&amp;I1643,$AI$7:$AI$3000,"yes")+COUNTIFS($B$7:B1643,B1643,$C$7:C1643,C1643,$I$7:I1643,I1643,$AI$7:AI1643,"yes"),"")</f>
        <v>4</v>
      </c>
      <c r="AH1643" s="110" t="str">
        <f aca="false">IF(ISNUMBER(H1643),"yes","no")</f>
        <v>yes</v>
      </c>
      <c r="AI1643" s="110" t="str">
        <f aca="false">IF(ISNUMBER(I1643),"yes","no")</f>
        <v>yes</v>
      </c>
      <c r="AJ1643" s="120" t="n">
        <v>46297</v>
      </c>
      <c r="AK1643" s="110"/>
    </row>
    <row r="1644" customFormat="false" ht="35.05" hidden="false" customHeight="false" outlineLevel="0" collapsed="false">
      <c r="B1644" s="36" t="s">
        <v>94</v>
      </c>
      <c r="C1644" s="98" t="s">
        <v>14</v>
      </c>
      <c r="D1644" s="98" t="s">
        <v>346</v>
      </c>
      <c r="E1644" s="110" t="s">
        <v>5139</v>
      </c>
      <c r="F1644" s="99" t="n">
        <v>33.32</v>
      </c>
      <c r="G1644" s="98" t="s">
        <v>374</v>
      </c>
      <c r="H1644" s="112" t="n">
        <f aca="false">IF(AND(AE1644="yes",ISNUMBER(AD1644)),AD1644,"")</f>
        <v>27.54</v>
      </c>
      <c r="I1644" s="95" t="n">
        <f aca="false">IF(AND(AE1644="yes",ISNUMBER(AD1644),ISNUMBER(INDEX(Sources!$G$7:$G$10,MATCH(AB1644,Sources!$B$7:$B$10,0)))),ROUND(AD1644/INDEX(Sources!$G$7:$G$10,MATCH(AB1644,Sources!$B$7:$B$10,0)),6),"")</f>
        <v>5.21824</v>
      </c>
      <c r="J1644" s="98" t="s">
        <v>530</v>
      </c>
      <c r="K1644" s="98" t="s">
        <v>2059</v>
      </c>
      <c r="L1644" s="96"/>
      <c r="M1644" s="110" t="s">
        <v>5140</v>
      </c>
      <c r="N1644" s="117" t="s">
        <v>5141</v>
      </c>
      <c r="O1644" s="110" t="s">
        <v>783</v>
      </c>
      <c r="P1644" s="110" t="s">
        <v>265</v>
      </c>
      <c r="Q1644" s="118" t="n">
        <v>0.21</v>
      </c>
      <c r="R1644" s="110" t="n">
        <v>1</v>
      </c>
      <c r="S1644" s="110" t="s">
        <v>632</v>
      </c>
      <c r="T1644" s="110" t="s">
        <v>530</v>
      </c>
      <c r="U1644" s="110" t="s">
        <v>2918</v>
      </c>
      <c r="V1644" s="119" t="n">
        <v>27.54</v>
      </c>
      <c r="W1644" s="119"/>
      <c r="X1644" s="110" t="s">
        <v>2063</v>
      </c>
      <c r="Y1644" s="110" t="s">
        <v>2064</v>
      </c>
      <c r="Z1644" s="110"/>
      <c r="AA1644" s="110" t="s">
        <v>537</v>
      </c>
      <c r="AB1644" s="110" t="s">
        <v>374</v>
      </c>
      <c r="AC1644" s="110" t="s">
        <v>538</v>
      </c>
      <c r="AD1644" s="110" t="n">
        <f aca="false">IF(OR(F1644="",Q1644="",R1644=""),"",ROUND(IF(P1644="incl.",F1644/(1+Q1644),F1644)/IF(S1644="per pack",R1644,1),2))</f>
        <v>27.54</v>
      </c>
      <c r="AE1644" s="110" t="str">
        <f aca="false">IF(AND(AC1644="yes",ISNUMBER(F1644),IF(Compare!$H$5="All mapped",TRUE(),IF(Compare!$H$5="EXACT only",J1644="EXACT",OR(J1644="EXACT",J1644="CLOSE")))),"yes","no")</f>
        <v>yes</v>
      </c>
      <c r="AF1644" s="110" t="n">
        <f aca="false">IF(ISNUMBER(H1644),COUNTIFS($B$7:$B$3000,B1644,$C$7:$C$3000,C1644,$H$7:$H$3000,"&lt;"&amp;H1644,$AH$7:$AH$3000,"yes")+COUNTIFS($B$7:B1644,B1644,$C$7:C1644,C1644,$H$7:H1644,H1644,$AH$7:AH1644,"yes"),"")</f>
        <v>5</v>
      </c>
      <c r="AG1644" s="110" t="n">
        <f aca="false">IF(ISNUMBER(I1644),COUNTIFS($B$7:$B$3000,B1644,$C$7:$C$3000,C1644,$I$7:$I$3000,"&lt;"&amp;I1644,$AI$7:$AI$3000,"yes")+COUNTIFS($B$7:B1644,B1644,$C$7:C1644,C1644,$I$7:I1644,I1644,$AI$7:AI1644,"yes"),"")</f>
        <v>5</v>
      </c>
      <c r="AH1644" s="110" t="str">
        <f aca="false">IF(ISNUMBER(H1644),"yes","no")</f>
        <v>yes</v>
      </c>
      <c r="AI1644" s="110" t="str">
        <f aca="false">IF(ISNUMBER(I1644),"yes","no")</f>
        <v>yes</v>
      </c>
      <c r="AJ1644" s="120" t="n">
        <v>46297</v>
      </c>
      <c r="AK1644" s="110"/>
    </row>
    <row r="1645" customFormat="false" ht="23.85" hidden="false" customHeight="false" outlineLevel="0" collapsed="false">
      <c r="B1645" s="36" t="s">
        <v>94</v>
      </c>
      <c r="C1645" s="98" t="s">
        <v>14</v>
      </c>
      <c r="D1645" s="98" t="s">
        <v>403</v>
      </c>
      <c r="E1645" s="110" t="s">
        <v>5142</v>
      </c>
      <c r="F1645" s="99" t="n">
        <v>17.52</v>
      </c>
      <c r="G1645" s="98" t="s">
        <v>374</v>
      </c>
      <c r="H1645" s="112" t="n">
        <f aca="false">IF(AND(AE1645="yes",ISNUMBER(AD1645)),AD1645,"")</f>
        <v>17.52</v>
      </c>
      <c r="I1645" s="95" t="n">
        <f aca="false">IF(AND(AE1645="yes",ISNUMBER(AD1645),ISNUMBER(INDEX(Sources!$G$7:$G$10,MATCH(AB1645,Sources!$B$7:$B$10,0)))),ROUND(AD1645/INDEX(Sources!$G$7:$G$10,MATCH(AB1645,Sources!$B$7:$B$10,0)),6),"")</f>
        <v>3.319665</v>
      </c>
      <c r="J1645" s="98" t="s">
        <v>530</v>
      </c>
      <c r="K1645" s="98" t="s">
        <v>2059</v>
      </c>
      <c r="L1645" s="96"/>
      <c r="M1645" s="110" t="s">
        <v>5143</v>
      </c>
      <c r="N1645" s="117" t="s">
        <v>5144</v>
      </c>
      <c r="O1645" s="110" t="s">
        <v>388</v>
      </c>
      <c r="P1645" s="110" t="s">
        <v>590</v>
      </c>
      <c r="Q1645" s="118" t="n">
        <v>0.21</v>
      </c>
      <c r="R1645" s="110" t="n">
        <v>1</v>
      </c>
      <c r="S1645" s="110" t="s">
        <v>632</v>
      </c>
      <c r="T1645" s="110" t="s">
        <v>530</v>
      </c>
      <c r="U1645" s="110" t="s">
        <v>2913</v>
      </c>
      <c r="V1645" s="119" t="n">
        <v>17.52</v>
      </c>
      <c r="W1645" s="119"/>
      <c r="X1645" s="110" t="s">
        <v>2063</v>
      </c>
      <c r="Y1645" s="110" t="s">
        <v>2064</v>
      </c>
      <c r="Z1645" s="110"/>
      <c r="AA1645" s="110" t="s">
        <v>537</v>
      </c>
      <c r="AB1645" s="110" t="s">
        <v>374</v>
      </c>
      <c r="AC1645" s="110" t="s">
        <v>538</v>
      </c>
      <c r="AD1645" s="110" t="n">
        <f aca="false">IF(OR(F1645="",Q1645="",R1645=""),"",ROUND(IF(P1645="incl.",F1645/(1+Q1645),F1645)/IF(S1645="per pack",R1645,1),2))</f>
        <v>17.52</v>
      </c>
      <c r="AE1645" s="110" t="str">
        <f aca="false">IF(AND(AC1645="yes",ISNUMBER(F1645),IF(Compare!$H$5="All mapped",TRUE(),IF(Compare!$H$5="EXACT only",J1645="EXACT",OR(J1645="EXACT",J1645="CLOSE")))),"yes","no")</f>
        <v>yes</v>
      </c>
      <c r="AF1645" s="110" t="n">
        <f aca="false">IF(ISNUMBER(H1645),COUNTIFS($B$7:$B$3000,B1645,$C$7:$C$3000,C1645,$H$7:$H$3000,"&lt;"&amp;H1645,$AH$7:$AH$3000,"yes")+COUNTIFS($B$7:B1645,B1645,$C$7:C1645,C1645,$H$7:H1645,H1645,$AH$7:AH1645,"yes"),"")</f>
        <v>2</v>
      </c>
      <c r="AG1645" s="110" t="n">
        <f aca="false">IF(ISNUMBER(I1645),COUNTIFS($B$7:$B$3000,B1645,$C$7:$C$3000,C1645,$I$7:$I$3000,"&lt;"&amp;I1645,$AI$7:$AI$3000,"yes")+COUNTIFS($B$7:B1645,B1645,$C$7:C1645,C1645,$I$7:I1645,I1645,$AI$7:AI1645,"yes"),"")</f>
        <v>2</v>
      </c>
      <c r="AH1645" s="110" t="str">
        <f aca="false">IF(ISNUMBER(H1645),"yes","no")</f>
        <v>yes</v>
      </c>
      <c r="AI1645" s="110" t="str">
        <f aca="false">IF(ISNUMBER(I1645),"yes","no")</f>
        <v>yes</v>
      </c>
      <c r="AJ1645" s="120" t="n">
        <v>46297</v>
      </c>
      <c r="AK1645" s="110"/>
    </row>
    <row r="1646" customFormat="false" ht="23.85" hidden="false" customHeight="false" outlineLevel="0" collapsed="false">
      <c r="B1646" s="36" t="s">
        <v>94</v>
      </c>
      <c r="C1646" s="98" t="s">
        <v>14</v>
      </c>
      <c r="D1646" s="98" t="s">
        <v>403</v>
      </c>
      <c r="E1646" s="110" t="s">
        <v>5145</v>
      </c>
      <c r="F1646" s="99" t="n">
        <v>20.42</v>
      </c>
      <c r="G1646" s="98" t="s">
        <v>374</v>
      </c>
      <c r="H1646" s="112" t="n">
        <f aca="false">IF(AND(AE1646="yes",ISNUMBER(AD1646)),AD1646,"")</f>
        <v>20.42</v>
      </c>
      <c r="I1646" s="95" t="n">
        <f aca="false">IF(AND(AE1646="yes",ISNUMBER(AD1646),ISNUMBER(INDEX(Sources!$G$7:$G$10,MATCH(AB1646,Sources!$B$7:$B$10,0)))),ROUND(AD1646/INDEX(Sources!$G$7:$G$10,MATCH(AB1646,Sources!$B$7:$B$10,0)),6),"")</f>
        <v>3.869152</v>
      </c>
      <c r="J1646" s="98" t="s">
        <v>530</v>
      </c>
      <c r="K1646" s="98" t="s">
        <v>2059</v>
      </c>
      <c r="L1646" s="96"/>
      <c r="M1646" s="110" t="s">
        <v>5146</v>
      </c>
      <c r="N1646" s="117" t="s">
        <v>5147</v>
      </c>
      <c r="O1646" s="110" t="s">
        <v>388</v>
      </c>
      <c r="P1646" s="110" t="s">
        <v>590</v>
      </c>
      <c r="Q1646" s="118" t="n">
        <v>0.21</v>
      </c>
      <c r="R1646" s="110" t="n">
        <v>1</v>
      </c>
      <c r="S1646" s="110" t="s">
        <v>632</v>
      </c>
      <c r="T1646" s="110" t="s">
        <v>530</v>
      </c>
      <c r="U1646" s="110" t="s">
        <v>2913</v>
      </c>
      <c r="V1646" s="119" t="n">
        <v>20.42</v>
      </c>
      <c r="W1646" s="119"/>
      <c r="X1646" s="110" t="s">
        <v>2063</v>
      </c>
      <c r="Y1646" s="110" t="s">
        <v>2064</v>
      </c>
      <c r="Z1646" s="110"/>
      <c r="AA1646" s="110" t="s">
        <v>537</v>
      </c>
      <c r="AB1646" s="110" t="s">
        <v>374</v>
      </c>
      <c r="AC1646" s="110" t="s">
        <v>538</v>
      </c>
      <c r="AD1646" s="110" t="n">
        <f aca="false">IF(OR(F1646="",Q1646="",R1646=""),"",ROUND(IF(P1646="incl.",F1646/(1+Q1646),F1646)/IF(S1646="per pack",R1646,1),2))</f>
        <v>20.42</v>
      </c>
      <c r="AE1646" s="110" t="str">
        <f aca="false">IF(AND(AC1646="yes",ISNUMBER(F1646),IF(Compare!$H$5="All mapped",TRUE(),IF(Compare!$H$5="EXACT only",J1646="EXACT",OR(J1646="EXACT",J1646="CLOSE")))),"yes","no")</f>
        <v>yes</v>
      </c>
      <c r="AF1646" s="110" t="n">
        <f aca="false">IF(ISNUMBER(H1646),COUNTIFS($B$7:$B$3000,B1646,$C$7:$C$3000,C1646,$H$7:$H$3000,"&lt;"&amp;H1646,$AH$7:$AH$3000,"yes")+COUNTIFS($B$7:B1646,B1646,$C$7:C1646,C1646,$H$7:H1646,H1646,$AH$7:AH1646,"yes"),"")</f>
        <v>3</v>
      </c>
      <c r="AG1646" s="110" t="n">
        <f aca="false">IF(ISNUMBER(I1646),COUNTIFS($B$7:$B$3000,B1646,$C$7:$C$3000,C1646,$I$7:$I$3000,"&lt;"&amp;I1646,$AI$7:$AI$3000,"yes")+COUNTIFS($B$7:B1646,B1646,$C$7:C1646,C1646,$I$7:I1646,I1646,$AI$7:AI1646,"yes"),"")</f>
        <v>3</v>
      </c>
      <c r="AH1646" s="110" t="str">
        <f aca="false">IF(ISNUMBER(H1646),"yes","no")</f>
        <v>yes</v>
      </c>
      <c r="AI1646" s="110" t="str">
        <f aca="false">IF(ISNUMBER(I1646),"yes","no")</f>
        <v>yes</v>
      </c>
      <c r="AJ1646" s="120" t="n">
        <v>46297</v>
      </c>
      <c r="AK1646" s="110"/>
    </row>
    <row r="1647" customFormat="false" ht="35.05" hidden="false" customHeight="false" outlineLevel="0" collapsed="false">
      <c r="B1647" s="36" t="s">
        <v>94</v>
      </c>
      <c r="C1647" s="98" t="s">
        <v>15</v>
      </c>
      <c r="D1647" s="98" t="s">
        <v>243</v>
      </c>
      <c r="E1647" s="110" t="s">
        <v>5148</v>
      </c>
      <c r="F1647" s="99" t="n">
        <v>5.92</v>
      </c>
      <c r="G1647" s="98" t="s">
        <v>244</v>
      </c>
      <c r="H1647" s="112" t="n">
        <f aca="false">IF(AND(AE1647="yes",ISNUMBER(AD1647)),AD1647,"")</f>
        <v>5.92</v>
      </c>
      <c r="I1647" s="95" t="n">
        <f aca="false">IF(AND(AE1647="yes",ISNUMBER(AD1647),ISNUMBER(INDEX(Sources!$G$7:$G$10,MATCH(AB1647,Sources!$B$7:$B$10,0)))),ROUND(AD1647/INDEX(Sources!$G$7:$G$10,MATCH(AB1647,Sources!$B$7:$B$10,0)),6),"")</f>
        <v>5.92</v>
      </c>
      <c r="J1647" s="98" t="s">
        <v>530</v>
      </c>
      <c r="K1647" s="98" t="s">
        <v>2059</v>
      </c>
      <c r="L1647" s="96"/>
      <c r="M1647" s="110" t="s">
        <v>5149</v>
      </c>
      <c r="N1647" s="117" t="s">
        <v>5150</v>
      </c>
      <c r="O1647" s="110" t="s">
        <v>388</v>
      </c>
      <c r="P1647" s="110" t="s">
        <v>590</v>
      </c>
      <c r="Q1647" s="118" t="n">
        <v>0.2</v>
      </c>
      <c r="R1647" s="110" t="n">
        <v>1</v>
      </c>
      <c r="S1647" s="110" t="s">
        <v>632</v>
      </c>
      <c r="T1647" s="110" t="s">
        <v>530</v>
      </c>
      <c r="U1647" s="110" t="s">
        <v>2913</v>
      </c>
      <c r="V1647" s="119" t="n">
        <v>5.92</v>
      </c>
      <c r="W1647" s="119"/>
      <c r="X1647" s="110" t="s">
        <v>2063</v>
      </c>
      <c r="Y1647" s="110" t="s">
        <v>2064</v>
      </c>
      <c r="Z1647" s="110" t="s">
        <v>4337</v>
      </c>
      <c r="AA1647" s="110" t="s">
        <v>537</v>
      </c>
      <c r="AB1647" s="110" t="s">
        <v>244</v>
      </c>
      <c r="AC1647" s="110" t="s">
        <v>538</v>
      </c>
      <c r="AD1647" s="110" t="n">
        <f aca="false">IF(OR(F1647="",Q1647="",R1647=""),"",ROUND(IF(P1647="incl.",F1647/(1+Q1647),F1647)/IF(S1647="per pack",R1647,1),2))</f>
        <v>5.92</v>
      </c>
      <c r="AE1647" s="110" t="str">
        <f aca="false">IF(AND(AC1647="yes",ISNUMBER(F1647),IF(Compare!$H$5="All mapped",TRUE(),IF(Compare!$H$5="EXACT only",J1647="EXACT",OR(J1647="EXACT",J1647="CLOSE")))),"yes","no")</f>
        <v>yes</v>
      </c>
      <c r="AF1647" s="110" t="n">
        <f aca="false">IF(ISNUMBER(H1647),COUNTIFS($B$7:$B$3000,B1647,$C$7:$C$3000,C1647,$H$7:$H$3000,"&lt;"&amp;H1647,$AH$7:$AH$3000,"yes")+COUNTIFS($B$7:B1647,B1647,$C$7:C1647,C1647,$H$7:H1647,H1647,$AH$7:AH1647,"yes"),"")</f>
        <v>5</v>
      </c>
      <c r="AG1647" s="110" t="n">
        <f aca="false">IF(ISNUMBER(I1647),COUNTIFS($B$7:$B$3000,B1647,$C$7:$C$3000,C1647,$I$7:$I$3000,"&lt;"&amp;I1647,$AI$7:$AI$3000,"yes")+COUNTIFS($B$7:B1647,B1647,$C$7:C1647,C1647,$I$7:I1647,I1647,$AI$7:AI1647,"yes"),"")</f>
        <v>5</v>
      </c>
      <c r="AH1647" s="110" t="str">
        <f aca="false">IF(ISNUMBER(H1647),"yes","no")</f>
        <v>yes</v>
      </c>
      <c r="AI1647" s="110" t="str">
        <f aca="false">IF(ISNUMBER(I1647),"yes","no")</f>
        <v>yes</v>
      </c>
      <c r="AJ1647" s="120" t="n">
        <v>46297</v>
      </c>
      <c r="AK1647" s="110"/>
    </row>
    <row r="1648" customFormat="false" ht="35.05" hidden="false" customHeight="false" outlineLevel="0" collapsed="false">
      <c r="B1648" s="36" t="s">
        <v>94</v>
      </c>
      <c r="C1648" s="98" t="s">
        <v>15</v>
      </c>
      <c r="D1648" s="98" t="s">
        <v>277</v>
      </c>
      <c r="E1648" s="110" t="s">
        <v>5151</v>
      </c>
      <c r="F1648" s="99" t="n">
        <v>48.99</v>
      </c>
      <c r="G1648" s="98" t="s">
        <v>244</v>
      </c>
      <c r="H1648" s="112" t="n">
        <f aca="false">IF(AND(AE1648="yes",ISNUMBER(AD1648)),AD1648,"")</f>
        <v>4.08</v>
      </c>
      <c r="I1648" s="95" t="n">
        <f aca="false">IF(AND(AE1648="yes",ISNUMBER(AD1648),ISNUMBER(INDEX(Sources!$G$7:$G$10,MATCH(AB1648,Sources!$B$7:$B$10,0)))),ROUND(AD1648/INDEX(Sources!$G$7:$G$10,MATCH(AB1648,Sources!$B$7:$B$10,0)),6),"")</f>
        <v>4.08</v>
      </c>
      <c r="J1648" s="98" t="s">
        <v>530</v>
      </c>
      <c r="K1648" s="98" t="s">
        <v>2059</v>
      </c>
      <c r="L1648" s="96"/>
      <c r="M1648" s="110" t="s">
        <v>5152</v>
      </c>
      <c r="N1648" s="117" t="s">
        <v>5153</v>
      </c>
      <c r="O1648" s="110" t="s">
        <v>317</v>
      </c>
      <c r="P1648" s="110" t="s">
        <v>590</v>
      </c>
      <c r="Q1648" s="118" t="n">
        <v>0.19</v>
      </c>
      <c r="R1648" s="110" t="n">
        <v>12</v>
      </c>
      <c r="S1648" s="110" t="s">
        <v>625</v>
      </c>
      <c r="T1648" s="110" t="s">
        <v>530</v>
      </c>
      <c r="U1648" s="110" t="s">
        <v>2913</v>
      </c>
      <c r="V1648" s="119" t="n">
        <v>4.08</v>
      </c>
      <c r="W1648" s="119"/>
      <c r="X1648" s="110" t="s">
        <v>2063</v>
      </c>
      <c r="Y1648" s="110" t="s">
        <v>2064</v>
      </c>
      <c r="Z1648" s="110" t="s">
        <v>4521</v>
      </c>
      <c r="AA1648" s="110" t="s">
        <v>537</v>
      </c>
      <c r="AB1648" s="110" t="s">
        <v>244</v>
      </c>
      <c r="AC1648" s="110" t="s">
        <v>538</v>
      </c>
      <c r="AD1648" s="110" t="n">
        <f aca="false">IF(OR(F1648="",Q1648="",R1648=""),"",ROUND(IF(P1648="incl.",F1648/(1+Q1648),F1648)/IF(S1648="per pack",R1648,1),2))</f>
        <v>4.08</v>
      </c>
      <c r="AE1648" s="110" t="str">
        <f aca="false">IF(AND(AC1648="yes",ISNUMBER(F1648),IF(Compare!$H$5="All mapped",TRUE(),IF(Compare!$H$5="EXACT only",J1648="EXACT",OR(J1648="EXACT",J1648="CLOSE")))),"yes","no")</f>
        <v>yes</v>
      </c>
      <c r="AF1648" s="110" t="n">
        <f aca="false">IF(ISNUMBER(H1648),COUNTIFS($B$7:$B$3000,B1648,$C$7:$C$3000,C1648,$H$7:$H$3000,"&lt;"&amp;H1648,$AH$7:$AH$3000,"yes")+COUNTIFS($B$7:B1648,B1648,$C$7:C1648,C1648,$H$7:H1648,H1648,$AH$7:AH1648,"yes"),"")</f>
        <v>3</v>
      </c>
      <c r="AG1648" s="110" t="n">
        <f aca="false">IF(ISNUMBER(I1648),COUNTIFS($B$7:$B$3000,B1648,$C$7:$C$3000,C1648,$I$7:$I$3000,"&lt;"&amp;I1648,$AI$7:$AI$3000,"yes")+COUNTIFS($B$7:B1648,B1648,$C$7:C1648,C1648,$I$7:I1648,I1648,$AI$7:AI1648,"yes"),"")</f>
        <v>3</v>
      </c>
      <c r="AH1648" s="110" t="str">
        <f aca="false">IF(ISNUMBER(H1648),"yes","no")</f>
        <v>yes</v>
      </c>
      <c r="AI1648" s="110" t="str">
        <f aca="false">IF(ISNUMBER(I1648),"yes","no")</f>
        <v>yes</v>
      </c>
      <c r="AJ1648" s="120" t="n">
        <v>46297</v>
      </c>
      <c r="AK1648" s="110"/>
    </row>
    <row r="1649" customFormat="false" ht="23.85" hidden="false" customHeight="false" outlineLevel="0" collapsed="false">
      <c r="B1649" s="36" t="s">
        <v>94</v>
      </c>
      <c r="C1649" s="98" t="s">
        <v>15</v>
      </c>
      <c r="D1649" s="98" t="s">
        <v>257</v>
      </c>
      <c r="E1649" s="110" t="s">
        <v>5154</v>
      </c>
      <c r="F1649" s="99" t="n">
        <v>4.25</v>
      </c>
      <c r="G1649" s="98" t="s">
        <v>244</v>
      </c>
      <c r="H1649" s="112" t="n">
        <f aca="false">IF(AND(AE1649="yes",ISNUMBER(AD1649)),AD1649,"")</f>
        <v>4.25</v>
      </c>
      <c r="I1649" s="95" t="n">
        <f aca="false">IF(AND(AE1649="yes",ISNUMBER(AD1649),ISNUMBER(INDEX(Sources!$G$7:$G$10,MATCH(AB1649,Sources!$B$7:$B$10,0)))),ROUND(AD1649/INDEX(Sources!$G$7:$G$10,MATCH(AB1649,Sources!$B$7:$B$10,0)),6),"")</f>
        <v>4.25</v>
      </c>
      <c r="J1649" s="98" t="s">
        <v>530</v>
      </c>
      <c r="K1649" s="98" t="s">
        <v>2059</v>
      </c>
      <c r="L1649" s="96"/>
      <c r="M1649" s="110" t="s">
        <v>5155</v>
      </c>
      <c r="N1649" s="117" t="s">
        <v>5156</v>
      </c>
      <c r="O1649" s="110" t="s">
        <v>2396</v>
      </c>
      <c r="P1649" s="110" t="s">
        <v>590</v>
      </c>
      <c r="Q1649" s="118" t="n">
        <v>0.2</v>
      </c>
      <c r="R1649" s="110" t="n">
        <v>1</v>
      </c>
      <c r="S1649" s="110" t="s">
        <v>632</v>
      </c>
      <c r="T1649" s="110" t="s">
        <v>530</v>
      </c>
      <c r="U1649" s="110" t="s">
        <v>2913</v>
      </c>
      <c r="V1649" s="119" t="n">
        <v>4.25</v>
      </c>
      <c r="W1649" s="119"/>
      <c r="X1649" s="110" t="s">
        <v>2063</v>
      </c>
      <c r="Y1649" s="110" t="s">
        <v>2064</v>
      </c>
      <c r="Z1649" s="110" t="s">
        <v>4341</v>
      </c>
      <c r="AA1649" s="110" t="s">
        <v>537</v>
      </c>
      <c r="AB1649" s="110" t="s">
        <v>244</v>
      </c>
      <c r="AC1649" s="110" t="s">
        <v>538</v>
      </c>
      <c r="AD1649" s="110" t="n">
        <f aca="false">IF(OR(F1649="",Q1649="",R1649=""),"",ROUND(IF(P1649="incl.",F1649/(1+Q1649),F1649)/IF(S1649="per pack",R1649,1),2))</f>
        <v>4.25</v>
      </c>
      <c r="AE1649" s="110" t="str">
        <f aca="false">IF(AND(AC1649="yes",ISNUMBER(F1649),IF(Compare!$H$5="All mapped",TRUE(),IF(Compare!$H$5="EXACT only",J1649="EXACT",OR(J1649="EXACT",J1649="CLOSE")))),"yes","no")</f>
        <v>yes</v>
      </c>
      <c r="AF1649" s="110" t="n">
        <f aca="false">IF(ISNUMBER(H1649),COUNTIFS($B$7:$B$3000,B1649,$C$7:$C$3000,C1649,$H$7:$H$3000,"&lt;"&amp;H1649,$AH$7:$AH$3000,"yes")+COUNTIFS($B$7:B1649,B1649,$C$7:C1649,C1649,$H$7:H1649,H1649,$AH$7:AH1649,"yes"),"")</f>
        <v>4</v>
      </c>
      <c r="AG1649" s="110" t="n">
        <f aca="false">IF(ISNUMBER(I1649),COUNTIFS($B$7:$B$3000,B1649,$C$7:$C$3000,C1649,$I$7:$I$3000,"&lt;"&amp;I1649,$AI$7:$AI$3000,"yes")+COUNTIFS($B$7:B1649,B1649,$C$7:C1649,C1649,$I$7:I1649,I1649,$AI$7:AI1649,"yes"),"")</f>
        <v>4</v>
      </c>
      <c r="AH1649" s="110" t="str">
        <f aca="false">IF(ISNUMBER(H1649),"yes","no")</f>
        <v>yes</v>
      </c>
      <c r="AI1649" s="110" t="str">
        <f aca="false">IF(ISNUMBER(I1649),"yes","no")</f>
        <v>yes</v>
      </c>
      <c r="AJ1649" s="120" t="n">
        <v>46297</v>
      </c>
      <c r="AK1649" s="110"/>
    </row>
    <row r="1650" customFormat="false" ht="23.85" hidden="false" customHeight="false" outlineLevel="0" collapsed="false">
      <c r="B1650" s="36" t="s">
        <v>94</v>
      </c>
      <c r="C1650" s="98" t="s">
        <v>15</v>
      </c>
      <c r="D1650" s="98" t="s">
        <v>269</v>
      </c>
      <c r="E1650" s="110" t="s">
        <v>5157</v>
      </c>
      <c r="F1650" s="99" t="n">
        <v>7.49</v>
      </c>
      <c r="G1650" s="98" t="s">
        <v>244</v>
      </c>
      <c r="H1650" s="112" t="n">
        <f aca="false">IF(AND(AE1650="yes",ISNUMBER(AD1650)),AD1650,"")</f>
        <v>7.49</v>
      </c>
      <c r="I1650" s="95" t="n">
        <f aca="false">IF(AND(AE1650="yes",ISNUMBER(AD1650),ISNUMBER(INDEX(Sources!$G$7:$G$10,MATCH(AB1650,Sources!$B$7:$B$10,0)))),ROUND(AD1650/INDEX(Sources!$G$7:$G$10,MATCH(AB1650,Sources!$B$7:$B$10,0)),6),"")</f>
        <v>7.49</v>
      </c>
      <c r="J1650" s="98" t="s">
        <v>530</v>
      </c>
      <c r="K1650" s="98" t="s">
        <v>2059</v>
      </c>
      <c r="L1650" s="96"/>
      <c r="M1650" s="110" t="s">
        <v>5158</v>
      </c>
      <c r="N1650" s="117" t="s">
        <v>5159</v>
      </c>
      <c r="O1650" s="110" t="s">
        <v>589</v>
      </c>
      <c r="P1650" s="110" t="s">
        <v>590</v>
      </c>
      <c r="Q1650" s="118" t="n">
        <v>0.19</v>
      </c>
      <c r="R1650" s="110" t="n">
        <v>1</v>
      </c>
      <c r="S1650" s="110" t="s">
        <v>632</v>
      </c>
      <c r="T1650" s="110" t="s">
        <v>530</v>
      </c>
      <c r="U1650" s="110" t="s">
        <v>2913</v>
      </c>
      <c r="V1650" s="119" t="n">
        <v>7.49</v>
      </c>
      <c r="W1650" s="119"/>
      <c r="X1650" s="110" t="s">
        <v>2063</v>
      </c>
      <c r="Y1650" s="110" t="s">
        <v>2064</v>
      </c>
      <c r="Z1650" s="110" t="s">
        <v>4345</v>
      </c>
      <c r="AA1650" s="110" t="s">
        <v>537</v>
      </c>
      <c r="AB1650" s="110" t="s">
        <v>244</v>
      </c>
      <c r="AC1650" s="110" t="s">
        <v>538</v>
      </c>
      <c r="AD1650" s="110" t="n">
        <f aca="false">IF(OR(F1650="",Q1650="",R1650=""),"",ROUND(IF(P1650="incl.",F1650/(1+Q1650),F1650)/IF(S1650="per pack",R1650,1),2))</f>
        <v>7.49</v>
      </c>
      <c r="AE1650" s="110" t="str">
        <f aca="false">IF(AND(AC1650="yes",ISNUMBER(F1650),IF(Compare!$H$5="All mapped",TRUE(),IF(Compare!$H$5="EXACT only",J1650="EXACT",OR(J1650="EXACT",J1650="CLOSE")))),"yes","no")</f>
        <v>yes</v>
      </c>
      <c r="AF1650" s="110" t="n">
        <f aca="false">IF(ISNUMBER(H1650),COUNTIFS($B$7:$B$3000,B1650,$C$7:$C$3000,C1650,$H$7:$H$3000,"&lt;"&amp;H1650,$AH$7:$AH$3000,"yes")+COUNTIFS($B$7:B1650,B1650,$C$7:C1650,C1650,$H$7:H1650,H1650,$AH$7:AH1650,"yes"),"")</f>
        <v>6</v>
      </c>
      <c r="AG1650" s="110" t="n">
        <f aca="false">IF(ISNUMBER(I1650),COUNTIFS($B$7:$B$3000,B1650,$C$7:$C$3000,C1650,$I$7:$I$3000,"&lt;"&amp;I1650,$AI$7:$AI$3000,"yes")+COUNTIFS($B$7:B1650,B1650,$C$7:C1650,C1650,$I$7:I1650,I1650,$AI$7:AI1650,"yes"),"")</f>
        <v>6</v>
      </c>
      <c r="AH1650" s="110" t="str">
        <f aca="false">IF(ISNUMBER(H1650),"yes","no")</f>
        <v>yes</v>
      </c>
      <c r="AI1650" s="110" t="str">
        <f aca="false">IF(ISNUMBER(I1650),"yes","no")</f>
        <v>yes</v>
      </c>
      <c r="AJ1650" s="120" t="n">
        <v>46297</v>
      </c>
      <c r="AK1650" s="110"/>
    </row>
    <row r="1651" customFormat="false" ht="23.85" hidden="false" customHeight="false" outlineLevel="0" collapsed="false">
      <c r="B1651" s="36" t="s">
        <v>94</v>
      </c>
      <c r="C1651" s="98" t="s">
        <v>15</v>
      </c>
      <c r="D1651" s="98" t="s">
        <v>264</v>
      </c>
      <c r="E1651" s="110" t="s">
        <v>5160</v>
      </c>
      <c r="F1651" s="99" t="n">
        <v>13.5</v>
      </c>
      <c r="G1651" s="98" t="s">
        <v>244</v>
      </c>
      <c r="H1651" s="112" t="n">
        <f aca="false">IF(AND(AE1651="yes",ISNUMBER(AD1651)),AD1651,"")</f>
        <v>13.5</v>
      </c>
      <c r="I1651" s="95" t="n">
        <f aca="false">IF(AND(AE1651="yes",ISNUMBER(AD1651),ISNUMBER(INDEX(Sources!$G$7:$G$10,MATCH(AB1651,Sources!$B$7:$B$10,0)))),ROUND(AD1651/INDEX(Sources!$G$7:$G$10,MATCH(AB1651,Sources!$B$7:$B$10,0)),6),"")</f>
        <v>13.5</v>
      </c>
      <c r="J1651" s="98" t="s">
        <v>530</v>
      </c>
      <c r="K1651" s="98" t="s">
        <v>2059</v>
      </c>
      <c r="L1651" s="96"/>
      <c r="M1651" s="110" t="s">
        <v>5161</v>
      </c>
      <c r="N1651" s="117" t="s">
        <v>5162</v>
      </c>
      <c r="O1651" s="110" t="s">
        <v>388</v>
      </c>
      <c r="P1651" s="110" t="s">
        <v>590</v>
      </c>
      <c r="Q1651" s="118" t="n">
        <v>0.19</v>
      </c>
      <c r="R1651" s="110" t="n">
        <v>1</v>
      </c>
      <c r="S1651" s="110" t="s">
        <v>632</v>
      </c>
      <c r="T1651" s="110" t="s">
        <v>530</v>
      </c>
      <c r="U1651" s="110" t="s">
        <v>2913</v>
      </c>
      <c r="V1651" s="119" t="n">
        <v>13.5</v>
      </c>
      <c r="W1651" s="119"/>
      <c r="X1651" s="110" t="s">
        <v>2063</v>
      </c>
      <c r="Y1651" s="110" t="s">
        <v>2064</v>
      </c>
      <c r="Z1651" s="110"/>
      <c r="AA1651" s="110" t="s">
        <v>537</v>
      </c>
      <c r="AB1651" s="110" t="s">
        <v>244</v>
      </c>
      <c r="AC1651" s="110" t="s">
        <v>538</v>
      </c>
      <c r="AD1651" s="110" t="n">
        <f aca="false">IF(OR(F1651="",Q1651="",R1651=""),"",ROUND(IF(P1651="incl.",F1651/(1+Q1651),F1651)/IF(S1651="per pack",R1651,1),2))</f>
        <v>13.5</v>
      </c>
      <c r="AE1651" s="110" t="str">
        <f aca="false">IF(AND(AC1651="yes",ISNUMBER(F1651),IF(Compare!$H$5="All mapped",TRUE(),IF(Compare!$H$5="EXACT only",J1651="EXACT",OR(J1651="EXACT",J1651="CLOSE")))),"yes","no")</f>
        <v>yes</v>
      </c>
      <c r="AF1651" s="110" t="n">
        <f aca="false">IF(ISNUMBER(H1651),COUNTIFS($B$7:$B$3000,B1651,$C$7:$C$3000,C1651,$H$7:$H$3000,"&lt;"&amp;H1651,$AH$7:$AH$3000,"yes")+COUNTIFS($B$7:B1651,B1651,$C$7:C1651,C1651,$H$7:H1651,H1651,$AH$7:AH1651,"yes"),"")</f>
        <v>7</v>
      </c>
      <c r="AG1651" s="110" t="n">
        <f aca="false">IF(ISNUMBER(I1651),COUNTIFS($B$7:$B$3000,B1651,$C$7:$C$3000,C1651,$I$7:$I$3000,"&lt;"&amp;I1651,$AI$7:$AI$3000,"yes")+COUNTIFS($B$7:B1651,B1651,$C$7:C1651,C1651,$I$7:I1651,I1651,$AI$7:AI1651,"yes"),"")</f>
        <v>7</v>
      </c>
      <c r="AH1651" s="110" t="str">
        <f aca="false">IF(ISNUMBER(H1651),"yes","no")</f>
        <v>yes</v>
      </c>
      <c r="AI1651" s="110" t="str">
        <f aca="false">IF(ISNUMBER(I1651),"yes","no")</f>
        <v>yes</v>
      </c>
      <c r="AJ1651" s="120" t="n">
        <v>46297</v>
      </c>
      <c r="AK1651" s="110"/>
    </row>
    <row r="1652" customFormat="false" ht="46.25" hidden="false" customHeight="false" outlineLevel="0" collapsed="false">
      <c r="B1652" s="36" t="s">
        <v>94</v>
      </c>
      <c r="C1652" s="98" t="s">
        <v>15</v>
      </c>
      <c r="D1652" s="98" t="s">
        <v>281</v>
      </c>
      <c r="E1652" s="110" t="s">
        <v>5163</v>
      </c>
      <c r="F1652" s="99" t="n">
        <v>3.3</v>
      </c>
      <c r="G1652" s="98" t="s">
        <v>244</v>
      </c>
      <c r="H1652" s="112" t="n">
        <f aca="false">IF(AND(AE1652="yes",ISNUMBER(AD1652)),AD1652,"")</f>
        <v>3.3</v>
      </c>
      <c r="I1652" s="95" t="n">
        <f aca="false">IF(AND(AE1652="yes",ISNUMBER(AD1652),ISNUMBER(INDEX(Sources!$G$7:$G$10,MATCH(AB1652,Sources!$B$7:$B$10,0)))),ROUND(AD1652/INDEX(Sources!$G$7:$G$10,MATCH(AB1652,Sources!$B$7:$B$10,0)),6),"")</f>
        <v>3.3</v>
      </c>
      <c r="J1652" s="98" t="s">
        <v>530</v>
      </c>
      <c r="K1652" s="98" t="s">
        <v>2059</v>
      </c>
      <c r="L1652" s="96"/>
      <c r="M1652" s="110" t="s">
        <v>5164</v>
      </c>
      <c r="N1652" s="117" t="s">
        <v>5165</v>
      </c>
      <c r="O1652" s="110" t="s">
        <v>603</v>
      </c>
      <c r="P1652" s="110" t="s">
        <v>590</v>
      </c>
      <c r="Q1652" s="118" t="n">
        <v>0.2</v>
      </c>
      <c r="R1652" s="110" t="n">
        <v>1</v>
      </c>
      <c r="S1652" s="110" t="s">
        <v>632</v>
      </c>
      <c r="T1652" s="110" t="s">
        <v>530</v>
      </c>
      <c r="U1652" s="110" t="s">
        <v>2913</v>
      </c>
      <c r="V1652" s="119" t="n">
        <v>3.3</v>
      </c>
      <c r="W1652" s="119"/>
      <c r="X1652" s="110" t="s">
        <v>2063</v>
      </c>
      <c r="Y1652" s="110" t="s">
        <v>2064</v>
      </c>
      <c r="Z1652" s="110" t="s">
        <v>2125</v>
      </c>
      <c r="AA1652" s="110" t="s">
        <v>537</v>
      </c>
      <c r="AB1652" s="110" t="s">
        <v>244</v>
      </c>
      <c r="AC1652" s="110" t="s">
        <v>538</v>
      </c>
      <c r="AD1652" s="110" t="n">
        <f aca="false">IF(OR(F1652="",Q1652="",R1652=""),"",ROUND(IF(P1652="incl.",F1652/(1+Q1652),F1652)/IF(S1652="per pack",R1652,1),2))</f>
        <v>3.3</v>
      </c>
      <c r="AE1652" s="110" t="str">
        <f aca="false">IF(AND(AC1652="yes",ISNUMBER(F1652),IF(Compare!$H$5="All mapped",TRUE(),IF(Compare!$H$5="EXACT only",J1652="EXACT",OR(J1652="EXACT",J1652="CLOSE")))),"yes","no")</f>
        <v>yes</v>
      </c>
      <c r="AF1652" s="110" t="n">
        <f aca="false">IF(ISNUMBER(H1652),COUNTIFS($B$7:$B$3000,B1652,$C$7:$C$3000,C1652,$H$7:$H$3000,"&lt;"&amp;H1652,$AH$7:$AH$3000,"yes")+COUNTIFS($B$7:B1652,B1652,$C$7:C1652,C1652,$H$7:H1652,H1652,$AH$7:AH1652,"yes"),"")</f>
        <v>2</v>
      </c>
      <c r="AG1652" s="110" t="n">
        <f aca="false">IF(ISNUMBER(I1652),COUNTIFS($B$7:$B$3000,B1652,$C$7:$C$3000,C1652,$I$7:$I$3000,"&lt;"&amp;I1652,$AI$7:$AI$3000,"yes")+COUNTIFS($B$7:B1652,B1652,$C$7:C1652,C1652,$I$7:I1652,I1652,$AI$7:AI1652,"yes"),"")</f>
        <v>2</v>
      </c>
      <c r="AH1652" s="110" t="str">
        <f aca="false">IF(ISNUMBER(H1652),"yes","no")</f>
        <v>yes</v>
      </c>
      <c r="AI1652" s="110" t="str">
        <f aca="false">IF(ISNUMBER(I1652),"yes","no")</f>
        <v>yes</v>
      </c>
      <c r="AJ1652" s="120" t="n">
        <v>46297</v>
      </c>
      <c r="AK1652" s="110"/>
    </row>
    <row r="1653" customFormat="false" ht="35.05" hidden="false" customHeight="false" outlineLevel="0" collapsed="false">
      <c r="B1653" s="36" t="s">
        <v>94</v>
      </c>
      <c r="C1653" s="98" t="s">
        <v>15</v>
      </c>
      <c r="D1653" s="98" t="s">
        <v>293</v>
      </c>
      <c r="E1653" s="110" t="s">
        <v>5166</v>
      </c>
      <c r="F1653" s="99" t="n">
        <v>2.8</v>
      </c>
      <c r="G1653" s="98" t="s">
        <v>244</v>
      </c>
      <c r="H1653" s="112" t="n">
        <f aca="false">IF(AND(AE1653="yes",ISNUMBER(AD1653)),AD1653,"")</f>
        <v>2.8</v>
      </c>
      <c r="I1653" s="95" t="n">
        <f aca="false">IF(AND(AE1653="yes",ISNUMBER(AD1653),ISNUMBER(INDEX(Sources!$G$7:$G$10,MATCH(AB1653,Sources!$B$7:$B$10,0)))),ROUND(AD1653/INDEX(Sources!$G$7:$G$10,MATCH(AB1653,Sources!$B$7:$B$10,0)),6),"")</f>
        <v>2.8</v>
      </c>
      <c r="J1653" s="98" t="s">
        <v>530</v>
      </c>
      <c r="K1653" s="98" t="s">
        <v>2059</v>
      </c>
      <c r="L1653" s="96"/>
      <c r="M1653" s="110" t="s">
        <v>5167</v>
      </c>
      <c r="N1653" s="117" t="s">
        <v>5168</v>
      </c>
      <c r="O1653" s="110" t="s">
        <v>4358</v>
      </c>
      <c r="P1653" s="110" t="s">
        <v>590</v>
      </c>
      <c r="Q1653" s="118" t="n">
        <v>0.2</v>
      </c>
      <c r="R1653" s="110" t="n">
        <v>1</v>
      </c>
      <c r="S1653" s="110" t="s">
        <v>632</v>
      </c>
      <c r="T1653" s="110" t="s">
        <v>530</v>
      </c>
      <c r="U1653" s="110" t="s">
        <v>2913</v>
      </c>
      <c r="V1653" s="119" t="n">
        <v>2.8</v>
      </c>
      <c r="W1653" s="119"/>
      <c r="X1653" s="110" t="s">
        <v>2063</v>
      </c>
      <c r="Y1653" s="110" t="s">
        <v>2064</v>
      </c>
      <c r="Z1653" s="110"/>
      <c r="AA1653" s="110" t="s">
        <v>537</v>
      </c>
      <c r="AB1653" s="110" t="s">
        <v>244</v>
      </c>
      <c r="AC1653" s="110" t="s">
        <v>538</v>
      </c>
      <c r="AD1653" s="110" t="n">
        <f aca="false">IF(OR(F1653="",Q1653="",R1653=""),"",ROUND(IF(P1653="incl.",F1653/(1+Q1653),F1653)/IF(S1653="per pack",R1653,1),2))</f>
        <v>2.8</v>
      </c>
      <c r="AE1653" s="110" t="str">
        <f aca="false">IF(AND(AC1653="yes",ISNUMBER(F1653),IF(Compare!$H$5="All mapped",TRUE(),IF(Compare!$H$5="EXACT only",J1653="EXACT",OR(J1653="EXACT",J1653="CLOSE")))),"yes","no")</f>
        <v>yes</v>
      </c>
      <c r="AF1653" s="110" t="n">
        <f aca="false">IF(ISNUMBER(H1653),COUNTIFS($B$7:$B$3000,B1653,$C$7:$C$3000,C1653,$H$7:$H$3000,"&lt;"&amp;H1653,$AH$7:$AH$3000,"yes")+COUNTIFS($B$7:B1653,B1653,$C$7:C1653,C1653,$H$7:H1653,H1653,$AH$7:AH1653,"yes"),"")</f>
        <v>1</v>
      </c>
      <c r="AG1653" s="110" t="n">
        <f aca="false">IF(ISNUMBER(I1653),COUNTIFS($B$7:$B$3000,B1653,$C$7:$C$3000,C1653,$I$7:$I$3000,"&lt;"&amp;I1653,$AI$7:$AI$3000,"yes")+COUNTIFS($B$7:B1653,B1653,$C$7:C1653,C1653,$I$7:I1653,I1653,$AI$7:AI1653,"yes"),"")</f>
        <v>1</v>
      </c>
      <c r="AH1653" s="110" t="str">
        <f aca="false">IF(ISNUMBER(H1653),"yes","no")</f>
        <v>yes</v>
      </c>
      <c r="AI1653" s="110" t="str">
        <f aca="false">IF(ISNUMBER(I1653),"yes","no")</f>
        <v>yes</v>
      </c>
      <c r="AJ1653" s="120" t="n">
        <v>46297</v>
      </c>
      <c r="AK1653" s="110"/>
    </row>
    <row r="1654" customFormat="false" ht="23.85" hidden="false" customHeight="false" outlineLevel="0" collapsed="false">
      <c r="B1654" s="36" t="s">
        <v>94</v>
      </c>
      <c r="C1654" s="98" t="s">
        <v>16</v>
      </c>
      <c r="D1654" s="98" t="s">
        <v>296</v>
      </c>
      <c r="E1654" s="110" t="s">
        <v>5148</v>
      </c>
      <c r="F1654" s="99" t="n">
        <v>5.92</v>
      </c>
      <c r="G1654" s="98" t="s">
        <v>244</v>
      </c>
      <c r="H1654" s="112" t="n">
        <f aca="false">IF(AND(AE1654="yes",ISNUMBER(AD1654)),AD1654,"")</f>
        <v>5.92</v>
      </c>
      <c r="I1654" s="95" t="n">
        <f aca="false">IF(AND(AE1654="yes",ISNUMBER(AD1654),ISNUMBER(INDEX(Sources!$G$7:$G$10,MATCH(AB1654,Sources!$B$7:$B$10,0)))),ROUND(AD1654/INDEX(Sources!$G$7:$G$10,MATCH(AB1654,Sources!$B$7:$B$10,0)),6),"")</f>
        <v>5.92</v>
      </c>
      <c r="J1654" s="98" t="s">
        <v>530</v>
      </c>
      <c r="K1654" s="98" t="s">
        <v>2059</v>
      </c>
      <c r="L1654" s="96"/>
      <c r="M1654" s="110" t="s">
        <v>5169</v>
      </c>
      <c r="N1654" s="117" t="s">
        <v>5170</v>
      </c>
      <c r="O1654" s="110" t="s">
        <v>388</v>
      </c>
      <c r="P1654" s="110" t="s">
        <v>590</v>
      </c>
      <c r="Q1654" s="118" t="n">
        <v>0.19</v>
      </c>
      <c r="R1654" s="110" t="n">
        <v>1</v>
      </c>
      <c r="S1654" s="110" t="s">
        <v>632</v>
      </c>
      <c r="T1654" s="110" t="s">
        <v>530</v>
      </c>
      <c r="U1654" s="110" t="s">
        <v>2913</v>
      </c>
      <c r="V1654" s="119" t="n">
        <v>5.92</v>
      </c>
      <c r="W1654" s="119"/>
      <c r="X1654" s="110" t="s">
        <v>2063</v>
      </c>
      <c r="Y1654" s="110" t="s">
        <v>2064</v>
      </c>
      <c r="Z1654" s="110" t="s">
        <v>2065</v>
      </c>
      <c r="AA1654" s="110" t="s">
        <v>537</v>
      </c>
      <c r="AB1654" s="110" t="s">
        <v>244</v>
      </c>
      <c r="AC1654" s="110" t="s">
        <v>538</v>
      </c>
      <c r="AD1654" s="110" t="n">
        <f aca="false">IF(OR(F1654="",Q1654="",R1654=""),"",ROUND(IF(P1654="incl.",F1654/(1+Q1654),F1654)/IF(S1654="per pack",R1654,1),2))</f>
        <v>5.92</v>
      </c>
      <c r="AE1654" s="110" t="str">
        <f aca="false">IF(AND(AC1654="yes",ISNUMBER(F1654),IF(Compare!$H$5="All mapped",TRUE(),IF(Compare!$H$5="EXACT only",J1654="EXACT",OR(J1654="EXACT",J1654="CLOSE")))),"yes","no")</f>
        <v>yes</v>
      </c>
      <c r="AF1654" s="110" t="n">
        <f aca="false">IF(ISNUMBER(H1654),COUNTIFS($B$7:$B$3000,B1654,$C$7:$C$3000,C1654,$H$7:$H$3000,"&lt;"&amp;H1654,$AH$7:$AH$3000,"yes")+COUNTIFS($B$7:B1654,B1654,$C$7:C1654,C1654,$H$7:H1654,H1654,$AH$7:AH1654,"yes"),"")</f>
        <v>6</v>
      </c>
      <c r="AG1654" s="110" t="n">
        <f aca="false">IF(ISNUMBER(I1654),COUNTIFS($B$7:$B$3000,B1654,$C$7:$C$3000,C1654,$I$7:$I$3000,"&lt;"&amp;I1654,$AI$7:$AI$3000,"yes")+COUNTIFS($B$7:B1654,B1654,$C$7:C1654,C1654,$I$7:I1654,I1654,$AI$7:AI1654,"yes"),"")</f>
        <v>6</v>
      </c>
      <c r="AH1654" s="110" t="str">
        <f aca="false">IF(ISNUMBER(H1654),"yes","no")</f>
        <v>yes</v>
      </c>
      <c r="AI1654" s="110" t="str">
        <f aca="false">IF(ISNUMBER(I1654),"yes","no")</f>
        <v>yes</v>
      </c>
      <c r="AJ1654" s="120" t="n">
        <v>46297</v>
      </c>
      <c r="AK1654" s="110"/>
    </row>
    <row r="1655" customFormat="false" ht="35.05" hidden="false" customHeight="false" outlineLevel="0" collapsed="false">
      <c r="B1655" s="36" t="s">
        <v>94</v>
      </c>
      <c r="C1655" s="98" t="s">
        <v>16</v>
      </c>
      <c r="D1655" s="98" t="s">
        <v>317</v>
      </c>
      <c r="E1655" s="110" t="s">
        <v>5151</v>
      </c>
      <c r="F1655" s="99" t="n">
        <v>46.99</v>
      </c>
      <c r="G1655" s="98" t="s">
        <v>244</v>
      </c>
      <c r="H1655" s="112" t="n">
        <f aca="false">IF(AND(AE1655="yes",ISNUMBER(AD1655)),AD1655,"")</f>
        <v>3.92</v>
      </c>
      <c r="I1655" s="95" t="n">
        <f aca="false">IF(AND(AE1655="yes",ISNUMBER(AD1655),ISNUMBER(INDEX(Sources!$G$7:$G$10,MATCH(AB1655,Sources!$B$7:$B$10,0)))),ROUND(AD1655/INDEX(Sources!$G$7:$G$10,MATCH(AB1655,Sources!$B$7:$B$10,0)),6),"")</f>
        <v>3.92</v>
      </c>
      <c r="J1655" s="98" t="s">
        <v>530</v>
      </c>
      <c r="K1655" s="98" t="s">
        <v>2059</v>
      </c>
      <c r="L1655" s="96"/>
      <c r="M1655" s="110" t="s">
        <v>5171</v>
      </c>
      <c r="N1655" s="117" t="s">
        <v>5172</v>
      </c>
      <c r="O1655" s="110" t="s">
        <v>317</v>
      </c>
      <c r="P1655" s="110" t="s">
        <v>590</v>
      </c>
      <c r="Q1655" s="118" t="n">
        <v>0.19</v>
      </c>
      <c r="R1655" s="110" t="n">
        <v>12</v>
      </c>
      <c r="S1655" s="110" t="s">
        <v>625</v>
      </c>
      <c r="T1655" s="110" t="s">
        <v>530</v>
      </c>
      <c r="U1655" s="110" t="s">
        <v>2913</v>
      </c>
      <c r="V1655" s="119" t="n">
        <v>3.92</v>
      </c>
      <c r="W1655" s="119"/>
      <c r="X1655" s="110" t="s">
        <v>2063</v>
      </c>
      <c r="Y1655" s="110" t="s">
        <v>2064</v>
      </c>
      <c r="Z1655" s="110" t="s">
        <v>4521</v>
      </c>
      <c r="AA1655" s="110" t="s">
        <v>537</v>
      </c>
      <c r="AB1655" s="110" t="s">
        <v>244</v>
      </c>
      <c r="AC1655" s="110" t="s">
        <v>538</v>
      </c>
      <c r="AD1655" s="110" t="n">
        <f aca="false">IF(OR(F1655="",Q1655="",R1655=""),"",ROUND(IF(P1655="incl.",F1655/(1+Q1655),F1655)/IF(S1655="per pack",R1655,1),2))</f>
        <v>3.92</v>
      </c>
      <c r="AE1655" s="110" t="str">
        <f aca="false">IF(AND(AC1655="yes",ISNUMBER(F1655),IF(Compare!$H$5="All mapped",TRUE(),IF(Compare!$H$5="EXACT only",J1655="EXACT",OR(J1655="EXACT",J1655="CLOSE")))),"yes","no")</f>
        <v>yes</v>
      </c>
      <c r="AF1655" s="110" t="n">
        <f aca="false">IF(ISNUMBER(H1655),COUNTIFS($B$7:$B$3000,B1655,$C$7:$C$3000,C1655,$H$7:$H$3000,"&lt;"&amp;H1655,$AH$7:$AH$3000,"yes")+COUNTIFS($B$7:B1655,B1655,$C$7:C1655,C1655,$H$7:H1655,H1655,$AH$7:AH1655,"yes"),"")</f>
        <v>4</v>
      </c>
      <c r="AG1655" s="110" t="n">
        <f aca="false">IF(ISNUMBER(I1655),COUNTIFS($B$7:$B$3000,B1655,$C$7:$C$3000,C1655,$I$7:$I$3000,"&lt;"&amp;I1655,$AI$7:$AI$3000,"yes")+COUNTIFS($B$7:B1655,B1655,$C$7:C1655,C1655,$I$7:I1655,I1655,$AI$7:AI1655,"yes"),"")</f>
        <v>4</v>
      </c>
      <c r="AH1655" s="110" t="str">
        <f aca="false">IF(ISNUMBER(H1655),"yes","no")</f>
        <v>yes</v>
      </c>
      <c r="AI1655" s="110" t="str">
        <f aca="false">IF(ISNUMBER(I1655),"yes","no")</f>
        <v>yes</v>
      </c>
      <c r="AJ1655" s="120" t="n">
        <v>46297</v>
      </c>
      <c r="AK1655" s="110"/>
    </row>
    <row r="1656" customFormat="false" ht="23.85" hidden="false" customHeight="false" outlineLevel="0" collapsed="false">
      <c r="B1656" s="36" t="s">
        <v>94</v>
      </c>
      <c r="C1656" s="98" t="s">
        <v>16</v>
      </c>
      <c r="D1656" s="98" t="s">
        <v>305</v>
      </c>
      <c r="E1656" s="110" t="s">
        <v>5173</v>
      </c>
      <c r="F1656" s="99" t="n">
        <v>2.9</v>
      </c>
      <c r="G1656" s="98" t="s">
        <v>244</v>
      </c>
      <c r="H1656" s="112" t="n">
        <f aca="false">IF(AND(AE1656="yes",ISNUMBER(AD1656)),AD1656,"")</f>
        <v>2.9</v>
      </c>
      <c r="I1656" s="95" t="n">
        <f aca="false">IF(AND(AE1656="yes",ISNUMBER(AD1656),ISNUMBER(INDEX(Sources!$G$7:$G$10,MATCH(AB1656,Sources!$B$7:$B$10,0)))),ROUND(AD1656/INDEX(Sources!$G$7:$G$10,MATCH(AB1656,Sources!$B$7:$B$10,0)),6),"")</f>
        <v>2.9</v>
      </c>
      <c r="J1656" s="98" t="s">
        <v>530</v>
      </c>
      <c r="K1656" s="98" t="s">
        <v>2059</v>
      </c>
      <c r="L1656" s="96"/>
      <c r="M1656" s="110" t="s">
        <v>5174</v>
      </c>
      <c r="N1656" s="117" t="s">
        <v>5175</v>
      </c>
      <c r="O1656" s="110" t="s">
        <v>603</v>
      </c>
      <c r="P1656" s="110" t="s">
        <v>590</v>
      </c>
      <c r="Q1656" s="118" t="n">
        <v>0.19</v>
      </c>
      <c r="R1656" s="110" t="n">
        <v>1</v>
      </c>
      <c r="S1656" s="110" t="s">
        <v>632</v>
      </c>
      <c r="T1656" s="110" t="s">
        <v>530</v>
      </c>
      <c r="U1656" s="110" t="s">
        <v>2913</v>
      </c>
      <c r="V1656" s="119" t="n">
        <v>2.9</v>
      </c>
      <c r="W1656" s="119"/>
      <c r="X1656" s="110" t="s">
        <v>2063</v>
      </c>
      <c r="Y1656" s="110" t="s">
        <v>2064</v>
      </c>
      <c r="Z1656" s="110" t="s">
        <v>2142</v>
      </c>
      <c r="AA1656" s="110" t="s">
        <v>537</v>
      </c>
      <c r="AB1656" s="110" t="s">
        <v>244</v>
      </c>
      <c r="AC1656" s="110" t="s">
        <v>538</v>
      </c>
      <c r="AD1656" s="110" t="n">
        <f aca="false">IF(OR(F1656="",Q1656="",R1656=""),"",ROUND(IF(P1656="incl.",F1656/(1+Q1656),F1656)/IF(S1656="per pack",R1656,1),2))</f>
        <v>2.9</v>
      </c>
      <c r="AE1656" s="110" t="str">
        <f aca="false">IF(AND(AC1656="yes",ISNUMBER(F1656),IF(Compare!$H$5="All mapped",TRUE(),IF(Compare!$H$5="EXACT only",J1656="EXACT",OR(J1656="EXACT",J1656="CLOSE")))),"yes","no")</f>
        <v>yes</v>
      </c>
      <c r="AF1656" s="110" t="n">
        <f aca="false">IF(ISNUMBER(H1656),COUNTIFS($B$7:$B$3000,B1656,$C$7:$C$3000,C1656,$H$7:$H$3000,"&lt;"&amp;H1656,$AH$7:$AH$3000,"yes")+COUNTIFS($B$7:B1656,B1656,$C$7:C1656,C1656,$H$7:H1656,H1656,$AH$7:AH1656,"yes"),"")</f>
        <v>1</v>
      </c>
      <c r="AG1656" s="110" t="n">
        <f aca="false">IF(ISNUMBER(I1656),COUNTIFS($B$7:$B$3000,B1656,$C$7:$C$3000,C1656,$I$7:$I$3000,"&lt;"&amp;I1656,$AI$7:$AI$3000,"yes")+COUNTIFS($B$7:B1656,B1656,$C$7:C1656,C1656,$I$7:I1656,I1656,$AI$7:AI1656,"yes"),"")</f>
        <v>1</v>
      </c>
      <c r="AH1656" s="110" t="str">
        <f aca="false">IF(ISNUMBER(H1656),"yes","no")</f>
        <v>yes</v>
      </c>
      <c r="AI1656" s="110" t="str">
        <f aca="false">IF(ISNUMBER(I1656),"yes","no")</f>
        <v>yes</v>
      </c>
      <c r="AJ1656" s="120" t="n">
        <v>46297</v>
      </c>
      <c r="AK1656" s="110"/>
    </row>
    <row r="1657" customFormat="false" ht="23.85" hidden="false" customHeight="false" outlineLevel="0" collapsed="false">
      <c r="B1657" s="36" t="s">
        <v>94</v>
      </c>
      <c r="C1657" s="98" t="s">
        <v>16</v>
      </c>
      <c r="D1657" s="98" t="s">
        <v>311</v>
      </c>
      <c r="E1657" s="110" t="s">
        <v>5157</v>
      </c>
      <c r="F1657" s="99" t="n">
        <v>4.29</v>
      </c>
      <c r="G1657" s="98" t="s">
        <v>244</v>
      </c>
      <c r="H1657" s="112" t="n">
        <f aca="false">IF(AND(AE1657="yes",ISNUMBER(AD1657)),AD1657,"")</f>
        <v>4.29</v>
      </c>
      <c r="I1657" s="95" t="n">
        <f aca="false">IF(AND(AE1657="yes",ISNUMBER(AD1657),ISNUMBER(INDEX(Sources!$G$7:$G$10,MATCH(AB1657,Sources!$B$7:$B$10,0)))),ROUND(AD1657/INDEX(Sources!$G$7:$G$10,MATCH(AB1657,Sources!$B$7:$B$10,0)),6),"")</f>
        <v>4.29</v>
      </c>
      <c r="J1657" s="98" t="s">
        <v>530</v>
      </c>
      <c r="K1657" s="98" t="s">
        <v>2059</v>
      </c>
      <c r="L1657" s="96"/>
      <c r="M1657" s="110" t="s">
        <v>5176</v>
      </c>
      <c r="N1657" s="117" t="s">
        <v>5177</v>
      </c>
      <c r="O1657" s="110" t="s">
        <v>589</v>
      </c>
      <c r="P1657" s="110" t="s">
        <v>590</v>
      </c>
      <c r="Q1657" s="118" t="n">
        <v>0.19</v>
      </c>
      <c r="R1657" s="110" t="n">
        <v>1</v>
      </c>
      <c r="S1657" s="110" t="s">
        <v>632</v>
      </c>
      <c r="T1657" s="110" t="s">
        <v>530</v>
      </c>
      <c r="U1657" s="110" t="s">
        <v>2913</v>
      </c>
      <c r="V1657" s="119" t="n">
        <v>4.29</v>
      </c>
      <c r="W1657" s="119"/>
      <c r="X1657" s="110" t="s">
        <v>2063</v>
      </c>
      <c r="Y1657" s="110" t="s">
        <v>2064</v>
      </c>
      <c r="Z1657" s="110" t="s">
        <v>4369</v>
      </c>
      <c r="AA1657" s="110" t="s">
        <v>537</v>
      </c>
      <c r="AB1657" s="110" t="s">
        <v>244</v>
      </c>
      <c r="AC1657" s="110" t="s">
        <v>538</v>
      </c>
      <c r="AD1657" s="110" t="n">
        <f aca="false">IF(OR(F1657="",Q1657="",R1657=""),"",ROUND(IF(P1657="incl.",F1657/(1+Q1657),F1657)/IF(S1657="per pack",R1657,1),2))</f>
        <v>4.29</v>
      </c>
      <c r="AE1657" s="110" t="str">
        <f aca="false">IF(AND(AC1657="yes",ISNUMBER(F1657),IF(Compare!$H$5="All mapped",TRUE(),IF(Compare!$H$5="EXACT only",J1657="EXACT",OR(J1657="EXACT",J1657="CLOSE")))),"yes","no")</f>
        <v>yes</v>
      </c>
      <c r="AF1657" s="110" t="n">
        <f aca="false">IF(ISNUMBER(H1657),COUNTIFS($B$7:$B$3000,B1657,$C$7:$C$3000,C1657,$H$7:$H$3000,"&lt;"&amp;H1657,$AH$7:$AH$3000,"yes")+COUNTIFS($B$7:B1657,B1657,$C$7:C1657,C1657,$H$7:H1657,H1657,$AH$7:AH1657,"yes"),"")</f>
        <v>5</v>
      </c>
      <c r="AG1657" s="110" t="n">
        <f aca="false">IF(ISNUMBER(I1657),COUNTIFS($B$7:$B$3000,B1657,$C$7:$C$3000,C1657,$I$7:$I$3000,"&lt;"&amp;I1657,$AI$7:$AI$3000,"yes")+COUNTIFS($B$7:B1657,B1657,$C$7:C1657,C1657,$I$7:I1657,I1657,$AI$7:AI1657,"yes"),"")</f>
        <v>5</v>
      </c>
      <c r="AH1657" s="110" t="str">
        <f aca="false">IF(ISNUMBER(H1657),"yes","no")</f>
        <v>yes</v>
      </c>
      <c r="AI1657" s="110" t="str">
        <f aca="false">IF(ISNUMBER(I1657),"yes","no")</f>
        <v>yes</v>
      </c>
      <c r="AJ1657" s="120" t="n">
        <v>46297</v>
      </c>
      <c r="AK1657" s="110"/>
    </row>
    <row r="1658" customFormat="false" ht="23.85" hidden="false" customHeight="false" outlineLevel="0" collapsed="false">
      <c r="B1658" s="36" t="s">
        <v>94</v>
      </c>
      <c r="C1658" s="98" t="s">
        <v>16</v>
      </c>
      <c r="D1658" s="98" t="s">
        <v>309</v>
      </c>
      <c r="E1658" s="110" t="s">
        <v>5178</v>
      </c>
      <c r="F1658" s="99" t="n">
        <v>12.9</v>
      </c>
      <c r="G1658" s="98" t="s">
        <v>244</v>
      </c>
      <c r="H1658" s="112" t="n">
        <f aca="false">IF(AND(AE1658="yes",ISNUMBER(AD1658)),AD1658,"")</f>
        <v>12.9</v>
      </c>
      <c r="I1658" s="95" t="n">
        <f aca="false">IF(AND(AE1658="yes",ISNUMBER(AD1658),ISNUMBER(INDEX(Sources!$G$7:$G$10,MATCH(AB1658,Sources!$B$7:$B$10,0)))),ROUND(AD1658/INDEX(Sources!$G$7:$G$10,MATCH(AB1658,Sources!$B$7:$B$10,0)),6),"")</f>
        <v>12.9</v>
      </c>
      <c r="J1658" s="98" t="s">
        <v>530</v>
      </c>
      <c r="K1658" s="98" t="s">
        <v>2059</v>
      </c>
      <c r="L1658" s="96"/>
      <c r="M1658" s="110" t="s">
        <v>5179</v>
      </c>
      <c r="N1658" s="117" t="s">
        <v>5180</v>
      </c>
      <c r="O1658" s="110" t="s">
        <v>603</v>
      </c>
      <c r="P1658" s="110" t="s">
        <v>590</v>
      </c>
      <c r="Q1658" s="118" t="n">
        <v>0.19</v>
      </c>
      <c r="R1658" s="110" t="n">
        <v>1</v>
      </c>
      <c r="S1658" s="110" t="s">
        <v>632</v>
      </c>
      <c r="T1658" s="110" t="s">
        <v>530</v>
      </c>
      <c r="U1658" s="110" t="s">
        <v>2913</v>
      </c>
      <c r="V1658" s="119" t="n">
        <v>12.9</v>
      </c>
      <c r="W1658" s="119"/>
      <c r="X1658" s="110" t="s">
        <v>2063</v>
      </c>
      <c r="Y1658" s="110" t="s">
        <v>2064</v>
      </c>
      <c r="Z1658" s="110" t="s">
        <v>4373</v>
      </c>
      <c r="AA1658" s="110" t="s">
        <v>537</v>
      </c>
      <c r="AB1658" s="110" t="s">
        <v>244</v>
      </c>
      <c r="AC1658" s="110" t="s">
        <v>538</v>
      </c>
      <c r="AD1658" s="110" t="n">
        <f aca="false">IF(OR(F1658="",Q1658="",R1658=""),"",ROUND(IF(P1658="incl.",F1658/(1+Q1658),F1658)/IF(S1658="per pack",R1658,1),2))</f>
        <v>12.9</v>
      </c>
      <c r="AE1658" s="110" t="str">
        <f aca="false">IF(AND(AC1658="yes",ISNUMBER(F1658),IF(Compare!$H$5="All mapped",TRUE(),IF(Compare!$H$5="EXACT only",J1658="EXACT",OR(J1658="EXACT",J1658="CLOSE")))),"yes","no")</f>
        <v>yes</v>
      </c>
      <c r="AF1658" s="110" t="n">
        <f aca="false">IF(ISNUMBER(H1658),COUNTIFS($B$7:$B$3000,B1658,$C$7:$C$3000,C1658,$H$7:$H$3000,"&lt;"&amp;H1658,$AH$7:$AH$3000,"yes")+COUNTIFS($B$7:B1658,B1658,$C$7:C1658,C1658,$H$7:H1658,H1658,$AH$7:AH1658,"yes"),"")</f>
        <v>7</v>
      </c>
      <c r="AG1658" s="110" t="n">
        <f aca="false">IF(ISNUMBER(I1658),COUNTIFS($B$7:$B$3000,B1658,$C$7:$C$3000,C1658,$I$7:$I$3000,"&lt;"&amp;I1658,$AI$7:$AI$3000,"yes")+COUNTIFS($B$7:B1658,B1658,$C$7:C1658,C1658,$I$7:I1658,I1658,$AI$7:AI1658,"yes"),"")</f>
        <v>7</v>
      </c>
      <c r="AH1658" s="110" t="str">
        <f aca="false">IF(ISNUMBER(H1658),"yes","no")</f>
        <v>yes</v>
      </c>
      <c r="AI1658" s="110" t="str">
        <f aca="false">IF(ISNUMBER(I1658),"yes","no")</f>
        <v>yes</v>
      </c>
      <c r="AJ1658" s="120" t="n">
        <v>46297</v>
      </c>
      <c r="AK1658" s="110"/>
    </row>
    <row r="1659" customFormat="false" ht="23.85" hidden="false" customHeight="false" outlineLevel="0" collapsed="false">
      <c r="B1659" s="36" t="s">
        <v>94</v>
      </c>
      <c r="C1659" s="98" t="s">
        <v>16</v>
      </c>
      <c r="D1659" s="98" t="s">
        <v>321</v>
      </c>
      <c r="E1659" s="110" t="s">
        <v>5163</v>
      </c>
      <c r="F1659" s="99" t="n">
        <v>3.3</v>
      </c>
      <c r="G1659" s="98" t="s">
        <v>244</v>
      </c>
      <c r="H1659" s="112" t="n">
        <f aca="false">IF(AND(AE1659="yes",ISNUMBER(AD1659)),AD1659,"")</f>
        <v>3.3</v>
      </c>
      <c r="I1659" s="95" t="n">
        <f aca="false">IF(AND(AE1659="yes",ISNUMBER(AD1659),ISNUMBER(INDEX(Sources!$G$7:$G$10,MATCH(AB1659,Sources!$B$7:$B$10,0)))),ROUND(AD1659/INDEX(Sources!$G$7:$G$10,MATCH(AB1659,Sources!$B$7:$B$10,0)),6),"")</f>
        <v>3.3</v>
      </c>
      <c r="J1659" s="98" t="s">
        <v>530</v>
      </c>
      <c r="K1659" s="98" t="s">
        <v>2059</v>
      </c>
      <c r="L1659" s="96"/>
      <c r="M1659" s="110" t="s">
        <v>5181</v>
      </c>
      <c r="N1659" s="117" t="s">
        <v>5182</v>
      </c>
      <c r="O1659" s="110" t="s">
        <v>603</v>
      </c>
      <c r="P1659" s="110" t="s">
        <v>590</v>
      </c>
      <c r="Q1659" s="118" t="n">
        <v>0.19</v>
      </c>
      <c r="R1659" s="110" t="n">
        <v>1</v>
      </c>
      <c r="S1659" s="110" t="s">
        <v>632</v>
      </c>
      <c r="T1659" s="110" t="s">
        <v>530</v>
      </c>
      <c r="U1659" s="110" t="s">
        <v>2913</v>
      </c>
      <c r="V1659" s="119" t="n">
        <v>3.3</v>
      </c>
      <c r="W1659" s="119"/>
      <c r="X1659" s="110" t="s">
        <v>2063</v>
      </c>
      <c r="Y1659" s="110" t="s">
        <v>2064</v>
      </c>
      <c r="Z1659" s="110" t="s">
        <v>2857</v>
      </c>
      <c r="AA1659" s="110" t="s">
        <v>537</v>
      </c>
      <c r="AB1659" s="110" t="s">
        <v>244</v>
      </c>
      <c r="AC1659" s="110" t="s">
        <v>538</v>
      </c>
      <c r="AD1659" s="110" t="n">
        <f aca="false">IF(OR(F1659="",Q1659="",R1659=""),"",ROUND(IF(P1659="incl.",F1659/(1+Q1659),F1659)/IF(S1659="per pack",R1659,1),2))</f>
        <v>3.3</v>
      </c>
      <c r="AE1659" s="110" t="str">
        <f aca="false">IF(AND(AC1659="yes",ISNUMBER(F1659),IF(Compare!$H$5="All mapped",TRUE(),IF(Compare!$H$5="EXACT only",J1659="EXACT",OR(J1659="EXACT",J1659="CLOSE")))),"yes","no")</f>
        <v>yes</v>
      </c>
      <c r="AF1659" s="110" t="n">
        <f aca="false">IF(ISNUMBER(H1659),COUNTIFS($B$7:$B$3000,B1659,$C$7:$C$3000,C1659,$H$7:$H$3000,"&lt;"&amp;H1659,$AH$7:$AH$3000,"yes")+COUNTIFS($B$7:B1659,B1659,$C$7:C1659,C1659,$H$7:H1659,H1659,$AH$7:AH1659,"yes"),"")</f>
        <v>3</v>
      </c>
      <c r="AG1659" s="110" t="n">
        <f aca="false">IF(ISNUMBER(I1659),COUNTIFS($B$7:$B$3000,B1659,$C$7:$C$3000,C1659,$I$7:$I$3000,"&lt;"&amp;I1659,$AI$7:$AI$3000,"yes")+COUNTIFS($B$7:B1659,B1659,$C$7:C1659,C1659,$I$7:I1659,I1659,$AI$7:AI1659,"yes"),"")</f>
        <v>3</v>
      </c>
      <c r="AH1659" s="110" t="str">
        <f aca="false">IF(ISNUMBER(H1659),"yes","no")</f>
        <v>yes</v>
      </c>
      <c r="AI1659" s="110" t="str">
        <f aca="false">IF(ISNUMBER(I1659),"yes","no")</f>
        <v>yes</v>
      </c>
      <c r="AJ1659" s="120" t="n">
        <v>46297</v>
      </c>
      <c r="AK1659" s="110"/>
    </row>
    <row r="1660" customFormat="false" ht="35.05" hidden="false" customHeight="false" outlineLevel="0" collapsed="false">
      <c r="B1660" s="36" t="s">
        <v>94</v>
      </c>
      <c r="C1660" s="98" t="s">
        <v>16</v>
      </c>
      <c r="D1660" s="98" t="s">
        <v>329</v>
      </c>
      <c r="E1660" s="110" t="s">
        <v>5183</v>
      </c>
      <c r="F1660" s="99" t="n">
        <v>3.19</v>
      </c>
      <c r="G1660" s="98" t="s">
        <v>244</v>
      </c>
      <c r="H1660" s="112" t="n">
        <f aca="false">IF(AND(AE1660="yes",ISNUMBER(AD1660)),AD1660,"")</f>
        <v>3.19</v>
      </c>
      <c r="I1660" s="95" t="n">
        <f aca="false">IF(AND(AE1660="yes",ISNUMBER(AD1660),ISNUMBER(INDEX(Sources!$G$7:$G$10,MATCH(AB1660,Sources!$B$7:$B$10,0)))),ROUND(AD1660/INDEX(Sources!$G$7:$G$10,MATCH(AB1660,Sources!$B$7:$B$10,0)),6),"")</f>
        <v>3.19</v>
      </c>
      <c r="J1660" s="98" t="s">
        <v>530</v>
      </c>
      <c r="K1660" s="98" t="s">
        <v>2059</v>
      </c>
      <c r="L1660" s="96"/>
      <c r="M1660" s="110" t="s">
        <v>5184</v>
      </c>
      <c r="N1660" s="117" t="s">
        <v>5185</v>
      </c>
      <c r="O1660" s="110" t="s">
        <v>817</v>
      </c>
      <c r="P1660" s="110" t="s">
        <v>590</v>
      </c>
      <c r="Q1660" s="118" t="n">
        <v>0.19</v>
      </c>
      <c r="R1660" s="110" t="n">
        <v>1</v>
      </c>
      <c r="S1660" s="110" t="s">
        <v>632</v>
      </c>
      <c r="T1660" s="110" t="s">
        <v>530</v>
      </c>
      <c r="U1660" s="110" t="s">
        <v>2913</v>
      </c>
      <c r="V1660" s="119" t="n">
        <v>3.19</v>
      </c>
      <c r="W1660" s="119"/>
      <c r="X1660" s="110" t="s">
        <v>2063</v>
      </c>
      <c r="Y1660" s="110" t="s">
        <v>2064</v>
      </c>
      <c r="Z1660" s="110" t="s">
        <v>2624</v>
      </c>
      <c r="AA1660" s="110" t="s">
        <v>537</v>
      </c>
      <c r="AB1660" s="110" t="s">
        <v>244</v>
      </c>
      <c r="AC1660" s="110" t="s">
        <v>538</v>
      </c>
      <c r="AD1660" s="110" t="n">
        <f aca="false">IF(OR(F1660="",Q1660="",R1660=""),"",ROUND(IF(P1660="incl.",F1660/(1+Q1660),F1660)/IF(S1660="per pack",R1660,1),2))</f>
        <v>3.19</v>
      </c>
      <c r="AE1660" s="110" t="str">
        <f aca="false">IF(AND(AC1660="yes",ISNUMBER(F1660),IF(Compare!$H$5="All mapped",TRUE(),IF(Compare!$H$5="EXACT only",J1660="EXACT",OR(J1660="EXACT",J1660="CLOSE")))),"yes","no")</f>
        <v>yes</v>
      </c>
      <c r="AF1660" s="110" t="n">
        <f aca="false">IF(ISNUMBER(H1660),COUNTIFS($B$7:$B$3000,B1660,$C$7:$C$3000,C1660,$H$7:$H$3000,"&lt;"&amp;H1660,$AH$7:$AH$3000,"yes")+COUNTIFS($B$7:B1660,B1660,$C$7:C1660,C1660,$H$7:H1660,H1660,$AH$7:AH1660,"yes"),"")</f>
        <v>2</v>
      </c>
      <c r="AG1660" s="110" t="n">
        <f aca="false">IF(ISNUMBER(I1660),COUNTIFS($B$7:$B$3000,B1660,$C$7:$C$3000,C1660,$I$7:$I$3000,"&lt;"&amp;I1660,$AI$7:$AI$3000,"yes")+COUNTIFS($B$7:B1660,B1660,$C$7:C1660,C1660,$I$7:I1660,I1660,$AI$7:AI1660,"yes"),"")</f>
        <v>2</v>
      </c>
      <c r="AH1660" s="110" t="str">
        <f aca="false">IF(ISNUMBER(H1660),"yes","no")</f>
        <v>yes</v>
      </c>
      <c r="AI1660" s="110" t="str">
        <f aca="false">IF(ISNUMBER(I1660),"yes","no")</f>
        <v>yes</v>
      </c>
      <c r="AJ1660" s="120" t="n">
        <v>46297</v>
      </c>
      <c r="AK1660" s="110"/>
    </row>
    <row r="1661" customFormat="false" ht="35.05" hidden="false" customHeight="false" outlineLevel="0" collapsed="false">
      <c r="B1661" s="36" t="s">
        <v>94</v>
      </c>
      <c r="C1661" s="98" t="s">
        <v>17</v>
      </c>
      <c r="D1661" s="98" t="s">
        <v>338</v>
      </c>
      <c r="E1661" s="110" t="s">
        <v>5186</v>
      </c>
      <c r="F1661" s="99" t="n">
        <v>133</v>
      </c>
      <c r="G1661" s="98" t="s">
        <v>333</v>
      </c>
      <c r="H1661" s="112" t="n">
        <f aca="false">IF(AND(AE1661="yes",ISNUMBER(AD1661)),AD1661,"")</f>
        <v>109.92</v>
      </c>
      <c r="I1661" s="95" t="n">
        <f aca="false">IF(AND(AE1661="yes",ISNUMBER(AD1661),ISNUMBER(INDEX(Sources!$G$7:$G$10,MATCH(AB1661,Sources!$B$7:$B$10,0)))),ROUND(AD1661/INDEX(Sources!$G$7:$G$10,MATCH(AB1661,Sources!$B$7:$B$10,0)),6),"")</f>
        <v>4.500562</v>
      </c>
      <c r="J1661" s="98" t="s">
        <v>702</v>
      </c>
      <c r="K1661" s="98" t="s">
        <v>2059</v>
      </c>
      <c r="L1661" s="96"/>
      <c r="M1661" s="110" t="s">
        <v>5187</v>
      </c>
      <c r="N1661" s="117" t="s">
        <v>5188</v>
      </c>
      <c r="O1661" s="110" t="s">
        <v>388</v>
      </c>
      <c r="P1661" s="110" t="s">
        <v>265</v>
      </c>
      <c r="Q1661" s="118" t="n">
        <v>0.21</v>
      </c>
      <c r="R1661" s="110" t="n">
        <v>1</v>
      </c>
      <c r="S1661" s="110" t="s">
        <v>632</v>
      </c>
      <c r="T1661" s="110" t="s">
        <v>702</v>
      </c>
      <c r="U1661" s="110" t="s">
        <v>2918</v>
      </c>
      <c r="V1661" s="119" t="n">
        <v>109.92</v>
      </c>
      <c r="W1661" s="119"/>
      <c r="X1661" s="110" t="s">
        <v>2063</v>
      </c>
      <c r="Y1661" s="110" t="s">
        <v>2064</v>
      </c>
      <c r="Z1661" s="110" t="s">
        <v>4387</v>
      </c>
      <c r="AA1661" s="110" t="s">
        <v>537</v>
      </c>
      <c r="AB1661" s="110" t="s">
        <v>333</v>
      </c>
      <c r="AC1661" s="110" t="s">
        <v>538</v>
      </c>
      <c r="AD1661" s="110" t="n">
        <f aca="false">IF(OR(F1661="",Q1661="",R1661=""),"",ROUND(IF(P1661="incl.",F1661/(1+Q1661),F1661)/IF(S1661="per pack",R1661,1),2))</f>
        <v>109.92</v>
      </c>
      <c r="AE1661" s="110" t="str">
        <f aca="false">IF(AND(AC1661="yes",ISNUMBER(F1661),IF(Compare!$H$5="All mapped",TRUE(),IF(Compare!$H$5="EXACT only",J1661="EXACT",OR(J1661="EXACT",J1661="CLOSE")))),"yes","no")</f>
        <v>yes</v>
      </c>
      <c r="AF1661" s="110" t="n">
        <f aca="false">IF(ISNUMBER(H1661),COUNTIFS($B$7:$B$3000,B1661,$C$7:$C$3000,C1661,$H$7:$H$3000,"&lt;"&amp;H1661,$AH$7:$AH$3000,"yes")+COUNTIFS($B$7:B1661,B1661,$C$7:C1661,C1661,$H$7:H1661,H1661,$AH$7:AH1661,"yes"),"")</f>
        <v>3</v>
      </c>
      <c r="AG1661" s="110" t="n">
        <f aca="false">IF(ISNUMBER(I1661),COUNTIFS($B$7:$B$3000,B1661,$C$7:$C$3000,C1661,$I$7:$I$3000,"&lt;"&amp;I1661,$AI$7:$AI$3000,"yes")+COUNTIFS($B$7:B1661,B1661,$C$7:C1661,C1661,$I$7:I1661,I1661,$AI$7:AI1661,"yes"),"")</f>
        <v>3</v>
      </c>
      <c r="AH1661" s="110" t="str">
        <f aca="false">IF(ISNUMBER(H1661),"yes","no")</f>
        <v>yes</v>
      </c>
      <c r="AI1661" s="110" t="str">
        <f aca="false">IF(ISNUMBER(I1661),"yes","no")</f>
        <v>yes</v>
      </c>
      <c r="AJ1661" s="120" t="n">
        <v>46297</v>
      </c>
      <c r="AK1661" s="110"/>
    </row>
    <row r="1662" customFormat="false" ht="35.05" hidden="false" customHeight="false" outlineLevel="0" collapsed="false">
      <c r="B1662" s="36" t="s">
        <v>94</v>
      </c>
      <c r="C1662" s="98" t="s">
        <v>17</v>
      </c>
      <c r="D1662" s="98" t="s">
        <v>342</v>
      </c>
      <c r="E1662" s="110" t="s">
        <v>5189</v>
      </c>
      <c r="F1662" s="99" t="n">
        <v>164</v>
      </c>
      <c r="G1662" s="98" t="s">
        <v>333</v>
      </c>
      <c r="H1662" s="112" t="n">
        <f aca="false">IF(AND(AE1662="yes",ISNUMBER(AD1662)),AD1662,"")</f>
        <v>164</v>
      </c>
      <c r="I1662" s="95" t="n">
        <f aca="false">IF(AND(AE1662="yes",ISNUMBER(AD1662),ISNUMBER(INDEX(Sources!$G$7:$G$10,MATCH(AB1662,Sources!$B$7:$B$10,0)))),ROUND(AD1662/INDEX(Sources!$G$7:$G$10,MATCH(AB1662,Sources!$B$7:$B$10,0)),6),"")</f>
        <v>6.714812</v>
      </c>
      <c r="J1662" s="98" t="s">
        <v>530</v>
      </c>
      <c r="K1662" s="98" t="s">
        <v>2059</v>
      </c>
      <c r="L1662" s="96"/>
      <c r="M1662" s="110" t="s">
        <v>5190</v>
      </c>
      <c r="N1662" s="117" t="s">
        <v>5191</v>
      </c>
      <c r="O1662" s="110" t="s">
        <v>388</v>
      </c>
      <c r="P1662" s="110" t="s">
        <v>590</v>
      </c>
      <c r="Q1662" s="118" t="n">
        <v>0.21</v>
      </c>
      <c r="R1662" s="110" t="n">
        <v>1</v>
      </c>
      <c r="S1662" s="110" t="s">
        <v>632</v>
      </c>
      <c r="T1662" s="110" t="s">
        <v>530</v>
      </c>
      <c r="U1662" s="110" t="s">
        <v>2913</v>
      </c>
      <c r="V1662" s="119" t="n">
        <v>164</v>
      </c>
      <c r="W1662" s="119"/>
      <c r="X1662" s="110" t="s">
        <v>2063</v>
      </c>
      <c r="Y1662" s="110" t="s">
        <v>2064</v>
      </c>
      <c r="Z1662" s="110" t="s">
        <v>4391</v>
      </c>
      <c r="AA1662" s="110" t="s">
        <v>537</v>
      </c>
      <c r="AB1662" s="110" t="s">
        <v>333</v>
      </c>
      <c r="AC1662" s="110" t="s">
        <v>538</v>
      </c>
      <c r="AD1662" s="110" t="n">
        <f aca="false">IF(OR(F1662="",Q1662="",R1662=""),"",ROUND(IF(P1662="incl.",F1662/(1+Q1662),F1662)/IF(S1662="per pack",R1662,1),2))</f>
        <v>164</v>
      </c>
      <c r="AE1662" s="110" t="str">
        <f aca="false">IF(AND(AC1662="yes",ISNUMBER(F1662),IF(Compare!$H$5="All mapped",TRUE(),IF(Compare!$H$5="EXACT only",J1662="EXACT",OR(J1662="EXACT",J1662="CLOSE")))),"yes","no")</f>
        <v>yes</v>
      </c>
      <c r="AF1662" s="110" t="n">
        <f aca="false">IF(ISNUMBER(H1662),COUNTIFS($B$7:$B$3000,B1662,$C$7:$C$3000,C1662,$H$7:$H$3000,"&lt;"&amp;H1662,$AH$7:$AH$3000,"yes")+COUNTIFS($B$7:B1662,B1662,$C$7:C1662,C1662,$H$7:H1662,H1662,$AH$7:AH1662,"yes"),"")</f>
        <v>5</v>
      </c>
      <c r="AG1662" s="110" t="n">
        <f aca="false">IF(ISNUMBER(I1662),COUNTIFS($B$7:$B$3000,B1662,$C$7:$C$3000,C1662,$I$7:$I$3000,"&lt;"&amp;I1662,$AI$7:$AI$3000,"yes")+COUNTIFS($B$7:B1662,B1662,$C$7:C1662,C1662,$I$7:I1662,I1662,$AI$7:AI1662,"yes"),"")</f>
        <v>5</v>
      </c>
      <c r="AH1662" s="110" t="str">
        <f aca="false">IF(ISNUMBER(H1662),"yes","no")</f>
        <v>yes</v>
      </c>
      <c r="AI1662" s="110" t="str">
        <f aca="false">IF(ISNUMBER(I1662),"yes","no")</f>
        <v>yes</v>
      </c>
      <c r="AJ1662" s="120" t="n">
        <v>46297</v>
      </c>
      <c r="AK1662" s="110"/>
    </row>
    <row r="1663" customFormat="false" ht="35.05" hidden="false" customHeight="false" outlineLevel="0" collapsed="false">
      <c r="B1663" s="36" t="s">
        <v>94</v>
      </c>
      <c r="C1663" s="98" t="s">
        <v>17</v>
      </c>
      <c r="D1663" s="98" t="s">
        <v>346</v>
      </c>
      <c r="E1663" s="110" t="s">
        <v>5192</v>
      </c>
      <c r="F1663" s="99" t="n">
        <v>130</v>
      </c>
      <c r="G1663" s="98" t="s">
        <v>333</v>
      </c>
      <c r="H1663" s="112" t="n">
        <f aca="false">IF(AND(AE1663="yes",ISNUMBER(AD1663)),AD1663,"")</f>
        <v>130</v>
      </c>
      <c r="I1663" s="95" t="n">
        <f aca="false">IF(AND(AE1663="yes",ISNUMBER(AD1663),ISNUMBER(INDEX(Sources!$G$7:$G$10,MATCH(AB1663,Sources!$B$7:$B$10,0)))),ROUND(AD1663/INDEX(Sources!$G$7:$G$10,MATCH(AB1663,Sources!$B$7:$B$10,0)),6),"")</f>
        <v>5.322717</v>
      </c>
      <c r="J1663" s="98" t="s">
        <v>530</v>
      </c>
      <c r="K1663" s="98" t="s">
        <v>2059</v>
      </c>
      <c r="L1663" s="96"/>
      <c r="M1663" s="110" t="s">
        <v>5193</v>
      </c>
      <c r="N1663" s="117" t="s">
        <v>5194</v>
      </c>
      <c r="O1663" s="110" t="s">
        <v>662</v>
      </c>
      <c r="P1663" s="110" t="s">
        <v>590</v>
      </c>
      <c r="Q1663" s="118" t="n">
        <v>0.21</v>
      </c>
      <c r="R1663" s="110" t="n">
        <v>1</v>
      </c>
      <c r="S1663" s="110" t="s">
        <v>632</v>
      </c>
      <c r="T1663" s="110" t="s">
        <v>530</v>
      </c>
      <c r="U1663" s="110" t="s">
        <v>2913</v>
      </c>
      <c r="V1663" s="119" t="n">
        <v>130</v>
      </c>
      <c r="W1663" s="119"/>
      <c r="X1663" s="110" t="s">
        <v>2063</v>
      </c>
      <c r="Y1663" s="110" t="s">
        <v>2064</v>
      </c>
      <c r="Z1663" s="110" t="s">
        <v>4395</v>
      </c>
      <c r="AA1663" s="110" t="s">
        <v>537</v>
      </c>
      <c r="AB1663" s="110" t="s">
        <v>333</v>
      </c>
      <c r="AC1663" s="110" t="s">
        <v>538</v>
      </c>
      <c r="AD1663" s="110" t="n">
        <f aca="false">IF(OR(F1663="",Q1663="",R1663=""),"",ROUND(IF(P1663="incl.",F1663/(1+Q1663),F1663)/IF(S1663="per pack",R1663,1),2))</f>
        <v>130</v>
      </c>
      <c r="AE1663" s="110" t="str">
        <f aca="false">IF(AND(AC1663="yes",ISNUMBER(F1663),IF(Compare!$H$5="All mapped",TRUE(),IF(Compare!$H$5="EXACT only",J1663="EXACT",OR(J1663="EXACT",J1663="CLOSE")))),"yes","no")</f>
        <v>yes</v>
      </c>
      <c r="AF1663" s="110" t="n">
        <f aca="false">IF(ISNUMBER(H1663),COUNTIFS($B$7:$B$3000,B1663,$C$7:$C$3000,C1663,$H$7:$H$3000,"&lt;"&amp;H1663,$AH$7:$AH$3000,"yes")+COUNTIFS($B$7:B1663,B1663,$C$7:C1663,C1663,$H$7:H1663,H1663,$AH$7:AH1663,"yes"),"")</f>
        <v>4</v>
      </c>
      <c r="AG1663" s="110" t="n">
        <f aca="false">IF(ISNUMBER(I1663),COUNTIFS($B$7:$B$3000,B1663,$C$7:$C$3000,C1663,$I$7:$I$3000,"&lt;"&amp;I1663,$AI$7:$AI$3000,"yes")+COUNTIFS($B$7:B1663,B1663,$C$7:C1663,C1663,$I$7:I1663,I1663,$AI$7:AI1663,"yes"),"")</f>
        <v>4</v>
      </c>
      <c r="AH1663" s="110" t="str">
        <f aca="false">IF(ISNUMBER(H1663),"yes","no")</f>
        <v>yes</v>
      </c>
      <c r="AI1663" s="110" t="str">
        <f aca="false">IF(ISNUMBER(I1663),"yes","no")</f>
        <v>yes</v>
      </c>
      <c r="AJ1663" s="120" t="n">
        <v>46297</v>
      </c>
      <c r="AK1663" s="110"/>
    </row>
    <row r="1664" customFormat="false" ht="23.85" hidden="false" customHeight="false" outlineLevel="0" collapsed="false">
      <c r="B1664" s="36" t="s">
        <v>94</v>
      </c>
      <c r="C1664" s="98" t="s">
        <v>17</v>
      </c>
      <c r="D1664" s="98" t="s">
        <v>350</v>
      </c>
      <c r="E1664" s="110" t="s">
        <v>5195</v>
      </c>
      <c r="F1664" s="99" t="n">
        <v>75</v>
      </c>
      <c r="G1664" s="98" t="s">
        <v>333</v>
      </c>
      <c r="H1664" s="112" t="n">
        <f aca="false">IF(AND(AE1664="yes",ISNUMBER(AD1664)),AD1664,"")</f>
        <v>61.98</v>
      </c>
      <c r="I1664" s="95" t="n">
        <f aca="false">IF(AND(AE1664="yes",ISNUMBER(AD1664),ISNUMBER(INDEX(Sources!$G$7:$G$10,MATCH(AB1664,Sources!$B$7:$B$10,0)))),ROUND(AD1664/INDEX(Sources!$G$7:$G$10,MATCH(AB1664,Sources!$B$7:$B$10,0)),6),"")</f>
        <v>2.537708</v>
      </c>
      <c r="J1664" s="98" t="s">
        <v>530</v>
      </c>
      <c r="K1664" s="98" t="s">
        <v>2059</v>
      </c>
      <c r="L1664" s="96"/>
      <c r="M1664" s="110" t="s">
        <v>5196</v>
      </c>
      <c r="N1664" s="117" t="s">
        <v>5197</v>
      </c>
      <c r="O1664" s="110" t="s">
        <v>2452</v>
      </c>
      <c r="P1664" s="110" t="s">
        <v>265</v>
      </c>
      <c r="Q1664" s="118" t="n">
        <v>0.21</v>
      </c>
      <c r="R1664" s="110" t="n">
        <v>1</v>
      </c>
      <c r="S1664" s="110" t="s">
        <v>632</v>
      </c>
      <c r="T1664" s="110" t="s">
        <v>530</v>
      </c>
      <c r="U1664" s="110" t="s">
        <v>2918</v>
      </c>
      <c r="V1664" s="119" t="n">
        <v>61.98</v>
      </c>
      <c r="W1664" s="119"/>
      <c r="X1664" s="110" t="s">
        <v>2063</v>
      </c>
      <c r="Y1664" s="110" t="s">
        <v>2064</v>
      </c>
      <c r="Z1664" s="110" t="s">
        <v>2349</v>
      </c>
      <c r="AA1664" s="110" t="s">
        <v>537</v>
      </c>
      <c r="AB1664" s="110" t="s">
        <v>333</v>
      </c>
      <c r="AC1664" s="110" t="s">
        <v>538</v>
      </c>
      <c r="AD1664" s="110" t="n">
        <f aca="false">IF(OR(F1664="",Q1664="",R1664=""),"",ROUND(IF(P1664="incl.",F1664/(1+Q1664),F1664)/IF(S1664="per pack",R1664,1),2))</f>
        <v>61.98</v>
      </c>
      <c r="AE1664" s="110" t="str">
        <f aca="false">IF(AND(AC1664="yes",ISNUMBER(F1664),IF(Compare!$H$5="All mapped",TRUE(),IF(Compare!$H$5="EXACT only",J1664="EXACT",OR(J1664="EXACT",J1664="CLOSE")))),"yes","no")</f>
        <v>yes</v>
      </c>
      <c r="AF1664" s="110" t="n">
        <f aca="false">IF(ISNUMBER(H1664),COUNTIFS($B$7:$B$3000,B1664,$C$7:$C$3000,C1664,$H$7:$H$3000,"&lt;"&amp;H1664,$AH$7:$AH$3000,"yes")+COUNTIFS($B$7:B1664,B1664,$C$7:C1664,C1664,$H$7:H1664,H1664,$AH$7:AH1664,"yes"),"")</f>
        <v>1</v>
      </c>
      <c r="AG1664" s="110" t="n">
        <f aca="false">IF(ISNUMBER(I1664),COUNTIFS($B$7:$B$3000,B1664,$C$7:$C$3000,C1664,$I$7:$I$3000,"&lt;"&amp;I1664,$AI$7:$AI$3000,"yes")+COUNTIFS($B$7:B1664,B1664,$C$7:C1664,C1664,$I$7:I1664,I1664,$AI$7:AI1664,"yes"),"")</f>
        <v>1</v>
      </c>
      <c r="AH1664" s="110" t="str">
        <f aca="false">IF(ISNUMBER(H1664),"yes","no")</f>
        <v>yes</v>
      </c>
      <c r="AI1664" s="110" t="str">
        <f aca="false">IF(ISNUMBER(I1664),"yes","no")</f>
        <v>yes</v>
      </c>
      <c r="AJ1664" s="120" t="n">
        <v>46297</v>
      </c>
      <c r="AK1664" s="110"/>
    </row>
    <row r="1665" customFormat="false" ht="35.05" hidden="false" customHeight="false" outlineLevel="0" collapsed="false">
      <c r="B1665" s="36" t="s">
        <v>94</v>
      </c>
      <c r="C1665" s="98" t="s">
        <v>17</v>
      </c>
      <c r="D1665" s="98" t="s">
        <v>361</v>
      </c>
      <c r="E1665" s="110" t="s">
        <v>5198</v>
      </c>
      <c r="F1665" s="99" t="n">
        <v>127</v>
      </c>
      <c r="G1665" s="98" t="s">
        <v>333</v>
      </c>
      <c r="H1665" s="112" t="n">
        <f aca="false">IF(AND(AE1665="yes",ISNUMBER(AD1665)),AD1665,"")</f>
        <v>104.96</v>
      </c>
      <c r="I1665" s="95" t="n">
        <f aca="false">IF(AND(AE1665="yes",ISNUMBER(AD1665),ISNUMBER(INDEX(Sources!$G$7:$G$10,MATCH(AB1665,Sources!$B$7:$B$10,0)))),ROUND(AD1665/INDEX(Sources!$G$7:$G$10,MATCH(AB1665,Sources!$B$7:$B$10,0)),6),"")</f>
        <v>4.29748</v>
      </c>
      <c r="J1665" s="98" t="s">
        <v>530</v>
      </c>
      <c r="K1665" s="98" t="s">
        <v>2059</v>
      </c>
      <c r="L1665" s="96"/>
      <c r="M1665" s="110" t="s">
        <v>5199</v>
      </c>
      <c r="N1665" s="117" t="s">
        <v>5200</v>
      </c>
      <c r="O1665" s="110" t="s">
        <v>642</v>
      </c>
      <c r="P1665" s="110" t="s">
        <v>265</v>
      </c>
      <c r="Q1665" s="118" t="n">
        <v>0.21</v>
      </c>
      <c r="R1665" s="110" t="n">
        <v>1</v>
      </c>
      <c r="S1665" s="110" t="s">
        <v>632</v>
      </c>
      <c r="T1665" s="110" t="s">
        <v>530</v>
      </c>
      <c r="U1665" s="110" t="s">
        <v>2918</v>
      </c>
      <c r="V1665" s="119" t="n">
        <v>104.96</v>
      </c>
      <c r="W1665" s="119"/>
      <c r="X1665" s="110" t="s">
        <v>2063</v>
      </c>
      <c r="Y1665" s="110" t="s">
        <v>2064</v>
      </c>
      <c r="Z1665" s="110" t="s">
        <v>2534</v>
      </c>
      <c r="AA1665" s="110" t="s">
        <v>537</v>
      </c>
      <c r="AB1665" s="110" t="s">
        <v>333</v>
      </c>
      <c r="AC1665" s="110" t="s">
        <v>538</v>
      </c>
      <c r="AD1665" s="110" t="n">
        <f aca="false">IF(OR(F1665="",Q1665="",R1665=""),"",ROUND(IF(P1665="incl.",F1665/(1+Q1665),F1665)/IF(S1665="per pack",R1665,1),2))</f>
        <v>104.96</v>
      </c>
      <c r="AE1665" s="110" t="str">
        <f aca="false">IF(AND(AC1665="yes",ISNUMBER(F1665),IF(Compare!$H$5="All mapped",TRUE(),IF(Compare!$H$5="EXACT only",J1665="EXACT",OR(J1665="EXACT",J1665="CLOSE")))),"yes","no")</f>
        <v>yes</v>
      </c>
      <c r="AF1665" s="110" t="n">
        <f aca="false">IF(ISNUMBER(H1665),COUNTIFS($B$7:$B$3000,B1665,$C$7:$C$3000,C1665,$H$7:$H$3000,"&lt;"&amp;H1665,$AH$7:$AH$3000,"yes")+COUNTIFS($B$7:B1665,B1665,$C$7:C1665,C1665,$H$7:H1665,H1665,$AH$7:AH1665,"yes"),"")</f>
        <v>2</v>
      </c>
      <c r="AG1665" s="110" t="n">
        <f aca="false">IF(ISNUMBER(I1665),COUNTIFS($B$7:$B$3000,B1665,$C$7:$C$3000,C1665,$I$7:$I$3000,"&lt;"&amp;I1665,$AI$7:$AI$3000,"yes")+COUNTIFS($B$7:B1665,B1665,$C$7:C1665,C1665,$I$7:I1665,I1665,$AI$7:AI1665,"yes"),"")</f>
        <v>2</v>
      </c>
      <c r="AH1665" s="110" t="str">
        <f aca="false">IF(ISNUMBER(H1665),"yes","no")</f>
        <v>yes</v>
      </c>
      <c r="AI1665" s="110" t="str">
        <f aca="false">IF(ISNUMBER(I1665),"yes","no")</f>
        <v>yes</v>
      </c>
      <c r="AJ1665" s="120" t="n">
        <v>46297</v>
      </c>
      <c r="AK1665" s="110"/>
    </row>
    <row r="1666" customFormat="false" ht="23.85" hidden="false" customHeight="false" outlineLevel="0" collapsed="false">
      <c r="B1666" s="36" t="s">
        <v>94</v>
      </c>
      <c r="C1666" s="98" t="s">
        <v>18</v>
      </c>
      <c r="D1666" s="98" t="s">
        <v>3002</v>
      </c>
      <c r="E1666" s="110" t="s">
        <v>5201</v>
      </c>
      <c r="F1666" s="99" t="n">
        <v>4.45</v>
      </c>
      <c r="G1666" s="98" t="s">
        <v>244</v>
      </c>
      <c r="H1666" s="112" t="n">
        <f aca="false">IF(AND(AE1666="yes",ISNUMBER(AD1666)),AD1666,"")</f>
        <v>4.45</v>
      </c>
      <c r="I1666" s="95" t="n">
        <f aca="false">IF(AND(AE1666="yes",ISNUMBER(AD1666),ISNUMBER(INDEX(Sources!$G$7:$G$10,MATCH(AB1666,Sources!$B$7:$B$10,0)))),ROUND(AD1666/INDEX(Sources!$G$7:$G$10,MATCH(AB1666,Sources!$B$7:$B$10,0)),6),"")</f>
        <v>4.45</v>
      </c>
      <c r="J1666" s="98" t="s">
        <v>530</v>
      </c>
      <c r="K1666" s="98" t="s">
        <v>2059</v>
      </c>
      <c r="L1666" s="96"/>
      <c r="M1666" s="110" t="s">
        <v>5202</v>
      </c>
      <c r="N1666" s="117" t="s">
        <v>4404</v>
      </c>
      <c r="O1666" s="110" t="s">
        <v>2396</v>
      </c>
      <c r="P1666" s="110" t="s">
        <v>590</v>
      </c>
      <c r="Q1666" s="118" t="n">
        <v>0.23</v>
      </c>
      <c r="R1666" s="110" t="n">
        <v>1</v>
      </c>
      <c r="S1666" s="110" t="s">
        <v>632</v>
      </c>
      <c r="T1666" s="110" t="s">
        <v>530</v>
      </c>
      <c r="U1666" s="110" t="s">
        <v>2913</v>
      </c>
      <c r="V1666" s="119" t="n">
        <v>4.45</v>
      </c>
      <c r="W1666" s="119"/>
      <c r="X1666" s="110" t="s">
        <v>2063</v>
      </c>
      <c r="Y1666" s="110" t="s">
        <v>2064</v>
      </c>
      <c r="Z1666" s="110" t="s">
        <v>3346</v>
      </c>
      <c r="AA1666" s="110" t="s">
        <v>537</v>
      </c>
      <c r="AB1666" s="110" t="s">
        <v>244</v>
      </c>
      <c r="AC1666" s="110" t="s">
        <v>538</v>
      </c>
      <c r="AD1666" s="110" t="n">
        <f aca="false">IF(OR(F1666="",Q1666="",R1666=""),"",ROUND(IF(P1666="incl.",F1666/(1+Q1666),F1666)/IF(S1666="per pack",R1666,1),2))</f>
        <v>4.45</v>
      </c>
      <c r="AE1666" s="110" t="str">
        <f aca="false">IF(AND(AC1666="yes",ISNUMBER(F1666),IF(Compare!$H$5="All mapped",TRUE(),IF(Compare!$H$5="EXACT only",J1666="EXACT",OR(J1666="EXACT",J1666="CLOSE")))),"yes","no")</f>
        <v>yes</v>
      </c>
      <c r="AF1666" s="110" t="n">
        <f aca="false">IF(ISNUMBER(H1666),COUNTIFS($B$7:$B$3000,B1666,$C$7:$C$3000,C1666,$H$7:$H$3000,"&lt;"&amp;H1666,$AH$7:$AH$3000,"yes")+COUNTIFS($B$7:B1666,B1666,$C$7:C1666,C1666,$H$7:H1666,H1666,$AH$7:AH1666,"yes"),"")</f>
        <v>4</v>
      </c>
      <c r="AG1666" s="110" t="n">
        <f aca="false">IF(ISNUMBER(I1666),COUNTIFS($B$7:$B$3000,B1666,$C$7:$C$3000,C1666,$I$7:$I$3000,"&lt;"&amp;I1666,$AI$7:$AI$3000,"yes")+COUNTIFS($B$7:B1666,B1666,$C$7:C1666,C1666,$I$7:I1666,I1666,$AI$7:AI1666,"yes"),"")</f>
        <v>4</v>
      </c>
      <c r="AH1666" s="110" t="str">
        <f aca="false">IF(ISNUMBER(H1666),"yes","no")</f>
        <v>yes</v>
      </c>
      <c r="AI1666" s="110" t="str">
        <f aca="false">IF(ISNUMBER(I1666),"yes","no")</f>
        <v>yes</v>
      </c>
      <c r="AJ1666" s="120" t="n">
        <v>46297</v>
      </c>
      <c r="AK1666" s="110"/>
    </row>
    <row r="1667" customFormat="false" ht="35.05" hidden="false" customHeight="false" outlineLevel="0" collapsed="false">
      <c r="B1667" s="36" t="s">
        <v>94</v>
      </c>
      <c r="C1667" s="98" t="s">
        <v>18</v>
      </c>
      <c r="D1667" s="98" t="s">
        <v>365</v>
      </c>
      <c r="E1667" s="110" t="s">
        <v>5203</v>
      </c>
      <c r="F1667" s="99" t="n">
        <v>3.03</v>
      </c>
      <c r="G1667" s="98" t="s">
        <v>244</v>
      </c>
      <c r="H1667" s="112" t="n">
        <f aca="false">IF(AND(AE1667="yes",ISNUMBER(AD1667)),AD1667,"")</f>
        <v>2.46</v>
      </c>
      <c r="I1667" s="95" t="n">
        <f aca="false">IF(AND(AE1667="yes",ISNUMBER(AD1667),ISNUMBER(INDEX(Sources!$G$7:$G$10,MATCH(AB1667,Sources!$B$7:$B$10,0)))),ROUND(AD1667/INDEX(Sources!$G$7:$G$10,MATCH(AB1667,Sources!$B$7:$B$10,0)),6),"")</f>
        <v>2.46</v>
      </c>
      <c r="J1667" s="98" t="s">
        <v>530</v>
      </c>
      <c r="K1667" s="98" t="s">
        <v>2059</v>
      </c>
      <c r="L1667" s="96"/>
      <c r="M1667" s="110" t="s">
        <v>5204</v>
      </c>
      <c r="N1667" s="117" t="s">
        <v>5205</v>
      </c>
      <c r="O1667" s="110" t="s">
        <v>3076</v>
      </c>
      <c r="P1667" s="110" t="s">
        <v>265</v>
      </c>
      <c r="Q1667" s="118" t="n">
        <v>0.23</v>
      </c>
      <c r="R1667" s="110" t="n">
        <v>1</v>
      </c>
      <c r="S1667" s="110" t="s">
        <v>632</v>
      </c>
      <c r="T1667" s="110" t="s">
        <v>530</v>
      </c>
      <c r="U1667" s="110" t="s">
        <v>2918</v>
      </c>
      <c r="V1667" s="119" t="n">
        <v>2.46</v>
      </c>
      <c r="W1667" s="119"/>
      <c r="X1667" s="110" t="s">
        <v>2063</v>
      </c>
      <c r="Y1667" s="110" t="s">
        <v>2064</v>
      </c>
      <c r="Z1667" s="110" t="s">
        <v>3016</v>
      </c>
      <c r="AA1667" s="110" t="s">
        <v>537</v>
      </c>
      <c r="AB1667" s="110" t="s">
        <v>244</v>
      </c>
      <c r="AC1667" s="110" t="s">
        <v>538</v>
      </c>
      <c r="AD1667" s="110" t="n">
        <f aca="false">IF(OR(F1667="",Q1667="",R1667=""),"",ROUND(IF(P1667="incl.",F1667/(1+Q1667),F1667)/IF(S1667="per pack",R1667,1),2))</f>
        <v>2.46</v>
      </c>
      <c r="AE1667" s="110" t="str">
        <f aca="false">IF(AND(AC1667="yes",ISNUMBER(F1667),IF(Compare!$H$5="All mapped",TRUE(),IF(Compare!$H$5="EXACT only",J1667="EXACT",OR(J1667="EXACT",J1667="CLOSE")))),"yes","no")</f>
        <v>yes</v>
      </c>
      <c r="AF1667" s="110" t="n">
        <f aca="false">IF(ISNUMBER(H1667),COUNTIFS($B$7:$B$3000,B1667,$C$7:$C$3000,C1667,$H$7:$H$3000,"&lt;"&amp;H1667,$AH$7:$AH$3000,"yes")+COUNTIFS($B$7:B1667,B1667,$C$7:C1667,C1667,$H$7:H1667,H1667,$AH$7:AH1667,"yes"),"")</f>
        <v>1</v>
      </c>
      <c r="AG1667" s="110" t="n">
        <f aca="false">IF(ISNUMBER(I1667),COUNTIFS($B$7:$B$3000,B1667,$C$7:$C$3000,C1667,$I$7:$I$3000,"&lt;"&amp;I1667,$AI$7:$AI$3000,"yes")+COUNTIFS($B$7:B1667,B1667,$C$7:C1667,C1667,$I$7:I1667,I1667,$AI$7:AI1667,"yes"),"")</f>
        <v>1</v>
      </c>
      <c r="AH1667" s="110" t="str">
        <f aca="false">IF(ISNUMBER(H1667),"yes","no")</f>
        <v>yes</v>
      </c>
      <c r="AI1667" s="110" t="str">
        <f aca="false">IF(ISNUMBER(I1667),"yes","no")</f>
        <v>yes</v>
      </c>
      <c r="AJ1667" s="120" t="n">
        <v>46297</v>
      </c>
      <c r="AK1667" s="110"/>
    </row>
    <row r="1668" customFormat="false" ht="35.05" hidden="false" customHeight="false" outlineLevel="0" collapsed="false">
      <c r="B1668" s="36" t="s">
        <v>94</v>
      </c>
      <c r="C1668" s="98" t="s">
        <v>18</v>
      </c>
      <c r="D1668" s="98" t="s">
        <v>369</v>
      </c>
      <c r="E1668" s="110" t="s">
        <v>5206</v>
      </c>
      <c r="F1668" s="99" t="n">
        <v>6.1</v>
      </c>
      <c r="G1668" s="98" t="s">
        <v>244</v>
      </c>
      <c r="H1668" s="112" t="n">
        <f aca="false">IF(AND(AE1668="yes",ISNUMBER(AD1668)),AD1668,"")</f>
        <v>4.96</v>
      </c>
      <c r="I1668" s="95" t="n">
        <f aca="false">IF(AND(AE1668="yes",ISNUMBER(AD1668),ISNUMBER(INDEX(Sources!$G$7:$G$10,MATCH(AB1668,Sources!$B$7:$B$10,0)))),ROUND(AD1668/INDEX(Sources!$G$7:$G$10,MATCH(AB1668,Sources!$B$7:$B$10,0)),6),"")</f>
        <v>4.96</v>
      </c>
      <c r="J1668" s="98" t="s">
        <v>530</v>
      </c>
      <c r="K1668" s="98" t="s">
        <v>2059</v>
      </c>
      <c r="L1668" s="96"/>
      <c r="M1668" s="110" t="s">
        <v>5207</v>
      </c>
      <c r="N1668" s="117" t="s">
        <v>5208</v>
      </c>
      <c r="O1668" s="110" t="s">
        <v>783</v>
      </c>
      <c r="P1668" s="110" t="s">
        <v>265</v>
      </c>
      <c r="Q1668" s="118" t="n">
        <v>0.23</v>
      </c>
      <c r="R1668" s="110" t="n">
        <v>1</v>
      </c>
      <c r="S1668" s="110" t="s">
        <v>632</v>
      </c>
      <c r="T1668" s="110" t="s">
        <v>530</v>
      </c>
      <c r="U1668" s="110" t="s">
        <v>2918</v>
      </c>
      <c r="V1668" s="119" t="n">
        <v>4.96</v>
      </c>
      <c r="W1668" s="119"/>
      <c r="X1668" s="110" t="s">
        <v>2063</v>
      </c>
      <c r="Y1668" s="110" t="s">
        <v>2064</v>
      </c>
      <c r="Z1668" s="110" t="s">
        <v>3354</v>
      </c>
      <c r="AA1668" s="110" t="s">
        <v>537</v>
      </c>
      <c r="AB1668" s="110" t="s">
        <v>244</v>
      </c>
      <c r="AC1668" s="110" t="s">
        <v>538</v>
      </c>
      <c r="AD1668" s="110" t="n">
        <f aca="false">IF(OR(F1668="",Q1668="",R1668=""),"",ROUND(IF(P1668="incl.",F1668/(1+Q1668),F1668)/IF(S1668="per pack",R1668,1),2))</f>
        <v>4.96</v>
      </c>
      <c r="AE1668" s="110" t="str">
        <f aca="false">IF(AND(AC1668="yes",ISNUMBER(F1668),IF(Compare!$H$5="All mapped",TRUE(),IF(Compare!$H$5="EXACT only",J1668="EXACT",OR(J1668="EXACT",J1668="CLOSE")))),"yes","no")</f>
        <v>yes</v>
      </c>
      <c r="AF1668" s="110" t="n">
        <f aca="false">IF(ISNUMBER(H1668),COUNTIFS($B$7:$B$3000,B1668,$C$7:$C$3000,C1668,$H$7:$H$3000,"&lt;"&amp;H1668,$AH$7:$AH$3000,"yes")+COUNTIFS($B$7:B1668,B1668,$C$7:C1668,C1668,$H$7:H1668,H1668,$AH$7:AH1668,"yes"),"")</f>
        <v>5</v>
      </c>
      <c r="AG1668" s="110" t="n">
        <f aca="false">IF(ISNUMBER(I1668),COUNTIFS($B$7:$B$3000,B1668,$C$7:$C$3000,C1668,$I$7:$I$3000,"&lt;"&amp;I1668,$AI$7:$AI$3000,"yes")+COUNTIFS($B$7:B1668,B1668,$C$7:C1668,C1668,$I$7:I1668,I1668,$AI$7:AI1668,"yes"),"")</f>
        <v>5</v>
      </c>
      <c r="AH1668" s="110" t="str">
        <f aca="false">IF(ISNUMBER(H1668),"yes","no")</f>
        <v>yes</v>
      </c>
      <c r="AI1668" s="110" t="str">
        <f aca="false">IF(ISNUMBER(I1668),"yes","no")</f>
        <v>yes</v>
      </c>
      <c r="AJ1668" s="120" t="n">
        <v>46297</v>
      </c>
      <c r="AK1668" s="110"/>
    </row>
    <row r="1669" customFormat="false" ht="23.85" hidden="false" customHeight="false" outlineLevel="0" collapsed="false">
      <c r="B1669" s="36" t="s">
        <v>94</v>
      </c>
      <c r="C1669" s="98" t="s">
        <v>18</v>
      </c>
      <c r="D1669" s="98" t="s">
        <v>4579</v>
      </c>
      <c r="E1669" s="110" t="s">
        <v>5209</v>
      </c>
      <c r="F1669" s="99" t="n">
        <v>4.93</v>
      </c>
      <c r="G1669" s="98" t="s">
        <v>244</v>
      </c>
      <c r="H1669" s="112" t="n">
        <f aca="false">IF(AND(AE1669="yes",ISNUMBER(AD1669)),AD1669,"")</f>
        <v>4.01</v>
      </c>
      <c r="I1669" s="95" t="n">
        <f aca="false">IF(AND(AE1669="yes",ISNUMBER(AD1669),ISNUMBER(INDEX(Sources!$G$7:$G$10,MATCH(AB1669,Sources!$B$7:$B$10,0)))),ROUND(AD1669/INDEX(Sources!$G$7:$G$10,MATCH(AB1669,Sources!$B$7:$B$10,0)),6),"")</f>
        <v>4.01</v>
      </c>
      <c r="J1669" s="98" t="s">
        <v>530</v>
      </c>
      <c r="K1669" s="98" t="s">
        <v>2059</v>
      </c>
      <c r="L1669" s="96"/>
      <c r="M1669" s="110" t="s">
        <v>5210</v>
      </c>
      <c r="N1669" s="117" t="s">
        <v>5211</v>
      </c>
      <c r="O1669" s="110" t="s">
        <v>246</v>
      </c>
      <c r="P1669" s="110" t="s">
        <v>265</v>
      </c>
      <c r="Q1669" s="118" t="n">
        <v>0.23</v>
      </c>
      <c r="R1669" s="110" t="n">
        <v>1</v>
      </c>
      <c r="S1669" s="110" t="s">
        <v>632</v>
      </c>
      <c r="T1669" s="110" t="s">
        <v>530</v>
      </c>
      <c r="U1669" s="110" t="s">
        <v>2918</v>
      </c>
      <c r="V1669" s="119" t="n">
        <v>4.01</v>
      </c>
      <c r="W1669" s="119"/>
      <c r="X1669" s="110" t="s">
        <v>2063</v>
      </c>
      <c r="Y1669" s="110" t="s">
        <v>2064</v>
      </c>
      <c r="Z1669" s="110" t="s">
        <v>4826</v>
      </c>
      <c r="AA1669" s="110" t="s">
        <v>537</v>
      </c>
      <c r="AB1669" s="110" t="s">
        <v>244</v>
      </c>
      <c r="AC1669" s="110" t="s">
        <v>538</v>
      </c>
      <c r="AD1669" s="110" t="n">
        <f aca="false">IF(OR(F1669="",Q1669="",R1669=""),"",ROUND(IF(P1669="incl.",F1669/(1+Q1669),F1669)/IF(S1669="per pack",R1669,1),2))</f>
        <v>4.01</v>
      </c>
      <c r="AE1669" s="110" t="str">
        <f aca="false">IF(AND(AC1669="yes",ISNUMBER(F1669),IF(Compare!$H$5="All mapped",TRUE(),IF(Compare!$H$5="EXACT only",J1669="EXACT",OR(J1669="EXACT",J1669="CLOSE")))),"yes","no")</f>
        <v>yes</v>
      </c>
      <c r="AF1669" s="110" t="n">
        <f aca="false">IF(ISNUMBER(H1669),COUNTIFS($B$7:$B$3000,B1669,$C$7:$C$3000,C1669,$H$7:$H$3000,"&lt;"&amp;H1669,$AH$7:$AH$3000,"yes")+COUNTIFS($B$7:B1669,B1669,$C$7:C1669,C1669,$H$7:H1669,H1669,$AH$7:AH1669,"yes"),"")</f>
        <v>3</v>
      </c>
      <c r="AG1669" s="110" t="n">
        <f aca="false">IF(ISNUMBER(I1669),COUNTIFS($B$7:$B$3000,B1669,$C$7:$C$3000,C1669,$I$7:$I$3000,"&lt;"&amp;I1669,$AI$7:$AI$3000,"yes")+COUNTIFS($B$7:B1669,B1669,$C$7:C1669,C1669,$I$7:I1669,I1669,$AI$7:AI1669,"yes"),"")</f>
        <v>3</v>
      </c>
      <c r="AH1669" s="110" t="str">
        <f aca="false">IF(ISNUMBER(H1669),"yes","no")</f>
        <v>yes</v>
      </c>
      <c r="AI1669" s="110" t="str">
        <f aca="false">IF(ISNUMBER(I1669),"yes","no")</f>
        <v>yes</v>
      </c>
      <c r="AJ1669" s="120" t="n">
        <v>46297</v>
      </c>
      <c r="AK1669" s="110"/>
    </row>
    <row r="1670" customFormat="false" ht="23.85" hidden="false" customHeight="false" outlineLevel="0" collapsed="false">
      <c r="B1670" s="36" t="s">
        <v>94</v>
      </c>
      <c r="C1670" s="98" t="s">
        <v>18</v>
      </c>
      <c r="D1670" s="98" t="s">
        <v>3021</v>
      </c>
      <c r="E1670" s="110" t="s">
        <v>5212</v>
      </c>
      <c r="F1670" s="99" t="n">
        <v>2.73</v>
      </c>
      <c r="G1670" s="98" t="s">
        <v>244</v>
      </c>
      <c r="H1670" s="112" t="n">
        <f aca="false">IF(AND(AE1670="yes",ISNUMBER(AD1670)),AD1670,"")</f>
        <v>2.73</v>
      </c>
      <c r="I1670" s="95" t="n">
        <f aca="false">IF(AND(AE1670="yes",ISNUMBER(AD1670),ISNUMBER(INDEX(Sources!$G$7:$G$10,MATCH(AB1670,Sources!$B$7:$B$10,0)))),ROUND(AD1670/INDEX(Sources!$G$7:$G$10,MATCH(AB1670,Sources!$B$7:$B$10,0)),6),"")</f>
        <v>2.73</v>
      </c>
      <c r="J1670" s="98" t="s">
        <v>530</v>
      </c>
      <c r="K1670" s="98" t="s">
        <v>2059</v>
      </c>
      <c r="L1670" s="96"/>
      <c r="M1670" s="110" t="s">
        <v>5213</v>
      </c>
      <c r="N1670" s="117" t="s">
        <v>4416</v>
      </c>
      <c r="O1670" s="110" t="s">
        <v>3024</v>
      </c>
      <c r="P1670" s="110" t="s">
        <v>590</v>
      </c>
      <c r="Q1670" s="118" t="n">
        <v>0.23</v>
      </c>
      <c r="R1670" s="110" t="n">
        <v>1</v>
      </c>
      <c r="S1670" s="110" t="s">
        <v>632</v>
      </c>
      <c r="T1670" s="110" t="s">
        <v>530</v>
      </c>
      <c r="U1670" s="110" t="s">
        <v>2913</v>
      </c>
      <c r="V1670" s="119" t="n">
        <v>2.73</v>
      </c>
      <c r="W1670" s="119"/>
      <c r="X1670" s="110" t="s">
        <v>2063</v>
      </c>
      <c r="Y1670" s="110" t="s">
        <v>2064</v>
      </c>
      <c r="Z1670" s="110" t="s">
        <v>3109</v>
      </c>
      <c r="AA1670" s="110" t="s">
        <v>537</v>
      </c>
      <c r="AB1670" s="110" t="s">
        <v>244</v>
      </c>
      <c r="AC1670" s="110" t="s">
        <v>538</v>
      </c>
      <c r="AD1670" s="110" t="n">
        <f aca="false">IF(OR(F1670="",Q1670="",R1670=""),"",ROUND(IF(P1670="incl.",F1670/(1+Q1670),F1670)/IF(S1670="per pack",R1670,1),2))</f>
        <v>2.73</v>
      </c>
      <c r="AE1670" s="110" t="str">
        <f aca="false">IF(AND(AC1670="yes",ISNUMBER(F1670),IF(Compare!$H$5="All mapped",TRUE(),IF(Compare!$H$5="EXACT only",J1670="EXACT",OR(J1670="EXACT",J1670="CLOSE")))),"yes","no")</f>
        <v>yes</v>
      </c>
      <c r="AF1670" s="110" t="n">
        <f aca="false">IF(ISNUMBER(H1670),COUNTIFS($B$7:$B$3000,B1670,$C$7:$C$3000,C1670,$H$7:$H$3000,"&lt;"&amp;H1670,$AH$7:$AH$3000,"yes")+COUNTIFS($B$7:B1670,B1670,$C$7:C1670,C1670,$H$7:H1670,H1670,$AH$7:AH1670,"yes"),"")</f>
        <v>2</v>
      </c>
      <c r="AG1670" s="110" t="n">
        <f aca="false">IF(ISNUMBER(I1670),COUNTIFS($B$7:$B$3000,B1670,$C$7:$C$3000,C1670,$I$7:$I$3000,"&lt;"&amp;I1670,$AI$7:$AI$3000,"yes")+COUNTIFS($B$7:B1670,B1670,$C$7:C1670,C1670,$I$7:I1670,I1670,$AI$7:AI1670,"yes"),"")</f>
        <v>2</v>
      </c>
      <c r="AH1670" s="110" t="str">
        <f aca="false">IF(ISNUMBER(H1670),"yes","no")</f>
        <v>yes</v>
      </c>
      <c r="AI1670" s="110" t="str">
        <f aca="false">IF(ISNUMBER(I1670),"yes","no")</f>
        <v>yes</v>
      </c>
      <c r="AJ1670" s="120" t="n">
        <v>46297</v>
      </c>
      <c r="AK1670" s="110"/>
    </row>
    <row r="1671" customFormat="false" ht="23.85" hidden="false" customHeight="false" outlineLevel="0" collapsed="false">
      <c r="B1671" s="36" t="s">
        <v>95</v>
      </c>
      <c r="C1671" s="98" t="s">
        <v>14</v>
      </c>
      <c r="D1671" s="98" t="s">
        <v>373</v>
      </c>
      <c r="E1671" s="110" t="s">
        <v>5214</v>
      </c>
      <c r="F1671" s="99" t="n">
        <v>16.16</v>
      </c>
      <c r="G1671" s="98" t="s">
        <v>374</v>
      </c>
      <c r="H1671" s="112" t="n">
        <f aca="false">IF(AND(AE1671="yes",ISNUMBER(AD1671)),AD1671,"")</f>
        <v>16.16</v>
      </c>
      <c r="I1671" s="95" t="n">
        <f aca="false">IF(AND(AE1671="yes",ISNUMBER(AD1671),ISNUMBER(INDEX(Sources!$G$7:$G$10,MATCH(AB1671,Sources!$B$7:$B$10,0)))),ROUND(AD1671/INDEX(Sources!$G$7:$G$10,MATCH(AB1671,Sources!$B$7:$B$10,0)),6),"")</f>
        <v>3.061974</v>
      </c>
      <c r="J1671" s="98" t="s">
        <v>530</v>
      </c>
      <c r="K1671" s="98" t="s">
        <v>2059</v>
      </c>
      <c r="L1671" s="96"/>
      <c r="M1671" s="110" t="s">
        <v>5215</v>
      </c>
      <c r="N1671" s="117" t="s">
        <v>5216</v>
      </c>
      <c r="O1671" s="110" t="s">
        <v>4321</v>
      </c>
      <c r="P1671" s="110" t="s">
        <v>590</v>
      </c>
      <c r="Q1671" s="118" t="n">
        <v>0.21</v>
      </c>
      <c r="R1671" s="110" t="n">
        <v>1</v>
      </c>
      <c r="S1671" s="110" t="s">
        <v>632</v>
      </c>
      <c r="T1671" s="110" t="s">
        <v>530</v>
      </c>
      <c r="U1671" s="110" t="s">
        <v>2913</v>
      </c>
      <c r="V1671" s="119" t="n">
        <v>16.16</v>
      </c>
      <c r="W1671" s="119"/>
      <c r="X1671" s="110" t="s">
        <v>2063</v>
      </c>
      <c r="Y1671" s="110" t="s">
        <v>2064</v>
      </c>
      <c r="Z1671" s="110"/>
      <c r="AA1671" s="110" t="s">
        <v>537</v>
      </c>
      <c r="AB1671" s="110" t="s">
        <v>374</v>
      </c>
      <c r="AC1671" s="110" t="s">
        <v>538</v>
      </c>
      <c r="AD1671" s="110" t="n">
        <f aca="false">IF(OR(F1671="",Q1671="",R1671=""),"",ROUND(IF(P1671="incl.",F1671/(1+Q1671),F1671)/IF(S1671="per pack",R1671,1),2))</f>
        <v>16.16</v>
      </c>
      <c r="AE1671" s="110" t="str">
        <f aca="false">IF(AND(AC1671="yes",ISNUMBER(F1671),IF(Compare!$H$5="All mapped",TRUE(),IF(Compare!$H$5="EXACT only",J1671="EXACT",OR(J1671="EXACT",J1671="CLOSE")))),"yes","no")</f>
        <v>yes</v>
      </c>
      <c r="AF1671" s="110" t="n">
        <f aca="false">IF(ISNUMBER(H1671),COUNTIFS($B$7:$B$3000,B1671,$C$7:$C$3000,C1671,$H$7:$H$3000,"&lt;"&amp;H1671,$AH$7:$AH$3000,"yes")+COUNTIFS($B$7:B1671,B1671,$C$7:C1671,C1671,$H$7:H1671,H1671,$AH$7:AH1671,"yes"),"")</f>
        <v>1</v>
      </c>
      <c r="AG1671" s="110" t="n">
        <f aca="false">IF(ISNUMBER(I1671),COUNTIFS($B$7:$B$3000,B1671,$C$7:$C$3000,C1671,$I$7:$I$3000,"&lt;"&amp;I1671,$AI$7:$AI$3000,"yes")+COUNTIFS($B$7:B1671,B1671,$C$7:C1671,C1671,$I$7:I1671,I1671,$AI$7:AI1671,"yes"),"")</f>
        <v>1</v>
      </c>
      <c r="AH1671" s="110" t="str">
        <f aca="false">IF(ISNUMBER(H1671),"yes","no")</f>
        <v>yes</v>
      </c>
      <c r="AI1671" s="110" t="str">
        <f aca="false">IF(ISNUMBER(I1671),"yes","no")</f>
        <v>yes</v>
      </c>
      <c r="AJ1671" s="120" t="n">
        <v>46297</v>
      </c>
      <c r="AK1671" s="110"/>
    </row>
    <row r="1672" customFormat="false" ht="23.85" hidden="false" customHeight="false" outlineLevel="0" collapsed="false">
      <c r="B1672" s="36" t="s">
        <v>95</v>
      </c>
      <c r="C1672" s="98" t="s">
        <v>14</v>
      </c>
      <c r="D1672" s="98" t="s">
        <v>378</v>
      </c>
      <c r="E1672" s="110" t="s">
        <v>5217</v>
      </c>
      <c r="F1672" s="99" t="n">
        <v>59.07</v>
      </c>
      <c r="G1672" s="98" t="s">
        <v>374</v>
      </c>
      <c r="H1672" s="112" t="n">
        <f aca="false">IF(AND(AE1672="yes",ISNUMBER(AD1672)),AD1672,"")</f>
        <v>48.82</v>
      </c>
      <c r="I1672" s="95" t="n">
        <f aca="false">IF(AND(AE1672="yes",ISNUMBER(AD1672),ISNUMBER(INDEX(Sources!$G$7:$G$10,MATCH(AB1672,Sources!$B$7:$B$10,0)))),ROUND(AD1672/INDEX(Sources!$G$7:$G$10,MATCH(AB1672,Sources!$B$7:$B$10,0)),6),"")</f>
        <v>9.250344</v>
      </c>
      <c r="J1672" s="98" t="s">
        <v>702</v>
      </c>
      <c r="K1672" s="98" t="s">
        <v>2059</v>
      </c>
      <c r="L1672" s="96"/>
      <c r="M1672" s="110" t="s">
        <v>5218</v>
      </c>
      <c r="N1672" s="117" t="s">
        <v>5219</v>
      </c>
      <c r="O1672" s="110" t="s">
        <v>733</v>
      </c>
      <c r="P1672" s="110" t="s">
        <v>265</v>
      </c>
      <c r="Q1672" s="118" t="n">
        <v>0.21</v>
      </c>
      <c r="R1672" s="110" t="n">
        <v>1</v>
      </c>
      <c r="S1672" s="110" t="s">
        <v>632</v>
      </c>
      <c r="T1672" s="110" t="s">
        <v>702</v>
      </c>
      <c r="U1672" s="110" t="s">
        <v>2918</v>
      </c>
      <c r="V1672" s="119" t="n">
        <v>48.82</v>
      </c>
      <c r="W1672" s="119"/>
      <c r="X1672" s="110" t="s">
        <v>2063</v>
      </c>
      <c r="Y1672" s="110" t="s">
        <v>2064</v>
      </c>
      <c r="Z1672" s="110"/>
      <c r="AA1672" s="110" t="s">
        <v>537</v>
      </c>
      <c r="AB1672" s="110" t="s">
        <v>374</v>
      </c>
      <c r="AC1672" s="110" t="s">
        <v>538</v>
      </c>
      <c r="AD1672" s="110" t="n">
        <f aca="false">IF(OR(F1672="",Q1672="",R1672=""),"",ROUND(IF(P1672="incl.",F1672/(1+Q1672),F1672)/IF(S1672="per pack",R1672,1),2))</f>
        <v>48.82</v>
      </c>
      <c r="AE1672" s="110" t="str">
        <f aca="false">IF(AND(AC1672="yes",ISNUMBER(F1672),IF(Compare!$H$5="All mapped",TRUE(),IF(Compare!$H$5="EXACT only",J1672="EXACT",OR(J1672="EXACT",J1672="CLOSE")))),"yes","no")</f>
        <v>yes</v>
      </c>
      <c r="AF1672" s="110" t="n">
        <f aca="false">IF(ISNUMBER(H1672),COUNTIFS($B$7:$B$3000,B1672,$C$7:$C$3000,C1672,$H$7:$H$3000,"&lt;"&amp;H1672,$AH$7:$AH$3000,"yes")+COUNTIFS($B$7:B1672,B1672,$C$7:C1672,C1672,$H$7:H1672,H1672,$AH$7:AH1672,"yes"),"")</f>
        <v>5</v>
      </c>
      <c r="AG1672" s="110" t="n">
        <f aca="false">IF(ISNUMBER(I1672),COUNTIFS($B$7:$B$3000,B1672,$C$7:$C$3000,C1672,$I$7:$I$3000,"&lt;"&amp;I1672,$AI$7:$AI$3000,"yes")+COUNTIFS($B$7:B1672,B1672,$C$7:C1672,C1672,$I$7:I1672,I1672,$AI$7:AI1672,"yes"),"")</f>
        <v>5</v>
      </c>
      <c r="AH1672" s="110" t="str">
        <f aca="false">IF(ISNUMBER(H1672),"yes","no")</f>
        <v>yes</v>
      </c>
      <c r="AI1672" s="110" t="str">
        <f aca="false">IF(ISNUMBER(I1672),"yes","no")</f>
        <v>yes</v>
      </c>
      <c r="AJ1672" s="120" t="n">
        <v>46297</v>
      </c>
      <c r="AK1672" s="110"/>
    </row>
    <row r="1673" customFormat="false" ht="46.25" hidden="false" customHeight="false" outlineLevel="0" collapsed="false">
      <c r="B1673" s="36" t="s">
        <v>95</v>
      </c>
      <c r="C1673" s="98" t="s">
        <v>14</v>
      </c>
      <c r="D1673" s="98" t="s">
        <v>4143</v>
      </c>
      <c r="E1673" s="110" t="s">
        <v>5220</v>
      </c>
      <c r="F1673" s="99" t="n">
        <v>194.74</v>
      </c>
      <c r="G1673" s="98" t="s">
        <v>374</v>
      </c>
      <c r="H1673" s="112" t="n">
        <f aca="false">IF(AND(AE1673="yes",ISNUMBER(AD1673)),AD1673,"")</f>
        <v>16.23</v>
      </c>
      <c r="I1673" s="95" t="n">
        <f aca="false">IF(AND(AE1673="yes",ISNUMBER(AD1673),ISNUMBER(INDEX(Sources!$G$7:$G$10,MATCH(AB1673,Sources!$B$7:$B$10,0)))),ROUND(AD1673/INDEX(Sources!$G$7:$G$10,MATCH(AB1673,Sources!$B$7:$B$10,0)),6),"")</f>
        <v>3.075237</v>
      </c>
      <c r="J1673" s="98" t="s">
        <v>530</v>
      </c>
      <c r="K1673" s="98" t="s">
        <v>2059</v>
      </c>
      <c r="L1673" s="96"/>
      <c r="M1673" s="110" t="s">
        <v>5221</v>
      </c>
      <c r="N1673" s="117" t="s">
        <v>5222</v>
      </c>
      <c r="O1673" s="110" t="s">
        <v>317</v>
      </c>
      <c r="P1673" s="110" t="s">
        <v>590</v>
      </c>
      <c r="Q1673" s="118" t="n">
        <v>0.21</v>
      </c>
      <c r="R1673" s="110" t="n">
        <v>12</v>
      </c>
      <c r="S1673" s="110" t="s">
        <v>625</v>
      </c>
      <c r="T1673" s="110" t="s">
        <v>530</v>
      </c>
      <c r="U1673" s="110" t="s">
        <v>2913</v>
      </c>
      <c r="V1673" s="119" t="n">
        <v>16.23</v>
      </c>
      <c r="W1673" s="119"/>
      <c r="X1673" s="110" t="s">
        <v>2063</v>
      </c>
      <c r="Y1673" s="110" t="s">
        <v>2064</v>
      </c>
      <c r="Z1673" s="110" t="s">
        <v>5223</v>
      </c>
      <c r="AA1673" s="110" t="s">
        <v>537</v>
      </c>
      <c r="AB1673" s="110" t="s">
        <v>374</v>
      </c>
      <c r="AC1673" s="110" t="s">
        <v>538</v>
      </c>
      <c r="AD1673" s="110" t="n">
        <f aca="false">IF(OR(F1673="",Q1673="",R1673=""),"",ROUND(IF(P1673="incl.",F1673/(1+Q1673),F1673)/IF(S1673="per pack",R1673,1),2))</f>
        <v>16.23</v>
      </c>
      <c r="AE1673" s="110" t="str">
        <f aca="false">IF(AND(AC1673="yes",ISNUMBER(F1673),IF(Compare!$H$5="All mapped",TRUE(),IF(Compare!$H$5="EXACT only",J1673="EXACT",OR(J1673="EXACT",J1673="CLOSE")))),"yes","no")</f>
        <v>yes</v>
      </c>
      <c r="AF1673" s="110" t="n">
        <f aca="false">IF(ISNUMBER(H1673),COUNTIFS($B$7:$B$3000,B1673,$C$7:$C$3000,C1673,$H$7:$H$3000,"&lt;"&amp;H1673,$AH$7:$AH$3000,"yes")+COUNTIFS($B$7:B1673,B1673,$C$7:C1673,C1673,$H$7:H1673,H1673,$AH$7:AH1673,"yes"),"")</f>
        <v>2</v>
      </c>
      <c r="AG1673" s="110" t="n">
        <f aca="false">IF(ISNUMBER(I1673),COUNTIFS($B$7:$B$3000,B1673,$C$7:$C$3000,C1673,$I$7:$I$3000,"&lt;"&amp;I1673,$AI$7:$AI$3000,"yes")+COUNTIFS($B$7:B1673,B1673,$C$7:C1673,C1673,$I$7:I1673,I1673,$AI$7:AI1673,"yes"),"")</f>
        <v>2</v>
      </c>
      <c r="AH1673" s="110" t="str">
        <f aca="false">IF(ISNUMBER(H1673),"yes","no")</f>
        <v>yes</v>
      </c>
      <c r="AI1673" s="110" t="str">
        <f aca="false">IF(ISNUMBER(I1673),"yes","no")</f>
        <v>yes</v>
      </c>
      <c r="AJ1673" s="120" t="n">
        <v>46297</v>
      </c>
      <c r="AK1673" s="110"/>
    </row>
    <row r="1674" customFormat="false" ht="35.05" hidden="false" customHeight="false" outlineLevel="0" collapsed="false">
      <c r="B1674" s="36" t="s">
        <v>95</v>
      </c>
      <c r="C1674" s="98" t="s">
        <v>14</v>
      </c>
      <c r="D1674" s="98" t="s">
        <v>346</v>
      </c>
      <c r="E1674" s="110" t="s">
        <v>5224</v>
      </c>
      <c r="F1674" s="99" t="n">
        <v>38.4</v>
      </c>
      <c r="G1674" s="98" t="s">
        <v>374</v>
      </c>
      <c r="H1674" s="112" t="n">
        <f aca="false">IF(AND(AE1674="yes",ISNUMBER(AD1674)),AD1674,"")</f>
        <v>31.74</v>
      </c>
      <c r="I1674" s="95" t="n">
        <f aca="false">IF(AND(AE1674="yes",ISNUMBER(AD1674),ISNUMBER(INDEX(Sources!$G$7:$G$10,MATCH(AB1674,Sources!$B$7:$B$10,0)))),ROUND(AD1674/INDEX(Sources!$G$7:$G$10,MATCH(AB1674,Sources!$B$7:$B$10,0)),6),"")</f>
        <v>6.01405</v>
      </c>
      <c r="J1674" s="98" t="s">
        <v>530</v>
      </c>
      <c r="K1674" s="98" t="s">
        <v>2059</v>
      </c>
      <c r="L1674" s="96"/>
      <c r="M1674" s="110" t="s">
        <v>5225</v>
      </c>
      <c r="N1674" s="117" t="s">
        <v>5226</v>
      </c>
      <c r="O1674" s="110" t="s">
        <v>783</v>
      </c>
      <c r="P1674" s="110" t="s">
        <v>265</v>
      </c>
      <c r="Q1674" s="118" t="n">
        <v>0.21</v>
      </c>
      <c r="R1674" s="110" t="n">
        <v>1</v>
      </c>
      <c r="S1674" s="110" t="s">
        <v>632</v>
      </c>
      <c r="T1674" s="110" t="s">
        <v>530</v>
      </c>
      <c r="U1674" s="110" t="s">
        <v>2918</v>
      </c>
      <c r="V1674" s="119" t="n">
        <v>31.74</v>
      </c>
      <c r="W1674" s="119"/>
      <c r="X1674" s="110" t="s">
        <v>2063</v>
      </c>
      <c r="Y1674" s="110" t="s">
        <v>2064</v>
      </c>
      <c r="Z1674" s="110"/>
      <c r="AA1674" s="110" t="s">
        <v>537</v>
      </c>
      <c r="AB1674" s="110" t="s">
        <v>374</v>
      </c>
      <c r="AC1674" s="110" t="s">
        <v>538</v>
      </c>
      <c r="AD1674" s="110" t="n">
        <f aca="false">IF(OR(F1674="",Q1674="",R1674=""),"",ROUND(IF(P1674="incl.",F1674/(1+Q1674),F1674)/IF(S1674="per pack",R1674,1),2))</f>
        <v>31.74</v>
      </c>
      <c r="AE1674" s="110" t="str">
        <f aca="false">IF(AND(AC1674="yes",ISNUMBER(F1674),IF(Compare!$H$5="All mapped",TRUE(),IF(Compare!$H$5="EXACT only",J1674="EXACT",OR(J1674="EXACT",J1674="CLOSE")))),"yes","no")</f>
        <v>yes</v>
      </c>
      <c r="AF1674" s="110" t="n">
        <f aca="false">IF(ISNUMBER(H1674),COUNTIFS($B$7:$B$3000,B1674,$C$7:$C$3000,C1674,$H$7:$H$3000,"&lt;"&amp;H1674,$AH$7:$AH$3000,"yes")+COUNTIFS($B$7:B1674,B1674,$C$7:C1674,C1674,$H$7:H1674,H1674,$AH$7:AH1674,"yes"),"")</f>
        <v>4</v>
      </c>
      <c r="AG1674" s="110" t="n">
        <f aca="false">IF(ISNUMBER(I1674),COUNTIFS($B$7:$B$3000,B1674,$C$7:$C$3000,C1674,$I$7:$I$3000,"&lt;"&amp;I1674,$AI$7:$AI$3000,"yes")+COUNTIFS($B$7:B1674,B1674,$C$7:C1674,C1674,$I$7:I1674,I1674,$AI$7:AI1674,"yes"),"")</f>
        <v>4</v>
      </c>
      <c r="AH1674" s="110" t="str">
        <f aca="false">IF(ISNUMBER(H1674),"yes","no")</f>
        <v>yes</v>
      </c>
      <c r="AI1674" s="110" t="str">
        <f aca="false">IF(ISNUMBER(I1674),"yes","no")</f>
        <v>yes</v>
      </c>
      <c r="AJ1674" s="120" t="n">
        <v>46297</v>
      </c>
      <c r="AK1674" s="110"/>
    </row>
    <row r="1675" customFormat="false" ht="23.85" hidden="false" customHeight="false" outlineLevel="0" collapsed="false">
      <c r="B1675" s="36" t="s">
        <v>95</v>
      </c>
      <c r="C1675" s="98" t="s">
        <v>14</v>
      </c>
      <c r="D1675" s="98" t="s">
        <v>403</v>
      </c>
      <c r="E1675" s="110" t="s">
        <v>5227</v>
      </c>
      <c r="F1675" s="99" t="n">
        <v>20.93</v>
      </c>
      <c r="G1675" s="98" t="s">
        <v>374</v>
      </c>
      <c r="H1675" s="112" t="n">
        <f aca="false">IF(AND(AE1675="yes",ISNUMBER(AD1675)),AD1675,"")</f>
        <v>20.93</v>
      </c>
      <c r="I1675" s="95" t="n">
        <f aca="false">IF(AND(AE1675="yes",ISNUMBER(AD1675),ISNUMBER(INDEX(Sources!$G$7:$G$10,MATCH(AB1675,Sources!$B$7:$B$10,0)))),ROUND(AD1675/INDEX(Sources!$G$7:$G$10,MATCH(AB1675,Sources!$B$7:$B$10,0)),6),"")</f>
        <v>3.965787</v>
      </c>
      <c r="J1675" s="98" t="s">
        <v>530</v>
      </c>
      <c r="K1675" s="98" t="s">
        <v>2059</v>
      </c>
      <c r="L1675" s="96"/>
      <c r="M1675" s="110" t="s">
        <v>5228</v>
      </c>
      <c r="N1675" s="117" t="s">
        <v>5229</v>
      </c>
      <c r="O1675" s="110" t="s">
        <v>388</v>
      </c>
      <c r="P1675" s="110" t="s">
        <v>590</v>
      </c>
      <c r="Q1675" s="118" t="n">
        <v>0.21</v>
      </c>
      <c r="R1675" s="110" t="n">
        <v>1</v>
      </c>
      <c r="S1675" s="110" t="s">
        <v>632</v>
      </c>
      <c r="T1675" s="110" t="s">
        <v>530</v>
      </c>
      <c r="U1675" s="110" t="s">
        <v>2913</v>
      </c>
      <c r="V1675" s="119" t="n">
        <v>20.93</v>
      </c>
      <c r="W1675" s="119"/>
      <c r="X1675" s="110" t="s">
        <v>2063</v>
      </c>
      <c r="Y1675" s="110" t="s">
        <v>2064</v>
      </c>
      <c r="Z1675" s="110"/>
      <c r="AA1675" s="110" t="s">
        <v>537</v>
      </c>
      <c r="AB1675" s="110" t="s">
        <v>374</v>
      </c>
      <c r="AC1675" s="110" t="s">
        <v>538</v>
      </c>
      <c r="AD1675" s="110" t="n">
        <f aca="false">IF(OR(F1675="",Q1675="",R1675=""),"",ROUND(IF(P1675="incl.",F1675/(1+Q1675),F1675)/IF(S1675="per pack",R1675,1),2))</f>
        <v>20.93</v>
      </c>
      <c r="AE1675" s="110" t="str">
        <f aca="false">IF(AND(AC1675="yes",ISNUMBER(F1675),IF(Compare!$H$5="All mapped",TRUE(),IF(Compare!$H$5="EXACT only",J1675="EXACT",OR(J1675="EXACT",J1675="CLOSE")))),"yes","no")</f>
        <v>yes</v>
      </c>
      <c r="AF1675" s="110" t="n">
        <f aca="false">IF(ISNUMBER(H1675),COUNTIFS($B$7:$B$3000,B1675,$C$7:$C$3000,C1675,$H$7:$H$3000,"&lt;"&amp;H1675,$AH$7:$AH$3000,"yes")+COUNTIFS($B$7:B1675,B1675,$C$7:C1675,C1675,$H$7:H1675,H1675,$AH$7:AH1675,"yes"),"")</f>
        <v>3</v>
      </c>
      <c r="AG1675" s="110" t="n">
        <f aca="false">IF(ISNUMBER(I1675),COUNTIFS($B$7:$B$3000,B1675,$C$7:$C$3000,C1675,$I$7:$I$3000,"&lt;"&amp;I1675,$AI$7:$AI$3000,"yes")+COUNTIFS($B$7:B1675,B1675,$C$7:C1675,C1675,$I$7:I1675,I1675,$AI$7:AI1675,"yes"),"")</f>
        <v>3</v>
      </c>
      <c r="AH1675" s="110" t="str">
        <f aca="false">IF(ISNUMBER(H1675),"yes","no")</f>
        <v>yes</v>
      </c>
      <c r="AI1675" s="110" t="str">
        <f aca="false">IF(ISNUMBER(I1675),"yes","no")</f>
        <v>yes</v>
      </c>
      <c r="AJ1675" s="120" t="n">
        <v>46297</v>
      </c>
      <c r="AK1675" s="110"/>
    </row>
    <row r="1676" customFormat="false" ht="35.05" hidden="false" customHeight="false" outlineLevel="0" collapsed="false">
      <c r="B1676" s="36" t="s">
        <v>95</v>
      </c>
      <c r="C1676" s="98" t="s">
        <v>15</v>
      </c>
      <c r="D1676" s="98" t="s">
        <v>243</v>
      </c>
      <c r="E1676" s="110" t="s">
        <v>5230</v>
      </c>
      <c r="F1676" s="99" t="n">
        <v>7.53</v>
      </c>
      <c r="G1676" s="98" t="s">
        <v>244</v>
      </c>
      <c r="H1676" s="112" t="n">
        <f aca="false">IF(AND(AE1676="yes",ISNUMBER(AD1676)),AD1676,"")</f>
        <v>7.53</v>
      </c>
      <c r="I1676" s="95" t="n">
        <f aca="false">IF(AND(AE1676="yes",ISNUMBER(AD1676),ISNUMBER(INDEX(Sources!$G$7:$G$10,MATCH(AB1676,Sources!$B$7:$B$10,0)))),ROUND(AD1676/INDEX(Sources!$G$7:$G$10,MATCH(AB1676,Sources!$B$7:$B$10,0)),6),"")</f>
        <v>7.53</v>
      </c>
      <c r="J1676" s="98" t="s">
        <v>530</v>
      </c>
      <c r="K1676" s="98" t="s">
        <v>2059</v>
      </c>
      <c r="L1676" s="96"/>
      <c r="M1676" s="110" t="s">
        <v>5231</v>
      </c>
      <c r="N1676" s="117" t="s">
        <v>5232</v>
      </c>
      <c r="O1676" s="110" t="s">
        <v>388</v>
      </c>
      <c r="P1676" s="110" t="s">
        <v>590</v>
      </c>
      <c r="Q1676" s="118" t="n">
        <v>0.2</v>
      </c>
      <c r="R1676" s="110" t="n">
        <v>1</v>
      </c>
      <c r="S1676" s="110" t="s">
        <v>632</v>
      </c>
      <c r="T1676" s="110" t="s">
        <v>530</v>
      </c>
      <c r="U1676" s="110" t="s">
        <v>2913</v>
      </c>
      <c r="V1676" s="119" t="n">
        <v>7.53</v>
      </c>
      <c r="W1676" s="119"/>
      <c r="X1676" s="110" t="s">
        <v>2063</v>
      </c>
      <c r="Y1676" s="110" t="s">
        <v>2064</v>
      </c>
      <c r="Z1676" s="110" t="s">
        <v>4337</v>
      </c>
      <c r="AA1676" s="110" t="s">
        <v>537</v>
      </c>
      <c r="AB1676" s="110" t="s">
        <v>244</v>
      </c>
      <c r="AC1676" s="110" t="s">
        <v>538</v>
      </c>
      <c r="AD1676" s="110" t="n">
        <f aca="false">IF(OR(F1676="",Q1676="",R1676=""),"",ROUND(IF(P1676="incl.",F1676/(1+Q1676),F1676)/IF(S1676="per pack",R1676,1),2))</f>
        <v>7.53</v>
      </c>
      <c r="AE1676" s="110" t="str">
        <f aca="false">IF(AND(AC1676="yes",ISNUMBER(F1676),IF(Compare!$H$5="All mapped",TRUE(),IF(Compare!$H$5="EXACT only",J1676="EXACT",OR(J1676="EXACT",J1676="CLOSE")))),"yes","no")</f>
        <v>yes</v>
      </c>
      <c r="AF1676" s="110" t="n">
        <f aca="false">IF(ISNUMBER(H1676),COUNTIFS($B$7:$B$3000,B1676,$C$7:$C$3000,C1676,$H$7:$H$3000,"&lt;"&amp;H1676,$AH$7:$AH$3000,"yes")+COUNTIFS($B$7:B1676,B1676,$C$7:C1676,C1676,$H$7:H1676,H1676,$AH$7:AH1676,"yes"),"")</f>
        <v>5</v>
      </c>
      <c r="AG1676" s="110" t="n">
        <f aca="false">IF(ISNUMBER(I1676),COUNTIFS($B$7:$B$3000,B1676,$C$7:$C$3000,C1676,$I$7:$I$3000,"&lt;"&amp;I1676,$AI$7:$AI$3000,"yes")+COUNTIFS($B$7:B1676,B1676,$C$7:C1676,C1676,$I$7:I1676,I1676,$AI$7:AI1676,"yes"),"")</f>
        <v>5</v>
      </c>
      <c r="AH1676" s="110" t="str">
        <f aca="false">IF(ISNUMBER(H1676),"yes","no")</f>
        <v>yes</v>
      </c>
      <c r="AI1676" s="110" t="str">
        <f aca="false">IF(ISNUMBER(I1676),"yes","no")</f>
        <v>yes</v>
      </c>
      <c r="AJ1676" s="120" t="n">
        <v>46297</v>
      </c>
      <c r="AK1676" s="110"/>
    </row>
    <row r="1677" customFormat="false" ht="46.25" hidden="false" customHeight="false" outlineLevel="0" collapsed="false">
      <c r="B1677" s="36" t="s">
        <v>95</v>
      </c>
      <c r="C1677" s="98" t="s">
        <v>15</v>
      </c>
      <c r="D1677" s="98" t="s">
        <v>277</v>
      </c>
      <c r="E1677" s="110" t="s">
        <v>5233</v>
      </c>
      <c r="F1677" s="99" t="n">
        <v>33.99</v>
      </c>
      <c r="G1677" s="98" t="s">
        <v>244</v>
      </c>
      <c r="H1677" s="112" t="n">
        <f aca="false">IF(AND(AE1677="yes",ISNUMBER(AD1677)),AD1677,"")</f>
        <v>2.83</v>
      </c>
      <c r="I1677" s="95" t="n">
        <f aca="false">IF(AND(AE1677="yes",ISNUMBER(AD1677),ISNUMBER(INDEX(Sources!$G$7:$G$10,MATCH(AB1677,Sources!$B$7:$B$10,0)))),ROUND(AD1677/INDEX(Sources!$G$7:$G$10,MATCH(AB1677,Sources!$B$7:$B$10,0)),6),"")</f>
        <v>2.83</v>
      </c>
      <c r="J1677" s="98" t="s">
        <v>530</v>
      </c>
      <c r="K1677" s="98" t="s">
        <v>2059</v>
      </c>
      <c r="L1677" s="96"/>
      <c r="M1677" s="110" t="s">
        <v>5234</v>
      </c>
      <c r="N1677" s="117" t="s">
        <v>5235</v>
      </c>
      <c r="O1677" s="110" t="s">
        <v>317</v>
      </c>
      <c r="P1677" s="110" t="s">
        <v>590</v>
      </c>
      <c r="Q1677" s="118" t="n">
        <v>0.19</v>
      </c>
      <c r="R1677" s="110" t="n">
        <v>12</v>
      </c>
      <c r="S1677" s="110" t="s">
        <v>625</v>
      </c>
      <c r="T1677" s="110" t="s">
        <v>530</v>
      </c>
      <c r="U1677" s="110" t="s">
        <v>2913</v>
      </c>
      <c r="V1677" s="119" t="n">
        <v>2.83</v>
      </c>
      <c r="W1677" s="119"/>
      <c r="X1677" s="110" t="s">
        <v>2063</v>
      </c>
      <c r="Y1677" s="110" t="s">
        <v>2064</v>
      </c>
      <c r="Z1677" s="110" t="s">
        <v>5236</v>
      </c>
      <c r="AA1677" s="110" t="s">
        <v>537</v>
      </c>
      <c r="AB1677" s="110" t="s">
        <v>244</v>
      </c>
      <c r="AC1677" s="110" t="s">
        <v>538</v>
      </c>
      <c r="AD1677" s="110" t="n">
        <f aca="false">IF(OR(F1677="",Q1677="",R1677=""),"",ROUND(IF(P1677="incl.",F1677/(1+Q1677),F1677)/IF(S1677="per pack",R1677,1),2))</f>
        <v>2.83</v>
      </c>
      <c r="AE1677" s="110" t="str">
        <f aca="false">IF(AND(AC1677="yes",ISNUMBER(F1677),IF(Compare!$H$5="All mapped",TRUE(),IF(Compare!$H$5="EXACT only",J1677="EXACT",OR(J1677="EXACT",J1677="CLOSE")))),"yes","no")</f>
        <v>yes</v>
      </c>
      <c r="AF1677" s="110" t="n">
        <f aca="false">IF(ISNUMBER(H1677),COUNTIFS($B$7:$B$3000,B1677,$C$7:$C$3000,C1677,$H$7:$H$3000,"&lt;"&amp;H1677,$AH$7:$AH$3000,"yes")+COUNTIFS($B$7:B1677,B1677,$C$7:C1677,C1677,$H$7:H1677,H1677,$AH$7:AH1677,"yes"),"")</f>
        <v>1</v>
      </c>
      <c r="AG1677" s="110" t="n">
        <f aca="false">IF(ISNUMBER(I1677),COUNTIFS($B$7:$B$3000,B1677,$C$7:$C$3000,C1677,$I$7:$I$3000,"&lt;"&amp;I1677,$AI$7:$AI$3000,"yes")+COUNTIFS($B$7:B1677,B1677,$C$7:C1677,C1677,$I$7:I1677,I1677,$AI$7:AI1677,"yes"),"")</f>
        <v>1</v>
      </c>
      <c r="AH1677" s="110" t="str">
        <f aca="false">IF(ISNUMBER(H1677),"yes","no")</f>
        <v>yes</v>
      </c>
      <c r="AI1677" s="110" t="str">
        <f aca="false">IF(ISNUMBER(I1677),"yes","no")</f>
        <v>yes</v>
      </c>
      <c r="AJ1677" s="120" t="n">
        <v>46297</v>
      </c>
      <c r="AK1677" s="110"/>
    </row>
    <row r="1678" customFormat="false" ht="23.85" hidden="false" customHeight="false" outlineLevel="0" collapsed="false">
      <c r="B1678" s="36" t="s">
        <v>95</v>
      </c>
      <c r="C1678" s="98" t="s">
        <v>15</v>
      </c>
      <c r="D1678" s="98" t="s">
        <v>257</v>
      </c>
      <c r="E1678" s="110" t="s">
        <v>5237</v>
      </c>
      <c r="F1678" s="99" t="n">
        <v>5.25</v>
      </c>
      <c r="G1678" s="98" t="s">
        <v>244</v>
      </c>
      <c r="H1678" s="112" t="n">
        <f aca="false">IF(AND(AE1678="yes",ISNUMBER(AD1678)),AD1678,"")</f>
        <v>5.25</v>
      </c>
      <c r="I1678" s="95" t="n">
        <f aca="false">IF(AND(AE1678="yes",ISNUMBER(AD1678),ISNUMBER(INDEX(Sources!$G$7:$G$10,MATCH(AB1678,Sources!$B$7:$B$10,0)))),ROUND(AD1678/INDEX(Sources!$G$7:$G$10,MATCH(AB1678,Sources!$B$7:$B$10,0)),6),"")</f>
        <v>5.25</v>
      </c>
      <c r="J1678" s="98" t="s">
        <v>530</v>
      </c>
      <c r="K1678" s="98" t="s">
        <v>2059</v>
      </c>
      <c r="L1678" s="96"/>
      <c r="M1678" s="110" t="s">
        <v>5238</v>
      </c>
      <c r="N1678" s="117" t="s">
        <v>5239</v>
      </c>
      <c r="O1678" s="110" t="s">
        <v>2396</v>
      </c>
      <c r="P1678" s="110" t="s">
        <v>590</v>
      </c>
      <c r="Q1678" s="118" t="n">
        <v>0.2</v>
      </c>
      <c r="R1678" s="110" t="n">
        <v>1</v>
      </c>
      <c r="S1678" s="110" t="s">
        <v>632</v>
      </c>
      <c r="T1678" s="110" t="s">
        <v>530</v>
      </c>
      <c r="U1678" s="110" t="s">
        <v>2913</v>
      </c>
      <c r="V1678" s="119" t="n">
        <v>5.25</v>
      </c>
      <c r="W1678" s="119"/>
      <c r="X1678" s="110" t="s">
        <v>2063</v>
      </c>
      <c r="Y1678" s="110" t="s">
        <v>2064</v>
      </c>
      <c r="Z1678" s="110" t="s">
        <v>4341</v>
      </c>
      <c r="AA1678" s="110" t="s">
        <v>537</v>
      </c>
      <c r="AB1678" s="110" t="s">
        <v>244</v>
      </c>
      <c r="AC1678" s="110" t="s">
        <v>538</v>
      </c>
      <c r="AD1678" s="110" t="n">
        <f aca="false">IF(OR(F1678="",Q1678="",R1678=""),"",ROUND(IF(P1678="incl.",F1678/(1+Q1678),F1678)/IF(S1678="per pack",R1678,1),2))</f>
        <v>5.25</v>
      </c>
      <c r="AE1678" s="110" t="str">
        <f aca="false">IF(AND(AC1678="yes",ISNUMBER(F1678),IF(Compare!$H$5="All mapped",TRUE(),IF(Compare!$H$5="EXACT only",J1678="EXACT",OR(J1678="EXACT",J1678="CLOSE")))),"yes","no")</f>
        <v>yes</v>
      </c>
      <c r="AF1678" s="110" t="n">
        <f aca="false">IF(ISNUMBER(H1678),COUNTIFS($B$7:$B$3000,B1678,$C$7:$C$3000,C1678,$H$7:$H$3000,"&lt;"&amp;H1678,$AH$7:$AH$3000,"yes")+COUNTIFS($B$7:B1678,B1678,$C$7:C1678,C1678,$H$7:H1678,H1678,$AH$7:AH1678,"yes"),"")</f>
        <v>4</v>
      </c>
      <c r="AG1678" s="110" t="n">
        <f aca="false">IF(ISNUMBER(I1678),COUNTIFS($B$7:$B$3000,B1678,$C$7:$C$3000,C1678,$I$7:$I$3000,"&lt;"&amp;I1678,$AI$7:$AI$3000,"yes")+COUNTIFS($B$7:B1678,B1678,$C$7:C1678,C1678,$I$7:I1678,I1678,$AI$7:AI1678,"yes"),"")</f>
        <v>4</v>
      </c>
      <c r="AH1678" s="110" t="str">
        <f aca="false">IF(ISNUMBER(H1678),"yes","no")</f>
        <v>yes</v>
      </c>
      <c r="AI1678" s="110" t="str">
        <f aca="false">IF(ISNUMBER(I1678),"yes","no")</f>
        <v>yes</v>
      </c>
      <c r="AJ1678" s="120" t="n">
        <v>46297</v>
      </c>
      <c r="AK1678" s="110"/>
    </row>
    <row r="1679" customFormat="false" ht="23.85" hidden="false" customHeight="false" outlineLevel="0" collapsed="false">
      <c r="B1679" s="36" t="s">
        <v>95</v>
      </c>
      <c r="C1679" s="98" t="s">
        <v>15</v>
      </c>
      <c r="D1679" s="98" t="s">
        <v>269</v>
      </c>
      <c r="E1679" s="110" t="s">
        <v>5240</v>
      </c>
      <c r="F1679" s="99" t="n">
        <v>8.49</v>
      </c>
      <c r="G1679" s="98" t="s">
        <v>244</v>
      </c>
      <c r="H1679" s="112" t="n">
        <f aca="false">IF(AND(AE1679="yes",ISNUMBER(AD1679)),AD1679,"")</f>
        <v>8.49</v>
      </c>
      <c r="I1679" s="95" t="n">
        <f aca="false">IF(AND(AE1679="yes",ISNUMBER(AD1679),ISNUMBER(INDEX(Sources!$G$7:$G$10,MATCH(AB1679,Sources!$B$7:$B$10,0)))),ROUND(AD1679/INDEX(Sources!$G$7:$G$10,MATCH(AB1679,Sources!$B$7:$B$10,0)),6),"")</f>
        <v>8.49</v>
      </c>
      <c r="J1679" s="98" t="s">
        <v>530</v>
      </c>
      <c r="K1679" s="98" t="s">
        <v>2059</v>
      </c>
      <c r="L1679" s="96"/>
      <c r="M1679" s="110" t="s">
        <v>5241</v>
      </c>
      <c r="N1679" s="117" t="s">
        <v>5242</v>
      </c>
      <c r="O1679" s="110" t="s">
        <v>589</v>
      </c>
      <c r="P1679" s="110" t="s">
        <v>590</v>
      </c>
      <c r="Q1679" s="118" t="n">
        <v>0.19</v>
      </c>
      <c r="R1679" s="110" t="n">
        <v>1</v>
      </c>
      <c r="S1679" s="110" t="s">
        <v>632</v>
      </c>
      <c r="T1679" s="110" t="s">
        <v>530</v>
      </c>
      <c r="U1679" s="110" t="s">
        <v>2913</v>
      </c>
      <c r="V1679" s="119" t="n">
        <v>8.49</v>
      </c>
      <c r="W1679" s="119"/>
      <c r="X1679" s="110" t="s">
        <v>2063</v>
      </c>
      <c r="Y1679" s="110" t="s">
        <v>2064</v>
      </c>
      <c r="Z1679" s="110" t="s">
        <v>4345</v>
      </c>
      <c r="AA1679" s="110" t="s">
        <v>537</v>
      </c>
      <c r="AB1679" s="110" t="s">
        <v>244</v>
      </c>
      <c r="AC1679" s="110" t="s">
        <v>538</v>
      </c>
      <c r="AD1679" s="110" t="n">
        <f aca="false">IF(OR(F1679="",Q1679="",R1679=""),"",ROUND(IF(P1679="incl.",F1679/(1+Q1679),F1679)/IF(S1679="per pack",R1679,1),2))</f>
        <v>8.49</v>
      </c>
      <c r="AE1679" s="110" t="str">
        <f aca="false">IF(AND(AC1679="yes",ISNUMBER(F1679),IF(Compare!$H$5="All mapped",TRUE(),IF(Compare!$H$5="EXACT only",J1679="EXACT",OR(J1679="EXACT",J1679="CLOSE")))),"yes","no")</f>
        <v>yes</v>
      </c>
      <c r="AF1679" s="110" t="n">
        <f aca="false">IF(ISNUMBER(H1679),COUNTIFS($B$7:$B$3000,B1679,$C$7:$C$3000,C1679,$H$7:$H$3000,"&lt;"&amp;H1679,$AH$7:$AH$3000,"yes")+COUNTIFS($B$7:B1679,B1679,$C$7:C1679,C1679,$H$7:H1679,H1679,$AH$7:AH1679,"yes"),"")</f>
        <v>6</v>
      </c>
      <c r="AG1679" s="110" t="n">
        <f aca="false">IF(ISNUMBER(I1679),COUNTIFS($B$7:$B$3000,B1679,$C$7:$C$3000,C1679,$I$7:$I$3000,"&lt;"&amp;I1679,$AI$7:$AI$3000,"yes")+COUNTIFS($B$7:B1679,B1679,$C$7:C1679,C1679,$I$7:I1679,I1679,$AI$7:AI1679,"yes"),"")</f>
        <v>6</v>
      </c>
      <c r="AH1679" s="110" t="str">
        <f aca="false">IF(ISNUMBER(H1679),"yes","no")</f>
        <v>yes</v>
      </c>
      <c r="AI1679" s="110" t="str">
        <f aca="false">IF(ISNUMBER(I1679),"yes","no")</f>
        <v>yes</v>
      </c>
      <c r="AJ1679" s="120" t="n">
        <v>46297</v>
      </c>
      <c r="AK1679" s="110"/>
    </row>
    <row r="1680" customFormat="false" ht="23.85" hidden="false" customHeight="false" outlineLevel="0" collapsed="false">
      <c r="B1680" s="36" t="s">
        <v>95</v>
      </c>
      <c r="C1680" s="98" t="s">
        <v>15</v>
      </c>
      <c r="D1680" s="98" t="s">
        <v>264</v>
      </c>
      <c r="E1680" s="110" t="s">
        <v>5243</v>
      </c>
      <c r="F1680" s="99" t="n">
        <v>19.36</v>
      </c>
      <c r="G1680" s="98" t="s">
        <v>244</v>
      </c>
      <c r="H1680" s="112" t="n">
        <f aca="false">IF(AND(AE1680="yes",ISNUMBER(AD1680)),AD1680,"")</f>
        <v>19.36</v>
      </c>
      <c r="I1680" s="95" t="n">
        <f aca="false">IF(AND(AE1680="yes",ISNUMBER(AD1680),ISNUMBER(INDEX(Sources!$G$7:$G$10,MATCH(AB1680,Sources!$B$7:$B$10,0)))),ROUND(AD1680/INDEX(Sources!$G$7:$G$10,MATCH(AB1680,Sources!$B$7:$B$10,0)),6),"")</f>
        <v>19.36</v>
      </c>
      <c r="J1680" s="98" t="s">
        <v>530</v>
      </c>
      <c r="K1680" s="98" t="s">
        <v>2059</v>
      </c>
      <c r="L1680" s="96"/>
      <c r="M1680" s="110" t="s">
        <v>5244</v>
      </c>
      <c r="N1680" s="117" t="s">
        <v>5245</v>
      </c>
      <c r="O1680" s="110" t="s">
        <v>388</v>
      </c>
      <c r="P1680" s="110" t="s">
        <v>590</v>
      </c>
      <c r="Q1680" s="118" t="n">
        <v>0.19</v>
      </c>
      <c r="R1680" s="110" t="n">
        <v>1</v>
      </c>
      <c r="S1680" s="110" t="s">
        <v>632</v>
      </c>
      <c r="T1680" s="110" t="s">
        <v>530</v>
      </c>
      <c r="U1680" s="110" t="s">
        <v>2913</v>
      </c>
      <c r="V1680" s="119" t="n">
        <v>19.36</v>
      </c>
      <c r="W1680" s="119"/>
      <c r="X1680" s="110" t="s">
        <v>2063</v>
      </c>
      <c r="Y1680" s="110" t="s">
        <v>2064</v>
      </c>
      <c r="Z1680" s="110"/>
      <c r="AA1680" s="110" t="s">
        <v>537</v>
      </c>
      <c r="AB1680" s="110" t="s">
        <v>244</v>
      </c>
      <c r="AC1680" s="110" t="s">
        <v>538</v>
      </c>
      <c r="AD1680" s="110" t="n">
        <f aca="false">IF(OR(F1680="",Q1680="",R1680=""),"",ROUND(IF(P1680="incl.",F1680/(1+Q1680),F1680)/IF(S1680="per pack",R1680,1),2))</f>
        <v>19.36</v>
      </c>
      <c r="AE1680" s="110" t="str">
        <f aca="false">IF(AND(AC1680="yes",ISNUMBER(F1680),IF(Compare!$H$5="All mapped",TRUE(),IF(Compare!$H$5="EXACT only",J1680="EXACT",OR(J1680="EXACT",J1680="CLOSE")))),"yes","no")</f>
        <v>yes</v>
      </c>
      <c r="AF1680" s="110" t="n">
        <f aca="false">IF(ISNUMBER(H1680),COUNTIFS($B$7:$B$3000,B1680,$C$7:$C$3000,C1680,$H$7:$H$3000,"&lt;"&amp;H1680,$AH$7:$AH$3000,"yes")+COUNTIFS($B$7:B1680,B1680,$C$7:C1680,C1680,$H$7:H1680,H1680,$AH$7:AH1680,"yes"),"")</f>
        <v>7</v>
      </c>
      <c r="AG1680" s="110" t="n">
        <f aca="false">IF(ISNUMBER(I1680),COUNTIFS($B$7:$B$3000,B1680,$C$7:$C$3000,C1680,$I$7:$I$3000,"&lt;"&amp;I1680,$AI$7:$AI$3000,"yes")+COUNTIFS($B$7:B1680,B1680,$C$7:C1680,C1680,$I$7:I1680,I1680,$AI$7:AI1680,"yes"),"")</f>
        <v>7</v>
      </c>
      <c r="AH1680" s="110" t="str">
        <f aca="false">IF(ISNUMBER(H1680),"yes","no")</f>
        <v>yes</v>
      </c>
      <c r="AI1680" s="110" t="str">
        <f aca="false">IF(ISNUMBER(I1680),"yes","no")</f>
        <v>yes</v>
      </c>
      <c r="AJ1680" s="120" t="n">
        <v>46297</v>
      </c>
      <c r="AK1680" s="110"/>
    </row>
    <row r="1681" customFormat="false" ht="46.25" hidden="false" customHeight="false" outlineLevel="0" collapsed="false">
      <c r="B1681" s="36" t="s">
        <v>95</v>
      </c>
      <c r="C1681" s="98" t="s">
        <v>15</v>
      </c>
      <c r="D1681" s="98" t="s">
        <v>281</v>
      </c>
      <c r="E1681" s="110" t="s">
        <v>5246</v>
      </c>
      <c r="F1681" s="99" t="n">
        <v>4.56</v>
      </c>
      <c r="G1681" s="98" t="s">
        <v>244</v>
      </c>
      <c r="H1681" s="112" t="n">
        <f aca="false">IF(AND(AE1681="yes",ISNUMBER(AD1681)),AD1681,"")</f>
        <v>4.56</v>
      </c>
      <c r="I1681" s="95" t="n">
        <f aca="false">IF(AND(AE1681="yes",ISNUMBER(AD1681),ISNUMBER(INDEX(Sources!$G$7:$G$10,MATCH(AB1681,Sources!$B$7:$B$10,0)))),ROUND(AD1681/INDEX(Sources!$G$7:$G$10,MATCH(AB1681,Sources!$B$7:$B$10,0)),6),"")</f>
        <v>4.56</v>
      </c>
      <c r="J1681" s="98" t="s">
        <v>530</v>
      </c>
      <c r="K1681" s="98" t="s">
        <v>2059</v>
      </c>
      <c r="L1681" s="96"/>
      <c r="M1681" s="110" t="s">
        <v>5247</v>
      </c>
      <c r="N1681" s="117" t="s">
        <v>5248</v>
      </c>
      <c r="O1681" s="110" t="s">
        <v>603</v>
      </c>
      <c r="P1681" s="110" t="s">
        <v>590</v>
      </c>
      <c r="Q1681" s="118" t="n">
        <v>0.2</v>
      </c>
      <c r="R1681" s="110" t="n">
        <v>1</v>
      </c>
      <c r="S1681" s="110" t="s">
        <v>632</v>
      </c>
      <c r="T1681" s="110" t="s">
        <v>530</v>
      </c>
      <c r="U1681" s="110" t="s">
        <v>2913</v>
      </c>
      <c r="V1681" s="119" t="n">
        <v>4.56</v>
      </c>
      <c r="W1681" s="119"/>
      <c r="X1681" s="110" t="s">
        <v>2063</v>
      </c>
      <c r="Y1681" s="110" t="s">
        <v>2064</v>
      </c>
      <c r="Z1681" s="110" t="s">
        <v>2125</v>
      </c>
      <c r="AA1681" s="110" t="s">
        <v>537</v>
      </c>
      <c r="AB1681" s="110" t="s">
        <v>244</v>
      </c>
      <c r="AC1681" s="110" t="s">
        <v>538</v>
      </c>
      <c r="AD1681" s="110" t="n">
        <f aca="false">IF(OR(F1681="",Q1681="",R1681=""),"",ROUND(IF(P1681="incl.",F1681/(1+Q1681),F1681)/IF(S1681="per pack",R1681,1),2))</f>
        <v>4.56</v>
      </c>
      <c r="AE1681" s="110" t="str">
        <f aca="false">IF(AND(AC1681="yes",ISNUMBER(F1681),IF(Compare!$H$5="All mapped",TRUE(),IF(Compare!$H$5="EXACT only",J1681="EXACT",OR(J1681="EXACT",J1681="CLOSE")))),"yes","no")</f>
        <v>yes</v>
      </c>
      <c r="AF1681" s="110" t="n">
        <f aca="false">IF(ISNUMBER(H1681),COUNTIFS($B$7:$B$3000,B1681,$C$7:$C$3000,C1681,$H$7:$H$3000,"&lt;"&amp;H1681,$AH$7:$AH$3000,"yes")+COUNTIFS($B$7:B1681,B1681,$C$7:C1681,C1681,$H$7:H1681,H1681,$AH$7:AH1681,"yes"),"")</f>
        <v>3</v>
      </c>
      <c r="AG1681" s="110" t="n">
        <f aca="false">IF(ISNUMBER(I1681),COUNTIFS($B$7:$B$3000,B1681,$C$7:$C$3000,C1681,$I$7:$I$3000,"&lt;"&amp;I1681,$AI$7:$AI$3000,"yes")+COUNTIFS($B$7:B1681,B1681,$C$7:C1681,C1681,$I$7:I1681,I1681,$AI$7:AI1681,"yes"),"")</f>
        <v>3</v>
      </c>
      <c r="AH1681" s="110" t="str">
        <f aca="false">IF(ISNUMBER(H1681),"yes","no")</f>
        <v>yes</v>
      </c>
      <c r="AI1681" s="110" t="str">
        <f aca="false">IF(ISNUMBER(I1681),"yes","no")</f>
        <v>yes</v>
      </c>
      <c r="AJ1681" s="120" t="n">
        <v>46297</v>
      </c>
      <c r="AK1681" s="110"/>
    </row>
    <row r="1682" customFormat="false" ht="35.05" hidden="false" customHeight="false" outlineLevel="0" collapsed="false">
      <c r="B1682" s="36" t="s">
        <v>95</v>
      </c>
      <c r="C1682" s="98" t="s">
        <v>15</v>
      </c>
      <c r="D1682" s="98" t="s">
        <v>293</v>
      </c>
      <c r="E1682" s="110" t="s">
        <v>5249</v>
      </c>
      <c r="F1682" s="99" t="n">
        <v>3.9</v>
      </c>
      <c r="G1682" s="98" t="s">
        <v>244</v>
      </c>
      <c r="H1682" s="112" t="n">
        <f aca="false">IF(AND(AE1682="yes",ISNUMBER(AD1682)),AD1682,"")</f>
        <v>3.9</v>
      </c>
      <c r="I1682" s="95" t="n">
        <f aca="false">IF(AND(AE1682="yes",ISNUMBER(AD1682),ISNUMBER(INDEX(Sources!$G$7:$G$10,MATCH(AB1682,Sources!$B$7:$B$10,0)))),ROUND(AD1682/INDEX(Sources!$G$7:$G$10,MATCH(AB1682,Sources!$B$7:$B$10,0)),6),"")</f>
        <v>3.9</v>
      </c>
      <c r="J1682" s="98" t="s">
        <v>530</v>
      </c>
      <c r="K1682" s="98" t="s">
        <v>2059</v>
      </c>
      <c r="L1682" s="96"/>
      <c r="M1682" s="110" t="s">
        <v>5250</v>
      </c>
      <c r="N1682" s="117" t="s">
        <v>5251</v>
      </c>
      <c r="O1682" s="110" t="s">
        <v>4358</v>
      </c>
      <c r="P1682" s="110" t="s">
        <v>590</v>
      </c>
      <c r="Q1682" s="118" t="n">
        <v>0.2</v>
      </c>
      <c r="R1682" s="110" t="n">
        <v>1</v>
      </c>
      <c r="S1682" s="110" t="s">
        <v>632</v>
      </c>
      <c r="T1682" s="110" t="s">
        <v>530</v>
      </c>
      <c r="U1682" s="110" t="s">
        <v>2913</v>
      </c>
      <c r="V1682" s="119" t="n">
        <v>3.9</v>
      </c>
      <c r="W1682" s="119"/>
      <c r="X1682" s="110" t="s">
        <v>2063</v>
      </c>
      <c r="Y1682" s="110" t="s">
        <v>2064</v>
      </c>
      <c r="Z1682" s="110"/>
      <c r="AA1682" s="110" t="s">
        <v>537</v>
      </c>
      <c r="AB1682" s="110" t="s">
        <v>244</v>
      </c>
      <c r="AC1682" s="110" t="s">
        <v>538</v>
      </c>
      <c r="AD1682" s="110" t="n">
        <f aca="false">IF(OR(F1682="",Q1682="",R1682=""),"",ROUND(IF(P1682="incl.",F1682/(1+Q1682),F1682)/IF(S1682="per pack",R1682,1),2))</f>
        <v>3.9</v>
      </c>
      <c r="AE1682" s="110" t="str">
        <f aca="false">IF(AND(AC1682="yes",ISNUMBER(F1682),IF(Compare!$H$5="All mapped",TRUE(),IF(Compare!$H$5="EXACT only",J1682="EXACT",OR(J1682="EXACT",J1682="CLOSE")))),"yes","no")</f>
        <v>yes</v>
      </c>
      <c r="AF1682" s="110" t="n">
        <f aca="false">IF(ISNUMBER(H1682),COUNTIFS($B$7:$B$3000,B1682,$C$7:$C$3000,C1682,$H$7:$H$3000,"&lt;"&amp;H1682,$AH$7:$AH$3000,"yes")+COUNTIFS($B$7:B1682,B1682,$C$7:C1682,C1682,$H$7:H1682,H1682,$AH$7:AH1682,"yes"),"")</f>
        <v>2</v>
      </c>
      <c r="AG1682" s="110" t="n">
        <f aca="false">IF(ISNUMBER(I1682),COUNTIFS($B$7:$B$3000,B1682,$C$7:$C$3000,C1682,$I$7:$I$3000,"&lt;"&amp;I1682,$AI$7:$AI$3000,"yes")+COUNTIFS($B$7:B1682,B1682,$C$7:C1682,C1682,$I$7:I1682,I1682,$AI$7:AI1682,"yes"),"")</f>
        <v>2</v>
      </c>
      <c r="AH1682" s="110" t="str">
        <f aca="false">IF(ISNUMBER(H1682),"yes","no")</f>
        <v>yes</v>
      </c>
      <c r="AI1682" s="110" t="str">
        <f aca="false">IF(ISNUMBER(I1682),"yes","no")</f>
        <v>yes</v>
      </c>
      <c r="AJ1682" s="120" t="n">
        <v>46297</v>
      </c>
      <c r="AK1682" s="110"/>
    </row>
    <row r="1683" customFormat="false" ht="23.85" hidden="false" customHeight="false" outlineLevel="0" collapsed="false">
      <c r="B1683" s="36" t="s">
        <v>95</v>
      </c>
      <c r="C1683" s="98" t="s">
        <v>16</v>
      </c>
      <c r="D1683" s="98" t="s">
        <v>296</v>
      </c>
      <c r="E1683" s="110" t="s">
        <v>5230</v>
      </c>
      <c r="F1683" s="99" t="n">
        <v>7.53</v>
      </c>
      <c r="G1683" s="98" t="s">
        <v>244</v>
      </c>
      <c r="H1683" s="112" t="n">
        <f aca="false">IF(AND(AE1683="yes",ISNUMBER(AD1683)),AD1683,"")</f>
        <v>7.53</v>
      </c>
      <c r="I1683" s="95" t="n">
        <f aca="false">IF(AND(AE1683="yes",ISNUMBER(AD1683),ISNUMBER(INDEX(Sources!$G$7:$G$10,MATCH(AB1683,Sources!$B$7:$B$10,0)))),ROUND(AD1683/INDEX(Sources!$G$7:$G$10,MATCH(AB1683,Sources!$B$7:$B$10,0)),6),"")</f>
        <v>7.53</v>
      </c>
      <c r="J1683" s="98" t="s">
        <v>530</v>
      </c>
      <c r="K1683" s="98" t="s">
        <v>2059</v>
      </c>
      <c r="L1683" s="96"/>
      <c r="M1683" s="110" t="s">
        <v>5252</v>
      </c>
      <c r="N1683" s="117" t="s">
        <v>5253</v>
      </c>
      <c r="O1683" s="110" t="s">
        <v>388</v>
      </c>
      <c r="P1683" s="110" t="s">
        <v>590</v>
      </c>
      <c r="Q1683" s="118" t="n">
        <v>0.19</v>
      </c>
      <c r="R1683" s="110" t="n">
        <v>1</v>
      </c>
      <c r="S1683" s="110" t="s">
        <v>632</v>
      </c>
      <c r="T1683" s="110" t="s">
        <v>530</v>
      </c>
      <c r="U1683" s="110" t="s">
        <v>2913</v>
      </c>
      <c r="V1683" s="119" t="n">
        <v>7.53</v>
      </c>
      <c r="W1683" s="119"/>
      <c r="X1683" s="110" t="s">
        <v>2063</v>
      </c>
      <c r="Y1683" s="110" t="s">
        <v>2064</v>
      </c>
      <c r="Z1683" s="110" t="s">
        <v>2065</v>
      </c>
      <c r="AA1683" s="110" t="s">
        <v>537</v>
      </c>
      <c r="AB1683" s="110" t="s">
        <v>244</v>
      </c>
      <c r="AC1683" s="110" t="s">
        <v>538</v>
      </c>
      <c r="AD1683" s="110" t="n">
        <f aca="false">IF(OR(F1683="",Q1683="",R1683=""),"",ROUND(IF(P1683="incl.",F1683/(1+Q1683),F1683)/IF(S1683="per pack",R1683,1),2))</f>
        <v>7.53</v>
      </c>
      <c r="AE1683" s="110" t="str">
        <f aca="false">IF(AND(AC1683="yes",ISNUMBER(F1683),IF(Compare!$H$5="All mapped",TRUE(),IF(Compare!$H$5="EXACT only",J1683="EXACT",OR(J1683="EXACT",J1683="CLOSE")))),"yes","no")</f>
        <v>yes</v>
      </c>
      <c r="AF1683" s="110" t="n">
        <f aca="false">IF(ISNUMBER(H1683),COUNTIFS($B$7:$B$3000,B1683,$C$7:$C$3000,C1683,$H$7:$H$3000,"&lt;"&amp;H1683,$AH$7:$AH$3000,"yes")+COUNTIFS($B$7:B1683,B1683,$C$7:C1683,C1683,$H$7:H1683,H1683,$AH$7:AH1683,"yes"),"")</f>
        <v>6</v>
      </c>
      <c r="AG1683" s="110" t="n">
        <f aca="false">IF(ISNUMBER(I1683),COUNTIFS($B$7:$B$3000,B1683,$C$7:$C$3000,C1683,$I$7:$I$3000,"&lt;"&amp;I1683,$AI$7:$AI$3000,"yes")+COUNTIFS($B$7:B1683,B1683,$C$7:C1683,C1683,$I$7:I1683,I1683,$AI$7:AI1683,"yes"),"")</f>
        <v>6</v>
      </c>
      <c r="AH1683" s="110" t="str">
        <f aca="false">IF(ISNUMBER(H1683),"yes","no")</f>
        <v>yes</v>
      </c>
      <c r="AI1683" s="110" t="str">
        <f aca="false">IF(ISNUMBER(I1683),"yes","no")</f>
        <v>yes</v>
      </c>
      <c r="AJ1683" s="120" t="n">
        <v>46297</v>
      </c>
      <c r="AK1683" s="110"/>
    </row>
    <row r="1684" customFormat="false" ht="46.25" hidden="false" customHeight="false" outlineLevel="0" collapsed="false">
      <c r="B1684" s="36" t="s">
        <v>95</v>
      </c>
      <c r="C1684" s="98" t="s">
        <v>16</v>
      </c>
      <c r="D1684" s="98" t="s">
        <v>317</v>
      </c>
      <c r="E1684" s="110" t="s">
        <v>5233</v>
      </c>
      <c r="F1684" s="99" t="n">
        <v>31.99</v>
      </c>
      <c r="G1684" s="98" t="s">
        <v>244</v>
      </c>
      <c r="H1684" s="112" t="n">
        <f aca="false">IF(AND(AE1684="yes",ISNUMBER(AD1684)),AD1684,"")</f>
        <v>2.67</v>
      </c>
      <c r="I1684" s="95" t="n">
        <f aca="false">IF(AND(AE1684="yes",ISNUMBER(AD1684),ISNUMBER(INDEX(Sources!$G$7:$G$10,MATCH(AB1684,Sources!$B$7:$B$10,0)))),ROUND(AD1684/INDEX(Sources!$G$7:$G$10,MATCH(AB1684,Sources!$B$7:$B$10,0)),6),"")</f>
        <v>2.67</v>
      </c>
      <c r="J1684" s="98" t="s">
        <v>530</v>
      </c>
      <c r="K1684" s="98" t="s">
        <v>2059</v>
      </c>
      <c r="L1684" s="96"/>
      <c r="M1684" s="110" t="s">
        <v>5254</v>
      </c>
      <c r="N1684" s="117" t="s">
        <v>5255</v>
      </c>
      <c r="O1684" s="110" t="s">
        <v>317</v>
      </c>
      <c r="P1684" s="110" t="s">
        <v>590</v>
      </c>
      <c r="Q1684" s="118" t="n">
        <v>0.19</v>
      </c>
      <c r="R1684" s="110" t="n">
        <v>12</v>
      </c>
      <c r="S1684" s="110" t="s">
        <v>625</v>
      </c>
      <c r="T1684" s="110" t="s">
        <v>530</v>
      </c>
      <c r="U1684" s="110" t="s">
        <v>2913</v>
      </c>
      <c r="V1684" s="119" t="n">
        <v>2.67</v>
      </c>
      <c r="W1684" s="119"/>
      <c r="X1684" s="110" t="s">
        <v>2063</v>
      </c>
      <c r="Y1684" s="110" t="s">
        <v>2064</v>
      </c>
      <c r="Z1684" s="110" t="s">
        <v>5236</v>
      </c>
      <c r="AA1684" s="110" t="s">
        <v>537</v>
      </c>
      <c r="AB1684" s="110" t="s">
        <v>244</v>
      </c>
      <c r="AC1684" s="110" t="s">
        <v>538</v>
      </c>
      <c r="AD1684" s="110" t="n">
        <f aca="false">IF(OR(F1684="",Q1684="",R1684=""),"",ROUND(IF(P1684="incl.",F1684/(1+Q1684),F1684)/IF(S1684="per pack",R1684,1),2))</f>
        <v>2.67</v>
      </c>
      <c r="AE1684" s="110" t="str">
        <f aca="false">IF(AND(AC1684="yes",ISNUMBER(F1684),IF(Compare!$H$5="All mapped",TRUE(),IF(Compare!$H$5="EXACT only",J1684="EXACT",OR(J1684="EXACT",J1684="CLOSE")))),"yes","no")</f>
        <v>yes</v>
      </c>
      <c r="AF1684" s="110" t="n">
        <f aca="false">IF(ISNUMBER(H1684),COUNTIFS($B$7:$B$3000,B1684,$C$7:$C$3000,C1684,$H$7:$H$3000,"&lt;"&amp;H1684,$AH$7:$AH$3000,"yes")+COUNTIFS($B$7:B1684,B1684,$C$7:C1684,C1684,$H$7:H1684,H1684,$AH$7:AH1684,"yes"),"")</f>
        <v>1</v>
      </c>
      <c r="AG1684" s="110" t="n">
        <f aca="false">IF(ISNUMBER(I1684),COUNTIFS($B$7:$B$3000,B1684,$C$7:$C$3000,C1684,$I$7:$I$3000,"&lt;"&amp;I1684,$AI$7:$AI$3000,"yes")+COUNTIFS($B$7:B1684,B1684,$C$7:C1684,C1684,$I$7:I1684,I1684,$AI$7:AI1684,"yes"),"")</f>
        <v>1</v>
      </c>
      <c r="AH1684" s="110" t="str">
        <f aca="false">IF(ISNUMBER(H1684),"yes","no")</f>
        <v>yes</v>
      </c>
      <c r="AI1684" s="110" t="str">
        <f aca="false">IF(ISNUMBER(I1684),"yes","no")</f>
        <v>yes</v>
      </c>
      <c r="AJ1684" s="120" t="n">
        <v>46297</v>
      </c>
      <c r="AK1684" s="110"/>
    </row>
    <row r="1685" customFormat="false" ht="23.85" hidden="false" customHeight="false" outlineLevel="0" collapsed="false">
      <c r="B1685" s="36" t="s">
        <v>95</v>
      </c>
      <c r="C1685" s="98" t="s">
        <v>16</v>
      </c>
      <c r="D1685" s="98" t="s">
        <v>305</v>
      </c>
      <c r="E1685" s="110" t="s">
        <v>5256</v>
      </c>
      <c r="F1685" s="99" t="n">
        <v>3.99</v>
      </c>
      <c r="G1685" s="98" t="s">
        <v>244</v>
      </c>
      <c r="H1685" s="112" t="n">
        <f aca="false">IF(AND(AE1685="yes",ISNUMBER(AD1685)),AD1685,"")</f>
        <v>3.99</v>
      </c>
      <c r="I1685" s="95" t="n">
        <f aca="false">IF(AND(AE1685="yes",ISNUMBER(AD1685),ISNUMBER(INDEX(Sources!$G$7:$G$10,MATCH(AB1685,Sources!$B$7:$B$10,0)))),ROUND(AD1685/INDEX(Sources!$G$7:$G$10,MATCH(AB1685,Sources!$B$7:$B$10,0)),6),"")</f>
        <v>3.99</v>
      </c>
      <c r="J1685" s="98" t="s">
        <v>530</v>
      </c>
      <c r="K1685" s="98" t="s">
        <v>2059</v>
      </c>
      <c r="L1685" s="96"/>
      <c r="M1685" s="110" t="s">
        <v>5257</v>
      </c>
      <c r="N1685" s="117" t="s">
        <v>5258</v>
      </c>
      <c r="O1685" s="110" t="s">
        <v>603</v>
      </c>
      <c r="P1685" s="110" t="s">
        <v>590</v>
      </c>
      <c r="Q1685" s="118" t="n">
        <v>0.19</v>
      </c>
      <c r="R1685" s="110" t="n">
        <v>1</v>
      </c>
      <c r="S1685" s="110" t="s">
        <v>632</v>
      </c>
      <c r="T1685" s="110" t="s">
        <v>530</v>
      </c>
      <c r="U1685" s="110" t="s">
        <v>2913</v>
      </c>
      <c r="V1685" s="119" t="n">
        <v>3.99</v>
      </c>
      <c r="W1685" s="119"/>
      <c r="X1685" s="110" t="s">
        <v>2063</v>
      </c>
      <c r="Y1685" s="110" t="s">
        <v>2064</v>
      </c>
      <c r="Z1685" s="110" t="s">
        <v>2142</v>
      </c>
      <c r="AA1685" s="110" t="s">
        <v>537</v>
      </c>
      <c r="AB1685" s="110" t="s">
        <v>244</v>
      </c>
      <c r="AC1685" s="110" t="s">
        <v>538</v>
      </c>
      <c r="AD1685" s="110" t="n">
        <f aca="false">IF(OR(F1685="",Q1685="",R1685=""),"",ROUND(IF(P1685="incl.",F1685/(1+Q1685),F1685)/IF(S1685="per pack",R1685,1),2))</f>
        <v>3.99</v>
      </c>
      <c r="AE1685" s="110" t="str">
        <f aca="false">IF(AND(AC1685="yes",ISNUMBER(F1685),IF(Compare!$H$5="All mapped",TRUE(),IF(Compare!$H$5="EXACT only",J1685="EXACT",OR(J1685="EXACT",J1685="CLOSE")))),"yes","no")</f>
        <v>yes</v>
      </c>
      <c r="AF1685" s="110" t="n">
        <f aca="false">IF(ISNUMBER(H1685),COUNTIFS($B$7:$B$3000,B1685,$C$7:$C$3000,C1685,$H$7:$H$3000,"&lt;"&amp;H1685,$AH$7:$AH$3000,"yes")+COUNTIFS($B$7:B1685,B1685,$C$7:C1685,C1685,$H$7:H1685,H1685,$AH$7:AH1685,"yes"),"")</f>
        <v>3</v>
      </c>
      <c r="AG1685" s="110" t="n">
        <f aca="false">IF(ISNUMBER(I1685),COUNTIFS($B$7:$B$3000,B1685,$C$7:$C$3000,C1685,$I$7:$I$3000,"&lt;"&amp;I1685,$AI$7:$AI$3000,"yes")+COUNTIFS($B$7:B1685,B1685,$C$7:C1685,C1685,$I$7:I1685,I1685,$AI$7:AI1685,"yes"),"")</f>
        <v>3</v>
      </c>
      <c r="AH1685" s="110" t="str">
        <f aca="false">IF(ISNUMBER(H1685),"yes","no")</f>
        <v>yes</v>
      </c>
      <c r="AI1685" s="110" t="str">
        <f aca="false">IF(ISNUMBER(I1685),"yes","no")</f>
        <v>yes</v>
      </c>
      <c r="AJ1685" s="120" t="n">
        <v>46297</v>
      </c>
      <c r="AK1685" s="110"/>
    </row>
    <row r="1686" customFormat="false" ht="23.85" hidden="false" customHeight="false" outlineLevel="0" collapsed="false">
      <c r="B1686" s="36" t="s">
        <v>95</v>
      </c>
      <c r="C1686" s="98" t="s">
        <v>16</v>
      </c>
      <c r="D1686" s="98" t="s">
        <v>311</v>
      </c>
      <c r="E1686" s="110" t="s">
        <v>5240</v>
      </c>
      <c r="F1686" s="99" t="n">
        <v>5.19</v>
      </c>
      <c r="G1686" s="98" t="s">
        <v>244</v>
      </c>
      <c r="H1686" s="112" t="n">
        <f aca="false">IF(AND(AE1686="yes",ISNUMBER(AD1686)),AD1686,"")</f>
        <v>5.19</v>
      </c>
      <c r="I1686" s="95" t="n">
        <f aca="false">IF(AND(AE1686="yes",ISNUMBER(AD1686),ISNUMBER(INDEX(Sources!$G$7:$G$10,MATCH(AB1686,Sources!$B$7:$B$10,0)))),ROUND(AD1686/INDEX(Sources!$G$7:$G$10,MATCH(AB1686,Sources!$B$7:$B$10,0)),6),"")</f>
        <v>5.19</v>
      </c>
      <c r="J1686" s="98" t="s">
        <v>530</v>
      </c>
      <c r="K1686" s="98" t="s">
        <v>2059</v>
      </c>
      <c r="L1686" s="96"/>
      <c r="M1686" s="110" t="s">
        <v>5259</v>
      </c>
      <c r="N1686" s="117" t="s">
        <v>5260</v>
      </c>
      <c r="O1686" s="110" t="s">
        <v>589</v>
      </c>
      <c r="P1686" s="110" t="s">
        <v>590</v>
      </c>
      <c r="Q1686" s="118" t="n">
        <v>0.19</v>
      </c>
      <c r="R1686" s="110" t="n">
        <v>1</v>
      </c>
      <c r="S1686" s="110" t="s">
        <v>632</v>
      </c>
      <c r="T1686" s="110" t="s">
        <v>530</v>
      </c>
      <c r="U1686" s="110" t="s">
        <v>2913</v>
      </c>
      <c r="V1686" s="119" t="n">
        <v>5.19</v>
      </c>
      <c r="W1686" s="119"/>
      <c r="X1686" s="110" t="s">
        <v>2063</v>
      </c>
      <c r="Y1686" s="110" t="s">
        <v>2064</v>
      </c>
      <c r="Z1686" s="110" t="s">
        <v>4369</v>
      </c>
      <c r="AA1686" s="110" t="s">
        <v>537</v>
      </c>
      <c r="AB1686" s="110" t="s">
        <v>244</v>
      </c>
      <c r="AC1686" s="110" t="s">
        <v>538</v>
      </c>
      <c r="AD1686" s="110" t="n">
        <f aca="false">IF(OR(F1686="",Q1686="",R1686=""),"",ROUND(IF(P1686="incl.",F1686/(1+Q1686),F1686)/IF(S1686="per pack",R1686,1),2))</f>
        <v>5.19</v>
      </c>
      <c r="AE1686" s="110" t="str">
        <f aca="false">IF(AND(AC1686="yes",ISNUMBER(F1686),IF(Compare!$H$5="All mapped",TRUE(),IF(Compare!$H$5="EXACT only",J1686="EXACT",OR(J1686="EXACT",J1686="CLOSE")))),"yes","no")</f>
        <v>yes</v>
      </c>
      <c r="AF1686" s="110" t="n">
        <f aca="false">IF(ISNUMBER(H1686),COUNTIFS($B$7:$B$3000,B1686,$C$7:$C$3000,C1686,$H$7:$H$3000,"&lt;"&amp;H1686,$AH$7:$AH$3000,"yes")+COUNTIFS($B$7:B1686,B1686,$C$7:C1686,C1686,$H$7:H1686,H1686,$AH$7:AH1686,"yes"),"")</f>
        <v>5</v>
      </c>
      <c r="AG1686" s="110" t="n">
        <f aca="false">IF(ISNUMBER(I1686),COUNTIFS($B$7:$B$3000,B1686,$C$7:$C$3000,C1686,$I$7:$I$3000,"&lt;"&amp;I1686,$AI$7:$AI$3000,"yes")+COUNTIFS($B$7:B1686,B1686,$C$7:C1686,C1686,$I$7:I1686,I1686,$AI$7:AI1686,"yes"),"")</f>
        <v>5</v>
      </c>
      <c r="AH1686" s="110" t="str">
        <f aca="false">IF(ISNUMBER(H1686),"yes","no")</f>
        <v>yes</v>
      </c>
      <c r="AI1686" s="110" t="str">
        <f aca="false">IF(ISNUMBER(I1686),"yes","no")</f>
        <v>yes</v>
      </c>
      <c r="AJ1686" s="120" t="n">
        <v>46297</v>
      </c>
      <c r="AK1686" s="110"/>
    </row>
    <row r="1687" customFormat="false" ht="23.85" hidden="false" customHeight="false" outlineLevel="0" collapsed="false">
      <c r="B1687" s="36" t="s">
        <v>95</v>
      </c>
      <c r="C1687" s="98" t="s">
        <v>16</v>
      </c>
      <c r="D1687" s="98" t="s">
        <v>309</v>
      </c>
      <c r="E1687" s="110" t="s">
        <v>5261</v>
      </c>
      <c r="F1687" s="99" t="n">
        <v>15.9</v>
      </c>
      <c r="G1687" s="98" t="s">
        <v>244</v>
      </c>
      <c r="H1687" s="112" t="n">
        <f aca="false">IF(AND(AE1687="yes",ISNUMBER(AD1687)),AD1687,"")</f>
        <v>15.9</v>
      </c>
      <c r="I1687" s="95" t="n">
        <f aca="false">IF(AND(AE1687="yes",ISNUMBER(AD1687),ISNUMBER(INDEX(Sources!$G$7:$G$10,MATCH(AB1687,Sources!$B$7:$B$10,0)))),ROUND(AD1687/INDEX(Sources!$G$7:$G$10,MATCH(AB1687,Sources!$B$7:$B$10,0)),6),"")</f>
        <v>15.9</v>
      </c>
      <c r="J1687" s="98" t="s">
        <v>530</v>
      </c>
      <c r="K1687" s="98" t="s">
        <v>2059</v>
      </c>
      <c r="L1687" s="96"/>
      <c r="M1687" s="110" t="s">
        <v>5262</v>
      </c>
      <c r="N1687" s="117" t="s">
        <v>5263</v>
      </c>
      <c r="O1687" s="110" t="s">
        <v>603</v>
      </c>
      <c r="P1687" s="110" t="s">
        <v>590</v>
      </c>
      <c r="Q1687" s="118" t="n">
        <v>0.19</v>
      </c>
      <c r="R1687" s="110" t="n">
        <v>1</v>
      </c>
      <c r="S1687" s="110" t="s">
        <v>632</v>
      </c>
      <c r="T1687" s="110" t="s">
        <v>530</v>
      </c>
      <c r="U1687" s="110" t="s">
        <v>2913</v>
      </c>
      <c r="V1687" s="119" t="n">
        <v>15.9</v>
      </c>
      <c r="W1687" s="119"/>
      <c r="X1687" s="110" t="s">
        <v>2063</v>
      </c>
      <c r="Y1687" s="110" t="s">
        <v>2064</v>
      </c>
      <c r="Z1687" s="110" t="s">
        <v>4373</v>
      </c>
      <c r="AA1687" s="110" t="s">
        <v>537</v>
      </c>
      <c r="AB1687" s="110" t="s">
        <v>244</v>
      </c>
      <c r="AC1687" s="110" t="s">
        <v>538</v>
      </c>
      <c r="AD1687" s="110" t="n">
        <f aca="false">IF(OR(F1687="",Q1687="",R1687=""),"",ROUND(IF(P1687="incl.",F1687/(1+Q1687),F1687)/IF(S1687="per pack",R1687,1),2))</f>
        <v>15.9</v>
      </c>
      <c r="AE1687" s="110" t="str">
        <f aca="false">IF(AND(AC1687="yes",ISNUMBER(F1687),IF(Compare!$H$5="All mapped",TRUE(),IF(Compare!$H$5="EXACT only",J1687="EXACT",OR(J1687="EXACT",J1687="CLOSE")))),"yes","no")</f>
        <v>yes</v>
      </c>
      <c r="AF1687" s="110" t="n">
        <f aca="false">IF(ISNUMBER(H1687),COUNTIFS($B$7:$B$3000,B1687,$C$7:$C$3000,C1687,$H$7:$H$3000,"&lt;"&amp;H1687,$AH$7:$AH$3000,"yes")+COUNTIFS($B$7:B1687,B1687,$C$7:C1687,C1687,$H$7:H1687,H1687,$AH$7:AH1687,"yes"),"")</f>
        <v>7</v>
      </c>
      <c r="AG1687" s="110" t="n">
        <f aca="false">IF(ISNUMBER(I1687),COUNTIFS($B$7:$B$3000,B1687,$C$7:$C$3000,C1687,$I$7:$I$3000,"&lt;"&amp;I1687,$AI$7:$AI$3000,"yes")+COUNTIFS($B$7:B1687,B1687,$C$7:C1687,C1687,$I$7:I1687,I1687,$AI$7:AI1687,"yes"),"")</f>
        <v>7</v>
      </c>
      <c r="AH1687" s="110" t="str">
        <f aca="false">IF(ISNUMBER(H1687),"yes","no")</f>
        <v>yes</v>
      </c>
      <c r="AI1687" s="110" t="str">
        <f aca="false">IF(ISNUMBER(I1687),"yes","no")</f>
        <v>yes</v>
      </c>
      <c r="AJ1687" s="120" t="n">
        <v>46297</v>
      </c>
      <c r="AK1687" s="110"/>
    </row>
    <row r="1688" customFormat="false" ht="23.85" hidden="false" customHeight="false" outlineLevel="0" collapsed="false">
      <c r="B1688" s="36" t="s">
        <v>95</v>
      </c>
      <c r="C1688" s="98" t="s">
        <v>16</v>
      </c>
      <c r="D1688" s="98" t="s">
        <v>321</v>
      </c>
      <c r="E1688" s="110" t="s">
        <v>5246</v>
      </c>
      <c r="F1688" s="99" t="n">
        <v>4.56</v>
      </c>
      <c r="G1688" s="98" t="s">
        <v>244</v>
      </c>
      <c r="H1688" s="112" t="n">
        <f aca="false">IF(AND(AE1688="yes",ISNUMBER(AD1688)),AD1688,"")</f>
        <v>4.56</v>
      </c>
      <c r="I1688" s="95" t="n">
        <f aca="false">IF(AND(AE1688="yes",ISNUMBER(AD1688),ISNUMBER(INDEX(Sources!$G$7:$G$10,MATCH(AB1688,Sources!$B$7:$B$10,0)))),ROUND(AD1688/INDEX(Sources!$G$7:$G$10,MATCH(AB1688,Sources!$B$7:$B$10,0)),6),"")</f>
        <v>4.56</v>
      </c>
      <c r="J1688" s="98" t="s">
        <v>530</v>
      </c>
      <c r="K1688" s="98" t="s">
        <v>2059</v>
      </c>
      <c r="L1688" s="96"/>
      <c r="M1688" s="110" t="s">
        <v>5264</v>
      </c>
      <c r="N1688" s="117" t="s">
        <v>5265</v>
      </c>
      <c r="O1688" s="110" t="s">
        <v>603</v>
      </c>
      <c r="P1688" s="110" t="s">
        <v>590</v>
      </c>
      <c r="Q1688" s="118" t="n">
        <v>0.19</v>
      </c>
      <c r="R1688" s="110" t="n">
        <v>1</v>
      </c>
      <c r="S1688" s="110" t="s">
        <v>632</v>
      </c>
      <c r="T1688" s="110" t="s">
        <v>530</v>
      </c>
      <c r="U1688" s="110" t="s">
        <v>2913</v>
      </c>
      <c r="V1688" s="119" t="n">
        <v>4.56</v>
      </c>
      <c r="W1688" s="119"/>
      <c r="X1688" s="110" t="s">
        <v>2063</v>
      </c>
      <c r="Y1688" s="110" t="s">
        <v>2064</v>
      </c>
      <c r="Z1688" s="110" t="s">
        <v>2857</v>
      </c>
      <c r="AA1688" s="110" t="s">
        <v>537</v>
      </c>
      <c r="AB1688" s="110" t="s">
        <v>244</v>
      </c>
      <c r="AC1688" s="110" t="s">
        <v>538</v>
      </c>
      <c r="AD1688" s="110" t="n">
        <f aca="false">IF(OR(F1688="",Q1688="",R1688=""),"",ROUND(IF(P1688="incl.",F1688/(1+Q1688),F1688)/IF(S1688="per pack",R1688,1),2))</f>
        <v>4.56</v>
      </c>
      <c r="AE1688" s="110" t="str">
        <f aca="false">IF(AND(AC1688="yes",ISNUMBER(F1688),IF(Compare!$H$5="All mapped",TRUE(),IF(Compare!$H$5="EXACT only",J1688="EXACT",OR(J1688="EXACT",J1688="CLOSE")))),"yes","no")</f>
        <v>yes</v>
      </c>
      <c r="AF1688" s="110" t="n">
        <f aca="false">IF(ISNUMBER(H1688),COUNTIFS($B$7:$B$3000,B1688,$C$7:$C$3000,C1688,$H$7:$H$3000,"&lt;"&amp;H1688,$AH$7:$AH$3000,"yes")+COUNTIFS($B$7:B1688,B1688,$C$7:C1688,C1688,$H$7:H1688,H1688,$AH$7:AH1688,"yes"),"")</f>
        <v>4</v>
      </c>
      <c r="AG1688" s="110" t="n">
        <f aca="false">IF(ISNUMBER(I1688),COUNTIFS($B$7:$B$3000,B1688,$C$7:$C$3000,C1688,$I$7:$I$3000,"&lt;"&amp;I1688,$AI$7:$AI$3000,"yes")+COUNTIFS($B$7:B1688,B1688,$C$7:C1688,C1688,$I$7:I1688,I1688,$AI$7:AI1688,"yes"),"")</f>
        <v>4</v>
      </c>
      <c r="AH1688" s="110" t="str">
        <f aca="false">IF(ISNUMBER(H1688),"yes","no")</f>
        <v>yes</v>
      </c>
      <c r="AI1688" s="110" t="str">
        <f aca="false">IF(ISNUMBER(I1688),"yes","no")</f>
        <v>yes</v>
      </c>
      <c r="AJ1688" s="120" t="n">
        <v>46297</v>
      </c>
      <c r="AK1688" s="110"/>
    </row>
    <row r="1689" customFormat="false" ht="35.05" hidden="false" customHeight="false" outlineLevel="0" collapsed="false">
      <c r="B1689" s="36" t="s">
        <v>95</v>
      </c>
      <c r="C1689" s="98" t="s">
        <v>16</v>
      </c>
      <c r="D1689" s="98" t="s">
        <v>329</v>
      </c>
      <c r="E1689" s="110" t="s">
        <v>5266</v>
      </c>
      <c r="F1689" s="99" t="n">
        <v>3.89</v>
      </c>
      <c r="G1689" s="98" t="s">
        <v>244</v>
      </c>
      <c r="H1689" s="112" t="n">
        <f aca="false">IF(AND(AE1689="yes",ISNUMBER(AD1689)),AD1689,"")</f>
        <v>3.89</v>
      </c>
      <c r="I1689" s="95" t="n">
        <f aca="false">IF(AND(AE1689="yes",ISNUMBER(AD1689),ISNUMBER(INDEX(Sources!$G$7:$G$10,MATCH(AB1689,Sources!$B$7:$B$10,0)))),ROUND(AD1689/INDEX(Sources!$G$7:$G$10,MATCH(AB1689,Sources!$B$7:$B$10,0)),6),"")</f>
        <v>3.89</v>
      </c>
      <c r="J1689" s="98" t="s">
        <v>530</v>
      </c>
      <c r="K1689" s="98" t="s">
        <v>2059</v>
      </c>
      <c r="L1689" s="96"/>
      <c r="M1689" s="110" t="s">
        <v>5267</v>
      </c>
      <c r="N1689" s="117" t="s">
        <v>5268</v>
      </c>
      <c r="O1689" s="110" t="s">
        <v>817</v>
      </c>
      <c r="P1689" s="110" t="s">
        <v>590</v>
      </c>
      <c r="Q1689" s="118" t="n">
        <v>0.19</v>
      </c>
      <c r="R1689" s="110" t="n">
        <v>1</v>
      </c>
      <c r="S1689" s="110" t="s">
        <v>632</v>
      </c>
      <c r="T1689" s="110" t="s">
        <v>530</v>
      </c>
      <c r="U1689" s="110" t="s">
        <v>2913</v>
      </c>
      <c r="V1689" s="119" t="n">
        <v>3.89</v>
      </c>
      <c r="W1689" s="119"/>
      <c r="X1689" s="110" t="s">
        <v>2063</v>
      </c>
      <c r="Y1689" s="110" t="s">
        <v>2064</v>
      </c>
      <c r="Z1689" s="110" t="s">
        <v>2624</v>
      </c>
      <c r="AA1689" s="110" t="s">
        <v>537</v>
      </c>
      <c r="AB1689" s="110" t="s">
        <v>244</v>
      </c>
      <c r="AC1689" s="110" t="s">
        <v>538</v>
      </c>
      <c r="AD1689" s="110" t="n">
        <f aca="false">IF(OR(F1689="",Q1689="",R1689=""),"",ROUND(IF(P1689="incl.",F1689/(1+Q1689),F1689)/IF(S1689="per pack",R1689,1),2))</f>
        <v>3.89</v>
      </c>
      <c r="AE1689" s="110" t="str">
        <f aca="false">IF(AND(AC1689="yes",ISNUMBER(F1689),IF(Compare!$H$5="All mapped",TRUE(),IF(Compare!$H$5="EXACT only",J1689="EXACT",OR(J1689="EXACT",J1689="CLOSE")))),"yes","no")</f>
        <v>yes</v>
      </c>
      <c r="AF1689" s="110" t="n">
        <f aca="false">IF(ISNUMBER(H1689),COUNTIFS($B$7:$B$3000,B1689,$C$7:$C$3000,C1689,$H$7:$H$3000,"&lt;"&amp;H1689,$AH$7:$AH$3000,"yes")+COUNTIFS($B$7:B1689,B1689,$C$7:C1689,C1689,$H$7:H1689,H1689,$AH$7:AH1689,"yes"),"")</f>
        <v>2</v>
      </c>
      <c r="AG1689" s="110" t="n">
        <f aca="false">IF(ISNUMBER(I1689),COUNTIFS($B$7:$B$3000,B1689,$C$7:$C$3000,C1689,$I$7:$I$3000,"&lt;"&amp;I1689,$AI$7:$AI$3000,"yes")+COUNTIFS($B$7:B1689,B1689,$C$7:C1689,C1689,$I$7:I1689,I1689,$AI$7:AI1689,"yes"),"")</f>
        <v>2</v>
      </c>
      <c r="AH1689" s="110" t="str">
        <f aca="false">IF(ISNUMBER(H1689),"yes","no")</f>
        <v>yes</v>
      </c>
      <c r="AI1689" s="110" t="str">
        <f aca="false">IF(ISNUMBER(I1689),"yes","no")</f>
        <v>yes</v>
      </c>
      <c r="AJ1689" s="120" t="n">
        <v>46297</v>
      </c>
      <c r="AK1689" s="110"/>
    </row>
    <row r="1690" customFormat="false" ht="23.85" hidden="false" customHeight="false" outlineLevel="0" collapsed="false">
      <c r="B1690" s="36" t="s">
        <v>95</v>
      </c>
      <c r="C1690" s="98" t="s">
        <v>17</v>
      </c>
      <c r="D1690" s="98" t="s">
        <v>338</v>
      </c>
      <c r="E1690" s="110" t="s">
        <v>5269</v>
      </c>
      <c r="F1690" s="99" t="n">
        <v>157</v>
      </c>
      <c r="G1690" s="98" t="s">
        <v>333</v>
      </c>
      <c r="H1690" s="112" t="n">
        <f aca="false">IF(AND(AE1690="yes",ISNUMBER(AD1690)),AD1690,"")</f>
        <v>129.75</v>
      </c>
      <c r="I1690" s="95" t="n">
        <f aca="false">IF(AND(AE1690="yes",ISNUMBER(AD1690),ISNUMBER(INDEX(Sources!$G$7:$G$10,MATCH(AB1690,Sources!$B$7:$B$10,0)))),ROUND(AD1690/INDEX(Sources!$G$7:$G$10,MATCH(AB1690,Sources!$B$7:$B$10,0)),6),"")</f>
        <v>5.312481</v>
      </c>
      <c r="J1690" s="98" t="s">
        <v>530</v>
      </c>
      <c r="K1690" s="98" t="s">
        <v>2059</v>
      </c>
      <c r="L1690" s="96"/>
      <c r="M1690" s="110" t="s">
        <v>5270</v>
      </c>
      <c r="N1690" s="117" t="s">
        <v>5271</v>
      </c>
      <c r="O1690" s="110" t="s">
        <v>388</v>
      </c>
      <c r="P1690" s="110" t="s">
        <v>265</v>
      </c>
      <c r="Q1690" s="118" t="n">
        <v>0.21</v>
      </c>
      <c r="R1690" s="110" t="n">
        <v>1</v>
      </c>
      <c r="S1690" s="110" t="s">
        <v>632</v>
      </c>
      <c r="T1690" s="110" t="s">
        <v>530</v>
      </c>
      <c r="U1690" s="110" t="s">
        <v>2918</v>
      </c>
      <c r="V1690" s="119" t="n">
        <v>129.75</v>
      </c>
      <c r="W1690" s="119"/>
      <c r="X1690" s="110" t="s">
        <v>2063</v>
      </c>
      <c r="Y1690" s="110" t="s">
        <v>2064</v>
      </c>
      <c r="Z1690" s="110" t="s">
        <v>4387</v>
      </c>
      <c r="AA1690" s="110" t="s">
        <v>537</v>
      </c>
      <c r="AB1690" s="110" t="s">
        <v>333</v>
      </c>
      <c r="AC1690" s="110" t="s">
        <v>538</v>
      </c>
      <c r="AD1690" s="110" t="n">
        <f aca="false">IF(OR(F1690="",Q1690="",R1690=""),"",ROUND(IF(P1690="incl.",F1690/(1+Q1690),F1690)/IF(S1690="per pack",R1690,1),2))</f>
        <v>129.75</v>
      </c>
      <c r="AE1690" s="110" t="str">
        <f aca="false">IF(AND(AC1690="yes",ISNUMBER(F1690),IF(Compare!$H$5="All mapped",TRUE(),IF(Compare!$H$5="EXACT only",J1690="EXACT",OR(J1690="EXACT",J1690="CLOSE")))),"yes","no")</f>
        <v>yes</v>
      </c>
      <c r="AF1690" s="110" t="n">
        <f aca="false">IF(ISNUMBER(H1690),COUNTIFS($B$7:$B$3000,B1690,$C$7:$C$3000,C1690,$H$7:$H$3000,"&lt;"&amp;H1690,$AH$7:$AH$3000,"yes")+COUNTIFS($B$7:B1690,B1690,$C$7:C1690,C1690,$H$7:H1690,H1690,$AH$7:AH1690,"yes"),"")</f>
        <v>3</v>
      </c>
      <c r="AG1690" s="110" t="n">
        <f aca="false">IF(ISNUMBER(I1690),COUNTIFS($B$7:$B$3000,B1690,$C$7:$C$3000,C1690,$I$7:$I$3000,"&lt;"&amp;I1690,$AI$7:$AI$3000,"yes")+COUNTIFS($B$7:B1690,B1690,$C$7:C1690,C1690,$I$7:I1690,I1690,$AI$7:AI1690,"yes"),"")</f>
        <v>3</v>
      </c>
      <c r="AH1690" s="110" t="str">
        <f aca="false">IF(ISNUMBER(H1690),"yes","no")</f>
        <v>yes</v>
      </c>
      <c r="AI1690" s="110" t="str">
        <f aca="false">IF(ISNUMBER(I1690),"yes","no")</f>
        <v>yes</v>
      </c>
      <c r="AJ1690" s="120" t="n">
        <v>46297</v>
      </c>
      <c r="AK1690" s="110"/>
    </row>
    <row r="1691" customFormat="false" ht="35.05" hidden="false" customHeight="false" outlineLevel="0" collapsed="false">
      <c r="B1691" s="36" t="s">
        <v>95</v>
      </c>
      <c r="C1691" s="98" t="s">
        <v>17</v>
      </c>
      <c r="D1691" s="98" t="s">
        <v>342</v>
      </c>
      <c r="E1691" s="110" t="s">
        <v>5272</v>
      </c>
      <c r="F1691" s="99" t="n">
        <v>208</v>
      </c>
      <c r="G1691" s="98" t="s">
        <v>333</v>
      </c>
      <c r="H1691" s="112" t="n">
        <f aca="false">IF(AND(AE1691="yes",ISNUMBER(AD1691)),AD1691,"")</f>
        <v>208</v>
      </c>
      <c r="I1691" s="95" t="n">
        <f aca="false">IF(AND(AE1691="yes",ISNUMBER(AD1691),ISNUMBER(INDEX(Sources!$G$7:$G$10,MATCH(AB1691,Sources!$B$7:$B$10,0)))),ROUND(AD1691/INDEX(Sources!$G$7:$G$10,MATCH(AB1691,Sources!$B$7:$B$10,0)),6),"")</f>
        <v>8.516348</v>
      </c>
      <c r="J1691" s="98" t="s">
        <v>530</v>
      </c>
      <c r="K1691" s="98" t="s">
        <v>2059</v>
      </c>
      <c r="L1691" s="96"/>
      <c r="M1691" s="110" t="s">
        <v>5273</v>
      </c>
      <c r="N1691" s="117" t="s">
        <v>5274</v>
      </c>
      <c r="O1691" s="110" t="s">
        <v>388</v>
      </c>
      <c r="P1691" s="110" t="s">
        <v>590</v>
      </c>
      <c r="Q1691" s="118" t="n">
        <v>0.21</v>
      </c>
      <c r="R1691" s="110" t="n">
        <v>1</v>
      </c>
      <c r="S1691" s="110" t="s">
        <v>632</v>
      </c>
      <c r="T1691" s="110" t="s">
        <v>530</v>
      </c>
      <c r="U1691" s="110" t="s">
        <v>2913</v>
      </c>
      <c r="V1691" s="119" t="n">
        <v>208</v>
      </c>
      <c r="W1691" s="119"/>
      <c r="X1691" s="110" t="s">
        <v>2063</v>
      </c>
      <c r="Y1691" s="110" t="s">
        <v>2064</v>
      </c>
      <c r="Z1691" s="110" t="s">
        <v>4391</v>
      </c>
      <c r="AA1691" s="110" t="s">
        <v>537</v>
      </c>
      <c r="AB1691" s="110" t="s">
        <v>333</v>
      </c>
      <c r="AC1691" s="110" t="s">
        <v>538</v>
      </c>
      <c r="AD1691" s="110" t="n">
        <f aca="false">IF(OR(F1691="",Q1691="",R1691=""),"",ROUND(IF(P1691="incl.",F1691/(1+Q1691),F1691)/IF(S1691="per pack",R1691,1),2))</f>
        <v>208</v>
      </c>
      <c r="AE1691" s="110" t="str">
        <f aca="false">IF(AND(AC1691="yes",ISNUMBER(F1691),IF(Compare!$H$5="All mapped",TRUE(),IF(Compare!$H$5="EXACT only",J1691="EXACT",OR(J1691="EXACT",J1691="CLOSE")))),"yes","no")</f>
        <v>yes</v>
      </c>
      <c r="AF1691" s="110" t="n">
        <f aca="false">IF(ISNUMBER(H1691),COUNTIFS($B$7:$B$3000,B1691,$C$7:$C$3000,C1691,$H$7:$H$3000,"&lt;"&amp;H1691,$AH$7:$AH$3000,"yes")+COUNTIFS($B$7:B1691,B1691,$C$7:C1691,C1691,$H$7:H1691,H1691,$AH$7:AH1691,"yes"),"")</f>
        <v>5</v>
      </c>
      <c r="AG1691" s="110" t="n">
        <f aca="false">IF(ISNUMBER(I1691),COUNTIFS($B$7:$B$3000,B1691,$C$7:$C$3000,C1691,$I$7:$I$3000,"&lt;"&amp;I1691,$AI$7:$AI$3000,"yes")+COUNTIFS($B$7:B1691,B1691,$C$7:C1691,C1691,$I$7:I1691,I1691,$AI$7:AI1691,"yes"),"")</f>
        <v>5</v>
      </c>
      <c r="AH1691" s="110" t="str">
        <f aca="false">IF(ISNUMBER(H1691),"yes","no")</f>
        <v>yes</v>
      </c>
      <c r="AI1691" s="110" t="str">
        <f aca="false">IF(ISNUMBER(I1691),"yes","no")</f>
        <v>yes</v>
      </c>
      <c r="AJ1691" s="120" t="n">
        <v>46297</v>
      </c>
      <c r="AK1691" s="110"/>
    </row>
    <row r="1692" customFormat="false" ht="35.05" hidden="false" customHeight="false" outlineLevel="0" collapsed="false">
      <c r="B1692" s="36" t="s">
        <v>95</v>
      </c>
      <c r="C1692" s="98" t="s">
        <v>17</v>
      </c>
      <c r="D1692" s="98" t="s">
        <v>346</v>
      </c>
      <c r="E1692" s="110" t="s">
        <v>5275</v>
      </c>
      <c r="F1692" s="99" t="n">
        <v>164</v>
      </c>
      <c r="G1692" s="98" t="s">
        <v>333</v>
      </c>
      <c r="H1692" s="112" t="n">
        <f aca="false">IF(AND(AE1692="yes",ISNUMBER(AD1692)),AD1692,"")</f>
        <v>164</v>
      </c>
      <c r="I1692" s="95" t="n">
        <f aca="false">IF(AND(AE1692="yes",ISNUMBER(AD1692),ISNUMBER(INDEX(Sources!$G$7:$G$10,MATCH(AB1692,Sources!$B$7:$B$10,0)))),ROUND(AD1692/INDEX(Sources!$G$7:$G$10,MATCH(AB1692,Sources!$B$7:$B$10,0)),6),"")</f>
        <v>6.714812</v>
      </c>
      <c r="J1692" s="98" t="s">
        <v>530</v>
      </c>
      <c r="K1692" s="98" t="s">
        <v>2059</v>
      </c>
      <c r="L1692" s="96"/>
      <c r="M1692" s="110" t="s">
        <v>5276</v>
      </c>
      <c r="N1692" s="117" t="s">
        <v>5277</v>
      </c>
      <c r="O1692" s="110" t="s">
        <v>662</v>
      </c>
      <c r="P1692" s="110" t="s">
        <v>590</v>
      </c>
      <c r="Q1692" s="118" t="n">
        <v>0.21</v>
      </c>
      <c r="R1692" s="110" t="n">
        <v>1</v>
      </c>
      <c r="S1692" s="110" t="s">
        <v>632</v>
      </c>
      <c r="T1692" s="110" t="s">
        <v>530</v>
      </c>
      <c r="U1692" s="110" t="s">
        <v>2913</v>
      </c>
      <c r="V1692" s="119" t="n">
        <v>164</v>
      </c>
      <c r="W1692" s="119"/>
      <c r="X1692" s="110" t="s">
        <v>2063</v>
      </c>
      <c r="Y1692" s="110" t="s">
        <v>2064</v>
      </c>
      <c r="Z1692" s="110" t="s">
        <v>4395</v>
      </c>
      <c r="AA1692" s="110" t="s">
        <v>537</v>
      </c>
      <c r="AB1692" s="110" t="s">
        <v>333</v>
      </c>
      <c r="AC1692" s="110" t="s">
        <v>538</v>
      </c>
      <c r="AD1692" s="110" t="n">
        <f aca="false">IF(OR(F1692="",Q1692="",R1692=""),"",ROUND(IF(P1692="incl.",F1692/(1+Q1692),F1692)/IF(S1692="per pack",R1692,1),2))</f>
        <v>164</v>
      </c>
      <c r="AE1692" s="110" t="str">
        <f aca="false">IF(AND(AC1692="yes",ISNUMBER(F1692),IF(Compare!$H$5="All mapped",TRUE(),IF(Compare!$H$5="EXACT only",J1692="EXACT",OR(J1692="EXACT",J1692="CLOSE")))),"yes","no")</f>
        <v>yes</v>
      </c>
      <c r="AF1692" s="110" t="n">
        <f aca="false">IF(ISNUMBER(H1692),COUNTIFS($B$7:$B$3000,B1692,$C$7:$C$3000,C1692,$H$7:$H$3000,"&lt;"&amp;H1692,$AH$7:$AH$3000,"yes")+COUNTIFS($B$7:B1692,B1692,$C$7:C1692,C1692,$H$7:H1692,H1692,$AH$7:AH1692,"yes"),"")</f>
        <v>4</v>
      </c>
      <c r="AG1692" s="110" t="n">
        <f aca="false">IF(ISNUMBER(I1692),COUNTIFS($B$7:$B$3000,B1692,$C$7:$C$3000,C1692,$I$7:$I$3000,"&lt;"&amp;I1692,$AI$7:$AI$3000,"yes")+COUNTIFS($B$7:B1692,B1692,$C$7:C1692,C1692,$I$7:I1692,I1692,$AI$7:AI1692,"yes"),"")</f>
        <v>4</v>
      </c>
      <c r="AH1692" s="110" t="str">
        <f aca="false">IF(ISNUMBER(H1692),"yes","no")</f>
        <v>yes</v>
      </c>
      <c r="AI1692" s="110" t="str">
        <f aca="false">IF(ISNUMBER(I1692),"yes","no")</f>
        <v>yes</v>
      </c>
      <c r="AJ1692" s="120" t="n">
        <v>46297</v>
      </c>
      <c r="AK1692" s="110"/>
    </row>
    <row r="1693" customFormat="false" ht="23.85" hidden="false" customHeight="false" outlineLevel="0" collapsed="false">
      <c r="B1693" s="36" t="s">
        <v>95</v>
      </c>
      <c r="C1693" s="98" t="s">
        <v>17</v>
      </c>
      <c r="D1693" s="98" t="s">
        <v>350</v>
      </c>
      <c r="E1693" s="110" t="s">
        <v>5278</v>
      </c>
      <c r="F1693" s="99" t="n">
        <v>101</v>
      </c>
      <c r="G1693" s="98" t="s">
        <v>333</v>
      </c>
      <c r="H1693" s="112" t="n">
        <f aca="false">IF(AND(AE1693="yes",ISNUMBER(AD1693)),AD1693,"")</f>
        <v>83.47</v>
      </c>
      <c r="I1693" s="95" t="n">
        <f aca="false">IF(AND(AE1693="yes",ISNUMBER(AD1693),ISNUMBER(INDEX(Sources!$G$7:$G$10,MATCH(AB1693,Sources!$B$7:$B$10,0)))),ROUND(AD1693/INDEX(Sources!$G$7:$G$10,MATCH(AB1693,Sources!$B$7:$B$10,0)),6),"")</f>
        <v>3.417594</v>
      </c>
      <c r="J1693" s="98" t="s">
        <v>530</v>
      </c>
      <c r="K1693" s="98" t="s">
        <v>2059</v>
      </c>
      <c r="L1693" s="96"/>
      <c r="M1693" s="110" t="s">
        <v>5279</v>
      </c>
      <c r="N1693" s="117" t="s">
        <v>5280</v>
      </c>
      <c r="O1693" s="110" t="s">
        <v>2452</v>
      </c>
      <c r="P1693" s="110" t="s">
        <v>265</v>
      </c>
      <c r="Q1693" s="118" t="n">
        <v>0.21</v>
      </c>
      <c r="R1693" s="110" t="n">
        <v>1</v>
      </c>
      <c r="S1693" s="110" t="s">
        <v>632</v>
      </c>
      <c r="T1693" s="110" t="s">
        <v>530</v>
      </c>
      <c r="U1693" s="110" t="s">
        <v>2918</v>
      </c>
      <c r="V1693" s="119" t="n">
        <v>83.47</v>
      </c>
      <c r="W1693" s="119"/>
      <c r="X1693" s="110" t="s">
        <v>2063</v>
      </c>
      <c r="Y1693" s="110" t="s">
        <v>2064</v>
      </c>
      <c r="Z1693" s="110" t="s">
        <v>2349</v>
      </c>
      <c r="AA1693" s="110" t="s">
        <v>537</v>
      </c>
      <c r="AB1693" s="110" t="s">
        <v>333</v>
      </c>
      <c r="AC1693" s="110" t="s">
        <v>538</v>
      </c>
      <c r="AD1693" s="110" t="n">
        <f aca="false">IF(OR(F1693="",Q1693="",R1693=""),"",ROUND(IF(P1693="incl.",F1693/(1+Q1693),F1693)/IF(S1693="per pack",R1693,1),2))</f>
        <v>83.47</v>
      </c>
      <c r="AE1693" s="110" t="str">
        <f aca="false">IF(AND(AC1693="yes",ISNUMBER(F1693),IF(Compare!$H$5="All mapped",TRUE(),IF(Compare!$H$5="EXACT only",J1693="EXACT",OR(J1693="EXACT",J1693="CLOSE")))),"yes","no")</f>
        <v>yes</v>
      </c>
      <c r="AF1693" s="110" t="n">
        <f aca="false">IF(ISNUMBER(H1693),COUNTIFS($B$7:$B$3000,B1693,$C$7:$C$3000,C1693,$H$7:$H$3000,"&lt;"&amp;H1693,$AH$7:$AH$3000,"yes")+COUNTIFS($B$7:B1693,B1693,$C$7:C1693,C1693,$H$7:H1693,H1693,$AH$7:AH1693,"yes"),"")</f>
        <v>1</v>
      </c>
      <c r="AG1693" s="110" t="n">
        <f aca="false">IF(ISNUMBER(I1693),COUNTIFS($B$7:$B$3000,B1693,$C$7:$C$3000,C1693,$I$7:$I$3000,"&lt;"&amp;I1693,$AI$7:$AI$3000,"yes")+COUNTIFS($B$7:B1693,B1693,$C$7:C1693,C1693,$I$7:I1693,I1693,$AI$7:AI1693,"yes"),"")</f>
        <v>1</v>
      </c>
      <c r="AH1693" s="110" t="str">
        <f aca="false">IF(ISNUMBER(H1693),"yes","no")</f>
        <v>yes</v>
      </c>
      <c r="AI1693" s="110" t="str">
        <f aca="false">IF(ISNUMBER(I1693),"yes","no")</f>
        <v>yes</v>
      </c>
      <c r="AJ1693" s="120" t="n">
        <v>46297</v>
      </c>
      <c r="AK1693" s="110"/>
    </row>
    <row r="1694" customFormat="false" ht="35.05" hidden="false" customHeight="false" outlineLevel="0" collapsed="false">
      <c r="B1694" s="36" t="s">
        <v>95</v>
      </c>
      <c r="C1694" s="98" t="s">
        <v>17</v>
      </c>
      <c r="D1694" s="98" t="s">
        <v>361</v>
      </c>
      <c r="E1694" s="110" t="s">
        <v>5281</v>
      </c>
      <c r="F1694" s="99" t="n">
        <v>145</v>
      </c>
      <c r="G1694" s="98" t="s">
        <v>333</v>
      </c>
      <c r="H1694" s="112" t="n">
        <f aca="false">IF(AND(AE1694="yes",ISNUMBER(AD1694)),AD1694,"")</f>
        <v>119.83</v>
      </c>
      <c r="I1694" s="95" t="n">
        <f aca="false">IF(AND(AE1694="yes",ISNUMBER(AD1694),ISNUMBER(INDEX(Sources!$G$7:$G$10,MATCH(AB1694,Sources!$B$7:$B$10,0)))),ROUND(AD1694/INDEX(Sources!$G$7:$G$10,MATCH(AB1694,Sources!$B$7:$B$10,0)),6),"")</f>
        <v>4.906317</v>
      </c>
      <c r="J1694" s="98" t="s">
        <v>530</v>
      </c>
      <c r="K1694" s="98" t="s">
        <v>2059</v>
      </c>
      <c r="L1694" s="96"/>
      <c r="M1694" s="110" t="s">
        <v>5282</v>
      </c>
      <c r="N1694" s="117" t="s">
        <v>5283</v>
      </c>
      <c r="O1694" s="110" t="s">
        <v>642</v>
      </c>
      <c r="P1694" s="110" t="s">
        <v>265</v>
      </c>
      <c r="Q1694" s="118" t="n">
        <v>0.21</v>
      </c>
      <c r="R1694" s="110" t="n">
        <v>1</v>
      </c>
      <c r="S1694" s="110" t="s">
        <v>632</v>
      </c>
      <c r="T1694" s="110" t="s">
        <v>530</v>
      </c>
      <c r="U1694" s="110" t="s">
        <v>2918</v>
      </c>
      <c r="V1694" s="119" t="n">
        <v>119.83</v>
      </c>
      <c r="W1694" s="119"/>
      <c r="X1694" s="110" t="s">
        <v>2063</v>
      </c>
      <c r="Y1694" s="110" t="s">
        <v>2064</v>
      </c>
      <c r="Z1694" s="110" t="s">
        <v>2400</v>
      </c>
      <c r="AA1694" s="110" t="s">
        <v>537</v>
      </c>
      <c r="AB1694" s="110" t="s">
        <v>333</v>
      </c>
      <c r="AC1694" s="110" t="s">
        <v>538</v>
      </c>
      <c r="AD1694" s="110" t="n">
        <f aca="false">IF(OR(F1694="",Q1694="",R1694=""),"",ROUND(IF(P1694="incl.",F1694/(1+Q1694),F1694)/IF(S1694="per pack",R1694,1),2))</f>
        <v>119.83</v>
      </c>
      <c r="AE1694" s="110" t="str">
        <f aca="false">IF(AND(AC1694="yes",ISNUMBER(F1694),IF(Compare!$H$5="All mapped",TRUE(),IF(Compare!$H$5="EXACT only",J1694="EXACT",OR(J1694="EXACT",J1694="CLOSE")))),"yes","no")</f>
        <v>yes</v>
      </c>
      <c r="AF1694" s="110" t="n">
        <f aca="false">IF(ISNUMBER(H1694),COUNTIFS($B$7:$B$3000,B1694,$C$7:$C$3000,C1694,$H$7:$H$3000,"&lt;"&amp;H1694,$AH$7:$AH$3000,"yes")+COUNTIFS($B$7:B1694,B1694,$C$7:C1694,C1694,$H$7:H1694,H1694,$AH$7:AH1694,"yes"),"")</f>
        <v>2</v>
      </c>
      <c r="AG1694" s="110" t="n">
        <f aca="false">IF(ISNUMBER(I1694),COUNTIFS($B$7:$B$3000,B1694,$C$7:$C$3000,C1694,$I$7:$I$3000,"&lt;"&amp;I1694,$AI$7:$AI$3000,"yes")+COUNTIFS($B$7:B1694,B1694,$C$7:C1694,C1694,$I$7:I1694,I1694,$AI$7:AI1694,"yes"),"")</f>
        <v>2</v>
      </c>
      <c r="AH1694" s="110" t="str">
        <f aca="false">IF(ISNUMBER(H1694),"yes","no")</f>
        <v>yes</v>
      </c>
      <c r="AI1694" s="110" t="str">
        <f aca="false">IF(ISNUMBER(I1694),"yes","no")</f>
        <v>yes</v>
      </c>
      <c r="AJ1694" s="120" t="n">
        <v>46297</v>
      </c>
      <c r="AK1694" s="110"/>
    </row>
    <row r="1695" customFormat="false" ht="23.85" hidden="false" customHeight="false" outlineLevel="0" collapsed="false">
      <c r="B1695" s="36" t="s">
        <v>95</v>
      </c>
      <c r="C1695" s="98" t="s">
        <v>18</v>
      </c>
      <c r="D1695" s="98" t="s">
        <v>3002</v>
      </c>
      <c r="E1695" s="110" t="s">
        <v>5284</v>
      </c>
      <c r="F1695" s="99" t="n">
        <v>6.05</v>
      </c>
      <c r="G1695" s="98" t="s">
        <v>244</v>
      </c>
      <c r="H1695" s="112" t="n">
        <f aca="false">IF(AND(AE1695="yes",ISNUMBER(AD1695)),AD1695,"")</f>
        <v>6.05</v>
      </c>
      <c r="I1695" s="95" t="n">
        <f aca="false">IF(AND(AE1695="yes",ISNUMBER(AD1695),ISNUMBER(INDEX(Sources!$G$7:$G$10,MATCH(AB1695,Sources!$B$7:$B$10,0)))),ROUND(AD1695/INDEX(Sources!$G$7:$G$10,MATCH(AB1695,Sources!$B$7:$B$10,0)),6),"")</f>
        <v>6.05</v>
      </c>
      <c r="J1695" s="98" t="s">
        <v>530</v>
      </c>
      <c r="K1695" s="98" t="s">
        <v>2059</v>
      </c>
      <c r="L1695" s="96"/>
      <c r="M1695" s="110" t="s">
        <v>5285</v>
      </c>
      <c r="N1695" s="117" t="s">
        <v>4404</v>
      </c>
      <c r="O1695" s="110" t="s">
        <v>2396</v>
      </c>
      <c r="P1695" s="110" t="s">
        <v>590</v>
      </c>
      <c r="Q1695" s="118" t="n">
        <v>0.23</v>
      </c>
      <c r="R1695" s="110" t="n">
        <v>1</v>
      </c>
      <c r="S1695" s="110" t="s">
        <v>632</v>
      </c>
      <c r="T1695" s="110" t="s">
        <v>530</v>
      </c>
      <c r="U1695" s="110" t="s">
        <v>2913</v>
      </c>
      <c r="V1695" s="119" t="n">
        <v>6.05</v>
      </c>
      <c r="W1695" s="119"/>
      <c r="X1695" s="110" t="s">
        <v>2063</v>
      </c>
      <c r="Y1695" s="110" t="s">
        <v>2064</v>
      </c>
      <c r="Z1695" s="110" t="s">
        <v>3346</v>
      </c>
      <c r="AA1695" s="110" t="s">
        <v>537</v>
      </c>
      <c r="AB1695" s="110" t="s">
        <v>244</v>
      </c>
      <c r="AC1695" s="110" t="s">
        <v>538</v>
      </c>
      <c r="AD1695" s="110" t="n">
        <f aca="false">IF(OR(F1695="",Q1695="",R1695=""),"",ROUND(IF(P1695="incl.",F1695/(1+Q1695),F1695)/IF(S1695="per pack",R1695,1),2))</f>
        <v>6.05</v>
      </c>
      <c r="AE1695" s="110" t="str">
        <f aca="false">IF(AND(AC1695="yes",ISNUMBER(F1695),IF(Compare!$H$5="All mapped",TRUE(),IF(Compare!$H$5="EXACT only",J1695="EXACT",OR(J1695="EXACT",J1695="CLOSE")))),"yes","no")</f>
        <v>yes</v>
      </c>
      <c r="AF1695" s="110" t="n">
        <f aca="false">IF(ISNUMBER(H1695),COUNTIFS($B$7:$B$3000,B1695,$C$7:$C$3000,C1695,$H$7:$H$3000,"&lt;"&amp;H1695,$AH$7:$AH$3000,"yes")+COUNTIFS($B$7:B1695,B1695,$C$7:C1695,C1695,$H$7:H1695,H1695,$AH$7:AH1695,"yes"),"")</f>
        <v>5</v>
      </c>
      <c r="AG1695" s="110" t="n">
        <f aca="false">IF(ISNUMBER(I1695),COUNTIFS($B$7:$B$3000,B1695,$C$7:$C$3000,C1695,$I$7:$I$3000,"&lt;"&amp;I1695,$AI$7:$AI$3000,"yes")+COUNTIFS($B$7:B1695,B1695,$C$7:C1695,C1695,$I$7:I1695,I1695,$AI$7:AI1695,"yes"),"")</f>
        <v>5</v>
      </c>
      <c r="AH1695" s="110" t="str">
        <f aca="false">IF(ISNUMBER(H1695),"yes","no")</f>
        <v>yes</v>
      </c>
      <c r="AI1695" s="110" t="str">
        <f aca="false">IF(ISNUMBER(I1695),"yes","no")</f>
        <v>yes</v>
      </c>
      <c r="AJ1695" s="120" t="n">
        <v>46297</v>
      </c>
      <c r="AK1695" s="110"/>
    </row>
    <row r="1696" customFormat="false" ht="35.05" hidden="false" customHeight="false" outlineLevel="0" collapsed="false">
      <c r="B1696" s="36" t="s">
        <v>95</v>
      </c>
      <c r="C1696" s="98" t="s">
        <v>18</v>
      </c>
      <c r="D1696" s="98" t="s">
        <v>365</v>
      </c>
      <c r="E1696" s="110" t="s">
        <v>5286</v>
      </c>
      <c r="F1696" s="99" t="n">
        <v>4.18</v>
      </c>
      <c r="G1696" s="98" t="s">
        <v>244</v>
      </c>
      <c r="H1696" s="112" t="n">
        <f aca="false">IF(AND(AE1696="yes",ISNUMBER(AD1696)),AD1696,"")</f>
        <v>3.4</v>
      </c>
      <c r="I1696" s="95" t="n">
        <f aca="false">IF(AND(AE1696="yes",ISNUMBER(AD1696),ISNUMBER(INDEX(Sources!$G$7:$G$10,MATCH(AB1696,Sources!$B$7:$B$10,0)))),ROUND(AD1696/INDEX(Sources!$G$7:$G$10,MATCH(AB1696,Sources!$B$7:$B$10,0)),6),"")</f>
        <v>3.4</v>
      </c>
      <c r="J1696" s="98" t="s">
        <v>530</v>
      </c>
      <c r="K1696" s="98" t="s">
        <v>2059</v>
      </c>
      <c r="L1696" s="96"/>
      <c r="M1696" s="110" t="s">
        <v>5287</v>
      </c>
      <c r="N1696" s="117" t="s">
        <v>5288</v>
      </c>
      <c r="O1696" s="110" t="s">
        <v>3076</v>
      </c>
      <c r="P1696" s="110" t="s">
        <v>265</v>
      </c>
      <c r="Q1696" s="118" t="n">
        <v>0.23</v>
      </c>
      <c r="R1696" s="110" t="n">
        <v>1</v>
      </c>
      <c r="S1696" s="110" t="s">
        <v>632</v>
      </c>
      <c r="T1696" s="110" t="s">
        <v>530</v>
      </c>
      <c r="U1696" s="110" t="s">
        <v>2918</v>
      </c>
      <c r="V1696" s="119" t="n">
        <v>3.4</v>
      </c>
      <c r="W1696" s="119"/>
      <c r="X1696" s="110" t="s">
        <v>2063</v>
      </c>
      <c r="Y1696" s="110" t="s">
        <v>2064</v>
      </c>
      <c r="Z1696" s="110" t="s">
        <v>3016</v>
      </c>
      <c r="AA1696" s="110" t="s">
        <v>537</v>
      </c>
      <c r="AB1696" s="110" t="s">
        <v>244</v>
      </c>
      <c r="AC1696" s="110" t="s">
        <v>538</v>
      </c>
      <c r="AD1696" s="110" t="n">
        <f aca="false">IF(OR(F1696="",Q1696="",R1696=""),"",ROUND(IF(P1696="incl.",F1696/(1+Q1696),F1696)/IF(S1696="per pack",R1696,1),2))</f>
        <v>3.4</v>
      </c>
      <c r="AE1696" s="110" t="str">
        <f aca="false">IF(AND(AC1696="yes",ISNUMBER(F1696),IF(Compare!$H$5="All mapped",TRUE(),IF(Compare!$H$5="EXACT only",J1696="EXACT",OR(J1696="EXACT",J1696="CLOSE")))),"yes","no")</f>
        <v>yes</v>
      </c>
      <c r="AF1696" s="110" t="n">
        <f aca="false">IF(ISNUMBER(H1696),COUNTIFS($B$7:$B$3000,B1696,$C$7:$C$3000,C1696,$H$7:$H$3000,"&lt;"&amp;H1696,$AH$7:$AH$3000,"yes")+COUNTIFS($B$7:B1696,B1696,$C$7:C1696,C1696,$H$7:H1696,H1696,$AH$7:AH1696,"yes"),"")</f>
        <v>1</v>
      </c>
      <c r="AG1696" s="110" t="n">
        <f aca="false">IF(ISNUMBER(I1696),COUNTIFS($B$7:$B$3000,B1696,$C$7:$C$3000,C1696,$I$7:$I$3000,"&lt;"&amp;I1696,$AI$7:$AI$3000,"yes")+COUNTIFS($B$7:B1696,B1696,$C$7:C1696,C1696,$I$7:I1696,I1696,$AI$7:AI1696,"yes"),"")</f>
        <v>1</v>
      </c>
      <c r="AH1696" s="110" t="str">
        <f aca="false">IF(ISNUMBER(H1696),"yes","no")</f>
        <v>yes</v>
      </c>
      <c r="AI1696" s="110" t="str">
        <f aca="false">IF(ISNUMBER(I1696),"yes","no")</f>
        <v>yes</v>
      </c>
      <c r="AJ1696" s="120" t="n">
        <v>46297</v>
      </c>
      <c r="AK1696" s="110"/>
    </row>
    <row r="1697" customFormat="false" ht="35.05" hidden="false" customHeight="false" outlineLevel="0" collapsed="false">
      <c r="B1697" s="36" t="s">
        <v>95</v>
      </c>
      <c r="C1697" s="98" t="s">
        <v>18</v>
      </c>
      <c r="D1697" s="98" t="s">
        <v>369</v>
      </c>
      <c r="E1697" s="110" t="s">
        <v>5289</v>
      </c>
      <c r="F1697" s="99" t="n">
        <v>7.03</v>
      </c>
      <c r="G1697" s="98" t="s">
        <v>244</v>
      </c>
      <c r="H1697" s="112" t="n">
        <f aca="false">IF(AND(AE1697="yes",ISNUMBER(AD1697)),AD1697,"")</f>
        <v>5.72</v>
      </c>
      <c r="I1697" s="95" t="n">
        <f aca="false">IF(AND(AE1697="yes",ISNUMBER(AD1697),ISNUMBER(INDEX(Sources!$G$7:$G$10,MATCH(AB1697,Sources!$B$7:$B$10,0)))),ROUND(AD1697/INDEX(Sources!$G$7:$G$10,MATCH(AB1697,Sources!$B$7:$B$10,0)),6),"")</f>
        <v>5.72</v>
      </c>
      <c r="J1697" s="98" t="s">
        <v>530</v>
      </c>
      <c r="K1697" s="98" t="s">
        <v>2059</v>
      </c>
      <c r="L1697" s="96"/>
      <c r="M1697" s="110" t="s">
        <v>5290</v>
      </c>
      <c r="N1697" s="117" t="s">
        <v>5291</v>
      </c>
      <c r="O1697" s="110" t="s">
        <v>783</v>
      </c>
      <c r="P1697" s="110" t="s">
        <v>265</v>
      </c>
      <c r="Q1697" s="118" t="n">
        <v>0.23</v>
      </c>
      <c r="R1697" s="110" t="n">
        <v>1</v>
      </c>
      <c r="S1697" s="110" t="s">
        <v>632</v>
      </c>
      <c r="T1697" s="110" t="s">
        <v>530</v>
      </c>
      <c r="U1697" s="110" t="s">
        <v>2918</v>
      </c>
      <c r="V1697" s="119" t="n">
        <v>5.72</v>
      </c>
      <c r="W1697" s="119"/>
      <c r="X1697" s="110" t="s">
        <v>2063</v>
      </c>
      <c r="Y1697" s="110" t="s">
        <v>2064</v>
      </c>
      <c r="Z1697" s="110" t="s">
        <v>3354</v>
      </c>
      <c r="AA1697" s="110" t="s">
        <v>537</v>
      </c>
      <c r="AB1697" s="110" t="s">
        <v>244</v>
      </c>
      <c r="AC1697" s="110" t="s">
        <v>538</v>
      </c>
      <c r="AD1697" s="110" t="n">
        <f aca="false">IF(OR(F1697="",Q1697="",R1697=""),"",ROUND(IF(P1697="incl.",F1697/(1+Q1697),F1697)/IF(S1697="per pack",R1697,1),2))</f>
        <v>5.72</v>
      </c>
      <c r="AE1697" s="110" t="str">
        <f aca="false">IF(AND(AC1697="yes",ISNUMBER(F1697),IF(Compare!$H$5="All mapped",TRUE(),IF(Compare!$H$5="EXACT only",J1697="EXACT",OR(J1697="EXACT",J1697="CLOSE")))),"yes","no")</f>
        <v>yes</v>
      </c>
      <c r="AF1697" s="110" t="n">
        <f aca="false">IF(ISNUMBER(H1697),COUNTIFS($B$7:$B$3000,B1697,$C$7:$C$3000,C1697,$H$7:$H$3000,"&lt;"&amp;H1697,$AH$7:$AH$3000,"yes")+COUNTIFS($B$7:B1697,B1697,$C$7:C1697,C1697,$H$7:H1697,H1697,$AH$7:AH1697,"yes"),"")</f>
        <v>4</v>
      </c>
      <c r="AG1697" s="110" t="n">
        <f aca="false">IF(ISNUMBER(I1697),COUNTIFS($B$7:$B$3000,B1697,$C$7:$C$3000,C1697,$I$7:$I$3000,"&lt;"&amp;I1697,$AI$7:$AI$3000,"yes")+COUNTIFS($B$7:B1697,B1697,$C$7:C1697,C1697,$I$7:I1697,I1697,$AI$7:AI1697,"yes"),"")</f>
        <v>4</v>
      </c>
      <c r="AH1697" s="110" t="str">
        <f aca="false">IF(ISNUMBER(H1697),"yes","no")</f>
        <v>yes</v>
      </c>
      <c r="AI1697" s="110" t="str">
        <f aca="false">IF(ISNUMBER(I1697),"yes","no")</f>
        <v>yes</v>
      </c>
      <c r="AJ1697" s="120" t="n">
        <v>46297</v>
      </c>
      <c r="AK1697" s="110"/>
    </row>
    <row r="1698" customFormat="false" ht="23.85" hidden="false" customHeight="false" outlineLevel="0" collapsed="false">
      <c r="B1698" s="36" t="s">
        <v>95</v>
      </c>
      <c r="C1698" s="98" t="s">
        <v>18</v>
      </c>
      <c r="D1698" s="98" t="s">
        <v>4579</v>
      </c>
      <c r="E1698" s="110" t="s">
        <v>5292</v>
      </c>
      <c r="F1698" s="99" t="n">
        <v>6.78</v>
      </c>
      <c r="G1698" s="98" t="s">
        <v>244</v>
      </c>
      <c r="H1698" s="112" t="n">
        <f aca="false">IF(AND(AE1698="yes",ISNUMBER(AD1698)),AD1698,"")</f>
        <v>5.51</v>
      </c>
      <c r="I1698" s="95" t="n">
        <f aca="false">IF(AND(AE1698="yes",ISNUMBER(AD1698),ISNUMBER(INDEX(Sources!$G$7:$G$10,MATCH(AB1698,Sources!$B$7:$B$10,0)))),ROUND(AD1698/INDEX(Sources!$G$7:$G$10,MATCH(AB1698,Sources!$B$7:$B$10,0)),6),"")</f>
        <v>5.51</v>
      </c>
      <c r="J1698" s="98" t="s">
        <v>530</v>
      </c>
      <c r="K1698" s="98" t="s">
        <v>2059</v>
      </c>
      <c r="L1698" s="96"/>
      <c r="M1698" s="110" t="s">
        <v>5293</v>
      </c>
      <c r="N1698" s="117" t="s">
        <v>4825</v>
      </c>
      <c r="O1698" s="110" t="s">
        <v>246</v>
      </c>
      <c r="P1698" s="110" t="s">
        <v>265</v>
      </c>
      <c r="Q1698" s="118" t="n">
        <v>0.23</v>
      </c>
      <c r="R1698" s="110" t="n">
        <v>1</v>
      </c>
      <c r="S1698" s="110" t="s">
        <v>632</v>
      </c>
      <c r="T1698" s="110" t="s">
        <v>530</v>
      </c>
      <c r="U1698" s="110" t="s">
        <v>2918</v>
      </c>
      <c r="V1698" s="119" t="n">
        <v>5.51</v>
      </c>
      <c r="W1698" s="119"/>
      <c r="X1698" s="110" t="s">
        <v>2063</v>
      </c>
      <c r="Y1698" s="110" t="s">
        <v>2064</v>
      </c>
      <c r="Z1698" s="110" t="s">
        <v>4826</v>
      </c>
      <c r="AA1698" s="110" t="s">
        <v>537</v>
      </c>
      <c r="AB1698" s="110" t="s">
        <v>244</v>
      </c>
      <c r="AC1698" s="110" t="s">
        <v>538</v>
      </c>
      <c r="AD1698" s="110" t="n">
        <f aca="false">IF(OR(F1698="",Q1698="",R1698=""),"",ROUND(IF(P1698="incl.",F1698/(1+Q1698),F1698)/IF(S1698="per pack",R1698,1),2))</f>
        <v>5.51</v>
      </c>
      <c r="AE1698" s="110" t="str">
        <f aca="false">IF(AND(AC1698="yes",ISNUMBER(F1698),IF(Compare!$H$5="All mapped",TRUE(),IF(Compare!$H$5="EXACT only",J1698="EXACT",OR(J1698="EXACT",J1698="CLOSE")))),"yes","no")</f>
        <v>yes</v>
      </c>
      <c r="AF1698" s="110" t="n">
        <f aca="false">IF(ISNUMBER(H1698),COUNTIFS($B$7:$B$3000,B1698,$C$7:$C$3000,C1698,$H$7:$H$3000,"&lt;"&amp;H1698,$AH$7:$AH$3000,"yes")+COUNTIFS($B$7:B1698,B1698,$C$7:C1698,C1698,$H$7:H1698,H1698,$AH$7:AH1698,"yes"),"")</f>
        <v>3</v>
      </c>
      <c r="AG1698" s="110" t="n">
        <f aca="false">IF(ISNUMBER(I1698),COUNTIFS($B$7:$B$3000,B1698,$C$7:$C$3000,C1698,$I$7:$I$3000,"&lt;"&amp;I1698,$AI$7:$AI$3000,"yes")+COUNTIFS($B$7:B1698,B1698,$C$7:C1698,C1698,$I$7:I1698,I1698,$AI$7:AI1698,"yes"),"")</f>
        <v>3</v>
      </c>
      <c r="AH1698" s="110" t="str">
        <f aca="false">IF(ISNUMBER(H1698),"yes","no")</f>
        <v>yes</v>
      </c>
      <c r="AI1698" s="110" t="str">
        <f aca="false">IF(ISNUMBER(I1698),"yes","no")</f>
        <v>yes</v>
      </c>
      <c r="AJ1698" s="120" t="n">
        <v>46297</v>
      </c>
      <c r="AK1698" s="110"/>
    </row>
    <row r="1699" customFormat="false" ht="35.05" hidden="false" customHeight="false" outlineLevel="0" collapsed="false">
      <c r="B1699" s="36" t="s">
        <v>95</v>
      </c>
      <c r="C1699" s="98" t="s">
        <v>18</v>
      </c>
      <c r="D1699" s="98" t="s">
        <v>3021</v>
      </c>
      <c r="E1699" s="110" t="s">
        <v>5294</v>
      </c>
      <c r="F1699" s="99" t="n">
        <v>3.76</v>
      </c>
      <c r="G1699" s="98" t="s">
        <v>244</v>
      </c>
      <c r="H1699" s="112" t="n">
        <f aca="false">IF(AND(AE1699="yes",ISNUMBER(AD1699)),AD1699,"")</f>
        <v>3.76</v>
      </c>
      <c r="I1699" s="95" t="n">
        <f aca="false">IF(AND(AE1699="yes",ISNUMBER(AD1699),ISNUMBER(INDEX(Sources!$G$7:$G$10,MATCH(AB1699,Sources!$B$7:$B$10,0)))),ROUND(AD1699/INDEX(Sources!$G$7:$G$10,MATCH(AB1699,Sources!$B$7:$B$10,0)),6),"")</f>
        <v>3.76</v>
      </c>
      <c r="J1699" s="98" t="s">
        <v>530</v>
      </c>
      <c r="K1699" s="98" t="s">
        <v>2059</v>
      </c>
      <c r="L1699" s="96"/>
      <c r="M1699" s="110" t="s">
        <v>5295</v>
      </c>
      <c r="N1699" s="117" t="s">
        <v>4416</v>
      </c>
      <c r="O1699" s="110" t="s">
        <v>3024</v>
      </c>
      <c r="P1699" s="110" t="s">
        <v>590</v>
      </c>
      <c r="Q1699" s="118" t="n">
        <v>0.23</v>
      </c>
      <c r="R1699" s="110" t="n">
        <v>1</v>
      </c>
      <c r="S1699" s="110" t="s">
        <v>632</v>
      </c>
      <c r="T1699" s="110" t="s">
        <v>530</v>
      </c>
      <c r="U1699" s="110" t="s">
        <v>2913</v>
      </c>
      <c r="V1699" s="119" t="n">
        <v>3.76</v>
      </c>
      <c r="W1699" s="119"/>
      <c r="X1699" s="110" t="s">
        <v>2063</v>
      </c>
      <c r="Y1699" s="110" t="s">
        <v>2064</v>
      </c>
      <c r="Z1699" s="110" t="s">
        <v>3109</v>
      </c>
      <c r="AA1699" s="110" t="s">
        <v>537</v>
      </c>
      <c r="AB1699" s="110" t="s">
        <v>244</v>
      </c>
      <c r="AC1699" s="110" t="s">
        <v>538</v>
      </c>
      <c r="AD1699" s="110" t="n">
        <f aca="false">IF(OR(F1699="",Q1699="",R1699=""),"",ROUND(IF(P1699="incl.",F1699/(1+Q1699),F1699)/IF(S1699="per pack",R1699,1),2))</f>
        <v>3.76</v>
      </c>
      <c r="AE1699" s="110" t="str">
        <f aca="false">IF(AND(AC1699="yes",ISNUMBER(F1699),IF(Compare!$H$5="All mapped",TRUE(),IF(Compare!$H$5="EXACT only",J1699="EXACT",OR(J1699="EXACT",J1699="CLOSE")))),"yes","no")</f>
        <v>yes</v>
      </c>
      <c r="AF1699" s="110" t="n">
        <f aca="false">IF(ISNUMBER(H1699),COUNTIFS($B$7:$B$3000,B1699,$C$7:$C$3000,C1699,$H$7:$H$3000,"&lt;"&amp;H1699,$AH$7:$AH$3000,"yes")+COUNTIFS($B$7:B1699,B1699,$C$7:C1699,C1699,$H$7:H1699,H1699,$AH$7:AH1699,"yes"),"")</f>
        <v>2</v>
      </c>
      <c r="AG1699" s="110" t="n">
        <f aca="false">IF(ISNUMBER(I1699),COUNTIFS($B$7:$B$3000,B1699,$C$7:$C$3000,C1699,$I$7:$I$3000,"&lt;"&amp;I1699,$AI$7:$AI$3000,"yes")+COUNTIFS($B$7:B1699,B1699,$C$7:C1699,C1699,$I$7:I1699,I1699,$AI$7:AI1699,"yes"),"")</f>
        <v>2</v>
      </c>
      <c r="AH1699" s="110" t="str">
        <f aca="false">IF(ISNUMBER(H1699),"yes","no")</f>
        <v>yes</v>
      </c>
      <c r="AI1699" s="110" t="str">
        <f aca="false">IF(ISNUMBER(I1699),"yes","no")</f>
        <v>yes</v>
      </c>
      <c r="AJ1699" s="120" t="n">
        <v>46297</v>
      </c>
      <c r="AK1699" s="110"/>
    </row>
    <row r="1700" customFormat="false" ht="35.05" hidden="false" customHeight="false" outlineLevel="0" collapsed="false">
      <c r="B1700" s="36" t="s">
        <v>96</v>
      </c>
      <c r="C1700" s="98" t="s">
        <v>14</v>
      </c>
      <c r="D1700" s="98" t="s">
        <v>346</v>
      </c>
      <c r="E1700" s="110" t="s">
        <v>5296</v>
      </c>
      <c r="F1700" s="99" t="n">
        <v>69.32</v>
      </c>
      <c r="G1700" s="98" t="s">
        <v>374</v>
      </c>
      <c r="H1700" s="112" t="n">
        <f aca="false">IF(AND(AE1700="yes",ISNUMBER(AD1700)),AD1700,"")</f>
        <v>57.29</v>
      </c>
      <c r="I1700" s="95" t="n">
        <f aca="false">IF(AND(AE1700="yes",ISNUMBER(AD1700),ISNUMBER(INDEX(Sources!$G$7:$G$10,MATCH(AB1700,Sources!$B$7:$B$10,0)))),ROUND(AD1700/INDEX(Sources!$G$7:$G$10,MATCH(AB1700,Sources!$B$7:$B$10,0)),6),"")</f>
        <v>10.855227</v>
      </c>
      <c r="J1700" s="98" t="s">
        <v>530</v>
      </c>
      <c r="K1700" s="98" t="s">
        <v>2059</v>
      </c>
      <c r="L1700" s="96"/>
      <c r="M1700" s="110" t="s">
        <v>5297</v>
      </c>
      <c r="N1700" s="117" t="s">
        <v>5298</v>
      </c>
      <c r="O1700" s="110" t="s">
        <v>662</v>
      </c>
      <c r="P1700" s="110" t="s">
        <v>265</v>
      </c>
      <c r="Q1700" s="118" t="n">
        <v>0.21</v>
      </c>
      <c r="R1700" s="110" t="n">
        <v>1</v>
      </c>
      <c r="S1700" s="110" t="s">
        <v>632</v>
      </c>
      <c r="T1700" s="110" t="s">
        <v>530</v>
      </c>
      <c r="U1700" s="110" t="s">
        <v>2918</v>
      </c>
      <c r="V1700" s="119" t="n">
        <v>57.29</v>
      </c>
      <c r="W1700" s="119"/>
      <c r="X1700" s="110" t="s">
        <v>2063</v>
      </c>
      <c r="Y1700" s="110" t="s">
        <v>2064</v>
      </c>
      <c r="Z1700" s="110"/>
      <c r="AA1700" s="110" t="s">
        <v>537</v>
      </c>
      <c r="AB1700" s="110" t="s">
        <v>374</v>
      </c>
      <c r="AC1700" s="110" t="s">
        <v>538</v>
      </c>
      <c r="AD1700" s="110" t="n">
        <f aca="false">IF(OR(F1700="",Q1700="",R1700=""),"",ROUND(IF(P1700="incl.",F1700/(1+Q1700),F1700)/IF(S1700="per pack",R1700,1),2))</f>
        <v>57.29</v>
      </c>
      <c r="AE1700" s="110" t="str">
        <f aca="false">IF(AND(AC1700="yes",ISNUMBER(F1700),IF(Compare!$H$5="All mapped",TRUE(),IF(Compare!$H$5="EXACT only",J1700="EXACT",OR(J1700="EXACT",J1700="CLOSE")))),"yes","no")</f>
        <v>yes</v>
      </c>
      <c r="AF1700" s="110" t="n">
        <f aca="false">IF(ISNUMBER(H1700),COUNTIFS($B$7:$B$3000,B1700,$C$7:$C$3000,C1700,$H$7:$H$3000,"&lt;"&amp;H1700,$AH$7:$AH$3000,"yes")+COUNTIFS($B$7:B1700,B1700,$C$7:C1700,C1700,$H$7:H1700,H1700,$AH$7:AH1700,"yes"),"")</f>
        <v>4</v>
      </c>
      <c r="AG1700" s="110" t="n">
        <f aca="false">IF(ISNUMBER(I1700),COUNTIFS($B$7:$B$3000,B1700,$C$7:$C$3000,C1700,$I$7:$I$3000,"&lt;"&amp;I1700,$AI$7:$AI$3000,"yes")+COUNTIFS($B$7:B1700,B1700,$C$7:C1700,C1700,$I$7:I1700,I1700,$AI$7:AI1700,"yes"),"")</f>
        <v>4</v>
      </c>
      <c r="AH1700" s="110" t="str">
        <f aca="false">IF(ISNUMBER(H1700),"yes","no")</f>
        <v>yes</v>
      </c>
      <c r="AI1700" s="110" t="str">
        <f aca="false">IF(ISNUMBER(I1700),"yes","no")</f>
        <v>yes</v>
      </c>
      <c r="AJ1700" s="120" t="n">
        <v>46297</v>
      </c>
      <c r="AK1700" s="110"/>
    </row>
    <row r="1701" customFormat="false" ht="23.85" hidden="false" customHeight="false" outlineLevel="0" collapsed="false">
      <c r="B1701" s="36" t="s">
        <v>96</v>
      </c>
      <c r="C1701" s="98" t="s">
        <v>14</v>
      </c>
      <c r="D1701" s="98" t="s">
        <v>403</v>
      </c>
      <c r="E1701" s="110" t="s">
        <v>5299</v>
      </c>
      <c r="F1701" s="99" t="n">
        <v>24.83</v>
      </c>
      <c r="G1701" s="98" t="s">
        <v>374</v>
      </c>
      <c r="H1701" s="112" t="n">
        <f aca="false">IF(AND(AE1701="yes",ISNUMBER(AD1701)),AD1701,"")</f>
        <v>24.83</v>
      </c>
      <c r="I1701" s="95" t="n">
        <f aca="false">IF(AND(AE1701="yes",ISNUMBER(AD1701),ISNUMBER(INDEX(Sources!$G$7:$G$10,MATCH(AB1701,Sources!$B$7:$B$10,0)))),ROUND(AD1701/INDEX(Sources!$G$7:$G$10,MATCH(AB1701,Sources!$B$7:$B$10,0)),6),"")</f>
        <v>4.704753</v>
      </c>
      <c r="J1701" s="98" t="s">
        <v>530</v>
      </c>
      <c r="K1701" s="98" t="s">
        <v>2059</v>
      </c>
      <c r="L1701" s="96"/>
      <c r="M1701" s="110" t="s">
        <v>5300</v>
      </c>
      <c r="N1701" s="117" t="s">
        <v>5301</v>
      </c>
      <c r="O1701" s="110" t="s">
        <v>388</v>
      </c>
      <c r="P1701" s="110" t="s">
        <v>590</v>
      </c>
      <c r="Q1701" s="118" t="n">
        <v>0.21</v>
      </c>
      <c r="R1701" s="110" t="n">
        <v>1</v>
      </c>
      <c r="S1701" s="110" t="s">
        <v>632</v>
      </c>
      <c r="T1701" s="110" t="s">
        <v>530</v>
      </c>
      <c r="U1701" s="110" t="s">
        <v>2913</v>
      </c>
      <c r="V1701" s="119" t="n">
        <v>24.83</v>
      </c>
      <c r="W1701" s="119"/>
      <c r="X1701" s="110" t="s">
        <v>2063</v>
      </c>
      <c r="Y1701" s="110" t="s">
        <v>2064</v>
      </c>
      <c r="Z1701" s="110"/>
      <c r="AA1701" s="110" t="s">
        <v>537</v>
      </c>
      <c r="AB1701" s="110" t="s">
        <v>374</v>
      </c>
      <c r="AC1701" s="110" t="s">
        <v>538</v>
      </c>
      <c r="AD1701" s="110" t="n">
        <f aca="false">IF(OR(F1701="",Q1701="",R1701=""),"",ROUND(IF(P1701="incl.",F1701/(1+Q1701),F1701)/IF(S1701="per pack",R1701,1),2))</f>
        <v>24.83</v>
      </c>
      <c r="AE1701" s="110" t="str">
        <f aca="false">IF(AND(AC1701="yes",ISNUMBER(F1701),IF(Compare!$H$5="All mapped",TRUE(),IF(Compare!$H$5="EXACT only",J1701="EXACT",OR(J1701="EXACT",J1701="CLOSE")))),"yes","no")</f>
        <v>yes</v>
      </c>
      <c r="AF1701" s="110" t="n">
        <f aca="false">IF(ISNUMBER(H1701),COUNTIFS($B$7:$B$3000,B1701,$C$7:$C$3000,C1701,$H$7:$H$3000,"&lt;"&amp;H1701,$AH$7:$AH$3000,"yes")+COUNTIFS($B$7:B1701,B1701,$C$7:C1701,C1701,$H$7:H1701,H1701,$AH$7:AH1701,"yes"),"")</f>
        <v>1</v>
      </c>
      <c r="AG1701" s="110" t="n">
        <f aca="false">IF(ISNUMBER(I1701),COUNTIFS($B$7:$B$3000,B1701,$C$7:$C$3000,C1701,$I$7:$I$3000,"&lt;"&amp;I1701,$AI$7:$AI$3000,"yes")+COUNTIFS($B$7:B1701,B1701,$C$7:C1701,C1701,$I$7:I1701,I1701,$AI$7:AI1701,"yes"),"")</f>
        <v>1</v>
      </c>
      <c r="AH1701" s="110" t="str">
        <f aca="false">IF(ISNUMBER(H1701),"yes","no")</f>
        <v>yes</v>
      </c>
      <c r="AI1701" s="110" t="str">
        <f aca="false">IF(ISNUMBER(I1701),"yes","no")</f>
        <v>yes</v>
      </c>
      <c r="AJ1701" s="120" t="n">
        <v>46297</v>
      </c>
      <c r="AK1701" s="110"/>
    </row>
    <row r="1702" customFormat="false" ht="23.85" hidden="false" customHeight="false" outlineLevel="0" collapsed="false">
      <c r="B1702" s="36" t="s">
        <v>96</v>
      </c>
      <c r="C1702" s="98" t="s">
        <v>14</v>
      </c>
      <c r="D1702" s="98" t="s">
        <v>403</v>
      </c>
      <c r="E1702" s="110" t="s">
        <v>5302</v>
      </c>
      <c r="F1702" s="99" t="n">
        <v>42.93</v>
      </c>
      <c r="G1702" s="98" t="s">
        <v>374</v>
      </c>
      <c r="H1702" s="112" t="n">
        <f aca="false">IF(AND(AE1702="yes",ISNUMBER(AD1702)),AD1702,"")</f>
        <v>42.93</v>
      </c>
      <c r="I1702" s="95" t="n">
        <f aca="false">IF(AND(AE1702="yes",ISNUMBER(AD1702),ISNUMBER(INDEX(Sources!$G$7:$G$10,MATCH(AB1702,Sources!$B$7:$B$10,0)))),ROUND(AD1702/INDEX(Sources!$G$7:$G$10,MATCH(AB1702,Sources!$B$7:$B$10,0)),6),"")</f>
        <v>8.134315</v>
      </c>
      <c r="J1702" s="98" t="s">
        <v>530</v>
      </c>
      <c r="K1702" s="98" t="s">
        <v>2059</v>
      </c>
      <c r="L1702" s="96"/>
      <c r="M1702" s="110" t="s">
        <v>5303</v>
      </c>
      <c r="N1702" s="117" t="s">
        <v>5304</v>
      </c>
      <c r="O1702" s="110" t="s">
        <v>662</v>
      </c>
      <c r="P1702" s="110" t="s">
        <v>590</v>
      </c>
      <c r="Q1702" s="118" t="n">
        <v>0.21</v>
      </c>
      <c r="R1702" s="110" t="n">
        <v>1</v>
      </c>
      <c r="S1702" s="110" t="s">
        <v>632</v>
      </c>
      <c r="T1702" s="110" t="s">
        <v>530</v>
      </c>
      <c r="U1702" s="110" t="s">
        <v>2913</v>
      </c>
      <c r="V1702" s="119" t="n">
        <v>42.93</v>
      </c>
      <c r="W1702" s="119"/>
      <c r="X1702" s="110" t="s">
        <v>2063</v>
      </c>
      <c r="Y1702" s="110" t="s">
        <v>2064</v>
      </c>
      <c r="Z1702" s="110"/>
      <c r="AA1702" s="110" t="s">
        <v>537</v>
      </c>
      <c r="AB1702" s="110" t="s">
        <v>374</v>
      </c>
      <c r="AC1702" s="110" t="s">
        <v>538</v>
      </c>
      <c r="AD1702" s="110" t="n">
        <f aca="false">IF(OR(F1702="",Q1702="",R1702=""),"",ROUND(IF(P1702="incl.",F1702/(1+Q1702),F1702)/IF(S1702="per pack",R1702,1),2))</f>
        <v>42.93</v>
      </c>
      <c r="AE1702" s="110" t="str">
        <f aca="false">IF(AND(AC1702="yes",ISNUMBER(F1702),IF(Compare!$H$5="All mapped",TRUE(),IF(Compare!$H$5="EXACT only",J1702="EXACT",OR(J1702="EXACT",J1702="CLOSE")))),"yes","no")</f>
        <v>yes</v>
      </c>
      <c r="AF1702" s="110" t="n">
        <f aca="false">IF(ISNUMBER(H1702),COUNTIFS($B$7:$B$3000,B1702,$C$7:$C$3000,C1702,$H$7:$H$3000,"&lt;"&amp;H1702,$AH$7:$AH$3000,"yes")+COUNTIFS($B$7:B1702,B1702,$C$7:C1702,C1702,$H$7:H1702,H1702,$AH$7:AH1702,"yes"),"")</f>
        <v>3</v>
      </c>
      <c r="AG1702" s="110" t="n">
        <f aca="false">IF(ISNUMBER(I1702),COUNTIFS($B$7:$B$3000,B1702,$C$7:$C$3000,C1702,$I$7:$I$3000,"&lt;"&amp;I1702,$AI$7:$AI$3000,"yes")+COUNTIFS($B$7:B1702,B1702,$C$7:C1702,C1702,$I$7:I1702,I1702,$AI$7:AI1702,"yes"),"")</f>
        <v>3</v>
      </c>
      <c r="AH1702" s="110" t="str">
        <f aca="false">IF(ISNUMBER(H1702),"yes","no")</f>
        <v>yes</v>
      </c>
      <c r="AI1702" s="110" t="str">
        <f aca="false">IF(ISNUMBER(I1702),"yes","no")</f>
        <v>yes</v>
      </c>
      <c r="AJ1702" s="120" t="n">
        <v>46297</v>
      </c>
      <c r="AK1702" s="110"/>
    </row>
    <row r="1703" customFormat="false" ht="23.85" hidden="false" customHeight="false" outlineLevel="0" collapsed="false">
      <c r="B1703" s="36" t="s">
        <v>96</v>
      </c>
      <c r="C1703" s="98" t="s">
        <v>14</v>
      </c>
      <c r="D1703" s="98" t="s">
        <v>403</v>
      </c>
      <c r="E1703" s="110" t="s">
        <v>5305</v>
      </c>
      <c r="F1703" s="99" t="n">
        <v>32.12</v>
      </c>
      <c r="G1703" s="98" t="s">
        <v>374</v>
      </c>
      <c r="H1703" s="112" t="n">
        <f aca="false">IF(AND(AE1703="yes",ISNUMBER(AD1703)),AD1703,"")</f>
        <v>32.12</v>
      </c>
      <c r="I1703" s="95" t="n">
        <f aca="false">IF(AND(AE1703="yes",ISNUMBER(AD1703),ISNUMBER(INDEX(Sources!$G$7:$G$10,MATCH(AB1703,Sources!$B$7:$B$10,0)))),ROUND(AD1703/INDEX(Sources!$G$7:$G$10,MATCH(AB1703,Sources!$B$7:$B$10,0)),6),"")</f>
        <v>6.086052</v>
      </c>
      <c r="J1703" s="98" t="s">
        <v>530</v>
      </c>
      <c r="K1703" s="98" t="s">
        <v>2059</v>
      </c>
      <c r="L1703" s="96"/>
      <c r="M1703" s="110" t="s">
        <v>5306</v>
      </c>
      <c r="N1703" s="117" t="s">
        <v>5307</v>
      </c>
      <c r="O1703" s="110" t="s">
        <v>388</v>
      </c>
      <c r="P1703" s="110" t="s">
        <v>590</v>
      </c>
      <c r="Q1703" s="118" t="n">
        <v>0.21</v>
      </c>
      <c r="R1703" s="110" t="n">
        <v>1</v>
      </c>
      <c r="S1703" s="110" t="s">
        <v>632</v>
      </c>
      <c r="T1703" s="110" t="s">
        <v>530</v>
      </c>
      <c r="U1703" s="110" t="s">
        <v>2913</v>
      </c>
      <c r="V1703" s="119" t="n">
        <v>32.12</v>
      </c>
      <c r="W1703" s="119"/>
      <c r="X1703" s="110" t="s">
        <v>2063</v>
      </c>
      <c r="Y1703" s="110" t="s">
        <v>2064</v>
      </c>
      <c r="Z1703" s="110"/>
      <c r="AA1703" s="110" t="s">
        <v>537</v>
      </c>
      <c r="AB1703" s="110" t="s">
        <v>374</v>
      </c>
      <c r="AC1703" s="110" t="s">
        <v>538</v>
      </c>
      <c r="AD1703" s="110" t="n">
        <f aca="false">IF(OR(F1703="",Q1703="",R1703=""),"",ROUND(IF(P1703="incl.",F1703/(1+Q1703),F1703)/IF(S1703="per pack",R1703,1),2))</f>
        <v>32.12</v>
      </c>
      <c r="AE1703" s="110" t="str">
        <f aca="false">IF(AND(AC1703="yes",ISNUMBER(F1703),IF(Compare!$H$5="All mapped",TRUE(),IF(Compare!$H$5="EXACT only",J1703="EXACT",OR(J1703="EXACT",J1703="CLOSE")))),"yes","no")</f>
        <v>yes</v>
      </c>
      <c r="AF1703" s="110" t="n">
        <f aca="false">IF(ISNUMBER(H1703),COUNTIFS($B$7:$B$3000,B1703,$C$7:$C$3000,C1703,$H$7:$H$3000,"&lt;"&amp;H1703,$AH$7:$AH$3000,"yes")+COUNTIFS($B$7:B1703,B1703,$C$7:C1703,C1703,$H$7:H1703,H1703,$AH$7:AH1703,"yes"),"")</f>
        <v>2</v>
      </c>
      <c r="AG1703" s="110" t="n">
        <f aca="false">IF(ISNUMBER(I1703),COUNTIFS($B$7:$B$3000,B1703,$C$7:$C$3000,C1703,$I$7:$I$3000,"&lt;"&amp;I1703,$AI$7:$AI$3000,"yes")+COUNTIFS($B$7:B1703,B1703,$C$7:C1703,C1703,$I$7:I1703,I1703,$AI$7:AI1703,"yes"),"")</f>
        <v>2</v>
      </c>
      <c r="AH1703" s="110" t="str">
        <f aca="false">IF(ISNUMBER(H1703),"yes","no")</f>
        <v>yes</v>
      </c>
      <c r="AI1703" s="110" t="str">
        <f aca="false">IF(ISNUMBER(I1703),"yes","no")</f>
        <v>yes</v>
      </c>
      <c r="AJ1703" s="120" t="n">
        <v>46297</v>
      </c>
      <c r="AK1703" s="110"/>
    </row>
    <row r="1704" customFormat="false" ht="35.05" hidden="false" customHeight="false" outlineLevel="0" collapsed="false">
      <c r="B1704" s="36" t="s">
        <v>96</v>
      </c>
      <c r="C1704" s="98" t="s">
        <v>15</v>
      </c>
      <c r="D1704" s="98" t="s">
        <v>243</v>
      </c>
      <c r="E1704" s="110" t="s">
        <v>5308</v>
      </c>
      <c r="F1704" s="99" t="n">
        <v>8.84</v>
      </c>
      <c r="G1704" s="98" t="s">
        <v>244</v>
      </c>
      <c r="H1704" s="112" t="n">
        <f aca="false">IF(AND(AE1704="yes",ISNUMBER(AD1704)),AD1704,"")</f>
        <v>8.84</v>
      </c>
      <c r="I1704" s="95" t="n">
        <f aca="false">IF(AND(AE1704="yes",ISNUMBER(AD1704),ISNUMBER(INDEX(Sources!$G$7:$G$10,MATCH(AB1704,Sources!$B$7:$B$10,0)))),ROUND(AD1704/INDEX(Sources!$G$7:$G$10,MATCH(AB1704,Sources!$B$7:$B$10,0)),6),"")</f>
        <v>8.84</v>
      </c>
      <c r="J1704" s="98" t="s">
        <v>530</v>
      </c>
      <c r="K1704" s="98" t="s">
        <v>2059</v>
      </c>
      <c r="L1704" s="96"/>
      <c r="M1704" s="110" t="s">
        <v>5309</v>
      </c>
      <c r="N1704" s="117" t="s">
        <v>5310</v>
      </c>
      <c r="O1704" s="110" t="s">
        <v>388</v>
      </c>
      <c r="P1704" s="110" t="s">
        <v>590</v>
      </c>
      <c r="Q1704" s="118" t="n">
        <v>0.2</v>
      </c>
      <c r="R1704" s="110" t="n">
        <v>1</v>
      </c>
      <c r="S1704" s="110" t="s">
        <v>632</v>
      </c>
      <c r="T1704" s="110" t="s">
        <v>530</v>
      </c>
      <c r="U1704" s="110" t="s">
        <v>2913</v>
      </c>
      <c r="V1704" s="119" t="n">
        <v>8.84</v>
      </c>
      <c r="W1704" s="119"/>
      <c r="X1704" s="110" t="s">
        <v>2063</v>
      </c>
      <c r="Y1704" s="110" t="s">
        <v>2064</v>
      </c>
      <c r="Z1704" s="110" t="s">
        <v>4337</v>
      </c>
      <c r="AA1704" s="110" t="s">
        <v>537</v>
      </c>
      <c r="AB1704" s="110" t="s">
        <v>244</v>
      </c>
      <c r="AC1704" s="110" t="s">
        <v>538</v>
      </c>
      <c r="AD1704" s="110" t="n">
        <f aca="false">IF(OR(F1704="",Q1704="",R1704=""),"",ROUND(IF(P1704="incl.",F1704/(1+Q1704),F1704)/IF(S1704="per pack",R1704,1),2))</f>
        <v>8.84</v>
      </c>
      <c r="AE1704" s="110" t="str">
        <f aca="false">IF(AND(AC1704="yes",ISNUMBER(F1704),IF(Compare!$H$5="All mapped",TRUE(),IF(Compare!$H$5="EXACT only",J1704="EXACT",OR(J1704="EXACT",J1704="CLOSE")))),"yes","no")</f>
        <v>yes</v>
      </c>
      <c r="AF1704" s="110" t="n">
        <f aca="false">IF(ISNUMBER(H1704),COUNTIFS($B$7:$B$3000,B1704,$C$7:$C$3000,C1704,$H$7:$H$3000,"&lt;"&amp;H1704,$AH$7:$AH$3000,"yes")+COUNTIFS($B$7:B1704,B1704,$C$7:C1704,C1704,$H$7:H1704,H1704,$AH$7:AH1704,"yes"),"")</f>
        <v>5</v>
      </c>
      <c r="AG1704" s="110" t="n">
        <f aca="false">IF(ISNUMBER(I1704),COUNTIFS($B$7:$B$3000,B1704,$C$7:$C$3000,C1704,$I$7:$I$3000,"&lt;"&amp;I1704,$AI$7:$AI$3000,"yes")+COUNTIFS($B$7:B1704,B1704,$C$7:C1704,C1704,$I$7:I1704,I1704,$AI$7:AI1704,"yes"),"")</f>
        <v>5</v>
      </c>
      <c r="AH1704" s="110" t="str">
        <f aca="false">IF(ISNUMBER(H1704),"yes","no")</f>
        <v>yes</v>
      </c>
      <c r="AI1704" s="110" t="str">
        <f aca="false">IF(ISNUMBER(I1704),"yes","no")</f>
        <v>yes</v>
      </c>
      <c r="AJ1704" s="120" t="n">
        <v>46297</v>
      </c>
      <c r="AK1704" s="110"/>
    </row>
    <row r="1705" customFormat="false" ht="23.85" hidden="false" customHeight="false" outlineLevel="0" collapsed="false">
      <c r="B1705" s="36" t="s">
        <v>96</v>
      </c>
      <c r="C1705" s="98" t="s">
        <v>15</v>
      </c>
      <c r="D1705" s="98" t="s">
        <v>257</v>
      </c>
      <c r="E1705" s="110" t="s">
        <v>5311</v>
      </c>
      <c r="F1705" s="99" t="n">
        <v>6</v>
      </c>
      <c r="G1705" s="98" t="s">
        <v>244</v>
      </c>
      <c r="H1705" s="112" t="n">
        <f aca="false">IF(AND(AE1705="yes",ISNUMBER(AD1705)),AD1705,"")</f>
        <v>6</v>
      </c>
      <c r="I1705" s="95" t="n">
        <f aca="false">IF(AND(AE1705="yes",ISNUMBER(AD1705),ISNUMBER(INDEX(Sources!$G$7:$G$10,MATCH(AB1705,Sources!$B$7:$B$10,0)))),ROUND(AD1705/INDEX(Sources!$G$7:$G$10,MATCH(AB1705,Sources!$B$7:$B$10,0)),6),"")</f>
        <v>6</v>
      </c>
      <c r="J1705" s="98" t="s">
        <v>530</v>
      </c>
      <c r="K1705" s="98" t="s">
        <v>2059</v>
      </c>
      <c r="L1705" s="96"/>
      <c r="M1705" s="110" t="s">
        <v>5312</v>
      </c>
      <c r="N1705" s="117" t="s">
        <v>5313</v>
      </c>
      <c r="O1705" s="110" t="s">
        <v>2396</v>
      </c>
      <c r="P1705" s="110" t="s">
        <v>590</v>
      </c>
      <c r="Q1705" s="118" t="n">
        <v>0.2</v>
      </c>
      <c r="R1705" s="110" t="n">
        <v>1</v>
      </c>
      <c r="S1705" s="110" t="s">
        <v>632</v>
      </c>
      <c r="T1705" s="110" t="s">
        <v>530</v>
      </c>
      <c r="U1705" s="110" t="s">
        <v>2913</v>
      </c>
      <c r="V1705" s="119" t="n">
        <v>6</v>
      </c>
      <c r="W1705" s="119"/>
      <c r="X1705" s="110" t="s">
        <v>2063</v>
      </c>
      <c r="Y1705" s="110" t="s">
        <v>2064</v>
      </c>
      <c r="Z1705" s="110" t="s">
        <v>4341</v>
      </c>
      <c r="AA1705" s="110" t="s">
        <v>537</v>
      </c>
      <c r="AB1705" s="110" t="s">
        <v>244</v>
      </c>
      <c r="AC1705" s="110" t="s">
        <v>538</v>
      </c>
      <c r="AD1705" s="110" t="n">
        <f aca="false">IF(OR(F1705="",Q1705="",R1705=""),"",ROUND(IF(P1705="incl.",F1705/(1+Q1705),F1705)/IF(S1705="per pack",R1705,1),2))</f>
        <v>6</v>
      </c>
      <c r="AE1705" s="110" t="str">
        <f aca="false">IF(AND(AC1705="yes",ISNUMBER(F1705),IF(Compare!$H$5="All mapped",TRUE(),IF(Compare!$H$5="EXACT only",J1705="EXACT",OR(J1705="EXACT",J1705="CLOSE")))),"yes","no")</f>
        <v>yes</v>
      </c>
      <c r="AF1705" s="110" t="n">
        <f aca="false">IF(ISNUMBER(H1705),COUNTIFS($B$7:$B$3000,B1705,$C$7:$C$3000,C1705,$H$7:$H$3000,"&lt;"&amp;H1705,$AH$7:$AH$3000,"yes")+COUNTIFS($B$7:B1705,B1705,$C$7:C1705,C1705,$H$7:H1705,H1705,$AH$7:AH1705,"yes"),"")</f>
        <v>4</v>
      </c>
      <c r="AG1705" s="110" t="n">
        <f aca="false">IF(ISNUMBER(I1705),COUNTIFS($B$7:$B$3000,B1705,$C$7:$C$3000,C1705,$I$7:$I$3000,"&lt;"&amp;I1705,$AI$7:$AI$3000,"yes")+COUNTIFS($B$7:B1705,B1705,$C$7:C1705,C1705,$I$7:I1705,I1705,$AI$7:AI1705,"yes"),"")</f>
        <v>4</v>
      </c>
      <c r="AH1705" s="110" t="str">
        <f aca="false">IF(ISNUMBER(H1705),"yes","no")</f>
        <v>yes</v>
      </c>
      <c r="AI1705" s="110" t="str">
        <f aca="false">IF(ISNUMBER(I1705),"yes","no")</f>
        <v>yes</v>
      </c>
      <c r="AJ1705" s="120" t="n">
        <v>46297</v>
      </c>
      <c r="AK1705" s="110"/>
    </row>
    <row r="1706" customFormat="false" ht="35.05" hidden="false" customHeight="false" outlineLevel="0" collapsed="false">
      <c r="B1706" s="36" t="s">
        <v>96</v>
      </c>
      <c r="C1706" s="98" t="s">
        <v>15</v>
      </c>
      <c r="D1706" s="98" t="s">
        <v>261</v>
      </c>
      <c r="E1706" s="110" t="s">
        <v>5314</v>
      </c>
      <c r="F1706" s="99" t="n">
        <v>5.7</v>
      </c>
      <c r="G1706" s="98" t="s">
        <v>244</v>
      </c>
      <c r="H1706" s="112" t="n">
        <f aca="false">IF(AND(AE1706="yes",ISNUMBER(AD1706)),AD1706,"")</f>
        <v>5.7</v>
      </c>
      <c r="I1706" s="95" t="n">
        <f aca="false">IF(AND(AE1706="yes",ISNUMBER(AD1706),ISNUMBER(INDEX(Sources!$G$7:$G$10,MATCH(AB1706,Sources!$B$7:$B$10,0)))),ROUND(AD1706/INDEX(Sources!$G$7:$G$10,MATCH(AB1706,Sources!$B$7:$B$10,0)),6),"")</f>
        <v>5.7</v>
      </c>
      <c r="J1706" s="98" t="s">
        <v>530</v>
      </c>
      <c r="K1706" s="98" t="s">
        <v>2059</v>
      </c>
      <c r="L1706" s="96"/>
      <c r="M1706" s="110" t="s">
        <v>5315</v>
      </c>
      <c r="N1706" s="117" t="s">
        <v>5316</v>
      </c>
      <c r="O1706" s="110"/>
      <c r="P1706" s="110" t="s">
        <v>590</v>
      </c>
      <c r="Q1706" s="118" t="n">
        <v>0.2</v>
      </c>
      <c r="R1706" s="110" t="n">
        <v>1</v>
      </c>
      <c r="S1706" s="110" t="s">
        <v>632</v>
      </c>
      <c r="T1706" s="110" t="s">
        <v>530</v>
      </c>
      <c r="U1706" s="110" t="s">
        <v>2913</v>
      </c>
      <c r="V1706" s="119" t="n">
        <v>5.7</v>
      </c>
      <c r="W1706" s="119"/>
      <c r="X1706" s="110" t="s">
        <v>2063</v>
      </c>
      <c r="Y1706" s="110" t="s">
        <v>2064</v>
      </c>
      <c r="Z1706" s="110" t="s">
        <v>4767</v>
      </c>
      <c r="AA1706" s="110" t="s">
        <v>537</v>
      </c>
      <c r="AB1706" s="110" t="s">
        <v>244</v>
      </c>
      <c r="AC1706" s="110" t="s">
        <v>538</v>
      </c>
      <c r="AD1706" s="110" t="n">
        <f aca="false">IF(OR(F1706="",Q1706="",R1706=""),"",ROUND(IF(P1706="incl.",F1706/(1+Q1706),F1706)/IF(S1706="per pack",R1706,1),2))</f>
        <v>5.7</v>
      </c>
      <c r="AE1706" s="110" t="str">
        <f aca="false">IF(AND(AC1706="yes",ISNUMBER(F1706),IF(Compare!$H$5="All mapped",TRUE(),IF(Compare!$H$5="EXACT only",J1706="EXACT",OR(J1706="EXACT",J1706="CLOSE")))),"yes","no")</f>
        <v>yes</v>
      </c>
      <c r="AF1706" s="110" t="n">
        <f aca="false">IF(ISNUMBER(H1706),COUNTIFS($B$7:$B$3000,B1706,$C$7:$C$3000,C1706,$H$7:$H$3000,"&lt;"&amp;H1706,$AH$7:$AH$3000,"yes")+COUNTIFS($B$7:B1706,B1706,$C$7:C1706,C1706,$H$7:H1706,H1706,$AH$7:AH1706,"yes"),"")</f>
        <v>2</v>
      </c>
      <c r="AG1706" s="110" t="n">
        <f aca="false">IF(ISNUMBER(I1706),COUNTIFS($B$7:$B$3000,B1706,$C$7:$C$3000,C1706,$I$7:$I$3000,"&lt;"&amp;I1706,$AI$7:$AI$3000,"yes")+COUNTIFS($B$7:B1706,B1706,$C$7:C1706,C1706,$I$7:I1706,I1706,$AI$7:AI1706,"yes"),"")</f>
        <v>2</v>
      </c>
      <c r="AH1706" s="110" t="str">
        <f aca="false">IF(ISNUMBER(H1706),"yes","no")</f>
        <v>yes</v>
      </c>
      <c r="AI1706" s="110" t="str">
        <f aca="false">IF(ISNUMBER(I1706),"yes","no")</f>
        <v>yes</v>
      </c>
      <c r="AJ1706" s="120" t="n">
        <v>46297</v>
      </c>
      <c r="AK1706" s="110"/>
    </row>
    <row r="1707" customFormat="false" ht="23.85" hidden="false" customHeight="false" outlineLevel="0" collapsed="false">
      <c r="B1707" s="36" t="s">
        <v>96</v>
      </c>
      <c r="C1707" s="98" t="s">
        <v>15</v>
      </c>
      <c r="D1707" s="98" t="s">
        <v>269</v>
      </c>
      <c r="E1707" s="110" t="s">
        <v>5317</v>
      </c>
      <c r="F1707" s="99" t="n">
        <v>11.49</v>
      </c>
      <c r="G1707" s="98" t="s">
        <v>244</v>
      </c>
      <c r="H1707" s="112" t="n">
        <f aca="false">IF(AND(AE1707="yes",ISNUMBER(AD1707)),AD1707,"")</f>
        <v>11.49</v>
      </c>
      <c r="I1707" s="95" t="n">
        <f aca="false">IF(AND(AE1707="yes",ISNUMBER(AD1707),ISNUMBER(INDEX(Sources!$G$7:$G$10,MATCH(AB1707,Sources!$B$7:$B$10,0)))),ROUND(AD1707/INDEX(Sources!$G$7:$G$10,MATCH(AB1707,Sources!$B$7:$B$10,0)),6),"")</f>
        <v>11.49</v>
      </c>
      <c r="J1707" s="98" t="s">
        <v>530</v>
      </c>
      <c r="K1707" s="98" t="s">
        <v>2059</v>
      </c>
      <c r="L1707" s="96"/>
      <c r="M1707" s="110" t="s">
        <v>5318</v>
      </c>
      <c r="N1707" s="117" t="s">
        <v>5319</v>
      </c>
      <c r="O1707" s="110" t="s">
        <v>589</v>
      </c>
      <c r="P1707" s="110" t="s">
        <v>590</v>
      </c>
      <c r="Q1707" s="118" t="n">
        <v>0.19</v>
      </c>
      <c r="R1707" s="110" t="n">
        <v>1</v>
      </c>
      <c r="S1707" s="110" t="s">
        <v>632</v>
      </c>
      <c r="T1707" s="110" t="s">
        <v>530</v>
      </c>
      <c r="U1707" s="110" t="s">
        <v>2913</v>
      </c>
      <c r="V1707" s="119" t="n">
        <v>11.49</v>
      </c>
      <c r="W1707" s="119"/>
      <c r="X1707" s="110" t="s">
        <v>2063</v>
      </c>
      <c r="Y1707" s="110" t="s">
        <v>2064</v>
      </c>
      <c r="Z1707" s="110" t="s">
        <v>4345</v>
      </c>
      <c r="AA1707" s="110" t="s">
        <v>537</v>
      </c>
      <c r="AB1707" s="110" t="s">
        <v>244</v>
      </c>
      <c r="AC1707" s="110" t="s">
        <v>538</v>
      </c>
      <c r="AD1707" s="110" t="n">
        <f aca="false">IF(OR(F1707="",Q1707="",R1707=""),"",ROUND(IF(P1707="incl.",F1707/(1+Q1707),F1707)/IF(S1707="per pack",R1707,1),2))</f>
        <v>11.49</v>
      </c>
      <c r="AE1707" s="110" t="str">
        <f aca="false">IF(AND(AC1707="yes",ISNUMBER(F1707),IF(Compare!$H$5="All mapped",TRUE(),IF(Compare!$H$5="EXACT only",J1707="EXACT",OR(J1707="EXACT",J1707="CLOSE")))),"yes","no")</f>
        <v>yes</v>
      </c>
      <c r="AF1707" s="110" t="n">
        <f aca="false">IF(ISNUMBER(H1707),COUNTIFS($B$7:$B$3000,B1707,$C$7:$C$3000,C1707,$H$7:$H$3000,"&lt;"&amp;H1707,$AH$7:$AH$3000,"yes")+COUNTIFS($B$7:B1707,B1707,$C$7:C1707,C1707,$H$7:H1707,H1707,$AH$7:AH1707,"yes"),"")</f>
        <v>6</v>
      </c>
      <c r="AG1707" s="110" t="n">
        <f aca="false">IF(ISNUMBER(I1707),COUNTIFS($B$7:$B$3000,B1707,$C$7:$C$3000,C1707,$I$7:$I$3000,"&lt;"&amp;I1707,$AI$7:$AI$3000,"yes")+COUNTIFS($B$7:B1707,B1707,$C$7:C1707,C1707,$I$7:I1707,I1707,$AI$7:AI1707,"yes"),"")</f>
        <v>6</v>
      </c>
      <c r="AH1707" s="110" t="str">
        <f aca="false">IF(ISNUMBER(H1707),"yes","no")</f>
        <v>yes</v>
      </c>
      <c r="AI1707" s="110" t="str">
        <f aca="false">IF(ISNUMBER(I1707),"yes","no")</f>
        <v>yes</v>
      </c>
      <c r="AJ1707" s="120" t="n">
        <v>46297</v>
      </c>
      <c r="AK1707" s="110"/>
    </row>
    <row r="1708" customFormat="false" ht="23.85" hidden="false" customHeight="false" outlineLevel="0" collapsed="false">
      <c r="B1708" s="36" t="s">
        <v>96</v>
      </c>
      <c r="C1708" s="98" t="s">
        <v>15</v>
      </c>
      <c r="D1708" s="98" t="s">
        <v>264</v>
      </c>
      <c r="E1708" s="110" t="s">
        <v>5320</v>
      </c>
      <c r="F1708" s="99" t="n">
        <v>21.06</v>
      </c>
      <c r="G1708" s="98" t="s">
        <v>244</v>
      </c>
      <c r="H1708" s="112" t="n">
        <f aca="false">IF(AND(AE1708="yes",ISNUMBER(AD1708)),AD1708,"")</f>
        <v>21.06</v>
      </c>
      <c r="I1708" s="95" t="n">
        <f aca="false">IF(AND(AE1708="yes",ISNUMBER(AD1708),ISNUMBER(INDEX(Sources!$G$7:$G$10,MATCH(AB1708,Sources!$B$7:$B$10,0)))),ROUND(AD1708/INDEX(Sources!$G$7:$G$10,MATCH(AB1708,Sources!$B$7:$B$10,0)),6),"")</f>
        <v>21.06</v>
      </c>
      <c r="J1708" s="98" t="s">
        <v>530</v>
      </c>
      <c r="K1708" s="98" t="s">
        <v>2059</v>
      </c>
      <c r="L1708" s="96"/>
      <c r="M1708" s="110" t="s">
        <v>5321</v>
      </c>
      <c r="N1708" s="117" t="s">
        <v>5322</v>
      </c>
      <c r="O1708" s="110" t="s">
        <v>388</v>
      </c>
      <c r="P1708" s="110" t="s">
        <v>590</v>
      </c>
      <c r="Q1708" s="118" t="n">
        <v>0.19</v>
      </c>
      <c r="R1708" s="110" t="n">
        <v>1</v>
      </c>
      <c r="S1708" s="110" t="s">
        <v>632</v>
      </c>
      <c r="T1708" s="110" t="s">
        <v>530</v>
      </c>
      <c r="U1708" s="110" t="s">
        <v>2913</v>
      </c>
      <c r="V1708" s="119" t="n">
        <v>21.06</v>
      </c>
      <c r="W1708" s="119"/>
      <c r="X1708" s="110" t="s">
        <v>2063</v>
      </c>
      <c r="Y1708" s="110" t="s">
        <v>2064</v>
      </c>
      <c r="Z1708" s="110"/>
      <c r="AA1708" s="110" t="s">
        <v>537</v>
      </c>
      <c r="AB1708" s="110" t="s">
        <v>244</v>
      </c>
      <c r="AC1708" s="110" t="s">
        <v>538</v>
      </c>
      <c r="AD1708" s="110" t="n">
        <f aca="false">IF(OR(F1708="",Q1708="",R1708=""),"",ROUND(IF(P1708="incl.",F1708/(1+Q1708),F1708)/IF(S1708="per pack",R1708,1),2))</f>
        <v>21.06</v>
      </c>
      <c r="AE1708" s="110" t="str">
        <f aca="false">IF(AND(AC1708="yes",ISNUMBER(F1708),IF(Compare!$H$5="All mapped",TRUE(),IF(Compare!$H$5="EXACT only",J1708="EXACT",OR(J1708="EXACT",J1708="CLOSE")))),"yes","no")</f>
        <v>yes</v>
      </c>
      <c r="AF1708" s="110" t="n">
        <f aca="false">IF(ISNUMBER(H1708),COUNTIFS($B$7:$B$3000,B1708,$C$7:$C$3000,C1708,$H$7:$H$3000,"&lt;"&amp;H1708,$AH$7:$AH$3000,"yes")+COUNTIFS($B$7:B1708,B1708,$C$7:C1708,C1708,$H$7:H1708,H1708,$AH$7:AH1708,"yes"),"")</f>
        <v>7</v>
      </c>
      <c r="AG1708" s="110" t="n">
        <f aca="false">IF(ISNUMBER(I1708),COUNTIFS($B$7:$B$3000,B1708,$C$7:$C$3000,C1708,$I$7:$I$3000,"&lt;"&amp;I1708,$AI$7:$AI$3000,"yes")+COUNTIFS($B$7:B1708,B1708,$C$7:C1708,C1708,$I$7:I1708,I1708,$AI$7:AI1708,"yes"),"")</f>
        <v>7</v>
      </c>
      <c r="AH1708" s="110" t="str">
        <f aca="false">IF(ISNUMBER(H1708),"yes","no")</f>
        <v>yes</v>
      </c>
      <c r="AI1708" s="110" t="str">
        <f aca="false">IF(ISNUMBER(I1708),"yes","no")</f>
        <v>yes</v>
      </c>
      <c r="AJ1708" s="120" t="n">
        <v>46297</v>
      </c>
      <c r="AK1708" s="110"/>
    </row>
    <row r="1709" customFormat="false" ht="35.05" hidden="false" customHeight="false" outlineLevel="0" collapsed="false">
      <c r="B1709" s="36" t="s">
        <v>96</v>
      </c>
      <c r="C1709" s="98" t="s">
        <v>15</v>
      </c>
      <c r="D1709" s="98" t="s">
        <v>281</v>
      </c>
      <c r="E1709" s="110" t="s">
        <v>5323</v>
      </c>
      <c r="F1709" s="99" t="n">
        <v>5.82</v>
      </c>
      <c r="G1709" s="98" t="s">
        <v>244</v>
      </c>
      <c r="H1709" s="112" t="n">
        <f aca="false">IF(AND(AE1709="yes",ISNUMBER(AD1709)),AD1709,"")</f>
        <v>5.82</v>
      </c>
      <c r="I1709" s="95" t="n">
        <f aca="false">IF(AND(AE1709="yes",ISNUMBER(AD1709),ISNUMBER(INDEX(Sources!$G$7:$G$10,MATCH(AB1709,Sources!$B$7:$B$10,0)))),ROUND(AD1709/INDEX(Sources!$G$7:$G$10,MATCH(AB1709,Sources!$B$7:$B$10,0)),6),"")</f>
        <v>5.82</v>
      </c>
      <c r="J1709" s="98" t="s">
        <v>530</v>
      </c>
      <c r="K1709" s="98" t="s">
        <v>2059</v>
      </c>
      <c r="L1709" s="96"/>
      <c r="M1709" s="110" t="s">
        <v>5324</v>
      </c>
      <c r="N1709" s="117" t="s">
        <v>5325</v>
      </c>
      <c r="O1709" s="110" t="s">
        <v>603</v>
      </c>
      <c r="P1709" s="110" t="s">
        <v>590</v>
      </c>
      <c r="Q1709" s="118" t="n">
        <v>0.2</v>
      </c>
      <c r="R1709" s="110" t="n">
        <v>1</v>
      </c>
      <c r="S1709" s="110" t="s">
        <v>632</v>
      </c>
      <c r="T1709" s="110" t="s">
        <v>530</v>
      </c>
      <c r="U1709" s="110" t="s">
        <v>2913</v>
      </c>
      <c r="V1709" s="119" t="n">
        <v>5.82</v>
      </c>
      <c r="W1709" s="119"/>
      <c r="X1709" s="110" t="s">
        <v>2063</v>
      </c>
      <c r="Y1709" s="110" t="s">
        <v>2064</v>
      </c>
      <c r="Z1709" s="110" t="s">
        <v>2125</v>
      </c>
      <c r="AA1709" s="110" t="s">
        <v>537</v>
      </c>
      <c r="AB1709" s="110" t="s">
        <v>244</v>
      </c>
      <c r="AC1709" s="110" t="s">
        <v>538</v>
      </c>
      <c r="AD1709" s="110" t="n">
        <f aca="false">IF(OR(F1709="",Q1709="",R1709=""),"",ROUND(IF(P1709="incl.",F1709/(1+Q1709),F1709)/IF(S1709="per pack",R1709,1),2))</f>
        <v>5.82</v>
      </c>
      <c r="AE1709" s="110" t="str">
        <f aca="false">IF(AND(AC1709="yes",ISNUMBER(F1709),IF(Compare!$H$5="All mapped",TRUE(),IF(Compare!$H$5="EXACT only",J1709="EXACT",OR(J1709="EXACT",J1709="CLOSE")))),"yes","no")</f>
        <v>yes</v>
      </c>
      <c r="AF1709" s="110" t="n">
        <f aca="false">IF(ISNUMBER(H1709),COUNTIFS($B$7:$B$3000,B1709,$C$7:$C$3000,C1709,$H$7:$H$3000,"&lt;"&amp;H1709,$AH$7:$AH$3000,"yes")+COUNTIFS($B$7:B1709,B1709,$C$7:C1709,C1709,$H$7:H1709,H1709,$AH$7:AH1709,"yes"),"")</f>
        <v>3</v>
      </c>
      <c r="AG1709" s="110" t="n">
        <f aca="false">IF(ISNUMBER(I1709),COUNTIFS($B$7:$B$3000,B1709,$C$7:$C$3000,C1709,$I$7:$I$3000,"&lt;"&amp;I1709,$AI$7:$AI$3000,"yes")+COUNTIFS($B$7:B1709,B1709,$C$7:C1709,C1709,$I$7:I1709,I1709,$AI$7:AI1709,"yes"),"")</f>
        <v>3</v>
      </c>
      <c r="AH1709" s="110" t="str">
        <f aca="false">IF(ISNUMBER(H1709),"yes","no")</f>
        <v>yes</v>
      </c>
      <c r="AI1709" s="110" t="str">
        <f aca="false">IF(ISNUMBER(I1709),"yes","no")</f>
        <v>yes</v>
      </c>
      <c r="AJ1709" s="120" t="n">
        <v>46297</v>
      </c>
      <c r="AK1709" s="110"/>
    </row>
    <row r="1710" customFormat="false" ht="35.05" hidden="false" customHeight="false" outlineLevel="0" collapsed="false">
      <c r="B1710" s="36" t="s">
        <v>96</v>
      </c>
      <c r="C1710" s="98" t="s">
        <v>15</v>
      </c>
      <c r="D1710" s="98" t="s">
        <v>293</v>
      </c>
      <c r="E1710" s="110" t="s">
        <v>5326</v>
      </c>
      <c r="F1710" s="99" t="n">
        <v>4.9</v>
      </c>
      <c r="G1710" s="98" t="s">
        <v>244</v>
      </c>
      <c r="H1710" s="112" t="n">
        <f aca="false">IF(AND(AE1710="yes",ISNUMBER(AD1710)),AD1710,"")</f>
        <v>4.9</v>
      </c>
      <c r="I1710" s="95" t="n">
        <f aca="false">IF(AND(AE1710="yes",ISNUMBER(AD1710),ISNUMBER(INDEX(Sources!$G$7:$G$10,MATCH(AB1710,Sources!$B$7:$B$10,0)))),ROUND(AD1710/INDEX(Sources!$G$7:$G$10,MATCH(AB1710,Sources!$B$7:$B$10,0)),6),"")</f>
        <v>4.9</v>
      </c>
      <c r="J1710" s="98" t="s">
        <v>530</v>
      </c>
      <c r="K1710" s="98" t="s">
        <v>2059</v>
      </c>
      <c r="L1710" s="96"/>
      <c r="M1710" s="110" t="s">
        <v>5327</v>
      </c>
      <c r="N1710" s="117" t="s">
        <v>5328</v>
      </c>
      <c r="O1710" s="110" t="s">
        <v>4358</v>
      </c>
      <c r="P1710" s="110" t="s">
        <v>590</v>
      </c>
      <c r="Q1710" s="118" t="n">
        <v>0.2</v>
      </c>
      <c r="R1710" s="110" t="n">
        <v>1</v>
      </c>
      <c r="S1710" s="110" t="s">
        <v>632</v>
      </c>
      <c r="T1710" s="110" t="s">
        <v>530</v>
      </c>
      <c r="U1710" s="110" t="s">
        <v>2913</v>
      </c>
      <c r="V1710" s="119" t="n">
        <v>4.9</v>
      </c>
      <c r="W1710" s="119"/>
      <c r="X1710" s="110" t="s">
        <v>2063</v>
      </c>
      <c r="Y1710" s="110" t="s">
        <v>2064</v>
      </c>
      <c r="Z1710" s="110"/>
      <c r="AA1710" s="110" t="s">
        <v>537</v>
      </c>
      <c r="AB1710" s="110" t="s">
        <v>244</v>
      </c>
      <c r="AC1710" s="110" t="s">
        <v>538</v>
      </c>
      <c r="AD1710" s="110" t="n">
        <f aca="false">IF(OR(F1710="",Q1710="",R1710=""),"",ROUND(IF(P1710="incl.",F1710/(1+Q1710),F1710)/IF(S1710="per pack",R1710,1),2))</f>
        <v>4.9</v>
      </c>
      <c r="AE1710" s="110" t="str">
        <f aca="false">IF(AND(AC1710="yes",ISNUMBER(F1710),IF(Compare!$H$5="All mapped",TRUE(),IF(Compare!$H$5="EXACT only",J1710="EXACT",OR(J1710="EXACT",J1710="CLOSE")))),"yes","no")</f>
        <v>yes</v>
      </c>
      <c r="AF1710" s="110" t="n">
        <f aca="false">IF(ISNUMBER(H1710),COUNTIFS($B$7:$B$3000,B1710,$C$7:$C$3000,C1710,$H$7:$H$3000,"&lt;"&amp;H1710,$AH$7:$AH$3000,"yes")+COUNTIFS($B$7:B1710,B1710,$C$7:C1710,C1710,$H$7:H1710,H1710,$AH$7:AH1710,"yes"),"")</f>
        <v>1</v>
      </c>
      <c r="AG1710" s="110" t="n">
        <f aca="false">IF(ISNUMBER(I1710),COUNTIFS($B$7:$B$3000,B1710,$C$7:$C$3000,C1710,$I$7:$I$3000,"&lt;"&amp;I1710,$AI$7:$AI$3000,"yes")+COUNTIFS($B$7:B1710,B1710,$C$7:C1710,C1710,$I$7:I1710,I1710,$AI$7:AI1710,"yes"),"")</f>
        <v>1</v>
      </c>
      <c r="AH1710" s="110" t="str">
        <f aca="false">IF(ISNUMBER(H1710),"yes","no")</f>
        <v>yes</v>
      </c>
      <c r="AI1710" s="110" t="str">
        <f aca="false">IF(ISNUMBER(I1710),"yes","no")</f>
        <v>yes</v>
      </c>
      <c r="AJ1710" s="120" t="n">
        <v>46297</v>
      </c>
      <c r="AK1710" s="110"/>
    </row>
    <row r="1711" customFormat="false" ht="23.85" hidden="false" customHeight="false" outlineLevel="0" collapsed="false">
      <c r="B1711" s="36" t="s">
        <v>96</v>
      </c>
      <c r="C1711" s="98" t="s">
        <v>16</v>
      </c>
      <c r="D1711" s="98" t="s">
        <v>296</v>
      </c>
      <c r="E1711" s="110" t="s">
        <v>5308</v>
      </c>
      <c r="F1711" s="99" t="n">
        <v>8.84</v>
      </c>
      <c r="G1711" s="98" t="s">
        <v>244</v>
      </c>
      <c r="H1711" s="112" t="n">
        <f aca="false">IF(AND(AE1711="yes",ISNUMBER(AD1711)),AD1711,"")</f>
        <v>8.84</v>
      </c>
      <c r="I1711" s="95" t="n">
        <f aca="false">IF(AND(AE1711="yes",ISNUMBER(AD1711),ISNUMBER(INDEX(Sources!$G$7:$G$10,MATCH(AB1711,Sources!$B$7:$B$10,0)))),ROUND(AD1711/INDEX(Sources!$G$7:$G$10,MATCH(AB1711,Sources!$B$7:$B$10,0)),6),"")</f>
        <v>8.84</v>
      </c>
      <c r="J1711" s="98" t="s">
        <v>530</v>
      </c>
      <c r="K1711" s="98" t="s">
        <v>2059</v>
      </c>
      <c r="L1711" s="96"/>
      <c r="M1711" s="110" t="s">
        <v>5329</v>
      </c>
      <c r="N1711" s="117" t="s">
        <v>5330</v>
      </c>
      <c r="O1711" s="110" t="s">
        <v>388</v>
      </c>
      <c r="P1711" s="110" t="s">
        <v>590</v>
      </c>
      <c r="Q1711" s="118" t="n">
        <v>0.19</v>
      </c>
      <c r="R1711" s="110" t="n">
        <v>1</v>
      </c>
      <c r="S1711" s="110" t="s">
        <v>632</v>
      </c>
      <c r="T1711" s="110" t="s">
        <v>530</v>
      </c>
      <c r="U1711" s="110" t="s">
        <v>2913</v>
      </c>
      <c r="V1711" s="119" t="n">
        <v>8.84</v>
      </c>
      <c r="W1711" s="119"/>
      <c r="X1711" s="110" t="s">
        <v>2063</v>
      </c>
      <c r="Y1711" s="110" t="s">
        <v>2064</v>
      </c>
      <c r="Z1711" s="110" t="s">
        <v>2065</v>
      </c>
      <c r="AA1711" s="110" t="s">
        <v>537</v>
      </c>
      <c r="AB1711" s="110" t="s">
        <v>244</v>
      </c>
      <c r="AC1711" s="110" t="s">
        <v>538</v>
      </c>
      <c r="AD1711" s="110" t="n">
        <f aca="false">IF(OR(F1711="",Q1711="",R1711=""),"",ROUND(IF(P1711="incl.",F1711/(1+Q1711),F1711)/IF(S1711="per pack",R1711,1),2))</f>
        <v>8.84</v>
      </c>
      <c r="AE1711" s="110" t="str">
        <f aca="false">IF(AND(AC1711="yes",ISNUMBER(F1711),IF(Compare!$H$5="All mapped",TRUE(),IF(Compare!$H$5="EXACT only",J1711="EXACT",OR(J1711="EXACT",J1711="CLOSE")))),"yes","no")</f>
        <v>yes</v>
      </c>
      <c r="AF1711" s="110" t="n">
        <f aca="false">IF(ISNUMBER(H1711),COUNTIFS($B$7:$B$3000,B1711,$C$7:$C$3000,C1711,$H$7:$H$3000,"&lt;"&amp;H1711,$AH$7:$AH$3000,"yes")+COUNTIFS($B$7:B1711,B1711,$C$7:C1711,C1711,$H$7:H1711,H1711,$AH$7:AH1711,"yes"),"")</f>
        <v>5</v>
      </c>
      <c r="AG1711" s="110" t="n">
        <f aca="false">IF(ISNUMBER(I1711),COUNTIFS($B$7:$B$3000,B1711,$C$7:$C$3000,C1711,$I$7:$I$3000,"&lt;"&amp;I1711,$AI$7:$AI$3000,"yes")+COUNTIFS($B$7:B1711,B1711,$C$7:C1711,C1711,$I$7:I1711,I1711,$AI$7:AI1711,"yes"),"")</f>
        <v>5</v>
      </c>
      <c r="AH1711" s="110" t="str">
        <f aca="false">IF(ISNUMBER(H1711),"yes","no")</f>
        <v>yes</v>
      </c>
      <c r="AI1711" s="110" t="str">
        <f aca="false">IF(ISNUMBER(I1711),"yes","no")</f>
        <v>yes</v>
      </c>
      <c r="AJ1711" s="120" t="n">
        <v>46297</v>
      </c>
      <c r="AK1711" s="110"/>
    </row>
    <row r="1712" customFormat="false" ht="23.85" hidden="false" customHeight="false" outlineLevel="0" collapsed="false">
      <c r="B1712" s="36" t="s">
        <v>96</v>
      </c>
      <c r="C1712" s="98" t="s">
        <v>16</v>
      </c>
      <c r="D1712" s="98" t="s">
        <v>305</v>
      </c>
      <c r="E1712" s="110" t="s">
        <v>5331</v>
      </c>
      <c r="F1712" s="99" t="n">
        <v>5.07</v>
      </c>
      <c r="G1712" s="98" t="s">
        <v>244</v>
      </c>
      <c r="H1712" s="112" t="n">
        <f aca="false">IF(AND(AE1712="yes",ISNUMBER(AD1712)),AD1712,"")</f>
        <v>5.07</v>
      </c>
      <c r="I1712" s="95" t="n">
        <f aca="false">IF(AND(AE1712="yes",ISNUMBER(AD1712),ISNUMBER(INDEX(Sources!$G$7:$G$10,MATCH(AB1712,Sources!$B$7:$B$10,0)))),ROUND(AD1712/INDEX(Sources!$G$7:$G$10,MATCH(AB1712,Sources!$B$7:$B$10,0)),6),"")</f>
        <v>5.07</v>
      </c>
      <c r="J1712" s="98" t="s">
        <v>530</v>
      </c>
      <c r="K1712" s="98" t="s">
        <v>2059</v>
      </c>
      <c r="L1712" s="96"/>
      <c r="M1712" s="110" t="s">
        <v>5332</v>
      </c>
      <c r="N1712" s="117" t="s">
        <v>5333</v>
      </c>
      <c r="O1712" s="110" t="s">
        <v>603</v>
      </c>
      <c r="P1712" s="110" t="s">
        <v>590</v>
      </c>
      <c r="Q1712" s="118" t="n">
        <v>0.19</v>
      </c>
      <c r="R1712" s="110" t="n">
        <v>1</v>
      </c>
      <c r="S1712" s="110" t="s">
        <v>632</v>
      </c>
      <c r="T1712" s="110" t="s">
        <v>530</v>
      </c>
      <c r="U1712" s="110" t="s">
        <v>2913</v>
      </c>
      <c r="V1712" s="119" t="n">
        <v>5.07</v>
      </c>
      <c r="W1712" s="119"/>
      <c r="X1712" s="110" t="s">
        <v>2063</v>
      </c>
      <c r="Y1712" s="110" t="s">
        <v>2064</v>
      </c>
      <c r="Z1712" s="110" t="s">
        <v>2142</v>
      </c>
      <c r="AA1712" s="110" t="s">
        <v>537</v>
      </c>
      <c r="AB1712" s="110" t="s">
        <v>244</v>
      </c>
      <c r="AC1712" s="110" t="s">
        <v>538</v>
      </c>
      <c r="AD1712" s="110" t="n">
        <f aca="false">IF(OR(F1712="",Q1712="",R1712=""),"",ROUND(IF(P1712="incl.",F1712/(1+Q1712),F1712)/IF(S1712="per pack",R1712,1),2))</f>
        <v>5.07</v>
      </c>
      <c r="AE1712" s="110" t="str">
        <f aca="false">IF(AND(AC1712="yes",ISNUMBER(F1712),IF(Compare!$H$5="All mapped",TRUE(),IF(Compare!$H$5="EXACT only",J1712="EXACT",OR(J1712="EXACT",J1712="CLOSE")))),"yes","no")</f>
        <v>yes</v>
      </c>
      <c r="AF1712" s="110" t="n">
        <f aca="false">IF(ISNUMBER(H1712),COUNTIFS($B$7:$B$3000,B1712,$C$7:$C$3000,C1712,$H$7:$H$3000,"&lt;"&amp;H1712,$AH$7:$AH$3000,"yes")+COUNTIFS($B$7:B1712,B1712,$C$7:C1712,C1712,$H$7:H1712,H1712,$AH$7:AH1712,"yes"),"")</f>
        <v>1</v>
      </c>
      <c r="AG1712" s="110" t="n">
        <f aca="false">IF(ISNUMBER(I1712),COUNTIFS($B$7:$B$3000,B1712,$C$7:$C$3000,C1712,$I$7:$I$3000,"&lt;"&amp;I1712,$AI$7:$AI$3000,"yes")+COUNTIFS($B$7:B1712,B1712,$C$7:C1712,C1712,$I$7:I1712,I1712,$AI$7:AI1712,"yes"),"")</f>
        <v>1</v>
      </c>
      <c r="AH1712" s="110" t="str">
        <f aca="false">IF(ISNUMBER(H1712),"yes","no")</f>
        <v>yes</v>
      </c>
      <c r="AI1712" s="110" t="str">
        <f aca="false">IF(ISNUMBER(I1712),"yes","no")</f>
        <v>yes</v>
      </c>
      <c r="AJ1712" s="120" t="n">
        <v>46297</v>
      </c>
      <c r="AK1712" s="110"/>
    </row>
    <row r="1713" customFormat="false" ht="23.85" hidden="false" customHeight="false" outlineLevel="0" collapsed="false">
      <c r="B1713" s="36" t="s">
        <v>96</v>
      </c>
      <c r="C1713" s="98" t="s">
        <v>16</v>
      </c>
      <c r="D1713" s="98" t="s">
        <v>311</v>
      </c>
      <c r="E1713" s="110" t="s">
        <v>5317</v>
      </c>
      <c r="F1713" s="99" t="n">
        <v>5.59</v>
      </c>
      <c r="G1713" s="98" t="s">
        <v>244</v>
      </c>
      <c r="H1713" s="112" t="n">
        <f aca="false">IF(AND(AE1713="yes",ISNUMBER(AD1713)),AD1713,"")</f>
        <v>5.59</v>
      </c>
      <c r="I1713" s="95" t="n">
        <f aca="false">IF(AND(AE1713="yes",ISNUMBER(AD1713),ISNUMBER(INDEX(Sources!$G$7:$G$10,MATCH(AB1713,Sources!$B$7:$B$10,0)))),ROUND(AD1713/INDEX(Sources!$G$7:$G$10,MATCH(AB1713,Sources!$B$7:$B$10,0)),6),"")</f>
        <v>5.59</v>
      </c>
      <c r="J1713" s="98" t="s">
        <v>530</v>
      </c>
      <c r="K1713" s="98" t="s">
        <v>2059</v>
      </c>
      <c r="L1713" s="96"/>
      <c r="M1713" s="110" t="s">
        <v>5334</v>
      </c>
      <c r="N1713" s="117" t="s">
        <v>5335</v>
      </c>
      <c r="O1713" s="110" t="s">
        <v>589</v>
      </c>
      <c r="P1713" s="110" t="s">
        <v>590</v>
      </c>
      <c r="Q1713" s="118" t="n">
        <v>0.19</v>
      </c>
      <c r="R1713" s="110" t="n">
        <v>1</v>
      </c>
      <c r="S1713" s="110" t="s">
        <v>632</v>
      </c>
      <c r="T1713" s="110" t="s">
        <v>530</v>
      </c>
      <c r="U1713" s="110" t="s">
        <v>2913</v>
      </c>
      <c r="V1713" s="119" t="n">
        <v>5.59</v>
      </c>
      <c r="W1713" s="119"/>
      <c r="X1713" s="110" t="s">
        <v>2063</v>
      </c>
      <c r="Y1713" s="110" t="s">
        <v>2064</v>
      </c>
      <c r="Z1713" s="110" t="s">
        <v>4369</v>
      </c>
      <c r="AA1713" s="110" t="s">
        <v>537</v>
      </c>
      <c r="AB1713" s="110" t="s">
        <v>244</v>
      </c>
      <c r="AC1713" s="110" t="s">
        <v>538</v>
      </c>
      <c r="AD1713" s="110" t="n">
        <f aca="false">IF(OR(F1713="",Q1713="",R1713=""),"",ROUND(IF(P1713="incl.",F1713/(1+Q1713),F1713)/IF(S1713="per pack",R1713,1),2))</f>
        <v>5.59</v>
      </c>
      <c r="AE1713" s="110" t="str">
        <f aca="false">IF(AND(AC1713="yes",ISNUMBER(F1713),IF(Compare!$H$5="All mapped",TRUE(),IF(Compare!$H$5="EXACT only",J1713="EXACT",OR(J1713="EXACT",J1713="CLOSE")))),"yes","no")</f>
        <v>yes</v>
      </c>
      <c r="AF1713" s="110" t="n">
        <f aca="false">IF(ISNUMBER(H1713),COUNTIFS($B$7:$B$3000,B1713,$C$7:$C$3000,C1713,$H$7:$H$3000,"&lt;"&amp;H1713,$AH$7:$AH$3000,"yes")+COUNTIFS($B$7:B1713,B1713,$C$7:C1713,C1713,$H$7:H1713,H1713,$AH$7:AH1713,"yes"),"")</f>
        <v>2</v>
      </c>
      <c r="AG1713" s="110" t="n">
        <f aca="false">IF(ISNUMBER(I1713),COUNTIFS($B$7:$B$3000,B1713,$C$7:$C$3000,C1713,$I$7:$I$3000,"&lt;"&amp;I1713,$AI$7:$AI$3000,"yes")+COUNTIFS($B$7:B1713,B1713,$C$7:C1713,C1713,$I$7:I1713,I1713,$AI$7:AI1713,"yes"),"")</f>
        <v>2</v>
      </c>
      <c r="AH1713" s="110" t="str">
        <f aca="false">IF(ISNUMBER(H1713),"yes","no")</f>
        <v>yes</v>
      </c>
      <c r="AI1713" s="110" t="str">
        <f aca="false">IF(ISNUMBER(I1713),"yes","no")</f>
        <v>yes</v>
      </c>
      <c r="AJ1713" s="120" t="n">
        <v>46297</v>
      </c>
      <c r="AK1713" s="110"/>
    </row>
    <row r="1714" customFormat="false" ht="23.85" hidden="false" customHeight="false" outlineLevel="0" collapsed="false">
      <c r="B1714" s="36" t="s">
        <v>96</v>
      </c>
      <c r="C1714" s="98" t="s">
        <v>16</v>
      </c>
      <c r="D1714" s="98" t="s">
        <v>309</v>
      </c>
      <c r="E1714" s="110" t="s">
        <v>5336</v>
      </c>
      <c r="F1714" s="99" t="n">
        <v>14.4</v>
      </c>
      <c r="G1714" s="98" t="s">
        <v>244</v>
      </c>
      <c r="H1714" s="112" t="n">
        <f aca="false">IF(AND(AE1714="yes",ISNUMBER(AD1714)),AD1714,"")</f>
        <v>14.4</v>
      </c>
      <c r="I1714" s="95" t="n">
        <f aca="false">IF(AND(AE1714="yes",ISNUMBER(AD1714),ISNUMBER(INDEX(Sources!$G$7:$G$10,MATCH(AB1714,Sources!$B$7:$B$10,0)))),ROUND(AD1714/INDEX(Sources!$G$7:$G$10,MATCH(AB1714,Sources!$B$7:$B$10,0)),6),"")</f>
        <v>14.4</v>
      </c>
      <c r="J1714" s="98" t="s">
        <v>530</v>
      </c>
      <c r="K1714" s="98" t="s">
        <v>2059</v>
      </c>
      <c r="L1714" s="96"/>
      <c r="M1714" s="110" t="s">
        <v>5337</v>
      </c>
      <c r="N1714" s="117" t="s">
        <v>5338</v>
      </c>
      <c r="O1714" s="110" t="s">
        <v>603</v>
      </c>
      <c r="P1714" s="110" t="s">
        <v>590</v>
      </c>
      <c r="Q1714" s="118" t="n">
        <v>0.19</v>
      </c>
      <c r="R1714" s="110" t="n">
        <v>1</v>
      </c>
      <c r="S1714" s="110" t="s">
        <v>632</v>
      </c>
      <c r="T1714" s="110" t="s">
        <v>530</v>
      </c>
      <c r="U1714" s="110" t="s">
        <v>2913</v>
      </c>
      <c r="V1714" s="119" t="n">
        <v>14.4</v>
      </c>
      <c r="W1714" s="119"/>
      <c r="X1714" s="110" t="s">
        <v>2063</v>
      </c>
      <c r="Y1714" s="110" t="s">
        <v>2064</v>
      </c>
      <c r="Z1714" s="110" t="s">
        <v>4373</v>
      </c>
      <c r="AA1714" s="110" t="s">
        <v>537</v>
      </c>
      <c r="AB1714" s="110" t="s">
        <v>244</v>
      </c>
      <c r="AC1714" s="110" t="s">
        <v>538</v>
      </c>
      <c r="AD1714" s="110" t="n">
        <f aca="false">IF(OR(F1714="",Q1714="",R1714=""),"",ROUND(IF(P1714="incl.",F1714/(1+Q1714),F1714)/IF(S1714="per pack",R1714,1),2))</f>
        <v>14.4</v>
      </c>
      <c r="AE1714" s="110" t="str">
        <f aca="false">IF(AND(AC1714="yes",ISNUMBER(F1714),IF(Compare!$H$5="All mapped",TRUE(),IF(Compare!$H$5="EXACT only",J1714="EXACT",OR(J1714="EXACT",J1714="CLOSE")))),"yes","no")</f>
        <v>yes</v>
      </c>
      <c r="AF1714" s="110" t="n">
        <f aca="false">IF(ISNUMBER(H1714),COUNTIFS($B$7:$B$3000,B1714,$C$7:$C$3000,C1714,$H$7:$H$3000,"&lt;"&amp;H1714,$AH$7:$AH$3000,"yes")+COUNTIFS($B$7:B1714,B1714,$C$7:C1714,C1714,$H$7:H1714,H1714,$AH$7:AH1714,"yes"),"")</f>
        <v>6</v>
      </c>
      <c r="AG1714" s="110" t="n">
        <f aca="false">IF(ISNUMBER(I1714),COUNTIFS($B$7:$B$3000,B1714,$C$7:$C$3000,C1714,$I$7:$I$3000,"&lt;"&amp;I1714,$AI$7:$AI$3000,"yes")+COUNTIFS($B$7:B1714,B1714,$C$7:C1714,C1714,$I$7:I1714,I1714,$AI$7:AI1714,"yes"),"")</f>
        <v>6</v>
      </c>
      <c r="AH1714" s="110" t="str">
        <f aca="false">IF(ISNUMBER(H1714),"yes","no")</f>
        <v>yes</v>
      </c>
      <c r="AI1714" s="110" t="str">
        <f aca="false">IF(ISNUMBER(I1714),"yes","no")</f>
        <v>yes</v>
      </c>
      <c r="AJ1714" s="120" t="n">
        <v>46297</v>
      </c>
      <c r="AK1714" s="110"/>
    </row>
    <row r="1715" customFormat="false" ht="23.85" hidden="false" customHeight="false" outlineLevel="0" collapsed="false">
      <c r="B1715" s="36" t="s">
        <v>96</v>
      </c>
      <c r="C1715" s="98" t="s">
        <v>16</v>
      </c>
      <c r="D1715" s="98" t="s">
        <v>309</v>
      </c>
      <c r="E1715" s="110" t="s">
        <v>5339</v>
      </c>
      <c r="F1715" s="99" t="n">
        <v>5.96</v>
      </c>
      <c r="G1715" s="98" t="s">
        <v>244</v>
      </c>
      <c r="H1715" s="112" t="n">
        <f aca="false">IF(AND(AE1715="yes",ISNUMBER(AD1715)),AD1715,"")</f>
        <v>5.96</v>
      </c>
      <c r="I1715" s="95" t="n">
        <f aca="false">IF(AND(AE1715="yes",ISNUMBER(AD1715),ISNUMBER(INDEX(Sources!$G$7:$G$10,MATCH(AB1715,Sources!$B$7:$B$10,0)))),ROUND(AD1715/INDEX(Sources!$G$7:$G$10,MATCH(AB1715,Sources!$B$7:$B$10,0)),6),"")</f>
        <v>5.96</v>
      </c>
      <c r="J1715" s="98" t="s">
        <v>530</v>
      </c>
      <c r="K1715" s="98" t="s">
        <v>2059</v>
      </c>
      <c r="L1715" s="96"/>
      <c r="M1715" s="110" t="s">
        <v>5340</v>
      </c>
      <c r="N1715" s="117" t="s">
        <v>5341</v>
      </c>
      <c r="O1715" s="110" t="s">
        <v>646</v>
      </c>
      <c r="P1715" s="110" t="s">
        <v>590</v>
      </c>
      <c r="Q1715" s="118" t="n">
        <v>0.19</v>
      </c>
      <c r="R1715" s="110" t="n">
        <v>1</v>
      </c>
      <c r="S1715" s="110" t="s">
        <v>632</v>
      </c>
      <c r="T1715" s="110" t="s">
        <v>530</v>
      </c>
      <c r="U1715" s="110" t="s">
        <v>2913</v>
      </c>
      <c r="V1715" s="119" t="n">
        <v>5.96</v>
      </c>
      <c r="W1715" s="119"/>
      <c r="X1715" s="110" t="s">
        <v>2063</v>
      </c>
      <c r="Y1715" s="110" t="s">
        <v>2064</v>
      </c>
      <c r="Z1715" s="110" t="s">
        <v>5342</v>
      </c>
      <c r="AA1715" s="110" t="s">
        <v>537</v>
      </c>
      <c r="AB1715" s="110" t="s">
        <v>244</v>
      </c>
      <c r="AC1715" s="110" t="s">
        <v>538</v>
      </c>
      <c r="AD1715" s="110" t="n">
        <f aca="false">IF(OR(F1715="",Q1715="",R1715=""),"",ROUND(IF(P1715="incl.",F1715/(1+Q1715),F1715)/IF(S1715="per pack",R1715,1),2))</f>
        <v>5.96</v>
      </c>
      <c r="AE1715" s="110" t="str">
        <f aca="false">IF(AND(AC1715="yes",ISNUMBER(F1715),IF(Compare!$H$5="All mapped",TRUE(),IF(Compare!$H$5="EXACT only",J1715="EXACT",OR(J1715="EXACT",J1715="CLOSE")))),"yes","no")</f>
        <v>yes</v>
      </c>
      <c r="AF1715" s="110" t="n">
        <f aca="false">IF(ISNUMBER(H1715),COUNTIFS($B$7:$B$3000,B1715,$C$7:$C$3000,C1715,$H$7:$H$3000,"&lt;"&amp;H1715,$AH$7:$AH$3000,"yes")+COUNTIFS($B$7:B1715,B1715,$C$7:C1715,C1715,$H$7:H1715,H1715,$AH$7:AH1715,"yes"),"")</f>
        <v>4</v>
      </c>
      <c r="AG1715" s="110" t="n">
        <f aca="false">IF(ISNUMBER(I1715),COUNTIFS($B$7:$B$3000,B1715,$C$7:$C$3000,C1715,$I$7:$I$3000,"&lt;"&amp;I1715,$AI$7:$AI$3000,"yes")+COUNTIFS($B$7:B1715,B1715,$C$7:C1715,C1715,$I$7:I1715,I1715,$AI$7:AI1715,"yes"),"")</f>
        <v>4</v>
      </c>
      <c r="AH1715" s="110" t="str">
        <f aca="false">IF(ISNUMBER(H1715),"yes","no")</f>
        <v>yes</v>
      </c>
      <c r="AI1715" s="110" t="str">
        <f aca="false">IF(ISNUMBER(I1715),"yes","no")</f>
        <v>yes</v>
      </c>
      <c r="AJ1715" s="120" t="n">
        <v>46297</v>
      </c>
      <c r="AK1715" s="110"/>
    </row>
    <row r="1716" customFormat="false" ht="23.85" hidden="false" customHeight="false" outlineLevel="0" collapsed="false">
      <c r="B1716" s="36" t="s">
        <v>96</v>
      </c>
      <c r="C1716" s="98" t="s">
        <v>16</v>
      </c>
      <c r="D1716" s="98" t="s">
        <v>321</v>
      </c>
      <c r="E1716" s="110" t="s">
        <v>5323</v>
      </c>
      <c r="F1716" s="99" t="n">
        <v>5.82</v>
      </c>
      <c r="G1716" s="98" t="s">
        <v>244</v>
      </c>
      <c r="H1716" s="112" t="n">
        <f aca="false">IF(AND(AE1716="yes",ISNUMBER(AD1716)),AD1716,"")</f>
        <v>5.82</v>
      </c>
      <c r="I1716" s="95" t="n">
        <f aca="false">IF(AND(AE1716="yes",ISNUMBER(AD1716),ISNUMBER(INDEX(Sources!$G$7:$G$10,MATCH(AB1716,Sources!$B$7:$B$10,0)))),ROUND(AD1716/INDEX(Sources!$G$7:$G$10,MATCH(AB1716,Sources!$B$7:$B$10,0)),6),"")</f>
        <v>5.82</v>
      </c>
      <c r="J1716" s="98" t="s">
        <v>530</v>
      </c>
      <c r="K1716" s="98" t="s">
        <v>2059</v>
      </c>
      <c r="L1716" s="96"/>
      <c r="M1716" s="110" t="s">
        <v>5343</v>
      </c>
      <c r="N1716" s="117" t="s">
        <v>5344</v>
      </c>
      <c r="O1716" s="110" t="s">
        <v>603</v>
      </c>
      <c r="P1716" s="110" t="s">
        <v>590</v>
      </c>
      <c r="Q1716" s="118" t="n">
        <v>0.19</v>
      </c>
      <c r="R1716" s="110" t="n">
        <v>1</v>
      </c>
      <c r="S1716" s="110" t="s">
        <v>632</v>
      </c>
      <c r="T1716" s="110" t="s">
        <v>530</v>
      </c>
      <c r="U1716" s="110" t="s">
        <v>2913</v>
      </c>
      <c r="V1716" s="119" t="n">
        <v>5.82</v>
      </c>
      <c r="W1716" s="119"/>
      <c r="X1716" s="110" t="s">
        <v>2063</v>
      </c>
      <c r="Y1716" s="110" t="s">
        <v>2064</v>
      </c>
      <c r="Z1716" s="110" t="s">
        <v>2857</v>
      </c>
      <c r="AA1716" s="110" t="s">
        <v>537</v>
      </c>
      <c r="AB1716" s="110" t="s">
        <v>244</v>
      </c>
      <c r="AC1716" s="110" t="s">
        <v>538</v>
      </c>
      <c r="AD1716" s="110" t="n">
        <f aca="false">IF(OR(F1716="",Q1716="",R1716=""),"",ROUND(IF(P1716="incl.",F1716/(1+Q1716),F1716)/IF(S1716="per pack",R1716,1),2))</f>
        <v>5.82</v>
      </c>
      <c r="AE1716" s="110" t="str">
        <f aca="false">IF(AND(AC1716="yes",ISNUMBER(F1716),IF(Compare!$H$5="All mapped",TRUE(),IF(Compare!$H$5="EXACT only",J1716="EXACT",OR(J1716="EXACT",J1716="CLOSE")))),"yes","no")</f>
        <v>yes</v>
      </c>
      <c r="AF1716" s="110" t="n">
        <f aca="false">IF(ISNUMBER(H1716),COUNTIFS($B$7:$B$3000,B1716,$C$7:$C$3000,C1716,$H$7:$H$3000,"&lt;"&amp;H1716,$AH$7:$AH$3000,"yes")+COUNTIFS($B$7:B1716,B1716,$C$7:C1716,C1716,$H$7:H1716,H1716,$AH$7:AH1716,"yes"),"")</f>
        <v>3</v>
      </c>
      <c r="AG1716" s="110" t="n">
        <f aca="false">IF(ISNUMBER(I1716),COUNTIFS($B$7:$B$3000,B1716,$C$7:$C$3000,C1716,$I$7:$I$3000,"&lt;"&amp;I1716,$AI$7:$AI$3000,"yes")+COUNTIFS($B$7:B1716,B1716,$C$7:C1716,C1716,$I$7:I1716,I1716,$AI$7:AI1716,"yes"),"")</f>
        <v>3</v>
      </c>
      <c r="AH1716" s="110" t="str">
        <f aca="false">IF(ISNUMBER(H1716),"yes","no")</f>
        <v>yes</v>
      </c>
      <c r="AI1716" s="110" t="str">
        <f aca="false">IF(ISNUMBER(I1716),"yes","no")</f>
        <v>yes</v>
      </c>
      <c r="AJ1716" s="120" t="n">
        <v>46297</v>
      </c>
      <c r="AK1716" s="110"/>
    </row>
    <row r="1717" customFormat="false" ht="46.25" hidden="false" customHeight="false" outlineLevel="0" collapsed="false">
      <c r="B1717" s="36" t="s">
        <v>96</v>
      </c>
      <c r="C1717" s="98" t="s">
        <v>17</v>
      </c>
      <c r="D1717" s="98" t="s">
        <v>338</v>
      </c>
      <c r="E1717" s="110" t="s">
        <v>5345</v>
      </c>
      <c r="F1717" s="99" t="n">
        <v>190</v>
      </c>
      <c r="G1717" s="98" t="s">
        <v>333</v>
      </c>
      <c r="H1717" s="112" t="n">
        <f aca="false">IF(AND(AE1717="yes",ISNUMBER(AD1717)),AD1717,"")</f>
        <v>157.02</v>
      </c>
      <c r="I1717" s="95" t="n">
        <f aca="false">IF(AND(AE1717="yes",ISNUMBER(AD1717),ISNUMBER(INDEX(Sources!$G$7:$G$10,MATCH(AB1717,Sources!$B$7:$B$10,0)))),ROUND(AD1717/INDEX(Sources!$G$7:$G$10,MATCH(AB1717,Sources!$B$7:$B$10,0)),6),"")</f>
        <v>6.429024</v>
      </c>
      <c r="J1717" s="98" t="s">
        <v>702</v>
      </c>
      <c r="K1717" s="98" t="s">
        <v>2059</v>
      </c>
      <c r="L1717" s="96"/>
      <c r="M1717" s="110" t="s">
        <v>5346</v>
      </c>
      <c r="N1717" s="117" t="s">
        <v>5347</v>
      </c>
      <c r="O1717" s="110" t="s">
        <v>388</v>
      </c>
      <c r="P1717" s="110" t="s">
        <v>265</v>
      </c>
      <c r="Q1717" s="118" t="n">
        <v>0.21</v>
      </c>
      <c r="R1717" s="110" t="n">
        <v>1</v>
      </c>
      <c r="S1717" s="110" t="s">
        <v>632</v>
      </c>
      <c r="T1717" s="110" t="s">
        <v>702</v>
      </c>
      <c r="U1717" s="110" t="s">
        <v>2918</v>
      </c>
      <c r="V1717" s="119" t="n">
        <v>157.02</v>
      </c>
      <c r="W1717" s="119"/>
      <c r="X1717" s="110" t="s">
        <v>2063</v>
      </c>
      <c r="Y1717" s="110" t="s">
        <v>2064</v>
      </c>
      <c r="Z1717" s="110" t="s">
        <v>4387</v>
      </c>
      <c r="AA1717" s="110" t="s">
        <v>537</v>
      </c>
      <c r="AB1717" s="110" t="s">
        <v>333</v>
      </c>
      <c r="AC1717" s="110" t="s">
        <v>538</v>
      </c>
      <c r="AD1717" s="110" t="n">
        <f aca="false">IF(OR(F1717="",Q1717="",R1717=""),"",ROUND(IF(P1717="incl.",F1717/(1+Q1717),F1717)/IF(S1717="per pack",R1717,1),2))</f>
        <v>157.02</v>
      </c>
      <c r="AE1717" s="110" t="str">
        <f aca="false">IF(AND(AC1717="yes",ISNUMBER(F1717),IF(Compare!$H$5="All mapped",TRUE(),IF(Compare!$H$5="EXACT only",J1717="EXACT",OR(J1717="EXACT",J1717="CLOSE")))),"yes","no")</f>
        <v>yes</v>
      </c>
      <c r="AF1717" s="110" t="n">
        <f aca="false">IF(ISNUMBER(H1717),COUNTIFS($B$7:$B$3000,B1717,$C$7:$C$3000,C1717,$H$7:$H$3000,"&lt;"&amp;H1717,$AH$7:$AH$3000,"yes")+COUNTIFS($B$7:B1717,B1717,$C$7:C1717,C1717,$H$7:H1717,H1717,$AH$7:AH1717,"yes"),"")</f>
        <v>3</v>
      </c>
      <c r="AG1717" s="110" t="n">
        <f aca="false">IF(ISNUMBER(I1717),COUNTIFS($B$7:$B$3000,B1717,$C$7:$C$3000,C1717,$I$7:$I$3000,"&lt;"&amp;I1717,$AI$7:$AI$3000,"yes")+COUNTIFS($B$7:B1717,B1717,$C$7:C1717,C1717,$I$7:I1717,I1717,$AI$7:AI1717,"yes"),"")</f>
        <v>3</v>
      </c>
      <c r="AH1717" s="110" t="str">
        <f aca="false">IF(ISNUMBER(H1717),"yes","no")</f>
        <v>yes</v>
      </c>
      <c r="AI1717" s="110" t="str">
        <f aca="false">IF(ISNUMBER(I1717),"yes","no")</f>
        <v>yes</v>
      </c>
      <c r="AJ1717" s="120" t="n">
        <v>46297</v>
      </c>
      <c r="AK1717" s="110"/>
    </row>
    <row r="1718" customFormat="false" ht="35.05" hidden="false" customHeight="false" outlineLevel="0" collapsed="false">
      <c r="B1718" s="36" t="s">
        <v>96</v>
      </c>
      <c r="C1718" s="98" t="s">
        <v>17</v>
      </c>
      <c r="D1718" s="98" t="s">
        <v>342</v>
      </c>
      <c r="E1718" s="110" t="s">
        <v>5348</v>
      </c>
      <c r="F1718" s="99" t="n">
        <v>237</v>
      </c>
      <c r="G1718" s="98" t="s">
        <v>333</v>
      </c>
      <c r="H1718" s="112" t="n">
        <f aca="false">IF(AND(AE1718="yes",ISNUMBER(AD1718)),AD1718,"")</f>
        <v>237</v>
      </c>
      <c r="I1718" s="95" t="n">
        <f aca="false">IF(AND(AE1718="yes",ISNUMBER(AD1718),ISNUMBER(INDEX(Sources!$G$7:$G$10,MATCH(AB1718,Sources!$B$7:$B$10,0)))),ROUND(AD1718/INDEX(Sources!$G$7:$G$10,MATCH(AB1718,Sources!$B$7:$B$10,0)),6),"")</f>
        <v>9.703723</v>
      </c>
      <c r="J1718" s="98" t="s">
        <v>530</v>
      </c>
      <c r="K1718" s="98" t="s">
        <v>2059</v>
      </c>
      <c r="L1718" s="96"/>
      <c r="M1718" s="110" t="s">
        <v>5349</v>
      </c>
      <c r="N1718" s="117" t="s">
        <v>5350</v>
      </c>
      <c r="O1718" s="110" t="s">
        <v>388</v>
      </c>
      <c r="P1718" s="110" t="s">
        <v>590</v>
      </c>
      <c r="Q1718" s="118" t="n">
        <v>0.21</v>
      </c>
      <c r="R1718" s="110" t="n">
        <v>1</v>
      </c>
      <c r="S1718" s="110" t="s">
        <v>632</v>
      </c>
      <c r="T1718" s="110" t="s">
        <v>530</v>
      </c>
      <c r="U1718" s="110" t="s">
        <v>2913</v>
      </c>
      <c r="V1718" s="119" t="n">
        <v>237</v>
      </c>
      <c r="W1718" s="119"/>
      <c r="X1718" s="110" t="s">
        <v>2063</v>
      </c>
      <c r="Y1718" s="110" t="s">
        <v>2064</v>
      </c>
      <c r="Z1718" s="110" t="s">
        <v>4391</v>
      </c>
      <c r="AA1718" s="110" t="s">
        <v>537</v>
      </c>
      <c r="AB1718" s="110" t="s">
        <v>333</v>
      </c>
      <c r="AC1718" s="110" t="s">
        <v>538</v>
      </c>
      <c r="AD1718" s="110" t="n">
        <f aca="false">IF(OR(F1718="",Q1718="",R1718=""),"",ROUND(IF(P1718="incl.",F1718/(1+Q1718),F1718)/IF(S1718="per pack",R1718,1),2))</f>
        <v>237</v>
      </c>
      <c r="AE1718" s="110" t="str">
        <f aca="false">IF(AND(AC1718="yes",ISNUMBER(F1718),IF(Compare!$H$5="All mapped",TRUE(),IF(Compare!$H$5="EXACT only",J1718="EXACT",OR(J1718="EXACT",J1718="CLOSE")))),"yes","no")</f>
        <v>yes</v>
      </c>
      <c r="AF1718" s="110" t="n">
        <f aca="false">IF(ISNUMBER(H1718),COUNTIFS($B$7:$B$3000,B1718,$C$7:$C$3000,C1718,$H$7:$H$3000,"&lt;"&amp;H1718,$AH$7:$AH$3000,"yes")+COUNTIFS($B$7:B1718,B1718,$C$7:C1718,C1718,$H$7:H1718,H1718,$AH$7:AH1718,"yes"),"")</f>
        <v>4</v>
      </c>
      <c r="AG1718" s="110" t="n">
        <f aca="false">IF(ISNUMBER(I1718),COUNTIFS($B$7:$B$3000,B1718,$C$7:$C$3000,C1718,$I$7:$I$3000,"&lt;"&amp;I1718,$AI$7:$AI$3000,"yes")+COUNTIFS($B$7:B1718,B1718,$C$7:C1718,C1718,$I$7:I1718,I1718,$AI$7:AI1718,"yes"),"")</f>
        <v>4</v>
      </c>
      <c r="AH1718" s="110" t="str">
        <f aca="false">IF(ISNUMBER(H1718),"yes","no")</f>
        <v>yes</v>
      </c>
      <c r="AI1718" s="110" t="str">
        <f aca="false">IF(ISNUMBER(I1718),"yes","no")</f>
        <v>yes</v>
      </c>
      <c r="AJ1718" s="120" t="n">
        <v>46297</v>
      </c>
      <c r="AK1718" s="110"/>
    </row>
    <row r="1719" customFormat="false" ht="35.05" hidden="false" customHeight="false" outlineLevel="0" collapsed="false">
      <c r="B1719" s="36" t="s">
        <v>96</v>
      </c>
      <c r="C1719" s="98" t="s">
        <v>17</v>
      </c>
      <c r="D1719" s="98" t="s">
        <v>346</v>
      </c>
      <c r="E1719" s="110" t="s">
        <v>5351</v>
      </c>
      <c r="F1719" s="99" t="n">
        <v>260</v>
      </c>
      <c r="G1719" s="98" t="s">
        <v>333</v>
      </c>
      <c r="H1719" s="112" t="n">
        <f aca="false">IF(AND(AE1719="yes",ISNUMBER(AD1719)),AD1719,"")</f>
        <v>260</v>
      </c>
      <c r="I1719" s="95" t="n">
        <f aca="false">IF(AND(AE1719="yes",ISNUMBER(AD1719),ISNUMBER(INDEX(Sources!$G$7:$G$10,MATCH(AB1719,Sources!$B$7:$B$10,0)))),ROUND(AD1719/INDEX(Sources!$G$7:$G$10,MATCH(AB1719,Sources!$B$7:$B$10,0)),6),"")</f>
        <v>10.645434</v>
      </c>
      <c r="J1719" s="98" t="s">
        <v>530</v>
      </c>
      <c r="K1719" s="98" t="s">
        <v>2059</v>
      </c>
      <c r="L1719" s="96"/>
      <c r="M1719" s="110" t="s">
        <v>5352</v>
      </c>
      <c r="N1719" s="117" t="s">
        <v>5353</v>
      </c>
      <c r="O1719" s="110" t="s">
        <v>662</v>
      </c>
      <c r="P1719" s="110" t="s">
        <v>590</v>
      </c>
      <c r="Q1719" s="118" t="n">
        <v>0.21</v>
      </c>
      <c r="R1719" s="110" t="n">
        <v>1</v>
      </c>
      <c r="S1719" s="110" t="s">
        <v>632</v>
      </c>
      <c r="T1719" s="110" t="s">
        <v>530</v>
      </c>
      <c r="U1719" s="110" t="s">
        <v>2913</v>
      </c>
      <c r="V1719" s="119" t="n">
        <v>260</v>
      </c>
      <c r="W1719" s="119"/>
      <c r="X1719" s="110" t="s">
        <v>2063</v>
      </c>
      <c r="Y1719" s="110" t="s">
        <v>2064</v>
      </c>
      <c r="Z1719" s="110" t="s">
        <v>4395</v>
      </c>
      <c r="AA1719" s="110" t="s">
        <v>537</v>
      </c>
      <c r="AB1719" s="110" t="s">
        <v>333</v>
      </c>
      <c r="AC1719" s="110" t="s">
        <v>538</v>
      </c>
      <c r="AD1719" s="110" t="n">
        <f aca="false">IF(OR(F1719="",Q1719="",R1719=""),"",ROUND(IF(P1719="incl.",F1719/(1+Q1719),F1719)/IF(S1719="per pack",R1719,1),2))</f>
        <v>260</v>
      </c>
      <c r="AE1719" s="110" t="str">
        <f aca="false">IF(AND(AC1719="yes",ISNUMBER(F1719),IF(Compare!$H$5="All mapped",TRUE(),IF(Compare!$H$5="EXACT only",J1719="EXACT",OR(J1719="EXACT",J1719="CLOSE")))),"yes","no")</f>
        <v>yes</v>
      </c>
      <c r="AF1719" s="110" t="n">
        <f aca="false">IF(ISNUMBER(H1719),COUNTIFS($B$7:$B$3000,B1719,$C$7:$C$3000,C1719,$H$7:$H$3000,"&lt;"&amp;H1719,$AH$7:$AH$3000,"yes")+COUNTIFS($B$7:B1719,B1719,$C$7:C1719,C1719,$H$7:H1719,H1719,$AH$7:AH1719,"yes"),"")</f>
        <v>5</v>
      </c>
      <c r="AG1719" s="110" t="n">
        <f aca="false">IF(ISNUMBER(I1719),COUNTIFS($B$7:$B$3000,B1719,$C$7:$C$3000,C1719,$I$7:$I$3000,"&lt;"&amp;I1719,$AI$7:$AI$3000,"yes")+COUNTIFS($B$7:B1719,B1719,$C$7:C1719,C1719,$I$7:I1719,I1719,$AI$7:AI1719,"yes"),"")</f>
        <v>5</v>
      </c>
      <c r="AH1719" s="110" t="str">
        <f aca="false">IF(ISNUMBER(H1719),"yes","no")</f>
        <v>yes</v>
      </c>
      <c r="AI1719" s="110" t="str">
        <f aca="false">IF(ISNUMBER(I1719),"yes","no")</f>
        <v>yes</v>
      </c>
      <c r="AJ1719" s="120" t="n">
        <v>46297</v>
      </c>
      <c r="AK1719" s="110"/>
    </row>
    <row r="1720" customFormat="false" ht="23.85" hidden="false" customHeight="false" outlineLevel="0" collapsed="false">
      <c r="B1720" s="36" t="s">
        <v>96</v>
      </c>
      <c r="C1720" s="98" t="s">
        <v>17</v>
      </c>
      <c r="D1720" s="98" t="s">
        <v>350</v>
      </c>
      <c r="E1720" s="110" t="s">
        <v>5354</v>
      </c>
      <c r="F1720" s="99" t="n">
        <v>106</v>
      </c>
      <c r="G1720" s="98" t="s">
        <v>333</v>
      </c>
      <c r="H1720" s="112" t="n">
        <f aca="false">IF(AND(AE1720="yes",ISNUMBER(AD1720)),AD1720,"")</f>
        <v>87.6</v>
      </c>
      <c r="I1720" s="95" t="n">
        <f aca="false">IF(AND(AE1720="yes",ISNUMBER(AD1720),ISNUMBER(INDEX(Sources!$G$7:$G$10,MATCH(AB1720,Sources!$B$7:$B$10,0)))),ROUND(AD1720/INDEX(Sources!$G$7:$G$10,MATCH(AB1720,Sources!$B$7:$B$10,0)),6),"")</f>
        <v>3.586693</v>
      </c>
      <c r="J1720" s="98" t="s">
        <v>530</v>
      </c>
      <c r="K1720" s="98" t="s">
        <v>2059</v>
      </c>
      <c r="L1720" s="96"/>
      <c r="M1720" s="110" t="s">
        <v>5355</v>
      </c>
      <c r="N1720" s="117" t="s">
        <v>5356</v>
      </c>
      <c r="O1720" s="110" t="s">
        <v>2452</v>
      </c>
      <c r="P1720" s="110" t="s">
        <v>265</v>
      </c>
      <c r="Q1720" s="118" t="n">
        <v>0.21</v>
      </c>
      <c r="R1720" s="110" t="n">
        <v>1</v>
      </c>
      <c r="S1720" s="110" t="s">
        <v>632</v>
      </c>
      <c r="T1720" s="110" t="s">
        <v>530</v>
      </c>
      <c r="U1720" s="110" t="s">
        <v>2918</v>
      </c>
      <c r="V1720" s="119" t="n">
        <v>87.6</v>
      </c>
      <c r="W1720" s="119"/>
      <c r="X1720" s="110" t="s">
        <v>2063</v>
      </c>
      <c r="Y1720" s="110" t="s">
        <v>2064</v>
      </c>
      <c r="Z1720" s="110" t="s">
        <v>2349</v>
      </c>
      <c r="AA1720" s="110" t="s">
        <v>537</v>
      </c>
      <c r="AB1720" s="110" t="s">
        <v>333</v>
      </c>
      <c r="AC1720" s="110" t="s">
        <v>538</v>
      </c>
      <c r="AD1720" s="110" t="n">
        <f aca="false">IF(OR(F1720="",Q1720="",R1720=""),"",ROUND(IF(P1720="incl.",F1720/(1+Q1720),F1720)/IF(S1720="per pack",R1720,1),2))</f>
        <v>87.6</v>
      </c>
      <c r="AE1720" s="110" t="str">
        <f aca="false">IF(AND(AC1720="yes",ISNUMBER(F1720),IF(Compare!$H$5="All mapped",TRUE(),IF(Compare!$H$5="EXACT only",J1720="EXACT",OR(J1720="EXACT",J1720="CLOSE")))),"yes","no")</f>
        <v>yes</v>
      </c>
      <c r="AF1720" s="110" t="n">
        <f aca="false">IF(ISNUMBER(H1720),COUNTIFS($B$7:$B$3000,B1720,$C$7:$C$3000,C1720,$H$7:$H$3000,"&lt;"&amp;H1720,$AH$7:$AH$3000,"yes")+COUNTIFS($B$7:B1720,B1720,$C$7:C1720,C1720,$H$7:H1720,H1720,$AH$7:AH1720,"yes"),"")</f>
        <v>1</v>
      </c>
      <c r="AG1720" s="110" t="n">
        <f aca="false">IF(ISNUMBER(I1720),COUNTIFS($B$7:$B$3000,B1720,$C$7:$C$3000,C1720,$I$7:$I$3000,"&lt;"&amp;I1720,$AI$7:$AI$3000,"yes")+COUNTIFS($B$7:B1720,B1720,$C$7:C1720,C1720,$I$7:I1720,I1720,$AI$7:AI1720,"yes"),"")</f>
        <v>1</v>
      </c>
      <c r="AH1720" s="110" t="str">
        <f aca="false">IF(ISNUMBER(H1720),"yes","no")</f>
        <v>yes</v>
      </c>
      <c r="AI1720" s="110" t="str">
        <f aca="false">IF(ISNUMBER(I1720),"yes","no")</f>
        <v>yes</v>
      </c>
      <c r="AJ1720" s="120" t="n">
        <v>46297</v>
      </c>
      <c r="AK1720" s="110"/>
    </row>
    <row r="1721" customFormat="false" ht="35.05" hidden="false" customHeight="false" outlineLevel="0" collapsed="false">
      <c r="B1721" s="36" t="s">
        <v>96</v>
      </c>
      <c r="C1721" s="98" t="s">
        <v>17</v>
      </c>
      <c r="D1721" s="98" t="s">
        <v>357</v>
      </c>
      <c r="E1721" s="110" t="s">
        <v>5357</v>
      </c>
      <c r="F1721" s="99" t="n">
        <v>164</v>
      </c>
      <c r="G1721" s="98" t="s">
        <v>333</v>
      </c>
      <c r="H1721" s="112" t="n">
        <f aca="false">IF(AND(AE1721="yes",ISNUMBER(AD1721)),AD1721,"")</f>
        <v>135.54</v>
      </c>
      <c r="I1721" s="95" t="n">
        <f aca="false">IF(AND(AE1721="yes",ISNUMBER(AD1721),ISNUMBER(INDEX(Sources!$G$7:$G$10,MATCH(AB1721,Sources!$B$7:$B$10,0)))),ROUND(AD1721/INDEX(Sources!$G$7:$G$10,MATCH(AB1721,Sources!$B$7:$B$10,0)),6),"")</f>
        <v>5.549547</v>
      </c>
      <c r="J1721" s="98" t="s">
        <v>530</v>
      </c>
      <c r="K1721" s="98" t="s">
        <v>2059</v>
      </c>
      <c r="L1721" s="96"/>
      <c r="M1721" s="110" t="s">
        <v>5358</v>
      </c>
      <c r="N1721" s="117" t="s">
        <v>5359</v>
      </c>
      <c r="O1721" s="110" t="s">
        <v>388</v>
      </c>
      <c r="P1721" s="110" t="s">
        <v>265</v>
      </c>
      <c r="Q1721" s="118" t="n">
        <v>0.21</v>
      </c>
      <c r="R1721" s="110" t="n">
        <v>1</v>
      </c>
      <c r="S1721" s="110" t="s">
        <v>632</v>
      </c>
      <c r="T1721" s="110" t="s">
        <v>530</v>
      </c>
      <c r="U1721" s="110" t="s">
        <v>2918</v>
      </c>
      <c r="V1721" s="119" t="n">
        <v>135.54</v>
      </c>
      <c r="W1721" s="119"/>
      <c r="X1721" s="110" t="s">
        <v>2063</v>
      </c>
      <c r="Y1721" s="110" t="s">
        <v>2064</v>
      </c>
      <c r="Z1721" s="110"/>
      <c r="AA1721" s="110" t="s">
        <v>537</v>
      </c>
      <c r="AB1721" s="110" t="s">
        <v>333</v>
      </c>
      <c r="AC1721" s="110" t="s">
        <v>538</v>
      </c>
      <c r="AD1721" s="110" t="n">
        <f aca="false">IF(OR(F1721="",Q1721="",R1721=""),"",ROUND(IF(P1721="incl.",F1721/(1+Q1721),F1721)/IF(S1721="per pack",R1721,1),2))</f>
        <v>135.54</v>
      </c>
      <c r="AE1721" s="110" t="str">
        <f aca="false">IF(AND(AC1721="yes",ISNUMBER(F1721),IF(Compare!$H$5="All mapped",TRUE(),IF(Compare!$H$5="EXACT only",J1721="EXACT",OR(J1721="EXACT",J1721="CLOSE")))),"yes","no")</f>
        <v>yes</v>
      </c>
      <c r="AF1721" s="110" t="n">
        <f aca="false">IF(ISNUMBER(H1721),COUNTIFS($B$7:$B$3000,B1721,$C$7:$C$3000,C1721,$H$7:$H$3000,"&lt;"&amp;H1721,$AH$7:$AH$3000,"yes")+COUNTIFS($B$7:B1721,B1721,$C$7:C1721,C1721,$H$7:H1721,H1721,$AH$7:AH1721,"yes"),"")</f>
        <v>2</v>
      </c>
      <c r="AG1721" s="110" t="n">
        <f aca="false">IF(ISNUMBER(I1721),COUNTIFS($B$7:$B$3000,B1721,$C$7:$C$3000,C1721,$I$7:$I$3000,"&lt;"&amp;I1721,$AI$7:$AI$3000,"yes")+COUNTIFS($B$7:B1721,B1721,$C$7:C1721,C1721,$I$7:I1721,I1721,$AI$7:AI1721,"yes"),"")</f>
        <v>2</v>
      </c>
      <c r="AH1721" s="110" t="str">
        <f aca="false">IF(ISNUMBER(H1721),"yes","no")</f>
        <v>yes</v>
      </c>
      <c r="AI1721" s="110" t="str">
        <f aca="false">IF(ISNUMBER(I1721),"yes","no")</f>
        <v>yes</v>
      </c>
      <c r="AJ1721" s="120" t="n">
        <v>46297</v>
      </c>
      <c r="AK1721" s="110"/>
    </row>
    <row r="1722" customFormat="false" ht="23.85" hidden="false" customHeight="false" outlineLevel="0" collapsed="false">
      <c r="B1722" s="36" t="s">
        <v>96</v>
      </c>
      <c r="C1722" s="98" t="s">
        <v>18</v>
      </c>
      <c r="D1722" s="98" t="s">
        <v>3002</v>
      </c>
      <c r="E1722" s="110" t="s">
        <v>5360</v>
      </c>
      <c r="F1722" s="99" t="n">
        <v>6.75</v>
      </c>
      <c r="G1722" s="98" t="s">
        <v>244</v>
      </c>
      <c r="H1722" s="112" t="n">
        <f aca="false">IF(AND(AE1722="yes",ISNUMBER(AD1722)),AD1722,"")</f>
        <v>6.75</v>
      </c>
      <c r="I1722" s="95" t="n">
        <f aca="false">IF(AND(AE1722="yes",ISNUMBER(AD1722),ISNUMBER(INDEX(Sources!$G$7:$G$10,MATCH(AB1722,Sources!$B$7:$B$10,0)))),ROUND(AD1722/INDEX(Sources!$G$7:$G$10,MATCH(AB1722,Sources!$B$7:$B$10,0)),6),"")</f>
        <v>6.75</v>
      </c>
      <c r="J1722" s="98" t="s">
        <v>530</v>
      </c>
      <c r="K1722" s="98" t="s">
        <v>2059</v>
      </c>
      <c r="L1722" s="96"/>
      <c r="M1722" s="110" t="s">
        <v>5361</v>
      </c>
      <c r="N1722" s="117" t="s">
        <v>4404</v>
      </c>
      <c r="O1722" s="110" t="s">
        <v>2396</v>
      </c>
      <c r="P1722" s="110" t="s">
        <v>590</v>
      </c>
      <c r="Q1722" s="118" t="n">
        <v>0.23</v>
      </c>
      <c r="R1722" s="110" t="n">
        <v>1</v>
      </c>
      <c r="S1722" s="110" t="s">
        <v>632</v>
      </c>
      <c r="T1722" s="110" t="s">
        <v>530</v>
      </c>
      <c r="U1722" s="110" t="s">
        <v>2913</v>
      </c>
      <c r="V1722" s="119" t="n">
        <v>6.75</v>
      </c>
      <c r="W1722" s="119"/>
      <c r="X1722" s="110" t="s">
        <v>2063</v>
      </c>
      <c r="Y1722" s="110" t="s">
        <v>2064</v>
      </c>
      <c r="Z1722" s="110" t="s">
        <v>3346</v>
      </c>
      <c r="AA1722" s="110" t="s">
        <v>537</v>
      </c>
      <c r="AB1722" s="110" t="s">
        <v>244</v>
      </c>
      <c r="AC1722" s="110" t="s">
        <v>538</v>
      </c>
      <c r="AD1722" s="110" t="n">
        <f aca="false">IF(OR(F1722="",Q1722="",R1722=""),"",ROUND(IF(P1722="incl.",F1722/(1+Q1722),F1722)/IF(S1722="per pack",R1722,1),2))</f>
        <v>6.75</v>
      </c>
      <c r="AE1722" s="110" t="str">
        <f aca="false">IF(AND(AC1722="yes",ISNUMBER(F1722),IF(Compare!$H$5="All mapped",TRUE(),IF(Compare!$H$5="EXACT only",J1722="EXACT",OR(J1722="EXACT",J1722="CLOSE")))),"yes","no")</f>
        <v>yes</v>
      </c>
      <c r="AF1722" s="110" t="n">
        <f aca="false">IF(ISNUMBER(H1722),COUNTIFS($B$7:$B$3000,B1722,$C$7:$C$3000,C1722,$H$7:$H$3000,"&lt;"&amp;H1722,$AH$7:$AH$3000,"yes")+COUNTIFS($B$7:B1722,B1722,$C$7:C1722,C1722,$H$7:H1722,H1722,$AH$7:AH1722,"yes"),"")</f>
        <v>2</v>
      </c>
      <c r="AG1722" s="110" t="n">
        <f aca="false">IF(ISNUMBER(I1722),COUNTIFS($B$7:$B$3000,B1722,$C$7:$C$3000,C1722,$I$7:$I$3000,"&lt;"&amp;I1722,$AI$7:$AI$3000,"yes")+COUNTIFS($B$7:B1722,B1722,$C$7:C1722,C1722,$I$7:I1722,I1722,$AI$7:AI1722,"yes"),"")</f>
        <v>2</v>
      </c>
      <c r="AH1722" s="110" t="str">
        <f aca="false">IF(ISNUMBER(H1722),"yes","no")</f>
        <v>yes</v>
      </c>
      <c r="AI1722" s="110" t="str">
        <f aca="false">IF(ISNUMBER(I1722),"yes","no")</f>
        <v>yes</v>
      </c>
      <c r="AJ1722" s="120" t="n">
        <v>46297</v>
      </c>
      <c r="AK1722" s="110"/>
    </row>
    <row r="1723" customFormat="false" ht="23.85" hidden="false" customHeight="false" outlineLevel="0" collapsed="false">
      <c r="B1723" s="36" t="s">
        <v>96</v>
      </c>
      <c r="C1723" s="98" t="s">
        <v>18</v>
      </c>
      <c r="D1723" s="98" t="s">
        <v>365</v>
      </c>
      <c r="E1723" s="110" t="s">
        <v>5362</v>
      </c>
      <c r="F1723" s="99" t="n">
        <v>8.78</v>
      </c>
      <c r="G1723" s="98" t="s">
        <v>244</v>
      </c>
      <c r="H1723" s="112" t="n">
        <f aca="false">IF(AND(AE1723="yes",ISNUMBER(AD1723)),AD1723,"")</f>
        <v>7.14</v>
      </c>
      <c r="I1723" s="95" t="n">
        <f aca="false">IF(AND(AE1723="yes",ISNUMBER(AD1723),ISNUMBER(INDEX(Sources!$G$7:$G$10,MATCH(AB1723,Sources!$B$7:$B$10,0)))),ROUND(AD1723/INDEX(Sources!$G$7:$G$10,MATCH(AB1723,Sources!$B$7:$B$10,0)),6),"")</f>
        <v>7.14</v>
      </c>
      <c r="J1723" s="98" t="s">
        <v>530</v>
      </c>
      <c r="K1723" s="98" t="s">
        <v>2059</v>
      </c>
      <c r="L1723" s="96"/>
      <c r="M1723" s="110" t="s">
        <v>5363</v>
      </c>
      <c r="N1723" s="117" t="s">
        <v>5364</v>
      </c>
      <c r="O1723" s="110" t="s">
        <v>2396</v>
      </c>
      <c r="P1723" s="110" t="s">
        <v>265</v>
      </c>
      <c r="Q1723" s="118" t="n">
        <v>0.23</v>
      </c>
      <c r="R1723" s="110" t="n">
        <v>1</v>
      </c>
      <c r="S1723" s="110" t="s">
        <v>632</v>
      </c>
      <c r="T1723" s="110" t="s">
        <v>530</v>
      </c>
      <c r="U1723" s="110" t="s">
        <v>2918</v>
      </c>
      <c r="V1723" s="119" t="n">
        <v>7.14</v>
      </c>
      <c r="W1723" s="119"/>
      <c r="X1723" s="110" t="s">
        <v>2063</v>
      </c>
      <c r="Y1723" s="110" t="s">
        <v>2064</v>
      </c>
      <c r="Z1723" s="110" t="s">
        <v>3016</v>
      </c>
      <c r="AA1723" s="110" t="s">
        <v>537</v>
      </c>
      <c r="AB1723" s="110" t="s">
        <v>244</v>
      </c>
      <c r="AC1723" s="110" t="s">
        <v>538</v>
      </c>
      <c r="AD1723" s="110" t="n">
        <f aca="false">IF(OR(F1723="",Q1723="",R1723=""),"",ROUND(IF(P1723="incl.",F1723/(1+Q1723),F1723)/IF(S1723="per pack",R1723,1),2))</f>
        <v>7.14</v>
      </c>
      <c r="AE1723" s="110" t="str">
        <f aca="false">IF(AND(AC1723="yes",ISNUMBER(F1723),IF(Compare!$H$5="All mapped",TRUE(),IF(Compare!$H$5="EXACT only",J1723="EXACT",OR(J1723="EXACT",J1723="CLOSE")))),"yes","no")</f>
        <v>yes</v>
      </c>
      <c r="AF1723" s="110" t="n">
        <f aca="false">IF(ISNUMBER(H1723),COUNTIFS($B$7:$B$3000,B1723,$C$7:$C$3000,C1723,$H$7:$H$3000,"&lt;"&amp;H1723,$AH$7:$AH$3000,"yes")+COUNTIFS($B$7:B1723,B1723,$C$7:C1723,C1723,$H$7:H1723,H1723,$AH$7:AH1723,"yes"),"")</f>
        <v>3</v>
      </c>
      <c r="AG1723" s="110" t="n">
        <f aca="false">IF(ISNUMBER(I1723),COUNTIFS($B$7:$B$3000,B1723,$C$7:$C$3000,C1723,$I$7:$I$3000,"&lt;"&amp;I1723,$AI$7:$AI$3000,"yes")+COUNTIFS($B$7:B1723,B1723,$C$7:C1723,C1723,$I$7:I1723,I1723,$AI$7:AI1723,"yes"),"")</f>
        <v>3</v>
      </c>
      <c r="AH1723" s="110" t="str">
        <f aca="false">IF(ISNUMBER(H1723),"yes","no")</f>
        <v>yes</v>
      </c>
      <c r="AI1723" s="110" t="str">
        <f aca="false">IF(ISNUMBER(I1723),"yes","no")</f>
        <v>yes</v>
      </c>
      <c r="AJ1723" s="120" t="n">
        <v>46297</v>
      </c>
      <c r="AK1723" s="110"/>
    </row>
    <row r="1724" customFormat="false" ht="23.85" hidden="false" customHeight="false" outlineLevel="0" collapsed="false">
      <c r="B1724" s="36" t="s">
        <v>96</v>
      </c>
      <c r="C1724" s="98" t="s">
        <v>18</v>
      </c>
      <c r="D1724" s="98" t="s">
        <v>369</v>
      </c>
      <c r="E1724" s="110" t="s">
        <v>5365</v>
      </c>
      <c r="F1724" s="99" t="n">
        <v>12.69</v>
      </c>
      <c r="G1724" s="98" t="s">
        <v>244</v>
      </c>
      <c r="H1724" s="112" t="n">
        <f aca="false">IF(AND(AE1724="yes",ISNUMBER(AD1724)),AD1724,"")</f>
        <v>10.32</v>
      </c>
      <c r="I1724" s="95" t="n">
        <f aca="false">IF(AND(AE1724="yes",ISNUMBER(AD1724),ISNUMBER(INDEX(Sources!$G$7:$G$10,MATCH(AB1724,Sources!$B$7:$B$10,0)))),ROUND(AD1724/INDEX(Sources!$G$7:$G$10,MATCH(AB1724,Sources!$B$7:$B$10,0)),6),"")</f>
        <v>10.32</v>
      </c>
      <c r="J1724" s="98" t="s">
        <v>530</v>
      </c>
      <c r="K1724" s="98" t="s">
        <v>2059</v>
      </c>
      <c r="L1724" s="96"/>
      <c r="M1724" s="110" t="s">
        <v>5366</v>
      </c>
      <c r="N1724" s="117" t="s">
        <v>5367</v>
      </c>
      <c r="O1724" s="110" t="s">
        <v>662</v>
      </c>
      <c r="P1724" s="110" t="s">
        <v>265</v>
      </c>
      <c r="Q1724" s="118" t="n">
        <v>0.23</v>
      </c>
      <c r="R1724" s="110" t="n">
        <v>1</v>
      </c>
      <c r="S1724" s="110" t="s">
        <v>632</v>
      </c>
      <c r="T1724" s="110" t="s">
        <v>530</v>
      </c>
      <c r="U1724" s="110" t="s">
        <v>2918</v>
      </c>
      <c r="V1724" s="119" t="n">
        <v>10.32</v>
      </c>
      <c r="W1724" s="119"/>
      <c r="X1724" s="110" t="s">
        <v>2063</v>
      </c>
      <c r="Y1724" s="110" t="s">
        <v>2064</v>
      </c>
      <c r="Z1724" s="110" t="s">
        <v>4138</v>
      </c>
      <c r="AA1724" s="110" t="s">
        <v>537</v>
      </c>
      <c r="AB1724" s="110" t="s">
        <v>244</v>
      </c>
      <c r="AC1724" s="110" t="s">
        <v>538</v>
      </c>
      <c r="AD1724" s="110" t="n">
        <f aca="false">IF(OR(F1724="",Q1724="",R1724=""),"",ROUND(IF(P1724="incl.",F1724/(1+Q1724),F1724)/IF(S1724="per pack",R1724,1),2))</f>
        <v>10.32</v>
      </c>
      <c r="AE1724" s="110" t="str">
        <f aca="false">IF(AND(AC1724="yes",ISNUMBER(F1724),IF(Compare!$H$5="All mapped",TRUE(),IF(Compare!$H$5="EXACT only",J1724="EXACT",OR(J1724="EXACT",J1724="CLOSE")))),"yes","no")</f>
        <v>yes</v>
      </c>
      <c r="AF1724" s="110" t="n">
        <f aca="false">IF(ISNUMBER(H1724),COUNTIFS($B$7:$B$3000,B1724,$C$7:$C$3000,C1724,$H$7:$H$3000,"&lt;"&amp;H1724,$AH$7:$AH$3000,"yes")+COUNTIFS($B$7:B1724,B1724,$C$7:C1724,C1724,$H$7:H1724,H1724,$AH$7:AH1724,"yes"),"")</f>
        <v>5</v>
      </c>
      <c r="AG1724" s="110" t="n">
        <f aca="false">IF(ISNUMBER(I1724),COUNTIFS($B$7:$B$3000,B1724,$C$7:$C$3000,C1724,$I$7:$I$3000,"&lt;"&amp;I1724,$AI$7:$AI$3000,"yes")+COUNTIFS($B$7:B1724,B1724,$C$7:C1724,C1724,$I$7:I1724,I1724,$AI$7:AI1724,"yes"),"")</f>
        <v>5</v>
      </c>
      <c r="AH1724" s="110" t="str">
        <f aca="false">IF(ISNUMBER(H1724),"yes","no")</f>
        <v>yes</v>
      </c>
      <c r="AI1724" s="110" t="str">
        <f aca="false">IF(ISNUMBER(I1724),"yes","no")</f>
        <v>yes</v>
      </c>
      <c r="AJ1724" s="120" t="n">
        <v>46297</v>
      </c>
      <c r="AK1724" s="110"/>
    </row>
    <row r="1725" customFormat="false" ht="23.85" hidden="false" customHeight="false" outlineLevel="0" collapsed="false">
      <c r="B1725" s="36" t="s">
        <v>96</v>
      </c>
      <c r="C1725" s="98" t="s">
        <v>18</v>
      </c>
      <c r="D1725" s="98" t="s">
        <v>4579</v>
      </c>
      <c r="E1725" s="110" t="s">
        <v>5368</v>
      </c>
      <c r="F1725" s="99" t="n">
        <v>10.62</v>
      </c>
      <c r="G1725" s="98" t="s">
        <v>244</v>
      </c>
      <c r="H1725" s="112" t="n">
        <f aca="false">IF(AND(AE1725="yes",ISNUMBER(AD1725)),AD1725,"")</f>
        <v>8.63</v>
      </c>
      <c r="I1725" s="95" t="n">
        <f aca="false">IF(AND(AE1725="yes",ISNUMBER(AD1725),ISNUMBER(INDEX(Sources!$G$7:$G$10,MATCH(AB1725,Sources!$B$7:$B$10,0)))),ROUND(AD1725/INDEX(Sources!$G$7:$G$10,MATCH(AB1725,Sources!$B$7:$B$10,0)),6),"")</f>
        <v>8.63</v>
      </c>
      <c r="J1725" s="98" t="s">
        <v>530</v>
      </c>
      <c r="K1725" s="98" t="s">
        <v>2059</v>
      </c>
      <c r="L1725" s="96"/>
      <c r="M1725" s="110" t="s">
        <v>5369</v>
      </c>
      <c r="N1725" s="117" t="s">
        <v>4582</v>
      </c>
      <c r="O1725" s="110" t="s">
        <v>246</v>
      </c>
      <c r="P1725" s="110" t="s">
        <v>265</v>
      </c>
      <c r="Q1725" s="118" t="n">
        <v>0.23</v>
      </c>
      <c r="R1725" s="110" t="n">
        <v>1</v>
      </c>
      <c r="S1725" s="110" t="s">
        <v>632</v>
      </c>
      <c r="T1725" s="110" t="s">
        <v>530</v>
      </c>
      <c r="U1725" s="110" t="s">
        <v>2918</v>
      </c>
      <c r="V1725" s="119" t="n">
        <v>8.63</v>
      </c>
      <c r="W1725" s="119"/>
      <c r="X1725" s="110" t="s">
        <v>2063</v>
      </c>
      <c r="Y1725" s="110" t="s">
        <v>2064</v>
      </c>
      <c r="Z1725" s="110" t="s">
        <v>4826</v>
      </c>
      <c r="AA1725" s="110" t="s">
        <v>537</v>
      </c>
      <c r="AB1725" s="110" t="s">
        <v>244</v>
      </c>
      <c r="AC1725" s="110" t="s">
        <v>538</v>
      </c>
      <c r="AD1725" s="110" t="n">
        <f aca="false">IF(OR(F1725="",Q1725="",R1725=""),"",ROUND(IF(P1725="incl.",F1725/(1+Q1725),F1725)/IF(S1725="per pack",R1725,1),2))</f>
        <v>8.63</v>
      </c>
      <c r="AE1725" s="110" t="str">
        <f aca="false">IF(AND(AC1725="yes",ISNUMBER(F1725),IF(Compare!$H$5="All mapped",TRUE(),IF(Compare!$H$5="EXACT only",J1725="EXACT",OR(J1725="EXACT",J1725="CLOSE")))),"yes","no")</f>
        <v>yes</v>
      </c>
      <c r="AF1725" s="110" t="n">
        <f aca="false">IF(ISNUMBER(H1725),COUNTIFS($B$7:$B$3000,B1725,$C$7:$C$3000,C1725,$H$7:$H$3000,"&lt;"&amp;H1725,$AH$7:$AH$3000,"yes")+COUNTIFS($B$7:B1725,B1725,$C$7:C1725,C1725,$H$7:H1725,H1725,$AH$7:AH1725,"yes"),"")</f>
        <v>4</v>
      </c>
      <c r="AG1725" s="110" t="n">
        <f aca="false">IF(ISNUMBER(I1725),COUNTIFS($B$7:$B$3000,B1725,$C$7:$C$3000,C1725,$I$7:$I$3000,"&lt;"&amp;I1725,$AI$7:$AI$3000,"yes")+COUNTIFS($B$7:B1725,B1725,$C$7:C1725,C1725,$I$7:I1725,I1725,$AI$7:AI1725,"yes"),"")</f>
        <v>4</v>
      </c>
      <c r="AH1725" s="110" t="str">
        <f aca="false">IF(ISNUMBER(H1725),"yes","no")</f>
        <v>yes</v>
      </c>
      <c r="AI1725" s="110" t="str">
        <f aca="false">IF(ISNUMBER(I1725),"yes","no")</f>
        <v>yes</v>
      </c>
      <c r="AJ1725" s="120" t="n">
        <v>46297</v>
      </c>
      <c r="AK1725" s="110"/>
    </row>
    <row r="1726" customFormat="false" ht="23.85" hidden="false" customHeight="false" outlineLevel="0" collapsed="false">
      <c r="B1726" s="36" t="s">
        <v>96</v>
      </c>
      <c r="C1726" s="98" t="s">
        <v>18</v>
      </c>
      <c r="D1726" s="98" t="s">
        <v>3021</v>
      </c>
      <c r="E1726" s="110" t="s">
        <v>5370</v>
      </c>
      <c r="F1726" s="99" t="n">
        <v>4.64</v>
      </c>
      <c r="G1726" s="98" t="s">
        <v>244</v>
      </c>
      <c r="H1726" s="112" t="n">
        <f aca="false">IF(AND(AE1726="yes",ISNUMBER(AD1726)),AD1726,"")</f>
        <v>4.64</v>
      </c>
      <c r="I1726" s="95" t="n">
        <f aca="false">IF(AND(AE1726="yes",ISNUMBER(AD1726),ISNUMBER(INDEX(Sources!$G$7:$G$10,MATCH(AB1726,Sources!$B$7:$B$10,0)))),ROUND(AD1726/INDEX(Sources!$G$7:$G$10,MATCH(AB1726,Sources!$B$7:$B$10,0)),6),"")</f>
        <v>4.64</v>
      </c>
      <c r="J1726" s="98" t="s">
        <v>530</v>
      </c>
      <c r="K1726" s="98" t="s">
        <v>2059</v>
      </c>
      <c r="L1726" s="96"/>
      <c r="M1726" s="110" t="s">
        <v>5371</v>
      </c>
      <c r="N1726" s="117" t="s">
        <v>4416</v>
      </c>
      <c r="O1726" s="110" t="s">
        <v>2396</v>
      </c>
      <c r="P1726" s="110" t="s">
        <v>590</v>
      </c>
      <c r="Q1726" s="118" t="n">
        <v>0.23</v>
      </c>
      <c r="R1726" s="110" t="n">
        <v>1</v>
      </c>
      <c r="S1726" s="110" t="s">
        <v>632</v>
      </c>
      <c r="T1726" s="110" t="s">
        <v>530</v>
      </c>
      <c r="U1726" s="110" t="s">
        <v>2913</v>
      </c>
      <c r="V1726" s="119" t="n">
        <v>4.64</v>
      </c>
      <c r="W1726" s="119"/>
      <c r="X1726" s="110" t="s">
        <v>2063</v>
      </c>
      <c r="Y1726" s="110" t="s">
        <v>2064</v>
      </c>
      <c r="Z1726" s="110" t="s">
        <v>3900</v>
      </c>
      <c r="AA1726" s="110" t="s">
        <v>537</v>
      </c>
      <c r="AB1726" s="110" t="s">
        <v>244</v>
      </c>
      <c r="AC1726" s="110" t="s">
        <v>538</v>
      </c>
      <c r="AD1726" s="110" t="n">
        <f aca="false">IF(OR(F1726="",Q1726="",R1726=""),"",ROUND(IF(P1726="incl.",F1726/(1+Q1726),F1726)/IF(S1726="per pack",R1726,1),2))</f>
        <v>4.64</v>
      </c>
      <c r="AE1726" s="110" t="str">
        <f aca="false">IF(AND(AC1726="yes",ISNUMBER(F1726),IF(Compare!$H$5="All mapped",TRUE(),IF(Compare!$H$5="EXACT only",J1726="EXACT",OR(J1726="EXACT",J1726="CLOSE")))),"yes","no")</f>
        <v>yes</v>
      </c>
      <c r="AF1726" s="110" t="n">
        <f aca="false">IF(ISNUMBER(H1726),COUNTIFS($B$7:$B$3000,B1726,$C$7:$C$3000,C1726,$H$7:$H$3000,"&lt;"&amp;H1726,$AH$7:$AH$3000,"yes")+COUNTIFS($B$7:B1726,B1726,$C$7:C1726,C1726,$H$7:H1726,H1726,$AH$7:AH1726,"yes"),"")</f>
        <v>1</v>
      </c>
      <c r="AG1726" s="110" t="n">
        <f aca="false">IF(ISNUMBER(I1726),COUNTIFS($B$7:$B$3000,B1726,$C$7:$C$3000,C1726,$I$7:$I$3000,"&lt;"&amp;I1726,$AI$7:$AI$3000,"yes")+COUNTIFS($B$7:B1726,B1726,$C$7:C1726,C1726,$I$7:I1726,I1726,$AI$7:AI1726,"yes"),"")</f>
        <v>1</v>
      </c>
      <c r="AH1726" s="110" t="str">
        <f aca="false">IF(ISNUMBER(H1726),"yes","no")</f>
        <v>yes</v>
      </c>
      <c r="AI1726" s="110" t="str">
        <f aca="false">IF(ISNUMBER(I1726),"yes","no")</f>
        <v>yes</v>
      </c>
      <c r="AJ1726" s="120" t="n">
        <v>46297</v>
      </c>
      <c r="AK1726" s="110"/>
    </row>
    <row r="1727" customFormat="false" ht="23.85" hidden="false" customHeight="false" outlineLevel="0" collapsed="false">
      <c r="B1727" s="36" t="s">
        <v>97</v>
      </c>
      <c r="C1727" s="98" t="s">
        <v>14</v>
      </c>
      <c r="D1727" s="98" t="s">
        <v>373</v>
      </c>
      <c r="E1727" s="110" t="s">
        <v>5372</v>
      </c>
      <c r="F1727" s="99" t="n">
        <v>7.81</v>
      </c>
      <c r="G1727" s="98" t="s">
        <v>374</v>
      </c>
      <c r="H1727" s="112" t="n">
        <f aca="false">IF(AND(AE1727="yes",ISNUMBER(AD1727)),AD1727,"")</f>
        <v>7.81</v>
      </c>
      <c r="I1727" s="95" t="n">
        <f aca="false">IF(AND(AE1727="yes",ISNUMBER(AD1727),ISNUMBER(INDEX(Sources!$G$7:$G$10,MATCH(AB1727,Sources!$B$7:$B$10,0)))),ROUND(AD1727/INDEX(Sources!$G$7:$G$10,MATCH(AB1727,Sources!$B$7:$B$10,0)),6),"")</f>
        <v>1.479828</v>
      </c>
      <c r="J1727" s="98" t="s">
        <v>530</v>
      </c>
      <c r="K1727" s="98" t="s">
        <v>2059</v>
      </c>
      <c r="L1727" s="96"/>
      <c r="M1727" s="110" t="s">
        <v>5373</v>
      </c>
      <c r="N1727" s="117" t="s">
        <v>5374</v>
      </c>
      <c r="O1727" s="110" t="s">
        <v>4321</v>
      </c>
      <c r="P1727" s="110" t="s">
        <v>590</v>
      </c>
      <c r="Q1727" s="118" t="n">
        <v>0.21</v>
      </c>
      <c r="R1727" s="110" t="n">
        <v>1</v>
      </c>
      <c r="S1727" s="110" t="s">
        <v>632</v>
      </c>
      <c r="T1727" s="110" t="s">
        <v>530</v>
      </c>
      <c r="U1727" s="110" t="s">
        <v>2913</v>
      </c>
      <c r="V1727" s="119" t="n">
        <v>7.81</v>
      </c>
      <c r="W1727" s="119"/>
      <c r="X1727" s="110" t="s">
        <v>2063</v>
      </c>
      <c r="Y1727" s="110" t="s">
        <v>2064</v>
      </c>
      <c r="Z1727" s="110"/>
      <c r="AA1727" s="110" t="s">
        <v>537</v>
      </c>
      <c r="AB1727" s="110" t="s">
        <v>374</v>
      </c>
      <c r="AC1727" s="110" t="s">
        <v>538</v>
      </c>
      <c r="AD1727" s="110" t="n">
        <f aca="false">IF(OR(F1727="",Q1727="",R1727=""),"",ROUND(IF(P1727="incl.",F1727/(1+Q1727),F1727)/IF(S1727="per pack",R1727,1),2))</f>
        <v>7.81</v>
      </c>
      <c r="AE1727" s="110" t="str">
        <f aca="false">IF(AND(AC1727="yes",ISNUMBER(F1727),IF(Compare!$H$5="All mapped",TRUE(),IF(Compare!$H$5="EXACT only",J1727="EXACT",OR(J1727="EXACT",J1727="CLOSE")))),"yes","no")</f>
        <v>yes</v>
      </c>
      <c r="AF1727" s="110" t="n">
        <f aca="false">IF(ISNUMBER(H1727),COUNTIFS($B$7:$B$3000,B1727,$C$7:$C$3000,C1727,$H$7:$H$3000,"&lt;"&amp;H1727,$AH$7:$AH$3000,"yes")+COUNTIFS($B$7:B1727,B1727,$C$7:C1727,C1727,$H$7:H1727,H1727,$AH$7:AH1727,"yes"),"")</f>
        <v>1</v>
      </c>
      <c r="AG1727" s="110" t="n">
        <f aca="false">IF(ISNUMBER(I1727),COUNTIFS($B$7:$B$3000,B1727,$C$7:$C$3000,C1727,$I$7:$I$3000,"&lt;"&amp;I1727,$AI$7:$AI$3000,"yes")+COUNTIFS($B$7:B1727,B1727,$C$7:C1727,C1727,$I$7:I1727,I1727,$AI$7:AI1727,"yes"),"")</f>
        <v>1</v>
      </c>
      <c r="AH1727" s="110" t="str">
        <f aca="false">IF(ISNUMBER(H1727),"yes","no")</f>
        <v>yes</v>
      </c>
      <c r="AI1727" s="110" t="str">
        <f aca="false">IF(ISNUMBER(I1727),"yes","no")</f>
        <v>yes</v>
      </c>
      <c r="AJ1727" s="120" t="n">
        <v>46297</v>
      </c>
      <c r="AK1727" s="110"/>
    </row>
    <row r="1728" customFormat="false" ht="46.25" hidden="false" customHeight="false" outlineLevel="0" collapsed="false">
      <c r="B1728" s="36" t="s">
        <v>97</v>
      </c>
      <c r="C1728" s="98" t="s">
        <v>14</v>
      </c>
      <c r="D1728" s="98" t="s">
        <v>4143</v>
      </c>
      <c r="E1728" s="110" t="s">
        <v>5375</v>
      </c>
      <c r="F1728" s="99" t="n">
        <v>139.46</v>
      </c>
      <c r="G1728" s="98" t="s">
        <v>374</v>
      </c>
      <c r="H1728" s="112" t="n">
        <f aca="false">IF(AND(AE1728="yes",ISNUMBER(AD1728)),AD1728,"")</f>
        <v>11.62</v>
      </c>
      <c r="I1728" s="95" t="n">
        <f aca="false">IF(AND(AE1728="yes",ISNUMBER(AD1728),ISNUMBER(INDEX(Sources!$G$7:$G$10,MATCH(AB1728,Sources!$B$7:$B$10,0)))),ROUND(AD1728/INDEX(Sources!$G$7:$G$10,MATCH(AB1728,Sources!$B$7:$B$10,0)),6),"")</f>
        <v>2.201741</v>
      </c>
      <c r="J1728" s="98" t="s">
        <v>530</v>
      </c>
      <c r="K1728" s="98" t="s">
        <v>2059</v>
      </c>
      <c r="L1728" s="96"/>
      <c r="M1728" s="110" t="s">
        <v>5376</v>
      </c>
      <c r="N1728" s="117" t="s">
        <v>5377</v>
      </c>
      <c r="O1728" s="110" t="s">
        <v>317</v>
      </c>
      <c r="P1728" s="110" t="s">
        <v>590</v>
      </c>
      <c r="Q1728" s="118" t="n">
        <v>0.21</v>
      </c>
      <c r="R1728" s="110" t="n">
        <v>12</v>
      </c>
      <c r="S1728" s="110" t="s">
        <v>625</v>
      </c>
      <c r="T1728" s="110" t="s">
        <v>530</v>
      </c>
      <c r="U1728" s="110" t="s">
        <v>2913</v>
      </c>
      <c r="V1728" s="119" t="n">
        <v>11.62</v>
      </c>
      <c r="W1728" s="119"/>
      <c r="X1728" s="110" t="s">
        <v>2063</v>
      </c>
      <c r="Y1728" s="110" t="s">
        <v>2064</v>
      </c>
      <c r="Z1728" s="110" t="s">
        <v>4147</v>
      </c>
      <c r="AA1728" s="110" t="s">
        <v>537</v>
      </c>
      <c r="AB1728" s="110" t="s">
        <v>374</v>
      </c>
      <c r="AC1728" s="110" t="s">
        <v>538</v>
      </c>
      <c r="AD1728" s="110" t="n">
        <f aca="false">IF(OR(F1728="",Q1728="",R1728=""),"",ROUND(IF(P1728="incl.",F1728/(1+Q1728),F1728)/IF(S1728="per pack",R1728,1),2))</f>
        <v>11.62</v>
      </c>
      <c r="AE1728" s="110" t="str">
        <f aca="false">IF(AND(AC1728="yes",ISNUMBER(F1728),IF(Compare!$H$5="All mapped",TRUE(),IF(Compare!$H$5="EXACT only",J1728="EXACT",OR(J1728="EXACT",J1728="CLOSE")))),"yes","no")</f>
        <v>yes</v>
      </c>
      <c r="AF1728" s="110" t="n">
        <f aca="false">IF(ISNUMBER(H1728),COUNTIFS($B$7:$B$3000,B1728,$C$7:$C$3000,C1728,$H$7:$H$3000,"&lt;"&amp;H1728,$AH$7:$AH$3000,"yes")+COUNTIFS($B$7:B1728,B1728,$C$7:C1728,C1728,$H$7:H1728,H1728,$AH$7:AH1728,"yes"),"")</f>
        <v>2</v>
      </c>
      <c r="AG1728" s="110" t="n">
        <f aca="false">IF(ISNUMBER(I1728),COUNTIFS($B$7:$B$3000,B1728,$C$7:$C$3000,C1728,$I$7:$I$3000,"&lt;"&amp;I1728,$AI$7:$AI$3000,"yes")+COUNTIFS($B$7:B1728,B1728,$C$7:C1728,C1728,$I$7:I1728,I1728,$AI$7:AI1728,"yes"),"")</f>
        <v>2</v>
      </c>
      <c r="AH1728" s="110" t="str">
        <f aca="false">IF(ISNUMBER(H1728),"yes","no")</f>
        <v>yes</v>
      </c>
      <c r="AI1728" s="110" t="str">
        <f aca="false">IF(ISNUMBER(I1728),"yes","no")</f>
        <v>yes</v>
      </c>
      <c r="AJ1728" s="120" t="n">
        <v>46297</v>
      </c>
      <c r="AK1728" s="110"/>
    </row>
    <row r="1729" customFormat="false" ht="35.05" hidden="false" customHeight="false" outlineLevel="0" collapsed="false">
      <c r="B1729" s="36" t="s">
        <v>97</v>
      </c>
      <c r="C1729" s="98" t="s">
        <v>14</v>
      </c>
      <c r="D1729" s="98" t="s">
        <v>346</v>
      </c>
      <c r="E1729" s="110" t="s">
        <v>5378</v>
      </c>
      <c r="F1729" s="99" t="n">
        <v>23.98</v>
      </c>
      <c r="G1729" s="98" t="s">
        <v>374</v>
      </c>
      <c r="H1729" s="112" t="n">
        <f aca="false">IF(AND(AE1729="yes",ISNUMBER(AD1729)),AD1729,"")</f>
        <v>19.82</v>
      </c>
      <c r="I1729" s="95" t="n">
        <f aca="false">IF(AND(AE1729="yes",ISNUMBER(AD1729),ISNUMBER(INDEX(Sources!$G$7:$G$10,MATCH(AB1729,Sources!$B$7:$B$10,0)))),ROUND(AD1729/INDEX(Sources!$G$7:$G$10,MATCH(AB1729,Sources!$B$7:$B$10,0)),6),"")</f>
        <v>3.755465</v>
      </c>
      <c r="J1729" s="98" t="s">
        <v>530</v>
      </c>
      <c r="K1729" s="98" t="s">
        <v>2059</v>
      </c>
      <c r="L1729" s="96"/>
      <c r="M1729" s="110" t="s">
        <v>5379</v>
      </c>
      <c r="N1729" s="117" t="s">
        <v>5380</v>
      </c>
      <c r="O1729" s="110" t="s">
        <v>662</v>
      </c>
      <c r="P1729" s="110" t="s">
        <v>265</v>
      </c>
      <c r="Q1729" s="118" t="n">
        <v>0.21</v>
      </c>
      <c r="R1729" s="110" t="n">
        <v>1</v>
      </c>
      <c r="S1729" s="110" t="s">
        <v>632</v>
      </c>
      <c r="T1729" s="110" t="s">
        <v>530</v>
      </c>
      <c r="U1729" s="110" t="s">
        <v>2918</v>
      </c>
      <c r="V1729" s="119" t="n">
        <v>19.82</v>
      </c>
      <c r="W1729" s="119"/>
      <c r="X1729" s="110" t="s">
        <v>2063</v>
      </c>
      <c r="Y1729" s="110" t="s">
        <v>2064</v>
      </c>
      <c r="Z1729" s="110"/>
      <c r="AA1729" s="110" t="s">
        <v>537</v>
      </c>
      <c r="AB1729" s="110" t="s">
        <v>374</v>
      </c>
      <c r="AC1729" s="110" t="s">
        <v>538</v>
      </c>
      <c r="AD1729" s="110" t="n">
        <f aca="false">IF(OR(F1729="",Q1729="",R1729=""),"",ROUND(IF(P1729="incl.",F1729/(1+Q1729),F1729)/IF(S1729="per pack",R1729,1),2))</f>
        <v>19.82</v>
      </c>
      <c r="AE1729" s="110" t="str">
        <f aca="false">IF(AND(AC1729="yes",ISNUMBER(F1729),IF(Compare!$H$5="All mapped",TRUE(),IF(Compare!$H$5="EXACT only",J1729="EXACT",OR(J1729="EXACT",J1729="CLOSE")))),"yes","no")</f>
        <v>yes</v>
      </c>
      <c r="AF1729" s="110" t="n">
        <f aca="false">IF(ISNUMBER(H1729),COUNTIFS($B$7:$B$3000,B1729,$C$7:$C$3000,C1729,$H$7:$H$3000,"&lt;"&amp;H1729,$AH$7:$AH$3000,"yes")+COUNTIFS($B$7:B1729,B1729,$C$7:C1729,C1729,$H$7:H1729,H1729,$AH$7:AH1729,"yes"),"")</f>
        <v>5</v>
      </c>
      <c r="AG1729" s="110" t="n">
        <f aca="false">IF(ISNUMBER(I1729),COUNTIFS($B$7:$B$3000,B1729,$C$7:$C$3000,C1729,$I$7:$I$3000,"&lt;"&amp;I1729,$AI$7:$AI$3000,"yes")+COUNTIFS($B$7:B1729,B1729,$C$7:C1729,C1729,$I$7:I1729,I1729,$AI$7:AI1729,"yes"),"")</f>
        <v>5</v>
      </c>
      <c r="AH1729" s="110" t="str">
        <f aca="false">IF(ISNUMBER(H1729),"yes","no")</f>
        <v>yes</v>
      </c>
      <c r="AI1729" s="110" t="str">
        <f aca="false">IF(ISNUMBER(I1729),"yes","no")</f>
        <v>yes</v>
      </c>
      <c r="AJ1729" s="120" t="n">
        <v>46297</v>
      </c>
      <c r="AK1729" s="110"/>
    </row>
    <row r="1730" customFormat="false" ht="23.85" hidden="false" customHeight="false" outlineLevel="0" collapsed="false">
      <c r="B1730" s="36" t="s">
        <v>97</v>
      </c>
      <c r="C1730" s="98" t="s">
        <v>14</v>
      </c>
      <c r="D1730" s="98" t="s">
        <v>403</v>
      </c>
      <c r="E1730" s="110" t="s">
        <v>5381</v>
      </c>
      <c r="F1730" s="99" t="n">
        <v>14.93</v>
      </c>
      <c r="G1730" s="98" t="s">
        <v>374</v>
      </c>
      <c r="H1730" s="112" t="n">
        <f aca="false">IF(AND(AE1730="yes",ISNUMBER(AD1730)),AD1730,"")</f>
        <v>14.93</v>
      </c>
      <c r="I1730" s="95" t="n">
        <f aca="false">IF(AND(AE1730="yes",ISNUMBER(AD1730),ISNUMBER(INDEX(Sources!$G$7:$G$10,MATCH(AB1730,Sources!$B$7:$B$10,0)))),ROUND(AD1730/INDEX(Sources!$G$7:$G$10,MATCH(AB1730,Sources!$B$7:$B$10,0)),6),"")</f>
        <v>2.828915</v>
      </c>
      <c r="J1730" s="98" t="s">
        <v>530</v>
      </c>
      <c r="K1730" s="98" t="s">
        <v>2059</v>
      </c>
      <c r="L1730" s="96"/>
      <c r="M1730" s="110" t="s">
        <v>5382</v>
      </c>
      <c r="N1730" s="117" t="s">
        <v>5383</v>
      </c>
      <c r="O1730" s="110" t="s">
        <v>662</v>
      </c>
      <c r="P1730" s="110" t="s">
        <v>590</v>
      </c>
      <c r="Q1730" s="118" t="n">
        <v>0.21</v>
      </c>
      <c r="R1730" s="110" t="n">
        <v>1</v>
      </c>
      <c r="S1730" s="110" t="s">
        <v>632</v>
      </c>
      <c r="T1730" s="110" t="s">
        <v>530</v>
      </c>
      <c r="U1730" s="110" t="s">
        <v>2913</v>
      </c>
      <c r="V1730" s="119" t="n">
        <v>14.93</v>
      </c>
      <c r="W1730" s="119"/>
      <c r="X1730" s="110" t="s">
        <v>2063</v>
      </c>
      <c r="Y1730" s="110" t="s">
        <v>2064</v>
      </c>
      <c r="Z1730" s="110"/>
      <c r="AA1730" s="110" t="s">
        <v>537</v>
      </c>
      <c r="AB1730" s="110" t="s">
        <v>374</v>
      </c>
      <c r="AC1730" s="110" t="s">
        <v>538</v>
      </c>
      <c r="AD1730" s="110" t="n">
        <f aca="false">IF(OR(F1730="",Q1730="",R1730=""),"",ROUND(IF(P1730="incl.",F1730/(1+Q1730),F1730)/IF(S1730="per pack",R1730,1),2))</f>
        <v>14.93</v>
      </c>
      <c r="AE1730" s="110" t="str">
        <f aca="false">IF(AND(AC1730="yes",ISNUMBER(F1730),IF(Compare!$H$5="All mapped",TRUE(),IF(Compare!$H$5="EXACT only",J1730="EXACT",OR(J1730="EXACT",J1730="CLOSE")))),"yes","no")</f>
        <v>yes</v>
      </c>
      <c r="AF1730" s="110" t="n">
        <f aca="false">IF(ISNUMBER(H1730),COUNTIFS($B$7:$B$3000,B1730,$C$7:$C$3000,C1730,$H$7:$H$3000,"&lt;"&amp;H1730,$AH$7:$AH$3000,"yes")+COUNTIFS($B$7:B1730,B1730,$C$7:C1730,C1730,$H$7:H1730,H1730,$AH$7:AH1730,"yes"),"")</f>
        <v>4</v>
      </c>
      <c r="AG1730" s="110" t="n">
        <f aca="false">IF(ISNUMBER(I1730),COUNTIFS($B$7:$B$3000,B1730,$C$7:$C$3000,C1730,$I$7:$I$3000,"&lt;"&amp;I1730,$AI$7:$AI$3000,"yes")+COUNTIFS($B$7:B1730,B1730,$C$7:C1730,C1730,$I$7:I1730,I1730,$AI$7:AI1730,"yes"),"")</f>
        <v>4</v>
      </c>
      <c r="AH1730" s="110" t="str">
        <f aca="false">IF(ISNUMBER(H1730),"yes","no")</f>
        <v>yes</v>
      </c>
      <c r="AI1730" s="110" t="str">
        <f aca="false">IF(ISNUMBER(I1730),"yes","no")</f>
        <v>yes</v>
      </c>
      <c r="AJ1730" s="120" t="n">
        <v>46297</v>
      </c>
      <c r="AK1730" s="110"/>
    </row>
    <row r="1731" customFormat="false" ht="23.85" hidden="false" customHeight="false" outlineLevel="0" collapsed="false">
      <c r="B1731" s="36" t="s">
        <v>97</v>
      </c>
      <c r="C1731" s="98" t="s">
        <v>14</v>
      </c>
      <c r="D1731" s="98" t="s">
        <v>403</v>
      </c>
      <c r="E1731" s="110" t="s">
        <v>5384</v>
      </c>
      <c r="F1731" s="99" t="n">
        <v>14.11</v>
      </c>
      <c r="G1731" s="98" t="s">
        <v>374</v>
      </c>
      <c r="H1731" s="112" t="n">
        <f aca="false">IF(AND(AE1731="yes",ISNUMBER(AD1731)),AD1731,"")</f>
        <v>14.11</v>
      </c>
      <c r="I1731" s="95" t="n">
        <f aca="false">IF(AND(AE1731="yes",ISNUMBER(AD1731),ISNUMBER(INDEX(Sources!$G$7:$G$10,MATCH(AB1731,Sources!$B$7:$B$10,0)))),ROUND(AD1731/INDEX(Sources!$G$7:$G$10,MATCH(AB1731,Sources!$B$7:$B$10,0)),6),"")</f>
        <v>2.673543</v>
      </c>
      <c r="J1731" s="98" t="s">
        <v>530</v>
      </c>
      <c r="K1731" s="98" t="s">
        <v>2059</v>
      </c>
      <c r="L1731" s="96"/>
      <c r="M1731" s="110" t="s">
        <v>5385</v>
      </c>
      <c r="N1731" s="117" t="s">
        <v>5386</v>
      </c>
      <c r="O1731" s="110" t="s">
        <v>388</v>
      </c>
      <c r="P1731" s="110" t="s">
        <v>590</v>
      </c>
      <c r="Q1731" s="118" t="n">
        <v>0.21</v>
      </c>
      <c r="R1731" s="110" t="n">
        <v>1</v>
      </c>
      <c r="S1731" s="110" t="s">
        <v>632</v>
      </c>
      <c r="T1731" s="110" t="s">
        <v>530</v>
      </c>
      <c r="U1731" s="110" t="s">
        <v>2913</v>
      </c>
      <c r="V1731" s="119" t="n">
        <v>14.11</v>
      </c>
      <c r="W1731" s="119"/>
      <c r="X1731" s="110" t="s">
        <v>2063</v>
      </c>
      <c r="Y1731" s="110" t="s">
        <v>2064</v>
      </c>
      <c r="Z1731" s="110"/>
      <c r="AA1731" s="110" t="s">
        <v>537</v>
      </c>
      <c r="AB1731" s="110" t="s">
        <v>374</v>
      </c>
      <c r="AC1731" s="110" t="s">
        <v>538</v>
      </c>
      <c r="AD1731" s="110" t="n">
        <f aca="false">IF(OR(F1731="",Q1731="",R1731=""),"",ROUND(IF(P1731="incl.",F1731/(1+Q1731),F1731)/IF(S1731="per pack",R1731,1),2))</f>
        <v>14.11</v>
      </c>
      <c r="AE1731" s="110" t="str">
        <f aca="false">IF(AND(AC1731="yes",ISNUMBER(F1731),IF(Compare!$H$5="All mapped",TRUE(),IF(Compare!$H$5="EXACT only",J1731="EXACT",OR(J1731="EXACT",J1731="CLOSE")))),"yes","no")</f>
        <v>yes</v>
      </c>
      <c r="AF1731" s="110" t="n">
        <f aca="false">IF(ISNUMBER(H1731),COUNTIFS($B$7:$B$3000,B1731,$C$7:$C$3000,C1731,$H$7:$H$3000,"&lt;"&amp;H1731,$AH$7:$AH$3000,"yes")+COUNTIFS($B$7:B1731,B1731,$C$7:C1731,C1731,$H$7:H1731,H1731,$AH$7:AH1731,"yes"),"")</f>
        <v>3</v>
      </c>
      <c r="AG1731" s="110" t="n">
        <f aca="false">IF(ISNUMBER(I1731),COUNTIFS($B$7:$B$3000,B1731,$C$7:$C$3000,C1731,$I$7:$I$3000,"&lt;"&amp;I1731,$AI$7:$AI$3000,"yes")+COUNTIFS($B$7:B1731,B1731,$C$7:C1731,C1731,$I$7:I1731,I1731,$AI$7:AI1731,"yes"),"")</f>
        <v>3</v>
      </c>
      <c r="AH1731" s="110" t="str">
        <f aca="false">IF(ISNUMBER(H1731),"yes","no")</f>
        <v>yes</v>
      </c>
      <c r="AI1731" s="110" t="str">
        <f aca="false">IF(ISNUMBER(I1731),"yes","no")</f>
        <v>yes</v>
      </c>
      <c r="AJ1731" s="120" t="n">
        <v>46297</v>
      </c>
      <c r="AK1731" s="110"/>
    </row>
    <row r="1732" customFormat="false" ht="35.05" hidden="false" customHeight="false" outlineLevel="0" collapsed="false">
      <c r="B1732" s="36" t="s">
        <v>97</v>
      </c>
      <c r="C1732" s="98" t="s">
        <v>15</v>
      </c>
      <c r="D1732" s="98" t="s">
        <v>243</v>
      </c>
      <c r="E1732" s="110" t="s">
        <v>5387</v>
      </c>
      <c r="F1732" s="99" t="n">
        <v>4.24</v>
      </c>
      <c r="G1732" s="98" t="s">
        <v>244</v>
      </c>
      <c r="H1732" s="112" t="n">
        <f aca="false">IF(AND(AE1732="yes",ISNUMBER(AD1732)),AD1732,"")</f>
        <v>4.24</v>
      </c>
      <c r="I1732" s="95" t="n">
        <f aca="false">IF(AND(AE1732="yes",ISNUMBER(AD1732),ISNUMBER(INDEX(Sources!$G$7:$G$10,MATCH(AB1732,Sources!$B$7:$B$10,0)))),ROUND(AD1732/INDEX(Sources!$G$7:$G$10,MATCH(AB1732,Sources!$B$7:$B$10,0)),6),"")</f>
        <v>4.24</v>
      </c>
      <c r="J1732" s="98" t="s">
        <v>530</v>
      </c>
      <c r="K1732" s="98" t="s">
        <v>2059</v>
      </c>
      <c r="L1732" s="96"/>
      <c r="M1732" s="110" t="s">
        <v>5388</v>
      </c>
      <c r="N1732" s="117" t="s">
        <v>5389</v>
      </c>
      <c r="O1732" s="110" t="s">
        <v>388</v>
      </c>
      <c r="P1732" s="110" t="s">
        <v>590</v>
      </c>
      <c r="Q1732" s="118" t="n">
        <v>0.2</v>
      </c>
      <c r="R1732" s="110" t="n">
        <v>1</v>
      </c>
      <c r="S1732" s="110" t="s">
        <v>632</v>
      </c>
      <c r="T1732" s="110" t="s">
        <v>530</v>
      </c>
      <c r="U1732" s="110" t="s">
        <v>2913</v>
      </c>
      <c r="V1732" s="119" t="n">
        <v>4.24</v>
      </c>
      <c r="W1732" s="119"/>
      <c r="X1732" s="110" t="s">
        <v>2063</v>
      </c>
      <c r="Y1732" s="110" t="s">
        <v>2064</v>
      </c>
      <c r="Z1732" s="110" t="s">
        <v>4337</v>
      </c>
      <c r="AA1732" s="110" t="s">
        <v>537</v>
      </c>
      <c r="AB1732" s="110" t="s">
        <v>244</v>
      </c>
      <c r="AC1732" s="110" t="s">
        <v>538</v>
      </c>
      <c r="AD1732" s="110" t="n">
        <f aca="false">IF(OR(F1732="",Q1732="",R1732=""),"",ROUND(IF(P1732="incl.",F1732/(1+Q1732),F1732)/IF(S1732="per pack",R1732,1),2))</f>
        <v>4.24</v>
      </c>
      <c r="AE1732" s="110" t="str">
        <f aca="false">IF(AND(AC1732="yes",ISNUMBER(F1732),IF(Compare!$H$5="All mapped",TRUE(),IF(Compare!$H$5="EXACT only",J1732="EXACT",OR(J1732="EXACT",J1732="CLOSE")))),"yes","no")</f>
        <v>yes</v>
      </c>
      <c r="AF1732" s="110" t="n">
        <f aca="false">IF(ISNUMBER(H1732),COUNTIFS($B$7:$B$3000,B1732,$C$7:$C$3000,C1732,$H$7:$H$3000,"&lt;"&amp;H1732,$AH$7:$AH$3000,"yes")+COUNTIFS($B$7:B1732,B1732,$C$7:C1732,C1732,$H$7:H1732,H1732,$AH$7:AH1732,"yes"),"")</f>
        <v>4</v>
      </c>
      <c r="AG1732" s="110" t="n">
        <f aca="false">IF(ISNUMBER(I1732),COUNTIFS($B$7:$B$3000,B1732,$C$7:$C$3000,C1732,$I$7:$I$3000,"&lt;"&amp;I1732,$AI$7:$AI$3000,"yes")+COUNTIFS($B$7:B1732,B1732,$C$7:C1732,C1732,$I$7:I1732,I1732,$AI$7:AI1732,"yes"),"")</f>
        <v>4</v>
      </c>
      <c r="AH1732" s="110" t="str">
        <f aca="false">IF(ISNUMBER(H1732),"yes","no")</f>
        <v>yes</v>
      </c>
      <c r="AI1732" s="110" t="str">
        <f aca="false">IF(ISNUMBER(I1732),"yes","no")</f>
        <v>yes</v>
      </c>
      <c r="AJ1732" s="120" t="n">
        <v>46297</v>
      </c>
      <c r="AK1732" s="110"/>
    </row>
    <row r="1733" customFormat="false" ht="35.05" hidden="false" customHeight="false" outlineLevel="0" collapsed="false">
      <c r="B1733" s="36" t="s">
        <v>97</v>
      </c>
      <c r="C1733" s="98" t="s">
        <v>15</v>
      </c>
      <c r="D1733" s="98" t="s">
        <v>277</v>
      </c>
      <c r="E1733" s="110" t="s">
        <v>5390</v>
      </c>
      <c r="F1733" s="99" t="n">
        <v>23.49</v>
      </c>
      <c r="G1733" s="98" t="s">
        <v>244</v>
      </c>
      <c r="H1733" s="112" t="n">
        <f aca="false">IF(AND(AE1733="yes",ISNUMBER(AD1733)),AD1733,"")</f>
        <v>1.96</v>
      </c>
      <c r="I1733" s="95" t="n">
        <f aca="false">IF(AND(AE1733="yes",ISNUMBER(AD1733),ISNUMBER(INDEX(Sources!$G$7:$G$10,MATCH(AB1733,Sources!$B$7:$B$10,0)))),ROUND(AD1733/INDEX(Sources!$G$7:$G$10,MATCH(AB1733,Sources!$B$7:$B$10,0)),6),"")</f>
        <v>1.96</v>
      </c>
      <c r="J1733" s="98" t="s">
        <v>530</v>
      </c>
      <c r="K1733" s="98" t="s">
        <v>2059</v>
      </c>
      <c r="L1733" s="96"/>
      <c r="M1733" s="110" t="s">
        <v>5391</v>
      </c>
      <c r="N1733" s="117" t="s">
        <v>5392</v>
      </c>
      <c r="O1733" s="110" t="s">
        <v>317</v>
      </c>
      <c r="P1733" s="110" t="s">
        <v>590</v>
      </c>
      <c r="Q1733" s="118" t="n">
        <v>0.19</v>
      </c>
      <c r="R1733" s="110" t="n">
        <v>12</v>
      </c>
      <c r="S1733" s="110" t="s">
        <v>625</v>
      </c>
      <c r="T1733" s="110" t="s">
        <v>530</v>
      </c>
      <c r="U1733" s="110" t="s">
        <v>2913</v>
      </c>
      <c r="V1733" s="119" t="n">
        <v>1.96</v>
      </c>
      <c r="W1733" s="119"/>
      <c r="X1733" s="110" t="s">
        <v>2063</v>
      </c>
      <c r="Y1733" s="110" t="s">
        <v>2064</v>
      </c>
      <c r="Z1733" s="110" t="s">
        <v>3922</v>
      </c>
      <c r="AA1733" s="110" t="s">
        <v>537</v>
      </c>
      <c r="AB1733" s="110" t="s">
        <v>244</v>
      </c>
      <c r="AC1733" s="110" t="s">
        <v>538</v>
      </c>
      <c r="AD1733" s="110" t="n">
        <f aca="false">IF(OR(F1733="",Q1733="",R1733=""),"",ROUND(IF(P1733="incl.",F1733/(1+Q1733),F1733)/IF(S1733="per pack",R1733,1),2))</f>
        <v>1.96</v>
      </c>
      <c r="AE1733" s="110" t="str">
        <f aca="false">IF(AND(AC1733="yes",ISNUMBER(F1733),IF(Compare!$H$5="All mapped",TRUE(),IF(Compare!$H$5="EXACT only",J1733="EXACT",OR(J1733="EXACT",J1733="CLOSE")))),"yes","no")</f>
        <v>yes</v>
      </c>
      <c r="AF1733" s="110" t="n">
        <f aca="false">IF(ISNUMBER(H1733),COUNTIFS($B$7:$B$3000,B1733,$C$7:$C$3000,C1733,$H$7:$H$3000,"&lt;"&amp;H1733,$AH$7:$AH$3000,"yes")+COUNTIFS($B$7:B1733,B1733,$C$7:C1733,C1733,$H$7:H1733,H1733,$AH$7:AH1733,"yes"),"")</f>
        <v>1</v>
      </c>
      <c r="AG1733" s="110" t="n">
        <f aca="false">IF(ISNUMBER(I1733),COUNTIFS($B$7:$B$3000,B1733,$C$7:$C$3000,C1733,$I$7:$I$3000,"&lt;"&amp;I1733,$AI$7:$AI$3000,"yes")+COUNTIFS($B$7:B1733,B1733,$C$7:C1733,C1733,$I$7:I1733,I1733,$AI$7:AI1733,"yes"),"")</f>
        <v>1</v>
      </c>
      <c r="AH1733" s="110" t="str">
        <f aca="false">IF(ISNUMBER(H1733),"yes","no")</f>
        <v>yes</v>
      </c>
      <c r="AI1733" s="110" t="str">
        <f aca="false">IF(ISNUMBER(I1733),"yes","no")</f>
        <v>yes</v>
      </c>
      <c r="AJ1733" s="120" t="n">
        <v>46297</v>
      </c>
      <c r="AK1733" s="110"/>
    </row>
    <row r="1734" customFormat="false" ht="35.05" hidden="false" customHeight="false" outlineLevel="0" collapsed="false">
      <c r="B1734" s="36" t="s">
        <v>97</v>
      </c>
      <c r="C1734" s="98" t="s">
        <v>15</v>
      </c>
      <c r="D1734" s="98" t="s">
        <v>269</v>
      </c>
      <c r="E1734" s="110" t="s">
        <v>5393</v>
      </c>
      <c r="F1734" s="99" t="n">
        <v>5.89</v>
      </c>
      <c r="G1734" s="98" t="s">
        <v>244</v>
      </c>
      <c r="H1734" s="112" t="n">
        <f aca="false">IF(AND(AE1734="yes",ISNUMBER(AD1734)),AD1734,"")</f>
        <v>5.89</v>
      </c>
      <c r="I1734" s="95" t="n">
        <f aca="false">IF(AND(AE1734="yes",ISNUMBER(AD1734),ISNUMBER(INDEX(Sources!$G$7:$G$10,MATCH(AB1734,Sources!$B$7:$B$10,0)))),ROUND(AD1734/INDEX(Sources!$G$7:$G$10,MATCH(AB1734,Sources!$B$7:$B$10,0)),6),"")</f>
        <v>5.89</v>
      </c>
      <c r="J1734" s="98" t="s">
        <v>702</v>
      </c>
      <c r="K1734" s="98" t="s">
        <v>2059</v>
      </c>
      <c r="L1734" s="96"/>
      <c r="M1734" s="110" t="s">
        <v>5394</v>
      </c>
      <c r="N1734" s="117" t="s">
        <v>5395</v>
      </c>
      <c r="O1734" s="110" t="s">
        <v>388</v>
      </c>
      <c r="P1734" s="110" t="s">
        <v>590</v>
      </c>
      <c r="Q1734" s="118" t="n">
        <v>0.19</v>
      </c>
      <c r="R1734" s="110" t="n">
        <v>1</v>
      </c>
      <c r="S1734" s="110" t="s">
        <v>632</v>
      </c>
      <c r="T1734" s="110" t="s">
        <v>702</v>
      </c>
      <c r="U1734" s="110" t="s">
        <v>2913</v>
      </c>
      <c r="V1734" s="119" t="n">
        <v>5.89</v>
      </c>
      <c r="W1734" s="119"/>
      <c r="X1734" s="110" t="s">
        <v>2063</v>
      </c>
      <c r="Y1734" s="110" t="s">
        <v>2064</v>
      </c>
      <c r="Z1734" s="110" t="s">
        <v>4345</v>
      </c>
      <c r="AA1734" s="110" t="s">
        <v>537</v>
      </c>
      <c r="AB1734" s="110" t="s">
        <v>244</v>
      </c>
      <c r="AC1734" s="110" t="s">
        <v>538</v>
      </c>
      <c r="AD1734" s="110" t="n">
        <f aca="false">IF(OR(F1734="",Q1734="",R1734=""),"",ROUND(IF(P1734="incl.",F1734/(1+Q1734),F1734)/IF(S1734="per pack",R1734,1),2))</f>
        <v>5.89</v>
      </c>
      <c r="AE1734" s="110" t="str">
        <f aca="false">IF(AND(AC1734="yes",ISNUMBER(F1734),IF(Compare!$H$5="All mapped",TRUE(),IF(Compare!$H$5="EXACT only",J1734="EXACT",OR(J1734="EXACT",J1734="CLOSE")))),"yes","no")</f>
        <v>yes</v>
      </c>
      <c r="AF1734" s="110" t="n">
        <f aca="false">IF(ISNUMBER(H1734),COUNTIFS($B$7:$B$3000,B1734,$C$7:$C$3000,C1734,$H$7:$H$3000,"&lt;"&amp;H1734,$AH$7:$AH$3000,"yes")+COUNTIFS($B$7:B1734,B1734,$C$7:C1734,C1734,$H$7:H1734,H1734,$AH$7:AH1734,"yes"),"")</f>
        <v>5</v>
      </c>
      <c r="AG1734" s="110" t="n">
        <f aca="false">IF(ISNUMBER(I1734),COUNTIFS($B$7:$B$3000,B1734,$C$7:$C$3000,C1734,$I$7:$I$3000,"&lt;"&amp;I1734,$AI$7:$AI$3000,"yes")+COUNTIFS($B$7:B1734,B1734,$C$7:C1734,C1734,$I$7:I1734,I1734,$AI$7:AI1734,"yes"),"")</f>
        <v>5</v>
      </c>
      <c r="AH1734" s="110" t="str">
        <f aca="false">IF(ISNUMBER(H1734),"yes","no")</f>
        <v>yes</v>
      </c>
      <c r="AI1734" s="110" t="str">
        <f aca="false">IF(ISNUMBER(I1734),"yes","no")</f>
        <v>yes</v>
      </c>
      <c r="AJ1734" s="120" t="n">
        <v>46297</v>
      </c>
      <c r="AK1734" s="110"/>
    </row>
    <row r="1735" customFormat="false" ht="23.85" hidden="false" customHeight="false" outlineLevel="0" collapsed="false">
      <c r="B1735" s="36" t="s">
        <v>97</v>
      </c>
      <c r="C1735" s="98" t="s">
        <v>15</v>
      </c>
      <c r="D1735" s="98" t="s">
        <v>264</v>
      </c>
      <c r="E1735" s="110" t="s">
        <v>5396</v>
      </c>
      <c r="F1735" s="99" t="n">
        <v>10.36</v>
      </c>
      <c r="G1735" s="98" t="s">
        <v>244</v>
      </c>
      <c r="H1735" s="112" t="n">
        <f aca="false">IF(AND(AE1735="yes",ISNUMBER(AD1735)),AD1735,"")</f>
        <v>10.36</v>
      </c>
      <c r="I1735" s="95" t="n">
        <f aca="false">IF(AND(AE1735="yes",ISNUMBER(AD1735),ISNUMBER(INDEX(Sources!$G$7:$G$10,MATCH(AB1735,Sources!$B$7:$B$10,0)))),ROUND(AD1735/INDEX(Sources!$G$7:$G$10,MATCH(AB1735,Sources!$B$7:$B$10,0)),6),"")</f>
        <v>10.36</v>
      </c>
      <c r="J1735" s="98" t="s">
        <v>530</v>
      </c>
      <c r="K1735" s="98" t="s">
        <v>2059</v>
      </c>
      <c r="L1735" s="96"/>
      <c r="M1735" s="110" t="s">
        <v>5397</v>
      </c>
      <c r="N1735" s="117" t="s">
        <v>5398</v>
      </c>
      <c r="O1735" s="110" t="s">
        <v>388</v>
      </c>
      <c r="P1735" s="110" t="s">
        <v>590</v>
      </c>
      <c r="Q1735" s="118" t="n">
        <v>0.19</v>
      </c>
      <c r="R1735" s="110" t="n">
        <v>1</v>
      </c>
      <c r="S1735" s="110" t="s">
        <v>632</v>
      </c>
      <c r="T1735" s="110" t="s">
        <v>530</v>
      </c>
      <c r="U1735" s="110" t="s">
        <v>2913</v>
      </c>
      <c r="V1735" s="119" t="n">
        <v>10.36</v>
      </c>
      <c r="W1735" s="119"/>
      <c r="X1735" s="110" t="s">
        <v>2063</v>
      </c>
      <c r="Y1735" s="110" t="s">
        <v>2064</v>
      </c>
      <c r="Z1735" s="110"/>
      <c r="AA1735" s="110" t="s">
        <v>537</v>
      </c>
      <c r="AB1735" s="110" t="s">
        <v>244</v>
      </c>
      <c r="AC1735" s="110" t="s">
        <v>538</v>
      </c>
      <c r="AD1735" s="110" t="n">
        <f aca="false">IF(OR(F1735="",Q1735="",R1735=""),"",ROUND(IF(P1735="incl.",F1735/(1+Q1735),F1735)/IF(S1735="per pack",R1735,1),2))</f>
        <v>10.36</v>
      </c>
      <c r="AE1735" s="110" t="str">
        <f aca="false">IF(AND(AC1735="yes",ISNUMBER(F1735),IF(Compare!$H$5="All mapped",TRUE(),IF(Compare!$H$5="EXACT only",J1735="EXACT",OR(J1735="EXACT",J1735="CLOSE")))),"yes","no")</f>
        <v>yes</v>
      </c>
      <c r="AF1735" s="110" t="n">
        <f aca="false">IF(ISNUMBER(H1735),COUNTIFS($B$7:$B$3000,B1735,$C$7:$C$3000,C1735,$H$7:$H$3000,"&lt;"&amp;H1735,$AH$7:$AH$3000,"yes")+COUNTIFS($B$7:B1735,B1735,$C$7:C1735,C1735,$H$7:H1735,H1735,$AH$7:AH1735,"yes"),"")</f>
        <v>6</v>
      </c>
      <c r="AG1735" s="110" t="n">
        <f aca="false">IF(ISNUMBER(I1735),COUNTIFS($B$7:$B$3000,B1735,$C$7:$C$3000,C1735,$I$7:$I$3000,"&lt;"&amp;I1735,$AI$7:$AI$3000,"yes")+COUNTIFS($B$7:B1735,B1735,$C$7:C1735,C1735,$I$7:I1735,I1735,$AI$7:AI1735,"yes"),"")</f>
        <v>6</v>
      </c>
      <c r="AH1735" s="110" t="str">
        <f aca="false">IF(ISNUMBER(H1735),"yes","no")</f>
        <v>yes</v>
      </c>
      <c r="AI1735" s="110" t="str">
        <f aca="false">IF(ISNUMBER(I1735),"yes","no")</f>
        <v>yes</v>
      </c>
      <c r="AJ1735" s="120" t="n">
        <v>46297</v>
      </c>
      <c r="AK1735" s="110"/>
    </row>
    <row r="1736" customFormat="false" ht="46.25" hidden="false" customHeight="false" outlineLevel="0" collapsed="false">
      <c r="B1736" s="36" t="s">
        <v>97</v>
      </c>
      <c r="C1736" s="98" t="s">
        <v>15</v>
      </c>
      <c r="D1736" s="98" t="s">
        <v>281</v>
      </c>
      <c r="E1736" s="110" t="s">
        <v>5399</v>
      </c>
      <c r="F1736" s="99" t="n">
        <v>2.44</v>
      </c>
      <c r="G1736" s="98" t="s">
        <v>244</v>
      </c>
      <c r="H1736" s="112" t="n">
        <f aca="false">IF(AND(AE1736="yes",ISNUMBER(AD1736)),AD1736,"")</f>
        <v>2.44</v>
      </c>
      <c r="I1736" s="95" t="n">
        <f aca="false">IF(AND(AE1736="yes",ISNUMBER(AD1736),ISNUMBER(INDEX(Sources!$G$7:$G$10,MATCH(AB1736,Sources!$B$7:$B$10,0)))),ROUND(AD1736/INDEX(Sources!$G$7:$G$10,MATCH(AB1736,Sources!$B$7:$B$10,0)),6),"")</f>
        <v>2.44</v>
      </c>
      <c r="J1736" s="98" t="s">
        <v>530</v>
      </c>
      <c r="K1736" s="98" t="s">
        <v>2059</v>
      </c>
      <c r="L1736" s="96"/>
      <c r="M1736" s="110" t="s">
        <v>5400</v>
      </c>
      <c r="N1736" s="117" t="s">
        <v>5401</v>
      </c>
      <c r="O1736" s="110" t="s">
        <v>603</v>
      </c>
      <c r="P1736" s="110" t="s">
        <v>590</v>
      </c>
      <c r="Q1736" s="118" t="n">
        <v>0.2</v>
      </c>
      <c r="R1736" s="110" t="n">
        <v>1</v>
      </c>
      <c r="S1736" s="110" t="s">
        <v>632</v>
      </c>
      <c r="T1736" s="110" t="s">
        <v>530</v>
      </c>
      <c r="U1736" s="110" t="s">
        <v>2913</v>
      </c>
      <c r="V1736" s="119" t="n">
        <v>2.44</v>
      </c>
      <c r="W1736" s="119"/>
      <c r="X1736" s="110" t="s">
        <v>2063</v>
      </c>
      <c r="Y1736" s="110" t="s">
        <v>2064</v>
      </c>
      <c r="Z1736" s="110" t="s">
        <v>2125</v>
      </c>
      <c r="AA1736" s="110" t="s">
        <v>537</v>
      </c>
      <c r="AB1736" s="110" t="s">
        <v>244</v>
      </c>
      <c r="AC1736" s="110" t="s">
        <v>538</v>
      </c>
      <c r="AD1736" s="110" t="n">
        <f aca="false">IF(OR(F1736="",Q1736="",R1736=""),"",ROUND(IF(P1736="incl.",F1736/(1+Q1736),F1736)/IF(S1736="per pack",R1736,1),2))</f>
        <v>2.44</v>
      </c>
      <c r="AE1736" s="110" t="str">
        <f aca="false">IF(AND(AC1736="yes",ISNUMBER(F1736),IF(Compare!$H$5="All mapped",TRUE(),IF(Compare!$H$5="EXACT only",J1736="EXACT",OR(J1736="EXACT",J1736="CLOSE")))),"yes","no")</f>
        <v>yes</v>
      </c>
      <c r="AF1736" s="110" t="n">
        <f aca="false">IF(ISNUMBER(H1736),COUNTIFS($B$7:$B$3000,B1736,$C$7:$C$3000,C1736,$H$7:$H$3000,"&lt;"&amp;H1736,$AH$7:$AH$3000,"yes")+COUNTIFS($B$7:B1736,B1736,$C$7:C1736,C1736,$H$7:H1736,H1736,$AH$7:AH1736,"yes"),"")</f>
        <v>3</v>
      </c>
      <c r="AG1736" s="110" t="n">
        <f aca="false">IF(ISNUMBER(I1736),COUNTIFS($B$7:$B$3000,B1736,$C$7:$C$3000,C1736,$I$7:$I$3000,"&lt;"&amp;I1736,$AI$7:$AI$3000,"yes")+COUNTIFS($B$7:B1736,B1736,$C$7:C1736,C1736,$I$7:I1736,I1736,$AI$7:AI1736,"yes"),"")</f>
        <v>3</v>
      </c>
      <c r="AH1736" s="110" t="str">
        <f aca="false">IF(ISNUMBER(H1736),"yes","no")</f>
        <v>yes</v>
      </c>
      <c r="AI1736" s="110" t="str">
        <f aca="false">IF(ISNUMBER(I1736),"yes","no")</f>
        <v>yes</v>
      </c>
      <c r="AJ1736" s="120" t="n">
        <v>46297</v>
      </c>
      <c r="AK1736" s="110"/>
    </row>
    <row r="1737" customFormat="false" ht="35.05" hidden="false" customHeight="false" outlineLevel="0" collapsed="false">
      <c r="B1737" s="36" t="s">
        <v>97</v>
      </c>
      <c r="C1737" s="98" t="s">
        <v>15</v>
      </c>
      <c r="D1737" s="98" t="s">
        <v>293</v>
      </c>
      <c r="E1737" s="110" t="s">
        <v>5402</v>
      </c>
      <c r="F1737" s="99" t="n">
        <v>2.1</v>
      </c>
      <c r="G1737" s="98" t="s">
        <v>244</v>
      </c>
      <c r="H1737" s="112" t="n">
        <f aca="false">IF(AND(AE1737="yes",ISNUMBER(AD1737)),AD1737,"")</f>
        <v>2.1</v>
      </c>
      <c r="I1737" s="95" t="n">
        <f aca="false">IF(AND(AE1737="yes",ISNUMBER(AD1737),ISNUMBER(INDEX(Sources!$G$7:$G$10,MATCH(AB1737,Sources!$B$7:$B$10,0)))),ROUND(AD1737/INDEX(Sources!$G$7:$G$10,MATCH(AB1737,Sources!$B$7:$B$10,0)),6),"")</f>
        <v>2.1</v>
      </c>
      <c r="J1737" s="98" t="s">
        <v>530</v>
      </c>
      <c r="K1737" s="98" t="s">
        <v>2059</v>
      </c>
      <c r="L1737" s="96"/>
      <c r="M1737" s="110" t="s">
        <v>5403</v>
      </c>
      <c r="N1737" s="117" t="s">
        <v>5404</v>
      </c>
      <c r="O1737" s="110" t="s">
        <v>4358</v>
      </c>
      <c r="P1737" s="110" t="s">
        <v>590</v>
      </c>
      <c r="Q1737" s="118" t="n">
        <v>0.2</v>
      </c>
      <c r="R1737" s="110" t="n">
        <v>1</v>
      </c>
      <c r="S1737" s="110" t="s">
        <v>632</v>
      </c>
      <c r="T1737" s="110" t="s">
        <v>530</v>
      </c>
      <c r="U1737" s="110" t="s">
        <v>2913</v>
      </c>
      <c r="V1737" s="119" t="n">
        <v>2.1</v>
      </c>
      <c r="W1737" s="119"/>
      <c r="X1737" s="110" t="s">
        <v>2063</v>
      </c>
      <c r="Y1737" s="110" t="s">
        <v>2064</v>
      </c>
      <c r="Z1737" s="110"/>
      <c r="AA1737" s="110" t="s">
        <v>537</v>
      </c>
      <c r="AB1737" s="110" t="s">
        <v>244</v>
      </c>
      <c r="AC1737" s="110" t="s">
        <v>538</v>
      </c>
      <c r="AD1737" s="110" t="n">
        <f aca="false">IF(OR(F1737="",Q1737="",R1737=""),"",ROUND(IF(P1737="incl.",F1737/(1+Q1737),F1737)/IF(S1737="per pack",R1737,1),2))</f>
        <v>2.1</v>
      </c>
      <c r="AE1737" s="110" t="str">
        <f aca="false">IF(AND(AC1737="yes",ISNUMBER(F1737),IF(Compare!$H$5="All mapped",TRUE(),IF(Compare!$H$5="EXACT only",J1737="EXACT",OR(J1737="EXACT",J1737="CLOSE")))),"yes","no")</f>
        <v>yes</v>
      </c>
      <c r="AF1737" s="110" t="n">
        <f aca="false">IF(ISNUMBER(H1737),COUNTIFS($B$7:$B$3000,B1737,$C$7:$C$3000,C1737,$H$7:$H$3000,"&lt;"&amp;H1737,$AH$7:$AH$3000,"yes")+COUNTIFS($B$7:B1737,B1737,$C$7:C1737,C1737,$H$7:H1737,H1737,$AH$7:AH1737,"yes"),"")</f>
        <v>2</v>
      </c>
      <c r="AG1737" s="110" t="n">
        <f aca="false">IF(ISNUMBER(I1737),COUNTIFS($B$7:$B$3000,B1737,$C$7:$C$3000,C1737,$I$7:$I$3000,"&lt;"&amp;I1737,$AI$7:$AI$3000,"yes")+COUNTIFS($B$7:B1737,B1737,$C$7:C1737,C1737,$I$7:I1737,I1737,$AI$7:AI1737,"yes"),"")</f>
        <v>2</v>
      </c>
      <c r="AH1737" s="110" t="str">
        <f aca="false">IF(ISNUMBER(H1737),"yes","no")</f>
        <v>yes</v>
      </c>
      <c r="AI1737" s="110" t="str">
        <f aca="false">IF(ISNUMBER(I1737),"yes","no")</f>
        <v>yes</v>
      </c>
      <c r="AJ1737" s="120" t="n">
        <v>46297</v>
      </c>
      <c r="AK1737" s="110"/>
    </row>
    <row r="1738" customFormat="false" ht="23.85" hidden="false" customHeight="false" outlineLevel="0" collapsed="false">
      <c r="B1738" s="36" t="s">
        <v>97</v>
      </c>
      <c r="C1738" s="98" t="s">
        <v>16</v>
      </c>
      <c r="D1738" s="98" t="s">
        <v>296</v>
      </c>
      <c r="E1738" s="110" t="s">
        <v>5387</v>
      </c>
      <c r="F1738" s="99" t="n">
        <v>4.24</v>
      </c>
      <c r="G1738" s="98" t="s">
        <v>244</v>
      </c>
      <c r="H1738" s="112" t="n">
        <f aca="false">IF(AND(AE1738="yes",ISNUMBER(AD1738)),AD1738,"")</f>
        <v>4.24</v>
      </c>
      <c r="I1738" s="95" t="n">
        <f aca="false">IF(AND(AE1738="yes",ISNUMBER(AD1738),ISNUMBER(INDEX(Sources!$G$7:$G$10,MATCH(AB1738,Sources!$B$7:$B$10,0)))),ROUND(AD1738/INDEX(Sources!$G$7:$G$10,MATCH(AB1738,Sources!$B$7:$B$10,0)),6),"")</f>
        <v>4.24</v>
      </c>
      <c r="J1738" s="98" t="s">
        <v>530</v>
      </c>
      <c r="K1738" s="98" t="s">
        <v>2059</v>
      </c>
      <c r="L1738" s="96"/>
      <c r="M1738" s="110" t="s">
        <v>5405</v>
      </c>
      <c r="N1738" s="117" t="s">
        <v>5406</v>
      </c>
      <c r="O1738" s="110" t="s">
        <v>388</v>
      </c>
      <c r="P1738" s="110" t="s">
        <v>590</v>
      </c>
      <c r="Q1738" s="118" t="n">
        <v>0.19</v>
      </c>
      <c r="R1738" s="110" t="n">
        <v>1</v>
      </c>
      <c r="S1738" s="110" t="s">
        <v>632</v>
      </c>
      <c r="T1738" s="110" t="s">
        <v>530</v>
      </c>
      <c r="U1738" s="110" t="s">
        <v>2913</v>
      </c>
      <c r="V1738" s="119" t="n">
        <v>4.24</v>
      </c>
      <c r="W1738" s="119"/>
      <c r="X1738" s="110" t="s">
        <v>2063</v>
      </c>
      <c r="Y1738" s="110" t="s">
        <v>2064</v>
      </c>
      <c r="Z1738" s="110" t="s">
        <v>2065</v>
      </c>
      <c r="AA1738" s="110" t="s">
        <v>537</v>
      </c>
      <c r="AB1738" s="110" t="s">
        <v>244</v>
      </c>
      <c r="AC1738" s="110" t="s">
        <v>538</v>
      </c>
      <c r="AD1738" s="110" t="n">
        <f aca="false">IF(OR(F1738="",Q1738="",R1738=""),"",ROUND(IF(P1738="incl.",F1738/(1+Q1738),F1738)/IF(S1738="per pack",R1738,1),2))</f>
        <v>4.24</v>
      </c>
      <c r="AE1738" s="110" t="str">
        <f aca="false">IF(AND(AC1738="yes",ISNUMBER(F1738),IF(Compare!$H$5="All mapped",TRUE(),IF(Compare!$H$5="EXACT only",J1738="EXACT",OR(J1738="EXACT",J1738="CLOSE")))),"yes","no")</f>
        <v>yes</v>
      </c>
      <c r="AF1738" s="110" t="n">
        <f aca="false">IF(ISNUMBER(H1738),COUNTIFS($B$7:$B$3000,B1738,$C$7:$C$3000,C1738,$H$7:$H$3000,"&lt;"&amp;H1738,$AH$7:$AH$3000,"yes")+COUNTIFS($B$7:B1738,B1738,$C$7:C1738,C1738,$H$7:H1738,H1738,$AH$7:AH1738,"yes"),"")</f>
        <v>6</v>
      </c>
      <c r="AG1738" s="110" t="n">
        <f aca="false">IF(ISNUMBER(I1738),COUNTIFS($B$7:$B$3000,B1738,$C$7:$C$3000,C1738,$I$7:$I$3000,"&lt;"&amp;I1738,$AI$7:$AI$3000,"yes")+COUNTIFS($B$7:B1738,B1738,$C$7:C1738,C1738,$I$7:I1738,I1738,$AI$7:AI1738,"yes"),"")</f>
        <v>6</v>
      </c>
      <c r="AH1738" s="110" t="str">
        <f aca="false">IF(ISNUMBER(H1738),"yes","no")</f>
        <v>yes</v>
      </c>
      <c r="AI1738" s="110" t="str">
        <f aca="false">IF(ISNUMBER(I1738),"yes","no")</f>
        <v>yes</v>
      </c>
      <c r="AJ1738" s="120" t="n">
        <v>46297</v>
      </c>
      <c r="AK1738" s="110"/>
    </row>
    <row r="1739" customFormat="false" ht="35.05" hidden="false" customHeight="false" outlineLevel="0" collapsed="false">
      <c r="B1739" s="36" t="s">
        <v>97</v>
      </c>
      <c r="C1739" s="98" t="s">
        <v>16</v>
      </c>
      <c r="D1739" s="98" t="s">
        <v>317</v>
      </c>
      <c r="E1739" s="110" t="s">
        <v>5390</v>
      </c>
      <c r="F1739" s="99" t="n">
        <v>21.99</v>
      </c>
      <c r="G1739" s="98" t="s">
        <v>244</v>
      </c>
      <c r="H1739" s="112" t="n">
        <f aca="false">IF(AND(AE1739="yes",ISNUMBER(AD1739)),AD1739,"")</f>
        <v>1.83</v>
      </c>
      <c r="I1739" s="95" t="n">
        <f aca="false">IF(AND(AE1739="yes",ISNUMBER(AD1739),ISNUMBER(INDEX(Sources!$G$7:$G$10,MATCH(AB1739,Sources!$B$7:$B$10,0)))),ROUND(AD1739/INDEX(Sources!$G$7:$G$10,MATCH(AB1739,Sources!$B$7:$B$10,0)),6),"")</f>
        <v>1.83</v>
      </c>
      <c r="J1739" s="98" t="s">
        <v>530</v>
      </c>
      <c r="K1739" s="98" t="s">
        <v>2059</v>
      </c>
      <c r="L1739" s="96"/>
      <c r="M1739" s="110" t="s">
        <v>5407</v>
      </c>
      <c r="N1739" s="117" t="s">
        <v>5408</v>
      </c>
      <c r="O1739" s="110" t="s">
        <v>317</v>
      </c>
      <c r="P1739" s="110" t="s">
        <v>590</v>
      </c>
      <c r="Q1739" s="118" t="n">
        <v>0.19</v>
      </c>
      <c r="R1739" s="110" t="n">
        <v>12</v>
      </c>
      <c r="S1739" s="110" t="s">
        <v>625</v>
      </c>
      <c r="T1739" s="110" t="s">
        <v>530</v>
      </c>
      <c r="U1739" s="110" t="s">
        <v>2913</v>
      </c>
      <c r="V1739" s="119" t="n">
        <v>1.83</v>
      </c>
      <c r="W1739" s="119"/>
      <c r="X1739" s="110" t="s">
        <v>2063</v>
      </c>
      <c r="Y1739" s="110" t="s">
        <v>2064</v>
      </c>
      <c r="Z1739" s="110" t="s">
        <v>2638</v>
      </c>
      <c r="AA1739" s="110" t="s">
        <v>537</v>
      </c>
      <c r="AB1739" s="110" t="s">
        <v>244</v>
      </c>
      <c r="AC1739" s="110" t="s">
        <v>538</v>
      </c>
      <c r="AD1739" s="110" t="n">
        <f aca="false">IF(OR(F1739="",Q1739="",R1739=""),"",ROUND(IF(P1739="incl.",F1739/(1+Q1739),F1739)/IF(S1739="per pack",R1739,1),2))</f>
        <v>1.83</v>
      </c>
      <c r="AE1739" s="110" t="str">
        <f aca="false">IF(AND(AC1739="yes",ISNUMBER(F1739),IF(Compare!$H$5="All mapped",TRUE(),IF(Compare!$H$5="EXACT only",J1739="EXACT",OR(J1739="EXACT",J1739="CLOSE")))),"yes","no")</f>
        <v>yes</v>
      </c>
      <c r="AF1739" s="110" t="n">
        <f aca="false">IF(ISNUMBER(H1739),COUNTIFS($B$7:$B$3000,B1739,$C$7:$C$3000,C1739,$H$7:$H$3000,"&lt;"&amp;H1739,$AH$7:$AH$3000,"yes")+COUNTIFS($B$7:B1739,B1739,$C$7:C1739,C1739,$H$7:H1739,H1739,$AH$7:AH1739,"yes"),"")</f>
        <v>1</v>
      </c>
      <c r="AG1739" s="110" t="n">
        <f aca="false">IF(ISNUMBER(I1739),COUNTIFS($B$7:$B$3000,B1739,$C$7:$C$3000,C1739,$I$7:$I$3000,"&lt;"&amp;I1739,$AI$7:$AI$3000,"yes")+COUNTIFS($B$7:B1739,B1739,$C$7:C1739,C1739,$I$7:I1739,I1739,$AI$7:AI1739,"yes"),"")</f>
        <v>1</v>
      </c>
      <c r="AH1739" s="110" t="str">
        <f aca="false">IF(ISNUMBER(H1739),"yes","no")</f>
        <v>yes</v>
      </c>
      <c r="AI1739" s="110" t="str">
        <f aca="false">IF(ISNUMBER(I1739),"yes","no")</f>
        <v>yes</v>
      </c>
      <c r="AJ1739" s="120" t="n">
        <v>46297</v>
      </c>
      <c r="AK1739" s="110"/>
    </row>
    <row r="1740" customFormat="false" ht="23.85" hidden="false" customHeight="false" outlineLevel="0" collapsed="false">
      <c r="B1740" s="36" t="s">
        <v>97</v>
      </c>
      <c r="C1740" s="98" t="s">
        <v>16</v>
      </c>
      <c r="D1740" s="98" t="s">
        <v>305</v>
      </c>
      <c r="E1740" s="110" t="s">
        <v>5409</v>
      </c>
      <c r="F1740" s="99" t="n">
        <v>2.17</v>
      </c>
      <c r="G1740" s="98" t="s">
        <v>244</v>
      </c>
      <c r="H1740" s="112" t="n">
        <f aca="false">IF(AND(AE1740="yes",ISNUMBER(AD1740)),AD1740,"")</f>
        <v>2.17</v>
      </c>
      <c r="I1740" s="95" t="n">
        <f aca="false">IF(AND(AE1740="yes",ISNUMBER(AD1740),ISNUMBER(INDEX(Sources!$G$7:$G$10,MATCH(AB1740,Sources!$B$7:$B$10,0)))),ROUND(AD1740/INDEX(Sources!$G$7:$G$10,MATCH(AB1740,Sources!$B$7:$B$10,0)),6),"")</f>
        <v>2.17</v>
      </c>
      <c r="J1740" s="98" t="s">
        <v>530</v>
      </c>
      <c r="K1740" s="98" t="s">
        <v>2059</v>
      </c>
      <c r="L1740" s="96"/>
      <c r="M1740" s="110" t="s">
        <v>5410</v>
      </c>
      <c r="N1740" s="117" t="s">
        <v>5411</v>
      </c>
      <c r="O1740" s="110" t="s">
        <v>603</v>
      </c>
      <c r="P1740" s="110" t="s">
        <v>590</v>
      </c>
      <c r="Q1740" s="118" t="n">
        <v>0.19</v>
      </c>
      <c r="R1740" s="110" t="n">
        <v>1</v>
      </c>
      <c r="S1740" s="110" t="s">
        <v>632</v>
      </c>
      <c r="T1740" s="110" t="s">
        <v>530</v>
      </c>
      <c r="U1740" s="110" t="s">
        <v>2913</v>
      </c>
      <c r="V1740" s="119" t="n">
        <v>2.17</v>
      </c>
      <c r="W1740" s="119"/>
      <c r="X1740" s="110" t="s">
        <v>2063</v>
      </c>
      <c r="Y1740" s="110" t="s">
        <v>2064</v>
      </c>
      <c r="Z1740" s="110" t="s">
        <v>2142</v>
      </c>
      <c r="AA1740" s="110" t="s">
        <v>537</v>
      </c>
      <c r="AB1740" s="110" t="s">
        <v>244</v>
      </c>
      <c r="AC1740" s="110" t="s">
        <v>538</v>
      </c>
      <c r="AD1740" s="110" t="n">
        <f aca="false">IF(OR(F1740="",Q1740="",R1740=""),"",ROUND(IF(P1740="incl.",F1740/(1+Q1740),F1740)/IF(S1740="per pack",R1740,1),2))</f>
        <v>2.17</v>
      </c>
      <c r="AE1740" s="110" t="str">
        <f aca="false">IF(AND(AC1740="yes",ISNUMBER(F1740),IF(Compare!$H$5="All mapped",TRUE(),IF(Compare!$H$5="EXACT only",J1740="EXACT",OR(J1740="EXACT",J1740="CLOSE")))),"yes","no")</f>
        <v>yes</v>
      </c>
      <c r="AF1740" s="110" t="n">
        <f aca="false">IF(ISNUMBER(H1740),COUNTIFS($B$7:$B$3000,B1740,$C$7:$C$3000,C1740,$H$7:$H$3000,"&lt;"&amp;H1740,$AH$7:$AH$3000,"yes")+COUNTIFS($B$7:B1740,B1740,$C$7:C1740,C1740,$H$7:H1740,H1740,$AH$7:AH1740,"yes"),"")</f>
        <v>2</v>
      </c>
      <c r="AG1740" s="110" t="n">
        <f aca="false">IF(ISNUMBER(I1740),COUNTIFS($B$7:$B$3000,B1740,$C$7:$C$3000,C1740,$I$7:$I$3000,"&lt;"&amp;I1740,$AI$7:$AI$3000,"yes")+COUNTIFS($B$7:B1740,B1740,$C$7:C1740,C1740,$I$7:I1740,I1740,$AI$7:AI1740,"yes"),"")</f>
        <v>2</v>
      </c>
      <c r="AH1740" s="110" t="str">
        <f aca="false">IF(ISNUMBER(H1740),"yes","no")</f>
        <v>yes</v>
      </c>
      <c r="AI1740" s="110" t="str">
        <f aca="false">IF(ISNUMBER(I1740),"yes","no")</f>
        <v>yes</v>
      </c>
      <c r="AJ1740" s="120" t="n">
        <v>46297</v>
      </c>
      <c r="AK1740" s="110"/>
    </row>
    <row r="1741" customFormat="false" ht="23.85" hidden="false" customHeight="false" outlineLevel="0" collapsed="false">
      <c r="B1741" s="36" t="s">
        <v>97</v>
      </c>
      <c r="C1741" s="98" t="s">
        <v>16</v>
      </c>
      <c r="D1741" s="98" t="s">
        <v>311</v>
      </c>
      <c r="E1741" s="110" t="s">
        <v>5412</v>
      </c>
      <c r="F1741" s="99" t="n">
        <v>2.59</v>
      </c>
      <c r="G1741" s="98" t="s">
        <v>244</v>
      </c>
      <c r="H1741" s="112" t="n">
        <f aca="false">IF(AND(AE1741="yes",ISNUMBER(AD1741)),AD1741,"")</f>
        <v>2.59</v>
      </c>
      <c r="I1741" s="95" t="n">
        <f aca="false">IF(AND(AE1741="yes",ISNUMBER(AD1741),ISNUMBER(INDEX(Sources!$G$7:$G$10,MATCH(AB1741,Sources!$B$7:$B$10,0)))),ROUND(AD1741/INDEX(Sources!$G$7:$G$10,MATCH(AB1741,Sources!$B$7:$B$10,0)),6),"")</f>
        <v>2.59</v>
      </c>
      <c r="J1741" s="98" t="s">
        <v>530</v>
      </c>
      <c r="K1741" s="98" t="s">
        <v>2059</v>
      </c>
      <c r="L1741" s="96"/>
      <c r="M1741" s="110" t="s">
        <v>5413</v>
      </c>
      <c r="N1741" s="117" t="s">
        <v>5414</v>
      </c>
      <c r="O1741" s="110" t="s">
        <v>589</v>
      </c>
      <c r="P1741" s="110" t="s">
        <v>590</v>
      </c>
      <c r="Q1741" s="118" t="n">
        <v>0.19</v>
      </c>
      <c r="R1741" s="110" t="n">
        <v>1</v>
      </c>
      <c r="S1741" s="110" t="s">
        <v>632</v>
      </c>
      <c r="T1741" s="110" t="s">
        <v>530</v>
      </c>
      <c r="U1741" s="110" t="s">
        <v>2913</v>
      </c>
      <c r="V1741" s="119" t="n">
        <v>2.59</v>
      </c>
      <c r="W1741" s="119"/>
      <c r="X1741" s="110" t="s">
        <v>2063</v>
      </c>
      <c r="Y1741" s="110" t="s">
        <v>2064</v>
      </c>
      <c r="Z1741" s="110" t="s">
        <v>4369</v>
      </c>
      <c r="AA1741" s="110" t="s">
        <v>537</v>
      </c>
      <c r="AB1741" s="110" t="s">
        <v>244</v>
      </c>
      <c r="AC1741" s="110" t="s">
        <v>538</v>
      </c>
      <c r="AD1741" s="110" t="n">
        <f aca="false">IF(OR(F1741="",Q1741="",R1741=""),"",ROUND(IF(P1741="incl.",F1741/(1+Q1741),F1741)/IF(S1741="per pack",R1741,1),2))</f>
        <v>2.59</v>
      </c>
      <c r="AE1741" s="110" t="str">
        <f aca="false">IF(AND(AC1741="yes",ISNUMBER(F1741),IF(Compare!$H$5="All mapped",TRUE(),IF(Compare!$H$5="EXACT only",J1741="EXACT",OR(J1741="EXACT",J1741="CLOSE")))),"yes","no")</f>
        <v>yes</v>
      </c>
      <c r="AF1741" s="110" t="n">
        <f aca="false">IF(ISNUMBER(H1741),COUNTIFS($B$7:$B$3000,B1741,$C$7:$C$3000,C1741,$H$7:$H$3000,"&lt;"&amp;H1741,$AH$7:$AH$3000,"yes")+COUNTIFS($B$7:B1741,B1741,$C$7:C1741,C1741,$H$7:H1741,H1741,$AH$7:AH1741,"yes"),"")</f>
        <v>4</v>
      </c>
      <c r="AG1741" s="110" t="n">
        <f aca="false">IF(ISNUMBER(I1741),COUNTIFS($B$7:$B$3000,B1741,$C$7:$C$3000,C1741,$I$7:$I$3000,"&lt;"&amp;I1741,$AI$7:$AI$3000,"yes")+COUNTIFS($B$7:B1741,B1741,$C$7:C1741,C1741,$I$7:I1741,I1741,$AI$7:AI1741,"yes"),"")</f>
        <v>4</v>
      </c>
      <c r="AH1741" s="110" t="str">
        <f aca="false">IF(ISNUMBER(H1741),"yes","no")</f>
        <v>yes</v>
      </c>
      <c r="AI1741" s="110" t="str">
        <f aca="false">IF(ISNUMBER(I1741),"yes","no")</f>
        <v>yes</v>
      </c>
      <c r="AJ1741" s="120" t="n">
        <v>46297</v>
      </c>
      <c r="AK1741" s="110"/>
    </row>
    <row r="1742" customFormat="false" ht="23.85" hidden="false" customHeight="false" outlineLevel="0" collapsed="false">
      <c r="B1742" s="36" t="s">
        <v>97</v>
      </c>
      <c r="C1742" s="98" t="s">
        <v>16</v>
      </c>
      <c r="D1742" s="98" t="s">
        <v>309</v>
      </c>
      <c r="E1742" s="110" t="s">
        <v>5415</v>
      </c>
      <c r="F1742" s="99" t="n">
        <v>12.9</v>
      </c>
      <c r="G1742" s="98" t="s">
        <v>244</v>
      </c>
      <c r="H1742" s="112" t="n">
        <f aca="false">IF(AND(AE1742="yes",ISNUMBER(AD1742)),AD1742,"")</f>
        <v>12.9</v>
      </c>
      <c r="I1742" s="95" t="n">
        <f aca="false">IF(AND(AE1742="yes",ISNUMBER(AD1742),ISNUMBER(INDEX(Sources!$G$7:$G$10,MATCH(AB1742,Sources!$B$7:$B$10,0)))),ROUND(AD1742/INDEX(Sources!$G$7:$G$10,MATCH(AB1742,Sources!$B$7:$B$10,0)),6),"")</f>
        <v>12.9</v>
      </c>
      <c r="J1742" s="98" t="s">
        <v>530</v>
      </c>
      <c r="K1742" s="98" t="s">
        <v>2059</v>
      </c>
      <c r="L1742" s="96"/>
      <c r="M1742" s="110" t="s">
        <v>5416</v>
      </c>
      <c r="N1742" s="117" t="s">
        <v>5417</v>
      </c>
      <c r="O1742" s="110" t="s">
        <v>603</v>
      </c>
      <c r="P1742" s="110" t="s">
        <v>590</v>
      </c>
      <c r="Q1742" s="118" t="n">
        <v>0.19</v>
      </c>
      <c r="R1742" s="110" t="n">
        <v>1</v>
      </c>
      <c r="S1742" s="110" t="s">
        <v>632</v>
      </c>
      <c r="T1742" s="110" t="s">
        <v>530</v>
      </c>
      <c r="U1742" s="110" t="s">
        <v>2913</v>
      </c>
      <c r="V1742" s="119" t="n">
        <v>12.9</v>
      </c>
      <c r="W1742" s="119"/>
      <c r="X1742" s="110" t="s">
        <v>2063</v>
      </c>
      <c r="Y1742" s="110" t="s">
        <v>2064</v>
      </c>
      <c r="Z1742" s="110" t="s">
        <v>4373</v>
      </c>
      <c r="AA1742" s="110" t="s">
        <v>537</v>
      </c>
      <c r="AB1742" s="110" t="s">
        <v>244</v>
      </c>
      <c r="AC1742" s="110" t="s">
        <v>538</v>
      </c>
      <c r="AD1742" s="110" t="n">
        <f aca="false">IF(OR(F1742="",Q1742="",R1742=""),"",ROUND(IF(P1742="incl.",F1742/(1+Q1742),F1742)/IF(S1742="per pack",R1742,1),2))</f>
        <v>12.9</v>
      </c>
      <c r="AE1742" s="110" t="str">
        <f aca="false">IF(AND(AC1742="yes",ISNUMBER(F1742),IF(Compare!$H$5="All mapped",TRUE(),IF(Compare!$H$5="EXACT only",J1742="EXACT",OR(J1742="EXACT",J1742="CLOSE")))),"yes","no")</f>
        <v>yes</v>
      </c>
      <c r="AF1742" s="110" t="n">
        <f aca="false">IF(ISNUMBER(H1742),COUNTIFS($B$7:$B$3000,B1742,$C$7:$C$3000,C1742,$H$7:$H$3000,"&lt;"&amp;H1742,$AH$7:$AH$3000,"yes")+COUNTIFS($B$7:B1742,B1742,$C$7:C1742,C1742,$H$7:H1742,H1742,$AH$7:AH1742,"yes"),"")</f>
        <v>7</v>
      </c>
      <c r="AG1742" s="110" t="n">
        <f aca="false">IF(ISNUMBER(I1742),COUNTIFS($B$7:$B$3000,B1742,$C$7:$C$3000,C1742,$I$7:$I$3000,"&lt;"&amp;I1742,$AI$7:$AI$3000,"yes")+COUNTIFS($B$7:B1742,B1742,$C$7:C1742,C1742,$I$7:I1742,I1742,$AI$7:AI1742,"yes"),"")</f>
        <v>7</v>
      </c>
      <c r="AH1742" s="110" t="str">
        <f aca="false">IF(ISNUMBER(H1742),"yes","no")</f>
        <v>yes</v>
      </c>
      <c r="AI1742" s="110" t="str">
        <f aca="false">IF(ISNUMBER(I1742),"yes","no")</f>
        <v>yes</v>
      </c>
      <c r="AJ1742" s="120" t="n">
        <v>46297</v>
      </c>
      <c r="AK1742" s="110"/>
    </row>
    <row r="1743" customFormat="false" ht="23.85" hidden="false" customHeight="false" outlineLevel="0" collapsed="false">
      <c r="B1743" s="36" t="s">
        <v>97</v>
      </c>
      <c r="C1743" s="98" t="s">
        <v>16</v>
      </c>
      <c r="D1743" s="98" t="s">
        <v>321</v>
      </c>
      <c r="E1743" s="110" t="s">
        <v>5399</v>
      </c>
      <c r="F1743" s="99" t="n">
        <v>2.44</v>
      </c>
      <c r="G1743" s="98" t="s">
        <v>244</v>
      </c>
      <c r="H1743" s="112" t="n">
        <f aca="false">IF(AND(AE1743="yes",ISNUMBER(AD1743)),AD1743,"")</f>
        <v>2.44</v>
      </c>
      <c r="I1743" s="95" t="n">
        <f aca="false">IF(AND(AE1743="yes",ISNUMBER(AD1743),ISNUMBER(INDEX(Sources!$G$7:$G$10,MATCH(AB1743,Sources!$B$7:$B$10,0)))),ROUND(AD1743/INDEX(Sources!$G$7:$G$10,MATCH(AB1743,Sources!$B$7:$B$10,0)),6),"")</f>
        <v>2.44</v>
      </c>
      <c r="J1743" s="98" t="s">
        <v>530</v>
      </c>
      <c r="K1743" s="98" t="s">
        <v>2059</v>
      </c>
      <c r="L1743" s="96"/>
      <c r="M1743" s="110" t="s">
        <v>5418</v>
      </c>
      <c r="N1743" s="117" t="s">
        <v>5419</v>
      </c>
      <c r="O1743" s="110" t="s">
        <v>603</v>
      </c>
      <c r="P1743" s="110" t="s">
        <v>590</v>
      </c>
      <c r="Q1743" s="118" t="n">
        <v>0.19</v>
      </c>
      <c r="R1743" s="110" t="n">
        <v>1</v>
      </c>
      <c r="S1743" s="110" t="s">
        <v>632</v>
      </c>
      <c r="T1743" s="110" t="s">
        <v>530</v>
      </c>
      <c r="U1743" s="110" t="s">
        <v>2913</v>
      </c>
      <c r="V1743" s="119" t="n">
        <v>2.44</v>
      </c>
      <c r="W1743" s="119"/>
      <c r="X1743" s="110" t="s">
        <v>2063</v>
      </c>
      <c r="Y1743" s="110" t="s">
        <v>2064</v>
      </c>
      <c r="Z1743" s="110" t="s">
        <v>2857</v>
      </c>
      <c r="AA1743" s="110" t="s">
        <v>537</v>
      </c>
      <c r="AB1743" s="110" t="s">
        <v>244</v>
      </c>
      <c r="AC1743" s="110" t="s">
        <v>538</v>
      </c>
      <c r="AD1743" s="110" t="n">
        <f aca="false">IF(OR(F1743="",Q1743="",R1743=""),"",ROUND(IF(P1743="incl.",F1743/(1+Q1743),F1743)/IF(S1743="per pack",R1743,1),2))</f>
        <v>2.44</v>
      </c>
      <c r="AE1743" s="110" t="str">
        <f aca="false">IF(AND(AC1743="yes",ISNUMBER(F1743),IF(Compare!$H$5="All mapped",TRUE(),IF(Compare!$H$5="EXACT only",J1743="EXACT",OR(J1743="EXACT",J1743="CLOSE")))),"yes","no")</f>
        <v>yes</v>
      </c>
      <c r="AF1743" s="110" t="n">
        <f aca="false">IF(ISNUMBER(H1743),COUNTIFS($B$7:$B$3000,B1743,$C$7:$C$3000,C1743,$H$7:$H$3000,"&lt;"&amp;H1743,$AH$7:$AH$3000,"yes")+COUNTIFS($B$7:B1743,B1743,$C$7:C1743,C1743,$H$7:H1743,H1743,$AH$7:AH1743,"yes"),"")</f>
        <v>3</v>
      </c>
      <c r="AG1743" s="110" t="n">
        <f aca="false">IF(ISNUMBER(I1743),COUNTIFS($B$7:$B$3000,B1743,$C$7:$C$3000,C1743,$I$7:$I$3000,"&lt;"&amp;I1743,$AI$7:$AI$3000,"yes")+COUNTIFS($B$7:B1743,B1743,$C$7:C1743,C1743,$I$7:I1743,I1743,$AI$7:AI1743,"yes"),"")</f>
        <v>3</v>
      </c>
      <c r="AH1743" s="110" t="str">
        <f aca="false">IF(ISNUMBER(H1743),"yes","no")</f>
        <v>yes</v>
      </c>
      <c r="AI1743" s="110" t="str">
        <f aca="false">IF(ISNUMBER(I1743),"yes","no")</f>
        <v>yes</v>
      </c>
      <c r="AJ1743" s="120" t="n">
        <v>46297</v>
      </c>
      <c r="AK1743" s="110"/>
    </row>
    <row r="1744" customFormat="false" ht="35.05" hidden="false" customHeight="false" outlineLevel="0" collapsed="false">
      <c r="B1744" s="36" t="s">
        <v>97</v>
      </c>
      <c r="C1744" s="98" t="s">
        <v>16</v>
      </c>
      <c r="D1744" s="98" t="s">
        <v>329</v>
      </c>
      <c r="E1744" s="110" t="s">
        <v>5420</v>
      </c>
      <c r="F1744" s="99" t="n">
        <v>3.29</v>
      </c>
      <c r="G1744" s="98" t="s">
        <v>244</v>
      </c>
      <c r="H1744" s="112" t="n">
        <f aca="false">IF(AND(AE1744="yes",ISNUMBER(AD1744)),AD1744,"")</f>
        <v>3.29</v>
      </c>
      <c r="I1744" s="95" t="n">
        <f aca="false">IF(AND(AE1744="yes",ISNUMBER(AD1744),ISNUMBER(INDEX(Sources!$G$7:$G$10,MATCH(AB1744,Sources!$B$7:$B$10,0)))),ROUND(AD1744/INDEX(Sources!$G$7:$G$10,MATCH(AB1744,Sources!$B$7:$B$10,0)),6),"")</f>
        <v>3.29</v>
      </c>
      <c r="J1744" s="98" t="s">
        <v>530</v>
      </c>
      <c r="K1744" s="98" t="s">
        <v>2059</v>
      </c>
      <c r="L1744" s="96"/>
      <c r="M1744" s="110" t="s">
        <v>5421</v>
      </c>
      <c r="N1744" s="117" t="s">
        <v>5422</v>
      </c>
      <c r="O1744" s="110" t="s">
        <v>642</v>
      </c>
      <c r="P1744" s="110" t="s">
        <v>590</v>
      </c>
      <c r="Q1744" s="118" t="n">
        <v>0.19</v>
      </c>
      <c r="R1744" s="110" t="n">
        <v>1</v>
      </c>
      <c r="S1744" s="110" t="s">
        <v>632</v>
      </c>
      <c r="T1744" s="110" t="s">
        <v>530</v>
      </c>
      <c r="U1744" s="110" t="s">
        <v>2913</v>
      </c>
      <c r="V1744" s="119" t="n">
        <v>3.29</v>
      </c>
      <c r="W1744" s="119"/>
      <c r="X1744" s="110" t="s">
        <v>2063</v>
      </c>
      <c r="Y1744" s="110" t="s">
        <v>2064</v>
      </c>
      <c r="Z1744" s="110" t="s">
        <v>2777</v>
      </c>
      <c r="AA1744" s="110" t="s">
        <v>537</v>
      </c>
      <c r="AB1744" s="110" t="s">
        <v>244</v>
      </c>
      <c r="AC1744" s="110" t="s">
        <v>538</v>
      </c>
      <c r="AD1744" s="110" t="n">
        <f aca="false">IF(OR(F1744="",Q1744="",R1744=""),"",ROUND(IF(P1744="incl.",F1744/(1+Q1744),F1744)/IF(S1744="per pack",R1744,1),2))</f>
        <v>3.29</v>
      </c>
      <c r="AE1744" s="110" t="str">
        <f aca="false">IF(AND(AC1744="yes",ISNUMBER(F1744),IF(Compare!$H$5="All mapped",TRUE(),IF(Compare!$H$5="EXACT only",J1744="EXACT",OR(J1744="EXACT",J1744="CLOSE")))),"yes","no")</f>
        <v>yes</v>
      </c>
      <c r="AF1744" s="110" t="n">
        <f aca="false">IF(ISNUMBER(H1744),COUNTIFS($B$7:$B$3000,B1744,$C$7:$C$3000,C1744,$H$7:$H$3000,"&lt;"&amp;H1744,$AH$7:$AH$3000,"yes")+COUNTIFS($B$7:B1744,B1744,$C$7:C1744,C1744,$H$7:H1744,H1744,$AH$7:AH1744,"yes"),"")</f>
        <v>5</v>
      </c>
      <c r="AG1744" s="110" t="n">
        <f aca="false">IF(ISNUMBER(I1744),COUNTIFS($B$7:$B$3000,B1744,$C$7:$C$3000,C1744,$I$7:$I$3000,"&lt;"&amp;I1744,$AI$7:$AI$3000,"yes")+COUNTIFS($B$7:B1744,B1744,$C$7:C1744,C1744,$I$7:I1744,I1744,$AI$7:AI1744,"yes"),"")</f>
        <v>5</v>
      </c>
      <c r="AH1744" s="110" t="str">
        <f aca="false">IF(ISNUMBER(H1744),"yes","no")</f>
        <v>yes</v>
      </c>
      <c r="AI1744" s="110" t="str">
        <f aca="false">IF(ISNUMBER(I1744),"yes","no")</f>
        <v>yes</v>
      </c>
      <c r="AJ1744" s="120" t="n">
        <v>46297</v>
      </c>
      <c r="AK1744" s="110"/>
    </row>
    <row r="1745" customFormat="false" ht="35.05" hidden="false" customHeight="false" outlineLevel="0" collapsed="false">
      <c r="B1745" s="36" t="s">
        <v>97</v>
      </c>
      <c r="C1745" s="98" t="s">
        <v>17</v>
      </c>
      <c r="D1745" s="98" t="s">
        <v>338</v>
      </c>
      <c r="E1745" s="110" t="s">
        <v>5423</v>
      </c>
      <c r="F1745" s="99" t="n">
        <v>108</v>
      </c>
      <c r="G1745" s="98" t="s">
        <v>333</v>
      </c>
      <c r="H1745" s="112" t="n">
        <f aca="false">IF(AND(AE1745="yes",ISNUMBER(AD1745)),AD1745,"")</f>
        <v>89.26</v>
      </c>
      <c r="I1745" s="95" t="n">
        <f aca="false">IF(AND(AE1745="yes",ISNUMBER(AD1745),ISNUMBER(INDEX(Sources!$G$7:$G$10,MATCH(AB1745,Sources!$B$7:$B$10,0)))),ROUND(AD1745/INDEX(Sources!$G$7:$G$10,MATCH(AB1745,Sources!$B$7:$B$10,0)),6),"")</f>
        <v>3.65466</v>
      </c>
      <c r="J1745" s="98" t="s">
        <v>530</v>
      </c>
      <c r="K1745" s="98" t="s">
        <v>2059</v>
      </c>
      <c r="L1745" s="96"/>
      <c r="M1745" s="110" t="s">
        <v>5424</v>
      </c>
      <c r="N1745" s="117" t="s">
        <v>5425</v>
      </c>
      <c r="O1745" s="110" t="s">
        <v>388</v>
      </c>
      <c r="P1745" s="110" t="s">
        <v>265</v>
      </c>
      <c r="Q1745" s="118" t="n">
        <v>0.21</v>
      </c>
      <c r="R1745" s="110" t="n">
        <v>1</v>
      </c>
      <c r="S1745" s="110" t="s">
        <v>632</v>
      </c>
      <c r="T1745" s="110" t="s">
        <v>530</v>
      </c>
      <c r="U1745" s="110" t="s">
        <v>2918</v>
      </c>
      <c r="V1745" s="119" t="n">
        <v>89.26</v>
      </c>
      <c r="W1745" s="119"/>
      <c r="X1745" s="110" t="s">
        <v>2063</v>
      </c>
      <c r="Y1745" s="110" t="s">
        <v>2064</v>
      </c>
      <c r="Z1745" s="110" t="s">
        <v>4387</v>
      </c>
      <c r="AA1745" s="110" t="s">
        <v>537</v>
      </c>
      <c r="AB1745" s="110" t="s">
        <v>333</v>
      </c>
      <c r="AC1745" s="110" t="s">
        <v>538</v>
      </c>
      <c r="AD1745" s="110" t="n">
        <f aca="false">IF(OR(F1745="",Q1745="",R1745=""),"",ROUND(IF(P1745="incl.",F1745/(1+Q1745),F1745)/IF(S1745="per pack",R1745,1),2))</f>
        <v>89.26</v>
      </c>
      <c r="AE1745" s="110" t="str">
        <f aca="false">IF(AND(AC1745="yes",ISNUMBER(F1745),IF(Compare!$H$5="All mapped",TRUE(),IF(Compare!$H$5="EXACT only",J1745="EXACT",OR(J1745="EXACT",J1745="CLOSE")))),"yes","no")</f>
        <v>yes</v>
      </c>
      <c r="AF1745" s="110" t="n">
        <f aca="false">IF(ISNUMBER(H1745),COUNTIFS($B$7:$B$3000,B1745,$C$7:$C$3000,C1745,$H$7:$H$3000,"&lt;"&amp;H1745,$AH$7:$AH$3000,"yes")+COUNTIFS($B$7:B1745,B1745,$C$7:C1745,C1745,$H$7:H1745,H1745,$AH$7:AH1745,"yes"),"")</f>
        <v>3</v>
      </c>
      <c r="AG1745" s="110" t="n">
        <f aca="false">IF(ISNUMBER(I1745),COUNTIFS($B$7:$B$3000,B1745,$C$7:$C$3000,C1745,$I$7:$I$3000,"&lt;"&amp;I1745,$AI$7:$AI$3000,"yes")+COUNTIFS($B$7:B1745,B1745,$C$7:C1745,C1745,$I$7:I1745,I1745,$AI$7:AI1745,"yes"),"")</f>
        <v>3</v>
      </c>
      <c r="AH1745" s="110" t="str">
        <f aca="false">IF(ISNUMBER(H1745),"yes","no")</f>
        <v>yes</v>
      </c>
      <c r="AI1745" s="110" t="str">
        <f aca="false">IF(ISNUMBER(I1745),"yes","no")</f>
        <v>yes</v>
      </c>
      <c r="AJ1745" s="120" t="n">
        <v>46297</v>
      </c>
      <c r="AK1745" s="110"/>
    </row>
    <row r="1746" customFormat="false" ht="35.05" hidden="false" customHeight="false" outlineLevel="0" collapsed="false">
      <c r="B1746" s="36" t="s">
        <v>97</v>
      </c>
      <c r="C1746" s="98" t="s">
        <v>17</v>
      </c>
      <c r="D1746" s="98" t="s">
        <v>342</v>
      </c>
      <c r="E1746" s="110" t="s">
        <v>5426</v>
      </c>
      <c r="F1746" s="99" t="n">
        <v>113</v>
      </c>
      <c r="G1746" s="98" t="s">
        <v>333</v>
      </c>
      <c r="H1746" s="112" t="n">
        <f aca="false">IF(AND(AE1746="yes",ISNUMBER(AD1746)),AD1746,"")</f>
        <v>113</v>
      </c>
      <c r="I1746" s="95" t="n">
        <f aca="false">IF(AND(AE1746="yes",ISNUMBER(AD1746),ISNUMBER(INDEX(Sources!$G$7:$G$10,MATCH(AB1746,Sources!$B$7:$B$10,0)))),ROUND(AD1746/INDEX(Sources!$G$7:$G$10,MATCH(AB1746,Sources!$B$7:$B$10,0)),6),"")</f>
        <v>4.62667</v>
      </c>
      <c r="J1746" s="98" t="s">
        <v>530</v>
      </c>
      <c r="K1746" s="98" t="s">
        <v>2059</v>
      </c>
      <c r="L1746" s="96"/>
      <c r="M1746" s="110" t="s">
        <v>5427</v>
      </c>
      <c r="N1746" s="117" t="s">
        <v>5428</v>
      </c>
      <c r="O1746" s="110" t="s">
        <v>388</v>
      </c>
      <c r="P1746" s="110" t="s">
        <v>590</v>
      </c>
      <c r="Q1746" s="118" t="n">
        <v>0.21</v>
      </c>
      <c r="R1746" s="110" t="n">
        <v>1</v>
      </c>
      <c r="S1746" s="110" t="s">
        <v>632</v>
      </c>
      <c r="T1746" s="110" t="s">
        <v>530</v>
      </c>
      <c r="U1746" s="110" t="s">
        <v>2913</v>
      </c>
      <c r="V1746" s="119" t="n">
        <v>113</v>
      </c>
      <c r="W1746" s="119"/>
      <c r="X1746" s="110" t="s">
        <v>2063</v>
      </c>
      <c r="Y1746" s="110" t="s">
        <v>2064</v>
      </c>
      <c r="Z1746" s="110" t="s">
        <v>4391</v>
      </c>
      <c r="AA1746" s="110" t="s">
        <v>537</v>
      </c>
      <c r="AB1746" s="110" t="s">
        <v>333</v>
      </c>
      <c r="AC1746" s="110" t="s">
        <v>538</v>
      </c>
      <c r="AD1746" s="110" t="n">
        <f aca="false">IF(OR(F1746="",Q1746="",R1746=""),"",ROUND(IF(P1746="incl.",F1746/(1+Q1746),F1746)/IF(S1746="per pack",R1746,1),2))</f>
        <v>113</v>
      </c>
      <c r="AE1746" s="110" t="str">
        <f aca="false">IF(AND(AC1746="yes",ISNUMBER(F1746),IF(Compare!$H$5="All mapped",TRUE(),IF(Compare!$H$5="EXACT only",J1746="EXACT",OR(J1746="EXACT",J1746="CLOSE")))),"yes","no")</f>
        <v>yes</v>
      </c>
      <c r="AF1746" s="110" t="n">
        <f aca="false">IF(ISNUMBER(H1746),COUNTIFS($B$7:$B$3000,B1746,$C$7:$C$3000,C1746,$H$7:$H$3000,"&lt;"&amp;H1746,$AH$7:$AH$3000,"yes")+COUNTIFS($B$7:B1746,B1746,$C$7:C1746,C1746,$H$7:H1746,H1746,$AH$7:AH1746,"yes"),"")</f>
        <v>5</v>
      </c>
      <c r="AG1746" s="110" t="n">
        <f aca="false">IF(ISNUMBER(I1746),COUNTIFS($B$7:$B$3000,B1746,$C$7:$C$3000,C1746,$I$7:$I$3000,"&lt;"&amp;I1746,$AI$7:$AI$3000,"yes")+COUNTIFS($B$7:B1746,B1746,$C$7:C1746,C1746,$I$7:I1746,I1746,$AI$7:AI1746,"yes"),"")</f>
        <v>5</v>
      </c>
      <c r="AH1746" s="110" t="str">
        <f aca="false">IF(ISNUMBER(H1746),"yes","no")</f>
        <v>yes</v>
      </c>
      <c r="AI1746" s="110" t="str">
        <f aca="false">IF(ISNUMBER(I1746),"yes","no")</f>
        <v>yes</v>
      </c>
      <c r="AJ1746" s="120" t="n">
        <v>46297</v>
      </c>
      <c r="AK1746" s="110"/>
    </row>
    <row r="1747" customFormat="false" ht="35.05" hidden="false" customHeight="false" outlineLevel="0" collapsed="false">
      <c r="B1747" s="36" t="s">
        <v>97</v>
      </c>
      <c r="C1747" s="98" t="s">
        <v>17</v>
      </c>
      <c r="D1747" s="98" t="s">
        <v>346</v>
      </c>
      <c r="E1747" s="110" t="s">
        <v>5429</v>
      </c>
      <c r="F1747" s="99" t="n">
        <v>102</v>
      </c>
      <c r="G1747" s="98" t="s">
        <v>333</v>
      </c>
      <c r="H1747" s="112" t="n">
        <f aca="false">IF(AND(AE1747="yes",ISNUMBER(AD1747)),AD1747,"")</f>
        <v>102</v>
      </c>
      <c r="I1747" s="95" t="n">
        <f aca="false">IF(AND(AE1747="yes",ISNUMBER(AD1747),ISNUMBER(INDEX(Sources!$G$7:$G$10,MATCH(AB1747,Sources!$B$7:$B$10,0)))),ROUND(AD1747/INDEX(Sources!$G$7:$G$10,MATCH(AB1747,Sources!$B$7:$B$10,0)),6),"")</f>
        <v>4.176286</v>
      </c>
      <c r="J1747" s="98" t="s">
        <v>530</v>
      </c>
      <c r="K1747" s="98" t="s">
        <v>2059</v>
      </c>
      <c r="L1747" s="96"/>
      <c r="M1747" s="110" t="s">
        <v>5430</v>
      </c>
      <c r="N1747" s="117" t="s">
        <v>5431</v>
      </c>
      <c r="O1747" s="110" t="s">
        <v>662</v>
      </c>
      <c r="P1747" s="110" t="s">
        <v>590</v>
      </c>
      <c r="Q1747" s="118" t="n">
        <v>0.21</v>
      </c>
      <c r="R1747" s="110" t="n">
        <v>1</v>
      </c>
      <c r="S1747" s="110" t="s">
        <v>632</v>
      </c>
      <c r="T1747" s="110" t="s">
        <v>530</v>
      </c>
      <c r="U1747" s="110" t="s">
        <v>2913</v>
      </c>
      <c r="V1747" s="119" t="n">
        <v>102</v>
      </c>
      <c r="W1747" s="119"/>
      <c r="X1747" s="110" t="s">
        <v>2063</v>
      </c>
      <c r="Y1747" s="110" t="s">
        <v>2064</v>
      </c>
      <c r="Z1747" s="110" t="s">
        <v>4395</v>
      </c>
      <c r="AA1747" s="110" t="s">
        <v>537</v>
      </c>
      <c r="AB1747" s="110" t="s">
        <v>333</v>
      </c>
      <c r="AC1747" s="110" t="s">
        <v>538</v>
      </c>
      <c r="AD1747" s="110" t="n">
        <f aca="false">IF(OR(F1747="",Q1747="",R1747=""),"",ROUND(IF(P1747="incl.",F1747/(1+Q1747),F1747)/IF(S1747="per pack",R1747,1),2))</f>
        <v>102</v>
      </c>
      <c r="AE1747" s="110" t="str">
        <f aca="false">IF(AND(AC1747="yes",ISNUMBER(F1747),IF(Compare!$H$5="All mapped",TRUE(),IF(Compare!$H$5="EXACT only",J1747="EXACT",OR(J1747="EXACT",J1747="CLOSE")))),"yes","no")</f>
        <v>yes</v>
      </c>
      <c r="AF1747" s="110" t="n">
        <f aca="false">IF(ISNUMBER(H1747),COUNTIFS($B$7:$B$3000,B1747,$C$7:$C$3000,C1747,$H$7:$H$3000,"&lt;"&amp;H1747,$AH$7:$AH$3000,"yes")+COUNTIFS($B$7:B1747,B1747,$C$7:C1747,C1747,$H$7:H1747,H1747,$AH$7:AH1747,"yes"),"")</f>
        <v>4</v>
      </c>
      <c r="AG1747" s="110" t="n">
        <f aca="false">IF(ISNUMBER(I1747),COUNTIFS($B$7:$B$3000,B1747,$C$7:$C$3000,C1747,$I$7:$I$3000,"&lt;"&amp;I1747,$AI$7:$AI$3000,"yes")+COUNTIFS($B$7:B1747,B1747,$C$7:C1747,C1747,$I$7:I1747,I1747,$AI$7:AI1747,"yes"),"")</f>
        <v>4</v>
      </c>
      <c r="AH1747" s="110" t="str">
        <f aca="false">IF(ISNUMBER(H1747),"yes","no")</f>
        <v>yes</v>
      </c>
      <c r="AI1747" s="110" t="str">
        <f aca="false">IF(ISNUMBER(I1747),"yes","no")</f>
        <v>yes</v>
      </c>
      <c r="AJ1747" s="120" t="n">
        <v>46297</v>
      </c>
      <c r="AK1747" s="110"/>
    </row>
    <row r="1748" customFormat="false" ht="23.85" hidden="false" customHeight="false" outlineLevel="0" collapsed="false">
      <c r="B1748" s="36" t="s">
        <v>97</v>
      </c>
      <c r="C1748" s="98" t="s">
        <v>17</v>
      </c>
      <c r="D1748" s="98" t="s">
        <v>350</v>
      </c>
      <c r="E1748" s="110" t="s">
        <v>5432</v>
      </c>
      <c r="F1748" s="99" t="n">
        <v>48</v>
      </c>
      <c r="G1748" s="98" t="s">
        <v>333</v>
      </c>
      <c r="H1748" s="112" t="n">
        <f aca="false">IF(AND(AE1748="yes",ISNUMBER(AD1748)),AD1748,"")</f>
        <v>39.67</v>
      </c>
      <c r="I1748" s="95" t="n">
        <f aca="false">IF(AND(AE1748="yes",ISNUMBER(AD1748),ISNUMBER(INDEX(Sources!$G$7:$G$10,MATCH(AB1748,Sources!$B$7:$B$10,0)))),ROUND(AD1748/INDEX(Sources!$G$7:$G$10,MATCH(AB1748,Sources!$B$7:$B$10,0)),6),"")</f>
        <v>1.624248</v>
      </c>
      <c r="J1748" s="98" t="s">
        <v>530</v>
      </c>
      <c r="K1748" s="98" t="s">
        <v>2059</v>
      </c>
      <c r="L1748" s="96"/>
      <c r="M1748" s="110" t="s">
        <v>5433</v>
      </c>
      <c r="N1748" s="117" t="s">
        <v>5434</v>
      </c>
      <c r="O1748" s="110" t="s">
        <v>2452</v>
      </c>
      <c r="P1748" s="110" t="s">
        <v>265</v>
      </c>
      <c r="Q1748" s="118" t="n">
        <v>0.21</v>
      </c>
      <c r="R1748" s="110" t="n">
        <v>1</v>
      </c>
      <c r="S1748" s="110" t="s">
        <v>632</v>
      </c>
      <c r="T1748" s="110" t="s">
        <v>530</v>
      </c>
      <c r="U1748" s="110" t="s">
        <v>2918</v>
      </c>
      <c r="V1748" s="119" t="n">
        <v>39.67</v>
      </c>
      <c r="W1748" s="119"/>
      <c r="X1748" s="110" t="s">
        <v>2063</v>
      </c>
      <c r="Y1748" s="110" t="s">
        <v>2064</v>
      </c>
      <c r="Z1748" s="110" t="s">
        <v>2344</v>
      </c>
      <c r="AA1748" s="110" t="s">
        <v>537</v>
      </c>
      <c r="AB1748" s="110" t="s">
        <v>333</v>
      </c>
      <c r="AC1748" s="110" t="s">
        <v>538</v>
      </c>
      <c r="AD1748" s="110" t="n">
        <f aca="false">IF(OR(F1748="",Q1748="",R1748=""),"",ROUND(IF(P1748="incl.",F1748/(1+Q1748),F1748)/IF(S1748="per pack",R1748,1),2))</f>
        <v>39.67</v>
      </c>
      <c r="AE1748" s="110" t="str">
        <f aca="false">IF(AND(AC1748="yes",ISNUMBER(F1748),IF(Compare!$H$5="All mapped",TRUE(),IF(Compare!$H$5="EXACT only",J1748="EXACT",OR(J1748="EXACT",J1748="CLOSE")))),"yes","no")</f>
        <v>yes</v>
      </c>
      <c r="AF1748" s="110" t="n">
        <f aca="false">IF(ISNUMBER(H1748),COUNTIFS($B$7:$B$3000,B1748,$C$7:$C$3000,C1748,$H$7:$H$3000,"&lt;"&amp;H1748,$AH$7:$AH$3000,"yes")+COUNTIFS($B$7:B1748,B1748,$C$7:C1748,C1748,$H$7:H1748,H1748,$AH$7:AH1748,"yes"),"")</f>
        <v>1</v>
      </c>
      <c r="AG1748" s="110" t="n">
        <f aca="false">IF(ISNUMBER(I1748),COUNTIFS($B$7:$B$3000,B1748,$C$7:$C$3000,C1748,$I$7:$I$3000,"&lt;"&amp;I1748,$AI$7:$AI$3000,"yes")+COUNTIFS($B$7:B1748,B1748,$C$7:C1748,C1748,$I$7:I1748,I1748,$AI$7:AI1748,"yes"),"")</f>
        <v>1</v>
      </c>
      <c r="AH1748" s="110" t="str">
        <f aca="false">IF(ISNUMBER(H1748),"yes","no")</f>
        <v>yes</v>
      </c>
      <c r="AI1748" s="110" t="str">
        <f aca="false">IF(ISNUMBER(I1748),"yes","no")</f>
        <v>yes</v>
      </c>
      <c r="AJ1748" s="120" t="n">
        <v>46297</v>
      </c>
      <c r="AK1748" s="110"/>
    </row>
    <row r="1749" customFormat="false" ht="23.85" hidden="false" customHeight="false" outlineLevel="0" collapsed="false">
      <c r="B1749" s="36" t="s">
        <v>97</v>
      </c>
      <c r="C1749" s="98" t="s">
        <v>17</v>
      </c>
      <c r="D1749" s="98" t="s">
        <v>361</v>
      </c>
      <c r="E1749" s="110" t="s">
        <v>5435</v>
      </c>
      <c r="F1749" s="99" t="n">
        <v>82</v>
      </c>
      <c r="G1749" s="98" t="s">
        <v>333</v>
      </c>
      <c r="H1749" s="112" t="n">
        <f aca="false">IF(AND(AE1749="yes",ISNUMBER(AD1749)),AD1749,"")</f>
        <v>67.77</v>
      </c>
      <c r="I1749" s="95" t="n">
        <f aca="false">IF(AND(AE1749="yes",ISNUMBER(AD1749),ISNUMBER(INDEX(Sources!$G$7:$G$10,MATCH(AB1749,Sources!$B$7:$B$10,0)))),ROUND(AD1749/INDEX(Sources!$G$7:$G$10,MATCH(AB1749,Sources!$B$7:$B$10,0)),6),"")</f>
        <v>2.774773</v>
      </c>
      <c r="J1749" s="98" t="s">
        <v>530</v>
      </c>
      <c r="K1749" s="98" t="s">
        <v>2059</v>
      </c>
      <c r="L1749" s="96"/>
      <c r="M1749" s="110" t="s">
        <v>5436</v>
      </c>
      <c r="N1749" s="117" t="s">
        <v>5437</v>
      </c>
      <c r="O1749" s="110" t="s">
        <v>642</v>
      </c>
      <c r="P1749" s="110" t="s">
        <v>265</v>
      </c>
      <c r="Q1749" s="118" t="n">
        <v>0.21</v>
      </c>
      <c r="R1749" s="110" t="n">
        <v>1</v>
      </c>
      <c r="S1749" s="110" t="s">
        <v>632</v>
      </c>
      <c r="T1749" s="110" t="s">
        <v>530</v>
      </c>
      <c r="U1749" s="110" t="s">
        <v>2918</v>
      </c>
      <c r="V1749" s="119" t="n">
        <v>67.77</v>
      </c>
      <c r="W1749" s="119"/>
      <c r="X1749" s="110" t="s">
        <v>2063</v>
      </c>
      <c r="Y1749" s="110" t="s">
        <v>2064</v>
      </c>
      <c r="Z1749" s="110" t="s">
        <v>2400</v>
      </c>
      <c r="AA1749" s="110" t="s">
        <v>537</v>
      </c>
      <c r="AB1749" s="110" t="s">
        <v>333</v>
      </c>
      <c r="AC1749" s="110" t="s">
        <v>538</v>
      </c>
      <c r="AD1749" s="110" t="n">
        <f aca="false">IF(OR(F1749="",Q1749="",R1749=""),"",ROUND(IF(P1749="incl.",F1749/(1+Q1749),F1749)/IF(S1749="per pack",R1749,1),2))</f>
        <v>67.77</v>
      </c>
      <c r="AE1749" s="110" t="str">
        <f aca="false">IF(AND(AC1749="yes",ISNUMBER(F1749),IF(Compare!$H$5="All mapped",TRUE(),IF(Compare!$H$5="EXACT only",J1749="EXACT",OR(J1749="EXACT",J1749="CLOSE")))),"yes","no")</f>
        <v>yes</v>
      </c>
      <c r="AF1749" s="110" t="n">
        <f aca="false">IF(ISNUMBER(H1749),COUNTIFS($B$7:$B$3000,B1749,$C$7:$C$3000,C1749,$H$7:$H$3000,"&lt;"&amp;H1749,$AH$7:$AH$3000,"yes")+COUNTIFS($B$7:B1749,B1749,$C$7:C1749,C1749,$H$7:H1749,H1749,$AH$7:AH1749,"yes"),"")</f>
        <v>2</v>
      </c>
      <c r="AG1749" s="110" t="n">
        <f aca="false">IF(ISNUMBER(I1749),COUNTIFS($B$7:$B$3000,B1749,$C$7:$C$3000,C1749,$I$7:$I$3000,"&lt;"&amp;I1749,$AI$7:$AI$3000,"yes")+COUNTIFS($B$7:B1749,B1749,$C$7:C1749,C1749,$I$7:I1749,I1749,$AI$7:AI1749,"yes"),"")</f>
        <v>2</v>
      </c>
      <c r="AH1749" s="110" t="str">
        <f aca="false">IF(ISNUMBER(H1749),"yes","no")</f>
        <v>yes</v>
      </c>
      <c r="AI1749" s="110" t="str">
        <f aca="false">IF(ISNUMBER(I1749),"yes","no")</f>
        <v>yes</v>
      </c>
      <c r="AJ1749" s="120" t="n">
        <v>46297</v>
      </c>
      <c r="AK1749" s="110"/>
    </row>
    <row r="1750" customFormat="false" ht="23.85" hidden="false" customHeight="false" outlineLevel="0" collapsed="false">
      <c r="B1750" s="36" t="s">
        <v>97</v>
      </c>
      <c r="C1750" s="98" t="s">
        <v>18</v>
      </c>
      <c r="D1750" s="98" t="s">
        <v>3002</v>
      </c>
      <c r="E1750" s="110" t="s">
        <v>5438</v>
      </c>
      <c r="F1750" s="99" t="n">
        <v>3.05</v>
      </c>
      <c r="G1750" s="98" t="s">
        <v>244</v>
      </c>
      <c r="H1750" s="112" t="n">
        <f aca="false">IF(AND(AE1750="yes",ISNUMBER(AD1750)),AD1750,"")</f>
        <v>3.05</v>
      </c>
      <c r="I1750" s="95" t="n">
        <f aca="false">IF(AND(AE1750="yes",ISNUMBER(AD1750),ISNUMBER(INDEX(Sources!$G$7:$G$10,MATCH(AB1750,Sources!$B$7:$B$10,0)))),ROUND(AD1750/INDEX(Sources!$G$7:$G$10,MATCH(AB1750,Sources!$B$7:$B$10,0)),6),"")</f>
        <v>3.05</v>
      </c>
      <c r="J1750" s="98" t="s">
        <v>530</v>
      </c>
      <c r="K1750" s="98" t="s">
        <v>2059</v>
      </c>
      <c r="L1750" s="96"/>
      <c r="M1750" s="110" t="s">
        <v>5439</v>
      </c>
      <c r="N1750" s="117" t="s">
        <v>4404</v>
      </c>
      <c r="O1750" s="110" t="s">
        <v>2396</v>
      </c>
      <c r="P1750" s="110" t="s">
        <v>590</v>
      </c>
      <c r="Q1750" s="118" t="n">
        <v>0.23</v>
      </c>
      <c r="R1750" s="110" t="n">
        <v>1</v>
      </c>
      <c r="S1750" s="110" t="s">
        <v>632</v>
      </c>
      <c r="T1750" s="110" t="s">
        <v>530</v>
      </c>
      <c r="U1750" s="110" t="s">
        <v>2913</v>
      </c>
      <c r="V1750" s="119" t="n">
        <v>3.05</v>
      </c>
      <c r="W1750" s="119"/>
      <c r="X1750" s="110" t="s">
        <v>2063</v>
      </c>
      <c r="Y1750" s="110" t="s">
        <v>2064</v>
      </c>
      <c r="Z1750" s="110" t="s">
        <v>3109</v>
      </c>
      <c r="AA1750" s="110" t="s">
        <v>537</v>
      </c>
      <c r="AB1750" s="110" t="s">
        <v>244</v>
      </c>
      <c r="AC1750" s="110" t="s">
        <v>538</v>
      </c>
      <c r="AD1750" s="110" t="n">
        <f aca="false">IF(OR(F1750="",Q1750="",R1750=""),"",ROUND(IF(P1750="incl.",F1750/(1+Q1750),F1750)/IF(S1750="per pack",R1750,1),2))</f>
        <v>3.05</v>
      </c>
      <c r="AE1750" s="110" t="str">
        <f aca="false">IF(AND(AC1750="yes",ISNUMBER(F1750),IF(Compare!$H$5="All mapped",TRUE(),IF(Compare!$H$5="EXACT only",J1750="EXACT",OR(J1750="EXACT",J1750="CLOSE")))),"yes","no")</f>
        <v>yes</v>
      </c>
      <c r="AF1750" s="110" t="n">
        <f aca="false">IF(ISNUMBER(H1750),COUNTIFS($B$7:$B$3000,B1750,$C$7:$C$3000,C1750,$H$7:$H$3000,"&lt;"&amp;H1750,$AH$7:$AH$3000,"yes")+COUNTIFS($B$7:B1750,B1750,$C$7:C1750,C1750,$H$7:H1750,H1750,$AH$7:AH1750,"yes"),"")</f>
        <v>4</v>
      </c>
      <c r="AG1750" s="110" t="n">
        <f aca="false">IF(ISNUMBER(I1750),COUNTIFS($B$7:$B$3000,B1750,$C$7:$C$3000,C1750,$I$7:$I$3000,"&lt;"&amp;I1750,$AI$7:$AI$3000,"yes")+COUNTIFS($B$7:B1750,B1750,$C$7:C1750,C1750,$I$7:I1750,I1750,$AI$7:AI1750,"yes"),"")</f>
        <v>4</v>
      </c>
      <c r="AH1750" s="110" t="str">
        <f aca="false">IF(ISNUMBER(H1750),"yes","no")</f>
        <v>yes</v>
      </c>
      <c r="AI1750" s="110" t="str">
        <f aca="false">IF(ISNUMBER(I1750),"yes","no")</f>
        <v>yes</v>
      </c>
      <c r="AJ1750" s="120" t="n">
        <v>46297</v>
      </c>
      <c r="AK1750" s="110"/>
    </row>
    <row r="1751" customFormat="false" ht="35.05" hidden="false" customHeight="false" outlineLevel="0" collapsed="false">
      <c r="B1751" s="36" t="s">
        <v>97</v>
      </c>
      <c r="C1751" s="98" t="s">
        <v>18</v>
      </c>
      <c r="D1751" s="98" t="s">
        <v>365</v>
      </c>
      <c r="E1751" s="110" t="s">
        <v>5440</v>
      </c>
      <c r="F1751" s="99" t="n">
        <v>2.82</v>
      </c>
      <c r="G1751" s="98" t="s">
        <v>244</v>
      </c>
      <c r="H1751" s="112" t="n">
        <f aca="false">IF(AND(AE1751="yes",ISNUMBER(AD1751)),AD1751,"")</f>
        <v>2.29</v>
      </c>
      <c r="I1751" s="95" t="n">
        <f aca="false">IF(AND(AE1751="yes",ISNUMBER(AD1751),ISNUMBER(INDEX(Sources!$G$7:$G$10,MATCH(AB1751,Sources!$B$7:$B$10,0)))),ROUND(AD1751/INDEX(Sources!$G$7:$G$10,MATCH(AB1751,Sources!$B$7:$B$10,0)),6),"")</f>
        <v>2.29</v>
      </c>
      <c r="J1751" s="98" t="s">
        <v>530</v>
      </c>
      <c r="K1751" s="98" t="s">
        <v>2059</v>
      </c>
      <c r="L1751" s="96"/>
      <c r="M1751" s="110" t="s">
        <v>5441</v>
      </c>
      <c r="N1751" s="117" t="s">
        <v>5442</v>
      </c>
      <c r="O1751" s="110" t="s">
        <v>3076</v>
      </c>
      <c r="P1751" s="110" t="s">
        <v>265</v>
      </c>
      <c r="Q1751" s="118" t="n">
        <v>0.23</v>
      </c>
      <c r="R1751" s="110" t="n">
        <v>1</v>
      </c>
      <c r="S1751" s="110" t="s">
        <v>632</v>
      </c>
      <c r="T1751" s="110" t="s">
        <v>530</v>
      </c>
      <c r="U1751" s="110" t="s">
        <v>2918</v>
      </c>
      <c r="V1751" s="119" t="n">
        <v>2.29</v>
      </c>
      <c r="W1751" s="119"/>
      <c r="X1751" s="110" t="s">
        <v>2063</v>
      </c>
      <c r="Y1751" s="110" t="s">
        <v>2064</v>
      </c>
      <c r="Z1751" s="110" t="s">
        <v>3016</v>
      </c>
      <c r="AA1751" s="110" t="s">
        <v>537</v>
      </c>
      <c r="AB1751" s="110" t="s">
        <v>244</v>
      </c>
      <c r="AC1751" s="110" t="s">
        <v>538</v>
      </c>
      <c r="AD1751" s="110" t="n">
        <f aca="false">IF(OR(F1751="",Q1751="",R1751=""),"",ROUND(IF(P1751="incl.",F1751/(1+Q1751),F1751)/IF(S1751="per pack",R1751,1),2))</f>
        <v>2.29</v>
      </c>
      <c r="AE1751" s="110" t="str">
        <f aca="false">IF(AND(AC1751="yes",ISNUMBER(F1751),IF(Compare!$H$5="All mapped",TRUE(),IF(Compare!$H$5="EXACT only",J1751="EXACT",OR(J1751="EXACT",J1751="CLOSE")))),"yes","no")</f>
        <v>yes</v>
      </c>
      <c r="AF1751" s="110" t="n">
        <f aca="false">IF(ISNUMBER(H1751),COUNTIFS($B$7:$B$3000,B1751,$C$7:$C$3000,C1751,$H$7:$H$3000,"&lt;"&amp;H1751,$AH$7:$AH$3000,"yes")+COUNTIFS($B$7:B1751,B1751,$C$7:C1751,C1751,$H$7:H1751,H1751,$AH$7:AH1751,"yes"),"")</f>
        <v>1</v>
      </c>
      <c r="AG1751" s="110" t="n">
        <f aca="false">IF(ISNUMBER(I1751),COUNTIFS($B$7:$B$3000,B1751,$C$7:$C$3000,C1751,$I$7:$I$3000,"&lt;"&amp;I1751,$AI$7:$AI$3000,"yes")+COUNTIFS($B$7:B1751,B1751,$C$7:C1751,C1751,$I$7:I1751,I1751,$AI$7:AI1751,"yes"),"")</f>
        <v>1</v>
      </c>
      <c r="AH1751" s="110" t="str">
        <f aca="false">IF(ISNUMBER(H1751),"yes","no")</f>
        <v>yes</v>
      </c>
      <c r="AI1751" s="110" t="str">
        <f aca="false">IF(ISNUMBER(I1751),"yes","no")</f>
        <v>yes</v>
      </c>
      <c r="AJ1751" s="120" t="n">
        <v>46297</v>
      </c>
      <c r="AK1751" s="110"/>
    </row>
    <row r="1752" customFormat="false" ht="35.05" hidden="false" customHeight="false" outlineLevel="0" collapsed="false">
      <c r="B1752" s="36" t="s">
        <v>97</v>
      </c>
      <c r="C1752" s="98" t="s">
        <v>18</v>
      </c>
      <c r="D1752" s="98" t="s">
        <v>369</v>
      </c>
      <c r="E1752" s="110" t="s">
        <v>5443</v>
      </c>
      <c r="F1752" s="99" t="n">
        <v>4.49</v>
      </c>
      <c r="G1752" s="98" t="s">
        <v>244</v>
      </c>
      <c r="H1752" s="112" t="n">
        <f aca="false">IF(AND(AE1752="yes",ISNUMBER(AD1752)),AD1752,"")</f>
        <v>3.65</v>
      </c>
      <c r="I1752" s="95" t="n">
        <f aca="false">IF(AND(AE1752="yes",ISNUMBER(AD1752),ISNUMBER(INDEX(Sources!$G$7:$G$10,MATCH(AB1752,Sources!$B$7:$B$10,0)))),ROUND(AD1752/INDEX(Sources!$G$7:$G$10,MATCH(AB1752,Sources!$B$7:$B$10,0)),6),"")</f>
        <v>3.65</v>
      </c>
      <c r="J1752" s="98" t="s">
        <v>530</v>
      </c>
      <c r="K1752" s="98" t="s">
        <v>2059</v>
      </c>
      <c r="L1752" s="96"/>
      <c r="M1752" s="110" t="s">
        <v>5444</v>
      </c>
      <c r="N1752" s="117" t="s">
        <v>5445</v>
      </c>
      <c r="O1752" s="110" t="s">
        <v>783</v>
      </c>
      <c r="P1752" s="110" t="s">
        <v>265</v>
      </c>
      <c r="Q1752" s="118" t="n">
        <v>0.23</v>
      </c>
      <c r="R1752" s="110" t="n">
        <v>1</v>
      </c>
      <c r="S1752" s="110" t="s">
        <v>632</v>
      </c>
      <c r="T1752" s="110" t="s">
        <v>530</v>
      </c>
      <c r="U1752" s="110" t="s">
        <v>2918</v>
      </c>
      <c r="V1752" s="119" t="n">
        <v>3.65</v>
      </c>
      <c r="W1752" s="119"/>
      <c r="X1752" s="110" t="s">
        <v>2063</v>
      </c>
      <c r="Y1752" s="110" t="s">
        <v>2064</v>
      </c>
      <c r="Z1752" s="110" t="s">
        <v>3020</v>
      </c>
      <c r="AA1752" s="110" t="s">
        <v>537</v>
      </c>
      <c r="AB1752" s="110" t="s">
        <v>244</v>
      </c>
      <c r="AC1752" s="110" t="s">
        <v>538</v>
      </c>
      <c r="AD1752" s="110" t="n">
        <f aca="false">IF(OR(F1752="",Q1752="",R1752=""),"",ROUND(IF(P1752="incl.",F1752/(1+Q1752),F1752)/IF(S1752="per pack",R1752,1),2))</f>
        <v>3.65</v>
      </c>
      <c r="AE1752" s="110" t="str">
        <f aca="false">IF(AND(AC1752="yes",ISNUMBER(F1752),IF(Compare!$H$5="All mapped",TRUE(),IF(Compare!$H$5="EXACT only",J1752="EXACT",OR(J1752="EXACT",J1752="CLOSE")))),"yes","no")</f>
        <v>yes</v>
      </c>
      <c r="AF1752" s="110" t="n">
        <f aca="false">IF(ISNUMBER(H1752),COUNTIFS($B$7:$B$3000,B1752,$C$7:$C$3000,C1752,$H$7:$H$3000,"&lt;"&amp;H1752,$AH$7:$AH$3000,"yes")+COUNTIFS($B$7:B1752,B1752,$C$7:C1752,C1752,$H$7:H1752,H1752,$AH$7:AH1752,"yes"),"")</f>
        <v>5</v>
      </c>
      <c r="AG1752" s="110" t="n">
        <f aca="false">IF(ISNUMBER(I1752),COUNTIFS($B$7:$B$3000,B1752,$C$7:$C$3000,C1752,$I$7:$I$3000,"&lt;"&amp;I1752,$AI$7:$AI$3000,"yes")+COUNTIFS($B$7:B1752,B1752,$C$7:C1752,C1752,$I$7:I1752,I1752,$AI$7:AI1752,"yes"),"")</f>
        <v>5</v>
      </c>
      <c r="AH1752" s="110" t="str">
        <f aca="false">IF(ISNUMBER(H1752),"yes","no")</f>
        <v>yes</v>
      </c>
      <c r="AI1752" s="110" t="str">
        <f aca="false">IF(ISNUMBER(I1752),"yes","no")</f>
        <v>yes</v>
      </c>
      <c r="AJ1752" s="120" t="n">
        <v>46297</v>
      </c>
      <c r="AK1752" s="110"/>
    </row>
    <row r="1753" customFormat="false" ht="23.85" hidden="false" customHeight="false" outlineLevel="0" collapsed="false">
      <c r="B1753" s="36" t="s">
        <v>97</v>
      </c>
      <c r="C1753" s="98" t="s">
        <v>18</v>
      </c>
      <c r="D1753" s="98" t="s">
        <v>4579</v>
      </c>
      <c r="E1753" s="110" t="s">
        <v>5446</v>
      </c>
      <c r="F1753" s="99" t="n">
        <v>3.69</v>
      </c>
      <c r="G1753" s="98" t="s">
        <v>244</v>
      </c>
      <c r="H1753" s="112" t="n">
        <f aca="false">IF(AND(AE1753="yes",ISNUMBER(AD1753)),AD1753,"")</f>
        <v>3</v>
      </c>
      <c r="I1753" s="95" t="n">
        <f aca="false">IF(AND(AE1753="yes",ISNUMBER(AD1753),ISNUMBER(INDEX(Sources!$G$7:$G$10,MATCH(AB1753,Sources!$B$7:$B$10,0)))),ROUND(AD1753/INDEX(Sources!$G$7:$G$10,MATCH(AB1753,Sources!$B$7:$B$10,0)),6),"")</f>
        <v>3</v>
      </c>
      <c r="J1753" s="98" t="s">
        <v>530</v>
      </c>
      <c r="K1753" s="98" t="s">
        <v>2059</v>
      </c>
      <c r="L1753" s="96"/>
      <c r="M1753" s="110" t="s">
        <v>5447</v>
      </c>
      <c r="N1753" s="117" t="s">
        <v>5211</v>
      </c>
      <c r="O1753" s="110" t="s">
        <v>246</v>
      </c>
      <c r="P1753" s="110" t="s">
        <v>265</v>
      </c>
      <c r="Q1753" s="118" t="n">
        <v>0.23</v>
      </c>
      <c r="R1753" s="110" t="n">
        <v>1</v>
      </c>
      <c r="S1753" s="110" t="s">
        <v>632</v>
      </c>
      <c r="T1753" s="110" t="s">
        <v>530</v>
      </c>
      <c r="U1753" s="110" t="s">
        <v>2918</v>
      </c>
      <c r="V1753" s="119" t="n">
        <v>3</v>
      </c>
      <c r="W1753" s="119"/>
      <c r="X1753" s="110" t="s">
        <v>2063</v>
      </c>
      <c r="Y1753" s="110" t="s">
        <v>2064</v>
      </c>
      <c r="Z1753" s="110" t="s">
        <v>4826</v>
      </c>
      <c r="AA1753" s="110" t="s">
        <v>537</v>
      </c>
      <c r="AB1753" s="110" t="s">
        <v>244</v>
      </c>
      <c r="AC1753" s="110" t="s">
        <v>538</v>
      </c>
      <c r="AD1753" s="110" t="n">
        <f aca="false">IF(OR(F1753="",Q1753="",R1753=""),"",ROUND(IF(P1753="incl.",F1753/(1+Q1753),F1753)/IF(S1753="per pack",R1753,1),2))</f>
        <v>3</v>
      </c>
      <c r="AE1753" s="110" t="str">
        <f aca="false">IF(AND(AC1753="yes",ISNUMBER(F1753),IF(Compare!$H$5="All mapped",TRUE(),IF(Compare!$H$5="EXACT only",J1753="EXACT",OR(J1753="EXACT",J1753="CLOSE")))),"yes","no")</f>
        <v>yes</v>
      </c>
      <c r="AF1753" s="110" t="n">
        <f aca="false">IF(ISNUMBER(H1753),COUNTIFS($B$7:$B$3000,B1753,$C$7:$C$3000,C1753,$H$7:$H$3000,"&lt;"&amp;H1753,$AH$7:$AH$3000,"yes")+COUNTIFS($B$7:B1753,B1753,$C$7:C1753,C1753,$H$7:H1753,H1753,$AH$7:AH1753,"yes"),"")</f>
        <v>3</v>
      </c>
      <c r="AG1753" s="110" t="n">
        <f aca="false">IF(ISNUMBER(I1753),COUNTIFS($B$7:$B$3000,B1753,$C$7:$C$3000,C1753,$I$7:$I$3000,"&lt;"&amp;I1753,$AI$7:$AI$3000,"yes")+COUNTIFS($B$7:B1753,B1753,$C$7:C1753,C1753,$I$7:I1753,I1753,$AI$7:AI1753,"yes"),"")</f>
        <v>3</v>
      </c>
      <c r="AH1753" s="110" t="str">
        <f aca="false">IF(ISNUMBER(H1753),"yes","no")</f>
        <v>yes</v>
      </c>
      <c r="AI1753" s="110" t="str">
        <f aca="false">IF(ISNUMBER(I1753),"yes","no")</f>
        <v>yes</v>
      </c>
      <c r="AJ1753" s="120" t="n">
        <v>46297</v>
      </c>
      <c r="AK1753" s="110"/>
    </row>
    <row r="1754" customFormat="false" ht="23.85" hidden="false" customHeight="false" outlineLevel="0" collapsed="false">
      <c r="B1754" s="36" t="s">
        <v>97</v>
      </c>
      <c r="C1754" s="98" t="s">
        <v>18</v>
      </c>
      <c r="D1754" s="98" t="s">
        <v>3021</v>
      </c>
      <c r="E1754" s="110" t="s">
        <v>5448</v>
      </c>
      <c r="F1754" s="99" t="n">
        <v>2.99</v>
      </c>
      <c r="G1754" s="98" t="s">
        <v>244</v>
      </c>
      <c r="H1754" s="112" t="n">
        <f aca="false">IF(AND(AE1754="yes",ISNUMBER(AD1754)),AD1754,"")</f>
        <v>2.99</v>
      </c>
      <c r="I1754" s="95" t="n">
        <f aca="false">IF(AND(AE1754="yes",ISNUMBER(AD1754),ISNUMBER(INDEX(Sources!$G$7:$G$10,MATCH(AB1754,Sources!$B$7:$B$10,0)))),ROUND(AD1754/INDEX(Sources!$G$7:$G$10,MATCH(AB1754,Sources!$B$7:$B$10,0)),6),"")</f>
        <v>2.99</v>
      </c>
      <c r="J1754" s="98" t="s">
        <v>530</v>
      </c>
      <c r="K1754" s="98" t="s">
        <v>2059</v>
      </c>
      <c r="L1754" s="96"/>
      <c r="M1754" s="110" t="s">
        <v>5449</v>
      </c>
      <c r="N1754" s="117" t="s">
        <v>4416</v>
      </c>
      <c r="O1754" s="110" t="s">
        <v>3024</v>
      </c>
      <c r="P1754" s="110" t="s">
        <v>590</v>
      </c>
      <c r="Q1754" s="118" t="n">
        <v>0.23</v>
      </c>
      <c r="R1754" s="110" t="n">
        <v>1</v>
      </c>
      <c r="S1754" s="110" t="s">
        <v>632</v>
      </c>
      <c r="T1754" s="110" t="s">
        <v>530</v>
      </c>
      <c r="U1754" s="110" t="s">
        <v>2913</v>
      </c>
      <c r="V1754" s="119" t="n">
        <v>2.99</v>
      </c>
      <c r="W1754" s="119"/>
      <c r="X1754" s="110" t="s">
        <v>2063</v>
      </c>
      <c r="Y1754" s="110" t="s">
        <v>2064</v>
      </c>
      <c r="Z1754" s="110" t="s">
        <v>3025</v>
      </c>
      <c r="AA1754" s="110" t="s">
        <v>537</v>
      </c>
      <c r="AB1754" s="110" t="s">
        <v>244</v>
      </c>
      <c r="AC1754" s="110" t="s">
        <v>538</v>
      </c>
      <c r="AD1754" s="110" t="n">
        <f aca="false">IF(OR(F1754="",Q1754="",R1754=""),"",ROUND(IF(P1754="incl.",F1754/(1+Q1754),F1754)/IF(S1754="per pack",R1754,1),2))</f>
        <v>2.99</v>
      </c>
      <c r="AE1754" s="110" t="str">
        <f aca="false">IF(AND(AC1754="yes",ISNUMBER(F1754),IF(Compare!$H$5="All mapped",TRUE(),IF(Compare!$H$5="EXACT only",J1754="EXACT",OR(J1754="EXACT",J1754="CLOSE")))),"yes","no")</f>
        <v>yes</v>
      </c>
      <c r="AF1754" s="110" t="n">
        <f aca="false">IF(ISNUMBER(H1754),COUNTIFS($B$7:$B$3000,B1754,$C$7:$C$3000,C1754,$H$7:$H$3000,"&lt;"&amp;H1754,$AH$7:$AH$3000,"yes")+COUNTIFS($B$7:B1754,B1754,$C$7:C1754,C1754,$H$7:H1754,H1754,$AH$7:AH1754,"yes"),"")</f>
        <v>2</v>
      </c>
      <c r="AG1754" s="110" t="n">
        <f aca="false">IF(ISNUMBER(I1754),COUNTIFS($B$7:$B$3000,B1754,$C$7:$C$3000,C1754,$I$7:$I$3000,"&lt;"&amp;I1754,$AI$7:$AI$3000,"yes")+COUNTIFS($B$7:B1754,B1754,$C$7:C1754,C1754,$I$7:I1754,I1754,$AI$7:AI1754,"yes"),"")</f>
        <v>2</v>
      </c>
      <c r="AH1754" s="110" t="str">
        <f aca="false">IF(ISNUMBER(H1754),"yes","no")</f>
        <v>yes</v>
      </c>
      <c r="AI1754" s="110" t="str">
        <f aca="false">IF(ISNUMBER(I1754),"yes","no")</f>
        <v>yes</v>
      </c>
      <c r="AJ1754" s="120" t="n">
        <v>46297</v>
      </c>
      <c r="AK1754" s="110"/>
    </row>
    <row r="1755" customFormat="false" ht="23.85" hidden="false" customHeight="false" outlineLevel="0" collapsed="false">
      <c r="B1755" s="36" t="s">
        <v>98</v>
      </c>
      <c r="C1755" s="98" t="s">
        <v>14</v>
      </c>
      <c r="D1755" s="98" t="s">
        <v>373</v>
      </c>
      <c r="E1755" s="110" t="s">
        <v>5450</v>
      </c>
      <c r="F1755" s="99" t="n">
        <v>12.84</v>
      </c>
      <c r="G1755" s="98" t="s">
        <v>374</v>
      </c>
      <c r="H1755" s="112" t="n">
        <f aca="false">IF(AND(AE1755="yes",ISNUMBER(AD1755)),AD1755,"")</f>
        <v>12.84</v>
      </c>
      <c r="I1755" s="95" t="n">
        <f aca="false">IF(AND(AE1755="yes",ISNUMBER(AD1755),ISNUMBER(INDEX(Sources!$G$7:$G$10,MATCH(AB1755,Sources!$B$7:$B$10,0)))),ROUND(AD1755/INDEX(Sources!$G$7:$G$10,MATCH(AB1755,Sources!$B$7:$B$10,0)),6),"")</f>
        <v>2.432905</v>
      </c>
      <c r="J1755" s="98" t="s">
        <v>530</v>
      </c>
      <c r="K1755" s="98" t="s">
        <v>2059</v>
      </c>
      <c r="L1755" s="96"/>
      <c r="M1755" s="110" t="s">
        <v>5451</v>
      </c>
      <c r="N1755" s="117" t="s">
        <v>5452</v>
      </c>
      <c r="O1755" s="110" t="s">
        <v>4321</v>
      </c>
      <c r="P1755" s="110" t="s">
        <v>590</v>
      </c>
      <c r="Q1755" s="118" t="n">
        <v>0.21</v>
      </c>
      <c r="R1755" s="110" t="n">
        <v>1</v>
      </c>
      <c r="S1755" s="110" t="s">
        <v>632</v>
      </c>
      <c r="T1755" s="110" t="s">
        <v>530</v>
      </c>
      <c r="U1755" s="110" t="s">
        <v>2913</v>
      </c>
      <c r="V1755" s="119" t="n">
        <v>12.84</v>
      </c>
      <c r="W1755" s="119"/>
      <c r="X1755" s="110" t="s">
        <v>2063</v>
      </c>
      <c r="Y1755" s="110" t="s">
        <v>2064</v>
      </c>
      <c r="Z1755" s="110"/>
      <c r="AA1755" s="110" t="s">
        <v>537</v>
      </c>
      <c r="AB1755" s="110" t="s">
        <v>374</v>
      </c>
      <c r="AC1755" s="110" t="s">
        <v>538</v>
      </c>
      <c r="AD1755" s="110" t="n">
        <f aca="false">IF(OR(F1755="",Q1755="",R1755=""),"",ROUND(IF(P1755="incl.",F1755/(1+Q1755),F1755)/IF(S1755="per pack",R1755,1),2))</f>
        <v>12.84</v>
      </c>
      <c r="AE1755" s="110" t="str">
        <f aca="false">IF(AND(AC1755="yes",ISNUMBER(F1755),IF(Compare!$H$5="All mapped",TRUE(),IF(Compare!$H$5="EXACT only",J1755="EXACT",OR(J1755="EXACT",J1755="CLOSE")))),"yes","no")</f>
        <v>yes</v>
      </c>
      <c r="AF1755" s="110" t="n">
        <f aca="false">IF(ISNUMBER(H1755),COUNTIFS($B$7:$B$3000,B1755,$C$7:$C$3000,C1755,$H$7:$H$3000,"&lt;"&amp;H1755,$AH$7:$AH$3000,"yes")+COUNTIFS($B$7:B1755,B1755,$C$7:C1755,C1755,$H$7:H1755,H1755,$AH$7:AH1755,"yes"),"")</f>
        <v>1</v>
      </c>
      <c r="AG1755" s="110" t="n">
        <f aca="false">IF(ISNUMBER(I1755),COUNTIFS($B$7:$B$3000,B1755,$C$7:$C$3000,C1755,$I$7:$I$3000,"&lt;"&amp;I1755,$AI$7:$AI$3000,"yes")+COUNTIFS($B$7:B1755,B1755,$C$7:C1755,C1755,$I$7:I1755,I1755,$AI$7:AI1755,"yes"),"")</f>
        <v>1</v>
      </c>
      <c r="AH1755" s="110" t="str">
        <f aca="false">IF(ISNUMBER(H1755),"yes","no")</f>
        <v>yes</v>
      </c>
      <c r="AI1755" s="110" t="str">
        <f aca="false">IF(ISNUMBER(I1755),"yes","no")</f>
        <v>yes</v>
      </c>
      <c r="AJ1755" s="120" t="n">
        <v>46297</v>
      </c>
      <c r="AK1755" s="110"/>
    </row>
    <row r="1756" customFormat="false" ht="23.85" hidden="false" customHeight="false" outlineLevel="0" collapsed="false">
      <c r="B1756" s="36" t="s">
        <v>98</v>
      </c>
      <c r="C1756" s="98" t="s">
        <v>14</v>
      </c>
      <c r="D1756" s="98" t="s">
        <v>378</v>
      </c>
      <c r="E1756" s="110" t="s">
        <v>5453</v>
      </c>
      <c r="F1756" s="99" t="n">
        <v>45.94</v>
      </c>
      <c r="G1756" s="98" t="s">
        <v>374</v>
      </c>
      <c r="H1756" s="112" t="n">
        <f aca="false">IF(AND(AE1756="yes",ISNUMBER(AD1756)),AD1756,"")</f>
        <v>37.97</v>
      </c>
      <c r="I1756" s="95" t="n">
        <f aca="false">IF(AND(AE1756="yes",ISNUMBER(AD1756),ISNUMBER(INDEX(Sources!$G$7:$G$10,MATCH(AB1756,Sources!$B$7:$B$10,0)))),ROUND(AD1756/INDEX(Sources!$G$7:$G$10,MATCH(AB1756,Sources!$B$7:$B$10,0)),6),"")</f>
        <v>7.194501</v>
      </c>
      <c r="J1756" s="98" t="s">
        <v>702</v>
      </c>
      <c r="K1756" s="98" t="s">
        <v>2059</v>
      </c>
      <c r="L1756" s="96"/>
      <c r="M1756" s="110" t="s">
        <v>5454</v>
      </c>
      <c r="N1756" s="117" t="s">
        <v>5455</v>
      </c>
      <c r="O1756" s="110" t="s">
        <v>733</v>
      </c>
      <c r="P1756" s="110" t="s">
        <v>265</v>
      </c>
      <c r="Q1756" s="118" t="n">
        <v>0.21</v>
      </c>
      <c r="R1756" s="110" t="n">
        <v>1</v>
      </c>
      <c r="S1756" s="110" t="s">
        <v>632</v>
      </c>
      <c r="T1756" s="110" t="s">
        <v>702</v>
      </c>
      <c r="U1756" s="110" t="s">
        <v>2918</v>
      </c>
      <c r="V1756" s="119" t="n">
        <v>37.97</v>
      </c>
      <c r="W1756" s="119"/>
      <c r="X1756" s="110" t="s">
        <v>2063</v>
      </c>
      <c r="Y1756" s="110" t="s">
        <v>2064</v>
      </c>
      <c r="Z1756" s="110"/>
      <c r="AA1756" s="110" t="s">
        <v>537</v>
      </c>
      <c r="AB1756" s="110" t="s">
        <v>374</v>
      </c>
      <c r="AC1756" s="110" t="s">
        <v>538</v>
      </c>
      <c r="AD1756" s="110" t="n">
        <f aca="false">IF(OR(F1756="",Q1756="",R1756=""),"",ROUND(IF(P1756="incl.",F1756/(1+Q1756),F1756)/IF(S1756="per pack",R1756,1),2))</f>
        <v>37.97</v>
      </c>
      <c r="AE1756" s="110" t="str">
        <f aca="false">IF(AND(AC1756="yes",ISNUMBER(F1756),IF(Compare!$H$5="All mapped",TRUE(),IF(Compare!$H$5="EXACT only",J1756="EXACT",OR(J1756="EXACT",J1756="CLOSE")))),"yes","no")</f>
        <v>yes</v>
      </c>
      <c r="AF1756" s="110" t="n">
        <f aca="false">IF(ISNUMBER(H1756),COUNTIFS($B$7:$B$3000,B1756,$C$7:$C$3000,C1756,$H$7:$H$3000,"&lt;"&amp;H1756,$AH$7:$AH$3000,"yes")+COUNTIFS($B$7:B1756,B1756,$C$7:C1756,C1756,$H$7:H1756,H1756,$AH$7:AH1756,"yes"),"")</f>
        <v>5</v>
      </c>
      <c r="AG1756" s="110" t="n">
        <f aca="false">IF(ISNUMBER(I1756),COUNTIFS($B$7:$B$3000,B1756,$C$7:$C$3000,C1756,$I$7:$I$3000,"&lt;"&amp;I1756,$AI$7:$AI$3000,"yes")+COUNTIFS($B$7:B1756,B1756,$C$7:C1756,C1756,$I$7:I1756,I1756,$AI$7:AI1756,"yes"),"")</f>
        <v>5</v>
      </c>
      <c r="AH1756" s="110" t="str">
        <f aca="false">IF(ISNUMBER(H1756),"yes","no")</f>
        <v>yes</v>
      </c>
      <c r="AI1756" s="110" t="str">
        <f aca="false">IF(ISNUMBER(I1756),"yes","no")</f>
        <v>yes</v>
      </c>
      <c r="AJ1756" s="120" t="n">
        <v>46297</v>
      </c>
      <c r="AK1756" s="110"/>
    </row>
    <row r="1757" customFormat="false" ht="46.25" hidden="false" customHeight="false" outlineLevel="0" collapsed="false">
      <c r="B1757" s="36" t="s">
        <v>98</v>
      </c>
      <c r="C1757" s="98" t="s">
        <v>14</v>
      </c>
      <c r="D1757" s="98" t="s">
        <v>4143</v>
      </c>
      <c r="E1757" s="110" t="s">
        <v>5456</v>
      </c>
      <c r="F1757" s="99" t="n">
        <v>242.12</v>
      </c>
      <c r="G1757" s="98" t="s">
        <v>374</v>
      </c>
      <c r="H1757" s="112" t="n">
        <f aca="false">IF(AND(AE1757="yes",ISNUMBER(AD1757)),AD1757,"")</f>
        <v>20.18</v>
      </c>
      <c r="I1757" s="95" t="n">
        <f aca="false">IF(AND(AE1757="yes",ISNUMBER(AD1757),ISNUMBER(INDEX(Sources!$G$7:$G$10,MATCH(AB1757,Sources!$B$7:$B$10,0)))),ROUND(AD1757/INDEX(Sources!$G$7:$G$10,MATCH(AB1757,Sources!$B$7:$B$10,0)),6),"")</f>
        <v>3.823678</v>
      </c>
      <c r="J1757" s="98" t="s">
        <v>530</v>
      </c>
      <c r="K1757" s="98" t="s">
        <v>2059</v>
      </c>
      <c r="L1757" s="96"/>
      <c r="M1757" s="110" t="s">
        <v>5457</v>
      </c>
      <c r="N1757" s="117" t="s">
        <v>5458</v>
      </c>
      <c r="O1757" s="110" t="s">
        <v>317</v>
      </c>
      <c r="P1757" s="110" t="s">
        <v>590</v>
      </c>
      <c r="Q1757" s="118" t="n">
        <v>0.21</v>
      </c>
      <c r="R1757" s="110" t="n">
        <v>12</v>
      </c>
      <c r="S1757" s="110" t="s">
        <v>625</v>
      </c>
      <c r="T1757" s="110" t="s">
        <v>530</v>
      </c>
      <c r="U1757" s="110" t="s">
        <v>2913</v>
      </c>
      <c r="V1757" s="119" t="n">
        <v>20.18</v>
      </c>
      <c r="W1757" s="119"/>
      <c r="X1757" s="110" t="s">
        <v>2063</v>
      </c>
      <c r="Y1757" s="110" t="s">
        <v>2064</v>
      </c>
      <c r="Z1757" s="110"/>
      <c r="AA1757" s="110" t="s">
        <v>537</v>
      </c>
      <c r="AB1757" s="110" t="s">
        <v>374</v>
      </c>
      <c r="AC1757" s="110" t="s">
        <v>538</v>
      </c>
      <c r="AD1757" s="110" t="n">
        <f aca="false">IF(OR(F1757="",Q1757="",R1757=""),"",ROUND(IF(P1757="incl.",F1757/(1+Q1757),F1757)/IF(S1757="per pack",R1757,1),2))</f>
        <v>20.18</v>
      </c>
      <c r="AE1757" s="110" t="str">
        <f aca="false">IF(AND(AC1757="yes",ISNUMBER(F1757),IF(Compare!$H$5="All mapped",TRUE(),IF(Compare!$H$5="EXACT only",J1757="EXACT",OR(J1757="EXACT",J1757="CLOSE")))),"yes","no")</f>
        <v>yes</v>
      </c>
      <c r="AF1757" s="110" t="n">
        <f aca="false">IF(ISNUMBER(H1757),COUNTIFS($B$7:$B$3000,B1757,$C$7:$C$3000,C1757,$H$7:$H$3000,"&lt;"&amp;H1757,$AH$7:$AH$3000,"yes")+COUNTIFS($B$7:B1757,B1757,$C$7:C1757,C1757,$H$7:H1757,H1757,$AH$7:AH1757,"yes"),"")</f>
        <v>3</v>
      </c>
      <c r="AG1757" s="110" t="n">
        <f aca="false">IF(ISNUMBER(I1757),COUNTIFS($B$7:$B$3000,B1757,$C$7:$C$3000,C1757,$I$7:$I$3000,"&lt;"&amp;I1757,$AI$7:$AI$3000,"yes")+COUNTIFS($B$7:B1757,B1757,$C$7:C1757,C1757,$I$7:I1757,I1757,$AI$7:AI1757,"yes"),"")</f>
        <v>3</v>
      </c>
      <c r="AH1757" s="110" t="str">
        <f aca="false">IF(ISNUMBER(H1757),"yes","no")</f>
        <v>yes</v>
      </c>
      <c r="AI1757" s="110" t="str">
        <f aca="false">IF(ISNUMBER(I1757),"yes","no")</f>
        <v>yes</v>
      </c>
      <c r="AJ1757" s="120" t="n">
        <v>46297</v>
      </c>
      <c r="AK1757" s="110"/>
    </row>
    <row r="1758" customFormat="false" ht="35.05" hidden="false" customHeight="false" outlineLevel="0" collapsed="false">
      <c r="B1758" s="36" t="s">
        <v>98</v>
      </c>
      <c r="C1758" s="98" t="s">
        <v>14</v>
      </c>
      <c r="D1758" s="98" t="s">
        <v>346</v>
      </c>
      <c r="E1758" s="110" t="s">
        <v>5459</v>
      </c>
      <c r="F1758" s="99" t="n">
        <v>32.12</v>
      </c>
      <c r="G1758" s="98" t="s">
        <v>374</v>
      </c>
      <c r="H1758" s="112" t="n">
        <f aca="false">IF(AND(AE1758="yes",ISNUMBER(AD1758)),AD1758,"")</f>
        <v>26.55</v>
      </c>
      <c r="I1758" s="95" t="n">
        <f aca="false">IF(AND(AE1758="yes",ISNUMBER(AD1758),ISNUMBER(INDEX(Sources!$G$7:$G$10,MATCH(AB1758,Sources!$B$7:$B$10,0)))),ROUND(AD1758/INDEX(Sources!$G$7:$G$10,MATCH(AB1758,Sources!$B$7:$B$10,0)),6),"")</f>
        <v>5.030656</v>
      </c>
      <c r="J1758" s="98" t="s">
        <v>530</v>
      </c>
      <c r="K1758" s="98" t="s">
        <v>2059</v>
      </c>
      <c r="L1758" s="96"/>
      <c r="M1758" s="110" t="s">
        <v>5460</v>
      </c>
      <c r="N1758" s="117" t="s">
        <v>5461</v>
      </c>
      <c r="O1758" s="110" t="s">
        <v>662</v>
      </c>
      <c r="P1758" s="110" t="s">
        <v>265</v>
      </c>
      <c r="Q1758" s="118" t="n">
        <v>0.21</v>
      </c>
      <c r="R1758" s="110" t="n">
        <v>1</v>
      </c>
      <c r="S1758" s="110" t="s">
        <v>632</v>
      </c>
      <c r="T1758" s="110" t="s">
        <v>530</v>
      </c>
      <c r="U1758" s="110" t="s">
        <v>2918</v>
      </c>
      <c r="V1758" s="119" t="n">
        <v>26.55</v>
      </c>
      <c r="W1758" s="119"/>
      <c r="X1758" s="110" t="s">
        <v>2063</v>
      </c>
      <c r="Y1758" s="110" t="s">
        <v>2064</v>
      </c>
      <c r="Z1758" s="110"/>
      <c r="AA1758" s="110" t="s">
        <v>537</v>
      </c>
      <c r="AB1758" s="110" t="s">
        <v>374</v>
      </c>
      <c r="AC1758" s="110" t="s">
        <v>538</v>
      </c>
      <c r="AD1758" s="110" t="n">
        <f aca="false">IF(OR(F1758="",Q1758="",R1758=""),"",ROUND(IF(P1758="incl.",F1758/(1+Q1758),F1758)/IF(S1758="per pack",R1758,1),2))</f>
        <v>26.55</v>
      </c>
      <c r="AE1758" s="110" t="str">
        <f aca="false">IF(AND(AC1758="yes",ISNUMBER(F1758),IF(Compare!$H$5="All mapped",TRUE(),IF(Compare!$H$5="EXACT only",J1758="EXACT",OR(J1758="EXACT",J1758="CLOSE")))),"yes","no")</f>
        <v>yes</v>
      </c>
      <c r="AF1758" s="110" t="n">
        <f aca="false">IF(ISNUMBER(H1758),COUNTIFS($B$7:$B$3000,B1758,$C$7:$C$3000,C1758,$H$7:$H$3000,"&lt;"&amp;H1758,$AH$7:$AH$3000,"yes")+COUNTIFS($B$7:B1758,B1758,$C$7:C1758,C1758,$H$7:H1758,H1758,$AH$7:AH1758,"yes"),"")</f>
        <v>4</v>
      </c>
      <c r="AG1758" s="110" t="n">
        <f aca="false">IF(ISNUMBER(I1758),COUNTIFS($B$7:$B$3000,B1758,$C$7:$C$3000,C1758,$I$7:$I$3000,"&lt;"&amp;I1758,$AI$7:$AI$3000,"yes")+COUNTIFS($B$7:B1758,B1758,$C$7:C1758,C1758,$I$7:I1758,I1758,$AI$7:AI1758,"yes"),"")</f>
        <v>4</v>
      </c>
      <c r="AH1758" s="110" t="str">
        <f aca="false">IF(ISNUMBER(H1758),"yes","no")</f>
        <v>yes</v>
      </c>
      <c r="AI1758" s="110" t="str">
        <f aca="false">IF(ISNUMBER(I1758),"yes","no")</f>
        <v>yes</v>
      </c>
      <c r="AJ1758" s="120" t="n">
        <v>46297</v>
      </c>
      <c r="AK1758" s="110"/>
    </row>
    <row r="1759" customFormat="false" ht="23.85" hidden="false" customHeight="false" outlineLevel="0" collapsed="false">
      <c r="B1759" s="36" t="s">
        <v>98</v>
      </c>
      <c r="C1759" s="98" t="s">
        <v>14</v>
      </c>
      <c r="D1759" s="98" t="s">
        <v>403</v>
      </c>
      <c r="E1759" s="110" t="s">
        <v>5462</v>
      </c>
      <c r="F1759" s="99" t="n">
        <v>18.02</v>
      </c>
      <c r="G1759" s="98" t="s">
        <v>374</v>
      </c>
      <c r="H1759" s="112" t="n">
        <f aca="false">IF(AND(AE1759="yes",ISNUMBER(AD1759)),AD1759,"")</f>
        <v>18.02</v>
      </c>
      <c r="I1759" s="95" t="n">
        <f aca="false">IF(AND(AE1759="yes",ISNUMBER(AD1759),ISNUMBER(INDEX(Sources!$G$7:$G$10,MATCH(AB1759,Sources!$B$7:$B$10,0)))),ROUND(AD1759/INDEX(Sources!$G$7:$G$10,MATCH(AB1759,Sources!$B$7:$B$10,0)),6),"")</f>
        <v>3.414404</v>
      </c>
      <c r="J1759" s="98" t="s">
        <v>530</v>
      </c>
      <c r="K1759" s="98" t="s">
        <v>2059</v>
      </c>
      <c r="L1759" s="96"/>
      <c r="M1759" s="110" t="s">
        <v>5463</v>
      </c>
      <c r="N1759" s="117" t="s">
        <v>5464</v>
      </c>
      <c r="O1759" s="110" t="s">
        <v>388</v>
      </c>
      <c r="P1759" s="110" t="s">
        <v>590</v>
      </c>
      <c r="Q1759" s="118" t="n">
        <v>0.21</v>
      </c>
      <c r="R1759" s="110" t="n">
        <v>1</v>
      </c>
      <c r="S1759" s="110" t="s">
        <v>632</v>
      </c>
      <c r="T1759" s="110" t="s">
        <v>530</v>
      </c>
      <c r="U1759" s="110" t="s">
        <v>2913</v>
      </c>
      <c r="V1759" s="119" t="n">
        <v>18.02</v>
      </c>
      <c r="W1759" s="119"/>
      <c r="X1759" s="110" t="s">
        <v>2063</v>
      </c>
      <c r="Y1759" s="110" t="s">
        <v>2064</v>
      </c>
      <c r="Z1759" s="110"/>
      <c r="AA1759" s="110" t="s">
        <v>537</v>
      </c>
      <c r="AB1759" s="110" t="s">
        <v>374</v>
      </c>
      <c r="AC1759" s="110" t="s">
        <v>538</v>
      </c>
      <c r="AD1759" s="110" t="n">
        <f aca="false">IF(OR(F1759="",Q1759="",R1759=""),"",ROUND(IF(P1759="incl.",F1759/(1+Q1759),F1759)/IF(S1759="per pack",R1759,1),2))</f>
        <v>18.02</v>
      </c>
      <c r="AE1759" s="110" t="str">
        <f aca="false">IF(AND(AC1759="yes",ISNUMBER(F1759),IF(Compare!$H$5="All mapped",TRUE(),IF(Compare!$H$5="EXACT only",J1759="EXACT",OR(J1759="EXACT",J1759="CLOSE")))),"yes","no")</f>
        <v>yes</v>
      </c>
      <c r="AF1759" s="110" t="n">
        <f aca="false">IF(ISNUMBER(H1759),COUNTIFS($B$7:$B$3000,B1759,$C$7:$C$3000,C1759,$H$7:$H$3000,"&lt;"&amp;H1759,$AH$7:$AH$3000,"yes")+COUNTIFS($B$7:B1759,B1759,$C$7:C1759,C1759,$H$7:H1759,H1759,$AH$7:AH1759,"yes"),"")</f>
        <v>2</v>
      </c>
      <c r="AG1759" s="110" t="n">
        <f aca="false">IF(ISNUMBER(I1759),COUNTIFS($B$7:$B$3000,B1759,$C$7:$C$3000,C1759,$I$7:$I$3000,"&lt;"&amp;I1759,$AI$7:$AI$3000,"yes")+COUNTIFS($B$7:B1759,B1759,$C$7:C1759,C1759,$I$7:I1759,I1759,$AI$7:AI1759,"yes"),"")</f>
        <v>2</v>
      </c>
      <c r="AH1759" s="110" t="str">
        <f aca="false">IF(ISNUMBER(H1759),"yes","no")</f>
        <v>yes</v>
      </c>
      <c r="AI1759" s="110" t="str">
        <f aca="false">IF(ISNUMBER(I1759),"yes","no")</f>
        <v>yes</v>
      </c>
      <c r="AJ1759" s="120" t="n">
        <v>46297</v>
      </c>
      <c r="AK1759" s="110"/>
    </row>
    <row r="1760" customFormat="false" ht="35.05" hidden="false" customHeight="false" outlineLevel="0" collapsed="false">
      <c r="B1760" s="36" t="s">
        <v>98</v>
      </c>
      <c r="C1760" s="98" t="s">
        <v>15</v>
      </c>
      <c r="D1760" s="98" t="s">
        <v>243</v>
      </c>
      <c r="E1760" s="110" t="s">
        <v>5465</v>
      </c>
      <c r="F1760" s="99" t="n">
        <v>5.59</v>
      </c>
      <c r="G1760" s="98" t="s">
        <v>244</v>
      </c>
      <c r="H1760" s="112" t="n">
        <f aca="false">IF(AND(AE1760="yes",ISNUMBER(AD1760)),AD1760,"")</f>
        <v>5.59</v>
      </c>
      <c r="I1760" s="95" t="n">
        <f aca="false">IF(AND(AE1760="yes",ISNUMBER(AD1760),ISNUMBER(INDEX(Sources!$G$7:$G$10,MATCH(AB1760,Sources!$B$7:$B$10,0)))),ROUND(AD1760/INDEX(Sources!$G$7:$G$10,MATCH(AB1760,Sources!$B$7:$B$10,0)),6),"")</f>
        <v>5.59</v>
      </c>
      <c r="J1760" s="98" t="s">
        <v>530</v>
      </c>
      <c r="K1760" s="98" t="s">
        <v>2059</v>
      </c>
      <c r="L1760" s="96"/>
      <c r="M1760" s="110" t="s">
        <v>5466</v>
      </c>
      <c r="N1760" s="117" t="s">
        <v>5467</v>
      </c>
      <c r="O1760" s="110" t="s">
        <v>388</v>
      </c>
      <c r="P1760" s="110" t="s">
        <v>590</v>
      </c>
      <c r="Q1760" s="118" t="n">
        <v>0.2</v>
      </c>
      <c r="R1760" s="110" t="n">
        <v>1</v>
      </c>
      <c r="S1760" s="110" t="s">
        <v>632</v>
      </c>
      <c r="T1760" s="110" t="s">
        <v>530</v>
      </c>
      <c r="U1760" s="110" t="s">
        <v>2913</v>
      </c>
      <c r="V1760" s="119" t="n">
        <v>5.59</v>
      </c>
      <c r="W1760" s="119"/>
      <c r="X1760" s="110" t="s">
        <v>2063</v>
      </c>
      <c r="Y1760" s="110" t="s">
        <v>2064</v>
      </c>
      <c r="Z1760" s="110" t="s">
        <v>4337</v>
      </c>
      <c r="AA1760" s="110" t="s">
        <v>537</v>
      </c>
      <c r="AB1760" s="110" t="s">
        <v>244</v>
      </c>
      <c r="AC1760" s="110" t="s">
        <v>538</v>
      </c>
      <c r="AD1760" s="110" t="n">
        <f aca="false">IF(OR(F1760="",Q1760="",R1760=""),"",ROUND(IF(P1760="incl.",F1760/(1+Q1760),F1760)/IF(S1760="per pack",R1760,1),2))</f>
        <v>5.59</v>
      </c>
      <c r="AE1760" s="110" t="str">
        <f aca="false">IF(AND(AC1760="yes",ISNUMBER(F1760),IF(Compare!$H$5="All mapped",TRUE(),IF(Compare!$H$5="EXACT only",J1760="EXACT",OR(J1760="EXACT",J1760="CLOSE")))),"yes","no")</f>
        <v>yes</v>
      </c>
      <c r="AF1760" s="110" t="n">
        <f aca="false">IF(ISNUMBER(H1760),COUNTIFS($B$7:$B$3000,B1760,$C$7:$C$3000,C1760,$H$7:$H$3000,"&lt;"&amp;H1760,$AH$7:$AH$3000,"yes")+COUNTIFS($B$7:B1760,B1760,$C$7:C1760,C1760,$H$7:H1760,H1760,$AH$7:AH1760,"yes"),"")</f>
        <v>5</v>
      </c>
      <c r="AG1760" s="110" t="n">
        <f aca="false">IF(ISNUMBER(I1760),COUNTIFS($B$7:$B$3000,B1760,$C$7:$C$3000,C1760,$I$7:$I$3000,"&lt;"&amp;I1760,$AI$7:$AI$3000,"yes")+COUNTIFS($B$7:B1760,B1760,$C$7:C1760,C1760,$I$7:I1760,I1760,$AI$7:AI1760,"yes"),"")</f>
        <v>5</v>
      </c>
      <c r="AH1760" s="110" t="str">
        <f aca="false">IF(ISNUMBER(H1760),"yes","no")</f>
        <v>yes</v>
      </c>
      <c r="AI1760" s="110" t="str">
        <f aca="false">IF(ISNUMBER(I1760),"yes","no")</f>
        <v>yes</v>
      </c>
      <c r="AJ1760" s="120" t="n">
        <v>46297</v>
      </c>
      <c r="AK1760" s="110"/>
    </row>
    <row r="1761" customFormat="false" ht="23.85" hidden="false" customHeight="false" outlineLevel="0" collapsed="false">
      <c r="B1761" s="36" t="s">
        <v>98</v>
      </c>
      <c r="C1761" s="98" t="s">
        <v>15</v>
      </c>
      <c r="D1761" s="98" t="s">
        <v>257</v>
      </c>
      <c r="E1761" s="110" t="s">
        <v>5468</v>
      </c>
      <c r="F1761" s="99" t="n">
        <v>4.15</v>
      </c>
      <c r="G1761" s="98" t="s">
        <v>244</v>
      </c>
      <c r="H1761" s="112" t="n">
        <f aca="false">IF(AND(AE1761="yes",ISNUMBER(AD1761)),AD1761,"")</f>
        <v>4.15</v>
      </c>
      <c r="I1761" s="95" t="n">
        <f aca="false">IF(AND(AE1761="yes",ISNUMBER(AD1761),ISNUMBER(INDEX(Sources!$G$7:$G$10,MATCH(AB1761,Sources!$B$7:$B$10,0)))),ROUND(AD1761/INDEX(Sources!$G$7:$G$10,MATCH(AB1761,Sources!$B$7:$B$10,0)),6),"")</f>
        <v>4.15</v>
      </c>
      <c r="J1761" s="98" t="s">
        <v>530</v>
      </c>
      <c r="K1761" s="98" t="s">
        <v>2059</v>
      </c>
      <c r="L1761" s="96"/>
      <c r="M1761" s="110" t="s">
        <v>5469</v>
      </c>
      <c r="N1761" s="117" t="s">
        <v>5470</v>
      </c>
      <c r="O1761" s="110" t="s">
        <v>2396</v>
      </c>
      <c r="P1761" s="110" t="s">
        <v>590</v>
      </c>
      <c r="Q1761" s="118" t="n">
        <v>0.2</v>
      </c>
      <c r="R1761" s="110" t="n">
        <v>1</v>
      </c>
      <c r="S1761" s="110" t="s">
        <v>632</v>
      </c>
      <c r="T1761" s="110" t="s">
        <v>530</v>
      </c>
      <c r="U1761" s="110" t="s">
        <v>2913</v>
      </c>
      <c r="V1761" s="119" t="n">
        <v>4.15</v>
      </c>
      <c r="W1761" s="119"/>
      <c r="X1761" s="110" t="s">
        <v>2063</v>
      </c>
      <c r="Y1761" s="110" t="s">
        <v>2064</v>
      </c>
      <c r="Z1761" s="110" t="s">
        <v>4341</v>
      </c>
      <c r="AA1761" s="110" t="s">
        <v>537</v>
      </c>
      <c r="AB1761" s="110" t="s">
        <v>244</v>
      </c>
      <c r="AC1761" s="110" t="s">
        <v>538</v>
      </c>
      <c r="AD1761" s="110" t="n">
        <f aca="false">IF(OR(F1761="",Q1761="",R1761=""),"",ROUND(IF(P1761="incl.",F1761/(1+Q1761),F1761)/IF(S1761="per pack",R1761,1),2))</f>
        <v>4.15</v>
      </c>
      <c r="AE1761" s="110" t="str">
        <f aca="false">IF(AND(AC1761="yes",ISNUMBER(F1761),IF(Compare!$H$5="All mapped",TRUE(),IF(Compare!$H$5="EXACT only",J1761="EXACT",OR(J1761="EXACT",J1761="CLOSE")))),"yes","no")</f>
        <v>yes</v>
      </c>
      <c r="AF1761" s="110" t="n">
        <f aca="false">IF(ISNUMBER(H1761),COUNTIFS($B$7:$B$3000,B1761,$C$7:$C$3000,C1761,$H$7:$H$3000,"&lt;"&amp;H1761,$AH$7:$AH$3000,"yes")+COUNTIFS($B$7:B1761,B1761,$C$7:C1761,C1761,$H$7:H1761,H1761,$AH$7:AH1761,"yes"),"")</f>
        <v>4</v>
      </c>
      <c r="AG1761" s="110" t="n">
        <f aca="false">IF(ISNUMBER(I1761),COUNTIFS($B$7:$B$3000,B1761,$C$7:$C$3000,C1761,$I$7:$I$3000,"&lt;"&amp;I1761,$AI$7:$AI$3000,"yes")+COUNTIFS($B$7:B1761,B1761,$C$7:C1761,C1761,$I$7:I1761,I1761,$AI$7:AI1761,"yes"),"")</f>
        <v>4</v>
      </c>
      <c r="AH1761" s="110" t="str">
        <f aca="false">IF(ISNUMBER(H1761),"yes","no")</f>
        <v>yes</v>
      </c>
      <c r="AI1761" s="110" t="str">
        <f aca="false">IF(ISNUMBER(I1761),"yes","no")</f>
        <v>yes</v>
      </c>
      <c r="AJ1761" s="120" t="n">
        <v>46297</v>
      </c>
      <c r="AK1761" s="110"/>
    </row>
    <row r="1762" customFormat="false" ht="35.05" hidden="false" customHeight="false" outlineLevel="0" collapsed="false">
      <c r="B1762" s="36" t="s">
        <v>98</v>
      </c>
      <c r="C1762" s="98" t="s">
        <v>15</v>
      </c>
      <c r="D1762" s="98" t="s">
        <v>269</v>
      </c>
      <c r="E1762" s="110" t="s">
        <v>5471</v>
      </c>
      <c r="F1762" s="99" t="n">
        <v>6.99</v>
      </c>
      <c r="G1762" s="98" t="s">
        <v>244</v>
      </c>
      <c r="H1762" s="112" t="n">
        <f aca="false">IF(AND(AE1762="yes",ISNUMBER(AD1762)),AD1762,"")</f>
        <v>6.99</v>
      </c>
      <c r="I1762" s="95" t="n">
        <f aca="false">IF(AND(AE1762="yes",ISNUMBER(AD1762),ISNUMBER(INDEX(Sources!$G$7:$G$10,MATCH(AB1762,Sources!$B$7:$B$10,0)))),ROUND(AD1762/INDEX(Sources!$G$7:$G$10,MATCH(AB1762,Sources!$B$7:$B$10,0)),6),"")</f>
        <v>6.99</v>
      </c>
      <c r="J1762" s="98" t="s">
        <v>702</v>
      </c>
      <c r="K1762" s="98" t="s">
        <v>2059</v>
      </c>
      <c r="L1762" s="96"/>
      <c r="M1762" s="110" t="s">
        <v>5472</v>
      </c>
      <c r="N1762" s="117" t="s">
        <v>5473</v>
      </c>
      <c r="O1762" s="110" t="s">
        <v>388</v>
      </c>
      <c r="P1762" s="110" t="s">
        <v>590</v>
      </c>
      <c r="Q1762" s="118" t="n">
        <v>0.19</v>
      </c>
      <c r="R1762" s="110" t="n">
        <v>1</v>
      </c>
      <c r="S1762" s="110" t="s">
        <v>632</v>
      </c>
      <c r="T1762" s="110" t="s">
        <v>702</v>
      </c>
      <c r="U1762" s="110" t="s">
        <v>2913</v>
      </c>
      <c r="V1762" s="119" t="n">
        <v>6.99</v>
      </c>
      <c r="W1762" s="119"/>
      <c r="X1762" s="110" t="s">
        <v>2063</v>
      </c>
      <c r="Y1762" s="110" t="s">
        <v>2064</v>
      </c>
      <c r="Z1762" s="110" t="s">
        <v>4345</v>
      </c>
      <c r="AA1762" s="110" t="s">
        <v>537</v>
      </c>
      <c r="AB1762" s="110" t="s">
        <v>244</v>
      </c>
      <c r="AC1762" s="110" t="s">
        <v>538</v>
      </c>
      <c r="AD1762" s="110" t="n">
        <f aca="false">IF(OR(F1762="",Q1762="",R1762=""),"",ROUND(IF(P1762="incl.",F1762/(1+Q1762),F1762)/IF(S1762="per pack",R1762,1),2))</f>
        <v>6.99</v>
      </c>
      <c r="AE1762" s="110" t="str">
        <f aca="false">IF(AND(AC1762="yes",ISNUMBER(F1762),IF(Compare!$H$5="All mapped",TRUE(),IF(Compare!$H$5="EXACT only",J1762="EXACT",OR(J1762="EXACT",J1762="CLOSE")))),"yes","no")</f>
        <v>yes</v>
      </c>
      <c r="AF1762" s="110" t="n">
        <f aca="false">IF(ISNUMBER(H1762),COUNTIFS($B$7:$B$3000,B1762,$C$7:$C$3000,C1762,$H$7:$H$3000,"&lt;"&amp;H1762,$AH$7:$AH$3000,"yes")+COUNTIFS($B$7:B1762,B1762,$C$7:C1762,C1762,$H$7:H1762,H1762,$AH$7:AH1762,"yes"),"")</f>
        <v>6</v>
      </c>
      <c r="AG1762" s="110" t="n">
        <f aca="false">IF(ISNUMBER(I1762),COUNTIFS($B$7:$B$3000,B1762,$C$7:$C$3000,C1762,$I$7:$I$3000,"&lt;"&amp;I1762,$AI$7:$AI$3000,"yes")+COUNTIFS($B$7:B1762,B1762,$C$7:C1762,C1762,$I$7:I1762,I1762,$AI$7:AI1762,"yes"),"")</f>
        <v>6</v>
      </c>
      <c r="AH1762" s="110" t="str">
        <f aca="false">IF(ISNUMBER(H1762),"yes","no")</f>
        <v>yes</v>
      </c>
      <c r="AI1762" s="110" t="str">
        <f aca="false">IF(ISNUMBER(I1762),"yes","no")</f>
        <v>yes</v>
      </c>
      <c r="AJ1762" s="120" t="n">
        <v>46297</v>
      </c>
      <c r="AK1762" s="110"/>
    </row>
    <row r="1763" customFormat="false" ht="23.85" hidden="false" customHeight="false" outlineLevel="0" collapsed="false">
      <c r="B1763" s="36" t="s">
        <v>98</v>
      </c>
      <c r="C1763" s="98" t="s">
        <v>15</v>
      </c>
      <c r="D1763" s="98" t="s">
        <v>264</v>
      </c>
      <c r="E1763" s="110" t="s">
        <v>5474</v>
      </c>
      <c r="F1763" s="99" t="n">
        <v>14.7</v>
      </c>
      <c r="G1763" s="98" t="s">
        <v>244</v>
      </c>
      <c r="H1763" s="112" t="n">
        <f aca="false">IF(AND(AE1763="yes",ISNUMBER(AD1763)),AD1763,"")</f>
        <v>14.7</v>
      </c>
      <c r="I1763" s="95" t="n">
        <f aca="false">IF(AND(AE1763="yes",ISNUMBER(AD1763),ISNUMBER(INDEX(Sources!$G$7:$G$10,MATCH(AB1763,Sources!$B$7:$B$10,0)))),ROUND(AD1763/INDEX(Sources!$G$7:$G$10,MATCH(AB1763,Sources!$B$7:$B$10,0)),6),"")</f>
        <v>14.7</v>
      </c>
      <c r="J1763" s="98" t="s">
        <v>530</v>
      </c>
      <c r="K1763" s="98" t="s">
        <v>2059</v>
      </c>
      <c r="L1763" s="96"/>
      <c r="M1763" s="110" t="s">
        <v>5475</v>
      </c>
      <c r="N1763" s="117" t="s">
        <v>5476</v>
      </c>
      <c r="O1763" s="110" t="s">
        <v>388</v>
      </c>
      <c r="P1763" s="110" t="s">
        <v>590</v>
      </c>
      <c r="Q1763" s="118" t="n">
        <v>0.19</v>
      </c>
      <c r="R1763" s="110" t="n">
        <v>1</v>
      </c>
      <c r="S1763" s="110" t="s">
        <v>632</v>
      </c>
      <c r="T1763" s="110" t="s">
        <v>530</v>
      </c>
      <c r="U1763" s="110" t="s">
        <v>2913</v>
      </c>
      <c r="V1763" s="119" t="n">
        <v>14.7</v>
      </c>
      <c r="W1763" s="119"/>
      <c r="X1763" s="110" t="s">
        <v>2063</v>
      </c>
      <c r="Y1763" s="110" t="s">
        <v>2064</v>
      </c>
      <c r="Z1763" s="110"/>
      <c r="AA1763" s="110" t="s">
        <v>537</v>
      </c>
      <c r="AB1763" s="110" t="s">
        <v>244</v>
      </c>
      <c r="AC1763" s="110" t="s">
        <v>538</v>
      </c>
      <c r="AD1763" s="110" t="n">
        <f aca="false">IF(OR(F1763="",Q1763="",R1763=""),"",ROUND(IF(P1763="incl.",F1763/(1+Q1763),F1763)/IF(S1763="per pack",R1763,1),2))</f>
        <v>14.7</v>
      </c>
      <c r="AE1763" s="110" t="str">
        <f aca="false">IF(AND(AC1763="yes",ISNUMBER(F1763),IF(Compare!$H$5="All mapped",TRUE(),IF(Compare!$H$5="EXACT only",J1763="EXACT",OR(J1763="EXACT",J1763="CLOSE")))),"yes","no")</f>
        <v>yes</v>
      </c>
      <c r="AF1763" s="110" t="n">
        <f aca="false">IF(ISNUMBER(H1763),COUNTIFS($B$7:$B$3000,B1763,$C$7:$C$3000,C1763,$H$7:$H$3000,"&lt;"&amp;H1763,$AH$7:$AH$3000,"yes")+COUNTIFS($B$7:B1763,B1763,$C$7:C1763,C1763,$H$7:H1763,H1763,$AH$7:AH1763,"yes"),"")</f>
        <v>7</v>
      </c>
      <c r="AG1763" s="110" t="n">
        <f aca="false">IF(ISNUMBER(I1763),COUNTIFS($B$7:$B$3000,B1763,$C$7:$C$3000,C1763,$I$7:$I$3000,"&lt;"&amp;I1763,$AI$7:$AI$3000,"yes")+COUNTIFS($B$7:B1763,B1763,$C$7:C1763,C1763,$I$7:I1763,I1763,$AI$7:AI1763,"yes"),"")</f>
        <v>7</v>
      </c>
      <c r="AH1763" s="110" t="str">
        <f aca="false">IF(ISNUMBER(H1763),"yes","no")</f>
        <v>yes</v>
      </c>
      <c r="AI1763" s="110" t="str">
        <f aca="false">IF(ISNUMBER(I1763),"yes","no")</f>
        <v>yes</v>
      </c>
      <c r="AJ1763" s="120" t="n">
        <v>46297</v>
      </c>
      <c r="AK1763" s="110"/>
    </row>
    <row r="1764" customFormat="false" ht="35.05" hidden="false" customHeight="false" outlineLevel="0" collapsed="false">
      <c r="B1764" s="36" t="s">
        <v>98</v>
      </c>
      <c r="C1764" s="98" t="s">
        <v>15</v>
      </c>
      <c r="D1764" s="98" t="s">
        <v>273</v>
      </c>
      <c r="E1764" s="110" t="s">
        <v>5477</v>
      </c>
      <c r="F1764" s="99" t="n">
        <v>4.89</v>
      </c>
      <c r="G1764" s="98" t="s">
        <v>244</v>
      </c>
      <c r="H1764" s="112" t="n">
        <f aca="false">IF(AND(AE1764="yes",ISNUMBER(AD1764)),AD1764,"")</f>
        <v>4.08</v>
      </c>
      <c r="I1764" s="95" t="n">
        <f aca="false">IF(AND(AE1764="yes",ISNUMBER(AD1764),ISNUMBER(INDEX(Sources!$G$7:$G$10,MATCH(AB1764,Sources!$B$7:$B$10,0)))),ROUND(AD1764/INDEX(Sources!$G$7:$G$10,MATCH(AB1764,Sources!$B$7:$B$10,0)),6),"")</f>
        <v>4.08</v>
      </c>
      <c r="J1764" s="98" t="s">
        <v>530</v>
      </c>
      <c r="K1764" s="98" t="s">
        <v>2059</v>
      </c>
      <c r="L1764" s="96"/>
      <c r="M1764" s="110" t="s">
        <v>5478</v>
      </c>
      <c r="N1764" s="117" t="s">
        <v>5479</v>
      </c>
      <c r="O1764" s="110" t="s">
        <v>642</v>
      </c>
      <c r="P1764" s="110" t="s">
        <v>265</v>
      </c>
      <c r="Q1764" s="118" t="n">
        <v>0.2</v>
      </c>
      <c r="R1764" s="110" t="n">
        <v>1</v>
      </c>
      <c r="S1764" s="110" t="s">
        <v>632</v>
      </c>
      <c r="T1764" s="110" t="s">
        <v>530</v>
      </c>
      <c r="U1764" s="110" t="s">
        <v>2918</v>
      </c>
      <c r="V1764" s="119" t="n">
        <v>4.08</v>
      </c>
      <c r="W1764" s="119"/>
      <c r="X1764" s="110" t="s">
        <v>2063</v>
      </c>
      <c r="Y1764" s="110" t="s">
        <v>2064</v>
      </c>
      <c r="Z1764" s="110"/>
      <c r="AA1764" s="110" t="s">
        <v>537</v>
      </c>
      <c r="AB1764" s="110" t="s">
        <v>244</v>
      </c>
      <c r="AC1764" s="110" t="s">
        <v>538</v>
      </c>
      <c r="AD1764" s="110" t="n">
        <f aca="false">IF(OR(F1764="",Q1764="",R1764=""),"",ROUND(IF(P1764="incl.",F1764/(1+Q1764),F1764)/IF(S1764="per pack",R1764,1),2))</f>
        <v>4.08</v>
      </c>
      <c r="AE1764" s="110" t="str">
        <f aca="false">IF(AND(AC1764="yes",ISNUMBER(F1764),IF(Compare!$H$5="All mapped",TRUE(),IF(Compare!$H$5="EXACT only",J1764="EXACT",OR(J1764="EXACT",J1764="CLOSE")))),"yes","no")</f>
        <v>yes</v>
      </c>
      <c r="AF1764" s="110" t="n">
        <f aca="false">IF(ISNUMBER(H1764),COUNTIFS($B$7:$B$3000,B1764,$C$7:$C$3000,C1764,$H$7:$H$3000,"&lt;"&amp;H1764,$AH$7:$AH$3000,"yes")+COUNTIFS($B$7:B1764,B1764,$C$7:C1764,C1764,$H$7:H1764,H1764,$AH$7:AH1764,"yes"),"")</f>
        <v>3</v>
      </c>
      <c r="AG1764" s="110" t="n">
        <f aca="false">IF(ISNUMBER(I1764),COUNTIFS($B$7:$B$3000,B1764,$C$7:$C$3000,C1764,$I$7:$I$3000,"&lt;"&amp;I1764,$AI$7:$AI$3000,"yes")+COUNTIFS($B$7:B1764,B1764,$C$7:C1764,C1764,$I$7:I1764,I1764,$AI$7:AI1764,"yes"),"")</f>
        <v>3</v>
      </c>
      <c r="AH1764" s="110" t="str">
        <f aca="false">IF(ISNUMBER(H1764),"yes","no")</f>
        <v>yes</v>
      </c>
      <c r="AI1764" s="110" t="str">
        <f aca="false">IF(ISNUMBER(I1764),"yes","no")</f>
        <v>yes</v>
      </c>
      <c r="AJ1764" s="120" t="n">
        <v>46297</v>
      </c>
      <c r="AK1764" s="110"/>
    </row>
    <row r="1765" customFormat="false" ht="46.25" hidden="false" customHeight="false" outlineLevel="0" collapsed="false">
      <c r="B1765" s="36" t="s">
        <v>98</v>
      </c>
      <c r="C1765" s="98" t="s">
        <v>15</v>
      </c>
      <c r="D1765" s="98" t="s">
        <v>281</v>
      </c>
      <c r="E1765" s="110" t="s">
        <v>5480</v>
      </c>
      <c r="F1765" s="99" t="n">
        <v>3.33</v>
      </c>
      <c r="G1765" s="98" t="s">
        <v>244</v>
      </c>
      <c r="H1765" s="112" t="n">
        <f aca="false">IF(AND(AE1765="yes",ISNUMBER(AD1765)),AD1765,"")</f>
        <v>3.33</v>
      </c>
      <c r="I1765" s="95" t="n">
        <f aca="false">IF(AND(AE1765="yes",ISNUMBER(AD1765),ISNUMBER(INDEX(Sources!$G$7:$G$10,MATCH(AB1765,Sources!$B$7:$B$10,0)))),ROUND(AD1765/INDEX(Sources!$G$7:$G$10,MATCH(AB1765,Sources!$B$7:$B$10,0)),6),"")</f>
        <v>3.33</v>
      </c>
      <c r="J1765" s="98" t="s">
        <v>530</v>
      </c>
      <c r="K1765" s="98" t="s">
        <v>2059</v>
      </c>
      <c r="L1765" s="96"/>
      <c r="M1765" s="110" t="s">
        <v>5481</v>
      </c>
      <c r="N1765" s="117" t="s">
        <v>5482</v>
      </c>
      <c r="O1765" s="110" t="s">
        <v>603</v>
      </c>
      <c r="P1765" s="110" t="s">
        <v>590</v>
      </c>
      <c r="Q1765" s="118" t="n">
        <v>0.2</v>
      </c>
      <c r="R1765" s="110" t="n">
        <v>1</v>
      </c>
      <c r="S1765" s="110" t="s">
        <v>632</v>
      </c>
      <c r="T1765" s="110" t="s">
        <v>530</v>
      </c>
      <c r="U1765" s="110" t="s">
        <v>2913</v>
      </c>
      <c r="V1765" s="119" t="n">
        <v>3.33</v>
      </c>
      <c r="W1765" s="119"/>
      <c r="X1765" s="110" t="s">
        <v>2063</v>
      </c>
      <c r="Y1765" s="110" t="s">
        <v>2064</v>
      </c>
      <c r="Z1765" s="110" t="s">
        <v>2125</v>
      </c>
      <c r="AA1765" s="110" t="s">
        <v>537</v>
      </c>
      <c r="AB1765" s="110" t="s">
        <v>244</v>
      </c>
      <c r="AC1765" s="110" t="s">
        <v>538</v>
      </c>
      <c r="AD1765" s="110" t="n">
        <f aca="false">IF(OR(F1765="",Q1765="",R1765=""),"",ROUND(IF(P1765="incl.",F1765/(1+Q1765),F1765)/IF(S1765="per pack",R1765,1),2))</f>
        <v>3.33</v>
      </c>
      <c r="AE1765" s="110" t="str">
        <f aca="false">IF(AND(AC1765="yes",ISNUMBER(F1765),IF(Compare!$H$5="All mapped",TRUE(),IF(Compare!$H$5="EXACT only",J1765="EXACT",OR(J1765="EXACT",J1765="CLOSE")))),"yes","no")</f>
        <v>yes</v>
      </c>
      <c r="AF1765" s="110" t="n">
        <f aca="false">IF(ISNUMBER(H1765),COUNTIFS($B$7:$B$3000,B1765,$C$7:$C$3000,C1765,$H$7:$H$3000,"&lt;"&amp;H1765,$AH$7:$AH$3000,"yes")+COUNTIFS($B$7:B1765,B1765,$C$7:C1765,C1765,$H$7:H1765,H1765,$AH$7:AH1765,"yes"),"")</f>
        <v>2</v>
      </c>
      <c r="AG1765" s="110" t="n">
        <f aca="false">IF(ISNUMBER(I1765),COUNTIFS($B$7:$B$3000,B1765,$C$7:$C$3000,C1765,$I$7:$I$3000,"&lt;"&amp;I1765,$AI$7:$AI$3000,"yes")+COUNTIFS($B$7:B1765,B1765,$C$7:C1765,C1765,$I$7:I1765,I1765,$AI$7:AI1765,"yes"),"")</f>
        <v>2</v>
      </c>
      <c r="AH1765" s="110" t="str">
        <f aca="false">IF(ISNUMBER(H1765),"yes","no")</f>
        <v>yes</v>
      </c>
      <c r="AI1765" s="110" t="str">
        <f aca="false">IF(ISNUMBER(I1765),"yes","no")</f>
        <v>yes</v>
      </c>
      <c r="AJ1765" s="120" t="n">
        <v>46297</v>
      </c>
      <c r="AK1765" s="110"/>
    </row>
    <row r="1766" customFormat="false" ht="35.05" hidden="false" customHeight="false" outlineLevel="0" collapsed="false">
      <c r="B1766" s="36" t="s">
        <v>98</v>
      </c>
      <c r="C1766" s="98" t="s">
        <v>15</v>
      </c>
      <c r="D1766" s="98" t="s">
        <v>293</v>
      </c>
      <c r="E1766" s="110" t="s">
        <v>5483</v>
      </c>
      <c r="F1766" s="99" t="n">
        <v>2.8</v>
      </c>
      <c r="G1766" s="98" t="s">
        <v>244</v>
      </c>
      <c r="H1766" s="112" t="n">
        <f aca="false">IF(AND(AE1766="yes",ISNUMBER(AD1766)),AD1766,"")</f>
        <v>2.8</v>
      </c>
      <c r="I1766" s="95" t="n">
        <f aca="false">IF(AND(AE1766="yes",ISNUMBER(AD1766),ISNUMBER(INDEX(Sources!$G$7:$G$10,MATCH(AB1766,Sources!$B$7:$B$10,0)))),ROUND(AD1766/INDEX(Sources!$G$7:$G$10,MATCH(AB1766,Sources!$B$7:$B$10,0)),6),"")</f>
        <v>2.8</v>
      </c>
      <c r="J1766" s="98" t="s">
        <v>530</v>
      </c>
      <c r="K1766" s="98" t="s">
        <v>2059</v>
      </c>
      <c r="L1766" s="96"/>
      <c r="M1766" s="110" t="s">
        <v>5484</v>
      </c>
      <c r="N1766" s="117" t="s">
        <v>5485</v>
      </c>
      <c r="O1766" s="110" t="s">
        <v>4358</v>
      </c>
      <c r="P1766" s="110" t="s">
        <v>590</v>
      </c>
      <c r="Q1766" s="118" t="n">
        <v>0.2</v>
      </c>
      <c r="R1766" s="110" t="n">
        <v>1</v>
      </c>
      <c r="S1766" s="110" t="s">
        <v>632</v>
      </c>
      <c r="T1766" s="110" t="s">
        <v>530</v>
      </c>
      <c r="U1766" s="110" t="s">
        <v>2913</v>
      </c>
      <c r="V1766" s="119" t="n">
        <v>2.8</v>
      </c>
      <c r="W1766" s="119"/>
      <c r="X1766" s="110" t="s">
        <v>2063</v>
      </c>
      <c r="Y1766" s="110" t="s">
        <v>2064</v>
      </c>
      <c r="Z1766" s="110"/>
      <c r="AA1766" s="110" t="s">
        <v>537</v>
      </c>
      <c r="AB1766" s="110" t="s">
        <v>244</v>
      </c>
      <c r="AC1766" s="110" t="s">
        <v>538</v>
      </c>
      <c r="AD1766" s="110" t="n">
        <f aca="false">IF(OR(F1766="",Q1766="",R1766=""),"",ROUND(IF(P1766="incl.",F1766/(1+Q1766),F1766)/IF(S1766="per pack",R1766,1),2))</f>
        <v>2.8</v>
      </c>
      <c r="AE1766" s="110" t="str">
        <f aca="false">IF(AND(AC1766="yes",ISNUMBER(F1766),IF(Compare!$H$5="All mapped",TRUE(),IF(Compare!$H$5="EXACT only",J1766="EXACT",OR(J1766="EXACT",J1766="CLOSE")))),"yes","no")</f>
        <v>yes</v>
      </c>
      <c r="AF1766" s="110" t="n">
        <f aca="false">IF(ISNUMBER(H1766),COUNTIFS($B$7:$B$3000,B1766,$C$7:$C$3000,C1766,$H$7:$H$3000,"&lt;"&amp;H1766,$AH$7:$AH$3000,"yes")+COUNTIFS($B$7:B1766,B1766,$C$7:C1766,C1766,$H$7:H1766,H1766,$AH$7:AH1766,"yes"),"")</f>
        <v>1</v>
      </c>
      <c r="AG1766" s="110" t="n">
        <f aca="false">IF(ISNUMBER(I1766),COUNTIFS($B$7:$B$3000,B1766,$C$7:$C$3000,C1766,$I$7:$I$3000,"&lt;"&amp;I1766,$AI$7:$AI$3000,"yes")+COUNTIFS($B$7:B1766,B1766,$C$7:C1766,C1766,$I$7:I1766,I1766,$AI$7:AI1766,"yes"),"")</f>
        <v>1</v>
      </c>
      <c r="AH1766" s="110" t="str">
        <f aca="false">IF(ISNUMBER(H1766),"yes","no")</f>
        <v>yes</v>
      </c>
      <c r="AI1766" s="110" t="str">
        <f aca="false">IF(ISNUMBER(I1766),"yes","no")</f>
        <v>yes</v>
      </c>
      <c r="AJ1766" s="120" t="n">
        <v>46297</v>
      </c>
      <c r="AK1766" s="110"/>
    </row>
    <row r="1767" customFormat="false" ht="23.85" hidden="false" customHeight="false" outlineLevel="0" collapsed="false">
      <c r="B1767" s="36" t="s">
        <v>98</v>
      </c>
      <c r="C1767" s="98" t="s">
        <v>16</v>
      </c>
      <c r="D1767" s="98" t="s">
        <v>296</v>
      </c>
      <c r="E1767" s="110" t="s">
        <v>5486</v>
      </c>
      <c r="F1767" s="99" t="n">
        <v>2.9</v>
      </c>
      <c r="G1767" s="98" t="s">
        <v>244</v>
      </c>
      <c r="H1767" s="112" t="n">
        <f aca="false">IF(AND(AE1767="yes",ISNUMBER(AD1767)),AD1767,"")</f>
        <v>2.9</v>
      </c>
      <c r="I1767" s="95" t="n">
        <f aca="false">IF(AND(AE1767="yes",ISNUMBER(AD1767),ISNUMBER(INDEX(Sources!$G$7:$G$10,MATCH(AB1767,Sources!$B$7:$B$10,0)))),ROUND(AD1767/INDEX(Sources!$G$7:$G$10,MATCH(AB1767,Sources!$B$7:$B$10,0)),6),"")</f>
        <v>2.9</v>
      </c>
      <c r="J1767" s="98" t="s">
        <v>530</v>
      </c>
      <c r="K1767" s="98" t="s">
        <v>2059</v>
      </c>
      <c r="L1767" s="96"/>
      <c r="M1767" s="110" t="s">
        <v>5487</v>
      </c>
      <c r="N1767" s="117" t="s">
        <v>5488</v>
      </c>
      <c r="O1767" s="110" t="s">
        <v>4362</v>
      </c>
      <c r="P1767" s="110" t="s">
        <v>590</v>
      </c>
      <c r="Q1767" s="118" t="n">
        <v>0.19</v>
      </c>
      <c r="R1767" s="110" t="n">
        <v>1</v>
      </c>
      <c r="S1767" s="110" t="s">
        <v>632</v>
      </c>
      <c r="T1767" s="110" t="s">
        <v>530</v>
      </c>
      <c r="U1767" s="110" t="s">
        <v>2913</v>
      </c>
      <c r="V1767" s="119" t="n">
        <v>2.9</v>
      </c>
      <c r="W1767" s="119"/>
      <c r="X1767" s="110" t="s">
        <v>2063</v>
      </c>
      <c r="Y1767" s="110" t="s">
        <v>2064</v>
      </c>
      <c r="Z1767" s="110" t="s">
        <v>2164</v>
      </c>
      <c r="AA1767" s="110" t="s">
        <v>537</v>
      </c>
      <c r="AB1767" s="110" t="s">
        <v>244</v>
      </c>
      <c r="AC1767" s="110" t="s">
        <v>538</v>
      </c>
      <c r="AD1767" s="110" t="n">
        <f aca="false">IF(OR(F1767="",Q1767="",R1767=""),"",ROUND(IF(P1767="incl.",F1767/(1+Q1767),F1767)/IF(S1767="per pack",R1767,1),2))</f>
        <v>2.9</v>
      </c>
      <c r="AE1767" s="110" t="str">
        <f aca="false">IF(AND(AC1767="yes",ISNUMBER(F1767),IF(Compare!$H$5="All mapped",TRUE(),IF(Compare!$H$5="EXACT only",J1767="EXACT",OR(J1767="EXACT",J1767="CLOSE")))),"yes","no")</f>
        <v>yes</v>
      </c>
      <c r="AF1767" s="110" t="n">
        <f aca="false">IF(ISNUMBER(H1767),COUNTIFS($B$7:$B$3000,B1767,$C$7:$C$3000,C1767,$H$7:$H$3000,"&lt;"&amp;H1767,$AH$7:$AH$3000,"yes")+COUNTIFS($B$7:B1767,B1767,$C$7:C1767,C1767,$H$7:H1767,H1767,$AH$7:AH1767,"yes"),"")</f>
        <v>2</v>
      </c>
      <c r="AG1767" s="110" t="n">
        <f aca="false">IF(ISNUMBER(I1767),COUNTIFS($B$7:$B$3000,B1767,$C$7:$C$3000,C1767,$I$7:$I$3000,"&lt;"&amp;I1767,$AI$7:$AI$3000,"yes")+COUNTIFS($B$7:B1767,B1767,$C$7:C1767,C1767,$I$7:I1767,I1767,$AI$7:AI1767,"yes"),"")</f>
        <v>2</v>
      </c>
      <c r="AH1767" s="110" t="str">
        <f aca="false">IF(ISNUMBER(H1767),"yes","no")</f>
        <v>yes</v>
      </c>
      <c r="AI1767" s="110" t="str">
        <f aca="false">IF(ISNUMBER(I1767),"yes","no")</f>
        <v>yes</v>
      </c>
      <c r="AJ1767" s="120" t="n">
        <v>46297</v>
      </c>
      <c r="AK1767" s="110"/>
    </row>
    <row r="1768" customFormat="false" ht="23.85" hidden="false" customHeight="false" outlineLevel="0" collapsed="false">
      <c r="B1768" s="36" t="s">
        <v>98</v>
      </c>
      <c r="C1768" s="98" t="s">
        <v>16</v>
      </c>
      <c r="D1768" s="98" t="s">
        <v>305</v>
      </c>
      <c r="E1768" s="110" t="s">
        <v>5489</v>
      </c>
      <c r="F1768" s="99" t="n">
        <v>2.9</v>
      </c>
      <c r="G1768" s="98" t="s">
        <v>244</v>
      </c>
      <c r="H1768" s="112" t="n">
        <f aca="false">IF(AND(AE1768="yes",ISNUMBER(AD1768)),AD1768,"")</f>
        <v>2.9</v>
      </c>
      <c r="I1768" s="95" t="n">
        <f aca="false">IF(AND(AE1768="yes",ISNUMBER(AD1768),ISNUMBER(INDEX(Sources!$G$7:$G$10,MATCH(AB1768,Sources!$B$7:$B$10,0)))),ROUND(AD1768/INDEX(Sources!$G$7:$G$10,MATCH(AB1768,Sources!$B$7:$B$10,0)),6),"")</f>
        <v>2.9</v>
      </c>
      <c r="J1768" s="98" t="s">
        <v>530</v>
      </c>
      <c r="K1768" s="98" t="s">
        <v>2059</v>
      </c>
      <c r="L1768" s="96"/>
      <c r="M1768" s="110" t="s">
        <v>5490</v>
      </c>
      <c r="N1768" s="117" t="s">
        <v>5491</v>
      </c>
      <c r="O1768" s="110" t="s">
        <v>603</v>
      </c>
      <c r="P1768" s="110" t="s">
        <v>590</v>
      </c>
      <c r="Q1768" s="118" t="n">
        <v>0.19</v>
      </c>
      <c r="R1768" s="110" t="n">
        <v>1</v>
      </c>
      <c r="S1768" s="110" t="s">
        <v>632</v>
      </c>
      <c r="T1768" s="110" t="s">
        <v>530</v>
      </c>
      <c r="U1768" s="110" t="s">
        <v>2913</v>
      </c>
      <c r="V1768" s="119" t="n">
        <v>2.9</v>
      </c>
      <c r="W1768" s="119"/>
      <c r="X1768" s="110" t="s">
        <v>2063</v>
      </c>
      <c r="Y1768" s="110" t="s">
        <v>2064</v>
      </c>
      <c r="Z1768" s="110" t="s">
        <v>2142</v>
      </c>
      <c r="AA1768" s="110" t="s">
        <v>537</v>
      </c>
      <c r="AB1768" s="110" t="s">
        <v>244</v>
      </c>
      <c r="AC1768" s="110" t="s">
        <v>538</v>
      </c>
      <c r="AD1768" s="110" t="n">
        <f aca="false">IF(OR(F1768="",Q1768="",R1768=""),"",ROUND(IF(P1768="incl.",F1768/(1+Q1768),F1768)/IF(S1768="per pack",R1768,1),2))</f>
        <v>2.9</v>
      </c>
      <c r="AE1768" s="110" t="str">
        <f aca="false">IF(AND(AC1768="yes",ISNUMBER(F1768),IF(Compare!$H$5="All mapped",TRUE(),IF(Compare!$H$5="EXACT only",J1768="EXACT",OR(J1768="EXACT",J1768="CLOSE")))),"yes","no")</f>
        <v>yes</v>
      </c>
      <c r="AF1768" s="110" t="n">
        <f aca="false">IF(ISNUMBER(H1768),COUNTIFS($B$7:$B$3000,B1768,$C$7:$C$3000,C1768,$H$7:$H$3000,"&lt;"&amp;H1768,$AH$7:$AH$3000,"yes")+COUNTIFS($B$7:B1768,B1768,$C$7:C1768,C1768,$H$7:H1768,H1768,$AH$7:AH1768,"yes"),"")</f>
        <v>3</v>
      </c>
      <c r="AG1768" s="110" t="n">
        <f aca="false">IF(ISNUMBER(I1768),COUNTIFS($B$7:$B$3000,B1768,$C$7:$C$3000,C1768,$I$7:$I$3000,"&lt;"&amp;I1768,$AI$7:$AI$3000,"yes")+COUNTIFS($B$7:B1768,B1768,$C$7:C1768,C1768,$I$7:I1768,I1768,$AI$7:AI1768,"yes"),"")</f>
        <v>3</v>
      </c>
      <c r="AH1768" s="110" t="str">
        <f aca="false">IF(ISNUMBER(H1768),"yes","no")</f>
        <v>yes</v>
      </c>
      <c r="AI1768" s="110" t="str">
        <f aca="false">IF(ISNUMBER(I1768),"yes","no")</f>
        <v>yes</v>
      </c>
      <c r="AJ1768" s="120" t="n">
        <v>46297</v>
      </c>
      <c r="AK1768" s="110"/>
    </row>
    <row r="1769" customFormat="false" ht="23.85" hidden="false" customHeight="false" outlineLevel="0" collapsed="false">
      <c r="B1769" s="36" t="s">
        <v>98</v>
      </c>
      <c r="C1769" s="98" t="s">
        <v>16</v>
      </c>
      <c r="D1769" s="98" t="s">
        <v>311</v>
      </c>
      <c r="E1769" s="110" t="s">
        <v>5471</v>
      </c>
      <c r="F1769" s="99" t="n">
        <v>6.59</v>
      </c>
      <c r="G1769" s="98" t="s">
        <v>244</v>
      </c>
      <c r="H1769" s="112" t="n">
        <f aca="false">IF(AND(AE1769="yes",ISNUMBER(AD1769)),AD1769,"")</f>
        <v>6.59</v>
      </c>
      <c r="I1769" s="95" t="n">
        <f aca="false">IF(AND(AE1769="yes",ISNUMBER(AD1769),ISNUMBER(INDEX(Sources!$G$7:$G$10,MATCH(AB1769,Sources!$B$7:$B$10,0)))),ROUND(AD1769/INDEX(Sources!$G$7:$G$10,MATCH(AB1769,Sources!$B$7:$B$10,0)),6),"")</f>
        <v>6.59</v>
      </c>
      <c r="J1769" s="98" t="s">
        <v>702</v>
      </c>
      <c r="K1769" s="98" t="s">
        <v>2059</v>
      </c>
      <c r="L1769" s="96"/>
      <c r="M1769" s="110" t="s">
        <v>5492</v>
      </c>
      <c r="N1769" s="117" t="s">
        <v>5493</v>
      </c>
      <c r="O1769" s="110" t="s">
        <v>388</v>
      </c>
      <c r="P1769" s="110" t="s">
        <v>590</v>
      </c>
      <c r="Q1769" s="118" t="n">
        <v>0.19</v>
      </c>
      <c r="R1769" s="110" t="n">
        <v>1</v>
      </c>
      <c r="S1769" s="110" t="s">
        <v>632</v>
      </c>
      <c r="T1769" s="110" t="s">
        <v>702</v>
      </c>
      <c r="U1769" s="110" t="s">
        <v>2913</v>
      </c>
      <c r="V1769" s="119" t="n">
        <v>6.59</v>
      </c>
      <c r="W1769" s="119"/>
      <c r="X1769" s="110" t="s">
        <v>2063</v>
      </c>
      <c r="Y1769" s="110" t="s">
        <v>2064</v>
      </c>
      <c r="Z1769" s="110" t="s">
        <v>4369</v>
      </c>
      <c r="AA1769" s="110" t="s">
        <v>537</v>
      </c>
      <c r="AB1769" s="110" t="s">
        <v>244</v>
      </c>
      <c r="AC1769" s="110" t="s">
        <v>538</v>
      </c>
      <c r="AD1769" s="110" t="n">
        <f aca="false">IF(OR(F1769="",Q1769="",R1769=""),"",ROUND(IF(P1769="incl.",F1769/(1+Q1769),F1769)/IF(S1769="per pack",R1769,1),2))</f>
        <v>6.59</v>
      </c>
      <c r="AE1769" s="110" t="str">
        <f aca="false">IF(AND(AC1769="yes",ISNUMBER(F1769),IF(Compare!$H$5="All mapped",TRUE(),IF(Compare!$H$5="EXACT only",J1769="EXACT",OR(J1769="EXACT",J1769="CLOSE")))),"yes","no")</f>
        <v>yes</v>
      </c>
      <c r="AF1769" s="110" t="n">
        <f aca="false">IF(ISNUMBER(H1769),COUNTIFS($B$7:$B$3000,B1769,$C$7:$C$3000,C1769,$H$7:$H$3000,"&lt;"&amp;H1769,$AH$7:$AH$3000,"yes")+COUNTIFS($B$7:B1769,B1769,$C$7:C1769,C1769,$H$7:H1769,H1769,$AH$7:AH1769,"yes"),"")</f>
        <v>6</v>
      </c>
      <c r="AG1769" s="110" t="n">
        <f aca="false">IF(ISNUMBER(I1769),COUNTIFS($B$7:$B$3000,B1769,$C$7:$C$3000,C1769,$I$7:$I$3000,"&lt;"&amp;I1769,$AI$7:$AI$3000,"yes")+COUNTIFS($B$7:B1769,B1769,$C$7:C1769,C1769,$I$7:I1769,I1769,$AI$7:AI1769,"yes"),"")</f>
        <v>6</v>
      </c>
      <c r="AH1769" s="110" t="str">
        <f aca="false">IF(ISNUMBER(H1769),"yes","no")</f>
        <v>yes</v>
      </c>
      <c r="AI1769" s="110" t="str">
        <f aca="false">IF(ISNUMBER(I1769),"yes","no")</f>
        <v>yes</v>
      </c>
      <c r="AJ1769" s="120" t="n">
        <v>46297</v>
      </c>
      <c r="AK1769" s="110"/>
    </row>
    <row r="1770" customFormat="false" ht="23.85" hidden="false" customHeight="false" outlineLevel="0" collapsed="false">
      <c r="B1770" s="36" t="s">
        <v>98</v>
      </c>
      <c r="C1770" s="98" t="s">
        <v>16</v>
      </c>
      <c r="D1770" s="98" t="s">
        <v>309</v>
      </c>
      <c r="E1770" s="110" t="s">
        <v>5494</v>
      </c>
      <c r="F1770" s="99" t="n">
        <v>13.5</v>
      </c>
      <c r="G1770" s="98" t="s">
        <v>244</v>
      </c>
      <c r="H1770" s="112" t="n">
        <f aca="false">IF(AND(AE1770="yes",ISNUMBER(AD1770)),AD1770,"")</f>
        <v>13.5</v>
      </c>
      <c r="I1770" s="95" t="n">
        <f aca="false">IF(AND(AE1770="yes",ISNUMBER(AD1770),ISNUMBER(INDEX(Sources!$G$7:$G$10,MATCH(AB1770,Sources!$B$7:$B$10,0)))),ROUND(AD1770/INDEX(Sources!$G$7:$G$10,MATCH(AB1770,Sources!$B$7:$B$10,0)),6),"")</f>
        <v>13.5</v>
      </c>
      <c r="J1770" s="98" t="s">
        <v>530</v>
      </c>
      <c r="K1770" s="98" t="s">
        <v>2059</v>
      </c>
      <c r="L1770" s="96"/>
      <c r="M1770" s="110" t="s">
        <v>5495</v>
      </c>
      <c r="N1770" s="117" t="s">
        <v>5496</v>
      </c>
      <c r="O1770" s="110" t="s">
        <v>603</v>
      </c>
      <c r="P1770" s="110" t="s">
        <v>590</v>
      </c>
      <c r="Q1770" s="118" t="n">
        <v>0.19</v>
      </c>
      <c r="R1770" s="110" t="n">
        <v>1</v>
      </c>
      <c r="S1770" s="110" t="s">
        <v>632</v>
      </c>
      <c r="T1770" s="110" t="s">
        <v>530</v>
      </c>
      <c r="U1770" s="110" t="s">
        <v>2913</v>
      </c>
      <c r="V1770" s="119" t="n">
        <v>13.5</v>
      </c>
      <c r="W1770" s="119"/>
      <c r="X1770" s="110" t="s">
        <v>2063</v>
      </c>
      <c r="Y1770" s="110" t="s">
        <v>2064</v>
      </c>
      <c r="Z1770" s="110" t="s">
        <v>4373</v>
      </c>
      <c r="AA1770" s="110" t="s">
        <v>537</v>
      </c>
      <c r="AB1770" s="110" t="s">
        <v>244</v>
      </c>
      <c r="AC1770" s="110" t="s">
        <v>538</v>
      </c>
      <c r="AD1770" s="110" t="n">
        <f aca="false">IF(OR(F1770="",Q1770="",R1770=""),"",ROUND(IF(P1770="incl.",F1770/(1+Q1770),F1770)/IF(S1770="per pack",R1770,1),2))</f>
        <v>13.5</v>
      </c>
      <c r="AE1770" s="110" t="str">
        <f aca="false">IF(AND(AC1770="yes",ISNUMBER(F1770),IF(Compare!$H$5="All mapped",TRUE(),IF(Compare!$H$5="EXACT only",J1770="EXACT",OR(J1770="EXACT",J1770="CLOSE")))),"yes","no")</f>
        <v>yes</v>
      </c>
      <c r="AF1770" s="110" t="n">
        <f aca="false">IF(ISNUMBER(H1770),COUNTIFS($B$7:$B$3000,B1770,$C$7:$C$3000,C1770,$H$7:$H$3000,"&lt;"&amp;H1770,$AH$7:$AH$3000,"yes")+COUNTIFS($B$7:B1770,B1770,$C$7:C1770,C1770,$H$7:H1770,H1770,$AH$7:AH1770,"yes"),"")</f>
        <v>7</v>
      </c>
      <c r="AG1770" s="110" t="n">
        <f aca="false">IF(ISNUMBER(I1770),COUNTIFS($B$7:$B$3000,B1770,$C$7:$C$3000,C1770,$I$7:$I$3000,"&lt;"&amp;I1770,$AI$7:$AI$3000,"yes")+COUNTIFS($B$7:B1770,B1770,$C$7:C1770,C1770,$I$7:I1770,I1770,$AI$7:AI1770,"yes"),"")</f>
        <v>7</v>
      </c>
      <c r="AH1770" s="110" t="str">
        <f aca="false">IF(ISNUMBER(H1770),"yes","no")</f>
        <v>yes</v>
      </c>
      <c r="AI1770" s="110" t="str">
        <f aca="false">IF(ISNUMBER(I1770),"yes","no")</f>
        <v>yes</v>
      </c>
      <c r="AJ1770" s="120" t="n">
        <v>46297</v>
      </c>
      <c r="AK1770" s="110"/>
    </row>
    <row r="1771" customFormat="false" ht="23.85" hidden="false" customHeight="false" outlineLevel="0" collapsed="false">
      <c r="B1771" s="36" t="s">
        <v>98</v>
      </c>
      <c r="C1771" s="98" t="s">
        <v>16</v>
      </c>
      <c r="D1771" s="98" t="s">
        <v>313</v>
      </c>
      <c r="E1771" s="110" t="s">
        <v>5477</v>
      </c>
      <c r="F1771" s="99" t="n">
        <v>4.79</v>
      </c>
      <c r="G1771" s="98" t="s">
        <v>244</v>
      </c>
      <c r="H1771" s="112" t="n">
        <f aca="false">IF(AND(AE1771="yes",ISNUMBER(AD1771)),AD1771,"")</f>
        <v>4.03</v>
      </c>
      <c r="I1771" s="95" t="n">
        <f aca="false">IF(AND(AE1771="yes",ISNUMBER(AD1771),ISNUMBER(INDEX(Sources!$G$7:$G$10,MATCH(AB1771,Sources!$B$7:$B$10,0)))),ROUND(AD1771/INDEX(Sources!$G$7:$G$10,MATCH(AB1771,Sources!$B$7:$B$10,0)),6),"")</f>
        <v>4.03</v>
      </c>
      <c r="J1771" s="98" t="s">
        <v>530</v>
      </c>
      <c r="K1771" s="98" t="s">
        <v>2059</v>
      </c>
      <c r="L1771" s="96"/>
      <c r="M1771" s="110" t="s">
        <v>5497</v>
      </c>
      <c r="N1771" s="117" t="s">
        <v>5498</v>
      </c>
      <c r="O1771" s="110" t="s">
        <v>642</v>
      </c>
      <c r="P1771" s="110" t="s">
        <v>265</v>
      </c>
      <c r="Q1771" s="118" t="n">
        <v>0.19</v>
      </c>
      <c r="R1771" s="110" t="n">
        <v>1</v>
      </c>
      <c r="S1771" s="110" t="s">
        <v>632</v>
      </c>
      <c r="T1771" s="110" t="s">
        <v>530</v>
      </c>
      <c r="U1771" s="110" t="s">
        <v>2918</v>
      </c>
      <c r="V1771" s="119" t="n">
        <v>4.03</v>
      </c>
      <c r="W1771" s="119"/>
      <c r="X1771" s="110" t="s">
        <v>2063</v>
      </c>
      <c r="Y1771" s="110" t="s">
        <v>2064</v>
      </c>
      <c r="Z1771" s="110" t="s">
        <v>4376</v>
      </c>
      <c r="AA1771" s="110" t="s">
        <v>537</v>
      </c>
      <c r="AB1771" s="110" t="s">
        <v>244</v>
      </c>
      <c r="AC1771" s="110" t="s">
        <v>538</v>
      </c>
      <c r="AD1771" s="110" t="n">
        <f aca="false">IF(OR(F1771="",Q1771="",R1771=""),"",ROUND(IF(P1771="incl.",F1771/(1+Q1771),F1771)/IF(S1771="per pack",R1771,1),2))</f>
        <v>4.03</v>
      </c>
      <c r="AE1771" s="110" t="str">
        <f aca="false">IF(AND(AC1771="yes",ISNUMBER(F1771),IF(Compare!$H$5="All mapped",TRUE(),IF(Compare!$H$5="EXACT only",J1771="EXACT",OR(J1771="EXACT",J1771="CLOSE")))),"yes","no")</f>
        <v>yes</v>
      </c>
      <c r="AF1771" s="110" t="n">
        <f aca="false">IF(ISNUMBER(H1771),COUNTIFS($B$7:$B$3000,B1771,$C$7:$C$3000,C1771,$H$7:$H$3000,"&lt;"&amp;H1771,$AH$7:$AH$3000,"yes")+COUNTIFS($B$7:B1771,B1771,$C$7:C1771,C1771,$H$7:H1771,H1771,$AH$7:AH1771,"yes"),"")</f>
        <v>5</v>
      </c>
      <c r="AG1771" s="110" t="n">
        <f aca="false">IF(ISNUMBER(I1771),COUNTIFS($B$7:$B$3000,B1771,$C$7:$C$3000,C1771,$I$7:$I$3000,"&lt;"&amp;I1771,$AI$7:$AI$3000,"yes")+COUNTIFS($B$7:B1771,B1771,$C$7:C1771,C1771,$I$7:I1771,I1771,$AI$7:AI1771,"yes"),"")</f>
        <v>5</v>
      </c>
      <c r="AH1771" s="110" t="str">
        <f aca="false">IF(ISNUMBER(H1771),"yes","no")</f>
        <v>yes</v>
      </c>
      <c r="AI1771" s="110" t="str">
        <f aca="false">IF(ISNUMBER(I1771),"yes","no")</f>
        <v>yes</v>
      </c>
      <c r="AJ1771" s="120" t="n">
        <v>46297</v>
      </c>
      <c r="AK1771" s="110"/>
    </row>
    <row r="1772" customFormat="false" ht="35.05" hidden="false" customHeight="false" outlineLevel="0" collapsed="false">
      <c r="B1772" s="36" t="s">
        <v>98</v>
      </c>
      <c r="C1772" s="98" t="s">
        <v>16</v>
      </c>
      <c r="D1772" s="98" t="s">
        <v>321</v>
      </c>
      <c r="E1772" s="110" t="s">
        <v>5499</v>
      </c>
      <c r="F1772" s="99" t="n">
        <v>3.38</v>
      </c>
      <c r="G1772" s="98" t="s">
        <v>244</v>
      </c>
      <c r="H1772" s="112" t="n">
        <f aca="false">IF(AND(AE1772="yes",ISNUMBER(AD1772)),AD1772,"")</f>
        <v>3.38</v>
      </c>
      <c r="I1772" s="95" t="n">
        <f aca="false">IF(AND(AE1772="yes",ISNUMBER(AD1772),ISNUMBER(INDEX(Sources!$G$7:$G$10,MATCH(AB1772,Sources!$B$7:$B$10,0)))),ROUND(AD1772/INDEX(Sources!$G$7:$G$10,MATCH(AB1772,Sources!$B$7:$B$10,0)),6),"")</f>
        <v>3.38</v>
      </c>
      <c r="J1772" s="98" t="s">
        <v>530</v>
      </c>
      <c r="K1772" s="98" t="s">
        <v>2059</v>
      </c>
      <c r="L1772" s="96"/>
      <c r="M1772" s="110" t="s">
        <v>5500</v>
      </c>
      <c r="N1772" s="117" t="s">
        <v>5501</v>
      </c>
      <c r="O1772" s="110" t="s">
        <v>662</v>
      </c>
      <c r="P1772" s="110" t="s">
        <v>590</v>
      </c>
      <c r="Q1772" s="118" t="n">
        <v>0.19</v>
      </c>
      <c r="R1772" s="110" t="n">
        <v>1</v>
      </c>
      <c r="S1772" s="110" t="s">
        <v>632</v>
      </c>
      <c r="T1772" s="110" t="s">
        <v>530</v>
      </c>
      <c r="U1772" s="110" t="s">
        <v>2913</v>
      </c>
      <c r="V1772" s="119" t="n">
        <v>3.38</v>
      </c>
      <c r="W1772" s="119"/>
      <c r="X1772" s="110" t="s">
        <v>2063</v>
      </c>
      <c r="Y1772" s="110" t="s">
        <v>2064</v>
      </c>
      <c r="Z1772" s="110" t="s">
        <v>2857</v>
      </c>
      <c r="AA1772" s="110" t="s">
        <v>537</v>
      </c>
      <c r="AB1772" s="110" t="s">
        <v>244</v>
      </c>
      <c r="AC1772" s="110" t="s">
        <v>538</v>
      </c>
      <c r="AD1772" s="110" t="n">
        <f aca="false">IF(OR(F1772="",Q1772="",R1772=""),"",ROUND(IF(P1772="incl.",F1772/(1+Q1772),F1772)/IF(S1772="per pack",R1772,1),2))</f>
        <v>3.38</v>
      </c>
      <c r="AE1772" s="110" t="str">
        <f aca="false">IF(AND(AC1772="yes",ISNUMBER(F1772),IF(Compare!$H$5="All mapped",TRUE(),IF(Compare!$H$5="EXACT only",J1772="EXACT",OR(J1772="EXACT",J1772="CLOSE")))),"yes","no")</f>
        <v>yes</v>
      </c>
      <c r="AF1772" s="110" t="n">
        <f aca="false">IF(ISNUMBER(H1772),COUNTIFS($B$7:$B$3000,B1772,$C$7:$C$3000,C1772,$H$7:$H$3000,"&lt;"&amp;H1772,$AH$7:$AH$3000,"yes")+COUNTIFS($B$7:B1772,B1772,$C$7:C1772,C1772,$H$7:H1772,H1772,$AH$7:AH1772,"yes"),"")</f>
        <v>4</v>
      </c>
      <c r="AG1772" s="110" t="n">
        <f aca="false">IF(ISNUMBER(I1772),COUNTIFS($B$7:$B$3000,B1772,$C$7:$C$3000,C1772,$I$7:$I$3000,"&lt;"&amp;I1772,$AI$7:$AI$3000,"yes")+COUNTIFS($B$7:B1772,B1772,$C$7:C1772,C1772,$I$7:I1772,I1772,$AI$7:AI1772,"yes"),"")</f>
        <v>4</v>
      </c>
      <c r="AH1772" s="110" t="str">
        <f aca="false">IF(ISNUMBER(H1772),"yes","no")</f>
        <v>yes</v>
      </c>
      <c r="AI1772" s="110" t="str">
        <f aca="false">IF(ISNUMBER(I1772),"yes","no")</f>
        <v>yes</v>
      </c>
      <c r="AJ1772" s="120" t="n">
        <v>46297</v>
      </c>
      <c r="AK1772" s="110"/>
    </row>
    <row r="1773" customFormat="false" ht="35.05" hidden="false" customHeight="false" outlineLevel="0" collapsed="false">
      <c r="B1773" s="36" t="s">
        <v>98</v>
      </c>
      <c r="C1773" s="98" t="s">
        <v>16</v>
      </c>
      <c r="D1773" s="98" t="s">
        <v>329</v>
      </c>
      <c r="E1773" s="110" t="s">
        <v>5502</v>
      </c>
      <c r="F1773" s="99" t="n">
        <v>2.39</v>
      </c>
      <c r="G1773" s="98" t="s">
        <v>244</v>
      </c>
      <c r="H1773" s="112" t="n">
        <f aca="false">IF(AND(AE1773="yes",ISNUMBER(AD1773)),AD1773,"")</f>
        <v>2.39</v>
      </c>
      <c r="I1773" s="95" t="n">
        <f aca="false">IF(AND(AE1773="yes",ISNUMBER(AD1773),ISNUMBER(INDEX(Sources!$G$7:$G$10,MATCH(AB1773,Sources!$B$7:$B$10,0)))),ROUND(AD1773/INDEX(Sources!$G$7:$G$10,MATCH(AB1773,Sources!$B$7:$B$10,0)),6),"")</f>
        <v>2.39</v>
      </c>
      <c r="J1773" s="98" t="s">
        <v>530</v>
      </c>
      <c r="K1773" s="98" t="s">
        <v>2059</v>
      </c>
      <c r="L1773" s="96"/>
      <c r="M1773" s="110" t="s">
        <v>5503</v>
      </c>
      <c r="N1773" s="117" t="s">
        <v>5504</v>
      </c>
      <c r="O1773" s="110" t="s">
        <v>642</v>
      </c>
      <c r="P1773" s="110" t="s">
        <v>590</v>
      </c>
      <c r="Q1773" s="118" t="n">
        <v>0.19</v>
      </c>
      <c r="R1773" s="110" t="n">
        <v>1</v>
      </c>
      <c r="S1773" s="110" t="s">
        <v>632</v>
      </c>
      <c r="T1773" s="110" t="s">
        <v>530</v>
      </c>
      <c r="U1773" s="110" t="s">
        <v>2913</v>
      </c>
      <c r="V1773" s="119" t="n">
        <v>2.39</v>
      </c>
      <c r="W1773" s="119"/>
      <c r="X1773" s="110" t="s">
        <v>2063</v>
      </c>
      <c r="Y1773" s="110" t="s">
        <v>2064</v>
      </c>
      <c r="Z1773" s="110" t="s">
        <v>2624</v>
      </c>
      <c r="AA1773" s="110" t="s">
        <v>537</v>
      </c>
      <c r="AB1773" s="110" t="s">
        <v>244</v>
      </c>
      <c r="AC1773" s="110" t="s">
        <v>538</v>
      </c>
      <c r="AD1773" s="110" t="n">
        <f aca="false">IF(OR(F1773="",Q1773="",R1773=""),"",ROUND(IF(P1773="incl.",F1773/(1+Q1773),F1773)/IF(S1773="per pack",R1773,1),2))</f>
        <v>2.39</v>
      </c>
      <c r="AE1773" s="110" t="str">
        <f aca="false">IF(AND(AC1773="yes",ISNUMBER(F1773),IF(Compare!$H$5="All mapped",TRUE(),IF(Compare!$H$5="EXACT only",J1773="EXACT",OR(J1773="EXACT",J1773="CLOSE")))),"yes","no")</f>
        <v>yes</v>
      </c>
      <c r="AF1773" s="110" t="n">
        <f aca="false">IF(ISNUMBER(H1773),COUNTIFS($B$7:$B$3000,B1773,$C$7:$C$3000,C1773,$H$7:$H$3000,"&lt;"&amp;H1773,$AH$7:$AH$3000,"yes")+COUNTIFS($B$7:B1773,B1773,$C$7:C1773,C1773,$H$7:H1773,H1773,$AH$7:AH1773,"yes"),"")</f>
        <v>1</v>
      </c>
      <c r="AG1773" s="110" t="n">
        <f aca="false">IF(ISNUMBER(I1773),COUNTIFS($B$7:$B$3000,B1773,$C$7:$C$3000,C1773,$I$7:$I$3000,"&lt;"&amp;I1773,$AI$7:$AI$3000,"yes")+COUNTIFS($B$7:B1773,B1773,$C$7:C1773,C1773,$I$7:I1773,I1773,$AI$7:AI1773,"yes"),"")</f>
        <v>1</v>
      </c>
      <c r="AH1773" s="110" t="str">
        <f aca="false">IF(ISNUMBER(H1773),"yes","no")</f>
        <v>yes</v>
      </c>
      <c r="AI1773" s="110" t="str">
        <f aca="false">IF(ISNUMBER(I1773),"yes","no")</f>
        <v>yes</v>
      </c>
      <c r="AJ1773" s="120" t="n">
        <v>46297</v>
      </c>
      <c r="AK1773" s="110"/>
    </row>
    <row r="1774" customFormat="false" ht="35.05" hidden="false" customHeight="false" outlineLevel="0" collapsed="false">
      <c r="B1774" s="36" t="s">
        <v>98</v>
      </c>
      <c r="C1774" s="98" t="s">
        <v>17</v>
      </c>
      <c r="D1774" s="98" t="s">
        <v>338</v>
      </c>
      <c r="E1774" s="110" t="s">
        <v>5505</v>
      </c>
      <c r="F1774" s="99" t="n">
        <v>157</v>
      </c>
      <c r="G1774" s="98" t="s">
        <v>333</v>
      </c>
      <c r="H1774" s="112" t="n">
        <f aca="false">IF(AND(AE1774="yes",ISNUMBER(AD1774)),AD1774,"")</f>
        <v>129.75</v>
      </c>
      <c r="I1774" s="95" t="n">
        <f aca="false">IF(AND(AE1774="yes",ISNUMBER(AD1774),ISNUMBER(INDEX(Sources!$G$7:$G$10,MATCH(AB1774,Sources!$B$7:$B$10,0)))),ROUND(AD1774/INDEX(Sources!$G$7:$G$10,MATCH(AB1774,Sources!$B$7:$B$10,0)),6),"")</f>
        <v>5.312481</v>
      </c>
      <c r="J1774" s="98" t="s">
        <v>530</v>
      </c>
      <c r="K1774" s="98" t="s">
        <v>2059</v>
      </c>
      <c r="L1774" s="96"/>
      <c r="M1774" s="110" t="s">
        <v>5506</v>
      </c>
      <c r="N1774" s="117" t="s">
        <v>5507</v>
      </c>
      <c r="O1774" s="110" t="s">
        <v>388</v>
      </c>
      <c r="P1774" s="110" t="s">
        <v>265</v>
      </c>
      <c r="Q1774" s="118" t="n">
        <v>0.21</v>
      </c>
      <c r="R1774" s="110" t="n">
        <v>1</v>
      </c>
      <c r="S1774" s="110" t="s">
        <v>632</v>
      </c>
      <c r="T1774" s="110" t="s">
        <v>530</v>
      </c>
      <c r="U1774" s="110" t="s">
        <v>2918</v>
      </c>
      <c r="V1774" s="119" t="n">
        <v>129.75</v>
      </c>
      <c r="W1774" s="119"/>
      <c r="X1774" s="110" t="s">
        <v>2063</v>
      </c>
      <c r="Y1774" s="110" t="s">
        <v>2064</v>
      </c>
      <c r="Z1774" s="110" t="s">
        <v>4387</v>
      </c>
      <c r="AA1774" s="110" t="s">
        <v>537</v>
      </c>
      <c r="AB1774" s="110" t="s">
        <v>333</v>
      </c>
      <c r="AC1774" s="110" t="s">
        <v>538</v>
      </c>
      <c r="AD1774" s="110" t="n">
        <f aca="false">IF(OR(F1774="",Q1774="",R1774=""),"",ROUND(IF(P1774="incl.",F1774/(1+Q1774),F1774)/IF(S1774="per pack",R1774,1),2))</f>
        <v>129.75</v>
      </c>
      <c r="AE1774" s="110" t="str">
        <f aca="false">IF(AND(AC1774="yes",ISNUMBER(F1774),IF(Compare!$H$5="All mapped",TRUE(),IF(Compare!$H$5="EXACT only",J1774="EXACT",OR(J1774="EXACT",J1774="CLOSE")))),"yes","no")</f>
        <v>yes</v>
      </c>
      <c r="AF1774" s="110" t="n">
        <f aca="false">IF(ISNUMBER(H1774),COUNTIFS($B$7:$B$3000,B1774,$C$7:$C$3000,C1774,$H$7:$H$3000,"&lt;"&amp;H1774,$AH$7:$AH$3000,"yes")+COUNTIFS($B$7:B1774,B1774,$C$7:C1774,C1774,$H$7:H1774,H1774,$AH$7:AH1774,"yes"),"")</f>
        <v>4</v>
      </c>
      <c r="AG1774" s="110" t="n">
        <f aca="false">IF(ISNUMBER(I1774),COUNTIFS($B$7:$B$3000,B1774,$C$7:$C$3000,C1774,$I$7:$I$3000,"&lt;"&amp;I1774,$AI$7:$AI$3000,"yes")+COUNTIFS($B$7:B1774,B1774,$C$7:C1774,C1774,$I$7:I1774,I1774,$AI$7:AI1774,"yes"),"")</f>
        <v>4</v>
      </c>
      <c r="AH1774" s="110" t="str">
        <f aca="false">IF(ISNUMBER(H1774),"yes","no")</f>
        <v>yes</v>
      </c>
      <c r="AI1774" s="110" t="str">
        <f aca="false">IF(ISNUMBER(I1774),"yes","no")</f>
        <v>yes</v>
      </c>
      <c r="AJ1774" s="120" t="n">
        <v>46297</v>
      </c>
      <c r="AK1774" s="110"/>
    </row>
    <row r="1775" customFormat="false" ht="35.05" hidden="false" customHeight="false" outlineLevel="0" collapsed="false">
      <c r="B1775" s="36" t="s">
        <v>98</v>
      </c>
      <c r="C1775" s="98" t="s">
        <v>17</v>
      </c>
      <c r="D1775" s="98" t="s">
        <v>342</v>
      </c>
      <c r="E1775" s="110" t="s">
        <v>5508</v>
      </c>
      <c r="F1775" s="99" t="n">
        <v>164</v>
      </c>
      <c r="G1775" s="98" t="s">
        <v>333</v>
      </c>
      <c r="H1775" s="112" t="n">
        <f aca="false">IF(AND(AE1775="yes",ISNUMBER(AD1775)),AD1775,"")</f>
        <v>164</v>
      </c>
      <c r="I1775" s="95" t="n">
        <f aca="false">IF(AND(AE1775="yes",ISNUMBER(AD1775),ISNUMBER(INDEX(Sources!$G$7:$G$10,MATCH(AB1775,Sources!$B$7:$B$10,0)))),ROUND(AD1775/INDEX(Sources!$G$7:$G$10,MATCH(AB1775,Sources!$B$7:$B$10,0)),6),"")</f>
        <v>6.714812</v>
      </c>
      <c r="J1775" s="98" t="s">
        <v>530</v>
      </c>
      <c r="K1775" s="98" t="s">
        <v>2059</v>
      </c>
      <c r="L1775" s="96"/>
      <c r="M1775" s="110" t="s">
        <v>5509</v>
      </c>
      <c r="N1775" s="117" t="s">
        <v>5510</v>
      </c>
      <c r="O1775" s="110" t="s">
        <v>388</v>
      </c>
      <c r="P1775" s="110" t="s">
        <v>590</v>
      </c>
      <c r="Q1775" s="118" t="n">
        <v>0.21</v>
      </c>
      <c r="R1775" s="110" t="n">
        <v>1</v>
      </c>
      <c r="S1775" s="110" t="s">
        <v>632</v>
      </c>
      <c r="T1775" s="110" t="s">
        <v>530</v>
      </c>
      <c r="U1775" s="110" t="s">
        <v>2913</v>
      </c>
      <c r="V1775" s="119" t="n">
        <v>164</v>
      </c>
      <c r="W1775" s="119"/>
      <c r="X1775" s="110" t="s">
        <v>2063</v>
      </c>
      <c r="Y1775" s="110" t="s">
        <v>2064</v>
      </c>
      <c r="Z1775" s="110" t="s">
        <v>4391</v>
      </c>
      <c r="AA1775" s="110" t="s">
        <v>537</v>
      </c>
      <c r="AB1775" s="110" t="s">
        <v>333</v>
      </c>
      <c r="AC1775" s="110" t="s">
        <v>538</v>
      </c>
      <c r="AD1775" s="110" t="n">
        <f aca="false">IF(OR(F1775="",Q1775="",R1775=""),"",ROUND(IF(P1775="incl.",F1775/(1+Q1775),F1775)/IF(S1775="per pack",R1775,1),2))</f>
        <v>164</v>
      </c>
      <c r="AE1775" s="110" t="str">
        <f aca="false">IF(AND(AC1775="yes",ISNUMBER(F1775),IF(Compare!$H$5="All mapped",TRUE(),IF(Compare!$H$5="EXACT only",J1775="EXACT",OR(J1775="EXACT",J1775="CLOSE")))),"yes","no")</f>
        <v>yes</v>
      </c>
      <c r="AF1775" s="110" t="n">
        <f aca="false">IF(ISNUMBER(H1775),COUNTIFS($B$7:$B$3000,B1775,$C$7:$C$3000,C1775,$H$7:$H$3000,"&lt;"&amp;H1775,$AH$7:$AH$3000,"yes")+COUNTIFS($B$7:B1775,B1775,$C$7:C1775,C1775,$H$7:H1775,H1775,$AH$7:AH1775,"yes"),"")</f>
        <v>5</v>
      </c>
      <c r="AG1775" s="110" t="n">
        <f aca="false">IF(ISNUMBER(I1775),COUNTIFS($B$7:$B$3000,B1775,$C$7:$C$3000,C1775,$I$7:$I$3000,"&lt;"&amp;I1775,$AI$7:$AI$3000,"yes")+COUNTIFS($B$7:B1775,B1775,$C$7:C1775,C1775,$I$7:I1775,I1775,$AI$7:AI1775,"yes"),"")</f>
        <v>5</v>
      </c>
      <c r="AH1775" s="110" t="str">
        <f aca="false">IF(ISNUMBER(H1775),"yes","no")</f>
        <v>yes</v>
      </c>
      <c r="AI1775" s="110" t="str">
        <f aca="false">IF(ISNUMBER(I1775),"yes","no")</f>
        <v>yes</v>
      </c>
      <c r="AJ1775" s="120" t="n">
        <v>46297</v>
      </c>
      <c r="AK1775" s="110"/>
    </row>
    <row r="1776" customFormat="false" ht="35.05" hidden="false" customHeight="false" outlineLevel="0" collapsed="false">
      <c r="B1776" s="36" t="s">
        <v>98</v>
      </c>
      <c r="C1776" s="98" t="s">
        <v>17</v>
      </c>
      <c r="D1776" s="98" t="s">
        <v>346</v>
      </c>
      <c r="E1776" s="110" t="s">
        <v>5511</v>
      </c>
      <c r="F1776" s="99" t="n">
        <v>127</v>
      </c>
      <c r="G1776" s="98" t="s">
        <v>333</v>
      </c>
      <c r="H1776" s="112" t="n">
        <f aca="false">IF(AND(AE1776="yes",ISNUMBER(AD1776)),AD1776,"")</f>
        <v>127</v>
      </c>
      <c r="I1776" s="95" t="n">
        <f aca="false">IF(AND(AE1776="yes",ISNUMBER(AD1776),ISNUMBER(INDEX(Sources!$G$7:$G$10,MATCH(AB1776,Sources!$B$7:$B$10,0)))),ROUND(AD1776/INDEX(Sources!$G$7:$G$10,MATCH(AB1776,Sources!$B$7:$B$10,0)),6),"")</f>
        <v>5.199885</v>
      </c>
      <c r="J1776" s="98" t="s">
        <v>530</v>
      </c>
      <c r="K1776" s="98" t="s">
        <v>2059</v>
      </c>
      <c r="L1776" s="96"/>
      <c r="M1776" s="110" t="s">
        <v>5512</v>
      </c>
      <c r="N1776" s="117" t="s">
        <v>5513</v>
      </c>
      <c r="O1776" s="110" t="s">
        <v>662</v>
      </c>
      <c r="P1776" s="110" t="s">
        <v>590</v>
      </c>
      <c r="Q1776" s="118" t="n">
        <v>0.21</v>
      </c>
      <c r="R1776" s="110" t="n">
        <v>1</v>
      </c>
      <c r="S1776" s="110" t="s">
        <v>632</v>
      </c>
      <c r="T1776" s="110" t="s">
        <v>530</v>
      </c>
      <c r="U1776" s="110" t="s">
        <v>2913</v>
      </c>
      <c r="V1776" s="119" t="n">
        <v>127</v>
      </c>
      <c r="W1776" s="119"/>
      <c r="X1776" s="110" t="s">
        <v>2063</v>
      </c>
      <c r="Y1776" s="110" t="s">
        <v>2064</v>
      </c>
      <c r="Z1776" s="110" t="s">
        <v>4395</v>
      </c>
      <c r="AA1776" s="110" t="s">
        <v>537</v>
      </c>
      <c r="AB1776" s="110" t="s">
        <v>333</v>
      </c>
      <c r="AC1776" s="110" t="s">
        <v>538</v>
      </c>
      <c r="AD1776" s="110" t="n">
        <f aca="false">IF(OR(F1776="",Q1776="",R1776=""),"",ROUND(IF(P1776="incl.",F1776/(1+Q1776),F1776)/IF(S1776="per pack",R1776,1),2))</f>
        <v>127</v>
      </c>
      <c r="AE1776" s="110" t="str">
        <f aca="false">IF(AND(AC1776="yes",ISNUMBER(F1776),IF(Compare!$H$5="All mapped",TRUE(),IF(Compare!$H$5="EXACT only",J1776="EXACT",OR(J1776="EXACT",J1776="CLOSE")))),"yes","no")</f>
        <v>yes</v>
      </c>
      <c r="AF1776" s="110" t="n">
        <f aca="false">IF(ISNUMBER(H1776),COUNTIFS($B$7:$B$3000,B1776,$C$7:$C$3000,C1776,$H$7:$H$3000,"&lt;"&amp;H1776,$AH$7:$AH$3000,"yes")+COUNTIFS($B$7:B1776,B1776,$C$7:C1776,C1776,$H$7:H1776,H1776,$AH$7:AH1776,"yes"),"")</f>
        <v>3</v>
      </c>
      <c r="AG1776" s="110" t="n">
        <f aca="false">IF(ISNUMBER(I1776),COUNTIFS($B$7:$B$3000,B1776,$C$7:$C$3000,C1776,$I$7:$I$3000,"&lt;"&amp;I1776,$AI$7:$AI$3000,"yes")+COUNTIFS($B$7:B1776,B1776,$C$7:C1776,C1776,$I$7:I1776,I1776,$AI$7:AI1776,"yes"),"")</f>
        <v>3</v>
      </c>
      <c r="AH1776" s="110" t="str">
        <f aca="false">IF(ISNUMBER(H1776),"yes","no")</f>
        <v>yes</v>
      </c>
      <c r="AI1776" s="110" t="str">
        <f aca="false">IF(ISNUMBER(I1776),"yes","no")</f>
        <v>yes</v>
      </c>
      <c r="AJ1776" s="120" t="n">
        <v>46297</v>
      </c>
      <c r="AK1776" s="110"/>
    </row>
    <row r="1777" customFormat="false" ht="23.85" hidden="false" customHeight="false" outlineLevel="0" collapsed="false">
      <c r="B1777" s="36" t="s">
        <v>98</v>
      </c>
      <c r="C1777" s="98" t="s">
        <v>17</v>
      </c>
      <c r="D1777" s="98" t="s">
        <v>350</v>
      </c>
      <c r="E1777" s="110" t="s">
        <v>5514</v>
      </c>
      <c r="F1777" s="99" t="n">
        <v>91</v>
      </c>
      <c r="G1777" s="98" t="s">
        <v>333</v>
      </c>
      <c r="H1777" s="112" t="n">
        <f aca="false">IF(AND(AE1777="yes",ISNUMBER(AD1777)),AD1777,"")</f>
        <v>75.21</v>
      </c>
      <c r="I1777" s="95" t="n">
        <f aca="false">IF(AND(AE1777="yes",ISNUMBER(AD1777),ISNUMBER(INDEX(Sources!$G$7:$G$10,MATCH(AB1777,Sources!$B$7:$B$10,0)))),ROUND(AD1777/INDEX(Sources!$G$7:$G$10,MATCH(AB1777,Sources!$B$7:$B$10,0)),6),"")</f>
        <v>3.079397</v>
      </c>
      <c r="J1777" s="98" t="s">
        <v>530</v>
      </c>
      <c r="K1777" s="98" t="s">
        <v>2059</v>
      </c>
      <c r="L1777" s="96"/>
      <c r="M1777" s="110" t="s">
        <v>5515</v>
      </c>
      <c r="N1777" s="117" t="s">
        <v>5516</v>
      </c>
      <c r="O1777" s="110" t="s">
        <v>2452</v>
      </c>
      <c r="P1777" s="110" t="s">
        <v>265</v>
      </c>
      <c r="Q1777" s="118" t="n">
        <v>0.21</v>
      </c>
      <c r="R1777" s="110" t="n">
        <v>1</v>
      </c>
      <c r="S1777" s="110" t="s">
        <v>632</v>
      </c>
      <c r="T1777" s="110" t="s">
        <v>530</v>
      </c>
      <c r="U1777" s="110" t="s">
        <v>2918</v>
      </c>
      <c r="V1777" s="119" t="n">
        <v>75.21</v>
      </c>
      <c r="W1777" s="119"/>
      <c r="X1777" s="110" t="s">
        <v>2063</v>
      </c>
      <c r="Y1777" s="110" t="s">
        <v>2064</v>
      </c>
      <c r="Z1777" s="110" t="s">
        <v>2349</v>
      </c>
      <c r="AA1777" s="110" t="s">
        <v>537</v>
      </c>
      <c r="AB1777" s="110" t="s">
        <v>333</v>
      </c>
      <c r="AC1777" s="110" t="s">
        <v>538</v>
      </c>
      <c r="AD1777" s="110" t="n">
        <f aca="false">IF(OR(F1777="",Q1777="",R1777=""),"",ROUND(IF(P1777="incl.",F1777/(1+Q1777),F1777)/IF(S1777="per pack",R1777,1),2))</f>
        <v>75.21</v>
      </c>
      <c r="AE1777" s="110" t="str">
        <f aca="false">IF(AND(AC1777="yes",ISNUMBER(F1777),IF(Compare!$H$5="All mapped",TRUE(),IF(Compare!$H$5="EXACT only",J1777="EXACT",OR(J1777="EXACT",J1777="CLOSE")))),"yes","no")</f>
        <v>yes</v>
      </c>
      <c r="AF1777" s="110" t="n">
        <f aca="false">IF(ISNUMBER(H1777),COUNTIFS($B$7:$B$3000,B1777,$C$7:$C$3000,C1777,$H$7:$H$3000,"&lt;"&amp;H1777,$AH$7:$AH$3000,"yes")+COUNTIFS($B$7:B1777,B1777,$C$7:C1777,C1777,$H$7:H1777,H1777,$AH$7:AH1777,"yes"),"")</f>
        <v>1</v>
      </c>
      <c r="AG1777" s="110" t="n">
        <f aca="false">IF(ISNUMBER(I1777),COUNTIFS($B$7:$B$3000,B1777,$C$7:$C$3000,C1777,$I$7:$I$3000,"&lt;"&amp;I1777,$AI$7:$AI$3000,"yes")+COUNTIFS($B$7:B1777,B1777,$C$7:C1777,C1777,$I$7:I1777,I1777,$AI$7:AI1777,"yes"),"")</f>
        <v>1</v>
      </c>
      <c r="AH1777" s="110" t="str">
        <f aca="false">IF(ISNUMBER(H1777),"yes","no")</f>
        <v>yes</v>
      </c>
      <c r="AI1777" s="110" t="str">
        <f aca="false">IF(ISNUMBER(I1777),"yes","no")</f>
        <v>yes</v>
      </c>
      <c r="AJ1777" s="120" t="n">
        <v>46297</v>
      </c>
      <c r="AK1777" s="110"/>
    </row>
    <row r="1778" customFormat="false" ht="35.05" hidden="false" customHeight="false" outlineLevel="0" collapsed="false">
      <c r="B1778" s="36" t="s">
        <v>98</v>
      </c>
      <c r="C1778" s="98" t="s">
        <v>17</v>
      </c>
      <c r="D1778" s="98" t="s">
        <v>361</v>
      </c>
      <c r="E1778" s="110" t="s">
        <v>5517</v>
      </c>
      <c r="F1778" s="99" t="n">
        <v>122</v>
      </c>
      <c r="G1778" s="98" t="s">
        <v>333</v>
      </c>
      <c r="H1778" s="112" t="n">
        <f aca="false">IF(AND(AE1778="yes",ISNUMBER(AD1778)),AD1778,"")</f>
        <v>100.83</v>
      </c>
      <c r="I1778" s="95" t="n">
        <f aca="false">IF(AND(AE1778="yes",ISNUMBER(AD1778),ISNUMBER(INDEX(Sources!$G$7:$G$10,MATCH(AB1778,Sources!$B$7:$B$10,0)))),ROUND(AD1778/INDEX(Sources!$G$7:$G$10,MATCH(AB1778,Sources!$B$7:$B$10,0)),6),"")</f>
        <v>4.128381</v>
      </c>
      <c r="J1778" s="98" t="s">
        <v>530</v>
      </c>
      <c r="K1778" s="98" t="s">
        <v>2059</v>
      </c>
      <c r="L1778" s="96"/>
      <c r="M1778" s="110" t="s">
        <v>5518</v>
      </c>
      <c r="N1778" s="117" t="s">
        <v>5519</v>
      </c>
      <c r="O1778" s="110" t="s">
        <v>642</v>
      </c>
      <c r="P1778" s="110" t="s">
        <v>265</v>
      </c>
      <c r="Q1778" s="118" t="n">
        <v>0.21</v>
      </c>
      <c r="R1778" s="110" t="n">
        <v>1</v>
      </c>
      <c r="S1778" s="110" t="s">
        <v>632</v>
      </c>
      <c r="T1778" s="110" t="s">
        <v>530</v>
      </c>
      <c r="U1778" s="110" t="s">
        <v>2918</v>
      </c>
      <c r="V1778" s="119" t="n">
        <v>100.83</v>
      </c>
      <c r="W1778" s="119"/>
      <c r="X1778" s="110" t="s">
        <v>2063</v>
      </c>
      <c r="Y1778" s="110" t="s">
        <v>2064</v>
      </c>
      <c r="Z1778" s="110" t="s">
        <v>2400</v>
      </c>
      <c r="AA1778" s="110" t="s">
        <v>537</v>
      </c>
      <c r="AB1778" s="110" t="s">
        <v>333</v>
      </c>
      <c r="AC1778" s="110" t="s">
        <v>538</v>
      </c>
      <c r="AD1778" s="110" t="n">
        <f aca="false">IF(OR(F1778="",Q1778="",R1778=""),"",ROUND(IF(P1778="incl.",F1778/(1+Q1778),F1778)/IF(S1778="per pack",R1778,1),2))</f>
        <v>100.83</v>
      </c>
      <c r="AE1778" s="110" t="str">
        <f aca="false">IF(AND(AC1778="yes",ISNUMBER(F1778),IF(Compare!$H$5="All mapped",TRUE(),IF(Compare!$H$5="EXACT only",J1778="EXACT",OR(J1778="EXACT",J1778="CLOSE")))),"yes","no")</f>
        <v>yes</v>
      </c>
      <c r="AF1778" s="110" t="n">
        <f aca="false">IF(ISNUMBER(H1778),COUNTIFS($B$7:$B$3000,B1778,$C$7:$C$3000,C1778,$H$7:$H$3000,"&lt;"&amp;H1778,$AH$7:$AH$3000,"yes")+COUNTIFS($B$7:B1778,B1778,$C$7:C1778,C1778,$H$7:H1778,H1778,$AH$7:AH1778,"yes"),"")</f>
        <v>2</v>
      </c>
      <c r="AG1778" s="110" t="n">
        <f aca="false">IF(ISNUMBER(I1778),COUNTIFS($B$7:$B$3000,B1778,$C$7:$C$3000,C1778,$I$7:$I$3000,"&lt;"&amp;I1778,$AI$7:$AI$3000,"yes")+COUNTIFS($B$7:B1778,B1778,$C$7:C1778,C1778,$I$7:I1778,I1778,$AI$7:AI1778,"yes"),"")</f>
        <v>2</v>
      </c>
      <c r="AH1778" s="110" t="str">
        <f aca="false">IF(ISNUMBER(H1778),"yes","no")</f>
        <v>yes</v>
      </c>
      <c r="AI1778" s="110" t="str">
        <f aca="false">IF(ISNUMBER(I1778),"yes","no")</f>
        <v>yes</v>
      </c>
      <c r="AJ1778" s="120" t="n">
        <v>46297</v>
      </c>
      <c r="AK1778" s="110"/>
    </row>
    <row r="1779" customFormat="false" ht="35.05" hidden="false" customHeight="false" outlineLevel="0" collapsed="false">
      <c r="B1779" s="36" t="s">
        <v>98</v>
      </c>
      <c r="C1779" s="98" t="s">
        <v>18</v>
      </c>
      <c r="D1779" s="98" t="s">
        <v>3002</v>
      </c>
      <c r="E1779" s="110" t="s">
        <v>5520</v>
      </c>
      <c r="F1779" s="99" t="n">
        <v>4.3</v>
      </c>
      <c r="G1779" s="98" t="s">
        <v>244</v>
      </c>
      <c r="H1779" s="112" t="n">
        <f aca="false">IF(AND(AE1779="yes",ISNUMBER(AD1779)),AD1779,"")</f>
        <v>4.3</v>
      </c>
      <c r="I1779" s="95" t="n">
        <f aca="false">IF(AND(AE1779="yes",ISNUMBER(AD1779),ISNUMBER(INDEX(Sources!$G$7:$G$10,MATCH(AB1779,Sources!$B$7:$B$10,0)))),ROUND(AD1779/INDEX(Sources!$G$7:$G$10,MATCH(AB1779,Sources!$B$7:$B$10,0)),6),"")</f>
        <v>4.3</v>
      </c>
      <c r="J1779" s="98" t="s">
        <v>530</v>
      </c>
      <c r="K1779" s="98" t="s">
        <v>2059</v>
      </c>
      <c r="L1779" s="96"/>
      <c r="M1779" s="110" t="s">
        <v>5521</v>
      </c>
      <c r="N1779" s="117" t="s">
        <v>4404</v>
      </c>
      <c r="O1779" s="110" t="s">
        <v>2396</v>
      </c>
      <c r="P1779" s="110" t="s">
        <v>590</v>
      </c>
      <c r="Q1779" s="118" t="n">
        <v>0.23</v>
      </c>
      <c r="R1779" s="110" t="n">
        <v>1</v>
      </c>
      <c r="S1779" s="110" t="s">
        <v>632</v>
      </c>
      <c r="T1779" s="110" t="s">
        <v>530</v>
      </c>
      <c r="U1779" s="110" t="s">
        <v>2913</v>
      </c>
      <c r="V1779" s="119" t="n">
        <v>4.3</v>
      </c>
      <c r="W1779" s="119"/>
      <c r="X1779" s="110" t="s">
        <v>2063</v>
      </c>
      <c r="Y1779" s="110" t="s">
        <v>2064</v>
      </c>
      <c r="Z1779" s="110" t="s">
        <v>3346</v>
      </c>
      <c r="AA1779" s="110" t="s">
        <v>537</v>
      </c>
      <c r="AB1779" s="110" t="s">
        <v>244</v>
      </c>
      <c r="AC1779" s="110" t="s">
        <v>538</v>
      </c>
      <c r="AD1779" s="110" t="n">
        <f aca="false">IF(OR(F1779="",Q1779="",R1779=""),"",ROUND(IF(P1779="incl.",F1779/(1+Q1779),F1779)/IF(S1779="per pack",R1779,1),2))</f>
        <v>4.3</v>
      </c>
      <c r="AE1779" s="110" t="str">
        <f aca="false">IF(AND(AC1779="yes",ISNUMBER(F1779),IF(Compare!$H$5="All mapped",TRUE(),IF(Compare!$H$5="EXACT only",J1779="EXACT",OR(J1779="EXACT",J1779="CLOSE")))),"yes","no")</f>
        <v>yes</v>
      </c>
      <c r="AF1779" s="110" t="n">
        <f aca="false">IF(ISNUMBER(H1779),COUNTIFS($B$7:$B$3000,B1779,$C$7:$C$3000,C1779,$H$7:$H$3000,"&lt;"&amp;H1779,$AH$7:$AH$3000,"yes")+COUNTIFS($B$7:B1779,B1779,$C$7:C1779,C1779,$H$7:H1779,H1779,$AH$7:AH1779,"yes"),"")</f>
        <v>4</v>
      </c>
      <c r="AG1779" s="110" t="n">
        <f aca="false">IF(ISNUMBER(I1779),COUNTIFS($B$7:$B$3000,B1779,$C$7:$C$3000,C1779,$I$7:$I$3000,"&lt;"&amp;I1779,$AI$7:$AI$3000,"yes")+COUNTIFS($B$7:B1779,B1779,$C$7:C1779,C1779,$I$7:I1779,I1779,$AI$7:AI1779,"yes"),"")</f>
        <v>4</v>
      </c>
      <c r="AH1779" s="110" t="str">
        <f aca="false">IF(ISNUMBER(H1779),"yes","no")</f>
        <v>yes</v>
      </c>
      <c r="AI1779" s="110" t="str">
        <f aca="false">IF(ISNUMBER(I1779),"yes","no")</f>
        <v>yes</v>
      </c>
      <c r="AJ1779" s="120" t="n">
        <v>46297</v>
      </c>
      <c r="AK1779" s="110"/>
    </row>
    <row r="1780" customFormat="false" ht="23.85" hidden="false" customHeight="false" outlineLevel="0" collapsed="false">
      <c r="B1780" s="36" t="s">
        <v>98</v>
      </c>
      <c r="C1780" s="98" t="s">
        <v>18</v>
      </c>
      <c r="D1780" s="98" t="s">
        <v>3007</v>
      </c>
      <c r="E1780" s="110" t="s">
        <v>5522</v>
      </c>
      <c r="F1780" s="99" t="n">
        <v>3.41</v>
      </c>
      <c r="G1780" s="98" t="s">
        <v>244</v>
      </c>
      <c r="H1780" s="112" t="n">
        <f aca="false">IF(AND(AE1780="yes",ISNUMBER(AD1780)),AD1780,"")</f>
        <v>3.41</v>
      </c>
      <c r="I1780" s="95" t="n">
        <f aca="false">IF(AND(AE1780="yes",ISNUMBER(AD1780),ISNUMBER(INDEX(Sources!$G$7:$G$10,MATCH(AB1780,Sources!$B$7:$B$10,0)))),ROUND(AD1780/INDEX(Sources!$G$7:$G$10,MATCH(AB1780,Sources!$B$7:$B$10,0)),6),"")</f>
        <v>3.41</v>
      </c>
      <c r="J1780" s="98" t="s">
        <v>530</v>
      </c>
      <c r="K1780" s="98" t="s">
        <v>2059</v>
      </c>
      <c r="L1780" s="96"/>
      <c r="M1780" s="110" t="s">
        <v>5523</v>
      </c>
      <c r="N1780" s="117" t="s">
        <v>4407</v>
      </c>
      <c r="O1780" s="110" t="s">
        <v>642</v>
      </c>
      <c r="P1780" s="110" t="s">
        <v>590</v>
      </c>
      <c r="Q1780" s="118" t="n">
        <v>0.23</v>
      </c>
      <c r="R1780" s="110" t="n">
        <v>1</v>
      </c>
      <c r="S1780" s="110" t="s">
        <v>632</v>
      </c>
      <c r="T1780" s="110" t="s">
        <v>530</v>
      </c>
      <c r="U1780" s="110" t="s">
        <v>2913</v>
      </c>
      <c r="V1780" s="119" t="n">
        <v>3.41</v>
      </c>
      <c r="W1780" s="119"/>
      <c r="X1780" s="110" t="s">
        <v>2063</v>
      </c>
      <c r="Y1780" s="110" t="s">
        <v>2064</v>
      </c>
      <c r="Z1780" s="110" t="s">
        <v>3012</v>
      </c>
      <c r="AA1780" s="110" t="s">
        <v>537</v>
      </c>
      <c r="AB1780" s="110" t="s">
        <v>244</v>
      </c>
      <c r="AC1780" s="110" t="s">
        <v>538</v>
      </c>
      <c r="AD1780" s="110" t="n">
        <f aca="false">IF(OR(F1780="",Q1780="",R1780=""),"",ROUND(IF(P1780="incl.",F1780/(1+Q1780),F1780)/IF(S1780="per pack",R1780,1),2))</f>
        <v>3.41</v>
      </c>
      <c r="AE1780" s="110" t="str">
        <f aca="false">IF(AND(AC1780="yes",ISNUMBER(F1780),IF(Compare!$H$5="All mapped",TRUE(),IF(Compare!$H$5="EXACT only",J1780="EXACT",OR(J1780="EXACT",J1780="CLOSE")))),"yes","no")</f>
        <v>yes</v>
      </c>
      <c r="AF1780" s="110" t="n">
        <f aca="false">IF(ISNUMBER(H1780),COUNTIFS($B$7:$B$3000,B1780,$C$7:$C$3000,C1780,$H$7:$H$3000,"&lt;"&amp;H1780,$AH$7:$AH$3000,"yes")+COUNTIFS($B$7:B1780,B1780,$C$7:C1780,C1780,$H$7:H1780,H1780,$AH$7:AH1780,"yes"),"")</f>
        <v>2</v>
      </c>
      <c r="AG1780" s="110" t="n">
        <f aca="false">IF(ISNUMBER(I1780),COUNTIFS($B$7:$B$3000,B1780,$C$7:$C$3000,C1780,$I$7:$I$3000,"&lt;"&amp;I1780,$AI$7:$AI$3000,"yes")+COUNTIFS($B$7:B1780,B1780,$C$7:C1780,C1780,$I$7:I1780,I1780,$AI$7:AI1780,"yes"),"")</f>
        <v>2</v>
      </c>
      <c r="AH1780" s="110" t="str">
        <f aca="false">IF(ISNUMBER(H1780),"yes","no")</f>
        <v>yes</v>
      </c>
      <c r="AI1780" s="110" t="str">
        <f aca="false">IF(ISNUMBER(I1780),"yes","no")</f>
        <v>yes</v>
      </c>
      <c r="AJ1780" s="120" t="n">
        <v>46297</v>
      </c>
      <c r="AK1780" s="110"/>
    </row>
    <row r="1781" customFormat="false" ht="35.05" hidden="false" customHeight="false" outlineLevel="0" collapsed="false">
      <c r="B1781" s="36" t="s">
        <v>98</v>
      </c>
      <c r="C1781" s="98" t="s">
        <v>18</v>
      </c>
      <c r="D1781" s="98" t="s">
        <v>365</v>
      </c>
      <c r="E1781" s="110" t="s">
        <v>5524</v>
      </c>
      <c r="F1781" s="99" t="n">
        <v>3.42</v>
      </c>
      <c r="G1781" s="98" t="s">
        <v>244</v>
      </c>
      <c r="H1781" s="112" t="n">
        <f aca="false">IF(AND(AE1781="yes",ISNUMBER(AD1781)),AD1781,"")</f>
        <v>2.78</v>
      </c>
      <c r="I1781" s="95" t="n">
        <f aca="false">IF(AND(AE1781="yes",ISNUMBER(AD1781),ISNUMBER(INDEX(Sources!$G$7:$G$10,MATCH(AB1781,Sources!$B$7:$B$10,0)))),ROUND(AD1781/INDEX(Sources!$G$7:$G$10,MATCH(AB1781,Sources!$B$7:$B$10,0)),6),"")</f>
        <v>2.78</v>
      </c>
      <c r="J1781" s="98" t="s">
        <v>530</v>
      </c>
      <c r="K1781" s="98" t="s">
        <v>2059</v>
      </c>
      <c r="L1781" s="96"/>
      <c r="M1781" s="110" t="s">
        <v>5525</v>
      </c>
      <c r="N1781" s="117" t="s">
        <v>5526</v>
      </c>
      <c r="O1781" s="110" t="s">
        <v>3076</v>
      </c>
      <c r="P1781" s="110" t="s">
        <v>265</v>
      </c>
      <c r="Q1781" s="118" t="n">
        <v>0.23</v>
      </c>
      <c r="R1781" s="110" t="n">
        <v>1</v>
      </c>
      <c r="S1781" s="110" t="s">
        <v>632</v>
      </c>
      <c r="T1781" s="110" t="s">
        <v>530</v>
      </c>
      <c r="U1781" s="110" t="s">
        <v>2918</v>
      </c>
      <c r="V1781" s="119" t="n">
        <v>2.78</v>
      </c>
      <c r="W1781" s="119"/>
      <c r="X1781" s="110" t="s">
        <v>2063</v>
      </c>
      <c r="Y1781" s="110" t="s">
        <v>2064</v>
      </c>
      <c r="Z1781" s="110" t="s">
        <v>3016</v>
      </c>
      <c r="AA1781" s="110" t="s">
        <v>537</v>
      </c>
      <c r="AB1781" s="110" t="s">
        <v>244</v>
      </c>
      <c r="AC1781" s="110" t="s">
        <v>538</v>
      </c>
      <c r="AD1781" s="110" t="n">
        <f aca="false">IF(OR(F1781="",Q1781="",R1781=""),"",ROUND(IF(P1781="incl.",F1781/(1+Q1781),F1781)/IF(S1781="per pack",R1781,1),2))</f>
        <v>2.78</v>
      </c>
      <c r="AE1781" s="110" t="str">
        <f aca="false">IF(AND(AC1781="yes",ISNUMBER(F1781),IF(Compare!$H$5="All mapped",TRUE(),IF(Compare!$H$5="EXACT only",J1781="EXACT",OR(J1781="EXACT",J1781="CLOSE")))),"yes","no")</f>
        <v>yes</v>
      </c>
      <c r="AF1781" s="110" t="n">
        <f aca="false">IF(ISNUMBER(H1781),COUNTIFS($B$7:$B$3000,B1781,$C$7:$C$3000,C1781,$H$7:$H$3000,"&lt;"&amp;H1781,$AH$7:$AH$3000,"yes")+COUNTIFS($B$7:B1781,B1781,$C$7:C1781,C1781,$H$7:H1781,H1781,$AH$7:AH1781,"yes"),"")</f>
        <v>1</v>
      </c>
      <c r="AG1781" s="110" t="n">
        <f aca="false">IF(ISNUMBER(I1781),COUNTIFS($B$7:$B$3000,B1781,$C$7:$C$3000,C1781,$I$7:$I$3000,"&lt;"&amp;I1781,$AI$7:$AI$3000,"yes")+COUNTIFS($B$7:B1781,B1781,$C$7:C1781,C1781,$I$7:I1781,I1781,$AI$7:AI1781,"yes"),"")</f>
        <v>1</v>
      </c>
      <c r="AH1781" s="110" t="str">
        <f aca="false">IF(ISNUMBER(H1781),"yes","no")</f>
        <v>yes</v>
      </c>
      <c r="AI1781" s="110" t="str">
        <f aca="false">IF(ISNUMBER(I1781),"yes","no")</f>
        <v>yes</v>
      </c>
      <c r="AJ1781" s="120" t="n">
        <v>46297</v>
      </c>
      <c r="AK1781" s="110"/>
    </row>
    <row r="1782" customFormat="false" ht="23.85" hidden="false" customHeight="false" outlineLevel="0" collapsed="false">
      <c r="B1782" s="36" t="s">
        <v>98</v>
      </c>
      <c r="C1782" s="98" t="s">
        <v>18</v>
      </c>
      <c r="D1782" s="98" t="s">
        <v>369</v>
      </c>
      <c r="E1782" s="110" t="s">
        <v>5527</v>
      </c>
      <c r="F1782" s="99" t="n">
        <v>5.88</v>
      </c>
      <c r="G1782" s="98" t="s">
        <v>244</v>
      </c>
      <c r="H1782" s="112" t="n">
        <f aca="false">IF(AND(AE1782="yes",ISNUMBER(AD1782)),AD1782,"")</f>
        <v>4.78</v>
      </c>
      <c r="I1782" s="95" t="n">
        <f aca="false">IF(AND(AE1782="yes",ISNUMBER(AD1782),ISNUMBER(INDEX(Sources!$G$7:$G$10,MATCH(AB1782,Sources!$B$7:$B$10,0)))),ROUND(AD1782/INDEX(Sources!$G$7:$G$10,MATCH(AB1782,Sources!$B$7:$B$10,0)),6),"")</f>
        <v>4.78</v>
      </c>
      <c r="J1782" s="98" t="s">
        <v>530</v>
      </c>
      <c r="K1782" s="98" t="s">
        <v>2059</v>
      </c>
      <c r="L1782" s="96"/>
      <c r="M1782" s="110" t="s">
        <v>5528</v>
      </c>
      <c r="N1782" s="117" t="s">
        <v>5529</v>
      </c>
      <c r="O1782" s="110" t="s">
        <v>662</v>
      </c>
      <c r="P1782" s="110" t="s">
        <v>265</v>
      </c>
      <c r="Q1782" s="118" t="n">
        <v>0.23</v>
      </c>
      <c r="R1782" s="110" t="n">
        <v>1</v>
      </c>
      <c r="S1782" s="110" t="s">
        <v>632</v>
      </c>
      <c r="T1782" s="110" t="s">
        <v>530</v>
      </c>
      <c r="U1782" s="110" t="s">
        <v>2918</v>
      </c>
      <c r="V1782" s="119" t="n">
        <v>4.78</v>
      </c>
      <c r="W1782" s="119"/>
      <c r="X1782" s="110" t="s">
        <v>2063</v>
      </c>
      <c r="Y1782" s="110" t="s">
        <v>2064</v>
      </c>
      <c r="Z1782" s="110" t="s">
        <v>4138</v>
      </c>
      <c r="AA1782" s="110" t="s">
        <v>537</v>
      </c>
      <c r="AB1782" s="110" t="s">
        <v>244</v>
      </c>
      <c r="AC1782" s="110" t="s">
        <v>538</v>
      </c>
      <c r="AD1782" s="110" t="n">
        <f aca="false">IF(OR(F1782="",Q1782="",R1782=""),"",ROUND(IF(P1782="incl.",F1782/(1+Q1782),F1782)/IF(S1782="per pack",R1782,1),2))</f>
        <v>4.78</v>
      </c>
      <c r="AE1782" s="110" t="str">
        <f aca="false">IF(AND(AC1782="yes",ISNUMBER(F1782),IF(Compare!$H$5="All mapped",TRUE(),IF(Compare!$H$5="EXACT only",J1782="EXACT",OR(J1782="EXACT",J1782="CLOSE")))),"yes","no")</f>
        <v>yes</v>
      </c>
      <c r="AF1782" s="110" t="n">
        <f aca="false">IF(ISNUMBER(H1782),COUNTIFS($B$7:$B$3000,B1782,$C$7:$C$3000,C1782,$H$7:$H$3000,"&lt;"&amp;H1782,$AH$7:$AH$3000,"yes")+COUNTIFS($B$7:B1782,B1782,$C$7:C1782,C1782,$H$7:H1782,H1782,$AH$7:AH1782,"yes"),"")</f>
        <v>5</v>
      </c>
      <c r="AG1782" s="110" t="n">
        <f aca="false">IF(ISNUMBER(I1782),COUNTIFS($B$7:$B$3000,B1782,$C$7:$C$3000,C1782,$I$7:$I$3000,"&lt;"&amp;I1782,$AI$7:$AI$3000,"yes")+COUNTIFS($B$7:B1782,B1782,$C$7:C1782,C1782,$I$7:I1782,I1782,$AI$7:AI1782,"yes"),"")</f>
        <v>5</v>
      </c>
      <c r="AH1782" s="110" t="str">
        <f aca="false">IF(ISNUMBER(H1782),"yes","no")</f>
        <v>yes</v>
      </c>
      <c r="AI1782" s="110" t="str">
        <f aca="false">IF(ISNUMBER(I1782),"yes","no")</f>
        <v>yes</v>
      </c>
      <c r="AJ1782" s="120" t="n">
        <v>46297</v>
      </c>
      <c r="AK1782" s="110"/>
    </row>
    <row r="1783" customFormat="false" ht="35.05" hidden="false" customHeight="false" outlineLevel="0" collapsed="false">
      <c r="B1783" s="36" t="s">
        <v>98</v>
      </c>
      <c r="C1783" s="98" t="s">
        <v>18</v>
      </c>
      <c r="D1783" s="98" t="s">
        <v>3021</v>
      </c>
      <c r="E1783" s="110" t="s">
        <v>5530</v>
      </c>
      <c r="F1783" s="99" t="n">
        <v>3.43</v>
      </c>
      <c r="G1783" s="98" t="s">
        <v>244</v>
      </c>
      <c r="H1783" s="112" t="n">
        <f aca="false">IF(AND(AE1783="yes",ISNUMBER(AD1783)),AD1783,"")</f>
        <v>3.43</v>
      </c>
      <c r="I1783" s="95" t="n">
        <f aca="false">IF(AND(AE1783="yes",ISNUMBER(AD1783),ISNUMBER(INDEX(Sources!$G$7:$G$10,MATCH(AB1783,Sources!$B$7:$B$10,0)))),ROUND(AD1783/INDEX(Sources!$G$7:$G$10,MATCH(AB1783,Sources!$B$7:$B$10,0)),6),"")</f>
        <v>3.43</v>
      </c>
      <c r="J1783" s="98" t="s">
        <v>530</v>
      </c>
      <c r="K1783" s="98" t="s">
        <v>2059</v>
      </c>
      <c r="L1783" s="96"/>
      <c r="M1783" s="110" t="s">
        <v>5531</v>
      </c>
      <c r="N1783" s="117" t="s">
        <v>4416</v>
      </c>
      <c r="O1783" s="110" t="s">
        <v>3024</v>
      </c>
      <c r="P1783" s="110" t="s">
        <v>590</v>
      </c>
      <c r="Q1783" s="118" t="n">
        <v>0.23</v>
      </c>
      <c r="R1783" s="110" t="n">
        <v>1</v>
      </c>
      <c r="S1783" s="110" t="s">
        <v>632</v>
      </c>
      <c r="T1783" s="110" t="s">
        <v>530</v>
      </c>
      <c r="U1783" s="110" t="s">
        <v>2913</v>
      </c>
      <c r="V1783" s="119" t="n">
        <v>3.43</v>
      </c>
      <c r="W1783" s="119"/>
      <c r="X1783" s="110" t="s">
        <v>2063</v>
      </c>
      <c r="Y1783" s="110" t="s">
        <v>2064</v>
      </c>
      <c r="Z1783" s="110" t="s">
        <v>3025</v>
      </c>
      <c r="AA1783" s="110" t="s">
        <v>537</v>
      </c>
      <c r="AB1783" s="110" t="s">
        <v>244</v>
      </c>
      <c r="AC1783" s="110" t="s">
        <v>538</v>
      </c>
      <c r="AD1783" s="110" t="n">
        <f aca="false">IF(OR(F1783="",Q1783="",R1783=""),"",ROUND(IF(P1783="incl.",F1783/(1+Q1783),F1783)/IF(S1783="per pack",R1783,1),2))</f>
        <v>3.43</v>
      </c>
      <c r="AE1783" s="110" t="str">
        <f aca="false">IF(AND(AC1783="yes",ISNUMBER(F1783),IF(Compare!$H$5="All mapped",TRUE(),IF(Compare!$H$5="EXACT only",J1783="EXACT",OR(J1783="EXACT",J1783="CLOSE")))),"yes","no")</f>
        <v>yes</v>
      </c>
      <c r="AF1783" s="110" t="n">
        <f aca="false">IF(ISNUMBER(H1783),COUNTIFS($B$7:$B$3000,B1783,$C$7:$C$3000,C1783,$H$7:$H$3000,"&lt;"&amp;H1783,$AH$7:$AH$3000,"yes")+COUNTIFS($B$7:B1783,B1783,$C$7:C1783,C1783,$H$7:H1783,H1783,$AH$7:AH1783,"yes"),"")</f>
        <v>3</v>
      </c>
      <c r="AG1783" s="110" t="n">
        <f aca="false">IF(ISNUMBER(I1783),COUNTIFS($B$7:$B$3000,B1783,$C$7:$C$3000,C1783,$I$7:$I$3000,"&lt;"&amp;I1783,$AI$7:$AI$3000,"yes")+COUNTIFS($B$7:B1783,B1783,$C$7:C1783,C1783,$I$7:I1783,I1783,$AI$7:AI1783,"yes"),"")</f>
        <v>3</v>
      </c>
      <c r="AH1783" s="110" t="str">
        <f aca="false">IF(ISNUMBER(H1783),"yes","no")</f>
        <v>yes</v>
      </c>
      <c r="AI1783" s="110" t="str">
        <f aca="false">IF(ISNUMBER(I1783),"yes","no")</f>
        <v>yes</v>
      </c>
      <c r="AJ1783" s="120" t="n">
        <v>46297</v>
      </c>
      <c r="AK1783" s="110"/>
    </row>
    <row r="1784" customFormat="false" ht="35.05" hidden="false" customHeight="false" outlineLevel="0" collapsed="false">
      <c r="B1784" s="36" t="s">
        <v>99</v>
      </c>
      <c r="C1784" s="98" t="s">
        <v>14</v>
      </c>
      <c r="D1784" s="98" t="s">
        <v>346</v>
      </c>
      <c r="E1784" s="110" t="s">
        <v>5532</v>
      </c>
      <c r="F1784" s="99" t="n">
        <v>58.51</v>
      </c>
      <c r="G1784" s="98" t="s">
        <v>374</v>
      </c>
      <c r="H1784" s="112" t="n">
        <f aca="false">IF(AND(AE1784="yes",ISNUMBER(AD1784)),AD1784,"")</f>
        <v>48.36</v>
      </c>
      <c r="I1784" s="95" t="n">
        <f aca="false">IF(AND(AE1784="yes",ISNUMBER(AD1784),ISNUMBER(INDEX(Sources!$G$7:$G$10,MATCH(AB1784,Sources!$B$7:$B$10,0)))),ROUND(AD1784/INDEX(Sources!$G$7:$G$10,MATCH(AB1784,Sources!$B$7:$B$10,0)),6),"")</f>
        <v>9.163184</v>
      </c>
      <c r="J1784" s="98" t="s">
        <v>530</v>
      </c>
      <c r="K1784" s="98" t="s">
        <v>2059</v>
      </c>
      <c r="L1784" s="96"/>
      <c r="M1784" s="110" t="s">
        <v>5533</v>
      </c>
      <c r="N1784" s="117" t="s">
        <v>5534</v>
      </c>
      <c r="O1784" s="110" t="s">
        <v>662</v>
      </c>
      <c r="P1784" s="110" t="s">
        <v>265</v>
      </c>
      <c r="Q1784" s="118" t="n">
        <v>0.21</v>
      </c>
      <c r="R1784" s="110" t="n">
        <v>1</v>
      </c>
      <c r="S1784" s="110" t="s">
        <v>632</v>
      </c>
      <c r="T1784" s="110" t="s">
        <v>530</v>
      </c>
      <c r="U1784" s="110" t="s">
        <v>2918</v>
      </c>
      <c r="V1784" s="119" t="n">
        <v>48.36</v>
      </c>
      <c r="W1784" s="119"/>
      <c r="X1784" s="110" t="s">
        <v>2063</v>
      </c>
      <c r="Y1784" s="110" t="s">
        <v>2064</v>
      </c>
      <c r="Z1784" s="110"/>
      <c r="AA1784" s="110" t="s">
        <v>537</v>
      </c>
      <c r="AB1784" s="110" t="s">
        <v>374</v>
      </c>
      <c r="AC1784" s="110" t="s">
        <v>538</v>
      </c>
      <c r="AD1784" s="110" t="n">
        <f aca="false">IF(OR(F1784="",Q1784="",R1784=""),"",ROUND(IF(P1784="incl.",F1784/(1+Q1784),F1784)/IF(S1784="per pack",R1784,1),2))</f>
        <v>48.36</v>
      </c>
      <c r="AE1784" s="110" t="str">
        <f aca="false">IF(AND(AC1784="yes",ISNUMBER(F1784),IF(Compare!$H$5="All mapped",TRUE(),IF(Compare!$H$5="EXACT only",J1784="EXACT",OR(J1784="EXACT",J1784="CLOSE")))),"yes","no")</f>
        <v>yes</v>
      </c>
      <c r="AF1784" s="110" t="n">
        <f aca="false">IF(ISNUMBER(H1784),COUNTIFS($B$7:$B$3000,B1784,$C$7:$C$3000,C1784,$H$7:$H$3000,"&lt;"&amp;H1784,$AH$7:$AH$3000,"yes")+COUNTIFS($B$7:B1784,B1784,$C$7:C1784,C1784,$H$7:H1784,H1784,$AH$7:AH1784,"yes"),"")</f>
        <v>4</v>
      </c>
      <c r="AG1784" s="110" t="n">
        <f aca="false">IF(ISNUMBER(I1784),COUNTIFS($B$7:$B$3000,B1784,$C$7:$C$3000,C1784,$I$7:$I$3000,"&lt;"&amp;I1784,$AI$7:$AI$3000,"yes")+COUNTIFS($B$7:B1784,B1784,$C$7:C1784,C1784,$I$7:I1784,I1784,$AI$7:AI1784,"yes"),"")</f>
        <v>4</v>
      </c>
      <c r="AH1784" s="110" t="str">
        <f aca="false">IF(ISNUMBER(H1784),"yes","no")</f>
        <v>yes</v>
      </c>
      <c r="AI1784" s="110" t="str">
        <f aca="false">IF(ISNUMBER(I1784),"yes","no")</f>
        <v>yes</v>
      </c>
      <c r="AJ1784" s="120" t="n">
        <v>46297</v>
      </c>
      <c r="AK1784" s="110"/>
    </row>
    <row r="1785" customFormat="false" ht="23.85" hidden="false" customHeight="false" outlineLevel="0" collapsed="false">
      <c r="B1785" s="36" t="s">
        <v>99</v>
      </c>
      <c r="C1785" s="98" t="s">
        <v>14</v>
      </c>
      <c r="D1785" s="98" t="s">
        <v>403</v>
      </c>
      <c r="E1785" s="110" t="s">
        <v>5535</v>
      </c>
      <c r="F1785" s="99" t="n">
        <v>20.93</v>
      </c>
      <c r="G1785" s="98" t="s">
        <v>374</v>
      </c>
      <c r="H1785" s="112" t="n">
        <f aca="false">IF(AND(AE1785="yes",ISNUMBER(AD1785)),AD1785,"")</f>
        <v>20.93</v>
      </c>
      <c r="I1785" s="95" t="n">
        <f aca="false">IF(AND(AE1785="yes",ISNUMBER(AD1785),ISNUMBER(INDEX(Sources!$G$7:$G$10,MATCH(AB1785,Sources!$B$7:$B$10,0)))),ROUND(AD1785/INDEX(Sources!$G$7:$G$10,MATCH(AB1785,Sources!$B$7:$B$10,0)),6),"")</f>
        <v>3.965787</v>
      </c>
      <c r="J1785" s="98" t="s">
        <v>530</v>
      </c>
      <c r="K1785" s="98" t="s">
        <v>2059</v>
      </c>
      <c r="L1785" s="96"/>
      <c r="M1785" s="110" t="s">
        <v>5536</v>
      </c>
      <c r="N1785" s="117" t="s">
        <v>5537</v>
      </c>
      <c r="O1785" s="110" t="s">
        <v>388</v>
      </c>
      <c r="P1785" s="110" t="s">
        <v>590</v>
      </c>
      <c r="Q1785" s="118" t="n">
        <v>0.21</v>
      </c>
      <c r="R1785" s="110" t="n">
        <v>1</v>
      </c>
      <c r="S1785" s="110" t="s">
        <v>632</v>
      </c>
      <c r="T1785" s="110" t="s">
        <v>530</v>
      </c>
      <c r="U1785" s="110" t="s">
        <v>2913</v>
      </c>
      <c r="V1785" s="119" t="n">
        <v>20.93</v>
      </c>
      <c r="W1785" s="119"/>
      <c r="X1785" s="110" t="s">
        <v>2063</v>
      </c>
      <c r="Y1785" s="110" t="s">
        <v>2064</v>
      </c>
      <c r="Z1785" s="110"/>
      <c r="AA1785" s="110" t="s">
        <v>537</v>
      </c>
      <c r="AB1785" s="110" t="s">
        <v>374</v>
      </c>
      <c r="AC1785" s="110" t="s">
        <v>538</v>
      </c>
      <c r="AD1785" s="110" t="n">
        <f aca="false">IF(OR(F1785="",Q1785="",R1785=""),"",ROUND(IF(P1785="incl.",F1785/(1+Q1785),F1785)/IF(S1785="per pack",R1785,1),2))</f>
        <v>20.93</v>
      </c>
      <c r="AE1785" s="110" t="str">
        <f aca="false">IF(AND(AC1785="yes",ISNUMBER(F1785),IF(Compare!$H$5="All mapped",TRUE(),IF(Compare!$H$5="EXACT only",J1785="EXACT",OR(J1785="EXACT",J1785="CLOSE")))),"yes","no")</f>
        <v>yes</v>
      </c>
      <c r="AF1785" s="110" t="n">
        <f aca="false">IF(ISNUMBER(H1785),COUNTIFS($B$7:$B$3000,B1785,$C$7:$C$3000,C1785,$H$7:$H$3000,"&lt;"&amp;H1785,$AH$7:$AH$3000,"yes")+COUNTIFS($B$7:B1785,B1785,$C$7:C1785,C1785,$H$7:H1785,H1785,$AH$7:AH1785,"yes"),"")</f>
        <v>1</v>
      </c>
      <c r="AG1785" s="110" t="n">
        <f aca="false">IF(ISNUMBER(I1785),COUNTIFS($B$7:$B$3000,B1785,$C$7:$C$3000,C1785,$I$7:$I$3000,"&lt;"&amp;I1785,$AI$7:$AI$3000,"yes")+COUNTIFS($B$7:B1785,B1785,$C$7:C1785,C1785,$I$7:I1785,I1785,$AI$7:AI1785,"yes"),"")</f>
        <v>1</v>
      </c>
      <c r="AH1785" s="110" t="str">
        <f aca="false">IF(ISNUMBER(H1785),"yes","no")</f>
        <v>yes</v>
      </c>
      <c r="AI1785" s="110" t="str">
        <f aca="false">IF(ISNUMBER(I1785),"yes","no")</f>
        <v>yes</v>
      </c>
      <c r="AJ1785" s="120" t="n">
        <v>46297</v>
      </c>
      <c r="AK1785" s="110"/>
    </row>
    <row r="1786" customFormat="false" ht="23.85" hidden="false" customHeight="false" outlineLevel="0" collapsed="false">
      <c r="B1786" s="36" t="s">
        <v>99</v>
      </c>
      <c r="C1786" s="98" t="s">
        <v>14</v>
      </c>
      <c r="D1786" s="98" t="s">
        <v>403</v>
      </c>
      <c r="E1786" s="110" t="s">
        <v>5538</v>
      </c>
      <c r="F1786" s="99" t="n">
        <v>36.4</v>
      </c>
      <c r="G1786" s="98" t="s">
        <v>374</v>
      </c>
      <c r="H1786" s="112" t="n">
        <f aca="false">IF(AND(AE1786="yes",ISNUMBER(AD1786)),AD1786,"")</f>
        <v>36.4</v>
      </c>
      <c r="I1786" s="95" t="n">
        <f aca="false">IF(AND(AE1786="yes",ISNUMBER(AD1786),ISNUMBER(INDEX(Sources!$G$7:$G$10,MATCH(AB1786,Sources!$B$7:$B$10,0)))),ROUND(AD1786/INDEX(Sources!$G$7:$G$10,MATCH(AB1786,Sources!$B$7:$B$10,0)),6),"")</f>
        <v>6.89702</v>
      </c>
      <c r="J1786" s="98" t="s">
        <v>530</v>
      </c>
      <c r="K1786" s="98" t="s">
        <v>2059</v>
      </c>
      <c r="L1786" s="96"/>
      <c r="M1786" s="110" t="s">
        <v>5539</v>
      </c>
      <c r="N1786" s="117" t="s">
        <v>5540</v>
      </c>
      <c r="O1786" s="110" t="s">
        <v>662</v>
      </c>
      <c r="P1786" s="110" t="s">
        <v>590</v>
      </c>
      <c r="Q1786" s="118" t="n">
        <v>0.21</v>
      </c>
      <c r="R1786" s="110" t="n">
        <v>1</v>
      </c>
      <c r="S1786" s="110" t="s">
        <v>632</v>
      </c>
      <c r="T1786" s="110" t="s">
        <v>530</v>
      </c>
      <c r="U1786" s="110" t="s">
        <v>2913</v>
      </c>
      <c r="V1786" s="119" t="n">
        <v>36.4</v>
      </c>
      <c r="W1786" s="119"/>
      <c r="X1786" s="110" t="s">
        <v>2063</v>
      </c>
      <c r="Y1786" s="110" t="s">
        <v>2064</v>
      </c>
      <c r="Z1786" s="110"/>
      <c r="AA1786" s="110" t="s">
        <v>537</v>
      </c>
      <c r="AB1786" s="110" t="s">
        <v>374</v>
      </c>
      <c r="AC1786" s="110" t="s">
        <v>538</v>
      </c>
      <c r="AD1786" s="110" t="n">
        <f aca="false">IF(OR(F1786="",Q1786="",R1786=""),"",ROUND(IF(P1786="incl.",F1786/(1+Q1786),F1786)/IF(S1786="per pack",R1786,1),2))</f>
        <v>36.4</v>
      </c>
      <c r="AE1786" s="110" t="str">
        <f aca="false">IF(AND(AC1786="yes",ISNUMBER(F1786),IF(Compare!$H$5="All mapped",TRUE(),IF(Compare!$H$5="EXACT only",J1786="EXACT",OR(J1786="EXACT",J1786="CLOSE")))),"yes","no")</f>
        <v>yes</v>
      </c>
      <c r="AF1786" s="110" t="n">
        <f aca="false">IF(ISNUMBER(H1786),COUNTIFS($B$7:$B$3000,B1786,$C$7:$C$3000,C1786,$H$7:$H$3000,"&lt;"&amp;H1786,$AH$7:$AH$3000,"yes")+COUNTIFS($B$7:B1786,B1786,$C$7:C1786,C1786,$H$7:H1786,H1786,$AH$7:AH1786,"yes"),"")</f>
        <v>3</v>
      </c>
      <c r="AG1786" s="110" t="n">
        <f aca="false">IF(ISNUMBER(I1786),COUNTIFS($B$7:$B$3000,B1786,$C$7:$C$3000,C1786,$I$7:$I$3000,"&lt;"&amp;I1786,$AI$7:$AI$3000,"yes")+COUNTIFS($B$7:B1786,B1786,$C$7:C1786,C1786,$I$7:I1786,I1786,$AI$7:AI1786,"yes"),"")</f>
        <v>3</v>
      </c>
      <c r="AH1786" s="110" t="str">
        <f aca="false">IF(ISNUMBER(H1786),"yes","no")</f>
        <v>yes</v>
      </c>
      <c r="AI1786" s="110" t="str">
        <f aca="false">IF(ISNUMBER(I1786),"yes","no")</f>
        <v>yes</v>
      </c>
      <c r="AJ1786" s="120" t="n">
        <v>46297</v>
      </c>
      <c r="AK1786" s="110"/>
    </row>
    <row r="1787" customFormat="false" ht="23.85" hidden="false" customHeight="false" outlineLevel="0" collapsed="false">
      <c r="B1787" s="36" t="s">
        <v>99</v>
      </c>
      <c r="C1787" s="98" t="s">
        <v>14</v>
      </c>
      <c r="D1787" s="98" t="s">
        <v>403</v>
      </c>
      <c r="E1787" s="110" t="s">
        <v>5541</v>
      </c>
      <c r="F1787" s="99" t="n">
        <v>22.38</v>
      </c>
      <c r="G1787" s="98" t="s">
        <v>374</v>
      </c>
      <c r="H1787" s="112" t="n">
        <f aca="false">IF(AND(AE1787="yes",ISNUMBER(AD1787)),AD1787,"")</f>
        <v>22.38</v>
      </c>
      <c r="I1787" s="95" t="n">
        <f aca="false">IF(AND(AE1787="yes",ISNUMBER(AD1787),ISNUMBER(INDEX(Sources!$G$7:$G$10,MATCH(AB1787,Sources!$B$7:$B$10,0)))),ROUND(AD1787/INDEX(Sources!$G$7:$G$10,MATCH(AB1787,Sources!$B$7:$B$10,0)),6),"")</f>
        <v>4.24053</v>
      </c>
      <c r="J1787" s="98" t="s">
        <v>530</v>
      </c>
      <c r="K1787" s="98" t="s">
        <v>2059</v>
      </c>
      <c r="L1787" s="96"/>
      <c r="M1787" s="110" t="s">
        <v>5542</v>
      </c>
      <c r="N1787" s="117" t="s">
        <v>5543</v>
      </c>
      <c r="O1787" s="110" t="s">
        <v>388</v>
      </c>
      <c r="P1787" s="110" t="s">
        <v>590</v>
      </c>
      <c r="Q1787" s="118" t="n">
        <v>0.21</v>
      </c>
      <c r="R1787" s="110" t="n">
        <v>1</v>
      </c>
      <c r="S1787" s="110" t="s">
        <v>632</v>
      </c>
      <c r="T1787" s="110" t="s">
        <v>530</v>
      </c>
      <c r="U1787" s="110" t="s">
        <v>2913</v>
      </c>
      <c r="V1787" s="119" t="n">
        <v>22.38</v>
      </c>
      <c r="W1787" s="119"/>
      <c r="X1787" s="110" t="s">
        <v>2063</v>
      </c>
      <c r="Y1787" s="110" t="s">
        <v>2064</v>
      </c>
      <c r="Z1787" s="110"/>
      <c r="AA1787" s="110" t="s">
        <v>537</v>
      </c>
      <c r="AB1787" s="110" t="s">
        <v>374</v>
      </c>
      <c r="AC1787" s="110" t="s">
        <v>538</v>
      </c>
      <c r="AD1787" s="110" t="n">
        <f aca="false">IF(OR(F1787="",Q1787="",R1787=""),"",ROUND(IF(P1787="incl.",F1787/(1+Q1787),F1787)/IF(S1787="per pack",R1787,1),2))</f>
        <v>22.38</v>
      </c>
      <c r="AE1787" s="110" t="str">
        <f aca="false">IF(AND(AC1787="yes",ISNUMBER(F1787),IF(Compare!$H$5="All mapped",TRUE(),IF(Compare!$H$5="EXACT only",J1787="EXACT",OR(J1787="EXACT",J1787="CLOSE")))),"yes","no")</f>
        <v>yes</v>
      </c>
      <c r="AF1787" s="110" t="n">
        <f aca="false">IF(ISNUMBER(H1787),COUNTIFS($B$7:$B$3000,B1787,$C$7:$C$3000,C1787,$H$7:$H$3000,"&lt;"&amp;H1787,$AH$7:$AH$3000,"yes")+COUNTIFS($B$7:B1787,B1787,$C$7:C1787,C1787,$H$7:H1787,H1787,$AH$7:AH1787,"yes"),"")</f>
        <v>2</v>
      </c>
      <c r="AG1787" s="110" t="n">
        <f aca="false">IF(ISNUMBER(I1787),COUNTIFS($B$7:$B$3000,B1787,$C$7:$C$3000,C1787,$I$7:$I$3000,"&lt;"&amp;I1787,$AI$7:$AI$3000,"yes")+COUNTIFS($B$7:B1787,B1787,$C$7:C1787,C1787,$I$7:I1787,I1787,$AI$7:AI1787,"yes"),"")</f>
        <v>2</v>
      </c>
      <c r="AH1787" s="110" t="str">
        <f aca="false">IF(ISNUMBER(H1787),"yes","no")</f>
        <v>yes</v>
      </c>
      <c r="AI1787" s="110" t="str">
        <f aca="false">IF(ISNUMBER(I1787),"yes","no")</f>
        <v>yes</v>
      </c>
      <c r="AJ1787" s="120" t="n">
        <v>46297</v>
      </c>
      <c r="AK1787" s="110"/>
    </row>
    <row r="1788" customFormat="false" ht="23.85" hidden="false" customHeight="false" outlineLevel="0" collapsed="false">
      <c r="B1788" s="36" t="s">
        <v>99</v>
      </c>
      <c r="C1788" s="98" t="s">
        <v>15</v>
      </c>
      <c r="D1788" s="98" t="s">
        <v>257</v>
      </c>
      <c r="E1788" s="110" t="s">
        <v>5544</v>
      </c>
      <c r="F1788" s="99" t="n">
        <v>4.75</v>
      </c>
      <c r="G1788" s="98" t="s">
        <v>244</v>
      </c>
      <c r="H1788" s="112" t="n">
        <f aca="false">IF(AND(AE1788="yes",ISNUMBER(AD1788)),AD1788,"")</f>
        <v>4.75</v>
      </c>
      <c r="I1788" s="95" t="n">
        <f aca="false">IF(AND(AE1788="yes",ISNUMBER(AD1788),ISNUMBER(INDEX(Sources!$G$7:$G$10,MATCH(AB1788,Sources!$B$7:$B$10,0)))),ROUND(AD1788/INDEX(Sources!$G$7:$G$10,MATCH(AB1788,Sources!$B$7:$B$10,0)),6),"")</f>
        <v>4.75</v>
      </c>
      <c r="J1788" s="98" t="s">
        <v>530</v>
      </c>
      <c r="K1788" s="98" t="s">
        <v>2059</v>
      </c>
      <c r="L1788" s="96"/>
      <c r="M1788" s="110" t="s">
        <v>5545</v>
      </c>
      <c r="N1788" s="117" t="s">
        <v>5546</v>
      </c>
      <c r="O1788" s="110" t="s">
        <v>2396</v>
      </c>
      <c r="P1788" s="110" t="s">
        <v>590</v>
      </c>
      <c r="Q1788" s="118" t="n">
        <v>0.2</v>
      </c>
      <c r="R1788" s="110" t="n">
        <v>1</v>
      </c>
      <c r="S1788" s="110" t="s">
        <v>632</v>
      </c>
      <c r="T1788" s="110" t="s">
        <v>530</v>
      </c>
      <c r="U1788" s="110" t="s">
        <v>2913</v>
      </c>
      <c r="V1788" s="119" t="n">
        <v>4.75</v>
      </c>
      <c r="W1788" s="119"/>
      <c r="X1788" s="110" t="s">
        <v>2063</v>
      </c>
      <c r="Y1788" s="110" t="s">
        <v>2064</v>
      </c>
      <c r="Z1788" s="110" t="s">
        <v>4341</v>
      </c>
      <c r="AA1788" s="110" t="s">
        <v>537</v>
      </c>
      <c r="AB1788" s="110" t="s">
        <v>244</v>
      </c>
      <c r="AC1788" s="110" t="s">
        <v>538</v>
      </c>
      <c r="AD1788" s="110" t="n">
        <f aca="false">IF(OR(F1788="",Q1788="",R1788=""),"",ROUND(IF(P1788="incl.",F1788/(1+Q1788),F1788)/IF(S1788="per pack",R1788,1),2))</f>
        <v>4.75</v>
      </c>
      <c r="AE1788" s="110" t="str">
        <f aca="false">IF(AND(AC1788="yes",ISNUMBER(F1788),IF(Compare!$H$5="All mapped",TRUE(),IF(Compare!$H$5="EXACT only",J1788="EXACT",OR(J1788="EXACT",J1788="CLOSE")))),"yes","no")</f>
        <v>yes</v>
      </c>
      <c r="AF1788" s="110" t="n">
        <f aca="false">IF(ISNUMBER(H1788),COUNTIFS($B$7:$B$3000,B1788,$C$7:$C$3000,C1788,$H$7:$H$3000,"&lt;"&amp;H1788,$AH$7:$AH$3000,"yes")+COUNTIFS($B$7:B1788,B1788,$C$7:C1788,C1788,$H$7:H1788,H1788,$AH$7:AH1788,"yes"),"")</f>
        <v>4</v>
      </c>
      <c r="AG1788" s="110" t="n">
        <f aca="false">IF(ISNUMBER(I1788),COUNTIFS($B$7:$B$3000,B1788,$C$7:$C$3000,C1788,$I$7:$I$3000,"&lt;"&amp;I1788,$AI$7:$AI$3000,"yes")+COUNTIFS($B$7:B1788,B1788,$C$7:C1788,C1788,$I$7:I1788,I1788,$AI$7:AI1788,"yes"),"")</f>
        <v>4</v>
      </c>
      <c r="AH1788" s="110" t="str">
        <f aca="false">IF(ISNUMBER(H1788),"yes","no")</f>
        <v>yes</v>
      </c>
      <c r="AI1788" s="110" t="str">
        <f aca="false">IF(ISNUMBER(I1788),"yes","no")</f>
        <v>yes</v>
      </c>
      <c r="AJ1788" s="120" t="n">
        <v>46297</v>
      </c>
      <c r="AK1788" s="110"/>
    </row>
    <row r="1789" customFormat="false" ht="35.05" hidden="false" customHeight="false" outlineLevel="0" collapsed="false">
      <c r="B1789" s="36" t="s">
        <v>99</v>
      </c>
      <c r="C1789" s="98" t="s">
        <v>15</v>
      </c>
      <c r="D1789" s="98" t="s">
        <v>261</v>
      </c>
      <c r="E1789" s="110" t="s">
        <v>5547</v>
      </c>
      <c r="F1789" s="99" t="n">
        <v>3.8</v>
      </c>
      <c r="G1789" s="98" t="s">
        <v>244</v>
      </c>
      <c r="H1789" s="112" t="n">
        <f aca="false">IF(AND(AE1789="yes",ISNUMBER(AD1789)),AD1789,"")</f>
        <v>3.8</v>
      </c>
      <c r="I1789" s="95" t="n">
        <f aca="false">IF(AND(AE1789="yes",ISNUMBER(AD1789),ISNUMBER(INDEX(Sources!$G$7:$G$10,MATCH(AB1789,Sources!$B$7:$B$10,0)))),ROUND(AD1789/INDEX(Sources!$G$7:$G$10,MATCH(AB1789,Sources!$B$7:$B$10,0)),6),"")</f>
        <v>3.8</v>
      </c>
      <c r="J1789" s="98" t="s">
        <v>530</v>
      </c>
      <c r="K1789" s="98" t="s">
        <v>2059</v>
      </c>
      <c r="L1789" s="96"/>
      <c r="M1789" s="110" t="s">
        <v>5548</v>
      </c>
      <c r="N1789" s="117" t="s">
        <v>5549</v>
      </c>
      <c r="O1789" s="110"/>
      <c r="P1789" s="110" t="s">
        <v>590</v>
      </c>
      <c r="Q1789" s="118" t="n">
        <v>0.2</v>
      </c>
      <c r="R1789" s="110" t="n">
        <v>1</v>
      </c>
      <c r="S1789" s="110" t="s">
        <v>632</v>
      </c>
      <c r="T1789" s="110" t="s">
        <v>530</v>
      </c>
      <c r="U1789" s="110" t="s">
        <v>2913</v>
      </c>
      <c r="V1789" s="119" t="n">
        <v>3.8</v>
      </c>
      <c r="W1789" s="119"/>
      <c r="X1789" s="110" t="s">
        <v>2063</v>
      </c>
      <c r="Y1789" s="110" t="s">
        <v>2064</v>
      </c>
      <c r="Z1789" s="110" t="s">
        <v>4767</v>
      </c>
      <c r="AA1789" s="110" t="s">
        <v>537</v>
      </c>
      <c r="AB1789" s="110" t="s">
        <v>244</v>
      </c>
      <c r="AC1789" s="110" t="s">
        <v>538</v>
      </c>
      <c r="AD1789" s="110" t="n">
        <f aca="false">IF(OR(F1789="",Q1789="",R1789=""),"",ROUND(IF(P1789="incl.",F1789/(1+Q1789),F1789)/IF(S1789="per pack",R1789,1),2))</f>
        <v>3.8</v>
      </c>
      <c r="AE1789" s="110" t="str">
        <f aca="false">IF(AND(AC1789="yes",ISNUMBER(F1789),IF(Compare!$H$5="All mapped",TRUE(),IF(Compare!$H$5="EXACT only",J1789="EXACT",OR(J1789="EXACT",J1789="CLOSE")))),"yes","no")</f>
        <v>yes</v>
      </c>
      <c r="AF1789" s="110" t="n">
        <f aca="false">IF(ISNUMBER(H1789),COUNTIFS($B$7:$B$3000,B1789,$C$7:$C$3000,C1789,$H$7:$H$3000,"&lt;"&amp;H1789,$AH$7:$AH$3000,"yes")+COUNTIFS($B$7:B1789,B1789,$C$7:C1789,C1789,$H$7:H1789,H1789,$AH$7:AH1789,"yes"),"")</f>
        <v>1</v>
      </c>
      <c r="AG1789" s="110" t="n">
        <f aca="false">IF(ISNUMBER(I1789),COUNTIFS($B$7:$B$3000,B1789,$C$7:$C$3000,C1789,$I$7:$I$3000,"&lt;"&amp;I1789,$AI$7:$AI$3000,"yes")+COUNTIFS($B$7:B1789,B1789,$C$7:C1789,C1789,$I$7:I1789,I1789,$AI$7:AI1789,"yes"),"")</f>
        <v>1</v>
      </c>
      <c r="AH1789" s="110" t="str">
        <f aca="false">IF(ISNUMBER(H1789),"yes","no")</f>
        <v>yes</v>
      </c>
      <c r="AI1789" s="110" t="str">
        <f aca="false">IF(ISNUMBER(I1789),"yes","no")</f>
        <v>yes</v>
      </c>
      <c r="AJ1789" s="120" t="n">
        <v>46297</v>
      </c>
      <c r="AK1789" s="110"/>
    </row>
    <row r="1790" customFormat="false" ht="23.85" hidden="false" customHeight="false" outlineLevel="0" collapsed="false">
      <c r="B1790" s="36" t="s">
        <v>99</v>
      </c>
      <c r="C1790" s="98" t="s">
        <v>15</v>
      </c>
      <c r="D1790" s="98" t="s">
        <v>264</v>
      </c>
      <c r="E1790" s="110" t="s">
        <v>5550</v>
      </c>
      <c r="F1790" s="99" t="n">
        <v>15.76</v>
      </c>
      <c r="G1790" s="98" t="s">
        <v>244</v>
      </c>
      <c r="H1790" s="112" t="n">
        <f aca="false">IF(AND(AE1790="yes",ISNUMBER(AD1790)),AD1790,"")</f>
        <v>15.76</v>
      </c>
      <c r="I1790" s="95" t="n">
        <f aca="false">IF(AND(AE1790="yes",ISNUMBER(AD1790),ISNUMBER(INDEX(Sources!$G$7:$G$10,MATCH(AB1790,Sources!$B$7:$B$10,0)))),ROUND(AD1790/INDEX(Sources!$G$7:$G$10,MATCH(AB1790,Sources!$B$7:$B$10,0)),6),"")</f>
        <v>15.76</v>
      </c>
      <c r="J1790" s="98" t="s">
        <v>530</v>
      </c>
      <c r="K1790" s="98" t="s">
        <v>2059</v>
      </c>
      <c r="L1790" s="96"/>
      <c r="M1790" s="110" t="s">
        <v>5551</v>
      </c>
      <c r="N1790" s="117" t="s">
        <v>5552</v>
      </c>
      <c r="O1790" s="110" t="s">
        <v>388</v>
      </c>
      <c r="P1790" s="110" t="s">
        <v>590</v>
      </c>
      <c r="Q1790" s="118" t="n">
        <v>0.19</v>
      </c>
      <c r="R1790" s="110" t="n">
        <v>1</v>
      </c>
      <c r="S1790" s="110" t="s">
        <v>632</v>
      </c>
      <c r="T1790" s="110" t="s">
        <v>530</v>
      </c>
      <c r="U1790" s="110" t="s">
        <v>2913</v>
      </c>
      <c r="V1790" s="119" t="n">
        <v>15.76</v>
      </c>
      <c r="W1790" s="119"/>
      <c r="X1790" s="110" t="s">
        <v>2063</v>
      </c>
      <c r="Y1790" s="110" t="s">
        <v>2064</v>
      </c>
      <c r="Z1790" s="110"/>
      <c r="AA1790" s="110" t="s">
        <v>537</v>
      </c>
      <c r="AB1790" s="110" t="s">
        <v>244</v>
      </c>
      <c r="AC1790" s="110" t="s">
        <v>538</v>
      </c>
      <c r="AD1790" s="110" t="n">
        <f aca="false">IF(OR(F1790="",Q1790="",R1790=""),"",ROUND(IF(P1790="incl.",F1790/(1+Q1790),F1790)/IF(S1790="per pack",R1790,1),2))</f>
        <v>15.76</v>
      </c>
      <c r="AE1790" s="110" t="str">
        <f aca="false">IF(AND(AC1790="yes",ISNUMBER(F1790),IF(Compare!$H$5="All mapped",TRUE(),IF(Compare!$H$5="EXACT only",J1790="EXACT",OR(J1790="EXACT",J1790="CLOSE")))),"yes","no")</f>
        <v>yes</v>
      </c>
      <c r="AF1790" s="110" t="n">
        <f aca="false">IF(ISNUMBER(H1790),COUNTIFS($B$7:$B$3000,B1790,$C$7:$C$3000,C1790,$H$7:$H$3000,"&lt;"&amp;H1790,$AH$7:$AH$3000,"yes")+COUNTIFS($B$7:B1790,B1790,$C$7:C1790,C1790,$H$7:H1790,H1790,$AH$7:AH1790,"yes"),"")</f>
        <v>5</v>
      </c>
      <c r="AG1790" s="110" t="n">
        <f aca="false">IF(ISNUMBER(I1790),COUNTIFS($B$7:$B$3000,B1790,$C$7:$C$3000,C1790,$I$7:$I$3000,"&lt;"&amp;I1790,$AI$7:$AI$3000,"yes")+COUNTIFS($B$7:B1790,B1790,$C$7:C1790,C1790,$I$7:I1790,I1790,$AI$7:AI1790,"yes"),"")</f>
        <v>5</v>
      </c>
      <c r="AH1790" s="110" t="str">
        <f aca="false">IF(ISNUMBER(H1790),"yes","no")</f>
        <v>yes</v>
      </c>
      <c r="AI1790" s="110" t="str">
        <f aca="false">IF(ISNUMBER(I1790),"yes","no")</f>
        <v>yes</v>
      </c>
      <c r="AJ1790" s="120" t="n">
        <v>46297</v>
      </c>
      <c r="AK1790" s="110"/>
    </row>
    <row r="1791" customFormat="false" ht="35.05" hidden="false" customHeight="false" outlineLevel="0" collapsed="false">
      <c r="B1791" s="36" t="s">
        <v>99</v>
      </c>
      <c r="C1791" s="98" t="s">
        <v>15</v>
      </c>
      <c r="D1791" s="98" t="s">
        <v>281</v>
      </c>
      <c r="E1791" s="110" t="s">
        <v>5553</v>
      </c>
      <c r="F1791" s="99" t="n">
        <v>4.74</v>
      </c>
      <c r="G1791" s="98" t="s">
        <v>244</v>
      </c>
      <c r="H1791" s="112" t="n">
        <f aca="false">IF(AND(AE1791="yes",ISNUMBER(AD1791)),AD1791,"")</f>
        <v>4.74</v>
      </c>
      <c r="I1791" s="95" t="n">
        <f aca="false">IF(AND(AE1791="yes",ISNUMBER(AD1791),ISNUMBER(INDEX(Sources!$G$7:$G$10,MATCH(AB1791,Sources!$B$7:$B$10,0)))),ROUND(AD1791/INDEX(Sources!$G$7:$G$10,MATCH(AB1791,Sources!$B$7:$B$10,0)),6),"")</f>
        <v>4.74</v>
      </c>
      <c r="J1791" s="98" t="s">
        <v>530</v>
      </c>
      <c r="K1791" s="98" t="s">
        <v>2059</v>
      </c>
      <c r="L1791" s="96"/>
      <c r="M1791" s="110" t="s">
        <v>5554</v>
      </c>
      <c r="N1791" s="117" t="s">
        <v>5555</v>
      </c>
      <c r="O1791" s="110" t="s">
        <v>603</v>
      </c>
      <c r="P1791" s="110" t="s">
        <v>590</v>
      </c>
      <c r="Q1791" s="118" t="n">
        <v>0.2</v>
      </c>
      <c r="R1791" s="110" t="n">
        <v>1</v>
      </c>
      <c r="S1791" s="110" t="s">
        <v>632</v>
      </c>
      <c r="T1791" s="110" t="s">
        <v>530</v>
      </c>
      <c r="U1791" s="110" t="s">
        <v>2913</v>
      </c>
      <c r="V1791" s="119" t="n">
        <v>4.74</v>
      </c>
      <c r="W1791" s="119"/>
      <c r="X1791" s="110" t="s">
        <v>2063</v>
      </c>
      <c r="Y1791" s="110" t="s">
        <v>2064</v>
      </c>
      <c r="Z1791" s="110" t="s">
        <v>2125</v>
      </c>
      <c r="AA1791" s="110" t="s">
        <v>537</v>
      </c>
      <c r="AB1791" s="110" t="s">
        <v>244</v>
      </c>
      <c r="AC1791" s="110" t="s">
        <v>538</v>
      </c>
      <c r="AD1791" s="110" t="n">
        <f aca="false">IF(OR(F1791="",Q1791="",R1791=""),"",ROUND(IF(P1791="incl.",F1791/(1+Q1791),F1791)/IF(S1791="per pack",R1791,1),2))</f>
        <v>4.74</v>
      </c>
      <c r="AE1791" s="110" t="str">
        <f aca="false">IF(AND(AC1791="yes",ISNUMBER(F1791),IF(Compare!$H$5="All mapped",TRUE(),IF(Compare!$H$5="EXACT only",J1791="EXACT",OR(J1791="EXACT",J1791="CLOSE")))),"yes","no")</f>
        <v>yes</v>
      </c>
      <c r="AF1791" s="110" t="n">
        <f aca="false">IF(ISNUMBER(H1791),COUNTIFS($B$7:$B$3000,B1791,$C$7:$C$3000,C1791,$H$7:$H$3000,"&lt;"&amp;H1791,$AH$7:$AH$3000,"yes")+COUNTIFS($B$7:B1791,B1791,$C$7:C1791,C1791,$H$7:H1791,H1791,$AH$7:AH1791,"yes"),"")</f>
        <v>3</v>
      </c>
      <c r="AG1791" s="110" t="n">
        <f aca="false">IF(ISNUMBER(I1791),COUNTIFS($B$7:$B$3000,B1791,$C$7:$C$3000,C1791,$I$7:$I$3000,"&lt;"&amp;I1791,$AI$7:$AI$3000,"yes")+COUNTIFS($B$7:B1791,B1791,$C$7:C1791,C1791,$I$7:I1791,I1791,$AI$7:AI1791,"yes"),"")</f>
        <v>3</v>
      </c>
      <c r="AH1791" s="110" t="str">
        <f aca="false">IF(ISNUMBER(H1791),"yes","no")</f>
        <v>yes</v>
      </c>
      <c r="AI1791" s="110" t="str">
        <f aca="false">IF(ISNUMBER(I1791),"yes","no")</f>
        <v>yes</v>
      </c>
      <c r="AJ1791" s="120" t="n">
        <v>46297</v>
      </c>
      <c r="AK1791" s="110"/>
    </row>
    <row r="1792" customFormat="false" ht="35.05" hidden="false" customHeight="false" outlineLevel="0" collapsed="false">
      <c r="B1792" s="36" t="s">
        <v>99</v>
      </c>
      <c r="C1792" s="98" t="s">
        <v>15</v>
      </c>
      <c r="D1792" s="98" t="s">
        <v>293</v>
      </c>
      <c r="E1792" s="110" t="s">
        <v>5556</v>
      </c>
      <c r="F1792" s="99" t="n">
        <v>4</v>
      </c>
      <c r="G1792" s="98" t="s">
        <v>244</v>
      </c>
      <c r="H1792" s="112" t="n">
        <f aca="false">IF(AND(AE1792="yes",ISNUMBER(AD1792)),AD1792,"")</f>
        <v>4</v>
      </c>
      <c r="I1792" s="95" t="n">
        <f aca="false">IF(AND(AE1792="yes",ISNUMBER(AD1792),ISNUMBER(INDEX(Sources!$G$7:$G$10,MATCH(AB1792,Sources!$B$7:$B$10,0)))),ROUND(AD1792/INDEX(Sources!$G$7:$G$10,MATCH(AB1792,Sources!$B$7:$B$10,0)),6),"")</f>
        <v>4</v>
      </c>
      <c r="J1792" s="98" t="s">
        <v>530</v>
      </c>
      <c r="K1792" s="98" t="s">
        <v>2059</v>
      </c>
      <c r="L1792" s="96"/>
      <c r="M1792" s="110" t="s">
        <v>5557</v>
      </c>
      <c r="N1792" s="117" t="s">
        <v>5558</v>
      </c>
      <c r="O1792" s="110" t="s">
        <v>4358</v>
      </c>
      <c r="P1792" s="110" t="s">
        <v>590</v>
      </c>
      <c r="Q1792" s="118" t="n">
        <v>0.2</v>
      </c>
      <c r="R1792" s="110" t="n">
        <v>1</v>
      </c>
      <c r="S1792" s="110" t="s">
        <v>632</v>
      </c>
      <c r="T1792" s="110" t="s">
        <v>530</v>
      </c>
      <c r="U1792" s="110" t="s">
        <v>2913</v>
      </c>
      <c r="V1792" s="119" t="n">
        <v>4</v>
      </c>
      <c r="W1792" s="119"/>
      <c r="X1792" s="110" t="s">
        <v>2063</v>
      </c>
      <c r="Y1792" s="110" t="s">
        <v>2064</v>
      </c>
      <c r="Z1792" s="110"/>
      <c r="AA1792" s="110" t="s">
        <v>537</v>
      </c>
      <c r="AB1792" s="110" t="s">
        <v>244</v>
      </c>
      <c r="AC1792" s="110" t="s">
        <v>538</v>
      </c>
      <c r="AD1792" s="110" t="n">
        <f aca="false">IF(OR(F1792="",Q1792="",R1792=""),"",ROUND(IF(P1792="incl.",F1792/(1+Q1792),F1792)/IF(S1792="per pack",R1792,1),2))</f>
        <v>4</v>
      </c>
      <c r="AE1792" s="110" t="str">
        <f aca="false">IF(AND(AC1792="yes",ISNUMBER(F1792),IF(Compare!$H$5="All mapped",TRUE(),IF(Compare!$H$5="EXACT only",J1792="EXACT",OR(J1792="EXACT",J1792="CLOSE")))),"yes","no")</f>
        <v>yes</v>
      </c>
      <c r="AF1792" s="110" t="n">
        <f aca="false">IF(ISNUMBER(H1792),COUNTIFS($B$7:$B$3000,B1792,$C$7:$C$3000,C1792,$H$7:$H$3000,"&lt;"&amp;H1792,$AH$7:$AH$3000,"yes")+COUNTIFS($B$7:B1792,B1792,$C$7:C1792,C1792,$H$7:H1792,H1792,$AH$7:AH1792,"yes"),"")</f>
        <v>2</v>
      </c>
      <c r="AG1792" s="110" t="n">
        <f aca="false">IF(ISNUMBER(I1792),COUNTIFS($B$7:$B$3000,B1792,$C$7:$C$3000,C1792,$I$7:$I$3000,"&lt;"&amp;I1792,$AI$7:$AI$3000,"yes")+COUNTIFS($B$7:B1792,B1792,$C$7:C1792,C1792,$I$7:I1792,I1792,$AI$7:AI1792,"yes"),"")</f>
        <v>2</v>
      </c>
      <c r="AH1792" s="110" t="str">
        <f aca="false">IF(ISNUMBER(H1792),"yes","no")</f>
        <v>yes</v>
      </c>
      <c r="AI1792" s="110" t="str">
        <f aca="false">IF(ISNUMBER(I1792),"yes","no")</f>
        <v>yes</v>
      </c>
      <c r="AJ1792" s="120" t="n">
        <v>46297</v>
      </c>
      <c r="AK1792" s="110"/>
    </row>
    <row r="1793" customFormat="false" ht="23.85" hidden="false" customHeight="false" outlineLevel="0" collapsed="false">
      <c r="B1793" s="36" t="s">
        <v>99</v>
      </c>
      <c r="C1793" s="98" t="s">
        <v>16</v>
      </c>
      <c r="D1793" s="98" t="s">
        <v>305</v>
      </c>
      <c r="E1793" s="110" t="s">
        <v>5559</v>
      </c>
      <c r="F1793" s="99" t="n">
        <v>4.12</v>
      </c>
      <c r="G1793" s="98" t="s">
        <v>244</v>
      </c>
      <c r="H1793" s="112" t="n">
        <f aca="false">IF(AND(AE1793="yes",ISNUMBER(AD1793)),AD1793,"")</f>
        <v>4.12</v>
      </c>
      <c r="I1793" s="95" t="n">
        <f aca="false">IF(AND(AE1793="yes",ISNUMBER(AD1793),ISNUMBER(INDEX(Sources!$G$7:$G$10,MATCH(AB1793,Sources!$B$7:$B$10,0)))),ROUND(AD1793/INDEX(Sources!$G$7:$G$10,MATCH(AB1793,Sources!$B$7:$B$10,0)),6),"")</f>
        <v>4.12</v>
      </c>
      <c r="J1793" s="98" t="s">
        <v>530</v>
      </c>
      <c r="K1793" s="98" t="s">
        <v>2059</v>
      </c>
      <c r="L1793" s="96"/>
      <c r="M1793" s="110" t="s">
        <v>5560</v>
      </c>
      <c r="N1793" s="117" t="s">
        <v>5561</v>
      </c>
      <c r="O1793" s="110" t="s">
        <v>603</v>
      </c>
      <c r="P1793" s="110" t="s">
        <v>590</v>
      </c>
      <c r="Q1793" s="118" t="n">
        <v>0.19</v>
      </c>
      <c r="R1793" s="110" t="n">
        <v>1</v>
      </c>
      <c r="S1793" s="110" t="s">
        <v>632</v>
      </c>
      <c r="T1793" s="110" t="s">
        <v>530</v>
      </c>
      <c r="U1793" s="110" t="s">
        <v>2913</v>
      </c>
      <c r="V1793" s="119" t="n">
        <v>4.12</v>
      </c>
      <c r="W1793" s="119"/>
      <c r="X1793" s="110" t="s">
        <v>2063</v>
      </c>
      <c r="Y1793" s="110" t="s">
        <v>2064</v>
      </c>
      <c r="Z1793" s="110" t="s">
        <v>2142</v>
      </c>
      <c r="AA1793" s="110" t="s">
        <v>537</v>
      </c>
      <c r="AB1793" s="110" t="s">
        <v>244</v>
      </c>
      <c r="AC1793" s="110" t="s">
        <v>538</v>
      </c>
      <c r="AD1793" s="110" t="n">
        <f aca="false">IF(OR(F1793="",Q1793="",R1793=""),"",ROUND(IF(P1793="incl.",F1793/(1+Q1793),F1793)/IF(S1793="per pack",R1793,1),2))</f>
        <v>4.12</v>
      </c>
      <c r="AE1793" s="110" t="str">
        <f aca="false">IF(AND(AC1793="yes",ISNUMBER(F1793),IF(Compare!$H$5="All mapped",TRUE(),IF(Compare!$H$5="EXACT only",J1793="EXACT",OR(J1793="EXACT",J1793="CLOSE")))),"yes","no")</f>
        <v>yes</v>
      </c>
      <c r="AF1793" s="110" t="n">
        <f aca="false">IF(ISNUMBER(H1793),COUNTIFS($B$7:$B$3000,B1793,$C$7:$C$3000,C1793,$H$7:$H$3000,"&lt;"&amp;H1793,$AH$7:$AH$3000,"yes")+COUNTIFS($B$7:B1793,B1793,$C$7:C1793,C1793,$H$7:H1793,H1793,$AH$7:AH1793,"yes"),"")</f>
        <v>1</v>
      </c>
      <c r="AG1793" s="110" t="n">
        <f aca="false">IF(ISNUMBER(I1793),COUNTIFS($B$7:$B$3000,B1793,$C$7:$C$3000,C1793,$I$7:$I$3000,"&lt;"&amp;I1793,$AI$7:$AI$3000,"yes")+COUNTIFS($B$7:B1793,B1793,$C$7:C1793,C1793,$I$7:I1793,I1793,$AI$7:AI1793,"yes"),"")</f>
        <v>1</v>
      </c>
      <c r="AH1793" s="110" t="str">
        <f aca="false">IF(ISNUMBER(H1793),"yes","no")</f>
        <v>yes</v>
      </c>
      <c r="AI1793" s="110" t="str">
        <f aca="false">IF(ISNUMBER(I1793),"yes","no")</f>
        <v>yes</v>
      </c>
      <c r="AJ1793" s="120" t="n">
        <v>46297</v>
      </c>
      <c r="AK1793" s="110"/>
    </row>
    <row r="1794" customFormat="false" ht="23.85" hidden="false" customHeight="false" outlineLevel="0" collapsed="false">
      <c r="B1794" s="36" t="s">
        <v>99</v>
      </c>
      <c r="C1794" s="98" t="s">
        <v>16</v>
      </c>
      <c r="D1794" s="98" t="s">
        <v>311</v>
      </c>
      <c r="E1794" s="110" t="s">
        <v>5562</v>
      </c>
      <c r="F1794" s="99" t="n">
        <v>6.19</v>
      </c>
      <c r="G1794" s="98" t="s">
        <v>244</v>
      </c>
      <c r="H1794" s="112" t="n">
        <f aca="false">IF(AND(AE1794="yes",ISNUMBER(AD1794)),AD1794,"")</f>
        <v>6.19</v>
      </c>
      <c r="I1794" s="95" t="n">
        <f aca="false">IF(AND(AE1794="yes",ISNUMBER(AD1794),ISNUMBER(INDEX(Sources!$G$7:$G$10,MATCH(AB1794,Sources!$B$7:$B$10,0)))),ROUND(AD1794/INDEX(Sources!$G$7:$G$10,MATCH(AB1794,Sources!$B$7:$B$10,0)),6),"")</f>
        <v>6.19</v>
      </c>
      <c r="J1794" s="98" t="s">
        <v>530</v>
      </c>
      <c r="K1794" s="98" t="s">
        <v>2059</v>
      </c>
      <c r="L1794" s="96"/>
      <c r="M1794" s="110" t="s">
        <v>5563</v>
      </c>
      <c r="N1794" s="117" t="s">
        <v>5564</v>
      </c>
      <c r="O1794" s="110" t="s">
        <v>662</v>
      </c>
      <c r="P1794" s="110" t="s">
        <v>590</v>
      </c>
      <c r="Q1794" s="118" t="n">
        <v>0.19</v>
      </c>
      <c r="R1794" s="110" t="n">
        <v>1</v>
      </c>
      <c r="S1794" s="110" t="s">
        <v>632</v>
      </c>
      <c r="T1794" s="110" t="s">
        <v>530</v>
      </c>
      <c r="U1794" s="110" t="s">
        <v>2913</v>
      </c>
      <c r="V1794" s="119" t="n">
        <v>6.19</v>
      </c>
      <c r="W1794" s="119"/>
      <c r="X1794" s="110" t="s">
        <v>2063</v>
      </c>
      <c r="Y1794" s="110" t="s">
        <v>2064</v>
      </c>
      <c r="Z1794" s="110" t="s">
        <v>4369</v>
      </c>
      <c r="AA1794" s="110" t="s">
        <v>537</v>
      </c>
      <c r="AB1794" s="110" t="s">
        <v>244</v>
      </c>
      <c r="AC1794" s="110" t="s">
        <v>538</v>
      </c>
      <c r="AD1794" s="110" t="n">
        <f aca="false">IF(OR(F1794="",Q1794="",R1794=""),"",ROUND(IF(P1794="incl.",F1794/(1+Q1794),F1794)/IF(S1794="per pack",R1794,1),2))</f>
        <v>6.19</v>
      </c>
      <c r="AE1794" s="110" t="str">
        <f aca="false">IF(AND(AC1794="yes",ISNUMBER(F1794),IF(Compare!$H$5="All mapped",TRUE(),IF(Compare!$H$5="EXACT only",J1794="EXACT",OR(J1794="EXACT",J1794="CLOSE")))),"yes","no")</f>
        <v>yes</v>
      </c>
      <c r="AF1794" s="110" t="n">
        <f aca="false">IF(ISNUMBER(H1794),COUNTIFS($B$7:$B$3000,B1794,$C$7:$C$3000,C1794,$H$7:$H$3000,"&lt;"&amp;H1794,$AH$7:$AH$3000,"yes")+COUNTIFS($B$7:B1794,B1794,$C$7:C1794,C1794,$H$7:H1794,H1794,$AH$7:AH1794,"yes"),"")</f>
        <v>2</v>
      </c>
      <c r="AG1794" s="110" t="n">
        <f aca="false">IF(ISNUMBER(I1794),COUNTIFS($B$7:$B$3000,B1794,$C$7:$C$3000,C1794,$I$7:$I$3000,"&lt;"&amp;I1794,$AI$7:$AI$3000,"yes")+COUNTIFS($B$7:B1794,B1794,$C$7:C1794,C1794,$I$7:I1794,I1794,$AI$7:AI1794,"yes"),"")</f>
        <v>2</v>
      </c>
      <c r="AH1794" s="110" t="str">
        <f aca="false">IF(ISNUMBER(H1794),"yes","no")</f>
        <v>yes</v>
      </c>
      <c r="AI1794" s="110" t="str">
        <f aca="false">IF(ISNUMBER(I1794),"yes","no")</f>
        <v>yes</v>
      </c>
      <c r="AJ1794" s="120" t="n">
        <v>46297</v>
      </c>
      <c r="AK1794" s="110"/>
    </row>
    <row r="1795" customFormat="false" ht="23.85" hidden="false" customHeight="false" outlineLevel="0" collapsed="false">
      <c r="B1795" s="36" t="s">
        <v>99</v>
      </c>
      <c r="C1795" s="98" t="s">
        <v>16</v>
      </c>
      <c r="D1795" s="98" t="s">
        <v>309</v>
      </c>
      <c r="E1795" s="110" t="s">
        <v>5565</v>
      </c>
      <c r="F1795" s="99" t="n">
        <v>12</v>
      </c>
      <c r="G1795" s="98" t="s">
        <v>244</v>
      </c>
      <c r="H1795" s="112" t="n">
        <f aca="false">IF(AND(AE1795="yes",ISNUMBER(AD1795)),AD1795,"")</f>
        <v>12</v>
      </c>
      <c r="I1795" s="95" t="n">
        <f aca="false">IF(AND(AE1795="yes",ISNUMBER(AD1795),ISNUMBER(INDEX(Sources!$G$7:$G$10,MATCH(AB1795,Sources!$B$7:$B$10,0)))),ROUND(AD1795/INDEX(Sources!$G$7:$G$10,MATCH(AB1795,Sources!$B$7:$B$10,0)),6),"")</f>
        <v>12</v>
      </c>
      <c r="J1795" s="98" t="s">
        <v>530</v>
      </c>
      <c r="K1795" s="98" t="s">
        <v>2059</v>
      </c>
      <c r="L1795" s="96"/>
      <c r="M1795" s="110" t="s">
        <v>5566</v>
      </c>
      <c r="N1795" s="117" t="s">
        <v>5567</v>
      </c>
      <c r="O1795" s="110" t="s">
        <v>603</v>
      </c>
      <c r="P1795" s="110" t="s">
        <v>590</v>
      </c>
      <c r="Q1795" s="118" t="n">
        <v>0.19</v>
      </c>
      <c r="R1795" s="110" t="n">
        <v>1</v>
      </c>
      <c r="S1795" s="110" t="s">
        <v>632</v>
      </c>
      <c r="T1795" s="110" t="s">
        <v>530</v>
      </c>
      <c r="U1795" s="110" t="s">
        <v>2913</v>
      </c>
      <c r="V1795" s="119" t="n">
        <v>12</v>
      </c>
      <c r="W1795" s="119"/>
      <c r="X1795" s="110" t="s">
        <v>2063</v>
      </c>
      <c r="Y1795" s="110" t="s">
        <v>2064</v>
      </c>
      <c r="Z1795" s="110" t="s">
        <v>4373</v>
      </c>
      <c r="AA1795" s="110" t="s">
        <v>537</v>
      </c>
      <c r="AB1795" s="110" t="s">
        <v>244</v>
      </c>
      <c r="AC1795" s="110" t="s">
        <v>538</v>
      </c>
      <c r="AD1795" s="110" t="n">
        <f aca="false">IF(OR(F1795="",Q1795="",R1795=""),"",ROUND(IF(P1795="incl.",F1795/(1+Q1795),F1795)/IF(S1795="per pack",R1795,1),2))</f>
        <v>12</v>
      </c>
      <c r="AE1795" s="110" t="str">
        <f aca="false">IF(AND(AC1795="yes",ISNUMBER(F1795),IF(Compare!$H$5="All mapped",TRUE(),IF(Compare!$H$5="EXACT only",J1795="EXACT",OR(J1795="EXACT",J1795="CLOSE")))),"yes","no")</f>
        <v>yes</v>
      </c>
      <c r="AF1795" s="110" t="n">
        <f aca="false">IF(ISNUMBER(H1795),COUNTIFS($B$7:$B$3000,B1795,$C$7:$C$3000,C1795,$H$7:$H$3000,"&lt;"&amp;H1795,$AH$7:$AH$3000,"yes")+COUNTIFS($B$7:B1795,B1795,$C$7:C1795,C1795,$H$7:H1795,H1795,$AH$7:AH1795,"yes"),"")</f>
        <v>4</v>
      </c>
      <c r="AG1795" s="110" t="n">
        <f aca="false">IF(ISNUMBER(I1795),COUNTIFS($B$7:$B$3000,B1795,$C$7:$C$3000,C1795,$I$7:$I$3000,"&lt;"&amp;I1795,$AI$7:$AI$3000,"yes")+COUNTIFS($B$7:B1795,B1795,$C$7:C1795,C1795,$I$7:I1795,I1795,$AI$7:AI1795,"yes"),"")</f>
        <v>4</v>
      </c>
      <c r="AH1795" s="110" t="str">
        <f aca="false">IF(ISNUMBER(H1795),"yes","no")</f>
        <v>yes</v>
      </c>
      <c r="AI1795" s="110" t="str">
        <f aca="false">IF(ISNUMBER(I1795),"yes","no")</f>
        <v>yes</v>
      </c>
      <c r="AJ1795" s="120" t="n">
        <v>46297</v>
      </c>
      <c r="AK1795" s="110"/>
    </row>
    <row r="1796" customFormat="false" ht="35.05" hidden="false" customHeight="false" outlineLevel="0" collapsed="false">
      <c r="B1796" s="36" t="s">
        <v>99</v>
      </c>
      <c r="C1796" s="98" t="s">
        <v>16</v>
      </c>
      <c r="D1796" s="98" t="s">
        <v>321</v>
      </c>
      <c r="E1796" s="110" t="s">
        <v>5568</v>
      </c>
      <c r="F1796" s="99" t="n">
        <v>6.2</v>
      </c>
      <c r="G1796" s="98" t="s">
        <v>244</v>
      </c>
      <c r="H1796" s="112" t="n">
        <f aca="false">IF(AND(AE1796="yes",ISNUMBER(AD1796)),AD1796,"")</f>
        <v>6.2</v>
      </c>
      <c r="I1796" s="95" t="n">
        <f aca="false">IF(AND(AE1796="yes",ISNUMBER(AD1796),ISNUMBER(INDEX(Sources!$G$7:$G$10,MATCH(AB1796,Sources!$B$7:$B$10,0)))),ROUND(AD1796/INDEX(Sources!$G$7:$G$10,MATCH(AB1796,Sources!$B$7:$B$10,0)),6),"")</f>
        <v>6.2</v>
      </c>
      <c r="J1796" s="98" t="s">
        <v>530</v>
      </c>
      <c r="K1796" s="98" t="s">
        <v>2059</v>
      </c>
      <c r="L1796" s="96"/>
      <c r="M1796" s="110" t="s">
        <v>5569</v>
      </c>
      <c r="N1796" s="117" t="s">
        <v>5570</v>
      </c>
      <c r="O1796" s="110" t="s">
        <v>662</v>
      </c>
      <c r="P1796" s="110" t="s">
        <v>590</v>
      </c>
      <c r="Q1796" s="118" t="n">
        <v>0.19</v>
      </c>
      <c r="R1796" s="110" t="n">
        <v>1</v>
      </c>
      <c r="S1796" s="110" t="s">
        <v>632</v>
      </c>
      <c r="T1796" s="110" t="s">
        <v>530</v>
      </c>
      <c r="U1796" s="110" t="s">
        <v>2913</v>
      </c>
      <c r="V1796" s="119" t="n">
        <v>6.2</v>
      </c>
      <c r="W1796" s="119"/>
      <c r="X1796" s="110" t="s">
        <v>2063</v>
      </c>
      <c r="Y1796" s="110" t="s">
        <v>2064</v>
      </c>
      <c r="Z1796" s="110" t="s">
        <v>2857</v>
      </c>
      <c r="AA1796" s="110" t="s">
        <v>537</v>
      </c>
      <c r="AB1796" s="110" t="s">
        <v>244</v>
      </c>
      <c r="AC1796" s="110" t="s">
        <v>538</v>
      </c>
      <c r="AD1796" s="110" t="n">
        <f aca="false">IF(OR(F1796="",Q1796="",R1796=""),"",ROUND(IF(P1796="incl.",F1796/(1+Q1796),F1796)/IF(S1796="per pack",R1796,1),2))</f>
        <v>6.2</v>
      </c>
      <c r="AE1796" s="110" t="str">
        <f aca="false">IF(AND(AC1796="yes",ISNUMBER(F1796),IF(Compare!$H$5="All mapped",TRUE(),IF(Compare!$H$5="EXACT only",J1796="EXACT",OR(J1796="EXACT",J1796="CLOSE")))),"yes","no")</f>
        <v>yes</v>
      </c>
      <c r="AF1796" s="110" t="n">
        <f aca="false">IF(ISNUMBER(H1796),COUNTIFS($B$7:$B$3000,B1796,$C$7:$C$3000,C1796,$H$7:$H$3000,"&lt;"&amp;H1796,$AH$7:$AH$3000,"yes")+COUNTIFS($B$7:B1796,B1796,$C$7:C1796,C1796,$H$7:H1796,H1796,$AH$7:AH1796,"yes"),"")</f>
        <v>3</v>
      </c>
      <c r="AG1796" s="110" t="n">
        <f aca="false">IF(ISNUMBER(I1796),COUNTIFS($B$7:$B$3000,B1796,$C$7:$C$3000,C1796,$I$7:$I$3000,"&lt;"&amp;I1796,$AI$7:$AI$3000,"yes")+COUNTIFS($B$7:B1796,B1796,$C$7:C1796,C1796,$I$7:I1796,I1796,$AI$7:AI1796,"yes"),"")</f>
        <v>3</v>
      </c>
      <c r="AH1796" s="110" t="str">
        <f aca="false">IF(ISNUMBER(H1796),"yes","no")</f>
        <v>yes</v>
      </c>
      <c r="AI1796" s="110" t="str">
        <f aca="false">IF(ISNUMBER(I1796),"yes","no")</f>
        <v>yes</v>
      </c>
      <c r="AJ1796" s="120" t="n">
        <v>46297</v>
      </c>
      <c r="AK1796" s="110"/>
    </row>
    <row r="1797" customFormat="false" ht="35.05" hidden="false" customHeight="false" outlineLevel="0" collapsed="false">
      <c r="B1797" s="36" t="s">
        <v>99</v>
      </c>
      <c r="C1797" s="98" t="s">
        <v>17</v>
      </c>
      <c r="D1797" s="98" t="s">
        <v>338</v>
      </c>
      <c r="E1797" s="110" t="s">
        <v>5571</v>
      </c>
      <c r="F1797" s="99" t="n">
        <v>174</v>
      </c>
      <c r="G1797" s="98" t="s">
        <v>333</v>
      </c>
      <c r="H1797" s="112" t="n">
        <f aca="false">IF(AND(AE1797="yes",ISNUMBER(AD1797)),AD1797,"")</f>
        <v>143.8</v>
      </c>
      <c r="I1797" s="95" t="n">
        <f aca="false">IF(AND(AE1797="yes",ISNUMBER(AD1797),ISNUMBER(INDEX(Sources!$G$7:$G$10,MATCH(AB1797,Sources!$B$7:$B$10,0)))),ROUND(AD1797/INDEX(Sources!$G$7:$G$10,MATCH(AB1797,Sources!$B$7:$B$10,0)),6),"")</f>
        <v>5.887744</v>
      </c>
      <c r="J1797" s="98" t="s">
        <v>530</v>
      </c>
      <c r="K1797" s="98" t="s">
        <v>2059</v>
      </c>
      <c r="L1797" s="96"/>
      <c r="M1797" s="110" t="s">
        <v>5572</v>
      </c>
      <c r="N1797" s="117" t="s">
        <v>5573</v>
      </c>
      <c r="O1797" s="110" t="s">
        <v>388</v>
      </c>
      <c r="P1797" s="110" t="s">
        <v>265</v>
      </c>
      <c r="Q1797" s="118" t="n">
        <v>0.21</v>
      </c>
      <c r="R1797" s="110" t="n">
        <v>1</v>
      </c>
      <c r="S1797" s="110" t="s">
        <v>632</v>
      </c>
      <c r="T1797" s="110" t="s">
        <v>530</v>
      </c>
      <c r="U1797" s="110" t="s">
        <v>2918</v>
      </c>
      <c r="V1797" s="119" t="n">
        <v>143.8</v>
      </c>
      <c r="W1797" s="119"/>
      <c r="X1797" s="110" t="s">
        <v>2063</v>
      </c>
      <c r="Y1797" s="110" t="s">
        <v>2064</v>
      </c>
      <c r="Z1797" s="110" t="s">
        <v>4387</v>
      </c>
      <c r="AA1797" s="110" t="s">
        <v>537</v>
      </c>
      <c r="AB1797" s="110" t="s">
        <v>333</v>
      </c>
      <c r="AC1797" s="110" t="s">
        <v>538</v>
      </c>
      <c r="AD1797" s="110" t="n">
        <f aca="false">IF(OR(F1797="",Q1797="",R1797=""),"",ROUND(IF(P1797="incl.",F1797/(1+Q1797),F1797)/IF(S1797="per pack",R1797,1),2))</f>
        <v>143.8</v>
      </c>
      <c r="AE1797" s="110" t="str">
        <f aca="false">IF(AND(AC1797="yes",ISNUMBER(F1797),IF(Compare!$H$5="All mapped",TRUE(),IF(Compare!$H$5="EXACT only",J1797="EXACT",OR(J1797="EXACT",J1797="CLOSE")))),"yes","no")</f>
        <v>yes</v>
      </c>
      <c r="AF1797" s="110" t="n">
        <f aca="false">IF(ISNUMBER(H1797),COUNTIFS($B$7:$B$3000,B1797,$C$7:$C$3000,C1797,$H$7:$H$3000,"&lt;"&amp;H1797,$AH$7:$AH$3000,"yes")+COUNTIFS($B$7:B1797,B1797,$C$7:C1797,C1797,$H$7:H1797,H1797,$AH$7:AH1797,"yes"),"")</f>
        <v>3</v>
      </c>
      <c r="AG1797" s="110" t="n">
        <f aca="false">IF(ISNUMBER(I1797),COUNTIFS($B$7:$B$3000,B1797,$C$7:$C$3000,C1797,$I$7:$I$3000,"&lt;"&amp;I1797,$AI$7:$AI$3000,"yes")+COUNTIFS($B$7:B1797,B1797,$C$7:C1797,C1797,$I$7:I1797,I1797,$AI$7:AI1797,"yes"),"")</f>
        <v>3</v>
      </c>
      <c r="AH1797" s="110" t="str">
        <f aca="false">IF(ISNUMBER(H1797),"yes","no")</f>
        <v>yes</v>
      </c>
      <c r="AI1797" s="110" t="str">
        <f aca="false">IF(ISNUMBER(I1797),"yes","no")</f>
        <v>yes</v>
      </c>
      <c r="AJ1797" s="120" t="n">
        <v>46297</v>
      </c>
      <c r="AK1797" s="110"/>
    </row>
    <row r="1798" customFormat="false" ht="35.05" hidden="false" customHeight="false" outlineLevel="0" collapsed="false">
      <c r="B1798" s="36" t="s">
        <v>99</v>
      </c>
      <c r="C1798" s="98" t="s">
        <v>17</v>
      </c>
      <c r="D1798" s="98" t="s">
        <v>342</v>
      </c>
      <c r="E1798" s="110" t="s">
        <v>5574</v>
      </c>
      <c r="F1798" s="99" t="n">
        <v>179</v>
      </c>
      <c r="G1798" s="98" t="s">
        <v>333</v>
      </c>
      <c r="H1798" s="112" t="n">
        <f aca="false">IF(AND(AE1798="yes",ISNUMBER(AD1798)),AD1798,"")</f>
        <v>179</v>
      </c>
      <c r="I1798" s="95" t="n">
        <f aca="false">IF(AND(AE1798="yes",ISNUMBER(AD1798),ISNUMBER(INDEX(Sources!$G$7:$G$10,MATCH(AB1798,Sources!$B$7:$B$10,0)))),ROUND(AD1798/INDEX(Sources!$G$7:$G$10,MATCH(AB1798,Sources!$B$7:$B$10,0)),6),"")</f>
        <v>7.328972</v>
      </c>
      <c r="J1798" s="98" t="s">
        <v>530</v>
      </c>
      <c r="K1798" s="98" t="s">
        <v>2059</v>
      </c>
      <c r="L1798" s="96"/>
      <c r="M1798" s="110" t="s">
        <v>5575</v>
      </c>
      <c r="N1798" s="117" t="s">
        <v>5576</v>
      </c>
      <c r="O1798" s="110" t="s">
        <v>388</v>
      </c>
      <c r="P1798" s="110" t="s">
        <v>590</v>
      </c>
      <c r="Q1798" s="118" t="n">
        <v>0.21</v>
      </c>
      <c r="R1798" s="110" t="n">
        <v>1</v>
      </c>
      <c r="S1798" s="110" t="s">
        <v>632</v>
      </c>
      <c r="T1798" s="110" t="s">
        <v>530</v>
      </c>
      <c r="U1798" s="110" t="s">
        <v>2913</v>
      </c>
      <c r="V1798" s="119" t="n">
        <v>179</v>
      </c>
      <c r="W1798" s="119"/>
      <c r="X1798" s="110" t="s">
        <v>2063</v>
      </c>
      <c r="Y1798" s="110" t="s">
        <v>2064</v>
      </c>
      <c r="Z1798" s="110" t="s">
        <v>4391</v>
      </c>
      <c r="AA1798" s="110" t="s">
        <v>537</v>
      </c>
      <c r="AB1798" s="110" t="s">
        <v>333</v>
      </c>
      <c r="AC1798" s="110" t="s">
        <v>538</v>
      </c>
      <c r="AD1798" s="110" t="n">
        <f aca="false">IF(OR(F1798="",Q1798="",R1798=""),"",ROUND(IF(P1798="incl.",F1798/(1+Q1798),F1798)/IF(S1798="per pack",R1798,1),2))</f>
        <v>179</v>
      </c>
      <c r="AE1798" s="110" t="str">
        <f aca="false">IF(AND(AC1798="yes",ISNUMBER(F1798),IF(Compare!$H$5="All mapped",TRUE(),IF(Compare!$H$5="EXACT only",J1798="EXACT",OR(J1798="EXACT",J1798="CLOSE")))),"yes","no")</f>
        <v>yes</v>
      </c>
      <c r="AF1798" s="110" t="n">
        <f aca="false">IF(ISNUMBER(H1798),COUNTIFS($B$7:$B$3000,B1798,$C$7:$C$3000,C1798,$H$7:$H$3000,"&lt;"&amp;H1798,$AH$7:$AH$3000,"yes")+COUNTIFS($B$7:B1798,B1798,$C$7:C1798,C1798,$H$7:H1798,H1798,$AH$7:AH1798,"yes"),"")</f>
        <v>4</v>
      </c>
      <c r="AG1798" s="110" t="n">
        <f aca="false">IF(ISNUMBER(I1798),COUNTIFS($B$7:$B$3000,B1798,$C$7:$C$3000,C1798,$I$7:$I$3000,"&lt;"&amp;I1798,$AI$7:$AI$3000,"yes")+COUNTIFS($B$7:B1798,B1798,$C$7:C1798,C1798,$I$7:I1798,I1798,$AI$7:AI1798,"yes"),"")</f>
        <v>4</v>
      </c>
      <c r="AH1798" s="110" t="str">
        <f aca="false">IF(ISNUMBER(H1798),"yes","no")</f>
        <v>yes</v>
      </c>
      <c r="AI1798" s="110" t="str">
        <f aca="false">IF(ISNUMBER(I1798),"yes","no")</f>
        <v>yes</v>
      </c>
      <c r="AJ1798" s="120" t="n">
        <v>46297</v>
      </c>
      <c r="AK1798" s="110"/>
    </row>
    <row r="1799" customFormat="false" ht="35.05" hidden="false" customHeight="false" outlineLevel="0" collapsed="false">
      <c r="B1799" s="36" t="s">
        <v>99</v>
      </c>
      <c r="C1799" s="98" t="s">
        <v>17</v>
      </c>
      <c r="D1799" s="98" t="s">
        <v>346</v>
      </c>
      <c r="E1799" s="110" t="s">
        <v>5577</v>
      </c>
      <c r="F1799" s="99" t="n">
        <v>220</v>
      </c>
      <c r="G1799" s="98" t="s">
        <v>333</v>
      </c>
      <c r="H1799" s="112" t="n">
        <f aca="false">IF(AND(AE1799="yes",ISNUMBER(AD1799)),AD1799,"")</f>
        <v>220</v>
      </c>
      <c r="I1799" s="95" t="n">
        <f aca="false">IF(AND(AE1799="yes",ISNUMBER(AD1799),ISNUMBER(INDEX(Sources!$G$7:$G$10,MATCH(AB1799,Sources!$B$7:$B$10,0)))),ROUND(AD1799/INDEX(Sources!$G$7:$G$10,MATCH(AB1799,Sources!$B$7:$B$10,0)),6),"")</f>
        <v>9.007675</v>
      </c>
      <c r="J1799" s="98" t="s">
        <v>530</v>
      </c>
      <c r="K1799" s="98" t="s">
        <v>2059</v>
      </c>
      <c r="L1799" s="96"/>
      <c r="M1799" s="110" t="s">
        <v>5578</v>
      </c>
      <c r="N1799" s="117" t="s">
        <v>5579</v>
      </c>
      <c r="O1799" s="110" t="s">
        <v>662</v>
      </c>
      <c r="P1799" s="110" t="s">
        <v>590</v>
      </c>
      <c r="Q1799" s="118" t="n">
        <v>0.21</v>
      </c>
      <c r="R1799" s="110" t="n">
        <v>1</v>
      </c>
      <c r="S1799" s="110" t="s">
        <v>632</v>
      </c>
      <c r="T1799" s="110" t="s">
        <v>530</v>
      </c>
      <c r="U1799" s="110" t="s">
        <v>2913</v>
      </c>
      <c r="V1799" s="119" t="n">
        <v>220</v>
      </c>
      <c r="W1799" s="119"/>
      <c r="X1799" s="110" t="s">
        <v>2063</v>
      </c>
      <c r="Y1799" s="110" t="s">
        <v>2064</v>
      </c>
      <c r="Z1799" s="110" t="s">
        <v>4395</v>
      </c>
      <c r="AA1799" s="110" t="s">
        <v>537</v>
      </c>
      <c r="AB1799" s="110" t="s">
        <v>333</v>
      </c>
      <c r="AC1799" s="110" t="s">
        <v>538</v>
      </c>
      <c r="AD1799" s="110" t="n">
        <f aca="false">IF(OR(F1799="",Q1799="",R1799=""),"",ROUND(IF(P1799="incl.",F1799/(1+Q1799),F1799)/IF(S1799="per pack",R1799,1),2))</f>
        <v>220</v>
      </c>
      <c r="AE1799" s="110" t="str">
        <f aca="false">IF(AND(AC1799="yes",ISNUMBER(F1799),IF(Compare!$H$5="All mapped",TRUE(),IF(Compare!$H$5="EXACT only",J1799="EXACT",OR(J1799="EXACT",J1799="CLOSE")))),"yes","no")</f>
        <v>yes</v>
      </c>
      <c r="AF1799" s="110" t="n">
        <f aca="false">IF(ISNUMBER(H1799),COUNTIFS($B$7:$B$3000,B1799,$C$7:$C$3000,C1799,$H$7:$H$3000,"&lt;"&amp;H1799,$AH$7:$AH$3000,"yes")+COUNTIFS($B$7:B1799,B1799,$C$7:C1799,C1799,$H$7:H1799,H1799,$AH$7:AH1799,"yes"),"")</f>
        <v>5</v>
      </c>
      <c r="AG1799" s="110" t="n">
        <f aca="false">IF(ISNUMBER(I1799),COUNTIFS($B$7:$B$3000,B1799,$C$7:$C$3000,C1799,$I$7:$I$3000,"&lt;"&amp;I1799,$AI$7:$AI$3000,"yes")+COUNTIFS($B$7:B1799,B1799,$C$7:C1799,C1799,$I$7:I1799,I1799,$AI$7:AI1799,"yes"),"")</f>
        <v>5</v>
      </c>
      <c r="AH1799" s="110" t="str">
        <f aca="false">IF(ISNUMBER(H1799),"yes","no")</f>
        <v>yes</v>
      </c>
      <c r="AI1799" s="110" t="str">
        <f aca="false">IF(ISNUMBER(I1799),"yes","no")</f>
        <v>yes</v>
      </c>
      <c r="AJ1799" s="120" t="n">
        <v>46297</v>
      </c>
      <c r="AK1799" s="110"/>
    </row>
    <row r="1800" customFormat="false" ht="23.85" hidden="false" customHeight="false" outlineLevel="0" collapsed="false">
      <c r="B1800" s="36" t="s">
        <v>99</v>
      </c>
      <c r="C1800" s="98" t="s">
        <v>17</v>
      </c>
      <c r="D1800" s="98" t="s">
        <v>350</v>
      </c>
      <c r="E1800" s="110" t="s">
        <v>5580</v>
      </c>
      <c r="F1800" s="99" t="n">
        <v>117</v>
      </c>
      <c r="G1800" s="98" t="s">
        <v>333</v>
      </c>
      <c r="H1800" s="112" t="n">
        <f aca="false">IF(AND(AE1800="yes",ISNUMBER(AD1800)),AD1800,"")</f>
        <v>96.69</v>
      </c>
      <c r="I1800" s="95" t="n">
        <f aca="false">IF(AND(AE1800="yes",ISNUMBER(AD1800),ISNUMBER(INDEX(Sources!$G$7:$G$10,MATCH(AB1800,Sources!$B$7:$B$10,0)))),ROUND(AD1800/INDEX(Sources!$G$7:$G$10,MATCH(AB1800,Sources!$B$7:$B$10,0)),6),"")</f>
        <v>3.958873</v>
      </c>
      <c r="J1800" s="98" t="s">
        <v>530</v>
      </c>
      <c r="K1800" s="98" t="s">
        <v>2059</v>
      </c>
      <c r="L1800" s="96"/>
      <c r="M1800" s="110" t="s">
        <v>5581</v>
      </c>
      <c r="N1800" s="117" t="s">
        <v>5582</v>
      </c>
      <c r="O1800" s="110" t="s">
        <v>2452</v>
      </c>
      <c r="P1800" s="110" t="s">
        <v>265</v>
      </c>
      <c r="Q1800" s="118" t="n">
        <v>0.21</v>
      </c>
      <c r="R1800" s="110" t="n">
        <v>1</v>
      </c>
      <c r="S1800" s="110" t="s">
        <v>632</v>
      </c>
      <c r="T1800" s="110" t="s">
        <v>530</v>
      </c>
      <c r="U1800" s="110" t="s">
        <v>2918</v>
      </c>
      <c r="V1800" s="119" t="n">
        <v>96.69</v>
      </c>
      <c r="W1800" s="119"/>
      <c r="X1800" s="110" t="s">
        <v>2063</v>
      </c>
      <c r="Y1800" s="110" t="s">
        <v>2064</v>
      </c>
      <c r="Z1800" s="110" t="s">
        <v>2349</v>
      </c>
      <c r="AA1800" s="110" t="s">
        <v>537</v>
      </c>
      <c r="AB1800" s="110" t="s">
        <v>333</v>
      </c>
      <c r="AC1800" s="110" t="s">
        <v>538</v>
      </c>
      <c r="AD1800" s="110" t="n">
        <f aca="false">IF(OR(F1800="",Q1800="",R1800=""),"",ROUND(IF(P1800="incl.",F1800/(1+Q1800),F1800)/IF(S1800="per pack",R1800,1),2))</f>
        <v>96.69</v>
      </c>
      <c r="AE1800" s="110" t="str">
        <f aca="false">IF(AND(AC1800="yes",ISNUMBER(F1800),IF(Compare!$H$5="All mapped",TRUE(),IF(Compare!$H$5="EXACT only",J1800="EXACT",OR(J1800="EXACT",J1800="CLOSE")))),"yes","no")</f>
        <v>yes</v>
      </c>
      <c r="AF1800" s="110" t="n">
        <f aca="false">IF(ISNUMBER(H1800),COUNTIFS($B$7:$B$3000,B1800,$C$7:$C$3000,C1800,$H$7:$H$3000,"&lt;"&amp;H1800,$AH$7:$AH$3000,"yes")+COUNTIFS($B$7:B1800,B1800,$C$7:C1800,C1800,$H$7:H1800,H1800,$AH$7:AH1800,"yes"),"")</f>
        <v>1</v>
      </c>
      <c r="AG1800" s="110" t="n">
        <f aca="false">IF(ISNUMBER(I1800),COUNTIFS($B$7:$B$3000,B1800,$C$7:$C$3000,C1800,$I$7:$I$3000,"&lt;"&amp;I1800,$AI$7:$AI$3000,"yes")+COUNTIFS($B$7:B1800,B1800,$C$7:C1800,C1800,$I$7:I1800,I1800,$AI$7:AI1800,"yes"),"")</f>
        <v>1</v>
      </c>
      <c r="AH1800" s="110" t="str">
        <f aca="false">IF(ISNUMBER(H1800),"yes","no")</f>
        <v>yes</v>
      </c>
      <c r="AI1800" s="110" t="str">
        <f aca="false">IF(ISNUMBER(I1800),"yes","no")</f>
        <v>yes</v>
      </c>
      <c r="AJ1800" s="120" t="n">
        <v>46297</v>
      </c>
      <c r="AK1800" s="110"/>
    </row>
    <row r="1801" customFormat="false" ht="35.05" hidden="false" customHeight="false" outlineLevel="0" collapsed="false">
      <c r="B1801" s="36" t="s">
        <v>99</v>
      </c>
      <c r="C1801" s="98" t="s">
        <v>17</v>
      </c>
      <c r="D1801" s="98" t="s">
        <v>357</v>
      </c>
      <c r="E1801" s="110" t="s">
        <v>5583</v>
      </c>
      <c r="F1801" s="99" t="n">
        <v>119.2</v>
      </c>
      <c r="G1801" s="98" t="s">
        <v>333</v>
      </c>
      <c r="H1801" s="112" t="n">
        <f aca="false">IF(AND(AE1801="yes",ISNUMBER(AD1801)),AD1801,"")</f>
        <v>98.51</v>
      </c>
      <c r="I1801" s="95" t="n">
        <f aca="false">IF(AND(AE1801="yes",ISNUMBER(AD1801),ISNUMBER(INDEX(Sources!$G$7:$G$10,MATCH(AB1801,Sources!$B$7:$B$10,0)))),ROUND(AD1801/INDEX(Sources!$G$7:$G$10,MATCH(AB1801,Sources!$B$7:$B$10,0)),6),"")</f>
        <v>4.033391</v>
      </c>
      <c r="J1801" s="98" t="s">
        <v>530</v>
      </c>
      <c r="K1801" s="98" t="s">
        <v>2059</v>
      </c>
      <c r="L1801" s="96"/>
      <c r="M1801" s="110" t="s">
        <v>5584</v>
      </c>
      <c r="N1801" s="117" t="s">
        <v>5585</v>
      </c>
      <c r="O1801" s="110" t="s">
        <v>388</v>
      </c>
      <c r="P1801" s="110" t="s">
        <v>265</v>
      </c>
      <c r="Q1801" s="118" t="n">
        <v>0.21</v>
      </c>
      <c r="R1801" s="110" t="n">
        <v>1</v>
      </c>
      <c r="S1801" s="110" t="s">
        <v>632</v>
      </c>
      <c r="T1801" s="110" t="s">
        <v>530</v>
      </c>
      <c r="U1801" s="110" t="s">
        <v>2918</v>
      </c>
      <c r="V1801" s="119" t="n">
        <v>98.51</v>
      </c>
      <c r="W1801" s="119"/>
      <c r="X1801" s="110" t="s">
        <v>2063</v>
      </c>
      <c r="Y1801" s="110" t="s">
        <v>2064</v>
      </c>
      <c r="Z1801" s="110"/>
      <c r="AA1801" s="110" t="s">
        <v>537</v>
      </c>
      <c r="AB1801" s="110" t="s">
        <v>333</v>
      </c>
      <c r="AC1801" s="110" t="s">
        <v>538</v>
      </c>
      <c r="AD1801" s="110" t="n">
        <f aca="false">IF(OR(F1801="",Q1801="",R1801=""),"",ROUND(IF(P1801="incl.",F1801/(1+Q1801),F1801)/IF(S1801="per pack",R1801,1),2))</f>
        <v>98.51</v>
      </c>
      <c r="AE1801" s="110" t="str">
        <f aca="false">IF(AND(AC1801="yes",ISNUMBER(F1801),IF(Compare!$H$5="All mapped",TRUE(),IF(Compare!$H$5="EXACT only",J1801="EXACT",OR(J1801="EXACT",J1801="CLOSE")))),"yes","no")</f>
        <v>yes</v>
      </c>
      <c r="AF1801" s="110" t="n">
        <f aca="false">IF(ISNUMBER(H1801),COUNTIFS($B$7:$B$3000,B1801,$C$7:$C$3000,C1801,$H$7:$H$3000,"&lt;"&amp;H1801,$AH$7:$AH$3000,"yes")+COUNTIFS($B$7:B1801,B1801,$C$7:C1801,C1801,$H$7:H1801,H1801,$AH$7:AH1801,"yes"),"")</f>
        <v>2</v>
      </c>
      <c r="AG1801" s="110" t="n">
        <f aca="false">IF(ISNUMBER(I1801),COUNTIFS($B$7:$B$3000,B1801,$C$7:$C$3000,C1801,$I$7:$I$3000,"&lt;"&amp;I1801,$AI$7:$AI$3000,"yes")+COUNTIFS($B$7:B1801,B1801,$C$7:C1801,C1801,$I$7:I1801,I1801,$AI$7:AI1801,"yes"),"")</f>
        <v>2</v>
      </c>
      <c r="AH1801" s="110" t="str">
        <f aca="false">IF(ISNUMBER(H1801),"yes","no")</f>
        <v>yes</v>
      </c>
      <c r="AI1801" s="110" t="str">
        <f aca="false">IF(ISNUMBER(I1801),"yes","no")</f>
        <v>yes</v>
      </c>
      <c r="AJ1801" s="120" t="n">
        <v>46297</v>
      </c>
      <c r="AK1801" s="110"/>
    </row>
    <row r="1802" customFormat="false" ht="23.85" hidden="false" customHeight="false" outlineLevel="0" collapsed="false">
      <c r="B1802" s="36" t="s">
        <v>99</v>
      </c>
      <c r="C1802" s="98" t="s">
        <v>18</v>
      </c>
      <c r="D1802" s="98" t="s">
        <v>3002</v>
      </c>
      <c r="E1802" s="110" t="s">
        <v>5586</v>
      </c>
      <c r="F1802" s="99" t="n">
        <v>4.9</v>
      </c>
      <c r="G1802" s="98" t="s">
        <v>244</v>
      </c>
      <c r="H1802" s="112" t="n">
        <f aca="false">IF(AND(AE1802="yes",ISNUMBER(AD1802)),AD1802,"")</f>
        <v>4.9</v>
      </c>
      <c r="I1802" s="95" t="n">
        <f aca="false">IF(AND(AE1802="yes",ISNUMBER(AD1802),ISNUMBER(INDEX(Sources!$G$7:$G$10,MATCH(AB1802,Sources!$B$7:$B$10,0)))),ROUND(AD1802/INDEX(Sources!$G$7:$G$10,MATCH(AB1802,Sources!$B$7:$B$10,0)),6),"")</f>
        <v>4.9</v>
      </c>
      <c r="J1802" s="98" t="s">
        <v>530</v>
      </c>
      <c r="K1802" s="98" t="s">
        <v>2059</v>
      </c>
      <c r="L1802" s="96"/>
      <c r="M1802" s="110" t="s">
        <v>5587</v>
      </c>
      <c r="N1802" s="117" t="s">
        <v>5588</v>
      </c>
      <c r="O1802" s="110" t="s">
        <v>2396</v>
      </c>
      <c r="P1802" s="110" t="s">
        <v>590</v>
      </c>
      <c r="Q1802" s="118" t="n">
        <v>0.23</v>
      </c>
      <c r="R1802" s="110" t="n">
        <v>1</v>
      </c>
      <c r="S1802" s="110" t="s">
        <v>632</v>
      </c>
      <c r="T1802" s="110" t="s">
        <v>530</v>
      </c>
      <c r="U1802" s="110" t="s">
        <v>2913</v>
      </c>
      <c r="V1802" s="119" t="n">
        <v>4.9</v>
      </c>
      <c r="W1802" s="119"/>
      <c r="X1802" s="110" t="s">
        <v>2063</v>
      </c>
      <c r="Y1802" s="110" t="s">
        <v>2064</v>
      </c>
      <c r="Z1802" s="110" t="s">
        <v>3346</v>
      </c>
      <c r="AA1802" s="110" t="s">
        <v>537</v>
      </c>
      <c r="AB1802" s="110" t="s">
        <v>244</v>
      </c>
      <c r="AC1802" s="110" t="s">
        <v>538</v>
      </c>
      <c r="AD1802" s="110" t="n">
        <f aca="false">IF(OR(F1802="",Q1802="",R1802=""),"",ROUND(IF(P1802="incl.",F1802/(1+Q1802),F1802)/IF(S1802="per pack",R1802,1),2))</f>
        <v>4.9</v>
      </c>
      <c r="AE1802" s="110" t="str">
        <f aca="false">IF(AND(AC1802="yes",ISNUMBER(F1802),IF(Compare!$H$5="All mapped",TRUE(),IF(Compare!$H$5="EXACT only",J1802="EXACT",OR(J1802="EXACT",J1802="CLOSE")))),"yes","no")</f>
        <v>yes</v>
      </c>
      <c r="AF1802" s="110" t="n">
        <f aca="false">IF(ISNUMBER(H1802),COUNTIFS($B$7:$B$3000,B1802,$C$7:$C$3000,C1802,$H$7:$H$3000,"&lt;"&amp;H1802,$AH$7:$AH$3000,"yes")+COUNTIFS($B$7:B1802,B1802,$C$7:C1802,C1802,$H$7:H1802,H1802,$AH$7:AH1802,"yes"),"")</f>
        <v>2</v>
      </c>
      <c r="AG1802" s="110" t="n">
        <f aca="false">IF(ISNUMBER(I1802),COUNTIFS($B$7:$B$3000,B1802,$C$7:$C$3000,C1802,$I$7:$I$3000,"&lt;"&amp;I1802,$AI$7:$AI$3000,"yes")+COUNTIFS($B$7:B1802,B1802,$C$7:C1802,C1802,$I$7:I1802,I1802,$AI$7:AI1802,"yes"),"")</f>
        <v>2</v>
      </c>
      <c r="AH1802" s="110" t="str">
        <f aca="false">IF(ISNUMBER(H1802),"yes","no")</f>
        <v>yes</v>
      </c>
      <c r="AI1802" s="110" t="str">
        <f aca="false">IF(ISNUMBER(I1802),"yes","no")</f>
        <v>yes</v>
      </c>
      <c r="AJ1802" s="120" t="n">
        <v>46297</v>
      </c>
      <c r="AK1802" s="110"/>
    </row>
    <row r="1803" customFormat="false" ht="23.85" hidden="false" customHeight="false" outlineLevel="0" collapsed="false">
      <c r="B1803" s="36" t="s">
        <v>99</v>
      </c>
      <c r="C1803" s="98" t="s">
        <v>18</v>
      </c>
      <c r="D1803" s="98" t="s">
        <v>365</v>
      </c>
      <c r="E1803" s="110" t="s">
        <v>5589</v>
      </c>
      <c r="F1803" s="99" t="n">
        <v>8</v>
      </c>
      <c r="G1803" s="98" t="s">
        <v>244</v>
      </c>
      <c r="H1803" s="112" t="n">
        <f aca="false">IF(AND(AE1803="yes",ISNUMBER(AD1803)),AD1803,"")</f>
        <v>6.5</v>
      </c>
      <c r="I1803" s="95" t="n">
        <f aca="false">IF(AND(AE1803="yes",ISNUMBER(AD1803),ISNUMBER(INDEX(Sources!$G$7:$G$10,MATCH(AB1803,Sources!$B$7:$B$10,0)))),ROUND(AD1803/INDEX(Sources!$G$7:$G$10,MATCH(AB1803,Sources!$B$7:$B$10,0)),6),"")</f>
        <v>6.5</v>
      </c>
      <c r="J1803" s="98" t="s">
        <v>530</v>
      </c>
      <c r="K1803" s="98" t="s">
        <v>2059</v>
      </c>
      <c r="L1803" s="96"/>
      <c r="M1803" s="110" t="s">
        <v>5590</v>
      </c>
      <c r="N1803" s="117" t="s">
        <v>5591</v>
      </c>
      <c r="O1803" s="110" t="s">
        <v>2396</v>
      </c>
      <c r="P1803" s="110" t="s">
        <v>265</v>
      </c>
      <c r="Q1803" s="118" t="n">
        <v>0.23</v>
      </c>
      <c r="R1803" s="110" t="n">
        <v>1</v>
      </c>
      <c r="S1803" s="110" t="s">
        <v>632</v>
      </c>
      <c r="T1803" s="110" t="s">
        <v>530</v>
      </c>
      <c r="U1803" s="110" t="s">
        <v>2918</v>
      </c>
      <c r="V1803" s="119" t="n">
        <v>6.5</v>
      </c>
      <c r="W1803" s="119"/>
      <c r="X1803" s="110" t="s">
        <v>2063</v>
      </c>
      <c r="Y1803" s="110" t="s">
        <v>2064</v>
      </c>
      <c r="Z1803" s="110" t="s">
        <v>3016</v>
      </c>
      <c r="AA1803" s="110" t="s">
        <v>537</v>
      </c>
      <c r="AB1803" s="110" t="s">
        <v>244</v>
      </c>
      <c r="AC1803" s="110" t="s">
        <v>538</v>
      </c>
      <c r="AD1803" s="110" t="n">
        <f aca="false">IF(OR(F1803="",Q1803="",R1803=""),"",ROUND(IF(P1803="incl.",F1803/(1+Q1803),F1803)/IF(S1803="per pack",R1803,1),2))</f>
        <v>6.5</v>
      </c>
      <c r="AE1803" s="110" t="str">
        <f aca="false">IF(AND(AC1803="yes",ISNUMBER(F1803),IF(Compare!$H$5="All mapped",TRUE(),IF(Compare!$H$5="EXACT only",J1803="EXACT",OR(J1803="EXACT",J1803="CLOSE")))),"yes","no")</f>
        <v>yes</v>
      </c>
      <c r="AF1803" s="110" t="n">
        <f aca="false">IF(ISNUMBER(H1803),COUNTIFS($B$7:$B$3000,B1803,$C$7:$C$3000,C1803,$H$7:$H$3000,"&lt;"&amp;H1803,$AH$7:$AH$3000,"yes")+COUNTIFS($B$7:B1803,B1803,$C$7:C1803,C1803,$H$7:H1803,H1803,$AH$7:AH1803,"yes"),"")</f>
        <v>3</v>
      </c>
      <c r="AG1803" s="110" t="n">
        <f aca="false">IF(ISNUMBER(I1803),COUNTIFS($B$7:$B$3000,B1803,$C$7:$C$3000,C1803,$I$7:$I$3000,"&lt;"&amp;I1803,$AI$7:$AI$3000,"yes")+COUNTIFS($B$7:B1803,B1803,$C$7:C1803,C1803,$I$7:I1803,I1803,$AI$7:AI1803,"yes"),"")</f>
        <v>3</v>
      </c>
      <c r="AH1803" s="110" t="str">
        <f aca="false">IF(ISNUMBER(H1803),"yes","no")</f>
        <v>yes</v>
      </c>
      <c r="AI1803" s="110" t="str">
        <f aca="false">IF(ISNUMBER(I1803),"yes","no")</f>
        <v>yes</v>
      </c>
      <c r="AJ1803" s="120" t="n">
        <v>46297</v>
      </c>
      <c r="AK1803" s="110"/>
    </row>
    <row r="1804" customFormat="false" ht="23.85" hidden="false" customHeight="false" outlineLevel="0" collapsed="false">
      <c r="B1804" s="36" t="s">
        <v>99</v>
      </c>
      <c r="C1804" s="98" t="s">
        <v>18</v>
      </c>
      <c r="D1804" s="98" t="s">
        <v>369</v>
      </c>
      <c r="E1804" s="110" t="s">
        <v>5592</v>
      </c>
      <c r="F1804" s="99" t="n">
        <v>10.71</v>
      </c>
      <c r="G1804" s="98" t="s">
        <v>244</v>
      </c>
      <c r="H1804" s="112" t="n">
        <f aca="false">IF(AND(AE1804="yes",ISNUMBER(AD1804)),AD1804,"")</f>
        <v>8.71</v>
      </c>
      <c r="I1804" s="95" t="n">
        <f aca="false">IF(AND(AE1804="yes",ISNUMBER(AD1804),ISNUMBER(INDEX(Sources!$G$7:$G$10,MATCH(AB1804,Sources!$B$7:$B$10,0)))),ROUND(AD1804/INDEX(Sources!$G$7:$G$10,MATCH(AB1804,Sources!$B$7:$B$10,0)),6),"")</f>
        <v>8.71</v>
      </c>
      <c r="J1804" s="98" t="s">
        <v>530</v>
      </c>
      <c r="K1804" s="98" t="s">
        <v>2059</v>
      </c>
      <c r="L1804" s="96"/>
      <c r="M1804" s="110" t="s">
        <v>5593</v>
      </c>
      <c r="N1804" s="117" t="s">
        <v>5594</v>
      </c>
      <c r="O1804" s="110" t="s">
        <v>662</v>
      </c>
      <c r="P1804" s="110" t="s">
        <v>265</v>
      </c>
      <c r="Q1804" s="118" t="n">
        <v>0.23</v>
      </c>
      <c r="R1804" s="110" t="n">
        <v>1</v>
      </c>
      <c r="S1804" s="110" t="s">
        <v>632</v>
      </c>
      <c r="T1804" s="110" t="s">
        <v>530</v>
      </c>
      <c r="U1804" s="110" t="s">
        <v>2918</v>
      </c>
      <c r="V1804" s="119" t="n">
        <v>8.71</v>
      </c>
      <c r="W1804" s="119"/>
      <c r="X1804" s="110" t="s">
        <v>2063</v>
      </c>
      <c r="Y1804" s="110" t="s">
        <v>2064</v>
      </c>
      <c r="Z1804" s="110" t="s">
        <v>4138</v>
      </c>
      <c r="AA1804" s="110" t="s">
        <v>537</v>
      </c>
      <c r="AB1804" s="110" t="s">
        <v>244</v>
      </c>
      <c r="AC1804" s="110" t="s">
        <v>538</v>
      </c>
      <c r="AD1804" s="110" t="n">
        <f aca="false">IF(OR(F1804="",Q1804="",R1804=""),"",ROUND(IF(P1804="incl.",F1804/(1+Q1804),F1804)/IF(S1804="per pack",R1804,1),2))</f>
        <v>8.71</v>
      </c>
      <c r="AE1804" s="110" t="str">
        <f aca="false">IF(AND(AC1804="yes",ISNUMBER(F1804),IF(Compare!$H$5="All mapped",TRUE(),IF(Compare!$H$5="EXACT only",J1804="EXACT",OR(J1804="EXACT",J1804="CLOSE")))),"yes","no")</f>
        <v>yes</v>
      </c>
      <c r="AF1804" s="110" t="n">
        <f aca="false">IF(ISNUMBER(H1804),COUNTIFS($B$7:$B$3000,B1804,$C$7:$C$3000,C1804,$H$7:$H$3000,"&lt;"&amp;H1804,$AH$7:$AH$3000,"yes")+COUNTIFS($B$7:B1804,B1804,$C$7:C1804,C1804,$H$7:H1804,H1804,$AH$7:AH1804,"yes"),"")</f>
        <v>5</v>
      </c>
      <c r="AG1804" s="110" t="n">
        <f aca="false">IF(ISNUMBER(I1804),COUNTIFS($B$7:$B$3000,B1804,$C$7:$C$3000,C1804,$I$7:$I$3000,"&lt;"&amp;I1804,$AI$7:$AI$3000,"yes")+COUNTIFS($B$7:B1804,B1804,$C$7:C1804,C1804,$I$7:I1804,I1804,$AI$7:AI1804,"yes"),"")</f>
        <v>5</v>
      </c>
      <c r="AH1804" s="110" t="str">
        <f aca="false">IF(ISNUMBER(H1804),"yes","no")</f>
        <v>yes</v>
      </c>
      <c r="AI1804" s="110" t="str">
        <f aca="false">IF(ISNUMBER(I1804),"yes","no")</f>
        <v>yes</v>
      </c>
      <c r="AJ1804" s="120" t="n">
        <v>46297</v>
      </c>
      <c r="AK1804" s="110"/>
    </row>
    <row r="1805" customFormat="false" ht="23.85" hidden="false" customHeight="false" outlineLevel="0" collapsed="false">
      <c r="B1805" s="36" t="s">
        <v>99</v>
      </c>
      <c r="C1805" s="98" t="s">
        <v>18</v>
      </c>
      <c r="D1805" s="98" t="s">
        <v>4579</v>
      </c>
      <c r="E1805" s="110" t="s">
        <v>5595</v>
      </c>
      <c r="F1805" s="99" t="n">
        <v>8.92</v>
      </c>
      <c r="G1805" s="98" t="s">
        <v>244</v>
      </c>
      <c r="H1805" s="112" t="n">
        <f aca="false">IF(AND(AE1805="yes",ISNUMBER(AD1805)),AD1805,"")</f>
        <v>7.25</v>
      </c>
      <c r="I1805" s="95" t="n">
        <f aca="false">IF(AND(AE1805="yes",ISNUMBER(AD1805),ISNUMBER(INDEX(Sources!$G$7:$G$10,MATCH(AB1805,Sources!$B$7:$B$10,0)))),ROUND(AD1805/INDEX(Sources!$G$7:$G$10,MATCH(AB1805,Sources!$B$7:$B$10,0)),6),"")</f>
        <v>7.25</v>
      </c>
      <c r="J1805" s="98" t="s">
        <v>530</v>
      </c>
      <c r="K1805" s="98" t="s">
        <v>2059</v>
      </c>
      <c r="L1805" s="96"/>
      <c r="M1805" s="110" t="s">
        <v>5596</v>
      </c>
      <c r="N1805" s="117" t="s">
        <v>5211</v>
      </c>
      <c r="O1805" s="110" t="s">
        <v>246</v>
      </c>
      <c r="P1805" s="110" t="s">
        <v>265</v>
      </c>
      <c r="Q1805" s="118" t="n">
        <v>0.23</v>
      </c>
      <c r="R1805" s="110" t="n">
        <v>1</v>
      </c>
      <c r="S1805" s="110" t="s">
        <v>632</v>
      </c>
      <c r="T1805" s="110" t="s">
        <v>530</v>
      </c>
      <c r="U1805" s="110" t="s">
        <v>2918</v>
      </c>
      <c r="V1805" s="119" t="n">
        <v>7.25</v>
      </c>
      <c r="W1805" s="119"/>
      <c r="X1805" s="110" t="s">
        <v>2063</v>
      </c>
      <c r="Y1805" s="110" t="s">
        <v>2064</v>
      </c>
      <c r="Z1805" s="110" t="s">
        <v>4826</v>
      </c>
      <c r="AA1805" s="110" t="s">
        <v>537</v>
      </c>
      <c r="AB1805" s="110" t="s">
        <v>244</v>
      </c>
      <c r="AC1805" s="110" t="s">
        <v>538</v>
      </c>
      <c r="AD1805" s="110" t="n">
        <f aca="false">IF(OR(F1805="",Q1805="",R1805=""),"",ROUND(IF(P1805="incl.",F1805/(1+Q1805),F1805)/IF(S1805="per pack",R1805,1),2))</f>
        <v>7.25</v>
      </c>
      <c r="AE1805" s="110" t="str">
        <f aca="false">IF(AND(AC1805="yes",ISNUMBER(F1805),IF(Compare!$H$5="All mapped",TRUE(),IF(Compare!$H$5="EXACT only",J1805="EXACT",OR(J1805="EXACT",J1805="CLOSE")))),"yes","no")</f>
        <v>yes</v>
      </c>
      <c r="AF1805" s="110" t="n">
        <f aca="false">IF(ISNUMBER(H1805),COUNTIFS($B$7:$B$3000,B1805,$C$7:$C$3000,C1805,$H$7:$H$3000,"&lt;"&amp;H1805,$AH$7:$AH$3000,"yes")+COUNTIFS($B$7:B1805,B1805,$C$7:C1805,C1805,$H$7:H1805,H1805,$AH$7:AH1805,"yes"),"")</f>
        <v>4</v>
      </c>
      <c r="AG1805" s="110" t="n">
        <f aca="false">IF(ISNUMBER(I1805),COUNTIFS($B$7:$B$3000,B1805,$C$7:$C$3000,C1805,$I$7:$I$3000,"&lt;"&amp;I1805,$AI$7:$AI$3000,"yes")+COUNTIFS($B$7:B1805,B1805,$C$7:C1805,C1805,$I$7:I1805,I1805,$AI$7:AI1805,"yes"),"")</f>
        <v>4</v>
      </c>
      <c r="AH1805" s="110" t="str">
        <f aca="false">IF(ISNUMBER(H1805),"yes","no")</f>
        <v>yes</v>
      </c>
      <c r="AI1805" s="110" t="str">
        <f aca="false">IF(ISNUMBER(I1805),"yes","no")</f>
        <v>yes</v>
      </c>
      <c r="AJ1805" s="120" t="n">
        <v>46297</v>
      </c>
      <c r="AK1805" s="110"/>
    </row>
    <row r="1806" customFormat="false" ht="23.85" hidden="false" customHeight="false" outlineLevel="0" collapsed="false">
      <c r="B1806" s="36" t="s">
        <v>99</v>
      </c>
      <c r="C1806" s="98" t="s">
        <v>18</v>
      </c>
      <c r="D1806" s="98" t="s">
        <v>3021</v>
      </c>
      <c r="E1806" s="110" t="s">
        <v>5597</v>
      </c>
      <c r="F1806" s="99" t="n">
        <v>3.9</v>
      </c>
      <c r="G1806" s="98" t="s">
        <v>244</v>
      </c>
      <c r="H1806" s="112" t="n">
        <f aca="false">IF(AND(AE1806="yes",ISNUMBER(AD1806)),AD1806,"")</f>
        <v>3.9</v>
      </c>
      <c r="I1806" s="95" t="n">
        <f aca="false">IF(AND(AE1806="yes",ISNUMBER(AD1806),ISNUMBER(INDEX(Sources!$G$7:$G$10,MATCH(AB1806,Sources!$B$7:$B$10,0)))),ROUND(AD1806/INDEX(Sources!$G$7:$G$10,MATCH(AB1806,Sources!$B$7:$B$10,0)),6),"")</f>
        <v>3.9</v>
      </c>
      <c r="J1806" s="98" t="s">
        <v>530</v>
      </c>
      <c r="K1806" s="98" t="s">
        <v>2059</v>
      </c>
      <c r="L1806" s="96"/>
      <c r="M1806" s="110" t="s">
        <v>5598</v>
      </c>
      <c r="N1806" s="117" t="s">
        <v>4416</v>
      </c>
      <c r="O1806" s="110" t="s">
        <v>2396</v>
      </c>
      <c r="P1806" s="110" t="s">
        <v>590</v>
      </c>
      <c r="Q1806" s="118" t="n">
        <v>0.23</v>
      </c>
      <c r="R1806" s="110" t="n">
        <v>1</v>
      </c>
      <c r="S1806" s="110" t="s">
        <v>632</v>
      </c>
      <c r="T1806" s="110" t="s">
        <v>530</v>
      </c>
      <c r="U1806" s="110" t="s">
        <v>2913</v>
      </c>
      <c r="V1806" s="119" t="n">
        <v>3.9</v>
      </c>
      <c r="W1806" s="119"/>
      <c r="X1806" s="110" t="s">
        <v>2063</v>
      </c>
      <c r="Y1806" s="110" t="s">
        <v>2064</v>
      </c>
      <c r="Z1806" s="110" t="s">
        <v>3900</v>
      </c>
      <c r="AA1806" s="110" t="s">
        <v>537</v>
      </c>
      <c r="AB1806" s="110" t="s">
        <v>244</v>
      </c>
      <c r="AC1806" s="110" t="s">
        <v>538</v>
      </c>
      <c r="AD1806" s="110" t="n">
        <f aca="false">IF(OR(F1806="",Q1806="",R1806=""),"",ROUND(IF(P1806="incl.",F1806/(1+Q1806),F1806)/IF(S1806="per pack",R1806,1),2))</f>
        <v>3.9</v>
      </c>
      <c r="AE1806" s="110" t="str">
        <f aca="false">IF(AND(AC1806="yes",ISNUMBER(F1806),IF(Compare!$H$5="All mapped",TRUE(),IF(Compare!$H$5="EXACT only",J1806="EXACT",OR(J1806="EXACT",J1806="CLOSE")))),"yes","no")</f>
        <v>yes</v>
      </c>
      <c r="AF1806" s="110" t="n">
        <f aca="false">IF(ISNUMBER(H1806),COUNTIFS($B$7:$B$3000,B1806,$C$7:$C$3000,C1806,$H$7:$H$3000,"&lt;"&amp;H1806,$AH$7:$AH$3000,"yes")+COUNTIFS($B$7:B1806,B1806,$C$7:C1806,C1806,$H$7:H1806,H1806,$AH$7:AH1806,"yes"),"")</f>
        <v>1</v>
      </c>
      <c r="AG1806" s="110" t="n">
        <f aca="false">IF(ISNUMBER(I1806),COUNTIFS($B$7:$B$3000,B1806,$C$7:$C$3000,C1806,$I$7:$I$3000,"&lt;"&amp;I1806,$AI$7:$AI$3000,"yes")+COUNTIFS($B$7:B1806,B1806,$C$7:C1806,C1806,$I$7:I1806,I1806,$AI$7:AI1806,"yes"),"")</f>
        <v>1</v>
      </c>
      <c r="AH1806" s="110" t="str">
        <f aca="false">IF(ISNUMBER(H1806),"yes","no")</f>
        <v>yes</v>
      </c>
      <c r="AI1806" s="110" t="str">
        <f aca="false">IF(ISNUMBER(I1806),"yes","no")</f>
        <v>yes</v>
      </c>
      <c r="AJ1806" s="120" t="n">
        <v>46297</v>
      </c>
      <c r="AK1806" s="110"/>
    </row>
    <row r="1807" customFormat="false" ht="23.85" hidden="false" customHeight="false" outlineLevel="0" collapsed="false">
      <c r="B1807" s="36" t="s">
        <v>100</v>
      </c>
      <c r="C1807" s="98" t="s">
        <v>14</v>
      </c>
      <c r="D1807" s="98" t="s">
        <v>373</v>
      </c>
      <c r="E1807" s="110" t="s">
        <v>5599</v>
      </c>
      <c r="F1807" s="99" t="n">
        <v>6.96</v>
      </c>
      <c r="G1807" s="98" t="s">
        <v>374</v>
      </c>
      <c r="H1807" s="112" t="n">
        <f aca="false">IF(AND(AE1807="yes",ISNUMBER(AD1807)),AD1807,"")</f>
        <v>6.96</v>
      </c>
      <c r="I1807" s="95" t="n">
        <f aca="false">IF(AND(AE1807="yes",ISNUMBER(AD1807),ISNUMBER(INDEX(Sources!$G$7:$G$10,MATCH(AB1807,Sources!$B$7:$B$10,0)))),ROUND(AD1807/INDEX(Sources!$G$7:$G$10,MATCH(AB1807,Sources!$B$7:$B$10,0)),6),"")</f>
        <v>1.318771</v>
      </c>
      <c r="J1807" s="98" t="s">
        <v>530</v>
      </c>
      <c r="K1807" s="98" t="s">
        <v>2059</v>
      </c>
      <c r="L1807" s="96"/>
      <c r="M1807" s="110" t="s">
        <v>5600</v>
      </c>
      <c r="N1807" s="117" t="s">
        <v>5601</v>
      </c>
      <c r="O1807" s="110" t="s">
        <v>4321</v>
      </c>
      <c r="P1807" s="110" t="s">
        <v>590</v>
      </c>
      <c r="Q1807" s="118" t="n">
        <v>0.21</v>
      </c>
      <c r="R1807" s="110" t="n">
        <v>1</v>
      </c>
      <c r="S1807" s="110" t="s">
        <v>632</v>
      </c>
      <c r="T1807" s="110" t="s">
        <v>530</v>
      </c>
      <c r="U1807" s="110" t="s">
        <v>2913</v>
      </c>
      <c r="V1807" s="119" t="n">
        <v>6.96</v>
      </c>
      <c r="W1807" s="119"/>
      <c r="X1807" s="110" t="s">
        <v>2063</v>
      </c>
      <c r="Y1807" s="110" t="s">
        <v>2064</v>
      </c>
      <c r="Z1807" s="110"/>
      <c r="AA1807" s="110" t="s">
        <v>537</v>
      </c>
      <c r="AB1807" s="110" t="s">
        <v>374</v>
      </c>
      <c r="AC1807" s="110" t="s">
        <v>538</v>
      </c>
      <c r="AD1807" s="110" t="n">
        <f aca="false">IF(OR(F1807="",Q1807="",R1807=""),"",ROUND(IF(P1807="incl.",F1807/(1+Q1807),F1807)/IF(S1807="per pack",R1807,1),2))</f>
        <v>6.96</v>
      </c>
      <c r="AE1807" s="110" t="str">
        <f aca="false">IF(AND(AC1807="yes",ISNUMBER(F1807),IF(Compare!$H$5="All mapped",TRUE(),IF(Compare!$H$5="EXACT only",J1807="EXACT",OR(J1807="EXACT",J1807="CLOSE")))),"yes","no")</f>
        <v>yes</v>
      </c>
      <c r="AF1807" s="110" t="n">
        <f aca="false">IF(ISNUMBER(H1807),COUNTIFS($B$7:$B$3000,B1807,$C$7:$C$3000,C1807,$H$7:$H$3000,"&lt;"&amp;H1807,$AH$7:$AH$3000,"yes")+COUNTIFS($B$7:B1807,B1807,$C$7:C1807,C1807,$H$7:H1807,H1807,$AH$7:AH1807,"yes"),"")</f>
        <v>2</v>
      </c>
      <c r="AG1807" s="110" t="n">
        <f aca="false">IF(ISNUMBER(I1807),COUNTIFS($B$7:$B$3000,B1807,$C$7:$C$3000,C1807,$I$7:$I$3000,"&lt;"&amp;I1807,$AI$7:$AI$3000,"yes")+COUNTIFS($B$7:B1807,B1807,$C$7:C1807,C1807,$I$7:I1807,I1807,$AI$7:AI1807,"yes"),"")</f>
        <v>2</v>
      </c>
      <c r="AH1807" s="110" t="str">
        <f aca="false">IF(ISNUMBER(H1807),"yes","no")</f>
        <v>yes</v>
      </c>
      <c r="AI1807" s="110" t="str">
        <f aca="false">IF(ISNUMBER(I1807),"yes","no")</f>
        <v>yes</v>
      </c>
      <c r="AJ1807" s="120" t="n">
        <v>46297</v>
      </c>
      <c r="AK1807" s="110"/>
    </row>
    <row r="1808" customFormat="false" ht="23.85" hidden="false" customHeight="false" outlineLevel="0" collapsed="false">
      <c r="B1808" s="36" t="s">
        <v>100</v>
      </c>
      <c r="C1808" s="98" t="s">
        <v>14</v>
      </c>
      <c r="D1808" s="98" t="s">
        <v>378</v>
      </c>
      <c r="E1808" s="110" t="s">
        <v>5602</v>
      </c>
      <c r="F1808" s="99" t="n">
        <v>32.82</v>
      </c>
      <c r="G1808" s="98" t="s">
        <v>374</v>
      </c>
      <c r="H1808" s="112" t="n">
        <f aca="false">IF(AND(AE1808="yes",ISNUMBER(AD1808)),AD1808,"")</f>
        <v>27.12</v>
      </c>
      <c r="I1808" s="95" t="n">
        <f aca="false">IF(AND(AE1808="yes",ISNUMBER(AD1808),ISNUMBER(INDEX(Sources!$G$7:$G$10,MATCH(AB1808,Sources!$B$7:$B$10,0)))),ROUND(AD1808/INDEX(Sources!$G$7:$G$10,MATCH(AB1808,Sources!$B$7:$B$10,0)),6),"")</f>
        <v>5.138659</v>
      </c>
      <c r="J1808" s="98" t="s">
        <v>702</v>
      </c>
      <c r="K1808" s="98" t="s">
        <v>2059</v>
      </c>
      <c r="L1808" s="96"/>
      <c r="M1808" s="110" t="s">
        <v>5603</v>
      </c>
      <c r="N1808" s="117" t="s">
        <v>5604</v>
      </c>
      <c r="O1808" s="110" t="s">
        <v>733</v>
      </c>
      <c r="P1808" s="110" t="s">
        <v>265</v>
      </c>
      <c r="Q1808" s="118" t="n">
        <v>0.21</v>
      </c>
      <c r="R1808" s="110" t="n">
        <v>1</v>
      </c>
      <c r="S1808" s="110" t="s">
        <v>632</v>
      </c>
      <c r="T1808" s="110" t="s">
        <v>702</v>
      </c>
      <c r="U1808" s="110" t="s">
        <v>2918</v>
      </c>
      <c r="V1808" s="119" t="n">
        <v>27.12</v>
      </c>
      <c r="W1808" s="119"/>
      <c r="X1808" s="110" t="s">
        <v>2063</v>
      </c>
      <c r="Y1808" s="110" t="s">
        <v>2064</v>
      </c>
      <c r="Z1808" s="110"/>
      <c r="AA1808" s="110" t="s">
        <v>537</v>
      </c>
      <c r="AB1808" s="110" t="s">
        <v>374</v>
      </c>
      <c r="AC1808" s="110" t="s">
        <v>538</v>
      </c>
      <c r="AD1808" s="110" t="n">
        <f aca="false">IF(OR(F1808="",Q1808="",R1808=""),"",ROUND(IF(P1808="incl.",F1808/(1+Q1808),F1808)/IF(S1808="per pack",R1808,1),2))</f>
        <v>27.12</v>
      </c>
      <c r="AE1808" s="110" t="str">
        <f aca="false">IF(AND(AC1808="yes",ISNUMBER(F1808),IF(Compare!$H$5="All mapped",TRUE(),IF(Compare!$H$5="EXACT only",J1808="EXACT",OR(J1808="EXACT",J1808="CLOSE")))),"yes","no")</f>
        <v>yes</v>
      </c>
      <c r="AF1808" s="110" t="n">
        <f aca="false">IF(ISNUMBER(H1808),COUNTIFS($B$7:$B$3000,B1808,$C$7:$C$3000,C1808,$H$7:$H$3000,"&lt;"&amp;H1808,$AH$7:$AH$3000,"yes")+COUNTIFS($B$7:B1808,B1808,$C$7:C1808,C1808,$H$7:H1808,H1808,$AH$7:AH1808,"yes"),"")</f>
        <v>5</v>
      </c>
      <c r="AG1808" s="110" t="n">
        <f aca="false">IF(ISNUMBER(I1808),COUNTIFS($B$7:$B$3000,B1808,$C$7:$C$3000,C1808,$I$7:$I$3000,"&lt;"&amp;I1808,$AI$7:$AI$3000,"yes")+COUNTIFS($B$7:B1808,B1808,$C$7:C1808,C1808,$I$7:I1808,I1808,$AI$7:AI1808,"yes"),"")</f>
        <v>5</v>
      </c>
      <c r="AH1808" s="110" t="str">
        <f aca="false">IF(ISNUMBER(H1808),"yes","no")</f>
        <v>yes</v>
      </c>
      <c r="AI1808" s="110" t="str">
        <f aca="false">IF(ISNUMBER(I1808),"yes","no")</f>
        <v>yes</v>
      </c>
      <c r="AJ1808" s="120" t="n">
        <v>46297</v>
      </c>
      <c r="AK1808" s="110"/>
    </row>
    <row r="1809" customFormat="false" ht="35.05" hidden="false" customHeight="false" outlineLevel="0" collapsed="false">
      <c r="B1809" s="36" t="s">
        <v>100</v>
      </c>
      <c r="C1809" s="98" t="s">
        <v>14</v>
      </c>
      <c r="D1809" s="98" t="s">
        <v>346</v>
      </c>
      <c r="E1809" s="110" t="s">
        <v>5605</v>
      </c>
      <c r="F1809" s="99" t="n">
        <v>22.67</v>
      </c>
      <c r="G1809" s="98" t="s">
        <v>374</v>
      </c>
      <c r="H1809" s="112" t="n">
        <f aca="false">IF(AND(AE1809="yes",ISNUMBER(AD1809)),AD1809,"")</f>
        <v>18.74</v>
      </c>
      <c r="I1809" s="95" t="n">
        <f aca="false">IF(AND(AE1809="yes",ISNUMBER(AD1809),ISNUMBER(INDEX(Sources!$G$7:$G$10,MATCH(AB1809,Sources!$B$7:$B$10,0)))),ROUND(AD1809/INDEX(Sources!$G$7:$G$10,MATCH(AB1809,Sources!$B$7:$B$10,0)),6),"")</f>
        <v>3.550828</v>
      </c>
      <c r="J1809" s="98" t="s">
        <v>530</v>
      </c>
      <c r="K1809" s="98" t="s">
        <v>2059</v>
      </c>
      <c r="L1809" s="96"/>
      <c r="M1809" s="110" t="s">
        <v>5606</v>
      </c>
      <c r="N1809" s="117" t="s">
        <v>5607</v>
      </c>
      <c r="O1809" s="110" t="s">
        <v>662</v>
      </c>
      <c r="P1809" s="110" t="s">
        <v>265</v>
      </c>
      <c r="Q1809" s="118" t="n">
        <v>0.21</v>
      </c>
      <c r="R1809" s="110" t="n">
        <v>1</v>
      </c>
      <c r="S1809" s="110" t="s">
        <v>632</v>
      </c>
      <c r="T1809" s="110" t="s">
        <v>530</v>
      </c>
      <c r="U1809" s="110" t="s">
        <v>2918</v>
      </c>
      <c r="V1809" s="119" t="n">
        <v>18.74</v>
      </c>
      <c r="W1809" s="119"/>
      <c r="X1809" s="110" t="s">
        <v>2063</v>
      </c>
      <c r="Y1809" s="110" t="s">
        <v>2064</v>
      </c>
      <c r="Z1809" s="110"/>
      <c r="AA1809" s="110" t="s">
        <v>537</v>
      </c>
      <c r="AB1809" s="110" t="s">
        <v>374</v>
      </c>
      <c r="AC1809" s="110" t="s">
        <v>538</v>
      </c>
      <c r="AD1809" s="110" t="n">
        <f aca="false">IF(OR(F1809="",Q1809="",R1809=""),"",ROUND(IF(P1809="incl.",F1809/(1+Q1809),F1809)/IF(S1809="per pack",R1809,1),2))</f>
        <v>18.74</v>
      </c>
      <c r="AE1809" s="110" t="str">
        <f aca="false">IF(AND(AC1809="yes",ISNUMBER(F1809),IF(Compare!$H$5="All mapped",TRUE(),IF(Compare!$H$5="EXACT only",J1809="EXACT",OR(J1809="EXACT",J1809="CLOSE")))),"yes","no")</f>
        <v>yes</v>
      </c>
      <c r="AF1809" s="110" t="n">
        <f aca="false">IF(ISNUMBER(H1809),COUNTIFS($B$7:$B$3000,B1809,$C$7:$C$3000,C1809,$H$7:$H$3000,"&lt;"&amp;H1809,$AH$7:$AH$3000,"yes")+COUNTIFS($B$7:B1809,B1809,$C$7:C1809,C1809,$H$7:H1809,H1809,$AH$7:AH1809,"yes"),"")</f>
        <v>4</v>
      </c>
      <c r="AG1809" s="110" t="n">
        <f aca="false">IF(ISNUMBER(I1809),COUNTIFS($B$7:$B$3000,B1809,$C$7:$C$3000,C1809,$I$7:$I$3000,"&lt;"&amp;I1809,$AI$7:$AI$3000,"yes")+COUNTIFS($B$7:B1809,B1809,$C$7:C1809,C1809,$I$7:I1809,I1809,$AI$7:AI1809,"yes"),"")</f>
        <v>4</v>
      </c>
      <c r="AH1809" s="110" t="str">
        <f aca="false">IF(ISNUMBER(H1809),"yes","no")</f>
        <v>yes</v>
      </c>
      <c r="AI1809" s="110" t="str">
        <f aca="false">IF(ISNUMBER(I1809),"yes","no")</f>
        <v>yes</v>
      </c>
      <c r="AJ1809" s="120" t="n">
        <v>46297</v>
      </c>
      <c r="AK1809" s="110"/>
    </row>
    <row r="1810" customFormat="false" ht="23.85" hidden="false" customHeight="false" outlineLevel="0" collapsed="false">
      <c r="B1810" s="36" t="s">
        <v>100</v>
      </c>
      <c r="C1810" s="98" t="s">
        <v>14</v>
      </c>
      <c r="D1810" s="98" t="s">
        <v>415</v>
      </c>
      <c r="E1810" s="110" t="s">
        <v>5608</v>
      </c>
      <c r="F1810" s="99" t="n">
        <v>1</v>
      </c>
      <c r="G1810" s="98" t="s">
        <v>244</v>
      </c>
      <c r="H1810" s="112" t="n">
        <f aca="false">IF(AND(AE1810="yes",ISNUMBER(AD1810)),AD1810,"")</f>
        <v>1</v>
      </c>
      <c r="I1810" s="95" t="n">
        <f aca="false">IF(AND(AE1810="yes",ISNUMBER(AD1810),ISNUMBER(INDEX(Sources!$G$7:$G$10,MATCH(AB1810,Sources!$B$7:$B$10,0)))),ROUND(AD1810/INDEX(Sources!$G$7:$G$10,MATCH(AB1810,Sources!$B$7:$B$10,0)),6),"")</f>
        <v>1</v>
      </c>
      <c r="J1810" s="98" t="s">
        <v>530</v>
      </c>
      <c r="K1810" s="98" t="s">
        <v>2059</v>
      </c>
      <c r="L1810" s="96"/>
      <c r="M1810" s="110" t="s">
        <v>5609</v>
      </c>
      <c r="N1810" s="117" t="s">
        <v>5610</v>
      </c>
      <c r="O1810" s="110" t="s">
        <v>3841</v>
      </c>
      <c r="P1810" s="110" t="s">
        <v>590</v>
      </c>
      <c r="Q1810" s="118" t="n">
        <v>0.21</v>
      </c>
      <c r="R1810" s="110" t="n">
        <v>1</v>
      </c>
      <c r="S1810" s="110" t="s">
        <v>632</v>
      </c>
      <c r="T1810" s="110" t="s">
        <v>530</v>
      </c>
      <c r="U1810" s="110" t="s">
        <v>2913</v>
      </c>
      <c r="V1810" s="119" t="n">
        <v>1</v>
      </c>
      <c r="W1810" s="119"/>
      <c r="X1810" s="110" t="s">
        <v>2063</v>
      </c>
      <c r="Y1810" s="110" t="s">
        <v>2064</v>
      </c>
      <c r="Z1810" s="110"/>
      <c r="AA1810" s="110" t="s">
        <v>537</v>
      </c>
      <c r="AB1810" s="110" t="s">
        <v>244</v>
      </c>
      <c r="AC1810" s="110" t="s">
        <v>538</v>
      </c>
      <c r="AD1810" s="110" t="n">
        <f aca="false">IF(OR(F1810="",Q1810="",R1810=""),"",ROUND(IF(P1810="incl.",F1810/(1+Q1810),F1810)/IF(S1810="per pack",R1810,1),2))</f>
        <v>1</v>
      </c>
      <c r="AE1810" s="110" t="str">
        <f aca="false">IF(AND(AC1810="yes",ISNUMBER(F1810),IF(Compare!$H$5="All mapped",TRUE(),IF(Compare!$H$5="EXACT only",J1810="EXACT",OR(J1810="EXACT",J1810="CLOSE")))),"yes","no")</f>
        <v>yes</v>
      </c>
      <c r="AF1810" s="110" t="n">
        <f aca="false">IF(ISNUMBER(H1810),COUNTIFS($B$7:$B$3000,B1810,$C$7:$C$3000,C1810,$H$7:$H$3000,"&lt;"&amp;H1810,$AH$7:$AH$3000,"yes")+COUNTIFS($B$7:B1810,B1810,$C$7:C1810,C1810,$H$7:H1810,H1810,$AH$7:AH1810,"yes"),"")</f>
        <v>1</v>
      </c>
      <c r="AG1810" s="110" t="n">
        <f aca="false">IF(ISNUMBER(I1810),COUNTIFS($B$7:$B$3000,B1810,$C$7:$C$3000,C1810,$I$7:$I$3000,"&lt;"&amp;I1810,$AI$7:$AI$3000,"yes")+COUNTIFS($B$7:B1810,B1810,$C$7:C1810,C1810,$I$7:I1810,I1810,$AI$7:AI1810,"yes"),"")</f>
        <v>1</v>
      </c>
      <c r="AH1810" s="110" t="str">
        <f aca="false">IF(ISNUMBER(H1810),"yes","no")</f>
        <v>yes</v>
      </c>
      <c r="AI1810" s="110" t="str">
        <f aca="false">IF(ISNUMBER(I1810),"yes","no")</f>
        <v>yes</v>
      </c>
      <c r="AJ1810" s="120" t="n">
        <v>46297</v>
      </c>
      <c r="AK1810" s="110"/>
    </row>
    <row r="1811" customFormat="false" ht="23.85" hidden="false" customHeight="false" outlineLevel="0" collapsed="false">
      <c r="B1811" s="36" t="s">
        <v>100</v>
      </c>
      <c r="C1811" s="98" t="s">
        <v>14</v>
      </c>
      <c r="D1811" s="98" t="s">
        <v>403</v>
      </c>
      <c r="E1811" s="110" t="s">
        <v>5611</v>
      </c>
      <c r="F1811" s="99" t="n">
        <v>12.65</v>
      </c>
      <c r="G1811" s="98" t="s">
        <v>374</v>
      </c>
      <c r="H1811" s="112" t="n">
        <f aca="false">IF(AND(AE1811="yes",ISNUMBER(AD1811)),AD1811,"")</f>
        <v>12.65</v>
      </c>
      <c r="I1811" s="95" t="n">
        <f aca="false">IF(AND(AE1811="yes",ISNUMBER(AD1811),ISNUMBER(INDEX(Sources!$G$7:$G$10,MATCH(AB1811,Sources!$B$7:$B$10,0)))),ROUND(AD1811/INDEX(Sources!$G$7:$G$10,MATCH(AB1811,Sources!$B$7:$B$10,0)),6),"")</f>
        <v>2.396904</v>
      </c>
      <c r="J1811" s="98" t="s">
        <v>530</v>
      </c>
      <c r="K1811" s="98" t="s">
        <v>2059</v>
      </c>
      <c r="L1811" s="96"/>
      <c r="M1811" s="110" t="s">
        <v>5612</v>
      </c>
      <c r="N1811" s="117" t="s">
        <v>5613</v>
      </c>
      <c r="O1811" s="110" t="s">
        <v>388</v>
      </c>
      <c r="P1811" s="110" t="s">
        <v>590</v>
      </c>
      <c r="Q1811" s="118" t="n">
        <v>0.21</v>
      </c>
      <c r="R1811" s="110" t="n">
        <v>1</v>
      </c>
      <c r="S1811" s="110" t="s">
        <v>632</v>
      </c>
      <c r="T1811" s="110" t="s">
        <v>530</v>
      </c>
      <c r="U1811" s="110" t="s">
        <v>2913</v>
      </c>
      <c r="V1811" s="119" t="n">
        <v>12.65</v>
      </c>
      <c r="W1811" s="119"/>
      <c r="X1811" s="110" t="s">
        <v>2063</v>
      </c>
      <c r="Y1811" s="110" t="s">
        <v>2064</v>
      </c>
      <c r="Z1811" s="110"/>
      <c r="AA1811" s="110" t="s">
        <v>537</v>
      </c>
      <c r="AB1811" s="110" t="s">
        <v>374</v>
      </c>
      <c r="AC1811" s="110" t="s">
        <v>538</v>
      </c>
      <c r="AD1811" s="110" t="n">
        <f aca="false">IF(OR(F1811="",Q1811="",R1811=""),"",ROUND(IF(P1811="incl.",F1811/(1+Q1811),F1811)/IF(S1811="per pack",R1811,1),2))</f>
        <v>12.65</v>
      </c>
      <c r="AE1811" s="110" t="str">
        <f aca="false">IF(AND(AC1811="yes",ISNUMBER(F1811),IF(Compare!$H$5="All mapped",TRUE(),IF(Compare!$H$5="EXACT only",J1811="EXACT",OR(J1811="EXACT",J1811="CLOSE")))),"yes","no")</f>
        <v>yes</v>
      </c>
      <c r="AF1811" s="110" t="n">
        <f aca="false">IF(ISNUMBER(H1811),COUNTIFS($B$7:$B$3000,B1811,$C$7:$C$3000,C1811,$H$7:$H$3000,"&lt;"&amp;H1811,$AH$7:$AH$3000,"yes")+COUNTIFS($B$7:B1811,B1811,$C$7:C1811,C1811,$H$7:H1811,H1811,$AH$7:AH1811,"yes"),"")</f>
        <v>3</v>
      </c>
      <c r="AG1811" s="110" t="n">
        <f aca="false">IF(ISNUMBER(I1811),COUNTIFS($B$7:$B$3000,B1811,$C$7:$C$3000,C1811,$I$7:$I$3000,"&lt;"&amp;I1811,$AI$7:$AI$3000,"yes")+COUNTIFS($B$7:B1811,B1811,$C$7:C1811,C1811,$I$7:I1811,I1811,$AI$7:AI1811,"yes"),"")</f>
        <v>3</v>
      </c>
      <c r="AH1811" s="110" t="str">
        <f aca="false">IF(ISNUMBER(H1811),"yes","no")</f>
        <v>yes</v>
      </c>
      <c r="AI1811" s="110" t="str">
        <f aca="false">IF(ISNUMBER(I1811),"yes","no")</f>
        <v>yes</v>
      </c>
      <c r="AJ1811" s="120" t="n">
        <v>46297</v>
      </c>
      <c r="AK1811" s="110"/>
    </row>
    <row r="1812" customFormat="false" ht="35.05" hidden="false" customHeight="false" outlineLevel="0" collapsed="false">
      <c r="B1812" s="36" t="s">
        <v>100</v>
      </c>
      <c r="C1812" s="98" t="s">
        <v>15</v>
      </c>
      <c r="D1812" s="98" t="s">
        <v>243</v>
      </c>
      <c r="E1812" s="110" t="s">
        <v>5614</v>
      </c>
      <c r="F1812" s="99" t="n">
        <v>3.58</v>
      </c>
      <c r="G1812" s="98" t="s">
        <v>244</v>
      </c>
      <c r="H1812" s="112" t="n">
        <f aca="false">IF(AND(AE1812="yes",ISNUMBER(AD1812)),AD1812,"")</f>
        <v>3.58</v>
      </c>
      <c r="I1812" s="95" t="n">
        <f aca="false">IF(AND(AE1812="yes",ISNUMBER(AD1812),ISNUMBER(INDEX(Sources!$G$7:$G$10,MATCH(AB1812,Sources!$B$7:$B$10,0)))),ROUND(AD1812/INDEX(Sources!$G$7:$G$10,MATCH(AB1812,Sources!$B$7:$B$10,0)),6),"")</f>
        <v>3.58</v>
      </c>
      <c r="J1812" s="98" t="s">
        <v>530</v>
      </c>
      <c r="K1812" s="98" t="s">
        <v>2059</v>
      </c>
      <c r="L1812" s="96"/>
      <c r="M1812" s="110" t="s">
        <v>5615</v>
      </c>
      <c r="N1812" s="117" t="s">
        <v>5616</v>
      </c>
      <c r="O1812" s="110" t="s">
        <v>388</v>
      </c>
      <c r="P1812" s="110" t="s">
        <v>590</v>
      </c>
      <c r="Q1812" s="118" t="n">
        <v>0.2</v>
      </c>
      <c r="R1812" s="110" t="n">
        <v>1</v>
      </c>
      <c r="S1812" s="110" t="s">
        <v>632</v>
      </c>
      <c r="T1812" s="110" t="s">
        <v>530</v>
      </c>
      <c r="U1812" s="110" t="s">
        <v>2913</v>
      </c>
      <c r="V1812" s="119" t="n">
        <v>3.58</v>
      </c>
      <c r="W1812" s="119"/>
      <c r="X1812" s="110" t="s">
        <v>2063</v>
      </c>
      <c r="Y1812" s="110" t="s">
        <v>2064</v>
      </c>
      <c r="Z1812" s="110" t="s">
        <v>4337</v>
      </c>
      <c r="AA1812" s="110" t="s">
        <v>537</v>
      </c>
      <c r="AB1812" s="110" t="s">
        <v>244</v>
      </c>
      <c r="AC1812" s="110" t="s">
        <v>538</v>
      </c>
      <c r="AD1812" s="110" t="n">
        <f aca="false">IF(OR(F1812="",Q1812="",R1812=""),"",ROUND(IF(P1812="incl.",F1812/(1+Q1812),F1812)/IF(S1812="per pack",R1812,1),2))</f>
        <v>3.58</v>
      </c>
      <c r="AE1812" s="110" t="str">
        <f aca="false">IF(AND(AC1812="yes",ISNUMBER(F1812),IF(Compare!$H$5="All mapped",TRUE(),IF(Compare!$H$5="EXACT only",J1812="EXACT",OR(J1812="EXACT",J1812="CLOSE")))),"yes","no")</f>
        <v>yes</v>
      </c>
      <c r="AF1812" s="110" t="n">
        <f aca="false">IF(ISNUMBER(H1812),COUNTIFS($B$7:$B$3000,B1812,$C$7:$C$3000,C1812,$H$7:$H$3000,"&lt;"&amp;H1812,$AH$7:$AH$3000,"yes")+COUNTIFS($B$7:B1812,B1812,$C$7:C1812,C1812,$H$7:H1812,H1812,$AH$7:AH1812,"yes"),"")</f>
        <v>3</v>
      </c>
      <c r="AG1812" s="110" t="n">
        <f aca="false">IF(ISNUMBER(I1812),COUNTIFS($B$7:$B$3000,B1812,$C$7:$C$3000,C1812,$I$7:$I$3000,"&lt;"&amp;I1812,$AI$7:$AI$3000,"yes")+COUNTIFS($B$7:B1812,B1812,$C$7:C1812,C1812,$I$7:I1812,I1812,$AI$7:AI1812,"yes"),"")</f>
        <v>3</v>
      </c>
      <c r="AH1812" s="110" t="str">
        <f aca="false">IF(ISNUMBER(H1812),"yes","no")</f>
        <v>yes</v>
      </c>
      <c r="AI1812" s="110" t="str">
        <f aca="false">IF(ISNUMBER(I1812),"yes","no")</f>
        <v>yes</v>
      </c>
      <c r="AJ1812" s="120" t="n">
        <v>46297</v>
      </c>
      <c r="AK1812" s="110"/>
    </row>
    <row r="1813" customFormat="false" ht="35.05" hidden="false" customHeight="false" outlineLevel="0" collapsed="false">
      <c r="B1813" s="36" t="s">
        <v>100</v>
      </c>
      <c r="C1813" s="98" t="s">
        <v>15</v>
      </c>
      <c r="D1813" s="98" t="s">
        <v>269</v>
      </c>
      <c r="E1813" s="110" t="s">
        <v>5617</v>
      </c>
      <c r="F1813" s="99" t="n">
        <v>4.99</v>
      </c>
      <c r="G1813" s="98" t="s">
        <v>244</v>
      </c>
      <c r="H1813" s="112" t="n">
        <f aca="false">IF(AND(AE1813="yes",ISNUMBER(AD1813)),AD1813,"")</f>
        <v>4.99</v>
      </c>
      <c r="I1813" s="95" t="n">
        <f aca="false">IF(AND(AE1813="yes",ISNUMBER(AD1813),ISNUMBER(INDEX(Sources!$G$7:$G$10,MATCH(AB1813,Sources!$B$7:$B$10,0)))),ROUND(AD1813/INDEX(Sources!$G$7:$G$10,MATCH(AB1813,Sources!$B$7:$B$10,0)),6),"")</f>
        <v>4.99</v>
      </c>
      <c r="J1813" s="98" t="s">
        <v>702</v>
      </c>
      <c r="K1813" s="98" t="s">
        <v>2059</v>
      </c>
      <c r="L1813" s="96"/>
      <c r="M1813" s="110" t="s">
        <v>5618</v>
      </c>
      <c r="N1813" s="117" t="s">
        <v>5619</v>
      </c>
      <c r="O1813" s="110" t="s">
        <v>388</v>
      </c>
      <c r="P1813" s="110" t="s">
        <v>590</v>
      </c>
      <c r="Q1813" s="118" t="n">
        <v>0.19</v>
      </c>
      <c r="R1813" s="110" t="n">
        <v>1</v>
      </c>
      <c r="S1813" s="110" t="s">
        <v>632</v>
      </c>
      <c r="T1813" s="110" t="s">
        <v>702</v>
      </c>
      <c r="U1813" s="110" t="s">
        <v>2913</v>
      </c>
      <c r="V1813" s="119" t="n">
        <v>4.99</v>
      </c>
      <c r="W1813" s="119"/>
      <c r="X1813" s="110" t="s">
        <v>2063</v>
      </c>
      <c r="Y1813" s="110" t="s">
        <v>2064</v>
      </c>
      <c r="Z1813" s="110" t="s">
        <v>4345</v>
      </c>
      <c r="AA1813" s="110" t="s">
        <v>537</v>
      </c>
      <c r="AB1813" s="110" t="s">
        <v>244</v>
      </c>
      <c r="AC1813" s="110" t="s">
        <v>538</v>
      </c>
      <c r="AD1813" s="110" t="n">
        <f aca="false">IF(OR(F1813="",Q1813="",R1813=""),"",ROUND(IF(P1813="incl.",F1813/(1+Q1813),F1813)/IF(S1813="per pack",R1813,1),2))</f>
        <v>4.99</v>
      </c>
      <c r="AE1813" s="110" t="str">
        <f aca="false">IF(AND(AC1813="yes",ISNUMBER(F1813),IF(Compare!$H$5="All mapped",TRUE(),IF(Compare!$H$5="EXACT only",J1813="EXACT",OR(J1813="EXACT",J1813="CLOSE")))),"yes","no")</f>
        <v>yes</v>
      </c>
      <c r="AF1813" s="110" t="n">
        <f aca="false">IF(ISNUMBER(H1813),COUNTIFS($B$7:$B$3000,B1813,$C$7:$C$3000,C1813,$H$7:$H$3000,"&lt;"&amp;H1813,$AH$7:$AH$3000,"yes")+COUNTIFS($B$7:B1813,B1813,$C$7:C1813,C1813,$H$7:H1813,H1813,$AH$7:AH1813,"yes"),"")</f>
        <v>4</v>
      </c>
      <c r="AG1813" s="110" t="n">
        <f aca="false">IF(ISNUMBER(I1813),COUNTIFS($B$7:$B$3000,B1813,$C$7:$C$3000,C1813,$I$7:$I$3000,"&lt;"&amp;I1813,$AI$7:$AI$3000,"yes")+COUNTIFS($B$7:B1813,B1813,$C$7:C1813,C1813,$I$7:I1813,I1813,$AI$7:AI1813,"yes"),"")</f>
        <v>4</v>
      </c>
      <c r="AH1813" s="110" t="str">
        <f aca="false">IF(ISNUMBER(H1813),"yes","no")</f>
        <v>yes</v>
      </c>
      <c r="AI1813" s="110" t="str">
        <f aca="false">IF(ISNUMBER(I1813),"yes","no")</f>
        <v>yes</v>
      </c>
      <c r="AJ1813" s="120" t="n">
        <v>46297</v>
      </c>
      <c r="AK1813" s="110"/>
    </row>
    <row r="1814" customFormat="false" ht="23.85" hidden="false" customHeight="false" outlineLevel="0" collapsed="false">
      <c r="B1814" s="36" t="s">
        <v>100</v>
      </c>
      <c r="C1814" s="98" t="s">
        <v>15</v>
      </c>
      <c r="D1814" s="98" t="s">
        <v>264</v>
      </c>
      <c r="E1814" s="110" t="s">
        <v>5620</v>
      </c>
      <c r="F1814" s="99" t="n">
        <v>13.05</v>
      </c>
      <c r="G1814" s="98" t="s">
        <v>244</v>
      </c>
      <c r="H1814" s="112" t="n">
        <f aca="false">IF(AND(AE1814="yes",ISNUMBER(AD1814)),AD1814,"")</f>
        <v>13.05</v>
      </c>
      <c r="I1814" s="95" t="n">
        <f aca="false">IF(AND(AE1814="yes",ISNUMBER(AD1814),ISNUMBER(INDEX(Sources!$G$7:$G$10,MATCH(AB1814,Sources!$B$7:$B$10,0)))),ROUND(AD1814/INDEX(Sources!$G$7:$G$10,MATCH(AB1814,Sources!$B$7:$B$10,0)),6),"")</f>
        <v>13.05</v>
      </c>
      <c r="J1814" s="98" t="s">
        <v>530</v>
      </c>
      <c r="K1814" s="98" t="s">
        <v>2059</v>
      </c>
      <c r="L1814" s="96"/>
      <c r="M1814" s="110" t="s">
        <v>5621</v>
      </c>
      <c r="N1814" s="117" t="s">
        <v>5622</v>
      </c>
      <c r="O1814" s="110" t="s">
        <v>388</v>
      </c>
      <c r="P1814" s="110" t="s">
        <v>590</v>
      </c>
      <c r="Q1814" s="118" t="n">
        <v>0.19</v>
      </c>
      <c r="R1814" s="110" t="n">
        <v>1</v>
      </c>
      <c r="S1814" s="110" t="s">
        <v>632</v>
      </c>
      <c r="T1814" s="110" t="s">
        <v>530</v>
      </c>
      <c r="U1814" s="110" t="s">
        <v>2913</v>
      </c>
      <c r="V1814" s="119" t="n">
        <v>13.05</v>
      </c>
      <c r="W1814" s="119"/>
      <c r="X1814" s="110" t="s">
        <v>2063</v>
      </c>
      <c r="Y1814" s="110" t="s">
        <v>2064</v>
      </c>
      <c r="Z1814" s="110"/>
      <c r="AA1814" s="110" t="s">
        <v>537</v>
      </c>
      <c r="AB1814" s="110" t="s">
        <v>244</v>
      </c>
      <c r="AC1814" s="110" t="s">
        <v>538</v>
      </c>
      <c r="AD1814" s="110" t="n">
        <f aca="false">IF(OR(F1814="",Q1814="",R1814=""),"",ROUND(IF(P1814="incl.",F1814/(1+Q1814),F1814)/IF(S1814="per pack",R1814,1),2))</f>
        <v>13.05</v>
      </c>
      <c r="AE1814" s="110" t="str">
        <f aca="false">IF(AND(AC1814="yes",ISNUMBER(F1814),IF(Compare!$H$5="All mapped",TRUE(),IF(Compare!$H$5="EXACT only",J1814="EXACT",OR(J1814="EXACT",J1814="CLOSE")))),"yes","no")</f>
        <v>yes</v>
      </c>
      <c r="AF1814" s="110" t="n">
        <f aca="false">IF(ISNUMBER(H1814),COUNTIFS($B$7:$B$3000,B1814,$C$7:$C$3000,C1814,$H$7:$H$3000,"&lt;"&amp;H1814,$AH$7:$AH$3000,"yes")+COUNTIFS($B$7:B1814,B1814,$C$7:C1814,C1814,$H$7:H1814,H1814,$AH$7:AH1814,"yes"),"")</f>
        <v>5</v>
      </c>
      <c r="AG1814" s="110" t="n">
        <f aca="false">IF(ISNUMBER(I1814),COUNTIFS($B$7:$B$3000,B1814,$C$7:$C$3000,C1814,$I$7:$I$3000,"&lt;"&amp;I1814,$AI$7:$AI$3000,"yes")+COUNTIFS($B$7:B1814,B1814,$C$7:C1814,C1814,$I$7:I1814,I1814,$AI$7:AI1814,"yes"),"")</f>
        <v>5</v>
      </c>
      <c r="AH1814" s="110" t="str">
        <f aca="false">IF(ISNUMBER(H1814),"yes","no")</f>
        <v>yes</v>
      </c>
      <c r="AI1814" s="110" t="str">
        <f aca="false">IF(ISNUMBER(I1814),"yes","no")</f>
        <v>yes</v>
      </c>
      <c r="AJ1814" s="120" t="n">
        <v>46297</v>
      </c>
      <c r="AK1814" s="110"/>
    </row>
    <row r="1815" customFormat="false" ht="46.25" hidden="false" customHeight="false" outlineLevel="0" collapsed="false">
      <c r="B1815" s="36" t="s">
        <v>100</v>
      </c>
      <c r="C1815" s="98" t="s">
        <v>15</v>
      </c>
      <c r="D1815" s="98" t="s">
        <v>281</v>
      </c>
      <c r="E1815" s="110" t="s">
        <v>5623</v>
      </c>
      <c r="F1815" s="99" t="n">
        <v>2.72</v>
      </c>
      <c r="G1815" s="98" t="s">
        <v>244</v>
      </c>
      <c r="H1815" s="112" t="n">
        <f aca="false">IF(AND(AE1815="yes",ISNUMBER(AD1815)),AD1815,"")</f>
        <v>2.72</v>
      </c>
      <c r="I1815" s="95" t="n">
        <f aca="false">IF(AND(AE1815="yes",ISNUMBER(AD1815),ISNUMBER(INDEX(Sources!$G$7:$G$10,MATCH(AB1815,Sources!$B$7:$B$10,0)))),ROUND(AD1815/INDEX(Sources!$G$7:$G$10,MATCH(AB1815,Sources!$B$7:$B$10,0)),6),"")</f>
        <v>2.72</v>
      </c>
      <c r="J1815" s="98" t="s">
        <v>530</v>
      </c>
      <c r="K1815" s="98" t="s">
        <v>2059</v>
      </c>
      <c r="L1815" s="96"/>
      <c r="M1815" s="110" t="s">
        <v>5624</v>
      </c>
      <c r="N1815" s="117" t="s">
        <v>5625</v>
      </c>
      <c r="O1815" s="110" t="s">
        <v>603</v>
      </c>
      <c r="P1815" s="110" t="s">
        <v>590</v>
      </c>
      <c r="Q1815" s="118" t="n">
        <v>0.2</v>
      </c>
      <c r="R1815" s="110" t="n">
        <v>1</v>
      </c>
      <c r="S1815" s="110" t="s">
        <v>632</v>
      </c>
      <c r="T1815" s="110" t="s">
        <v>530</v>
      </c>
      <c r="U1815" s="110" t="s">
        <v>2913</v>
      </c>
      <c r="V1815" s="119" t="n">
        <v>2.72</v>
      </c>
      <c r="W1815" s="119"/>
      <c r="X1815" s="110" t="s">
        <v>2063</v>
      </c>
      <c r="Y1815" s="110" t="s">
        <v>2064</v>
      </c>
      <c r="Z1815" s="110" t="s">
        <v>5626</v>
      </c>
      <c r="AA1815" s="110" t="s">
        <v>537</v>
      </c>
      <c r="AB1815" s="110" t="s">
        <v>244</v>
      </c>
      <c r="AC1815" s="110" t="s">
        <v>538</v>
      </c>
      <c r="AD1815" s="110" t="n">
        <f aca="false">IF(OR(F1815="",Q1815="",R1815=""),"",ROUND(IF(P1815="incl.",F1815/(1+Q1815),F1815)/IF(S1815="per pack",R1815,1),2))</f>
        <v>2.72</v>
      </c>
      <c r="AE1815" s="110" t="str">
        <f aca="false">IF(AND(AC1815="yes",ISNUMBER(F1815),IF(Compare!$H$5="All mapped",TRUE(),IF(Compare!$H$5="EXACT only",J1815="EXACT",OR(J1815="EXACT",J1815="CLOSE")))),"yes","no")</f>
        <v>yes</v>
      </c>
      <c r="AF1815" s="110" t="n">
        <f aca="false">IF(ISNUMBER(H1815),COUNTIFS($B$7:$B$3000,B1815,$C$7:$C$3000,C1815,$H$7:$H$3000,"&lt;"&amp;H1815,$AH$7:$AH$3000,"yes")+COUNTIFS($B$7:B1815,B1815,$C$7:C1815,C1815,$H$7:H1815,H1815,$AH$7:AH1815,"yes"),"")</f>
        <v>2</v>
      </c>
      <c r="AG1815" s="110" t="n">
        <f aca="false">IF(ISNUMBER(I1815),COUNTIFS($B$7:$B$3000,B1815,$C$7:$C$3000,C1815,$I$7:$I$3000,"&lt;"&amp;I1815,$AI$7:$AI$3000,"yes")+COUNTIFS($B$7:B1815,B1815,$C$7:C1815,C1815,$I$7:I1815,I1815,$AI$7:AI1815,"yes"),"")</f>
        <v>2</v>
      </c>
      <c r="AH1815" s="110" t="str">
        <f aca="false">IF(ISNUMBER(H1815),"yes","no")</f>
        <v>yes</v>
      </c>
      <c r="AI1815" s="110" t="str">
        <f aca="false">IF(ISNUMBER(I1815),"yes","no")</f>
        <v>yes</v>
      </c>
      <c r="AJ1815" s="120" t="n">
        <v>46297</v>
      </c>
      <c r="AK1815" s="110"/>
    </row>
    <row r="1816" customFormat="false" ht="35.05" hidden="false" customHeight="false" outlineLevel="0" collapsed="false">
      <c r="B1816" s="36" t="s">
        <v>100</v>
      </c>
      <c r="C1816" s="98" t="s">
        <v>15</v>
      </c>
      <c r="D1816" s="98" t="s">
        <v>285</v>
      </c>
      <c r="E1816" s="110" t="s">
        <v>5627</v>
      </c>
      <c r="F1816" s="99" t="n">
        <v>17.2</v>
      </c>
      <c r="G1816" s="98" t="s">
        <v>244</v>
      </c>
      <c r="H1816" s="112" t="n">
        <f aca="false">IF(AND(AE1816="yes",ISNUMBER(AD1816)),AD1816,"")</f>
        <v>17.2</v>
      </c>
      <c r="I1816" s="95" t="n">
        <f aca="false">IF(AND(AE1816="yes",ISNUMBER(AD1816),ISNUMBER(INDEX(Sources!$G$7:$G$10,MATCH(AB1816,Sources!$B$7:$B$10,0)))),ROUND(AD1816/INDEX(Sources!$G$7:$G$10,MATCH(AB1816,Sources!$B$7:$B$10,0)),6),"")</f>
        <v>17.2</v>
      </c>
      <c r="J1816" s="98" t="s">
        <v>702</v>
      </c>
      <c r="K1816" s="98" t="s">
        <v>2059</v>
      </c>
      <c r="L1816" s="96"/>
      <c r="M1816" s="110" t="s">
        <v>5628</v>
      </c>
      <c r="N1816" s="117" t="s">
        <v>5629</v>
      </c>
      <c r="O1816" s="110" t="s">
        <v>685</v>
      </c>
      <c r="P1816" s="110" t="s">
        <v>590</v>
      </c>
      <c r="Q1816" s="118" t="n">
        <v>0.2</v>
      </c>
      <c r="R1816" s="110" t="n">
        <v>1</v>
      </c>
      <c r="S1816" s="110" t="s">
        <v>632</v>
      </c>
      <c r="T1816" s="110" t="s">
        <v>702</v>
      </c>
      <c r="U1816" s="110" t="s">
        <v>2913</v>
      </c>
      <c r="V1816" s="119" t="n">
        <v>17.2</v>
      </c>
      <c r="W1816" s="119"/>
      <c r="X1816" s="110" t="s">
        <v>2063</v>
      </c>
      <c r="Y1816" s="110" t="s">
        <v>2064</v>
      </c>
      <c r="Z1816" s="110"/>
      <c r="AA1816" s="110" t="s">
        <v>537</v>
      </c>
      <c r="AB1816" s="110" t="s">
        <v>244</v>
      </c>
      <c r="AC1816" s="110" t="s">
        <v>538</v>
      </c>
      <c r="AD1816" s="110" t="n">
        <f aca="false">IF(OR(F1816="",Q1816="",R1816=""),"",ROUND(IF(P1816="incl.",F1816/(1+Q1816),F1816)/IF(S1816="per pack",R1816,1),2))</f>
        <v>17.2</v>
      </c>
      <c r="AE1816" s="110" t="str">
        <f aca="false">IF(AND(AC1816="yes",ISNUMBER(F1816),IF(Compare!$H$5="All mapped",TRUE(),IF(Compare!$H$5="EXACT only",J1816="EXACT",OR(J1816="EXACT",J1816="CLOSE")))),"yes","no")</f>
        <v>yes</v>
      </c>
      <c r="AF1816" s="110" t="n">
        <f aca="false">IF(ISNUMBER(H1816),COUNTIFS($B$7:$B$3000,B1816,$C$7:$C$3000,C1816,$H$7:$H$3000,"&lt;"&amp;H1816,$AH$7:$AH$3000,"yes")+COUNTIFS($B$7:B1816,B1816,$C$7:C1816,C1816,$H$7:H1816,H1816,$AH$7:AH1816,"yes"),"")</f>
        <v>6</v>
      </c>
      <c r="AG1816" s="110" t="n">
        <f aca="false">IF(ISNUMBER(I1816),COUNTIFS($B$7:$B$3000,B1816,$C$7:$C$3000,C1816,$I$7:$I$3000,"&lt;"&amp;I1816,$AI$7:$AI$3000,"yes")+COUNTIFS($B$7:B1816,B1816,$C$7:C1816,C1816,$I$7:I1816,I1816,$AI$7:AI1816,"yes"),"")</f>
        <v>6</v>
      </c>
      <c r="AH1816" s="110" t="str">
        <f aca="false">IF(ISNUMBER(H1816),"yes","no")</f>
        <v>yes</v>
      </c>
      <c r="AI1816" s="110" t="str">
        <f aca="false">IF(ISNUMBER(I1816),"yes","no")</f>
        <v>yes</v>
      </c>
      <c r="AJ1816" s="120" t="n">
        <v>46297</v>
      </c>
      <c r="AK1816" s="110"/>
    </row>
    <row r="1817" customFormat="false" ht="35.05" hidden="false" customHeight="false" outlineLevel="0" collapsed="false">
      <c r="B1817" s="36" t="s">
        <v>100</v>
      </c>
      <c r="C1817" s="98" t="s">
        <v>15</v>
      </c>
      <c r="D1817" s="98" t="s">
        <v>293</v>
      </c>
      <c r="E1817" s="110" t="s">
        <v>5630</v>
      </c>
      <c r="F1817" s="99" t="n">
        <v>1.8</v>
      </c>
      <c r="G1817" s="98" t="s">
        <v>244</v>
      </c>
      <c r="H1817" s="112" t="n">
        <f aca="false">IF(AND(AE1817="yes",ISNUMBER(AD1817)),AD1817,"")</f>
        <v>1.8</v>
      </c>
      <c r="I1817" s="95" t="n">
        <f aca="false">IF(AND(AE1817="yes",ISNUMBER(AD1817),ISNUMBER(INDEX(Sources!$G$7:$G$10,MATCH(AB1817,Sources!$B$7:$B$10,0)))),ROUND(AD1817/INDEX(Sources!$G$7:$G$10,MATCH(AB1817,Sources!$B$7:$B$10,0)),6),"")</f>
        <v>1.8</v>
      </c>
      <c r="J1817" s="98" t="s">
        <v>530</v>
      </c>
      <c r="K1817" s="98" t="s">
        <v>2059</v>
      </c>
      <c r="L1817" s="96"/>
      <c r="M1817" s="110" t="s">
        <v>5631</v>
      </c>
      <c r="N1817" s="117" t="s">
        <v>5632</v>
      </c>
      <c r="O1817" s="110" t="s">
        <v>589</v>
      </c>
      <c r="P1817" s="110" t="s">
        <v>590</v>
      </c>
      <c r="Q1817" s="118" t="n">
        <v>0.2</v>
      </c>
      <c r="R1817" s="110" t="n">
        <v>1</v>
      </c>
      <c r="S1817" s="110" t="s">
        <v>632</v>
      </c>
      <c r="T1817" s="110" t="s">
        <v>530</v>
      </c>
      <c r="U1817" s="110" t="s">
        <v>2913</v>
      </c>
      <c r="V1817" s="119" t="n">
        <v>1.8</v>
      </c>
      <c r="W1817" s="119"/>
      <c r="X1817" s="110" t="s">
        <v>2063</v>
      </c>
      <c r="Y1817" s="110" t="s">
        <v>2064</v>
      </c>
      <c r="Z1817" s="110"/>
      <c r="AA1817" s="110" t="s">
        <v>537</v>
      </c>
      <c r="AB1817" s="110" t="s">
        <v>244</v>
      </c>
      <c r="AC1817" s="110" t="s">
        <v>538</v>
      </c>
      <c r="AD1817" s="110" t="n">
        <f aca="false">IF(OR(F1817="",Q1817="",R1817=""),"",ROUND(IF(P1817="incl.",F1817/(1+Q1817),F1817)/IF(S1817="per pack",R1817,1),2))</f>
        <v>1.8</v>
      </c>
      <c r="AE1817" s="110" t="str">
        <f aca="false">IF(AND(AC1817="yes",ISNUMBER(F1817),IF(Compare!$H$5="All mapped",TRUE(),IF(Compare!$H$5="EXACT only",J1817="EXACT",OR(J1817="EXACT",J1817="CLOSE")))),"yes","no")</f>
        <v>yes</v>
      </c>
      <c r="AF1817" s="110" t="n">
        <f aca="false">IF(ISNUMBER(H1817),COUNTIFS($B$7:$B$3000,B1817,$C$7:$C$3000,C1817,$H$7:$H$3000,"&lt;"&amp;H1817,$AH$7:$AH$3000,"yes")+COUNTIFS($B$7:B1817,B1817,$C$7:C1817,C1817,$H$7:H1817,H1817,$AH$7:AH1817,"yes"),"")</f>
        <v>1</v>
      </c>
      <c r="AG1817" s="110" t="n">
        <f aca="false">IF(ISNUMBER(I1817),COUNTIFS($B$7:$B$3000,B1817,$C$7:$C$3000,C1817,$I$7:$I$3000,"&lt;"&amp;I1817,$AI$7:$AI$3000,"yes")+COUNTIFS($B$7:B1817,B1817,$C$7:C1817,C1817,$I$7:I1817,I1817,$AI$7:AI1817,"yes"),"")</f>
        <v>1</v>
      </c>
      <c r="AH1817" s="110" t="str">
        <f aca="false">IF(ISNUMBER(H1817),"yes","no")</f>
        <v>yes</v>
      </c>
      <c r="AI1817" s="110" t="str">
        <f aca="false">IF(ISNUMBER(I1817),"yes","no")</f>
        <v>yes</v>
      </c>
      <c r="AJ1817" s="120" t="n">
        <v>46297</v>
      </c>
      <c r="AK1817" s="110"/>
    </row>
    <row r="1818" customFormat="false" ht="23.85" hidden="false" customHeight="false" outlineLevel="0" collapsed="false">
      <c r="B1818" s="36" t="s">
        <v>100</v>
      </c>
      <c r="C1818" s="98" t="s">
        <v>16</v>
      </c>
      <c r="D1818" s="98" t="s">
        <v>296</v>
      </c>
      <c r="E1818" s="110" t="s">
        <v>5614</v>
      </c>
      <c r="F1818" s="99" t="n">
        <v>3.58</v>
      </c>
      <c r="G1818" s="98" t="s">
        <v>244</v>
      </c>
      <c r="H1818" s="112" t="n">
        <f aca="false">IF(AND(AE1818="yes",ISNUMBER(AD1818)),AD1818,"")</f>
        <v>3.58</v>
      </c>
      <c r="I1818" s="95" t="n">
        <f aca="false">IF(AND(AE1818="yes",ISNUMBER(AD1818),ISNUMBER(INDEX(Sources!$G$7:$G$10,MATCH(AB1818,Sources!$B$7:$B$10,0)))),ROUND(AD1818/INDEX(Sources!$G$7:$G$10,MATCH(AB1818,Sources!$B$7:$B$10,0)),6),"")</f>
        <v>3.58</v>
      </c>
      <c r="J1818" s="98" t="s">
        <v>530</v>
      </c>
      <c r="K1818" s="98" t="s">
        <v>2059</v>
      </c>
      <c r="L1818" s="96"/>
      <c r="M1818" s="110" t="s">
        <v>5633</v>
      </c>
      <c r="N1818" s="117" t="s">
        <v>5634</v>
      </c>
      <c r="O1818" s="110" t="s">
        <v>388</v>
      </c>
      <c r="P1818" s="110" t="s">
        <v>590</v>
      </c>
      <c r="Q1818" s="118" t="n">
        <v>0.19</v>
      </c>
      <c r="R1818" s="110" t="n">
        <v>1</v>
      </c>
      <c r="S1818" s="110" t="s">
        <v>632</v>
      </c>
      <c r="T1818" s="110" t="s">
        <v>530</v>
      </c>
      <c r="U1818" s="110" t="s">
        <v>2913</v>
      </c>
      <c r="V1818" s="119" t="n">
        <v>3.58</v>
      </c>
      <c r="W1818" s="119"/>
      <c r="X1818" s="110" t="s">
        <v>2063</v>
      </c>
      <c r="Y1818" s="110" t="s">
        <v>2064</v>
      </c>
      <c r="Z1818" s="110" t="s">
        <v>2065</v>
      </c>
      <c r="AA1818" s="110" t="s">
        <v>537</v>
      </c>
      <c r="AB1818" s="110" t="s">
        <v>244</v>
      </c>
      <c r="AC1818" s="110" t="s">
        <v>538</v>
      </c>
      <c r="AD1818" s="110" t="n">
        <f aca="false">IF(OR(F1818="",Q1818="",R1818=""),"",ROUND(IF(P1818="incl.",F1818/(1+Q1818),F1818)/IF(S1818="per pack",R1818,1),2))</f>
        <v>3.58</v>
      </c>
      <c r="AE1818" s="110" t="str">
        <f aca="false">IF(AND(AC1818="yes",ISNUMBER(F1818),IF(Compare!$H$5="All mapped",TRUE(),IF(Compare!$H$5="EXACT only",J1818="EXACT",OR(J1818="EXACT",J1818="CLOSE")))),"yes","no")</f>
        <v>yes</v>
      </c>
      <c r="AF1818" s="110" t="n">
        <f aca="false">IF(ISNUMBER(H1818),COUNTIFS($B$7:$B$3000,B1818,$C$7:$C$3000,C1818,$H$7:$H$3000,"&lt;"&amp;H1818,$AH$7:$AH$3000,"yes")+COUNTIFS($B$7:B1818,B1818,$C$7:C1818,C1818,$H$7:H1818,H1818,$AH$7:AH1818,"yes"),"")</f>
        <v>4</v>
      </c>
      <c r="AG1818" s="110" t="n">
        <f aca="false">IF(ISNUMBER(I1818),COUNTIFS($B$7:$B$3000,B1818,$C$7:$C$3000,C1818,$I$7:$I$3000,"&lt;"&amp;I1818,$AI$7:$AI$3000,"yes")+COUNTIFS($B$7:B1818,B1818,$C$7:C1818,C1818,$I$7:I1818,I1818,$AI$7:AI1818,"yes"),"")</f>
        <v>4</v>
      </c>
      <c r="AH1818" s="110" t="str">
        <f aca="false">IF(ISNUMBER(H1818),"yes","no")</f>
        <v>yes</v>
      </c>
      <c r="AI1818" s="110" t="str">
        <f aca="false">IF(ISNUMBER(I1818),"yes","no")</f>
        <v>yes</v>
      </c>
      <c r="AJ1818" s="120" t="n">
        <v>46297</v>
      </c>
      <c r="AK1818" s="110"/>
    </row>
    <row r="1819" customFormat="false" ht="35.05" hidden="false" customHeight="false" outlineLevel="0" collapsed="false">
      <c r="B1819" s="36" t="s">
        <v>100</v>
      </c>
      <c r="C1819" s="98" t="s">
        <v>16</v>
      </c>
      <c r="D1819" s="98" t="s">
        <v>317</v>
      </c>
      <c r="E1819" s="110" t="s">
        <v>5635</v>
      </c>
      <c r="F1819" s="99" t="n">
        <v>14.99</v>
      </c>
      <c r="G1819" s="98" t="s">
        <v>244</v>
      </c>
      <c r="H1819" s="112" t="n">
        <f aca="false">IF(AND(AE1819="yes",ISNUMBER(AD1819)),AD1819,"")</f>
        <v>2.5</v>
      </c>
      <c r="I1819" s="95" t="n">
        <f aca="false">IF(AND(AE1819="yes",ISNUMBER(AD1819),ISNUMBER(INDEX(Sources!$G$7:$G$10,MATCH(AB1819,Sources!$B$7:$B$10,0)))),ROUND(AD1819/INDEX(Sources!$G$7:$G$10,MATCH(AB1819,Sources!$B$7:$B$10,0)),6),"")</f>
        <v>2.5</v>
      </c>
      <c r="J1819" s="98" t="s">
        <v>530</v>
      </c>
      <c r="K1819" s="98" t="s">
        <v>2059</v>
      </c>
      <c r="L1819" s="96"/>
      <c r="M1819" s="110" t="s">
        <v>5636</v>
      </c>
      <c r="N1819" s="117" t="s">
        <v>5637</v>
      </c>
      <c r="O1819" s="110" t="s">
        <v>642</v>
      </c>
      <c r="P1819" s="110" t="s">
        <v>590</v>
      </c>
      <c r="Q1819" s="118" t="n">
        <v>0.19</v>
      </c>
      <c r="R1819" s="110" t="n">
        <v>6</v>
      </c>
      <c r="S1819" s="110" t="s">
        <v>625</v>
      </c>
      <c r="T1819" s="110" t="s">
        <v>530</v>
      </c>
      <c r="U1819" s="110" t="s">
        <v>2913</v>
      </c>
      <c r="V1819" s="119" t="n">
        <v>2.5</v>
      </c>
      <c r="W1819" s="119"/>
      <c r="X1819" s="110" t="s">
        <v>2063</v>
      </c>
      <c r="Y1819" s="110" t="s">
        <v>2064</v>
      </c>
      <c r="Z1819" s="110" t="s">
        <v>5027</v>
      </c>
      <c r="AA1819" s="110" t="s">
        <v>537</v>
      </c>
      <c r="AB1819" s="110" t="s">
        <v>244</v>
      </c>
      <c r="AC1819" s="110" t="s">
        <v>538</v>
      </c>
      <c r="AD1819" s="110" t="n">
        <f aca="false">IF(OR(F1819="",Q1819="",R1819=""),"",ROUND(IF(P1819="incl.",F1819/(1+Q1819),F1819)/IF(S1819="per pack",R1819,1),2))</f>
        <v>2.5</v>
      </c>
      <c r="AE1819" s="110" t="str">
        <f aca="false">IF(AND(AC1819="yes",ISNUMBER(F1819),IF(Compare!$H$5="All mapped",TRUE(),IF(Compare!$H$5="EXACT only",J1819="EXACT",OR(J1819="EXACT",J1819="CLOSE")))),"yes","no")</f>
        <v>yes</v>
      </c>
      <c r="AF1819" s="110" t="n">
        <f aca="false">IF(ISNUMBER(H1819),COUNTIFS($B$7:$B$3000,B1819,$C$7:$C$3000,C1819,$H$7:$H$3000,"&lt;"&amp;H1819,$AH$7:$AH$3000,"yes")+COUNTIFS($B$7:B1819,B1819,$C$7:C1819,C1819,$H$7:H1819,H1819,$AH$7:AH1819,"yes"),"")</f>
        <v>1</v>
      </c>
      <c r="AG1819" s="110" t="n">
        <f aca="false">IF(ISNUMBER(I1819),COUNTIFS($B$7:$B$3000,B1819,$C$7:$C$3000,C1819,$I$7:$I$3000,"&lt;"&amp;I1819,$AI$7:$AI$3000,"yes")+COUNTIFS($B$7:B1819,B1819,$C$7:C1819,C1819,$I$7:I1819,I1819,$AI$7:AI1819,"yes"),"")</f>
        <v>1</v>
      </c>
      <c r="AH1819" s="110" t="str">
        <f aca="false">IF(ISNUMBER(H1819),"yes","no")</f>
        <v>yes</v>
      </c>
      <c r="AI1819" s="110" t="str">
        <f aca="false">IF(ISNUMBER(I1819),"yes","no")</f>
        <v>yes</v>
      </c>
      <c r="AJ1819" s="120" t="n">
        <v>46297</v>
      </c>
      <c r="AK1819" s="110"/>
    </row>
    <row r="1820" customFormat="false" ht="23.85" hidden="false" customHeight="false" outlineLevel="0" collapsed="false">
      <c r="B1820" s="36" t="s">
        <v>100</v>
      </c>
      <c r="C1820" s="98" t="s">
        <v>16</v>
      </c>
      <c r="D1820" s="98" t="s">
        <v>311</v>
      </c>
      <c r="E1820" s="110" t="s">
        <v>5617</v>
      </c>
      <c r="F1820" s="99" t="n">
        <v>4.69</v>
      </c>
      <c r="G1820" s="98" t="s">
        <v>244</v>
      </c>
      <c r="H1820" s="112" t="n">
        <f aca="false">IF(AND(AE1820="yes",ISNUMBER(AD1820)),AD1820,"")</f>
        <v>4.69</v>
      </c>
      <c r="I1820" s="95" t="n">
        <f aca="false">IF(AND(AE1820="yes",ISNUMBER(AD1820),ISNUMBER(INDEX(Sources!$G$7:$G$10,MATCH(AB1820,Sources!$B$7:$B$10,0)))),ROUND(AD1820/INDEX(Sources!$G$7:$G$10,MATCH(AB1820,Sources!$B$7:$B$10,0)),6),"")</f>
        <v>4.69</v>
      </c>
      <c r="J1820" s="98" t="s">
        <v>702</v>
      </c>
      <c r="K1820" s="98" t="s">
        <v>2059</v>
      </c>
      <c r="L1820" s="96"/>
      <c r="M1820" s="110" t="s">
        <v>5638</v>
      </c>
      <c r="N1820" s="117" t="s">
        <v>5639</v>
      </c>
      <c r="O1820" s="110" t="s">
        <v>388</v>
      </c>
      <c r="P1820" s="110" t="s">
        <v>590</v>
      </c>
      <c r="Q1820" s="118" t="n">
        <v>0.19</v>
      </c>
      <c r="R1820" s="110" t="n">
        <v>1</v>
      </c>
      <c r="S1820" s="110" t="s">
        <v>632</v>
      </c>
      <c r="T1820" s="110" t="s">
        <v>702</v>
      </c>
      <c r="U1820" s="110" t="s">
        <v>2913</v>
      </c>
      <c r="V1820" s="119" t="n">
        <v>4.69</v>
      </c>
      <c r="W1820" s="119"/>
      <c r="X1820" s="110" t="s">
        <v>2063</v>
      </c>
      <c r="Y1820" s="110" t="s">
        <v>2064</v>
      </c>
      <c r="Z1820" s="110" t="s">
        <v>4369</v>
      </c>
      <c r="AA1820" s="110" t="s">
        <v>537</v>
      </c>
      <c r="AB1820" s="110" t="s">
        <v>244</v>
      </c>
      <c r="AC1820" s="110" t="s">
        <v>538</v>
      </c>
      <c r="AD1820" s="110" t="n">
        <f aca="false">IF(OR(F1820="",Q1820="",R1820=""),"",ROUND(IF(P1820="incl.",F1820/(1+Q1820),F1820)/IF(S1820="per pack",R1820,1),2))</f>
        <v>4.69</v>
      </c>
      <c r="AE1820" s="110" t="str">
        <f aca="false">IF(AND(AC1820="yes",ISNUMBER(F1820),IF(Compare!$H$5="All mapped",TRUE(),IF(Compare!$H$5="EXACT only",J1820="EXACT",OR(J1820="EXACT",J1820="CLOSE")))),"yes","no")</f>
        <v>yes</v>
      </c>
      <c r="AF1820" s="110" t="n">
        <f aca="false">IF(ISNUMBER(H1820),COUNTIFS($B$7:$B$3000,B1820,$C$7:$C$3000,C1820,$H$7:$H$3000,"&lt;"&amp;H1820,$AH$7:$AH$3000,"yes")+COUNTIFS($B$7:B1820,B1820,$C$7:C1820,C1820,$H$7:H1820,H1820,$AH$7:AH1820,"yes"),"")</f>
        <v>5</v>
      </c>
      <c r="AG1820" s="110" t="n">
        <f aca="false">IF(ISNUMBER(I1820),COUNTIFS($B$7:$B$3000,B1820,$C$7:$C$3000,C1820,$I$7:$I$3000,"&lt;"&amp;I1820,$AI$7:$AI$3000,"yes")+COUNTIFS($B$7:B1820,B1820,$C$7:C1820,C1820,$I$7:I1820,I1820,$AI$7:AI1820,"yes"),"")</f>
        <v>5</v>
      </c>
      <c r="AH1820" s="110" t="str">
        <f aca="false">IF(ISNUMBER(H1820),"yes","no")</f>
        <v>yes</v>
      </c>
      <c r="AI1820" s="110" t="str">
        <f aca="false">IF(ISNUMBER(I1820),"yes","no")</f>
        <v>yes</v>
      </c>
      <c r="AJ1820" s="120" t="n">
        <v>46297</v>
      </c>
      <c r="AK1820" s="110"/>
    </row>
    <row r="1821" customFormat="false" ht="23.85" hidden="false" customHeight="false" outlineLevel="0" collapsed="false">
      <c r="B1821" s="36" t="s">
        <v>100</v>
      </c>
      <c r="C1821" s="98" t="s">
        <v>16</v>
      </c>
      <c r="D1821" s="98" t="s">
        <v>309</v>
      </c>
      <c r="E1821" s="110" t="s">
        <v>5640</v>
      </c>
      <c r="F1821" s="99" t="n">
        <v>11.1</v>
      </c>
      <c r="G1821" s="98" t="s">
        <v>244</v>
      </c>
      <c r="H1821" s="112" t="n">
        <f aca="false">IF(AND(AE1821="yes",ISNUMBER(AD1821)),AD1821,"")</f>
        <v>11.1</v>
      </c>
      <c r="I1821" s="95" t="n">
        <f aca="false">IF(AND(AE1821="yes",ISNUMBER(AD1821),ISNUMBER(INDEX(Sources!$G$7:$G$10,MATCH(AB1821,Sources!$B$7:$B$10,0)))),ROUND(AD1821/INDEX(Sources!$G$7:$G$10,MATCH(AB1821,Sources!$B$7:$B$10,0)),6),"")</f>
        <v>11.1</v>
      </c>
      <c r="J1821" s="98" t="s">
        <v>530</v>
      </c>
      <c r="K1821" s="98" t="s">
        <v>2059</v>
      </c>
      <c r="L1821" s="96"/>
      <c r="M1821" s="110" t="s">
        <v>5641</v>
      </c>
      <c r="N1821" s="117" t="s">
        <v>5642</v>
      </c>
      <c r="O1821" s="110" t="s">
        <v>603</v>
      </c>
      <c r="P1821" s="110" t="s">
        <v>590</v>
      </c>
      <c r="Q1821" s="118" t="n">
        <v>0.19</v>
      </c>
      <c r="R1821" s="110" t="n">
        <v>1</v>
      </c>
      <c r="S1821" s="110" t="s">
        <v>632</v>
      </c>
      <c r="T1821" s="110" t="s">
        <v>530</v>
      </c>
      <c r="U1821" s="110" t="s">
        <v>2913</v>
      </c>
      <c r="V1821" s="119" t="n">
        <v>11.1</v>
      </c>
      <c r="W1821" s="119"/>
      <c r="X1821" s="110" t="s">
        <v>2063</v>
      </c>
      <c r="Y1821" s="110" t="s">
        <v>2064</v>
      </c>
      <c r="Z1821" s="110" t="s">
        <v>4373</v>
      </c>
      <c r="AA1821" s="110" t="s">
        <v>537</v>
      </c>
      <c r="AB1821" s="110" t="s">
        <v>244</v>
      </c>
      <c r="AC1821" s="110" t="s">
        <v>538</v>
      </c>
      <c r="AD1821" s="110" t="n">
        <f aca="false">IF(OR(F1821="",Q1821="",R1821=""),"",ROUND(IF(P1821="incl.",F1821/(1+Q1821),F1821)/IF(S1821="per pack",R1821,1),2))</f>
        <v>11.1</v>
      </c>
      <c r="AE1821" s="110" t="str">
        <f aca="false">IF(AND(AC1821="yes",ISNUMBER(F1821),IF(Compare!$H$5="All mapped",TRUE(),IF(Compare!$H$5="EXACT only",J1821="EXACT",OR(J1821="EXACT",J1821="CLOSE")))),"yes","no")</f>
        <v>yes</v>
      </c>
      <c r="AF1821" s="110" t="n">
        <f aca="false">IF(ISNUMBER(H1821),COUNTIFS($B$7:$B$3000,B1821,$C$7:$C$3000,C1821,$H$7:$H$3000,"&lt;"&amp;H1821,$AH$7:$AH$3000,"yes")+COUNTIFS($B$7:B1821,B1821,$C$7:C1821,C1821,$H$7:H1821,H1821,$AH$7:AH1821,"yes"),"")</f>
        <v>6</v>
      </c>
      <c r="AG1821" s="110" t="n">
        <f aca="false">IF(ISNUMBER(I1821),COUNTIFS($B$7:$B$3000,B1821,$C$7:$C$3000,C1821,$I$7:$I$3000,"&lt;"&amp;I1821,$AI$7:$AI$3000,"yes")+COUNTIFS($B$7:B1821,B1821,$C$7:C1821,C1821,$I$7:I1821,I1821,$AI$7:AI1821,"yes"),"")</f>
        <v>6</v>
      </c>
      <c r="AH1821" s="110" t="str">
        <f aca="false">IF(ISNUMBER(H1821),"yes","no")</f>
        <v>yes</v>
      </c>
      <c r="AI1821" s="110" t="str">
        <f aca="false">IF(ISNUMBER(I1821),"yes","no")</f>
        <v>yes</v>
      </c>
      <c r="AJ1821" s="120" t="n">
        <v>46297</v>
      </c>
      <c r="AK1821" s="110"/>
    </row>
    <row r="1822" customFormat="false" ht="35.05" hidden="false" customHeight="false" outlineLevel="0" collapsed="false">
      <c r="B1822" s="36" t="s">
        <v>100</v>
      </c>
      <c r="C1822" s="98" t="s">
        <v>16</v>
      </c>
      <c r="D1822" s="98" t="s">
        <v>321</v>
      </c>
      <c r="E1822" s="110" t="s">
        <v>5623</v>
      </c>
      <c r="F1822" s="99" t="n">
        <v>2.72</v>
      </c>
      <c r="G1822" s="98" t="s">
        <v>244</v>
      </c>
      <c r="H1822" s="112" t="n">
        <f aca="false">IF(AND(AE1822="yes",ISNUMBER(AD1822)),AD1822,"")</f>
        <v>2.72</v>
      </c>
      <c r="I1822" s="95" t="n">
        <f aca="false">IF(AND(AE1822="yes",ISNUMBER(AD1822),ISNUMBER(INDEX(Sources!$G$7:$G$10,MATCH(AB1822,Sources!$B$7:$B$10,0)))),ROUND(AD1822/INDEX(Sources!$G$7:$G$10,MATCH(AB1822,Sources!$B$7:$B$10,0)),6),"")</f>
        <v>2.72</v>
      </c>
      <c r="J1822" s="98" t="s">
        <v>530</v>
      </c>
      <c r="K1822" s="98" t="s">
        <v>2059</v>
      </c>
      <c r="L1822" s="96"/>
      <c r="M1822" s="110" t="s">
        <v>5643</v>
      </c>
      <c r="N1822" s="117" t="s">
        <v>5644</v>
      </c>
      <c r="O1822" s="110" t="s">
        <v>603</v>
      </c>
      <c r="P1822" s="110" t="s">
        <v>590</v>
      </c>
      <c r="Q1822" s="118" t="n">
        <v>0.19</v>
      </c>
      <c r="R1822" s="110" t="n">
        <v>1</v>
      </c>
      <c r="S1822" s="110" t="s">
        <v>632</v>
      </c>
      <c r="T1822" s="110" t="s">
        <v>530</v>
      </c>
      <c r="U1822" s="110" t="s">
        <v>2913</v>
      </c>
      <c r="V1822" s="119" t="n">
        <v>2.72</v>
      </c>
      <c r="W1822" s="119"/>
      <c r="X1822" s="110" t="s">
        <v>2063</v>
      </c>
      <c r="Y1822" s="110" t="s">
        <v>2064</v>
      </c>
      <c r="Z1822" s="110" t="s">
        <v>5626</v>
      </c>
      <c r="AA1822" s="110" t="s">
        <v>537</v>
      </c>
      <c r="AB1822" s="110" t="s">
        <v>244</v>
      </c>
      <c r="AC1822" s="110" t="s">
        <v>538</v>
      </c>
      <c r="AD1822" s="110" t="n">
        <f aca="false">IF(OR(F1822="",Q1822="",R1822=""),"",ROUND(IF(P1822="incl.",F1822/(1+Q1822),F1822)/IF(S1822="per pack",R1822,1),2))</f>
        <v>2.72</v>
      </c>
      <c r="AE1822" s="110" t="str">
        <f aca="false">IF(AND(AC1822="yes",ISNUMBER(F1822),IF(Compare!$H$5="All mapped",TRUE(),IF(Compare!$H$5="EXACT only",J1822="EXACT",OR(J1822="EXACT",J1822="CLOSE")))),"yes","no")</f>
        <v>yes</v>
      </c>
      <c r="AF1822" s="110" t="n">
        <f aca="false">IF(ISNUMBER(H1822),COUNTIFS($B$7:$B$3000,B1822,$C$7:$C$3000,C1822,$H$7:$H$3000,"&lt;"&amp;H1822,$AH$7:$AH$3000,"yes")+COUNTIFS($B$7:B1822,B1822,$C$7:C1822,C1822,$H$7:H1822,H1822,$AH$7:AH1822,"yes"),"")</f>
        <v>2</v>
      </c>
      <c r="AG1822" s="110" t="n">
        <f aca="false">IF(ISNUMBER(I1822),COUNTIFS($B$7:$B$3000,B1822,$C$7:$C$3000,C1822,$I$7:$I$3000,"&lt;"&amp;I1822,$AI$7:$AI$3000,"yes")+COUNTIFS($B$7:B1822,B1822,$C$7:C1822,C1822,$I$7:I1822,I1822,$AI$7:AI1822,"yes"),"")</f>
        <v>2</v>
      </c>
      <c r="AH1822" s="110" t="str">
        <f aca="false">IF(ISNUMBER(H1822),"yes","no")</f>
        <v>yes</v>
      </c>
      <c r="AI1822" s="110" t="str">
        <f aca="false">IF(ISNUMBER(I1822),"yes","no")</f>
        <v>yes</v>
      </c>
      <c r="AJ1822" s="120" t="n">
        <v>46297</v>
      </c>
      <c r="AK1822" s="110"/>
    </row>
    <row r="1823" customFormat="false" ht="35.05" hidden="false" customHeight="false" outlineLevel="0" collapsed="false">
      <c r="B1823" s="36" t="s">
        <v>100</v>
      </c>
      <c r="C1823" s="98" t="s">
        <v>16</v>
      </c>
      <c r="D1823" s="98" t="s">
        <v>329</v>
      </c>
      <c r="E1823" s="110" t="s">
        <v>5645</v>
      </c>
      <c r="F1823" s="99" t="n">
        <v>3.29</v>
      </c>
      <c r="G1823" s="98" t="s">
        <v>244</v>
      </c>
      <c r="H1823" s="112" t="n">
        <f aca="false">IF(AND(AE1823="yes",ISNUMBER(AD1823)),AD1823,"")</f>
        <v>3.29</v>
      </c>
      <c r="I1823" s="95" t="n">
        <f aca="false">IF(AND(AE1823="yes",ISNUMBER(AD1823),ISNUMBER(INDEX(Sources!$G$7:$G$10,MATCH(AB1823,Sources!$B$7:$B$10,0)))),ROUND(AD1823/INDEX(Sources!$G$7:$G$10,MATCH(AB1823,Sources!$B$7:$B$10,0)),6),"")</f>
        <v>3.29</v>
      </c>
      <c r="J1823" s="98" t="s">
        <v>530</v>
      </c>
      <c r="K1823" s="98" t="s">
        <v>2059</v>
      </c>
      <c r="L1823" s="96"/>
      <c r="M1823" s="110" t="s">
        <v>5646</v>
      </c>
      <c r="N1823" s="117" t="s">
        <v>5647</v>
      </c>
      <c r="O1823" s="110" t="s">
        <v>642</v>
      </c>
      <c r="P1823" s="110" t="s">
        <v>590</v>
      </c>
      <c r="Q1823" s="118" t="n">
        <v>0.19</v>
      </c>
      <c r="R1823" s="110" t="n">
        <v>1</v>
      </c>
      <c r="S1823" s="110" t="s">
        <v>632</v>
      </c>
      <c r="T1823" s="110" t="s">
        <v>530</v>
      </c>
      <c r="U1823" s="110" t="s">
        <v>2913</v>
      </c>
      <c r="V1823" s="119" t="n">
        <v>3.29</v>
      </c>
      <c r="W1823" s="119"/>
      <c r="X1823" s="110" t="s">
        <v>2063</v>
      </c>
      <c r="Y1823" s="110" t="s">
        <v>2064</v>
      </c>
      <c r="Z1823" s="110" t="s">
        <v>2777</v>
      </c>
      <c r="AA1823" s="110" t="s">
        <v>537</v>
      </c>
      <c r="AB1823" s="110" t="s">
        <v>244</v>
      </c>
      <c r="AC1823" s="110" t="s">
        <v>538</v>
      </c>
      <c r="AD1823" s="110" t="n">
        <f aca="false">IF(OR(F1823="",Q1823="",R1823=""),"",ROUND(IF(P1823="incl.",F1823/(1+Q1823),F1823)/IF(S1823="per pack",R1823,1),2))</f>
        <v>3.29</v>
      </c>
      <c r="AE1823" s="110" t="str">
        <f aca="false">IF(AND(AC1823="yes",ISNUMBER(F1823),IF(Compare!$H$5="All mapped",TRUE(),IF(Compare!$H$5="EXACT only",J1823="EXACT",OR(J1823="EXACT",J1823="CLOSE")))),"yes","no")</f>
        <v>yes</v>
      </c>
      <c r="AF1823" s="110" t="n">
        <f aca="false">IF(ISNUMBER(H1823),COUNTIFS($B$7:$B$3000,B1823,$C$7:$C$3000,C1823,$H$7:$H$3000,"&lt;"&amp;H1823,$AH$7:$AH$3000,"yes")+COUNTIFS($B$7:B1823,B1823,$C$7:C1823,C1823,$H$7:H1823,H1823,$AH$7:AH1823,"yes"),"")</f>
        <v>3</v>
      </c>
      <c r="AG1823" s="110" t="n">
        <f aca="false">IF(ISNUMBER(I1823),COUNTIFS($B$7:$B$3000,B1823,$C$7:$C$3000,C1823,$I$7:$I$3000,"&lt;"&amp;I1823,$AI$7:$AI$3000,"yes")+COUNTIFS($B$7:B1823,B1823,$C$7:C1823,C1823,$I$7:I1823,I1823,$AI$7:AI1823,"yes"),"")</f>
        <v>3</v>
      </c>
      <c r="AH1823" s="110" t="str">
        <f aca="false">IF(ISNUMBER(H1823),"yes","no")</f>
        <v>yes</v>
      </c>
      <c r="AI1823" s="110" t="str">
        <f aca="false">IF(ISNUMBER(I1823),"yes","no")</f>
        <v>yes</v>
      </c>
      <c r="AJ1823" s="120" t="n">
        <v>46297</v>
      </c>
      <c r="AK1823" s="110"/>
    </row>
    <row r="1824" customFormat="false" ht="35.05" hidden="false" customHeight="false" outlineLevel="0" collapsed="false">
      <c r="B1824" s="36" t="s">
        <v>100</v>
      </c>
      <c r="C1824" s="98" t="s">
        <v>17</v>
      </c>
      <c r="D1824" s="98" t="s">
        <v>342</v>
      </c>
      <c r="E1824" s="110" t="s">
        <v>5648</v>
      </c>
      <c r="F1824" s="99" t="n">
        <v>102</v>
      </c>
      <c r="G1824" s="98" t="s">
        <v>333</v>
      </c>
      <c r="H1824" s="112" t="n">
        <f aca="false">IF(AND(AE1824="yes",ISNUMBER(AD1824)),AD1824,"")</f>
        <v>102</v>
      </c>
      <c r="I1824" s="95" t="n">
        <f aca="false">IF(AND(AE1824="yes",ISNUMBER(AD1824),ISNUMBER(INDEX(Sources!$G$7:$G$10,MATCH(AB1824,Sources!$B$7:$B$10,0)))),ROUND(AD1824/INDEX(Sources!$G$7:$G$10,MATCH(AB1824,Sources!$B$7:$B$10,0)),6),"")</f>
        <v>4.176286</v>
      </c>
      <c r="J1824" s="98" t="s">
        <v>530</v>
      </c>
      <c r="K1824" s="98" t="s">
        <v>2059</v>
      </c>
      <c r="L1824" s="96"/>
      <c r="M1824" s="110" t="s">
        <v>5649</v>
      </c>
      <c r="N1824" s="117" t="s">
        <v>5650</v>
      </c>
      <c r="O1824" s="110" t="s">
        <v>388</v>
      </c>
      <c r="P1824" s="110" t="s">
        <v>590</v>
      </c>
      <c r="Q1824" s="118" t="n">
        <v>0.21</v>
      </c>
      <c r="R1824" s="110" t="n">
        <v>1</v>
      </c>
      <c r="S1824" s="110" t="s">
        <v>632</v>
      </c>
      <c r="T1824" s="110" t="s">
        <v>530</v>
      </c>
      <c r="U1824" s="110" t="s">
        <v>2913</v>
      </c>
      <c r="V1824" s="119" t="n">
        <v>102</v>
      </c>
      <c r="W1824" s="119"/>
      <c r="X1824" s="110" t="s">
        <v>2063</v>
      </c>
      <c r="Y1824" s="110" t="s">
        <v>2064</v>
      </c>
      <c r="Z1824" s="110" t="s">
        <v>4805</v>
      </c>
      <c r="AA1824" s="110" t="s">
        <v>537</v>
      </c>
      <c r="AB1824" s="110" t="s">
        <v>333</v>
      </c>
      <c r="AC1824" s="110" t="s">
        <v>538</v>
      </c>
      <c r="AD1824" s="110" t="n">
        <f aca="false">IF(OR(F1824="",Q1824="",R1824=""),"",ROUND(IF(P1824="incl.",F1824/(1+Q1824),F1824)/IF(S1824="per pack",R1824,1),2))</f>
        <v>102</v>
      </c>
      <c r="AE1824" s="110" t="str">
        <f aca="false">IF(AND(AC1824="yes",ISNUMBER(F1824),IF(Compare!$H$5="All mapped",TRUE(),IF(Compare!$H$5="EXACT only",J1824="EXACT",OR(J1824="EXACT",J1824="CLOSE")))),"yes","no")</f>
        <v>yes</v>
      </c>
      <c r="AF1824" s="110" t="n">
        <f aca="false">IF(ISNUMBER(H1824),COUNTIFS($B$7:$B$3000,B1824,$C$7:$C$3000,C1824,$H$7:$H$3000,"&lt;"&amp;H1824,$AH$7:$AH$3000,"yes")+COUNTIFS($B$7:B1824,B1824,$C$7:C1824,C1824,$H$7:H1824,H1824,$AH$7:AH1824,"yes"),"")</f>
        <v>5</v>
      </c>
      <c r="AG1824" s="110" t="n">
        <f aca="false">IF(ISNUMBER(I1824),COUNTIFS($B$7:$B$3000,B1824,$C$7:$C$3000,C1824,$I$7:$I$3000,"&lt;"&amp;I1824,$AI$7:$AI$3000,"yes")+COUNTIFS($B$7:B1824,B1824,$C$7:C1824,C1824,$I$7:I1824,I1824,$AI$7:AI1824,"yes"),"")</f>
        <v>5</v>
      </c>
      <c r="AH1824" s="110" t="str">
        <f aca="false">IF(ISNUMBER(H1824),"yes","no")</f>
        <v>yes</v>
      </c>
      <c r="AI1824" s="110" t="str">
        <f aca="false">IF(ISNUMBER(I1824),"yes","no")</f>
        <v>yes</v>
      </c>
      <c r="AJ1824" s="120" t="n">
        <v>46297</v>
      </c>
      <c r="AK1824" s="110"/>
    </row>
    <row r="1825" customFormat="false" ht="35.05" hidden="false" customHeight="false" outlineLevel="0" collapsed="false">
      <c r="B1825" s="36" t="s">
        <v>100</v>
      </c>
      <c r="C1825" s="98" t="s">
        <v>17</v>
      </c>
      <c r="D1825" s="98" t="s">
        <v>346</v>
      </c>
      <c r="E1825" s="110" t="s">
        <v>5651</v>
      </c>
      <c r="F1825" s="99" t="n">
        <v>98</v>
      </c>
      <c r="G1825" s="98" t="s">
        <v>333</v>
      </c>
      <c r="H1825" s="112" t="n">
        <f aca="false">IF(AND(AE1825="yes",ISNUMBER(AD1825)),AD1825,"")</f>
        <v>98</v>
      </c>
      <c r="I1825" s="95" t="n">
        <f aca="false">IF(AND(AE1825="yes",ISNUMBER(AD1825),ISNUMBER(INDEX(Sources!$G$7:$G$10,MATCH(AB1825,Sources!$B$7:$B$10,0)))),ROUND(AD1825/INDEX(Sources!$G$7:$G$10,MATCH(AB1825,Sources!$B$7:$B$10,0)),6),"")</f>
        <v>4.01251</v>
      </c>
      <c r="J1825" s="98" t="s">
        <v>530</v>
      </c>
      <c r="K1825" s="98" t="s">
        <v>2059</v>
      </c>
      <c r="L1825" s="96"/>
      <c r="M1825" s="110" t="s">
        <v>5652</v>
      </c>
      <c r="N1825" s="117" t="s">
        <v>5653</v>
      </c>
      <c r="O1825" s="110" t="s">
        <v>662</v>
      </c>
      <c r="P1825" s="110" t="s">
        <v>590</v>
      </c>
      <c r="Q1825" s="118" t="n">
        <v>0.21</v>
      </c>
      <c r="R1825" s="110" t="n">
        <v>1</v>
      </c>
      <c r="S1825" s="110" t="s">
        <v>632</v>
      </c>
      <c r="T1825" s="110" t="s">
        <v>530</v>
      </c>
      <c r="U1825" s="110" t="s">
        <v>2913</v>
      </c>
      <c r="V1825" s="119" t="n">
        <v>98</v>
      </c>
      <c r="W1825" s="119"/>
      <c r="X1825" s="110" t="s">
        <v>2063</v>
      </c>
      <c r="Y1825" s="110" t="s">
        <v>2064</v>
      </c>
      <c r="Z1825" s="110" t="s">
        <v>4395</v>
      </c>
      <c r="AA1825" s="110" t="s">
        <v>537</v>
      </c>
      <c r="AB1825" s="110" t="s">
        <v>333</v>
      </c>
      <c r="AC1825" s="110" t="s">
        <v>538</v>
      </c>
      <c r="AD1825" s="110" t="n">
        <f aca="false">IF(OR(F1825="",Q1825="",R1825=""),"",ROUND(IF(P1825="incl.",F1825/(1+Q1825),F1825)/IF(S1825="per pack",R1825,1),2))</f>
        <v>98</v>
      </c>
      <c r="AE1825" s="110" t="str">
        <f aca="false">IF(AND(AC1825="yes",ISNUMBER(F1825),IF(Compare!$H$5="All mapped",TRUE(),IF(Compare!$H$5="EXACT only",J1825="EXACT",OR(J1825="EXACT",J1825="CLOSE")))),"yes","no")</f>
        <v>yes</v>
      </c>
      <c r="AF1825" s="110" t="n">
        <f aca="false">IF(ISNUMBER(H1825),COUNTIFS($B$7:$B$3000,B1825,$C$7:$C$3000,C1825,$H$7:$H$3000,"&lt;"&amp;H1825,$AH$7:$AH$3000,"yes")+COUNTIFS($B$7:B1825,B1825,$C$7:C1825,C1825,$H$7:H1825,H1825,$AH$7:AH1825,"yes"),"")</f>
        <v>4</v>
      </c>
      <c r="AG1825" s="110" t="n">
        <f aca="false">IF(ISNUMBER(I1825),COUNTIFS($B$7:$B$3000,B1825,$C$7:$C$3000,C1825,$I$7:$I$3000,"&lt;"&amp;I1825,$AI$7:$AI$3000,"yes")+COUNTIFS($B$7:B1825,B1825,$C$7:C1825,C1825,$I$7:I1825,I1825,$AI$7:AI1825,"yes"),"")</f>
        <v>4</v>
      </c>
      <c r="AH1825" s="110" t="str">
        <f aca="false">IF(ISNUMBER(H1825),"yes","no")</f>
        <v>yes</v>
      </c>
      <c r="AI1825" s="110" t="str">
        <f aca="false">IF(ISNUMBER(I1825),"yes","no")</f>
        <v>yes</v>
      </c>
      <c r="AJ1825" s="120" t="n">
        <v>46297</v>
      </c>
      <c r="AK1825" s="110"/>
    </row>
    <row r="1826" customFormat="false" ht="23.85" hidden="false" customHeight="false" outlineLevel="0" collapsed="false">
      <c r="B1826" s="36" t="s">
        <v>100</v>
      </c>
      <c r="C1826" s="98" t="s">
        <v>17</v>
      </c>
      <c r="D1826" s="98" t="s">
        <v>350</v>
      </c>
      <c r="E1826" s="110" t="s">
        <v>5654</v>
      </c>
      <c r="F1826" s="99" t="n">
        <v>37</v>
      </c>
      <c r="G1826" s="98" t="s">
        <v>333</v>
      </c>
      <c r="H1826" s="112" t="n">
        <f aca="false">IF(AND(AE1826="yes",ISNUMBER(AD1826)),AD1826,"")</f>
        <v>30.58</v>
      </c>
      <c r="I1826" s="95" t="n">
        <f aca="false">IF(AND(AE1826="yes",ISNUMBER(AD1826),ISNUMBER(INDEX(Sources!$G$7:$G$10,MATCH(AB1826,Sources!$B$7:$B$10,0)))),ROUND(AD1826/INDEX(Sources!$G$7:$G$10,MATCH(AB1826,Sources!$B$7:$B$10,0)),6),"")</f>
        <v>1.252067</v>
      </c>
      <c r="J1826" s="98" t="s">
        <v>530</v>
      </c>
      <c r="K1826" s="98" t="s">
        <v>2059</v>
      </c>
      <c r="L1826" s="96"/>
      <c r="M1826" s="110" t="s">
        <v>5655</v>
      </c>
      <c r="N1826" s="117" t="s">
        <v>5656</v>
      </c>
      <c r="O1826" s="110" t="s">
        <v>2452</v>
      </c>
      <c r="P1826" s="110" t="s">
        <v>265</v>
      </c>
      <c r="Q1826" s="118" t="n">
        <v>0.21</v>
      </c>
      <c r="R1826" s="110" t="n">
        <v>1</v>
      </c>
      <c r="S1826" s="110" t="s">
        <v>632</v>
      </c>
      <c r="T1826" s="110" t="s">
        <v>530</v>
      </c>
      <c r="U1826" s="110" t="s">
        <v>2918</v>
      </c>
      <c r="V1826" s="119" t="n">
        <v>30.58</v>
      </c>
      <c r="W1826" s="119"/>
      <c r="X1826" s="110" t="s">
        <v>2063</v>
      </c>
      <c r="Y1826" s="110" t="s">
        <v>2064</v>
      </c>
      <c r="Z1826" s="110" t="s">
        <v>2344</v>
      </c>
      <c r="AA1826" s="110" t="s">
        <v>537</v>
      </c>
      <c r="AB1826" s="110" t="s">
        <v>333</v>
      </c>
      <c r="AC1826" s="110" t="s">
        <v>538</v>
      </c>
      <c r="AD1826" s="110" t="n">
        <f aca="false">IF(OR(F1826="",Q1826="",R1826=""),"",ROUND(IF(P1826="incl.",F1826/(1+Q1826),F1826)/IF(S1826="per pack",R1826,1),2))</f>
        <v>30.58</v>
      </c>
      <c r="AE1826" s="110" t="str">
        <f aca="false">IF(AND(AC1826="yes",ISNUMBER(F1826),IF(Compare!$H$5="All mapped",TRUE(),IF(Compare!$H$5="EXACT only",J1826="EXACT",OR(J1826="EXACT",J1826="CLOSE")))),"yes","no")</f>
        <v>yes</v>
      </c>
      <c r="AF1826" s="110" t="n">
        <f aca="false">IF(ISNUMBER(H1826),COUNTIFS($B$7:$B$3000,B1826,$C$7:$C$3000,C1826,$H$7:$H$3000,"&lt;"&amp;H1826,$AH$7:$AH$3000,"yes")+COUNTIFS($B$7:B1826,B1826,$C$7:C1826,C1826,$H$7:H1826,H1826,$AH$7:AH1826,"yes"),"")</f>
        <v>1</v>
      </c>
      <c r="AG1826" s="110" t="n">
        <f aca="false">IF(ISNUMBER(I1826),COUNTIFS($B$7:$B$3000,B1826,$C$7:$C$3000,C1826,$I$7:$I$3000,"&lt;"&amp;I1826,$AI$7:$AI$3000,"yes")+COUNTIFS($B$7:B1826,B1826,$C$7:C1826,C1826,$I$7:I1826,I1826,$AI$7:AI1826,"yes"),"")</f>
        <v>1</v>
      </c>
      <c r="AH1826" s="110" t="str">
        <f aca="false">IF(ISNUMBER(H1826),"yes","no")</f>
        <v>yes</v>
      </c>
      <c r="AI1826" s="110" t="str">
        <f aca="false">IF(ISNUMBER(I1826),"yes","no")</f>
        <v>yes</v>
      </c>
      <c r="AJ1826" s="120" t="n">
        <v>46297</v>
      </c>
      <c r="AK1826" s="110"/>
    </row>
    <row r="1827" customFormat="false" ht="35.05" hidden="false" customHeight="false" outlineLevel="0" collapsed="false">
      <c r="B1827" s="36" t="s">
        <v>100</v>
      </c>
      <c r="C1827" s="98" t="s">
        <v>17</v>
      </c>
      <c r="D1827" s="98" t="s">
        <v>357</v>
      </c>
      <c r="E1827" s="110" t="s">
        <v>5657</v>
      </c>
      <c r="F1827" s="99" t="n">
        <v>74.4</v>
      </c>
      <c r="G1827" s="98" t="s">
        <v>333</v>
      </c>
      <c r="H1827" s="112" t="n">
        <f aca="false">IF(AND(AE1827="yes",ISNUMBER(AD1827)),AD1827,"")</f>
        <v>61.49</v>
      </c>
      <c r="I1827" s="95" t="n">
        <f aca="false">IF(AND(AE1827="yes",ISNUMBER(AD1827),ISNUMBER(INDEX(Sources!$G$7:$G$10,MATCH(AB1827,Sources!$B$7:$B$10,0)))),ROUND(AD1827/INDEX(Sources!$G$7:$G$10,MATCH(AB1827,Sources!$B$7:$B$10,0)),6),"")</f>
        <v>2.517645</v>
      </c>
      <c r="J1827" s="98" t="s">
        <v>530</v>
      </c>
      <c r="K1827" s="98" t="s">
        <v>2059</v>
      </c>
      <c r="L1827" s="96"/>
      <c r="M1827" s="110" t="s">
        <v>5658</v>
      </c>
      <c r="N1827" s="117" t="s">
        <v>5659</v>
      </c>
      <c r="O1827" s="110" t="s">
        <v>388</v>
      </c>
      <c r="P1827" s="110" t="s">
        <v>265</v>
      </c>
      <c r="Q1827" s="118" t="n">
        <v>0.21</v>
      </c>
      <c r="R1827" s="110" t="n">
        <v>1</v>
      </c>
      <c r="S1827" s="110" t="s">
        <v>632</v>
      </c>
      <c r="T1827" s="110" t="s">
        <v>530</v>
      </c>
      <c r="U1827" s="110" t="s">
        <v>2918</v>
      </c>
      <c r="V1827" s="119" t="n">
        <v>61.49</v>
      </c>
      <c r="W1827" s="119"/>
      <c r="X1827" s="110" t="s">
        <v>2063</v>
      </c>
      <c r="Y1827" s="110" t="s">
        <v>2064</v>
      </c>
      <c r="Z1827" s="110"/>
      <c r="AA1827" s="110" t="s">
        <v>537</v>
      </c>
      <c r="AB1827" s="110" t="s">
        <v>333</v>
      </c>
      <c r="AC1827" s="110" t="s">
        <v>538</v>
      </c>
      <c r="AD1827" s="110" t="n">
        <f aca="false">IF(OR(F1827="",Q1827="",R1827=""),"",ROUND(IF(P1827="incl.",F1827/(1+Q1827),F1827)/IF(S1827="per pack",R1827,1),2))</f>
        <v>61.49</v>
      </c>
      <c r="AE1827" s="110" t="str">
        <f aca="false">IF(AND(AC1827="yes",ISNUMBER(F1827),IF(Compare!$H$5="All mapped",TRUE(),IF(Compare!$H$5="EXACT only",J1827="EXACT",OR(J1827="EXACT",J1827="CLOSE")))),"yes","no")</f>
        <v>yes</v>
      </c>
      <c r="AF1827" s="110" t="n">
        <f aca="false">IF(ISNUMBER(H1827),COUNTIFS($B$7:$B$3000,B1827,$C$7:$C$3000,C1827,$H$7:$H$3000,"&lt;"&amp;H1827,$AH$7:$AH$3000,"yes")+COUNTIFS($B$7:B1827,B1827,$C$7:C1827,C1827,$H$7:H1827,H1827,$AH$7:AH1827,"yes"),"")</f>
        <v>2</v>
      </c>
      <c r="AG1827" s="110" t="n">
        <f aca="false">IF(ISNUMBER(I1827),COUNTIFS($B$7:$B$3000,B1827,$C$7:$C$3000,C1827,$I$7:$I$3000,"&lt;"&amp;I1827,$AI$7:$AI$3000,"yes")+COUNTIFS($B$7:B1827,B1827,$C$7:C1827,C1827,$I$7:I1827,I1827,$AI$7:AI1827,"yes"),"")</f>
        <v>2</v>
      </c>
      <c r="AH1827" s="110" t="str">
        <f aca="false">IF(ISNUMBER(H1827),"yes","no")</f>
        <v>yes</v>
      </c>
      <c r="AI1827" s="110" t="str">
        <f aca="false">IF(ISNUMBER(I1827),"yes","no")</f>
        <v>yes</v>
      </c>
      <c r="AJ1827" s="120" t="n">
        <v>46297</v>
      </c>
      <c r="AK1827" s="110"/>
    </row>
    <row r="1828" customFormat="false" ht="23.85" hidden="false" customHeight="false" outlineLevel="0" collapsed="false">
      <c r="B1828" s="36" t="s">
        <v>100</v>
      </c>
      <c r="C1828" s="98" t="s">
        <v>17</v>
      </c>
      <c r="D1828" s="98" t="s">
        <v>361</v>
      </c>
      <c r="E1828" s="110" t="s">
        <v>5660</v>
      </c>
      <c r="F1828" s="99" t="n">
        <v>88</v>
      </c>
      <c r="G1828" s="98" t="s">
        <v>333</v>
      </c>
      <c r="H1828" s="112" t="n">
        <f aca="false">IF(AND(AE1828="yes",ISNUMBER(AD1828)),AD1828,"")</f>
        <v>72.73</v>
      </c>
      <c r="I1828" s="95" t="n">
        <f aca="false">IF(AND(AE1828="yes",ISNUMBER(AD1828),ISNUMBER(INDEX(Sources!$G$7:$G$10,MATCH(AB1828,Sources!$B$7:$B$10,0)))),ROUND(AD1828/INDEX(Sources!$G$7:$G$10,MATCH(AB1828,Sources!$B$7:$B$10,0)),6),"")</f>
        <v>2.977856</v>
      </c>
      <c r="J1828" s="98" t="s">
        <v>530</v>
      </c>
      <c r="K1828" s="98" t="s">
        <v>2059</v>
      </c>
      <c r="L1828" s="96"/>
      <c r="M1828" s="110" t="s">
        <v>5661</v>
      </c>
      <c r="N1828" s="117" t="s">
        <v>5662</v>
      </c>
      <c r="O1828" s="110" t="s">
        <v>642</v>
      </c>
      <c r="P1828" s="110" t="s">
        <v>265</v>
      </c>
      <c r="Q1828" s="118" t="n">
        <v>0.21</v>
      </c>
      <c r="R1828" s="110" t="n">
        <v>1</v>
      </c>
      <c r="S1828" s="110" t="s">
        <v>632</v>
      </c>
      <c r="T1828" s="110" t="s">
        <v>530</v>
      </c>
      <c r="U1828" s="110" t="s">
        <v>2918</v>
      </c>
      <c r="V1828" s="119" t="n">
        <v>72.73</v>
      </c>
      <c r="W1828" s="119"/>
      <c r="X1828" s="110" t="s">
        <v>2063</v>
      </c>
      <c r="Y1828" s="110" t="s">
        <v>2064</v>
      </c>
      <c r="Z1828" s="110" t="s">
        <v>2400</v>
      </c>
      <c r="AA1828" s="110" t="s">
        <v>537</v>
      </c>
      <c r="AB1828" s="110" t="s">
        <v>333</v>
      </c>
      <c r="AC1828" s="110" t="s">
        <v>538</v>
      </c>
      <c r="AD1828" s="110" t="n">
        <f aca="false">IF(OR(F1828="",Q1828="",R1828=""),"",ROUND(IF(P1828="incl.",F1828/(1+Q1828),F1828)/IF(S1828="per pack",R1828,1),2))</f>
        <v>72.73</v>
      </c>
      <c r="AE1828" s="110" t="str">
        <f aca="false">IF(AND(AC1828="yes",ISNUMBER(F1828),IF(Compare!$H$5="All mapped",TRUE(),IF(Compare!$H$5="EXACT only",J1828="EXACT",OR(J1828="EXACT",J1828="CLOSE")))),"yes","no")</f>
        <v>yes</v>
      </c>
      <c r="AF1828" s="110" t="n">
        <f aca="false">IF(ISNUMBER(H1828),COUNTIFS($B$7:$B$3000,B1828,$C$7:$C$3000,C1828,$H$7:$H$3000,"&lt;"&amp;H1828,$AH$7:$AH$3000,"yes")+COUNTIFS($B$7:B1828,B1828,$C$7:C1828,C1828,$H$7:H1828,H1828,$AH$7:AH1828,"yes"),"")</f>
        <v>3</v>
      </c>
      <c r="AG1828" s="110" t="n">
        <f aca="false">IF(ISNUMBER(I1828),COUNTIFS($B$7:$B$3000,B1828,$C$7:$C$3000,C1828,$I$7:$I$3000,"&lt;"&amp;I1828,$AI$7:$AI$3000,"yes")+COUNTIFS($B$7:B1828,B1828,$C$7:C1828,C1828,$I$7:I1828,I1828,$AI$7:AI1828,"yes"),"")</f>
        <v>3</v>
      </c>
      <c r="AH1828" s="110" t="str">
        <f aca="false">IF(ISNUMBER(H1828),"yes","no")</f>
        <v>yes</v>
      </c>
      <c r="AI1828" s="110" t="str">
        <f aca="false">IF(ISNUMBER(I1828),"yes","no")</f>
        <v>yes</v>
      </c>
      <c r="AJ1828" s="120" t="n">
        <v>46297</v>
      </c>
      <c r="AK1828" s="110"/>
    </row>
    <row r="1829" customFormat="false" ht="23.85" hidden="false" customHeight="false" outlineLevel="0" collapsed="false">
      <c r="B1829" s="36" t="s">
        <v>100</v>
      </c>
      <c r="C1829" s="98" t="s">
        <v>18</v>
      </c>
      <c r="D1829" s="98" t="s">
        <v>3002</v>
      </c>
      <c r="E1829" s="110" t="s">
        <v>5663</v>
      </c>
      <c r="F1829" s="99" t="n">
        <v>3.05</v>
      </c>
      <c r="G1829" s="98" t="s">
        <v>244</v>
      </c>
      <c r="H1829" s="112" t="n">
        <f aca="false">IF(AND(AE1829="yes",ISNUMBER(AD1829)),AD1829,"")</f>
        <v>3.05</v>
      </c>
      <c r="I1829" s="95" t="n">
        <f aca="false">IF(AND(AE1829="yes",ISNUMBER(AD1829),ISNUMBER(INDEX(Sources!$G$7:$G$10,MATCH(AB1829,Sources!$B$7:$B$10,0)))),ROUND(AD1829/INDEX(Sources!$G$7:$G$10,MATCH(AB1829,Sources!$B$7:$B$10,0)),6),"")</f>
        <v>3.05</v>
      </c>
      <c r="J1829" s="98" t="s">
        <v>530</v>
      </c>
      <c r="K1829" s="98" t="s">
        <v>2059</v>
      </c>
      <c r="L1829" s="96"/>
      <c r="M1829" s="110" t="s">
        <v>5664</v>
      </c>
      <c r="N1829" s="117" t="s">
        <v>5588</v>
      </c>
      <c r="O1829" s="110" t="s">
        <v>2396</v>
      </c>
      <c r="P1829" s="110" t="s">
        <v>590</v>
      </c>
      <c r="Q1829" s="118" t="n">
        <v>0.23</v>
      </c>
      <c r="R1829" s="110" t="n">
        <v>1</v>
      </c>
      <c r="S1829" s="110" t="s">
        <v>632</v>
      </c>
      <c r="T1829" s="110" t="s">
        <v>530</v>
      </c>
      <c r="U1829" s="110" t="s">
        <v>2913</v>
      </c>
      <c r="V1829" s="119" t="n">
        <v>3.05</v>
      </c>
      <c r="W1829" s="119"/>
      <c r="X1829" s="110" t="s">
        <v>2063</v>
      </c>
      <c r="Y1829" s="110" t="s">
        <v>2064</v>
      </c>
      <c r="Z1829" s="110" t="s">
        <v>3346</v>
      </c>
      <c r="AA1829" s="110" t="s">
        <v>537</v>
      </c>
      <c r="AB1829" s="110" t="s">
        <v>244</v>
      </c>
      <c r="AC1829" s="110" t="s">
        <v>538</v>
      </c>
      <c r="AD1829" s="110" t="n">
        <f aca="false">IF(OR(F1829="",Q1829="",R1829=""),"",ROUND(IF(P1829="incl.",F1829/(1+Q1829),F1829)/IF(S1829="per pack",R1829,1),2))</f>
        <v>3.05</v>
      </c>
      <c r="AE1829" s="110" t="str">
        <f aca="false">IF(AND(AC1829="yes",ISNUMBER(F1829),IF(Compare!$H$5="All mapped",TRUE(),IF(Compare!$H$5="EXACT only",J1829="EXACT",OR(J1829="EXACT",J1829="CLOSE")))),"yes","no")</f>
        <v>yes</v>
      </c>
      <c r="AF1829" s="110" t="n">
        <f aca="false">IF(ISNUMBER(H1829),COUNTIFS($B$7:$B$3000,B1829,$C$7:$C$3000,C1829,$H$7:$H$3000,"&lt;"&amp;H1829,$AH$7:$AH$3000,"yes")+COUNTIFS($B$7:B1829,B1829,$C$7:C1829,C1829,$H$7:H1829,H1829,$AH$7:AH1829,"yes"),"")</f>
        <v>3</v>
      </c>
      <c r="AG1829" s="110" t="n">
        <f aca="false">IF(ISNUMBER(I1829),COUNTIFS($B$7:$B$3000,B1829,$C$7:$C$3000,C1829,$I$7:$I$3000,"&lt;"&amp;I1829,$AI$7:$AI$3000,"yes")+COUNTIFS($B$7:B1829,B1829,$C$7:C1829,C1829,$I$7:I1829,I1829,$AI$7:AI1829,"yes"),"")</f>
        <v>3</v>
      </c>
      <c r="AH1829" s="110" t="str">
        <f aca="false">IF(ISNUMBER(H1829),"yes","no")</f>
        <v>yes</v>
      </c>
      <c r="AI1829" s="110" t="str">
        <f aca="false">IF(ISNUMBER(I1829),"yes","no")</f>
        <v>yes</v>
      </c>
      <c r="AJ1829" s="120" t="n">
        <v>46297</v>
      </c>
      <c r="AK1829" s="110"/>
    </row>
    <row r="1830" customFormat="false" ht="35.05" hidden="false" customHeight="false" outlineLevel="0" collapsed="false">
      <c r="B1830" s="36" t="s">
        <v>100</v>
      </c>
      <c r="C1830" s="98" t="s">
        <v>18</v>
      </c>
      <c r="D1830" s="98" t="s">
        <v>365</v>
      </c>
      <c r="E1830" s="110" t="s">
        <v>5665</v>
      </c>
      <c r="F1830" s="99" t="n">
        <v>2.82</v>
      </c>
      <c r="G1830" s="98" t="s">
        <v>244</v>
      </c>
      <c r="H1830" s="112" t="n">
        <f aca="false">IF(AND(AE1830="yes",ISNUMBER(AD1830)),AD1830,"")</f>
        <v>2.29</v>
      </c>
      <c r="I1830" s="95" t="n">
        <f aca="false">IF(AND(AE1830="yes",ISNUMBER(AD1830),ISNUMBER(INDEX(Sources!$G$7:$G$10,MATCH(AB1830,Sources!$B$7:$B$10,0)))),ROUND(AD1830/INDEX(Sources!$G$7:$G$10,MATCH(AB1830,Sources!$B$7:$B$10,0)),6),"")</f>
        <v>2.29</v>
      </c>
      <c r="J1830" s="98" t="s">
        <v>530</v>
      </c>
      <c r="K1830" s="98" t="s">
        <v>2059</v>
      </c>
      <c r="L1830" s="96"/>
      <c r="M1830" s="110" t="s">
        <v>5666</v>
      </c>
      <c r="N1830" s="117" t="s">
        <v>5667</v>
      </c>
      <c r="O1830" s="110" t="s">
        <v>3076</v>
      </c>
      <c r="P1830" s="110" t="s">
        <v>265</v>
      </c>
      <c r="Q1830" s="118" t="n">
        <v>0.23</v>
      </c>
      <c r="R1830" s="110" t="n">
        <v>1</v>
      </c>
      <c r="S1830" s="110" t="s">
        <v>632</v>
      </c>
      <c r="T1830" s="110" t="s">
        <v>530</v>
      </c>
      <c r="U1830" s="110" t="s">
        <v>2918</v>
      </c>
      <c r="V1830" s="119" t="n">
        <v>2.29</v>
      </c>
      <c r="W1830" s="119"/>
      <c r="X1830" s="110" t="s">
        <v>2063</v>
      </c>
      <c r="Y1830" s="110" t="s">
        <v>2064</v>
      </c>
      <c r="Z1830" s="110" t="s">
        <v>3016</v>
      </c>
      <c r="AA1830" s="110" t="s">
        <v>537</v>
      </c>
      <c r="AB1830" s="110" t="s">
        <v>244</v>
      </c>
      <c r="AC1830" s="110" t="s">
        <v>538</v>
      </c>
      <c r="AD1830" s="110" t="n">
        <f aca="false">IF(OR(F1830="",Q1830="",R1830=""),"",ROUND(IF(P1830="incl.",F1830/(1+Q1830),F1830)/IF(S1830="per pack",R1830,1),2))</f>
        <v>2.29</v>
      </c>
      <c r="AE1830" s="110" t="str">
        <f aca="false">IF(AND(AC1830="yes",ISNUMBER(F1830),IF(Compare!$H$5="All mapped",TRUE(),IF(Compare!$H$5="EXACT only",J1830="EXACT",OR(J1830="EXACT",J1830="CLOSE")))),"yes","no")</f>
        <v>yes</v>
      </c>
      <c r="AF1830" s="110" t="n">
        <f aca="false">IF(ISNUMBER(H1830),COUNTIFS($B$7:$B$3000,B1830,$C$7:$C$3000,C1830,$H$7:$H$3000,"&lt;"&amp;H1830,$AH$7:$AH$3000,"yes")+COUNTIFS($B$7:B1830,B1830,$C$7:C1830,C1830,$H$7:H1830,H1830,$AH$7:AH1830,"yes"),"")</f>
        <v>2</v>
      </c>
      <c r="AG1830" s="110" t="n">
        <f aca="false">IF(ISNUMBER(I1830),COUNTIFS($B$7:$B$3000,B1830,$C$7:$C$3000,C1830,$I$7:$I$3000,"&lt;"&amp;I1830,$AI$7:$AI$3000,"yes")+COUNTIFS($B$7:B1830,B1830,$C$7:C1830,C1830,$I$7:I1830,I1830,$AI$7:AI1830,"yes"),"")</f>
        <v>2</v>
      </c>
      <c r="AH1830" s="110" t="str">
        <f aca="false">IF(ISNUMBER(H1830),"yes","no")</f>
        <v>yes</v>
      </c>
      <c r="AI1830" s="110" t="str">
        <f aca="false">IF(ISNUMBER(I1830),"yes","no")</f>
        <v>yes</v>
      </c>
      <c r="AJ1830" s="120" t="n">
        <v>46297</v>
      </c>
      <c r="AK1830" s="110"/>
    </row>
    <row r="1831" customFormat="false" ht="23.85" hidden="false" customHeight="false" outlineLevel="0" collapsed="false">
      <c r="B1831" s="36" t="s">
        <v>100</v>
      </c>
      <c r="C1831" s="98" t="s">
        <v>18</v>
      </c>
      <c r="D1831" s="98" t="s">
        <v>369</v>
      </c>
      <c r="E1831" s="110" t="s">
        <v>5668</v>
      </c>
      <c r="F1831" s="99" t="n">
        <v>4.15</v>
      </c>
      <c r="G1831" s="98" t="s">
        <v>244</v>
      </c>
      <c r="H1831" s="112" t="n">
        <f aca="false">IF(AND(AE1831="yes",ISNUMBER(AD1831)),AD1831,"")</f>
        <v>3.37</v>
      </c>
      <c r="I1831" s="95" t="n">
        <f aca="false">IF(AND(AE1831="yes",ISNUMBER(AD1831),ISNUMBER(INDEX(Sources!$G$7:$G$10,MATCH(AB1831,Sources!$B$7:$B$10,0)))),ROUND(AD1831/INDEX(Sources!$G$7:$G$10,MATCH(AB1831,Sources!$B$7:$B$10,0)),6),"")</f>
        <v>3.37</v>
      </c>
      <c r="J1831" s="98" t="s">
        <v>530</v>
      </c>
      <c r="K1831" s="98" t="s">
        <v>2059</v>
      </c>
      <c r="L1831" s="96"/>
      <c r="M1831" s="110" t="s">
        <v>5669</v>
      </c>
      <c r="N1831" s="117" t="s">
        <v>5670</v>
      </c>
      <c r="O1831" s="110" t="s">
        <v>662</v>
      </c>
      <c r="P1831" s="110" t="s">
        <v>265</v>
      </c>
      <c r="Q1831" s="118" t="n">
        <v>0.23</v>
      </c>
      <c r="R1831" s="110" t="n">
        <v>1</v>
      </c>
      <c r="S1831" s="110" t="s">
        <v>632</v>
      </c>
      <c r="T1831" s="110" t="s">
        <v>530</v>
      </c>
      <c r="U1831" s="110" t="s">
        <v>2918</v>
      </c>
      <c r="V1831" s="119" t="n">
        <v>3.37</v>
      </c>
      <c r="W1831" s="119"/>
      <c r="X1831" s="110" t="s">
        <v>2063</v>
      </c>
      <c r="Y1831" s="110" t="s">
        <v>2064</v>
      </c>
      <c r="Z1831" s="110" t="s">
        <v>4138</v>
      </c>
      <c r="AA1831" s="110" t="s">
        <v>537</v>
      </c>
      <c r="AB1831" s="110" t="s">
        <v>244</v>
      </c>
      <c r="AC1831" s="110" t="s">
        <v>538</v>
      </c>
      <c r="AD1831" s="110" t="n">
        <f aca="false">IF(OR(F1831="",Q1831="",R1831=""),"",ROUND(IF(P1831="incl.",F1831/(1+Q1831),F1831)/IF(S1831="per pack",R1831,1),2))</f>
        <v>3.37</v>
      </c>
      <c r="AE1831" s="110" t="str">
        <f aca="false">IF(AND(AC1831="yes",ISNUMBER(F1831),IF(Compare!$H$5="All mapped",TRUE(),IF(Compare!$H$5="EXACT only",J1831="EXACT",OR(J1831="EXACT",J1831="CLOSE")))),"yes","no")</f>
        <v>yes</v>
      </c>
      <c r="AF1831" s="110" t="n">
        <f aca="false">IF(ISNUMBER(H1831),COUNTIFS($B$7:$B$3000,B1831,$C$7:$C$3000,C1831,$H$7:$H$3000,"&lt;"&amp;H1831,$AH$7:$AH$3000,"yes")+COUNTIFS($B$7:B1831,B1831,$C$7:C1831,C1831,$H$7:H1831,H1831,$AH$7:AH1831,"yes"),"")</f>
        <v>4</v>
      </c>
      <c r="AG1831" s="110" t="n">
        <f aca="false">IF(ISNUMBER(I1831),COUNTIFS($B$7:$B$3000,B1831,$C$7:$C$3000,C1831,$I$7:$I$3000,"&lt;"&amp;I1831,$AI$7:$AI$3000,"yes")+COUNTIFS($B$7:B1831,B1831,$C$7:C1831,C1831,$I$7:I1831,I1831,$AI$7:AI1831,"yes"),"")</f>
        <v>4</v>
      </c>
      <c r="AH1831" s="110" t="str">
        <f aca="false">IF(ISNUMBER(H1831),"yes","no")</f>
        <v>yes</v>
      </c>
      <c r="AI1831" s="110" t="str">
        <f aca="false">IF(ISNUMBER(I1831),"yes","no")</f>
        <v>yes</v>
      </c>
      <c r="AJ1831" s="120" t="n">
        <v>46297</v>
      </c>
      <c r="AK1831" s="110"/>
    </row>
    <row r="1832" customFormat="false" ht="35.05" hidden="false" customHeight="false" outlineLevel="0" collapsed="false">
      <c r="B1832" s="36" t="s">
        <v>100</v>
      </c>
      <c r="C1832" s="98" t="s">
        <v>18</v>
      </c>
      <c r="D1832" s="98" t="s">
        <v>3021</v>
      </c>
      <c r="E1832" s="110" t="s">
        <v>5671</v>
      </c>
      <c r="F1832" s="99" t="n">
        <v>1.36</v>
      </c>
      <c r="G1832" s="98" t="s">
        <v>244</v>
      </c>
      <c r="H1832" s="112" t="n">
        <f aca="false">IF(AND(AE1832="yes",ISNUMBER(AD1832)),AD1832,"")</f>
        <v>1.36</v>
      </c>
      <c r="I1832" s="95" t="n">
        <f aca="false">IF(AND(AE1832="yes",ISNUMBER(AD1832),ISNUMBER(INDEX(Sources!$G$7:$G$10,MATCH(AB1832,Sources!$B$7:$B$10,0)))),ROUND(AD1832/INDEX(Sources!$G$7:$G$10,MATCH(AB1832,Sources!$B$7:$B$10,0)),6),"")</f>
        <v>1.36</v>
      </c>
      <c r="J1832" s="98" t="s">
        <v>530</v>
      </c>
      <c r="K1832" s="98" t="s">
        <v>2059</v>
      </c>
      <c r="L1832" s="96"/>
      <c r="M1832" s="110" t="s">
        <v>5672</v>
      </c>
      <c r="N1832" s="117" t="s">
        <v>4416</v>
      </c>
      <c r="O1832" s="110" t="s">
        <v>642</v>
      </c>
      <c r="P1832" s="110" t="s">
        <v>590</v>
      </c>
      <c r="Q1832" s="118" t="n">
        <v>0.23</v>
      </c>
      <c r="R1832" s="110" t="n">
        <v>1</v>
      </c>
      <c r="S1832" s="110" t="s">
        <v>632</v>
      </c>
      <c r="T1832" s="110" t="s">
        <v>530</v>
      </c>
      <c r="U1832" s="110" t="s">
        <v>2913</v>
      </c>
      <c r="V1832" s="119" t="n">
        <v>1.36</v>
      </c>
      <c r="W1832" s="119"/>
      <c r="X1832" s="110" t="s">
        <v>2063</v>
      </c>
      <c r="Y1832" s="110" t="s">
        <v>2064</v>
      </c>
      <c r="Z1832" s="110" t="s">
        <v>3900</v>
      </c>
      <c r="AA1832" s="110" t="s">
        <v>537</v>
      </c>
      <c r="AB1832" s="110" t="s">
        <v>244</v>
      </c>
      <c r="AC1832" s="110" t="s">
        <v>538</v>
      </c>
      <c r="AD1832" s="110" t="n">
        <f aca="false">IF(OR(F1832="",Q1832="",R1832=""),"",ROUND(IF(P1832="incl.",F1832/(1+Q1832),F1832)/IF(S1832="per pack",R1832,1),2))</f>
        <v>1.36</v>
      </c>
      <c r="AE1832" s="110" t="str">
        <f aca="false">IF(AND(AC1832="yes",ISNUMBER(F1832),IF(Compare!$H$5="All mapped",TRUE(),IF(Compare!$H$5="EXACT only",J1832="EXACT",OR(J1832="EXACT",J1832="CLOSE")))),"yes","no")</f>
        <v>yes</v>
      </c>
      <c r="AF1832" s="110" t="n">
        <f aca="false">IF(ISNUMBER(H1832),COUNTIFS($B$7:$B$3000,B1832,$C$7:$C$3000,C1832,$H$7:$H$3000,"&lt;"&amp;H1832,$AH$7:$AH$3000,"yes")+COUNTIFS($B$7:B1832,B1832,$C$7:C1832,C1832,$H$7:H1832,H1832,$AH$7:AH1832,"yes"),"")</f>
        <v>1</v>
      </c>
      <c r="AG1832" s="110" t="n">
        <f aca="false">IF(ISNUMBER(I1832),COUNTIFS($B$7:$B$3000,B1832,$C$7:$C$3000,C1832,$I$7:$I$3000,"&lt;"&amp;I1832,$AI$7:$AI$3000,"yes")+COUNTIFS($B$7:B1832,B1832,$C$7:C1832,C1832,$I$7:I1832,I1832,$AI$7:AI1832,"yes"),"")</f>
        <v>1</v>
      </c>
      <c r="AH1832" s="110" t="str">
        <f aca="false">IF(ISNUMBER(H1832),"yes","no")</f>
        <v>yes</v>
      </c>
      <c r="AI1832" s="110" t="str">
        <f aca="false">IF(ISNUMBER(I1832),"yes","no")</f>
        <v>yes</v>
      </c>
      <c r="AJ1832" s="120" t="n">
        <v>46297</v>
      </c>
      <c r="AK1832" s="110"/>
    </row>
    <row r="1833" customFormat="false" ht="23.85" hidden="false" customHeight="false" outlineLevel="0" collapsed="false">
      <c r="B1833" s="36" t="s">
        <v>101</v>
      </c>
      <c r="C1833" s="98" t="s">
        <v>14</v>
      </c>
      <c r="D1833" s="98" t="s">
        <v>373</v>
      </c>
      <c r="E1833" s="110" t="s">
        <v>5673</v>
      </c>
      <c r="F1833" s="99" t="n">
        <v>10.17</v>
      </c>
      <c r="G1833" s="98" t="s">
        <v>374</v>
      </c>
      <c r="H1833" s="112" t="n">
        <f aca="false">IF(AND(AE1833="yes",ISNUMBER(AD1833)),AD1833,"")</f>
        <v>10.17</v>
      </c>
      <c r="I1833" s="95" t="n">
        <f aca="false">IF(AND(AE1833="yes",ISNUMBER(AD1833),ISNUMBER(INDEX(Sources!$G$7:$G$10,MATCH(AB1833,Sources!$B$7:$B$10,0)))),ROUND(AD1833/INDEX(Sources!$G$7:$G$10,MATCH(AB1833,Sources!$B$7:$B$10,0)),6),"")</f>
        <v>1.926997</v>
      </c>
      <c r="J1833" s="98" t="s">
        <v>530</v>
      </c>
      <c r="K1833" s="98" t="s">
        <v>2059</v>
      </c>
      <c r="L1833" s="96"/>
      <c r="M1833" s="110" t="s">
        <v>5674</v>
      </c>
      <c r="N1833" s="117" t="s">
        <v>5675</v>
      </c>
      <c r="O1833" s="110" t="s">
        <v>4321</v>
      </c>
      <c r="P1833" s="110" t="s">
        <v>590</v>
      </c>
      <c r="Q1833" s="118" t="n">
        <v>0.21</v>
      </c>
      <c r="R1833" s="110" t="n">
        <v>1</v>
      </c>
      <c r="S1833" s="110" t="s">
        <v>632</v>
      </c>
      <c r="T1833" s="110" t="s">
        <v>530</v>
      </c>
      <c r="U1833" s="110" t="s">
        <v>2913</v>
      </c>
      <c r="V1833" s="119" t="n">
        <v>10.17</v>
      </c>
      <c r="W1833" s="119"/>
      <c r="X1833" s="110" t="s">
        <v>2063</v>
      </c>
      <c r="Y1833" s="110" t="s">
        <v>2064</v>
      </c>
      <c r="Z1833" s="110"/>
      <c r="AA1833" s="110" t="s">
        <v>537</v>
      </c>
      <c r="AB1833" s="110" t="s">
        <v>374</v>
      </c>
      <c r="AC1833" s="110" t="s">
        <v>538</v>
      </c>
      <c r="AD1833" s="110" t="n">
        <f aca="false">IF(OR(F1833="",Q1833="",R1833=""),"",ROUND(IF(P1833="incl.",F1833/(1+Q1833),F1833)/IF(S1833="per pack",R1833,1),2))</f>
        <v>10.17</v>
      </c>
      <c r="AE1833" s="110" t="str">
        <f aca="false">IF(AND(AC1833="yes",ISNUMBER(F1833),IF(Compare!$H$5="All mapped",TRUE(),IF(Compare!$H$5="EXACT only",J1833="EXACT",OR(J1833="EXACT",J1833="CLOSE")))),"yes","no")</f>
        <v>yes</v>
      </c>
      <c r="AF1833" s="110" t="n">
        <f aca="false">IF(ISNUMBER(H1833),COUNTIFS($B$7:$B$3000,B1833,$C$7:$C$3000,C1833,$H$7:$H$3000,"&lt;"&amp;H1833,$AH$7:$AH$3000,"yes")+COUNTIFS($B$7:B1833,B1833,$C$7:C1833,C1833,$H$7:H1833,H1833,$AH$7:AH1833,"yes"),"")</f>
        <v>1</v>
      </c>
      <c r="AG1833" s="110" t="n">
        <f aca="false">IF(ISNUMBER(I1833),COUNTIFS($B$7:$B$3000,B1833,$C$7:$C$3000,C1833,$I$7:$I$3000,"&lt;"&amp;I1833,$AI$7:$AI$3000,"yes")+COUNTIFS($B$7:B1833,B1833,$C$7:C1833,C1833,$I$7:I1833,I1833,$AI$7:AI1833,"yes"),"")</f>
        <v>1</v>
      </c>
      <c r="AH1833" s="110" t="str">
        <f aca="false">IF(ISNUMBER(H1833),"yes","no")</f>
        <v>yes</v>
      </c>
      <c r="AI1833" s="110" t="str">
        <f aca="false">IF(ISNUMBER(I1833),"yes","no")</f>
        <v>yes</v>
      </c>
      <c r="AJ1833" s="120" t="n">
        <v>46297</v>
      </c>
      <c r="AK1833" s="110"/>
    </row>
    <row r="1834" customFormat="false" ht="23.85" hidden="false" customHeight="false" outlineLevel="0" collapsed="false">
      <c r="B1834" s="36" t="s">
        <v>101</v>
      </c>
      <c r="C1834" s="98" t="s">
        <v>14</v>
      </c>
      <c r="D1834" s="98" t="s">
        <v>378</v>
      </c>
      <c r="E1834" s="110" t="s">
        <v>5676</v>
      </c>
      <c r="F1834" s="99" t="n">
        <v>39.39</v>
      </c>
      <c r="G1834" s="98" t="s">
        <v>374</v>
      </c>
      <c r="H1834" s="112" t="n">
        <f aca="false">IF(AND(AE1834="yes",ISNUMBER(AD1834)),AD1834,"")</f>
        <v>32.55</v>
      </c>
      <c r="I1834" s="95" t="n">
        <f aca="false">IF(AND(AE1834="yes",ISNUMBER(AD1834),ISNUMBER(INDEX(Sources!$G$7:$G$10,MATCH(AB1834,Sources!$B$7:$B$10,0)))),ROUND(AD1834/INDEX(Sources!$G$7:$G$10,MATCH(AB1834,Sources!$B$7:$B$10,0)),6),"")</f>
        <v>6.167528</v>
      </c>
      <c r="J1834" s="98" t="s">
        <v>702</v>
      </c>
      <c r="K1834" s="98" t="s">
        <v>2059</v>
      </c>
      <c r="L1834" s="96"/>
      <c r="M1834" s="110" t="s">
        <v>5677</v>
      </c>
      <c r="N1834" s="117" t="s">
        <v>5678</v>
      </c>
      <c r="O1834" s="110" t="s">
        <v>733</v>
      </c>
      <c r="P1834" s="110" t="s">
        <v>265</v>
      </c>
      <c r="Q1834" s="118" t="n">
        <v>0.21</v>
      </c>
      <c r="R1834" s="110" t="n">
        <v>1</v>
      </c>
      <c r="S1834" s="110" t="s">
        <v>632</v>
      </c>
      <c r="T1834" s="110" t="s">
        <v>702</v>
      </c>
      <c r="U1834" s="110" t="s">
        <v>2918</v>
      </c>
      <c r="V1834" s="119" t="n">
        <v>32.55</v>
      </c>
      <c r="W1834" s="119"/>
      <c r="X1834" s="110" t="s">
        <v>2063</v>
      </c>
      <c r="Y1834" s="110" t="s">
        <v>2064</v>
      </c>
      <c r="Z1834" s="110"/>
      <c r="AA1834" s="110" t="s">
        <v>537</v>
      </c>
      <c r="AB1834" s="110" t="s">
        <v>374</v>
      </c>
      <c r="AC1834" s="110" t="s">
        <v>538</v>
      </c>
      <c r="AD1834" s="110" t="n">
        <f aca="false">IF(OR(F1834="",Q1834="",R1834=""),"",ROUND(IF(P1834="incl.",F1834/(1+Q1834),F1834)/IF(S1834="per pack",R1834,1),2))</f>
        <v>32.55</v>
      </c>
      <c r="AE1834" s="110" t="str">
        <f aca="false">IF(AND(AC1834="yes",ISNUMBER(F1834),IF(Compare!$H$5="All mapped",TRUE(),IF(Compare!$H$5="EXACT only",J1834="EXACT",OR(J1834="EXACT",J1834="CLOSE")))),"yes","no")</f>
        <v>yes</v>
      </c>
      <c r="AF1834" s="110" t="n">
        <f aca="false">IF(ISNUMBER(H1834),COUNTIFS($B$7:$B$3000,B1834,$C$7:$C$3000,C1834,$H$7:$H$3000,"&lt;"&amp;H1834,$AH$7:$AH$3000,"yes")+COUNTIFS($B$7:B1834,B1834,$C$7:C1834,C1834,$H$7:H1834,H1834,$AH$7:AH1834,"yes"),"")</f>
        <v>4</v>
      </c>
      <c r="AG1834" s="110" t="n">
        <f aca="false">IF(ISNUMBER(I1834),COUNTIFS($B$7:$B$3000,B1834,$C$7:$C$3000,C1834,$I$7:$I$3000,"&lt;"&amp;I1834,$AI$7:$AI$3000,"yes")+COUNTIFS($B$7:B1834,B1834,$C$7:C1834,C1834,$I$7:I1834,I1834,$AI$7:AI1834,"yes"),"")</f>
        <v>4</v>
      </c>
      <c r="AH1834" s="110" t="str">
        <f aca="false">IF(ISNUMBER(H1834),"yes","no")</f>
        <v>yes</v>
      </c>
      <c r="AI1834" s="110" t="str">
        <f aca="false">IF(ISNUMBER(I1834),"yes","no")</f>
        <v>yes</v>
      </c>
      <c r="AJ1834" s="120" t="n">
        <v>46297</v>
      </c>
      <c r="AK1834" s="110"/>
    </row>
    <row r="1835" customFormat="false" ht="46.25" hidden="false" customHeight="false" outlineLevel="0" collapsed="false">
      <c r="B1835" s="36" t="s">
        <v>101</v>
      </c>
      <c r="C1835" s="98" t="s">
        <v>14</v>
      </c>
      <c r="D1835" s="98" t="s">
        <v>4143</v>
      </c>
      <c r="E1835" s="110" t="s">
        <v>5679</v>
      </c>
      <c r="F1835" s="99" t="n">
        <v>278.98</v>
      </c>
      <c r="G1835" s="98" t="s">
        <v>374</v>
      </c>
      <c r="H1835" s="112" t="n">
        <f aca="false">IF(AND(AE1835="yes",ISNUMBER(AD1835)),AD1835,"")</f>
        <v>23.25</v>
      </c>
      <c r="I1835" s="95" t="n">
        <f aca="false">IF(AND(AE1835="yes",ISNUMBER(AD1835),ISNUMBER(INDEX(Sources!$G$7:$G$10,MATCH(AB1835,Sources!$B$7:$B$10,0)))),ROUND(AD1835/INDEX(Sources!$G$7:$G$10,MATCH(AB1835,Sources!$B$7:$B$10,0)),6),"")</f>
        <v>4.405377</v>
      </c>
      <c r="J1835" s="98" t="s">
        <v>530</v>
      </c>
      <c r="K1835" s="98" t="s">
        <v>2059</v>
      </c>
      <c r="L1835" s="96"/>
      <c r="M1835" s="110" t="s">
        <v>5680</v>
      </c>
      <c r="N1835" s="117" t="s">
        <v>5681</v>
      </c>
      <c r="O1835" s="110" t="s">
        <v>317</v>
      </c>
      <c r="P1835" s="110" t="s">
        <v>590</v>
      </c>
      <c r="Q1835" s="118" t="n">
        <v>0.21</v>
      </c>
      <c r="R1835" s="110" t="n">
        <v>12</v>
      </c>
      <c r="S1835" s="110" t="s">
        <v>625</v>
      </c>
      <c r="T1835" s="110" t="s">
        <v>530</v>
      </c>
      <c r="U1835" s="110" t="s">
        <v>2913</v>
      </c>
      <c r="V1835" s="119" t="n">
        <v>23.25</v>
      </c>
      <c r="W1835" s="119"/>
      <c r="X1835" s="110" t="s">
        <v>2063</v>
      </c>
      <c r="Y1835" s="110" t="s">
        <v>2064</v>
      </c>
      <c r="Z1835" s="110"/>
      <c r="AA1835" s="110" t="s">
        <v>537</v>
      </c>
      <c r="AB1835" s="110" t="s">
        <v>374</v>
      </c>
      <c r="AC1835" s="110" t="s">
        <v>538</v>
      </c>
      <c r="AD1835" s="110" t="n">
        <f aca="false">IF(OR(F1835="",Q1835="",R1835=""),"",ROUND(IF(P1835="incl.",F1835/(1+Q1835),F1835)/IF(S1835="per pack",R1835,1),2))</f>
        <v>23.25</v>
      </c>
      <c r="AE1835" s="110" t="str">
        <f aca="false">IF(AND(AC1835="yes",ISNUMBER(F1835),IF(Compare!$H$5="All mapped",TRUE(),IF(Compare!$H$5="EXACT only",J1835="EXACT",OR(J1835="EXACT",J1835="CLOSE")))),"yes","no")</f>
        <v>yes</v>
      </c>
      <c r="AF1835" s="110" t="n">
        <f aca="false">IF(ISNUMBER(H1835),COUNTIFS($B$7:$B$3000,B1835,$C$7:$C$3000,C1835,$H$7:$H$3000,"&lt;"&amp;H1835,$AH$7:$AH$3000,"yes")+COUNTIFS($B$7:B1835,B1835,$C$7:C1835,C1835,$H$7:H1835,H1835,$AH$7:AH1835,"yes"),"")</f>
        <v>3</v>
      </c>
      <c r="AG1835" s="110" t="n">
        <f aca="false">IF(ISNUMBER(I1835),COUNTIFS($B$7:$B$3000,B1835,$C$7:$C$3000,C1835,$I$7:$I$3000,"&lt;"&amp;I1835,$AI$7:$AI$3000,"yes")+COUNTIFS($B$7:B1835,B1835,$C$7:C1835,C1835,$I$7:I1835,I1835,$AI$7:AI1835,"yes"),"")</f>
        <v>3</v>
      </c>
      <c r="AH1835" s="110" t="str">
        <f aca="false">IF(ISNUMBER(H1835),"yes","no")</f>
        <v>yes</v>
      </c>
      <c r="AI1835" s="110" t="str">
        <f aca="false">IF(ISNUMBER(I1835),"yes","no")</f>
        <v>yes</v>
      </c>
      <c r="AJ1835" s="120" t="n">
        <v>46297</v>
      </c>
      <c r="AK1835" s="110"/>
    </row>
    <row r="1836" customFormat="false" ht="35.05" hidden="false" customHeight="false" outlineLevel="0" collapsed="false">
      <c r="B1836" s="36" t="s">
        <v>101</v>
      </c>
      <c r="C1836" s="98" t="s">
        <v>14</v>
      </c>
      <c r="D1836" s="98" t="s">
        <v>346</v>
      </c>
      <c r="E1836" s="110" t="s">
        <v>5682</v>
      </c>
      <c r="F1836" s="99" t="n">
        <v>42.34</v>
      </c>
      <c r="G1836" s="98" t="s">
        <v>374</v>
      </c>
      <c r="H1836" s="112" t="n">
        <f aca="false">IF(AND(AE1836="yes",ISNUMBER(AD1836)),AD1836,"")</f>
        <v>34.99</v>
      </c>
      <c r="I1836" s="95" t="n">
        <f aca="false">IF(AND(AE1836="yes",ISNUMBER(AD1836),ISNUMBER(INDEX(Sources!$G$7:$G$10,MATCH(AB1836,Sources!$B$7:$B$10,0)))),ROUND(AD1836/INDEX(Sources!$G$7:$G$10,MATCH(AB1836,Sources!$B$7:$B$10,0)),6),"")</f>
        <v>6.629855</v>
      </c>
      <c r="J1836" s="98" t="s">
        <v>702</v>
      </c>
      <c r="K1836" s="98" t="s">
        <v>2059</v>
      </c>
      <c r="L1836" s="96"/>
      <c r="M1836" s="110" t="s">
        <v>5683</v>
      </c>
      <c r="N1836" s="117" t="s">
        <v>5684</v>
      </c>
      <c r="O1836" s="110" t="s">
        <v>565</v>
      </c>
      <c r="P1836" s="110" t="s">
        <v>265</v>
      </c>
      <c r="Q1836" s="118" t="n">
        <v>0.21</v>
      </c>
      <c r="R1836" s="110" t="n">
        <v>1</v>
      </c>
      <c r="S1836" s="110" t="s">
        <v>632</v>
      </c>
      <c r="T1836" s="110" t="s">
        <v>702</v>
      </c>
      <c r="U1836" s="110" t="s">
        <v>2918</v>
      </c>
      <c r="V1836" s="119" t="n">
        <v>34.99</v>
      </c>
      <c r="W1836" s="119"/>
      <c r="X1836" s="110" t="s">
        <v>2063</v>
      </c>
      <c r="Y1836" s="110" t="s">
        <v>2064</v>
      </c>
      <c r="Z1836" s="110"/>
      <c r="AA1836" s="110" t="s">
        <v>537</v>
      </c>
      <c r="AB1836" s="110" t="s">
        <v>374</v>
      </c>
      <c r="AC1836" s="110" t="s">
        <v>538</v>
      </c>
      <c r="AD1836" s="110" t="n">
        <f aca="false">IF(OR(F1836="",Q1836="",R1836=""),"",ROUND(IF(P1836="incl.",F1836/(1+Q1836),F1836)/IF(S1836="per pack",R1836,1),2))</f>
        <v>34.99</v>
      </c>
      <c r="AE1836" s="110" t="str">
        <f aca="false">IF(AND(AC1836="yes",ISNUMBER(F1836),IF(Compare!$H$5="All mapped",TRUE(),IF(Compare!$H$5="EXACT only",J1836="EXACT",OR(J1836="EXACT",J1836="CLOSE")))),"yes","no")</f>
        <v>yes</v>
      </c>
      <c r="AF1836" s="110" t="n">
        <f aca="false">IF(ISNUMBER(H1836),COUNTIFS($B$7:$B$3000,B1836,$C$7:$C$3000,C1836,$H$7:$H$3000,"&lt;"&amp;H1836,$AH$7:$AH$3000,"yes")+COUNTIFS($B$7:B1836,B1836,$C$7:C1836,C1836,$H$7:H1836,H1836,$AH$7:AH1836,"yes"),"")</f>
        <v>5</v>
      </c>
      <c r="AG1836" s="110" t="n">
        <f aca="false">IF(ISNUMBER(I1836),COUNTIFS($B$7:$B$3000,B1836,$C$7:$C$3000,C1836,$I$7:$I$3000,"&lt;"&amp;I1836,$AI$7:$AI$3000,"yes")+COUNTIFS($B$7:B1836,B1836,$C$7:C1836,C1836,$I$7:I1836,I1836,$AI$7:AI1836,"yes"),"")</f>
        <v>5</v>
      </c>
      <c r="AH1836" s="110" t="str">
        <f aca="false">IF(ISNUMBER(H1836),"yes","no")</f>
        <v>yes</v>
      </c>
      <c r="AI1836" s="110" t="str">
        <f aca="false">IF(ISNUMBER(I1836),"yes","no")</f>
        <v>yes</v>
      </c>
      <c r="AJ1836" s="120" t="n">
        <v>46297</v>
      </c>
      <c r="AK1836" s="110"/>
    </row>
    <row r="1837" customFormat="false" ht="23.85" hidden="false" customHeight="false" outlineLevel="0" collapsed="false">
      <c r="B1837" s="36" t="s">
        <v>101</v>
      </c>
      <c r="C1837" s="98" t="s">
        <v>14</v>
      </c>
      <c r="D1837" s="98" t="s">
        <v>403</v>
      </c>
      <c r="E1837" s="110" t="s">
        <v>5685</v>
      </c>
      <c r="F1837" s="99" t="n">
        <v>21.4</v>
      </c>
      <c r="G1837" s="98" t="s">
        <v>374</v>
      </c>
      <c r="H1837" s="112" t="n">
        <f aca="false">IF(AND(AE1837="yes",ISNUMBER(AD1837)),AD1837,"")</f>
        <v>21.4</v>
      </c>
      <c r="I1837" s="95" t="n">
        <f aca="false">IF(AND(AE1837="yes",ISNUMBER(AD1837),ISNUMBER(INDEX(Sources!$G$7:$G$10,MATCH(AB1837,Sources!$B$7:$B$10,0)))),ROUND(AD1837/INDEX(Sources!$G$7:$G$10,MATCH(AB1837,Sources!$B$7:$B$10,0)),6),"")</f>
        <v>4.054841</v>
      </c>
      <c r="J1837" s="98" t="s">
        <v>530</v>
      </c>
      <c r="K1837" s="98" t="s">
        <v>2059</v>
      </c>
      <c r="L1837" s="96"/>
      <c r="M1837" s="110" t="s">
        <v>5686</v>
      </c>
      <c r="N1837" s="117" t="s">
        <v>5687</v>
      </c>
      <c r="O1837" s="110" t="s">
        <v>388</v>
      </c>
      <c r="P1837" s="110" t="s">
        <v>590</v>
      </c>
      <c r="Q1837" s="118" t="n">
        <v>0.21</v>
      </c>
      <c r="R1837" s="110" t="n">
        <v>1</v>
      </c>
      <c r="S1837" s="110" t="s">
        <v>632</v>
      </c>
      <c r="T1837" s="110" t="s">
        <v>530</v>
      </c>
      <c r="U1837" s="110" t="s">
        <v>2913</v>
      </c>
      <c r="V1837" s="119" t="n">
        <v>21.4</v>
      </c>
      <c r="W1837" s="119"/>
      <c r="X1837" s="110" t="s">
        <v>2063</v>
      </c>
      <c r="Y1837" s="110" t="s">
        <v>2064</v>
      </c>
      <c r="Z1837" s="110"/>
      <c r="AA1837" s="110" t="s">
        <v>537</v>
      </c>
      <c r="AB1837" s="110" t="s">
        <v>374</v>
      </c>
      <c r="AC1837" s="110" t="s">
        <v>538</v>
      </c>
      <c r="AD1837" s="110" t="n">
        <f aca="false">IF(OR(F1837="",Q1837="",R1837=""),"",ROUND(IF(P1837="incl.",F1837/(1+Q1837),F1837)/IF(S1837="per pack",R1837,1),2))</f>
        <v>21.4</v>
      </c>
      <c r="AE1837" s="110" t="str">
        <f aca="false">IF(AND(AC1837="yes",ISNUMBER(F1837),IF(Compare!$H$5="All mapped",TRUE(),IF(Compare!$H$5="EXACT only",J1837="EXACT",OR(J1837="EXACT",J1837="CLOSE")))),"yes","no")</f>
        <v>yes</v>
      </c>
      <c r="AF1837" s="110" t="n">
        <f aca="false">IF(ISNUMBER(H1837),COUNTIFS($B$7:$B$3000,B1837,$C$7:$C$3000,C1837,$H$7:$H$3000,"&lt;"&amp;H1837,$AH$7:$AH$3000,"yes")+COUNTIFS($B$7:B1837,B1837,$C$7:C1837,C1837,$H$7:H1837,H1837,$AH$7:AH1837,"yes"),"")</f>
        <v>2</v>
      </c>
      <c r="AG1837" s="110" t="n">
        <f aca="false">IF(ISNUMBER(I1837),COUNTIFS($B$7:$B$3000,B1837,$C$7:$C$3000,C1837,$I$7:$I$3000,"&lt;"&amp;I1837,$AI$7:$AI$3000,"yes")+COUNTIFS($B$7:B1837,B1837,$C$7:C1837,C1837,$I$7:I1837,I1837,$AI$7:AI1837,"yes"),"")</f>
        <v>2</v>
      </c>
      <c r="AH1837" s="110" t="str">
        <f aca="false">IF(ISNUMBER(H1837),"yes","no")</f>
        <v>yes</v>
      </c>
      <c r="AI1837" s="110" t="str">
        <f aca="false">IF(ISNUMBER(I1837),"yes","no")</f>
        <v>yes</v>
      </c>
      <c r="AJ1837" s="120" t="n">
        <v>46297</v>
      </c>
      <c r="AK1837" s="110"/>
    </row>
    <row r="1838" customFormat="false" ht="35.05" hidden="false" customHeight="false" outlineLevel="0" collapsed="false">
      <c r="B1838" s="36" t="s">
        <v>101</v>
      </c>
      <c r="C1838" s="98" t="s">
        <v>15</v>
      </c>
      <c r="D1838" s="98" t="s">
        <v>277</v>
      </c>
      <c r="E1838" s="110" t="s">
        <v>5688</v>
      </c>
      <c r="F1838" s="99" t="n">
        <v>48.99</v>
      </c>
      <c r="G1838" s="98" t="s">
        <v>244</v>
      </c>
      <c r="H1838" s="112" t="n">
        <f aca="false">IF(AND(AE1838="yes",ISNUMBER(AD1838)),AD1838,"")</f>
        <v>4.08</v>
      </c>
      <c r="I1838" s="95" t="n">
        <f aca="false">IF(AND(AE1838="yes",ISNUMBER(AD1838),ISNUMBER(INDEX(Sources!$G$7:$G$10,MATCH(AB1838,Sources!$B$7:$B$10,0)))),ROUND(AD1838/INDEX(Sources!$G$7:$G$10,MATCH(AB1838,Sources!$B$7:$B$10,0)),6),"")</f>
        <v>4.08</v>
      </c>
      <c r="J1838" s="98" t="s">
        <v>530</v>
      </c>
      <c r="K1838" s="98" t="s">
        <v>2059</v>
      </c>
      <c r="L1838" s="96"/>
      <c r="M1838" s="110" t="s">
        <v>5689</v>
      </c>
      <c r="N1838" s="117" t="s">
        <v>5690</v>
      </c>
      <c r="O1838" s="110" t="s">
        <v>317</v>
      </c>
      <c r="P1838" s="110" t="s">
        <v>590</v>
      </c>
      <c r="Q1838" s="118" t="n">
        <v>0.19</v>
      </c>
      <c r="R1838" s="110" t="n">
        <v>12</v>
      </c>
      <c r="S1838" s="110" t="s">
        <v>625</v>
      </c>
      <c r="T1838" s="110" t="s">
        <v>530</v>
      </c>
      <c r="U1838" s="110" t="s">
        <v>2913</v>
      </c>
      <c r="V1838" s="119" t="n">
        <v>4.08</v>
      </c>
      <c r="W1838" s="119"/>
      <c r="X1838" s="110" t="s">
        <v>2063</v>
      </c>
      <c r="Y1838" s="110" t="s">
        <v>2064</v>
      </c>
      <c r="Z1838" s="110" t="s">
        <v>4521</v>
      </c>
      <c r="AA1838" s="110" t="s">
        <v>537</v>
      </c>
      <c r="AB1838" s="110" t="s">
        <v>244</v>
      </c>
      <c r="AC1838" s="110" t="s">
        <v>538</v>
      </c>
      <c r="AD1838" s="110" t="n">
        <f aca="false">IF(OR(F1838="",Q1838="",R1838=""),"",ROUND(IF(P1838="incl.",F1838/(1+Q1838),F1838)/IF(S1838="per pack",R1838,1),2))</f>
        <v>4.08</v>
      </c>
      <c r="AE1838" s="110" t="str">
        <f aca="false">IF(AND(AC1838="yes",ISNUMBER(F1838),IF(Compare!$H$5="All mapped",TRUE(),IF(Compare!$H$5="EXACT only",J1838="EXACT",OR(J1838="EXACT",J1838="CLOSE")))),"yes","no")</f>
        <v>yes</v>
      </c>
      <c r="AF1838" s="110" t="n">
        <f aca="false">IF(ISNUMBER(H1838),COUNTIFS($B$7:$B$3000,B1838,$C$7:$C$3000,C1838,$H$7:$H$3000,"&lt;"&amp;H1838,$AH$7:$AH$3000,"yes")+COUNTIFS($B$7:B1838,B1838,$C$7:C1838,C1838,$H$7:H1838,H1838,$AH$7:AH1838,"yes"),"")</f>
        <v>1</v>
      </c>
      <c r="AG1838" s="110" t="n">
        <f aca="false">IF(ISNUMBER(I1838),COUNTIFS($B$7:$B$3000,B1838,$C$7:$C$3000,C1838,$I$7:$I$3000,"&lt;"&amp;I1838,$AI$7:$AI$3000,"yes")+COUNTIFS($B$7:B1838,B1838,$C$7:C1838,C1838,$I$7:I1838,I1838,$AI$7:AI1838,"yes"),"")</f>
        <v>1</v>
      </c>
      <c r="AH1838" s="110" t="str">
        <f aca="false">IF(ISNUMBER(H1838),"yes","no")</f>
        <v>yes</v>
      </c>
      <c r="AI1838" s="110" t="str">
        <f aca="false">IF(ISNUMBER(I1838),"yes","no")</f>
        <v>yes</v>
      </c>
      <c r="AJ1838" s="120" t="n">
        <v>46297</v>
      </c>
      <c r="AK1838" s="110"/>
    </row>
    <row r="1839" customFormat="false" ht="35.05" hidden="false" customHeight="false" outlineLevel="0" collapsed="false">
      <c r="B1839" s="36" t="s">
        <v>101</v>
      </c>
      <c r="C1839" s="98" t="s">
        <v>15</v>
      </c>
      <c r="D1839" s="98" t="s">
        <v>269</v>
      </c>
      <c r="E1839" s="110" t="s">
        <v>5691</v>
      </c>
      <c r="F1839" s="99" t="n">
        <v>6.09</v>
      </c>
      <c r="G1839" s="98" t="s">
        <v>244</v>
      </c>
      <c r="H1839" s="112" t="n">
        <f aca="false">IF(AND(AE1839="yes",ISNUMBER(AD1839)),AD1839,"")</f>
        <v>6.09</v>
      </c>
      <c r="I1839" s="95" t="n">
        <f aca="false">IF(AND(AE1839="yes",ISNUMBER(AD1839),ISNUMBER(INDEX(Sources!$G$7:$G$10,MATCH(AB1839,Sources!$B$7:$B$10,0)))),ROUND(AD1839/INDEX(Sources!$G$7:$G$10,MATCH(AB1839,Sources!$B$7:$B$10,0)),6),"")</f>
        <v>6.09</v>
      </c>
      <c r="J1839" s="98" t="s">
        <v>702</v>
      </c>
      <c r="K1839" s="98" t="s">
        <v>2059</v>
      </c>
      <c r="L1839" s="96"/>
      <c r="M1839" s="110" t="s">
        <v>5692</v>
      </c>
      <c r="N1839" s="117" t="s">
        <v>5693</v>
      </c>
      <c r="O1839" s="110" t="s">
        <v>388</v>
      </c>
      <c r="P1839" s="110" t="s">
        <v>590</v>
      </c>
      <c r="Q1839" s="118" t="n">
        <v>0.19</v>
      </c>
      <c r="R1839" s="110" t="n">
        <v>1</v>
      </c>
      <c r="S1839" s="110" t="s">
        <v>632</v>
      </c>
      <c r="T1839" s="110" t="s">
        <v>702</v>
      </c>
      <c r="U1839" s="110" t="s">
        <v>2913</v>
      </c>
      <c r="V1839" s="119" t="n">
        <v>6.09</v>
      </c>
      <c r="W1839" s="119"/>
      <c r="X1839" s="110" t="s">
        <v>2063</v>
      </c>
      <c r="Y1839" s="110" t="s">
        <v>2064</v>
      </c>
      <c r="Z1839" s="110" t="s">
        <v>4345</v>
      </c>
      <c r="AA1839" s="110" t="s">
        <v>537</v>
      </c>
      <c r="AB1839" s="110" t="s">
        <v>244</v>
      </c>
      <c r="AC1839" s="110" t="s">
        <v>538</v>
      </c>
      <c r="AD1839" s="110" t="n">
        <f aca="false">IF(OR(F1839="",Q1839="",R1839=""),"",ROUND(IF(P1839="incl.",F1839/(1+Q1839),F1839)/IF(S1839="per pack",R1839,1),2))</f>
        <v>6.09</v>
      </c>
      <c r="AE1839" s="110" t="str">
        <f aca="false">IF(AND(AC1839="yes",ISNUMBER(F1839),IF(Compare!$H$5="All mapped",TRUE(),IF(Compare!$H$5="EXACT only",J1839="EXACT",OR(J1839="EXACT",J1839="CLOSE")))),"yes","no")</f>
        <v>yes</v>
      </c>
      <c r="AF1839" s="110" t="n">
        <f aca="false">IF(ISNUMBER(H1839),COUNTIFS($B$7:$B$3000,B1839,$C$7:$C$3000,C1839,$H$7:$H$3000,"&lt;"&amp;H1839,$AH$7:$AH$3000,"yes")+COUNTIFS($B$7:B1839,B1839,$C$7:C1839,C1839,$H$7:H1839,H1839,$AH$7:AH1839,"yes"),"")</f>
        <v>3</v>
      </c>
      <c r="AG1839" s="110" t="n">
        <f aca="false">IF(ISNUMBER(I1839),COUNTIFS($B$7:$B$3000,B1839,$C$7:$C$3000,C1839,$I$7:$I$3000,"&lt;"&amp;I1839,$AI$7:$AI$3000,"yes")+COUNTIFS($B$7:B1839,B1839,$C$7:C1839,C1839,$I$7:I1839,I1839,$AI$7:AI1839,"yes"),"")</f>
        <v>3</v>
      </c>
      <c r="AH1839" s="110" t="str">
        <f aca="false">IF(ISNUMBER(H1839),"yes","no")</f>
        <v>yes</v>
      </c>
      <c r="AI1839" s="110" t="str">
        <f aca="false">IF(ISNUMBER(I1839),"yes","no")</f>
        <v>yes</v>
      </c>
      <c r="AJ1839" s="120" t="n">
        <v>46297</v>
      </c>
      <c r="AK1839" s="110"/>
    </row>
    <row r="1840" customFormat="false" ht="35.05" hidden="false" customHeight="false" outlineLevel="0" collapsed="false">
      <c r="B1840" s="36" t="s">
        <v>101</v>
      </c>
      <c r="C1840" s="98" t="s">
        <v>15</v>
      </c>
      <c r="D1840" s="98" t="s">
        <v>285</v>
      </c>
      <c r="E1840" s="110" t="s">
        <v>5694</v>
      </c>
      <c r="F1840" s="99" t="n">
        <v>18.4</v>
      </c>
      <c r="G1840" s="98" t="s">
        <v>244</v>
      </c>
      <c r="H1840" s="112" t="n">
        <f aca="false">IF(AND(AE1840="yes",ISNUMBER(AD1840)),AD1840,"")</f>
        <v>18.4</v>
      </c>
      <c r="I1840" s="95" t="n">
        <f aca="false">IF(AND(AE1840="yes",ISNUMBER(AD1840),ISNUMBER(INDEX(Sources!$G$7:$G$10,MATCH(AB1840,Sources!$B$7:$B$10,0)))),ROUND(AD1840/INDEX(Sources!$G$7:$G$10,MATCH(AB1840,Sources!$B$7:$B$10,0)),6),"")</f>
        <v>18.4</v>
      </c>
      <c r="J1840" s="98" t="s">
        <v>702</v>
      </c>
      <c r="K1840" s="98" t="s">
        <v>2059</v>
      </c>
      <c r="L1840" s="96"/>
      <c r="M1840" s="110" t="s">
        <v>5695</v>
      </c>
      <c r="N1840" s="117" t="s">
        <v>5696</v>
      </c>
      <c r="O1840" s="110" t="s">
        <v>685</v>
      </c>
      <c r="P1840" s="110" t="s">
        <v>590</v>
      </c>
      <c r="Q1840" s="118" t="n">
        <v>0.2</v>
      </c>
      <c r="R1840" s="110" t="n">
        <v>1</v>
      </c>
      <c r="S1840" s="110" t="s">
        <v>632</v>
      </c>
      <c r="T1840" s="110" t="s">
        <v>702</v>
      </c>
      <c r="U1840" s="110" t="s">
        <v>2913</v>
      </c>
      <c r="V1840" s="119" t="n">
        <v>18.4</v>
      </c>
      <c r="W1840" s="119"/>
      <c r="X1840" s="110" t="s">
        <v>2063</v>
      </c>
      <c r="Y1840" s="110" t="s">
        <v>2064</v>
      </c>
      <c r="Z1840" s="110"/>
      <c r="AA1840" s="110" t="s">
        <v>537</v>
      </c>
      <c r="AB1840" s="110" t="s">
        <v>244</v>
      </c>
      <c r="AC1840" s="110" t="s">
        <v>538</v>
      </c>
      <c r="AD1840" s="110" t="n">
        <f aca="false">IF(OR(F1840="",Q1840="",R1840=""),"",ROUND(IF(P1840="incl.",F1840/(1+Q1840),F1840)/IF(S1840="per pack",R1840,1),2))</f>
        <v>18.4</v>
      </c>
      <c r="AE1840" s="110" t="str">
        <f aca="false">IF(AND(AC1840="yes",ISNUMBER(F1840),IF(Compare!$H$5="All mapped",TRUE(),IF(Compare!$H$5="EXACT only",J1840="EXACT",OR(J1840="EXACT",J1840="CLOSE")))),"yes","no")</f>
        <v>yes</v>
      </c>
      <c r="AF1840" s="110" t="n">
        <f aca="false">IF(ISNUMBER(H1840),COUNTIFS($B$7:$B$3000,B1840,$C$7:$C$3000,C1840,$H$7:$H$3000,"&lt;"&amp;H1840,$AH$7:$AH$3000,"yes")+COUNTIFS($B$7:B1840,B1840,$C$7:C1840,C1840,$H$7:H1840,H1840,$AH$7:AH1840,"yes"),"")</f>
        <v>4</v>
      </c>
      <c r="AG1840" s="110" t="n">
        <f aca="false">IF(ISNUMBER(I1840),COUNTIFS($B$7:$B$3000,B1840,$C$7:$C$3000,C1840,$I$7:$I$3000,"&lt;"&amp;I1840,$AI$7:$AI$3000,"yes")+COUNTIFS($B$7:B1840,B1840,$C$7:C1840,C1840,$I$7:I1840,I1840,$AI$7:AI1840,"yes"),"")</f>
        <v>4</v>
      </c>
      <c r="AH1840" s="110" t="str">
        <f aca="false">IF(ISNUMBER(H1840),"yes","no")</f>
        <v>yes</v>
      </c>
      <c r="AI1840" s="110" t="str">
        <f aca="false">IF(ISNUMBER(I1840),"yes","no")</f>
        <v>yes</v>
      </c>
      <c r="AJ1840" s="120" t="n">
        <v>46297</v>
      </c>
      <c r="AK1840" s="110"/>
    </row>
    <row r="1841" customFormat="false" ht="23.85" hidden="false" customHeight="false" outlineLevel="0" collapsed="false">
      <c r="B1841" s="36" t="s">
        <v>101</v>
      </c>
      <c r="C1841" s="98" t="s">
        <v>15</v>
      </c>
      <c r="D1841" s="98" t="s">
        <v>293</v>
      </c>
      <c r="E1841" s="110" t="s">
        <v>5697</v>
      </c>
      <c r="F1841" s="99" t="n">
        <v>4.2</v>
      </c>
      <c r="G1841" s="98" t="s">
        <v>244</v>
      </c>
      <c r="H1841" s="112" t="n">
        <f aca="false">IF(AND(AE1841="yes",ISNUMBER(AD1841)),AD1841,"")</f>
        <v>4.2</v>
      </c>
      <c r="I1841" s="95" t="n">
        <f aca="false">IF(AND(AE1841="yes",ISNUMBER(AD1841),ISNUMBER(INDEX(Sources!$G$7:$G$10,MATCH(AB1841,Sources!$B$7:$B$10,0)))),ROUND(AD1841/INDEX(Sources!$G$7:$G$10,MATCH(AB1841,Sources!$B$7:$B$10,0)),6),"")</f>
        <v>4.2</v>
      </c>
      <c r="J1841" s="98" t="s">
        <v>702</v>
      </c>
      <c r="K1841" s="98" t="s">
        <v>2059</v>
      </c>
      <c r="L1841" s="96"/>
      <c r="M1841" s="110" t="s">
        <v>5698</v>
      </c>
      <c r="N1841" s="117" t="s">
        <v>5699</v>
      </c>
      <c r="O1841" s="110" t="s">
        <v>5700</v>
      </c>
      <c r="P1841" s="110" t="s">
        <v>590</v>
      </c>
      <c r="Q1841" s="118" t="n">
        <v>0.2</v>
      </c>
      <c r="R1841" s="110" t="n">
        <v>1</v>
      </c>
      <c r="S1841" s="110" t="s">
        <v>632</v>
      </c>
      <c r="T1841" s="110" t="s">
        <v>702</v>
      </c>
      <c r="U1841" s="110" t="s">
        <v>2913</v>
      </c>
      <c r="V1841" s="119" t="n">
        <v>4.2</v>
      </c>
      <c r="W1841" s="119"/>
      <c r="X1841" s="110" t="s">
        <v>2063</v>
      </c>
      <c r="Y1841" s="110" t="s">
        <v>2064</v>
      </c>
      <c r="Z1841" s="110"/>
      <c r="AA1841" s="110" t="s">
        <v>537</v>
      </c>
      <c r="AB1841" s="110" t="s">
        <v>244</v>
      </c>
      <c r="AC1841" s="110" t="s">
        <v>538</v>
      </c>
      <c r="AD1841" s="110" t="n">
        <f aca="false">IF(OR(F1841="",Q1841="",R1841=""),"",ROUND(IF(P1841="incl.",F1841/(1+Q1841),F1841)/IF(S1841="per pack",R1841,1),2))</f>
        <v>4.2</v>
      </c>
      <c r="AE1841" s="110" t="str">
        <f aca="false">IF(AND(AC1841="yes",ISNUMBER(F1841),IF(Compare!$H$5="All mapped",TRUE(),IF(Compare!$H$5="EXACT only",J1841="EXACT",OR(J1841="EXACT",J1841="CLOSE")))),"yes","no")</f>
        <v>yes</v>
      </c>
      <c r="AF1841" s="110" t="n">
        <f aca="false">IF(ISNUMBER(H1841),COUNTIFS($B$7:$B$3000,B1841,$C$7:$C$3000,C1841,$H$7:$H$3000,"&lt;"&amp;H1841,$AH$7:$AH$3000,"yes")+COUNTIFS($B$7:B1841,B1841,$C$7:C1841,C1841,$H$7:H1841,H1841,$AH$7:AH1841,"yes"),"")</f>
        <v>2</v>
      </c>
      <c r="AG1841" s="110" t="n">
        <f aca="false">IF(ISNUMBER(I1841),COUNTIFS($B$7:$B$3000,B1841,$C$7:$C$3000,C1841,$I$7:$I$3000,"&lt;"&amp;I1841,$AI$7:$AI$3000,"yes")+COUNTIFS($B$7:B1841,B1841,$C$7:C1841,C1841,$I$7:I1841,I1841,$AI$7:AI1841,"yes"),"")</f>
        <v>2</v>
      </c>
      <c r="AH1841" s="110" t="str">
        <f aca="false">IF(ISNUMBER(H1841),"yes","no")</f>
        <v>yes</v>
      </c>
      <c r="AI1841" s="110" t="str">
        <f aca="false">IF(ISNUMBER(I1841),"yes","no")</f>
        <v>yes</v>
      </c>
      <c r="AJ1841" s="120" t="n">
        <v>46297</v>
      </c>
      <c r="AK1841" s="110"/>
    </row>
    <row r="1842" customFormat="false" ht="35.05" hidden="false" customHeight="false" outlineLevel="0" collapsed="false">
      <c r="B1842" s="36" t="s">
        <v>101</v>
      </c>
      <c r="C1842" s="98" t="s">
        <v>16</v>
      </c>
      <c r="D1842" s="98" t="s">
        <v>317</v>
      </c>
      <c r="E1842" s="110" t="s">
        <v>5688</v>
      </c>
      <c r="F1842" s="99" t="n">
        <v>46.99</v>
      </c>
      <c r="G1842" s="98" t="s">
        <v>244</v>
      </c>
      <c r="H1842" s="112" t="n">
        <f aca="false">IF(AND(AE1842="yes",ISNUMBER(AD1842)),AD1842,"")</f>
        <v>3.92</v>
      </c>
      <c r="I1842" s="95" t="n">
        <f aca="false">IF(AND(AE1842="yes",ISNUMBER(AD1842),ISNUMBER(INDEX(Sources!$G$7:$G$10,MATCH(AB1842,Sources!$B$7:$B$10,0)))),ROUND(AD1842/INDEX(Sources!$G$7:$G$10,MATCH(AB1842,Sources!$B$7:$B$10,0)),6),"")</f>
        <v>3.92</v>
      </c>
      <c r="J1842" s="98" t="s">
        <v>530</v>
      </c>
      <c r="K1842" s="98" t="s">
        <v>2059</v>
      </c>
      <c r="L1842" s="96"/>
      <c r="M1842" s="110" t="s">
        <v>5701</v>
      </c>
      <c r="N1842" s="117" t="s">
        <v>5702</v>
      </c>
      <c r="O1842" s="110" t="s">
        <v>317</v>
      </c>
      <c r="P1842" s="110" t="s">
        <v>590</v>
      </c>
      <c r="Q1842" s="118" t="n">
        <v>0.19</v>
      </c>
      <c r="R1842" s="110" t="n">
        <v>12</v>
      </c>
      <c r="S1842" s="110" t="s">
        <v>625</v>
      </c>
      <c r="T1842" s="110" t="s">
        <v>530</v>
      </c>
      <c r="U1842" s="110" t="s">
        <v>2913</v>
      </c>
      <c r="V1842" s="119" t="n">
        <v>3.92</v>
      </c>
      <c r="W1842" s="119"/>
      <c r="X1842" s="110" t="s">
        <v>2063</v>
      </c>
      <c r="Y1842" s="110" t="s">
        <v>2064</v>
      </c>
      <c r="Z1842" s="110" t="s">
        <v>4521</v>
      </c>
      <c r="AA1842" s="110" t="s">
        <v>537</v>
      </c>
      <c r="AB1842" s="110" t="s">
        <v>244</v>
      </c>
      <c r="AC1842" s="110" t="s">
        <v>538</v>
      </c>
      <c r="AD1842" s="110" t="n">
        <f aca="false">IF(OR(F1842="",Q1842="",R1842=""),"",ROUND(IF(P1842="incl.",F1842/(1+Q1842),F1842)/IF(S1842="per pack",R1842,1),2))</f>
        <v>3.92</v>
      </c>
      <c r="AE1842" s="110" t="str">
        <f aca="false">IF(AND(AC1842="yes",ISNUMBER(F1842),IF(Compare!$H$5="All mapped",TRUE(),IF(Compare!$H$5="EXACT only",J1842="EXACT",OR(J1842="EXACT",J1842="CLOSE")))),"yes","no")</f>
        <v>yes</v>
      </c>
      <c r="AF1842" s="110" t="n">
        <f aca="false">IF(ISNUMBER(H1842),COUNTIFS($B$7:$B$3000,B1842,$C$7:$C$3000,C1842,$H$7:$H$3000,"&lt;"&amp;H1842,$AH$7:$AH$3000,"yes")+COUNTIFS($B$7:B1842,B1842,$C$7:C1842,C1842,$H$7:H1842,H1842,$AH$7:AH1842,"yes"),"")</f>
        <v>1</v>
      </c>
      <c r="AG1842" s="110" t="n">
        <f aca="false">IF(ISNUMBER(I1842),COUNTIFS($B$7:$B$3000,B1842,$C$7:$C$3000,C1842,$I$7:$I$3000,"&lt;"&amp;I1842,$AI$7:$AI$3000,"yes")+COUNTIFS($B$7:B1842,B1842,$C$7:C1842,C1842,$I$7:I1842,I1842,$AI$7:AI1842,"yes"),"")</f>
        <v>1</v>
      </c>
      <c r="AH1842" s="110" t="str">
        <f aca="false">IF(ISNUMBER(H1842),"yes","no")</f>
        <v>yes</v>
      </c>
      <c r="AI1842" s="110" t="str">
        <f aca="false">IF(ISNUMBER(I1842),"yes","no")</f>
        <v>yes</v>
      </c>
      <c r="AJ1842" s="120" t="n">
        <v>46297</v>
      </c>
      <c r="AK1842" s="110"/>
    </row>
    <row r="1843" customFormat="false" ht="23.85" hidden="false" customHeight="false" outlineLevel="0" collapsed="false">
      <c r="B1843" s="36" t="s">
        <v>101</v>
      </c>
      <c r="C1843" s="98" t="s">
        <v>16</v>
      </c>
      <c r="D1843" s="98" t="s">
        <v>311</v>
      </c>
      <c r="E1843" s="110" t="s">
        <v>5691</v>
      </c>
      <c r="F1843" s="99" t="n">
        <v>5.79</v>
      </c>
      <c r="G1843" s="98" t="s">
        <v>244</v>
      </c>
      <c r="H1843" s="112" t="n">
        <f aca="false">IF(AND(AE1843="yes",ISNUMBER(AD1843)),AD1843,"")</f>
        <v>5.79</v>
      </c>
      <c r="I1843" s="95" t="n">
        <f aca="false">IF(AND(AE1843="yes",ISNUMBER(AD1843),ISNUMBER(INDEX(Sources!$G$7:$G$10,MATCH(AB1843,Sources!$B$7:$B$10,0)))),ROUND(AD1843/INDEX(Sources!$G$7:$G$10,MATCH(AB1843,Sources!$B$7:$B$10,0)),6),"")</f>
        <v>5.79</v>
      </c>
      <c r="J1843" s="98" t="s">
        <v>702</v>
      </c>
      <c r="K1843" s="98" t="s">
        <v>2059</v>
      </c>
      <c r="L1843" s="96"/>
      <c r="M1843" s="110" t="s">
        <v>5703</v>
      </c>
      <c r="N1843" s="117" t="s">
        <v>5704</v>
      </c>
      <c r="O1843" s="110" t="s">
        <v>388</v>
      </c>
      <c r="P1843" s="110" t="s">
        <v>590</v>
      </c>
      <c r="Q1843" s="118" t="n">
        <v>0.19</v>
      </c>
      <c r="R1843" s="110" t="n">
        <v>1</v>
      </c>
      <c r="S1843" s="110" t="s">
        <v>632</v>
      </c>
      <c r="T1843" s="110" t="s">
        <v>702</v>
      </c>
      <c r="U1843" s="110" t="s">
        <v>2913</v>
      </c>
      <c r="V1843" s="119" t="n">
        <v>5.79</v>
      </c>
      <c r="W1843" s="119"/>
      <c r="X1843" s="110" t="s">
        <v>2063</v>
      </c>
      <c r="Y1843" s="110" t="s">
        <v>2064</v>
      </c>
      <c r="Z1843" s="110" t="s">
        <v>4369</v>
      </c>
      <c r="AA1843" s="110" t="s">
        <v>537</v>
      </c>
      <c r="AB1843" s="110" t="s">
        <v>244</v>
      </c>
      <c r="AC1843" s="110" t="s">
        <v>538</v>
      </c>
      <c r="AD1843" s="110" t="n">
        <f aca="false">IF(OR(F1843="",Q1843="",R1843=""),"",ROUND(IF(P1843="incl.",F1843/(1+Q1843),F1843)/IF(S1843="per pack",R1843,1),2))</f>
        <v>5.79</v>
      </c>
      <c r="AE1843" s="110" t="str">
        <f aca="false">IF(AND(AC1843="yes",ISNUMBER(F1843),IF(Compare!$H$5="All mapped",TRUE(),IF(Compare!$H$5="EXACT only",J1843="EXACT",OR(J1843="EXACT",J1843="CLOSE")))),"yes","no")</f>
        <v>yes</v>
      </c>
      <c r="AF1843" s="110" t="n">
        <f aca="false">IF(ISNUMBER(H1843),COUNTIFS($B$7:$B$3000,B1843,$C$7:$C$3000,C1843,$H$7:$H$3000,"&lt;"&amp;H1843,$AH$7:$AH$3000,"yes")+COUNTIFS($B$7:B1843,B1843,$C$7:C1843,C1843,$H$7:H1843,H1843,$AH$7:AH1843,"yes"),"")</f>
        <v>2</v>
      </c>
      <c r="AG1843" s="110" t="n">
        <f aca="false">IF(ISNUMBER(I1843),COUNTIFS($B$7:$B$3000,B1843,$C$7:$C$3000,C1843,$I$7:$I$3000,"&lt;"&amp;I1843,$AI$7:$AI$3000,"yes")+COUNTIFS($B$7:B1843,B1843,$C$7:C1843,C1843,$I$7:I1843,I1843,$AI$7:AI1843,"yes"),"")</f>
        <v>2</v>
      </c>
      <c r="AH1843" s="110" t="str">
        <f aca="false">IF(ISNUMBER(H1843),"yes","no")</f>
        <v>yes</v>
      </c>
      <c r="AI1843" s="110" t="str">
        <f aca="false">IF(ISNUMBER(I1843),"yes","no")</f>
        <v>yes</v>
      </c>
      <c r="AJ1843" s="120" t="n">
        <v>46297</v>
      </c>
      <c r="AK1843" s="110"/>
    </row>
    <row r="1844" customFormat="false" ht="35.05" hidden="false" customHeight="false" outlineLevel="0" collapsed="false">
      <c r="B1844" s="36" t="s">
        <v>101</v>
      </c>
      <c r="C1844" s="98" t="s">
        <v>16</v>
      </c>
      <c r="D1844" s="98" t="s">
        <v>329</v>
      </c>
      <c r="E1844" s="110" t="s">
        <v>5705</v>
      </c>
      <c r="F1844" s="99" t="n">
        <v>29.99</v>
      </c>
      <c r="G1844" s="98" t="s">
        <v>244</v>
      </c>
      <c r="H1844" s="112" t="n">
        <f aca="false">IF(AND(AE1844="yes",ISNUMBER(AD1844)),AD1844,"")</f>
        <v>7.5</v>
      </c>
      <c r="I1844" s="95" t="n">
        <f aca="false">IF(AND(AE1844="yes",ISNUMBER(AD1844),ISNUMBER(INDEX(Sources!$G$7:$G$10,MATCH(AB1844,Sources!$B$7:$B$10,0)))),ROUND(AD1844/INDEX(Sources!$G$7:$G$10,MATCH(AB1844,Sources!$B$7:$B$10,0)),6),"")</f>
        <v>7.5</v>
      </c>
      <c r="J1844" s="98" t="s">
        <v>702</v>
      </c>
      <c r="K1844" s="98" t="s">
        <v>2059</v>
      </c>
      <c r="L1844" s="96"/>
      <c r="M1844" s="110" t="s">
        <v>5706</v>
      </c>
      <c r="N1844" s="117" t="s">
        <v>5707</v>
      </c>
      <c r="O1844" s="110" t="s">
        <v>565</v>
      </c>
      <c r="P1844" s="110" t="s">
        <v>590</v>
      </c>
      <c r="Q1844" s="118" t="n">
        <v>0.19</v>
      </c>
      <c r="R1844" s="110" t="n">
        <v>4</v>
      </c>
      <c r="S1844" s="110" t="s">
        <v>625</v>
      </c>
      <c r="T1844" s="110" t="s">
        <v>702</v>
      </c>
      <c r="U1844" s="110" t="s">
        <v>2913</v>
      </c>
      <c r="V1844" s="119" t="n">
        <v>7.5</v>
      </c>
      <c r="W1844" s="119"/>
      <c r="X1844" s="110" t="s">
        <v>2063</v>
      </c>
      <c r="Y1844" s="110" t="s">
        <v>2064</v>
      </c>
      <c r="Z1844" s="110" t="s">
        <v>2624</v>
      </c>
      <c r="AA1844" s="110" t="s">
        <v>537</v>
      </c>
      <c r="AB1844" s="110" t="s">
        <v>244</v>
      </c>
      <c r="AC1844" s="110" t="s">
        <v>538</v>
      </c>
      <c r="AD1844" s="110" t="n">
        <f aca="false">IF(OR(F1844="",Q1844="",R1844=""),"",ROUND(IF(P1844="incl.",F1844/(1+Q1844),F1844)/IF(S1844="per pack",R1844,1),2))</f>
        <v>7.5</v>
      </c>
      <c r="AE1844" s="110" t="str">
        <f aca="false">IF(AND(AC1844="yes",ISNUMBER(F1844),IF(Compare!$H$5="All mapped",TRUE(),IF(Compare!$H$5="EXACT only",J1844="EXACT",OR(J1844="EXACT",J1844="CLOSE")))),"yes","no")</f>
        <v>yes</v>
      </c>
      <c r="AF1844" s="110" t="n">
        <f aca="false">IF(ISNUMBER(H1844),COUNTIFS($B$7:$B$3000,B1844,$C$7:$C$3000,C1844,$H$7:$H$3000,"&lt;"&amp;H1844,$AH$7:$AH$3000,"yes")+COUNTIFS($B$7:B1844,B1844,$C$7:C1844,C1844,$H$7:H1844,H1844,$AH$7:AH1844,"yes"),"")</f>
        <v>3</v>
      </c>
      <c r="AG1844" s="110" t="n">
        <f aca="false">IF(ISNUMBER(I1844),COUNTIFS($B$7:$B$3000,B1844,$C$7:$C$3000,C1844,$I$7:$I$3000,"&lt;"&amp;I1844,$AI$7:$AI$3000,"yes")+COUNTIFS($B$7:B1844,B1844,$C$7:C1844,C1844,$I$7:I1844,I1844,$AI$7:AI1844,"yes"),"")</f>
        <v>3</v>
      </c>
      <c r="AH1844" s="110" t="str">
        <f aca="false">IF(ISNUMBER(H1844),"yes","no")</f>
        <v>yes</v>
      </c>
      <c r="AI1844" s="110" t="str">
        <f aca="false">IF(ISNUMBER(I1844),"yes","no")</f>
        <v>yes</v>
      </c>
      <c r="AJ1844" s="120" t="n">
        <v>46297</v>
      </c>
      <c r="AK1844" s="110"/>
    </row>
    <row r="1845" customFormat="false" ht="46.25" hidden="false" customHeight="false" outlineLevel="0" collapsed="false">
      <c r="B1845" s="36" t="s">
        <v>101</v>
      </c>
      <c r="C1845" s="98" t="s">
        <v>17</v>
      </c>
      <c r="D1845" s="98" t="s">
        <v>354</v>
      </c>
      <c r="E1845" s="110" t="s">
        <v>5708</v>
      </c>
      <c r="F1845" s="99" t="n">
        <v>1168.03</v>
      </c>
      <c r="G1845" s="98" t="s">
        <v>333</v>
      </c>
      <c r="H1845" s="112" t="n">
        <f aca="false">IF(AND(AE1845="yes",ISNUMBER(AD1845)),AD1845,"")</f>
        <v>97.34</v>
      </c>
      <c r="I1845" s="95" t="n">
        <f aca="false">IF(AND(AE1845="yes",ISNUMBER(AD1845),ISNUMBER(INDEX(Sources!$G$7:$G$10,MATCH(AB1845,Sources!$B$7:$B$10,0)))),ROUND(AD1845/INDEX(Sources!$G$7:$G$10,MATCH(AB1845,Sources!$B$7:$B$10,0)),6),"")</f>
        <v>3.985487</v>
      </c>
      <c r="J1845" s="98" t="s">
        <v>530</v>
      </c>
      <c r="K1845" s="98" t="s">
        <v>2059</v>
      </c>
      <c r="L1845" s="96"/>
      <c r="M1845" s="110" t="s">
        <v>5709</v>
      </c>
      <c r="N1845" s="117" t="s">
        <v>5710</v>
      </c>
      <c r="O1845" s="110" t="s">
        <v>317</v>
      </c>
      <c r="P1845" s="110" t="s">
        <v>590</v>
      </c>
      <c r="Q1845" s="118" t="n">
        <v>0.19</v>
      </c>
      <c r="R1845" s="110" t="n">
        <v>12</v>
      </c>
      <c r="S1845" s="110" t="s">
        <v>625</v>
      </c>
      <c r="T1845" s="110" t="s">
        <v>530</v>
      </c>
      <c r="U1845" s="110" t="s">
        <v>2913</v>
      </c>
      <c r="V1845" s="119" t="n">
        <v>97.34</v>
      </c>
      <c r="W1845" s="119"/>
      <c r="X1845" s="110" t="s">
        <v>2063</v>
      </c>
      <c r="Y1845" s="110" t="s">
        <v>2064</v>
      </c>
      <c r="Z1845" s="110" t="s">
        <v>5711</v>
      </c>
      <c r="AA1845" s="110" t="s">
        <v>537</v>
      </c>
      <c r="AB1845" s="110" t="s">
        <v>333</v>
      </c>
      <c r="AC1845" s="110" t="s">
        <v>538</v>
      </c>
      <c r="AD1845" s="110" t="n">
        <f aca="false">IF(OR(F1845="",Q1845="",R1845=""),"",ROUND(IF(P1845="incl.",F1845/(1+Q1845),F1845)/IF(S1845="per pack",R1845,1),2))</f>
        <v>97.34</v>
      </c>
      <c r="AE1845" s="110" t="str">
        <f aca="false">IF(AND(AC1845="yes",ISNUMBER(F1845),IF(Compare!$H$5="All mapped",TRUE(),IF(Compare!$H$5="EXACT only",J1845="EXACT",OR(J1845="EXACT",J1845="CLOSE")))),"yes","no")</f>
        <v>yes</v>
      </c>
      <c r="AF1845" s="110" t="n">
        <f aca="false">IF(ISNUMBER(H1845),COUNTIFS($B$7:$B$3000,B1845,$C$7:$C$3000,C1845,$H$7:$H$3000,"&lt;"&amp;H1845,$AH$7:$AH$3000,"yes")+COUNTIFS($B$7:B1845,B1845,$C$7:C1845,C1845,$H$7:H1845,H1845,$AH$7:AH1845,"yes"),"")</f>
        <v>1</v>
      </c>
      <c r="AG1845" s="110" t="n">
        <f aca="false">IF(ISNUMBER(I1845),COUNTIFS($B$7:$B$3000,B1845,$C$7:$C$3000,C1845,$I$7:$I$3000,"&lt;"&amp;I1845,$AI$7:$AI$3000,"yes")+COUNTIFS($B$7:B1845,B1845,$C$7:C1845,C1845,$I$7:I1845,I1845,$AI$7:AI1845,"yes"),"")</f>
        <v>1</v>
      </c>
      <c r="AH1845" s="110" t="str">
        <f aca="false">IF(ISNUMBER(H1845),"yes","no")</f>
        <v>yes</v>
      </c>
      <c r="AI1845" s="110" t="str">
        <f aca="false">IF(ISNUMBER(I1845),"yes","no")</f>
        <v>yes</v>
      </c>
      <c r="AJ1845" s="120" t="n">
        <v>46297</v>
      </c>
      <c r="AK1845" s="110"/>
    </row>
    <row r="1846" customFormat="false" ht="35.05" hidden="false" customHeight="false" outlineLevel="0" collapsed="false">
      <c r="B1846" s="36" t="s">
        <v>101</v>
      </c>
      <c r="C1846" s="98" t="s">
        <v>17</v>
      </c>
      <c r="D1846" s="98" t="s">
        <v>338</v>
      </c>
      <c r="E1846" s="110" t="s">
        <v>5712</v>
      </c>
      <c r="F1846" s="99" t="n">
        <v>174</v>
      </c>
      <c r="G1846" s="98" t="s">
        <v>333</v>
      </c>
      <c r="H1846" s="112" t="n">
        <f aca="false">IF(AND(AE1846="yes",ISNUMBER(AD1846)),AD1846,"")</f>
        <v>143.8</v>
      </c>
      <c r="I1846" s="95" t="n">
        <f aca="false">IF(AND(AE1846="yes",ISNUMBER(AD1846),ISNUMBER(INDEX(Sources!$G$7:$G$10,MATCH(AB1846,Sources!$B$7:$B$10,0)))),ROUND(AD1846/INDEX(Sources!$G$7:$G$10,MATCH(AB1846,Sources!$B$7:$B$10,0)),6),"")</f>
        <v>5.887744</v>
      </c>
      <c r="J1846" s="98" t="s">
        <v>530</v>
      </c>
      <c r="K1846" s="98" t="s">
        <v>2059</v>
      </c>
      <c r="L1846" s="96"/>
      <c r="M1846" s="110" t="s">
        <v>5713</v>
      </c>
      <c r="N1846" s="117" t="s">
        <v>5714</v>
      </c>
      <c r="O1846" s="110" t="s">
        <v>388</v>
      </c>
      <c r="P1846" s="110" t="s">
        <v>265</v>
      </c>
      <c r="Q1846" s="118" t="n">
        <v>0.21</v>
      </c>
      <c r="R1846" s="110" t="n">
        <v>1</v>
      </c>
      <c r="S1846" s="110" t="s">
        <v>632</v>
      </c>
      <c r="T1846" s="110" t="s">
        <v>530</v>
      </c>
      <c r="U1846" s="110" t="s">
        <v>2918</v>
      </c>
      <c r="V1846" s="119" t="n">
        <v>143.8</v>
      </c>
      <c r="W1846" s="119"/>
      <c r="X1846" s="110" t="s">
        <v>2063</v>
      </c>
      <c r="Y1846" s="110" t="s">
        <v>2064</v>
      </c>
      <c r="Z1846" s="110" t="s">
        <v>4387</v>
      </c>
      <c r="AA1846" s="110" t="s">
        <v>537</v>
      </c>
      <c r="AB1846" s="110" t="s">
        <v>333</v>
      </c>
      <c r="AC1846" s="110" t="s">
        <v>538</v>
      </c>
      <c r="AD1846" s="110" t="n">
        <f aca="false">IF(OR(F1846="",Q1846="",R1846=""),"",ROUND(IF(P1846="incl.",F1846/(1+Q1846),F1846)/IF(S1846="per pack",R1846,1),2))</f>
        <v>143.8</v>
      </c>
      <c r="AE1846" s="110" t="str">
        <f aca="false">IF(AND(AC1846="yes",ISNUMBER(F1846),IF(Compare!$H$5="All mapped",TRUE(),IF(Compare!$H$5="EXACT only",J1846="EXACT",OR(J1846="EXACT",J1846="CLOSE")))),"yes","no")</f>
        <v>yes</v>
      </c>
      <c r="AF1846" s="110" t="n">
        <f aca="false">IF(ISNUMBER(H1846),COUNTIFS($B$7:$B$3000,B1846,$C$7:$C$3000,C1846,$H$7:$H$3000,"&lt;"&amp;H1846,$AH$7:$AH$3000,"yes")+COUNTIFS($B$7:B1846,B1846,$C$7:C1846,C1846,$H$7:H1846,H1846,$AH$7:AH1846,"yes"),"")</f>
        <v>2</v>
      </c>
      <c r="AG1846" s="110" t="n">
        <f aca="false">IF(ISNUMBER(I1846),COUNTIFS($B$7:$B$3000,B1846,$C$7:$C$3000,C1846,$I$7:$I$3000,"&lt;"&amp;I1846,$AI$7:$AI$3000,"yes")+COUNTIFS($B$7:B1846,B1846,$C$7:C1846,C1846,$I$7:I1846,I1846,$AI$7:AI1846,"yes"),"")</f>
        <v>2</v>
      </c>
      <c r="AH1846" s="110" t="str">
        <f aca="false">IF(ISNUMBER(H1846),"yes","no")</f>
        <v>yes</v>
      </c>
      <c r="AI1846" s="110" t="str">
        <f aca="false">IF(ISNUMBER(I1846),"yes","no")</f>
        <v>yes</v>
      </c>
      <c r="AJ1846" s="120" t="n">
        <v>46297</v>
      </c>
      <c r="AK1846" s="110"/>
    </row>
    <row r="1847" customFormat="false" ht="35.05" hidden="false" customHeight="false" outlineLevel="0" collapsed="false">
      <c r="B1847" s="36" t="s">
        <v>101</v>
      </c>
      <c r="C1847" s="98" t="s">
        <v>17</v>
      </c>
      <c r="D1847" s="98" t="s">
        <v>342</v>
      </c>
      <c r="E1847" s="110" t="s">
        <v>5715</v>
      </c>
      <c r="F1847" s="99" t="n">
        <v>172</v>
      </c>
      <c r="G1847" s="98" t="s">
        <v>333</v>
      </c>
      <c r="H1847" s="112" t="n">
        <f aca="false">IF(AND(AE1847="yes",ISNUMBER(AD1847)),AD1847,"")</f>
        <v>172</v>
      </c>
      <c r="I1847" s="95" t="n">
        <f aca="false">IF(AND(AE1847="yes",ISNUMBER(AD1847),ISNUMBER(INDEX(Sources!$G$7:$G$10,MATCH(AB1847,Sources!$B$7:$B$10,0)))),ROUND(AD1847/INDEX(Sources!$G$7:$G$10,MATCH(AB1847,Sources!$B$7:$B$10,0)),6),"")</f>
        <v>7.042364</v>
      </c>
      <c r="J1847" s="98" t="s">
        <v>530</v>
      </c>
      <c r="K1847" s="98" t="s">
        <v>2059</v>
      </c>
      <c r="L1847" s="96"/>
      <c r="M1847" s="110" t="s">
        <v>5716</v>
      </c>
      <c r="N1847" s="117" t="s">
        <v>5717</v>
      </c>
      <c r="O1847" s="110" t="s">
        <v>388</v>
      </c>
      <c r="P1847" s="110" t="s">
        <v>590</v>
      </c>
      <c r="Q1847" s="118" t="n">
        <v>0.21</v>
      </c>
      <c r="R1847" s="110" t="n">
        <v>1</v>
      </c>
      <c r="S1847" s="110" t="s">
        <v>632</v>
      </c>
      <c r="T1847" s="110" t="s">
        <v>530</v>
      </c>
      <c r="U1847" s="110" t="s">
        <v>2913</v>
      </c>
      <c r="V1847" s="119" t="n">
        <v>172</v>
      </c>
      <c r="W1847" s="119"/>
      <c r="X1847" s="110" t="s">
        <v>2063</v>
      </c>
      <c r="Y1847" s="110" t="s">
        <v>2064</v>
      </c>
      <c r="Z1847" s="110" t="s">
        <v>4391</v>
      </c>
      <c r="AA1847" s="110" t="s">
        <v>537</v>
      </c>
      <c r="AB1847" s="110" t="s">
        <v>333</v>
      </c>
      <c r="AC1847" s="110" t="s">
        <v>538</v>
      </c>
      <c r="AD1847" s="110" t="n">
        <f aca="false">IF(OR(F1847="",Q1847="",R1847=""),"",ROUND(IF(P1847="incl.",F1847/(1+Q1847),F1847)/IF(S1847="per pack",R1847,1),2))</f>
        <v>172</v>
      </c>
      <c r="AE1847" s="110" t="str">
        <f aca="false">IF(AND(AC1847="yes",ISNUMBER(F1847),IF(Compare!$H$5="All mapped",TRUE(),IF(Compare!$H$5="EXACT only",J1847="EXACT",OR(J1847="EXACT",J1847="CLOSE")))),"yes","no")</f>
        <v>yes</v>
      </c>
      <c r="AF1847" s="110" t="n">
        <f aca="false">IF(ISNUMBER(H1847),COUNTIFS($B$7:$B$3000,B1847,$C$7:$C$3000,C1847,$H$7:$H$3000,"&lt;"&amp;H1847,$AH$7:$AH$3000,"yes")+COUNTIFS($B$7:B1847,B1847,$C$7:C1847,C1847,$H$7:H1847,H1847,$AH$7:AH1847,"yes"),"")</f>
        <v>4</v>
      </c>
      <c r="AG1847" s="110" t="n">
        <f aca="false">IF(ISNUMBER(I1847),COUNTIFS($B$7:$B$3000,B1847,$C$7:$C$3000,C1847,$I$7:$I$3000,"&lt;"&amp;I1847,$AI$7:$AI$3000,"yes")+COUNTIFS($B$7:B1847,B1847,$C$7:C1847,C1847,$I$7:I1847,I1847,$AI$7:AI1847,"yes"),"")</f>
        <v>4</v>
      </c>
      <c r="AH1847" s="110" t="str">
        <f aca="false">IF(ISNUMBER(H1847),"yes","no")</f>
        <v>yes</v>
      </c>
      <c r="AI1847" s="110" t="str">
        <f aca="false">IF(ISNUMBER(I1847),"yes","no")</f>
        <v>yes</v>
      </c>
      <c r="AJ1847" s="120" t="n">
        <v>46297</v>
      </c>
      <c r="AK1847" s="110"/>
    </row>
    <row r="1848" customFormat="false" ht="23.85" hidden="false" customHeight="false" outlineLevel="0" collapsed="false">
      <c r="B1848" s="36" t="s">
        <v>101</v>
      </c>
      <c r="C1848" s="98" t="s">
        <v>17</v>
      </c>
      <c r="D1848" s="98" t="s">
        <v>346</v>
      </c>
      <c r="E1848" s="110" t="s">
        <v>5718</v>
      </c>
      <c r="F1848" s="99" t="n">
        <v>160</v>
      </c>
      <c r="G1848" s="98" t="s">
        <v>333</v>
      </c>
      <c r="H1848" s="112" t="n">
        <f aca="false">IF(AND(AE1848="yes",ISNUMBER(AD1848)),AD1848,"")</f>
        <v>160</v>
      </c>
      <c r="I1848" s="95" t="n">
        <f aca="false">IF(AND(AE1848="yes",ISNUMBER(AD1848),ISNUMBER(INDEX(Sources!$G$7:$G$10,MATCH(AB1848,Sources!$B$7:$B$10,0)))),ROUND(AD1848/INDEX(Sources!$G$7:$G$10,MATCH(AB1848,Sources!$B$7:$B$10,0)),6),"")</f>
        <v>6.551037</v>
      </c>
      <c r="J1848" s="98" t="s">
        <v>702</v>
      </c>
      <c r="K1848" s="98" t="s">
        <v>2059</v>
      </c>
      <c r="L1848" s="96"/>
      <c r="M1848" s="110" t="s">
        <v>5719</v>
      </c>
      <c r="N1848" s="117" t="s">
        <v>5720</v>
      </c>
      <c r="O1848" s="110" t="s">
        <v>565</v>
      </c>
      <c r="P1848" s="110" t="s">
        <v>590</v>
      </c>
      <c r="Q1848" s="118" t="n">
        <v>0.21</v>
      </c>
      <c r="R1848" s="110" t="n">
        <v>1</v>
      </c>
      <c r="S1848" s="110" t="s">
        <v>632</v>
      </c>
      <c r="T1848" s="110" t="s">
        <v>702</v>
      </c>
      <c r="U1848" s="110" t="s">
        <v>2913</v>
      </c>
      <c r="V1848" s="119" t="n">
        <v>160</v>
      </c>
      <c r="W1848" s="119"/>
      <c r="X1848" s="110" t="s">
        <v>2063</v>
      </c>
      <c r="Y1848" s="110" t="s">
        <v>2064</v>
      </c>
      <c r="Z1848" s="110" t="s">
        <v>5721</v>
      </c>
      <c r="AA1848" s="110" t="s">
        <v>537</v>
      </c>
      <c r="AB1848" s="110" t="s">
        <v>333</v>
      </c>
      <c r="AC1848" s="110" t="s">
        <v>538</v>
      </c>
      <c r="AD1848" s="110" t="n">
        <f aca="false">IF(OR(F1848="",Q1848="",R1848=""),"",ROUND(IF(P1848="incl.",F1848/(1+Q1848),F1848)/IF(S1848="per pack",R1848,1),2))</f>
        <v>160</v>
      </c>
      <c r="AE1848" s="110" t="str">
        <f aca="false">IF(AND(AC1848="yes",ISNUMBER(F1848),IF(Compare!$H$5="All mapped",TRUE(),IF(Compare!$H$5="EXACT only",J1848="EXACT",OR(J1848="EXACT",J1848="CLOSE")))),"yes","no")</f>
        <v>yes</v>
      </c>
      <c r="AF1848" s="110" t="n">
        <f aca="false">IF(ISNUMBER(H1848),COUNTIFS($B$7:$B$3000,B1848,$C$7:$C$3000,C1848,$H$7:$H$3000,"&lt;"&amp;H1848,$AH$7:$AH$3000,"yes")+COUNTIFS($B$7:B1848,B1848,$C$7:C1848,C1848,$H$7:H1848,H1848,$AH$7:AH1848,"yes"),"")</f>
        <v>3</v>
      </c>
      <c r="AG1848" s="110" t="n">
        <f aca="false">IF(ISNUMBER(I1848),COUNTIFS($B$7:$B$3000,B1848,$C$7:$C$3000,C1848,$I$7:$I$3000,"&lt;"&amp;I1848,$AI$7:$AI$3000,"yes")+COUNTIFS($B$7:B1848,B1848,$C$7:C1848,C1848,$I$7:I1848,I1848,$AI$7:AI1848,"yes"),"")</f>
        <v>3</v>
      </c>
      <c r="AH1848" s="110" t="str">
        <f aca="false">IF(ISNUMBER(H1848),"yes","no")</f>
        <v>yes</v>
      </c>
      <c r="AI1848" s="110" t="str">
        <f aca="false">IF(ISNUMBER(I1848),"yes","no")</f>
        <v>yes</v>
      </c>
      <c r="AJ1848" s="120" t="n">
        <v>46297</v>
      </c>
      <c r="AK1848" s="110"/>
    </row>
    <row r="1849" customFormat="false" ht="35.05" hidden="false" customHeight="false" outlineLevel="0" collapsed="false">
      <c r="B1849" s="36" t="s">
        <v>101</v>
      </c>
      <c r="C1849" s="98" t="s">
        <v>18</v>
      </c>
      <c r="D1849" s="98" t="s">
        <v>4648</v>
      </c>
      <c r="E1849" s="110" t="s">
        <v>5722</v>
      </c>
      <c r="F1849" s="99" t="n">
        <v>48.99</v>
      </c>
      <c r="G1849" s="98" t="s">
        <v>244</v>
      </c>
      <c r="H1849" s="112" t="n">
        <f aca="false">IF(AND(AE1849="yes",ISNUMBER(AD1849)),AD1849,"")</f>
        <v>4.08</v>
      </c>
      <c r="I1849" s="95" t="n">
        <f aca="false">IF(AND(AE1849="yes",ISNUMBER(AD1849),ISNUMBER(INDEX(Sources!$G$7:$G$10,MATCH(AB1849,Sources!$B$7:$B$10,0)))),ROUND(AD1849/INDEX(Sources!$G$7:$G$10,MATCH(AB1849,Sources!$B$7:$B$10,0)),6),"")</f>
        <v>4.08</v>
      </c>
      <c r="J1849" s="98" t="s">
        <v>530</v>
      </c>
      <c r="K1849" s="98" t="s">
        <v>2059</v>
      </c>
      <c r="L1849" s="96"/>
      <c r="M1849" s="110" t="s">
        <v>5723</v>
      </c>
      <c r="N1849" s="117" t="s">
        <v>4651</v>
      </c>
      <c r="O1849" s="110" t="s">
        <v>317</v>
      </c>
      <c r="P1849" s="110" t="s">
        <v>590</v>
      </c>
      <c r="Q1849" s="118" t="n">
        <v>0.23</v>
      </c>
      <c r="R1849" s="110" t="n">
        <v>12</v>
      </c>
      <c r="S1849" s="110" t="s">
        <v>625</v>
      </c>
      <c r="T1849" s="110" t="s">
        <v>530</v>
      </c>
      <c r="U1849" s="110" t="s">
        <v>2913</v>
      </c>
      <c r="V1849" s="119" t="n">
        <v>4.08</v>
      </c>
      <c r="W1849" s="119"/>
      <c r="X1849" s="110" t="s">
        <v>2063</v>
      </c>
      <c r="Y1849" s="110" t="s">
        <v>2064</v>
      </c>
      <c r="Z1849" s="110" t="s">
        <v>4652</v>
      </c>
      <c r="AA1849" s="110" t="s">
        <v>537</v>
      </c>
      <c r="AB1849" s="110" t="s">
        <v>244</v>
      </c>
      <c r="AC1849" s="110" t="s">
        <v>538</v>
      </c>
      <c r="AD1849" s="110" t="n">
        <f aca="false">IF(OR(F1849="",Q1849="",R1849=""),"",ROUND(IF(P1849="incl.",F1849/(1+Q1849),F1849)/IF(S1849="per pack",R1849,1),2))</f>
        <v>4.08</v>
      </c>
      <c r="AE1849" s="110" t="str">
        <f aca="false">IF(AND(AC1849="yes",ISNUMBER(F1849),IF(Compare!$H$5="All mapped",TRUE(),IF(Compare!$H$5="EXACT only",J1849="EXACT",OR(J1849="EXACT",J1849="CLOSE")))),"yes","no")</f>
        <v>yes</v>
      </c>
      <c r="AF1849" s="110" t="n">
        <f aca="false">IF(ISNUMBER(H1849),COUNTIFS($B$7:$B$3000,B1849,$C$7:$C$3000,C1849,$H$7:$H$3000,"&lt;"&amp;H1849,$AH$7:$AH$3000,"yes")+COUNTIFS($B$7:B1849,B1849,$C$7:C1849,C1849,$H$7:H1849,H1849,$AH$7:AH1849,"yes"),"")</f>
        <v>3</v>
      </c>
      <c r="AG1849" s="110" t="n">
        <f aca="false">IF(ISNUMBER(I1849),COUNTIFS($B$7:$B$3000,B1849,$C$7:$C$3000,C1849,$I$7:$I$3000,"&lt;"&amp;I1849,$AI$7:$AI$3000,"yes")+COUNTIFS($B$7:B1849,B1849,$C$7:C1849,C1849,$I$7:I1849,I1849,$AI$7:AI1849,"yes"),"")</f>
        <v>3</v>
      </c>
      <c r="AH1849" s="110" t="str">
        <f aca="false">IF(ISNUMBER(H1849),"yes","no")</f>
        <v>yes</v>
      </c>
      <c r="AI1849" s="110" t="str">
        <f aca="false">IF(ISNUMBER(I1849),"yes","no")</f>
        <v>yes</v>
      </c>
      <c r="AJ1849" s="120" t="n">
        <v>46297</v>
      </c>
      <c r="AK1849" s="110"/>
    </row>
    <row r="1850" customFormat="false" ht="35.05" hidden="false" customHeight="false" outlineLevel="0" collapsed="false">
      <c r="B1850" s="36" t="s">
        <v>101</v>
      </c>
      <c r="C1850" s="98" t="s">
        <v>18</v>
      </c>
      <c r="D1850" s="98" t="s">
        <v>365</v>
      </c>
      <c r="E1850" s="110" t="s">
        <v>5724</v>
      </c>
      <c r="F1850" s="99" t="n">
        <v>3.76</v>
      </c>
      <c r="G1850" s="98" t="s">
        <v>244</v>
      </c>
      <c r="H1850" s="112" t="n">
        <f aca="false">IF(AND(AE1850="yes",ISNUMBER(AD1850)),AD1850,"")</f>
        <v>3.06</v>
      </c>
      <c r="I1850" s="95" t="n">
        <f aca="false">IF(AND(AE1850="yes",ISNUMBER(AD1850),ISNUMBER(INDEX(Sources!$G$7:$G$10,MATCH(AB1850,Sources!$B$7:$B$10,0)))),ROUND(AD1850/INDEX(Sources!$G$7:$G$10,MATCH(AB1850,Sources!$B$7:$B$10,0)),6),"")</f>
        <v>3.06</v>
      </c>
      <c r="J1850" s="98" t="s">
        <v>530</v>
      </c>
      <c r="K1850" s="98" t="s">
        <v>2059</v>
      </c>
      <c r="L1850" s="96"/>
      <c r="M1850" s="110" t="s">
        <v>5725</v>
      </c>
      <c r="N1850" s="117" t="s">
        <v>5726</v>
      </c>
      <c r="O1850" s="110" t="s">
        <v>3076</v>
      </c>
      <c r="P1850" s="110" t="s">
        <v>265</v>
      </c>
      <c r="Q1850" s="118" t="n">
        <v>0.23</v>
      </c>
      <c r="R1850" s="110" t="n">
        <v>1</v>
      </c>
      <c r="S1850" s="110" t="s">
        <v>632</v>
      </c>
      <c r="T1850" s="110" t="s">
        <v>530</v>
      </c>
      <c r="U1850" s="110" t="s">
        <v>2918</v>
      </c>
      <c r="V1850" s="119" t="n">
        <v>3.06</v>
      </c>
      <c r="W1850" s="119"/>
      <c r="X1850" s="110" t="s">
        <v>2063</v>
      </c>
      <c r="Y1850" s="110" t="s">
        <v>2064</v>
      </c>
      <c r="Z1850" s="110" t="s">
        <v>3016</v>
      </c>
      <c r="AA1850" s="110" t="s">
        <v>537</v>
      </c>
      <c r="AB1850" s="110" t="s">
        <v>244</v>
      </c>
      <c r="AC1850" s="110" t="s">
        <v>538</v>
      </c>
      <c r="AD1850" s="110" t="n">
        <f aca="false">IF(OR(F1850="",Q1850="",R1850=""),"",ROUND(IF(P1850="incl.",F1850/(1+Q1850),F1850)/IF(S1850="per pack",R1850,1),2))</f>
        <v>3.06</v>
      </c>
      <c r="AE1850" s="110" t="str">
        <f aca="false">IF(AND(AC1850="yes",ISNUMBER(F1850),IF(Compare!$H$5="All mapped",TRUE(),IF(Compare!$H$5="EXACT only",J1850="EXACT",OR(J1850="EXACT",J1850="CLOSE")))),"yes","no")</f>
        <v>yes</v>
      </c>
      <c r="AF1850" s="110" t="n">
        <f aca="false">IF(ISNUMBER(H1850),COUNTIFS($B$7:$B$3000,B1850,$C$7:$C$3000,C1850,$H$7:$H$3000,"&lt;"&amp;H1850,$AH$7:$AH$3000,"yes")+COUNTIFS($B$7:B1850,B1850,$C$7:C1850,C1850,$H$7:H1850,H1850,$AH$7:AH1850,"yes"),"")</f>
        <v>1</v>
      </c>
      <c r="AG1850" s="110" t="n">
        <f aca="false">IF(ISNUMBER(I1850),COUNTIFS($B$7:$B$3000,B1850,$C$7:$C$3000,C1850,$I$7:$I$3000,"&lt;"&amp;I1850,$AI$7:$AI$3000,"yes")+COUNTIFS($B$7:B1850,B1850,$C$7:C1850,C1850,$I$7:I1850,I1850,$AI$7:AI1850,"yes"),"")</f>
        <v>1</v>
      </c>
      <c r="AH1850" s="110" t="str">
        <f aca="false">IF(ISNUMBER(H1850),"yes","no")</f>
        <v>yes</v>
      </c>
      <c r="AI1850" s="110" t="str">
        <f aca="false">IF(ISNUMBER(I1850),"yes","no")</f>
        <v>yes</v>
      </c>
      <c r="AJ1850" s="120" t="n">
        <v>46297</v>
      </c>
      <c r="AK1850" s="110"/>
    </row>
    <row r="1851" customFormat="false" ht="35.05" hidden="false" customHeight="false" outlineLevel="0" collapsed="false">
      <c r="B1851" s="36" t="s">
        <v>101</v>
      </c>
      <c r="C1851" s="98" t="s">
        <v>18</v>
      </c>
      <c r="D1851" s="98" t="s">
        <v>369</v>
      </c>
      <c r="E1851" s="110" t="s">
        <v>5727</v>
      </c>
      <c r="F1851" s="99" t="n">
        <v>7.75</v>
      </c>
      <c r="G1851" s="98" t="s">
        <v>244</v>
      </c>
      <c r="H1851" s="112" t="n">
        <f aca="false">IF(AND(AE1851="yes",ISNUMBER(AD1851)),AD1851,"")</f>
        <v>6.3</v>
      </c>
      <c r="I1851" s="95" t="n">
        <f aca="false">IF(AND(AE1851="yes",ISNUMBER(AD1851),ISNUMBER(INDEX(Sources!$G$7:$G$10,MATCH(AB1851,Sources!$B$7:$B$10,0)))),ROUND(AD1851/INDEX(Sources!$G$7:$G$10,MATCH(AB1851,Sources!$B$7:$B$10,0)),6),"")</f>
        <v>6.3</v>
      </c>
      <c r="J1851" s="98" t="s">
        <v>702</v>
      </c>
      <c r="K1851" s="98" t="s">
        <v>2059</v>
      </c>
      <c r="L1851" s="96"/>
      <c r="M1851" s="110" t="s">
        <v>5728</v>
      </c>
      <c r="N1851" s="117" t="s">
        <v>5729</v>
      </c>
      <c r="O1851" s="110" t="s">
        <v>565</v>
      </c>
      <c r="P1851" s="110" t="s">
        <v>265</v>
      </c>
      <c r="Q1851" s="118" t="n">
        <v>0.23</v>
      </c>
      <c r="R1851" s="110" t="n">
        <v>1</v>
      </c>
      <c r="S1851" s="110" t="s">
        <v>632</v>
      </c>
      <c r="T1851" s="110" t="s">
        <v>702</v>
      </c>
      <c r="U1851" s="110" t="s">
        <v>2918</v>
      </c>
      <c r="V1851" s="119" t="n">
        <v>6.3</v>
      </c>
      <c r="W1851" s="119"/>
      <c r="X1851" s="110" t="s">
        <v>2063</v>
      </c>
      <c r="Y1851" s="110" t="s">
        <v>2064</v>
      </c>
      <c r="Z1851" s="110" t="s">
        <v>4300</v>
      </c>
      <c r="AA1851" s="110" t="s">
        <v>537</v>
      </c>
      <c r="AB1851" s="110" t="s">
        <v>244</v>
      </c>
      <c r="AC1851" s="110" t="s">
        <v>538</v>
      </c>
      <c r="AD1851" s="110" t="n">
        <f aca="false">IF(OR(F1851="",Q1851="",R1851=""),"",ROUND(IF(P1851="incl.",F1851/(1+Q1851),F1851)/IF(S1851="per pack",R1851,1),2))</f>
        <v>6.3</v>
      </c>
      <c r="AE1851" s="110" t="str">
        <f aca="false">IF(AND(AC1851="yes",ISNUMBER(F1851),IF(Compare!$H$5="All mapped",TRUE(),IF(Compare!$H$5="EXACT only",J1851="EXACT",OR(J1851="EXACT",J1851="CLOSE")))),"yes","no")</f>
        <v>yes</v>
      </c>
      <c r="AF1851" s="110" t="n">
        <f aca="false">IF(ISNUMBER(H1851),COUNTIFS($B$7:$B$3000,B1851,$C$7:$C$3000,C1851,$H$7:$H$3000,"&lt;"&amp;H1851,$AH$7:$AH$3000,"yes")+COUNTIFS($B$7:B1851,B1851,$C$7:C1851,C1851,$H$7:H1851,H1851,$AH$7:AH1851,"yes"),"")</f>
        <v>4</v>
      </c>
      <c r="AG1851" s="110" t="n">
        <f aca="false">IF(ISNUMBER(I1851),COUNTIFS($B$7:$B$3000,B1851,$C$7:$C$3000,C1851,$I$7:$I$3000,"&lt;"&amp;I1851,$AI$7:$AI$3000,"yes")+COUNTIFS($B$7:B1851,B1851,$C$7:C1851,C1851,$I$7:I1851,I1851,$AI$7:AI1851,"yes"),"")</f>
        <v>4</v>
      </c>
      <c r="AH1851" s="110" t="str">
        <f aca="false">IF(ISNUMBER(H1851),"yes","no")</f>
        <v>yes</v>
      </c>
      <c r="AI1851" s="110" t="str">
        <f aca="false">IF(ISNUMBER(I1851),"yes","no")</f>
        <v>yes</v>
      </c>
      <c r="AJ1851" s="120" t="n">
        <v>46297</v>
      </c>
      <c r="AK1851" s="110"/>
    </row>
    <row r="1852" customFormat="false" ht="23.85" hidden="false" customHeight="false" outlineLevel="0" collapsed="false">
      <c r="B1852" s="36" t="s">
        <v>101</v>
      </c>
      <c r="C1852" s="98" t="s">
        <v>18</v>
      </c>
      <c r="D1852" s="98" t="s">
        <v>3021</v>
      </c>
      <c r="E1852" s="110" t="s">
        <v>5730</v>
      </c>
      <c r="F1852" s="99" t="n">
        <v>4.02</v>
      </c>
      <c r="G1852" s="98" t="s">
        <v>244</v>
      </c>
      <c r="H1852" s="112" t="n">
        <f aca="false">IF(AND(AE1852="yes",ISNUMBER(AD1852)),AD1852,"")</f>
        <v>4.02</v>
      </c>
      <c r="I1852" s="95" t="n">
        <f aca="false">IF(AND(AE1852="yes",ISNUMBER(AD1852),ISNUMBER(INDEX(Sources!$G$7:$G$10,MATCH(AB1852,Sources!$B$7:$B$10,0)))),ROUND(AD1852/INDEX(Sources!$G$7:$G$10,MATCH(AB1852,Sources!$B$7:$B$10,0)),6),"")</f>
        <v>4.02</v>
      </c>
      <c r="J1852" s="98" t="s">
        <v>530</v>
      </c>
      <c r="K1852" s="98" t="s">
        <v>2059</v>
      </c>
      <c r="L1852" s="96"/>
      <c r="M1852" s="110" t="s">
        <v>5731</v>
      </c>
      <c r="N1852" s="117" t="s">
        <v>4416</v>
      </c>
      <c r="O1852" s="110" t="s">
        <v>2396</v>
      </c>
      <c r="P1852" s="110" t="s">
        <v>590</v>
      </c>
      <c r="Q1852" s="118" t="n">
        <v>0.23</v>
      </c>
      <c r="R1852" s="110" t="n">
        <v>1</v>
      </c>
      <c r="S1852" s="110" t="s">
        <v>632</v>
      </c>
      <c r="T1852" s="110" t="s">
        <v>530</v>
      </c>
      <c r="U1852" s="110" t="s">
        <v>2913</v>
      </c>
      <c r="V1852" s="119" t="n">
        <v>4.02</v>
      </c>
      <c r="W1852" s="119"/>
      <c r="X1852" s="110" t="s">
        <v>2063</v>
      </c>
      <c r="Y1852" s="110" t="s">
        <v>2064</v>
      </c>
      <c r="Z1852" s="110" t="s">
        <v>3900</v>
      </c>
      <c r="AA1852" s="110" t="s">
        <v>537</v>
      </c>
      <c r="AB1852" s="110" t="s">
        <v>244</v>
      </c>
      <c r="AC1852" s="110" t="s">
        <v>538</v>
      </c>
      <c r="AD1852" s="110" t="n">
        <f aca="false">IF(OR(F1852="",Q1852="",R1852=""),"",ROUND(IF(P1852="incl.",F1852/(1+Q1852),F1852)/IF(S1852="per pack",R1852,1),2))</f>
        <v>4.02</v>
      </c>
      <c r="AE1852" s="110" t="str">
        <f aca="false">IF(AND(AC1852="yes",ISNUMBER(F1852),IF(Compare!$H$5="All mapped",TRUE(),IF(Compare!$H$5="EXACT only",J1852="EXACT",OR(J1852="EXACT",J1852="CLOSE")))),"yes","no")</f>
        <v>yes</v>
      </c>
      <c r="AF1852" s="110" t="n">
        <f aca="false">IF(ISNUMBER(H1852),COUNTIFS($B$7:$B$3000,B1852,$C$7:$C$3000,C1852,$H$7:$H$3000,"&lt;"&amp;H1852,$AH$7:$AH$3000,"yes")+COUNTIFS($B$7:B1852,B1852,$C$7:C1852,C1852,$H$7:H1852,H1852,$AH$7:AH1852,"yes"),"")</f>
        <v>2</v>
      </c>
      <c r="AG1852" s="110" t="n">
        <f aca="false">IF(ISNUMBER(I1852),COUNTIFS($B$7:$B$3000,B1852,$C$7:$C$3000,C1852,$I$7:$I$3000,"&lt;"&amp;I1852,$AI$7:$AI$3000,"yes")+COUNTIFS($B$7:B1852,B1852,$C$7:C1852,C1852,$I$7:I1852,I1852,$AI$7:AI1852,"yes"),"")</f>
        <v>2</v>
      </c>
      <c r="AH1852" s="110" t="str">
        <f aca="false">IF(ISNUMBER(H1852),"yes","no")</f>
        <v>yes</v>
      </c>
      <c r="AI1852" s="110" t="str">
        <f aca="false">IF(ISNUMBER(I1852),"yes","no")</f>
        <v>yes</v>
      </c>
      <c r="AJ1852" s="120" t="n">
        <v>46297</v>
      </c>
      <c r="AK1852" s="110"/>
    </row>
    <row r="1853" customFormat="false" ht="23.85" hidden="false" customHeight="false" outlineLevel="0" collapsed="false">
      <c r="B1853" s="36" t="s">
        <v>102</v>
      </c>
      <c r="C1853" s="98" t="s">
        <v>14</v>
      </c>
      <c r="D1853" s="98" t="s">
        <v>373</v>
      </c>
      <c r="E1853" s="110" t="s">
        <v>5732</v>
      </c>
      <c r="F1853" s="99" t="n">
        <v>24.53</v>
      </c>
      <c r="G1853" s="98" t="s">
        <v>374</v>
      </c>
      <c r="H1853" s="112" t="n">
        <f aca="false">IF(AND(AE1853="yes",ISNUMBER(AD1853)),AD1853,"")</f>
        <v>24.53</v>
      </c>
      <c r="I1853" s="95" t="n">
        <f aca="false">IF(AND(AE1853="yes",ISNUMBER(AD1853),ISNUMBER(INDEX(Sources!$G$7:$G$10,MATCH(AB1853,Sources!$B$7:$B$10,0)))),ROUND(AD1853/INDEX(Sources!$G$7:$G$10,MATCH(AB1853,Sources!$B$7:$B$10,0)),6),"")</f>
        <v>4.647909</v>
      </c>
      <c r="J1853" s="98" t="s">
        <v>530</v>
      </c>
      <c r="K1853" s="98" t="s">
        <v>2059</v>
      </c>
      <c r="L1853" s="96"/>
      <c r="M1853" s="110" t="s">
        <v>5733</v>
      </c>
      <c r="N1853" s="117" t="s">
        <v>5734</v>
      </c>
      <c r="O1853" s="110"/>
      <c r="P1853" s="110" t="s">
        <v>590</v>
      </c>
      <c r="Q1853" s="118" t="n">
        <v>0.21</v>
      </c>
      <c r="R1853" s="110" t="n">
        <v>1</v>
      </c>
      <c r="S1853" s="110" t="s">
        <v>632</v>
      </c>
      <c r="T1853" s="110" t="s">
        <v>530</v>
      </c>
      <c r="U1853" s="110" t="s">
        <v>2913</v>
      </c>
      <c r="V1853" s="119" t="n">
        <v>24.53</v>
      </c>
      <c r="W1853" s="119"/>
      <c r="X1853" s="110" t="s">
        <v>2063</v>
      </c>
      <c r="Y1853" s="110" t="s">
        <v>2064</v>
      </c>
      <c r="Z1853" s="110"/>
      <c r="AA1853" s="110" t="s">
        <v>537</v>
      </c>
      <c r="AB1853" s="110" t="s">
        <v>374</v>
      </c>
      <c r="AC1853" s="110" t="s">
        <v>538</v>
      </c>
      <c r="AD1853" s="110" t="n">
        <f aca="false">IF(OR(F1853="",Q1853="",R1853=""),"",ROUND(IF(P1853="incl.",F1853/(1+Q1853),F1853)/IF(S1853="per pack",R1853,1),2))</f>
        <v>24.53</v>
      </c>
      <c r="AE1853" s="110" t="str">
        <f aca="false">IF(AND(AC1853="yes",ISNUMBER(F1853),IF(Compare!$H$5="All mapped",TRUE(),IF(Compare!$H$5="EXACT only",J1853="EXACT",OR(J1853="EXACT",J1853="CLOSE")))),"yes","no")</f>
        <v>yes</v>
      </c>
      <c r="AF1853" s="110" t="n">
        <f aca="false">IF(ISNUMBER(H1853),COUNTIFS($B$7:$B$3000,B1853,$C$7:$C$3000,C1853,$H$7:$H$3000,"&lt;"&amp;H1853,$AH$7:$AH$3000,"yes")+COUNTIFS($B$7:B1853,B1853,$C$7:C1853,C1853,$H$7:H1853,H1853,$AH$7:AH1853,"yes"),"")</f>
        <v>3</v>
      </c>
      <c r="AG1853" s="110" t="n">
        <f aca="false">IF(ISNUMBER(I1853),COUNTIFS($B$7:$B$3000,B1853,$C$7:$C$3000,C1853,$I$7:$I$3000,"&lt;"&amp;I1853,$AI$7:$AI$3000,"yes")+COUNTIFS($B$7:B1853,B1853,$C$7:C1853,C1853,$I$7:I1853,I1853,$AI$7:AI1853,"yes"),"")</f>
        <v>3</v>
      </c>
      <c r="AH1853" s="110" t="str">
        <f aca="false">IF(ISNUMBER(H1853),"yes","no")</f>
        <v>yes</v>
      </c>
      <c r="AI1853" s="110" t="str">
        <f aca="false">IF(ISNUMBER(I1853),"yes","no")</f>
        <v>yes</v>
      </c>
      <c r="AJ1853" s="120" t="n">
        <v>46297</v>
      </c>
      <c r="AK1853" s="110"/>
    </row>
    <row r="1854" customFormat="false" ht="23.85" hidden="false" customHeight="false" outlineLevel="0" collapsed="false">
      <c r="B1854" s="36" t="s">
        <v>102</v>
      </c>
      <c r="C1854" s="98" t="s">
        <v>14</v>
      </c>
      <c r="D1854" s="98" t="s">
        <v>378</v>
      </c>
      <c r="E1854" s="110" t="s">
        <v>5735</v>
      </c>
      <c r="F1854" s="99" t="n">
        <v>30.25</v>
      </c>
      <c r="G1854" s="98" t="s">
        <v>374</v>
      </c>
      <c r="H1854" s="112" t="n">
        <f aca="false">IF(AND(AE1854="yes",ISNUMBER(AD1854)),AD1854,"")</f>
        <v>25</v>
      </c>
      <c r="I1854" s="95" t="n">
        <f aca="false">IF(AND(AE1854="yes",ISNUMBER(AD1854),ISNUMBER(INDEX(Sources!$G$7:$G$10,MATCH(AB1854,Sources!$B$7:$B$10,0)))),ROUND(AD1854/INDEX(Sources!$G$7:$G$10,MATCH(AB1854,Sources!$B$7:$B$10,0)),6),"")</f>
        <v>4.736964</v>
      </c>
      <c r="J1854" s="98" t="s">
        <v>530</v>
      </c>
      <c r="K1854" s="98" t="s">
        <v>2059</v>
      </c>
      <c r="L1854" s="96"/>
      <c r="M1854" s="110" t="s">
        <v>5736</v>
      </c>
      <c r="N1854" s="117" t="s">
        <v>5737</v>
      </c>
      <c r="O1854" s="110" t="s">
        <v>2917</v>
      </c>
      <c r="P1854" s="110" t="s">
        <v>265</v>
      </c>
      <c r="Q1854" s="118" t="n">
        <v>0.21</v>
      </c>
      <c r="R1854" s="110" t="n">
        <v>1</v>
      </c>
      <c r="S1854" s="110" t="s">
        <v>632</v>
      </c>
      <c r="T1854" s="110" t="s">
        <v>530</v>
      </c>
      <c r="U1854" s="110" t="s">
        <v>2918</v>
      </c>
      <c r="V1854" s="119" t="n">
        <v>25</v>
      </c>
      <c r="W1854" s="119"/>
      <c r="X1854" s="110" t="s">
        <v>2063</v>
      </c>
      <c r="Y1854" s="110" t="s">
        <v>2064</v>
      </c>
      <c r="Z1854" s="110"/>
      <c r="AA1854" s="110" t="s">
        <v>537</v>
      </c>
      <c r="AB1854" s="110" t="s">
        <v>374</v>
      </c>
      <c r="AC1854" s="110" t="s">
        <v>538</v>
      </c>
      <c r="AD1854" s="110" t="n">
        <f aca="false">IF(OR(F1854="",Q1854="",R1854=""),"",ROUND(IF(P1854="incl.",F1854/(1+Q1854),F1854)/IF(S1854="per pack",R1854,1),2))</f>
        <v>25</v>
      </c>
      <c r="AE1854" s="110" t="str">
        <f aca="false">IF(AND(AC1854="yes",ISNUMBER(F1854),IF(Compare!$H$5="All mapped",TRUE(),IF(Compare!$H$5="EXACT only",J1854="EXACT",OR(J1854="EXACT",J1854="CLOSE")))),"yes","no")</f>
        <v>yes</v>
      </c>
      <c r="AF1854" s="110" t="n">
        <f aca="false">IF(ISNUMBER(H1854),COUNTIFS($B$7:$B$3000,B1854,$C$7:$C$3000,C1854,$H$7:$H$3000,"&lt;"&amp;H1854,$AH$7:$AH$3000,"yes")+COUNTIFS($B$7:B1854,B1854,$C$7:C1854,C1854,$H$7:H1854,H1854,$AH$7:AH1854,"yes"),"")</f>
        <v>4</v>
      </c>
      <c r="AG1854" s="110" t="n">
        <f aca="false">IF(ISNUMBER(I1854),COUNTIFS($B$7:$B$3000,B1854,$C$7:$C$3000,C1854,$I$7:$I$3000,"&lt;"&amp;I1854,$AI$7:$AI$3000,"yes")+COUNTIFS($B$7:B1854,B1854,$C$7:C1854,C1854,$I$7:I1854,I1854,$AI$7:AI1854,"yes"),"")</f>
        <v>4</v>
      </c>
      <c r="AH1854" s="110" t="str">
        <f aca="false">IF(ISNUMBER(H1854),"yes","no")</f>
        <v>yes</v>
      </c>
      <c r="AI1854" s="110" t="str">
        <f aca="false">IF(ISNUMBER(I1854),"yes","no")</f>
        <v>yes</v>
      </c>
      <c r="AJ1854" s="120" t="n">
        <v>46297</v>
      </c>
      <c r="AK1854" s="110"/>
    </row>
    <row r="1855" customFormat="false" ht="35.05" hidden="false" customHeight="false" outlineLevel="0" collapsed="false">
      <c r="B1855" s="36" t="s">
        <v>102</v>
      </c>
      <c r="C1855" s="98" t="s">
        <v>14</v>
      </c>
      <c r="D1855" s="98" t="s">
        <v>346</v>
      </c>
      <c r="E1855" s="110" t="s">
        <v>5738</v>
      </c>
      <c r="F1855" s="99" t="n">
        <v>47.03</v>
      </c>
      <c r="G1855" s="98" t="s">
        <v>374</v>
      </c>
      <c r="H1855" s="112" t="n">
        <f aca="false">IF(AND(AE1855="yes",ISNUMBER(AD1855)),AD1855,"")</f>
        <v>38.87</v>
      </c>
      <c r="I1855" s="95" t="n">
        <f aca="false">IF(AND(AE1855="yes",ISNUMBER(AD1855),ISNUMBER(INDEX(Sources!$G$7:$G$10,MATCH(AB1855,Sources!$B$7:$B$10,0)))),ROUND(AD1855/INDEX(Sources!$G$7:$G$10,MATCH(AB1855,Sources!$B$7:$B$10,0)),6),"")</f>
        <v>7.365032</v>
      </c>
      <c r="J1855" s="98" t="s">
        <v>530</v>
      </c>
      <c r="K1855" s="98" t="s">
        <v>2059</v>
      </c>
      <c r="L1855" s="96"/>
      <c r="M1855" s="110" t="s">
        <v>5739</v>
      </c>
      <c r="N1855" s="117" t="s">
        <v>5740</v>
      </c>
      <c r="O1855" s="110" t="s">
        <v>565</v>
      </c>
      <c r="P1855" s="110" t="s">
        <v>265</v>
      </c>
      <c r="Q1855" s="118" t="n">
        <v>0.21</v>
      </c>
      <c r="R1855" s="110" t="n">
        <v>1</v>
      </c>
      <c r="S1855" s="110" t="s">
        <v>632</v>
      </c>
      <c r="T1855" s="110" t="s">
        <v>530</v>
      </c>
      <c r="U1855" s="110" t="s">
        <v>2918</v>
      </c>
      <c r="V1855" s="119" t="n">
        <v>38.87</v>
      </c>
      <c r="W1855" s="119"/>
      <c r="X1855" s="110" t="s">
        <v>2063</v>
      </c>
      <c r="Y1855" s="110" t="s">
        <v>2064</v>
      </c>
      <c r="Z1855" s="110"/>
      <c r="AA1855" s="110" t="s">
        <v>537</v>
      </c>
      <c r="AB1855" s="110" t="s">
        <v>374</v>
      </c>
      <c r="AC1855" s="110" t="s">
        <v>538</v>
      </c>
      <c r="AD1855" s="110" t="n">
        <f aca="false">IF(OR(F1855="",Q1855="",R1855=""),"",ROUND(IF(P1855="incl.",F1855/(1+Q1855),F1855)/IF(S1855="per pack",R1855,1),2))</f>
        <v>38.87</v>
      </c>
      <c r="AE1855" s="110" t="str">
        <f aca="false">IF(AND(AC1855="yes",ISNUMBER(F1855),IF(Compare!$H$5="All mapped",TRUE(),IF(Compare!$H$5="EXACT only",J1855="EXACT",OR(J1855="EXACT",J1855="CLOSE")))),"yes","no")</f>
        <v>yes</v>
      </c>
      <c r="AF1855" s="110" t="n">
        <f aca="false">IF(ISNUMBER(H1855),COUNTIFS($B$7:$B$3000,B1855,$C$7:$C$3000,C1855,$H$7:$H$3000,"&lt;"&amp;H1855,$AH$7:$AH$3000,"yes")+COUNTIFS($B$7:B1855,B1855,$C$7:C1855,C1855,$H$7:H1855,H1855,$AH$7:AH1855,"yes"),"")</f>
        <v>5</v>
      </c>
      <c r="AG1855" s="110" t="n">
        <f aca="false">IF(ISNUMBER(I1855),COUNTIFS($B$7:$B$3000,B1855,$C$7:$C$3000,C1855,$I$7:$I$3000,"&lt;"&amp;I1855,$AI$7:$AI$3000,"yes")+COUNTIFS($B$7:B1855,B1855,$C$7:C1855,C1855,$I$7:I1855,I1855,$AI$7:AI1855,"yes"),"")</f>
        <v>5</v>
      </c>
      <c r="AH1855" s="110" t="str">
        <f aca="false">IF(ISNUMBER(H1855),"yes","no")</f>
        <v>yes</v>
      </c>
      <c r="AI1855" s="110" t="str">
        <f aca="false">IF(ISNUMBER(I1855),"yes","no")</f>
        <v>yes</v>
      </c>
      <c r="AJ1855" s="120" t="n">
        <v>46297</v>
      </c>
      <c r="AK1855" s="110"/>
    </row>
    <row r="1856" customFormat="false" ht="23.85" hidden="false" customHeight="false" outlineLevel="0" collapsed="false">
      <c r="B1856" s="36" t="s">
        <v>102</v>
      </c>
      <c r="C1856" s="98" t="s">
        <v>14</v>
      </c>
      <c r="D1856" s="98" t="s">
        <v>395</v>
      </c>
      <c r="E1856" s="110" t="s">
        <v>5741</v>
      </c>
      <c r="F1856" s="99" t="n">
        <v>3.23</v>
      </c>
      <c r="G1856" s="98" t="s">
        <v>244</v>
      </c>
      <c r="H1856" s="112" t="n">
        <f aca="false">IF(AND(AE1856="yes",ISNUMBER(AD1856)),AD1856,"")</f>
        <v>3.23</v>
      </c>
      <c r="I1856" s="95" t="n">
        <f aca="false">IF(AND(AE1856="yes",ISNUMBER(AD1856),ISNUMBER(INDEX(Sources!$G$7:$G$10,MATCH(AB1856,Sources!$B$7:$B$10,0)))),ROUND(AD1856/INDEX(Sources!$G$7:$G$10,MATCH(AB1856,Sources!$B$7:$B$10,0)),6),"")</f>
        <v>3.23</v>
      </c>
      <c r="J1856" s="98" t="s">
        <v>530</v>
      </c>
      <c r="K1856" s="98" t="s">
        <v>2059</v>
      </c>
      <c r="L1856" s="96"/>
      <c r="M1856" s="110" t="s">
        <v>5742</v>
      </c>
      <c r="N1856" s="117" t="s">
        <v>5743</v>
      </c>
      <c r="O1856" s="110" t="s">
        <v>572</v>
      </c>
      <c r="P1856" s="110" t="s">
        <v>590</v>
      </c>
      <c r="Q1856" s="118" t="n">
        <v>0.21</v>
      </c>
      <c r="R1856" s="110" t="n">
        <v>1</v>
      </c>
      <c r="S1856" s="110" t="s">
        <v>632</v>
      </c>
      <c r="T1856" s="110" t="s">
        <v>530</v>
      </c>
      <c r="U1856" s="110" t="s">
        <v>2913</v>
      </c>
      <c r="V1856" s="119" t="n">
        <v>3.23</v>
      </c>
      <c r="W1856" s="119"/>
      <c r="X1856" s="110" t="s">
        <v>2063</v>
      </c>
      <c r="Y1856" s="110" t="s">
        <v>2064</v>
      </c>
      <c r="Z1856" s="110" t="s">
        <v>2925</v>
      </c>
      <c r="AA1856" s="110" t="s">
        <v>537</v>
      </c>
      <c r="AB1856" s="110" t="s">
        <v>244</v>
      </c>
      <c r="AC1856" s="110" t="s">
        <v>538</v>
      </c>
      <c r="AD1856" s="110" t="n">
        <f aca="false">IF(OR(F1856="",Q1856="",R1856=""),"",ROUND(IF(P1856="incl.",F1856/(1+Q1856),F1856)/IF(S1856="per pack",R1856,1),2))</f>
        <v>3.23</v>
      </c>
      <c r="AE1856" s="110" t="str">
        <f aca="false">IF(AND(AC1856="yes",ISNUMBER(F1856),IF(Compare!$H$5="All mapped",TRUE(),IF(Compare!$H$5="EXACT only",J1856="EXACT",OR(J1856="EXACT",J1856="CLOSE")))),"yes","no")</f>
        <v>yes</v>
      </c>
      <c r="AF1856" s="110" t="n">
        <f aca="false">IF(ISNUMBER(H1856),COUNTIFS($B$7:$B$3000,B1856,$C$7:$C$3000,C1856,$H$7:$H$3000,"&lt;"&amp;H1856,$AH$7:$AH$3000,"yes")+COUNTIFS($B$7:B1856,B1856,$C$7:C1856,C1856,$H$7:H1856,H1856,$AH$7:AH1856,"yes"),"")</f>
        <v>1</v>
      </c>
      <c r="AG1856" s="110" t="n">
        <f aca="false">IF(ISNUMBER(I1856),COUNTIFS($B$7:$B$3000,B1856,$C$7:$C$3000,C1856,$I$7:$I$3000,"&lt;"&amp;I1856,$AI$7:$AI$3000,"yes")+COUNTIFS($B$7:B1856,B1856,$C$7:C1856,C1856,$I$7:I1856,I1856,$AI$7:AI1856,"yes"),"")</f>
        <v>2</v>
      </c>
      <c r="AH1856" s="110" t="str">
        <f aca="false">IF(ISNUMBER(H1856),"yes","no")</f>
        <v>yes</v>
      </c>
      <c r="AI1856" s="110" t="str">
        <f aca="false">IF(ISNUMBER(I1856),"yes","no")</f>
        <v>yes</v>
      </c>
      <c r="AJ1856" s="120" t="n">
        <v>46297</v>
      </c>
      <c r="AK1856" s="110"/>
    </row>
    <row r="1857" customFormat="false" ht="23.85" hidden="false" customHeight="false" outlineLevel="0" collapsed="false">
      <c r="B1857" s="36" t="s">
        <v>102</v>
      </c>
      <c r="C1857" s="98" t="s">
        <v>14</v>
      </c>
      <c r="D1857" s="98" t="s">
        <v>403</v>
      </c>
      <c r="E1857" s="110" t="s">
        <v>5744</v>
      </c>
      <c r="F1857" s="99" t="n">
        <v>15.46</v>
      </c>
      <c r="G1857" s="98" t="s">
        <v>374</v>
      </c>
      <c r="H1857" s="112" t="n">
        <f aca="false">IF(AND(AE1857="yes",ISNUMBER(AD1857)),AD1857,"")</f>
        <v>15.46</v>
      </c>
      <c r="I1857" s="95" t="n">
        <f aca="false">IF(AND(AE1857="yes",ISNUMBER(AD1857),ISNUMBER(INDEX(Sources!$G$7:$G$10,MATCH(AB1857,Sources!$B$7:$B$10,0)))),ROUND(AD1857/INDEX(Sources!$G$7:$G$10,MATCH(AB1857,Sources!$B$7:$B$10,0)),6),"")</f>
        <v>2.929339</v>
      </c>
      <c r="J1857" s="98" t="s">
        <v>530</v>
      </c>
      <c r="K1857" s="98" t="s">
        <v>2059</v>
      </c>
      <c r="L1857" s="96"/>
      <c r="M1857" s="110" t="s">
        <v>5745</v>
      </c>
      <c r="N1857" s="117" t="s">
        <v>5746</v>
      </c>
      <c r="O1857" s="110" t="s">
        <v>668</v>
      </c>
      <c r="P1857" s="110" t="s">
        <v>590</v>
      </c>
      <c r="Q1857" s="118" t="n">
        <v>0.21</v>
      </c>
      <c r="R1857" s="110" t="n">
        <v>1</v>
      </c>
      <c r="S1857" s="110" t="s">
        <v>632</v>
      </c>
      <c r="T1857" s="110" t="s">
        <v>530</v>
      </c>
      <c r="U1857" s="110" t="s">
        <v>2913</v>
      </c>
      <c r="V1857" s="119" t="n">
        <v>15.46</v>
      </c>
      <c r="W1857" s="119"/>
      <c r="X1857" s="110" t="s">
        <v>2063</v>
      </c>
      <c r="Y1857" s="110" t="s">
        <v>2064</v>
      </c>
      <c r="Z1857" s="110"/>
      <c r="AA1857" s="110" t="s">
        <v>537</v>
      </c>
      <c r="AB1857" s="110" t="s">
        <v>374</v>
      </c>
      <c r="AC1857" s="110" t="s">
        <v>538</v>
      </c>
      <c r="AD1857" s="110" t="n">
        <f aca="false">IF(OR(F1857="",Q1857="",R1857=""),"",ROUND(IF(P1857="incl.",F1857/(1+Q1857),F1857)/IF(S1857="per pack",R1857,1),2))</f>
        <v>15.46</v>
      </c>
      <c r="AE1857" s="110" t="str">
        <f aca="false">IF(AND(AC1857="yes",ISNUMBER(F1857),IF(Compare!$H$5="All mapped",TRUE(),IF(Compare!$H$5="EXACT only",J1857="EXACT",OR(J1857="EXACT",J1857="CLOSE")))),"yes","no")</f>
        <v>yes</v>
      </c>
      <c r="AF1857" s="110" t="n">
        <f aca="false">IF(ISNUMBER(H1857),COUNTIFS($B$7:$B$3000,B1857,$C$7:$C$3000,C1857,$H$7:$H$3000,"&lt;"&amp;H1857,$AH$7:$AH$3000,"yes")+COUNTIFS($B$7:B1857,B1857,$C$7:C1857,C1857,$H$7:H1857,H1857,$AH$7:AH1857,"yes"),"")</f>
        <v>2</v>
      </c>
      <c r="AG1857" s="110" t="n">
        <f aca="false">IF(ISNUMBER(I1857),COUNTIFS($B$7:$B$3000,B1857,$C$7:$C$3000,C1857,$I$7:$I$3000,"&lt;"&amp;I1857,$AI$7:$AI$3000,"yes")+COUNTIFS($B$7:B1857,B1857,$C$7:C1857,C1857,$I$7:I1857,I1857,$AI$7:AI1857,"yes"),"")</f>
        <v>1</v>
      </c>
      <c r="AH1857" s="110" t="str">
        <f aca="false">IF(ISNUMBER(H1857),"yes","no")</f>
        <v>yes</v>
      </c>
      <c r="AI1857" s="110" t="str">
        <f aca="false">IF(ISNUMBER(I1857),"yes","no")</f>
        <v>yes</v>
      </c>
      <c r="AJ1857" s="120" t="n">
        <v>46297</v>
      </c>
      <c r="AK1857" s="110"/>
    </row>
    <row r="1858" customFormat="false" ht="35.05" hidden="false" customHeight="false" outlineLevel="0" collapsed="false">
      <c r="B1858" s="36" t="s">
        <v>102</v>
      </c>
      <c r="C1858" s="98" t="s">
        <v>15</v>
      </c>
      <c r="D1858" s="98" t="s">
        <v>243</v>
      </c>
      <c r="E1858" s="110" t="s">
        <v>5747</v>
      </c>
      <c r="F1858" s="99" t="n">
        <v>4.1</v>
      </c>
      <c r="G1858" s="98" t="s">
        <v>244</v>
      </c>
      <c r="H1858" s="112" t="n">
        <f aca="false">IF(AND(AE1858="yes",ISNUMBER(AD1858)),AD1858,"")</f>
        <v>4.1</v>
      </c>
      <c r="I1858" s="95" t="n">
        <f aca="false">IF(AND(AE1858="yes",ISNUMBER(AD1858),ISNUMBER(INDEX(Sources!$G$7:$G$10,MATCH(AB1858,Sources!$B$7:$B$10,0)))),ROUND(AD1858/INDEX(Sources!$G$7:$G$10,MATCH(AB1858,Sources!$B$7:$B$10,0)),6),"")</f>
        <v>4.1</v>
      </c>
      <c r="J1858" s="98" t="s">
        <v>530</v>
      </c>
      <c r="K1858" s="98" t="s">
        <v>2059</v>
      </c>
      <c r="L1858" s="96"/>
      <c r="M1858" s="110" t="s">
        <v>5748</v>
      </c>
      <c r="N1858" s="117" t="s">
        <v>5749</v>
      </c>
      <c r="O1858" s="110" t="s">
        <v>2932</v>
      </c>
      <c r="P1858" s="110" t="s">
        <v>590</v>
      </c>
      <c r="Q1858" s="118" t="n">
        <v>0.2</v>
      </c>
      <c r="R1858" s="110" t="n">
        <v>1</v>
      </c>
      <c r="S1858" s="110" t="s">
        <v>632</v>
      </c>
      <c r="T1858" s="110" t="s">
        <v>530</v>
      </c>
      <c r="U1858" s="110" t="s">
        <v>2913</v>
      </c>
      <c r="V1858" s="119" t="n">
        <v>4.1</v>
      </c>
      <c r="W1858" s="119"/>
      <c r="X1858" s="110" t="s">
        <v>2063</v>
      </c>
      <c r="Y1858" s="110" t="s">
        <v>2064</v>
      </c>
      <c r="Z1858" s="110" t="s">
        <v>2164</v>
      </c>
      <c r="AA1858" s="110" t="s">
        <v>537</v>
      </c>
      <c r="AB1858" s="110" t="s">
        <v>244</v>
      </c>
      <c r="AC1858" s="110" t="s">
        <v>538</v>
      </c>
      <c r="AD1858" s="110" t="n">
        <f aca="false">IF(OR(F1858="",Q1858="",R1858=""),"",ROUND(IF(P1858="incl.",F1858/(1+Q1858),F1858)/IF(S1858="per pack",R1858,1),2))</f>
        <v>4.1</v>
      </c>
      <c r="AE1858" s="110" t="str">
        <f aca="false">IF(AND(AC1858="yes",ISNUMBER(F1858),IF(Compare!$H$5="All mapped",TRUE(),IF(Compare!$H$5="EXACT only",J1858="EXACT",OR(J1858="EXACT",J1858="CLOSE")))),"yes","no")</f>
        <v>yes</v>
      </c>
      <c r="AF1858" s="110" t="n">
        <f aca="false">IF(ISNUMBER(H1858),COUNTIFS($B$7:$B$3000,B1858,$C$7:$C$3000,C1858,$H$7:$H$3000,"&lt;"&amp;H1858,$AH$7:$AH$3000,"yes")+COUNTIFS($B$7:B1858,B1858,$C$7:C1858,C1858,$H$7:H1858,H1858,$AH$7:AH1858,"yes"),"")</f>
        <v>1</v>
      </c>
      <c r="AG1858" s="110" t="n">
        <f aca="false">IF(ISNUMBER(I1858),COUNTIFS($B$7:$B$3000,B1858,$C$7:$C$3000,C1858,$I$7:$I$3000,"&lt;"&amp;I1858,$AI$7:$AI$3000,"yes")+COUNTIFS($B$7:B1858,B1858,$C$7:C1858,C1858,$I$7:I1858,I1858,$AI$7:AI1858,"yes"),"")</f>
        <v>1</v>
      </c>
      <c r="AH1858" s="110" t="str">
        <f aca="false">IF(ISNUMBER(H1858),"yes","no")</f>
        <v>yes</v>
      </c>
      <c r="AI1858" s="110" t="str">
        <f aca="false">IF(ISNUMBER(I1858),"yes","no")</f>
        <v>yes</v>
      </c>
      <c r="AJ1858" s="120" t="n">
        <v>46297</v>
      </c>
      <c r="AK1858" s="110"/>
    </row>
    <row r="1859" customFormat="false" ht="23.85" hidden="false" customHeight="false" outlineLevel="0" collapsed="false">
      <c r="B1859" s="36" t="s">
        <v>102</v>
      </c>
      <c r="C1859" s="98" t="s">
        <v>15</v>
      </c>
      <c r="D1859" s="98" t="s">
        <v>257</v>
      </c>
      <c r="E1859" s="110" t="s">
        <v>5750</v>
      </c>
      <c r="F1859" s="99" t="n">
        <v>12</v>
      </c>
      <c r="G1859" s="98" t="s">
        <v>244</v>
      </c>
      <c r="H1859" s="112" t="n">
        <f aca="false">IF(AND(AE1859="yes",ISNUMBER(AD1859)),AD1859,"")</f>
        <v>12</v>
      </c>
      <c r="I1859" s="95" t="n">
        <f aca="false">IF(AND(AE1859="yes",ISNUMBER(AD1859),ISNUMBER(INDEX(Sources!$G$7:$G$10,MATCH(AB1859,Sources!$B$7:$B$10,0)))),ROUND(AD1859/INDEX(Sources!$G$7:$G$10,MATCH(AB1859,Sources!$B$7:$B$10,0)),6),"")</f>
        <v>12</v>
      </c>
      <c r="J1859" s="98" t="s">
        <v>530</v>
      </c>
      <c r="K1859" s="98" t="s">
        <v>2059</v>
      </c>
      <c r="L1859" s="96"/>
      <c r="M1859" s="110" t="s">
        <v>5751</v>
      </c>
      <c r="N1859" s="117" t="s">
        <v>5752</v>
      </c>
      <c r="O1859" s="110" t="s">
        <v>1576</v>
      </c>
      <c r="P1859" s="110" t="s">
        <v>590</v>
      </c>
      <c r="Q1859" s="118" t="n">
        <v>0.2</v>
      </c>
      <c r="R1859" s="110" t="n">
        <v>1</v>
      </c>
      <c r="S1859" s="110" t="s">
        <v>632</v>
      </c>
      <c r="T1859" s="110" t="s">
        <v>530</v>
      </c>
      <c r="U1859" s="110" t="s">
        <v>2913</v>
      </c>
      <c r="V1859" s="119" t="n">
        <v>12</v>
      </c>
      <c r="W1859" s="119"/>
      <c r="X1859" s="110" t="s">
        <v>2063</v>
      </c>
      <c r="Y1859" s="110" t="s">
        <v>2064</v>
      </c>
      <c r="Z1859" s="110" t="s">
        <v>4341</v>
      </c>
      <c r="AA1859" s="110" t="s">
        <v>537</v>
      </c>
      <c r="AB1859" s="110" t="s">
        <v>244</v>
      </c>
      <c r="AC1859" s="110" t="s">
        <v>538</v>
      </c>
      <c r="AD1859" s="110" t="n">
        <f aca="false">IF(OR(F1859="",Q1859="",R1859=""),"",ROUND(IF(P1859="incl.",F1859/(1+Q1859),F1859)/IF(S1859="per pack",R1859,1),2))</f>
        <v>12</v>
      </c>
      <c r="AE1859" s="110" t="str">
        <f aca="false">IF(AND(AC1859="yes",ISNUMBER(F1859),IF(Compare!$H$5="All mapped",TRUE(),IF(Compare!$H$5="EXACT only",J1859="EXACT",OR(J1859="EXACT",J1859="CLOSE")))),"yes","no")</f>
        <v>yes</v>
      </c>
      <c r="AF1859" s="110" t="n">
        <f aca="false">IF(ISNUMBER(H1859),COUNTIFS($B$7:$B$3000,B1859,$C$7:$C$3000,C1859,$H$7:$H$3000,"&lt;"&amp;H1859,$AH$7:$AH$3000,"yes")+COUNTIFS($B$7:B1859,B1859,$C$7:C1859,C1859,$H$7:H1859,H1859,$AH$7:AH1859,"yes"),"")</f>
        <v>6</v>
      </c>
      <c r="AG1859" s="110" t="n">
        <f aca="false">IF(ISNUMBER(I1859),COUNTIFS($B$7:$B$3000,B1859,$C$7:$C$3000,C1859,$I$7:$I$3000,"&lt;"&amp;I1859,$AI$7:$AI$3000,"yes")+COUNTIFS($B$7:B1859,B1859,$C$7:C1859,C1859,$I$7:I1859,I1859,$AI$7:AI1859,"yes"),"")</f>
        <v>6</v>
      </c>
      <c r="AH1859" s="110" t="str">
        <f aca="false">IF(ISNUMBER(H1859),"yes","no")</f>
        <v>yes</v>
      </c>
      <c r="AI1859" s="110" t="str">
        <f aca="false">IF(ISNUMBER(I1859),"yes","no")</f>
        <v>yes</v>
      </c>
      <c r="AJ1859" s="120" t="n">
        <v>46297</v>
      </c>
      <c r="AK1859" s="110"/>
    </row>
    <row r="1860" customFormat="false" ht="35.05" hidden="false" customHeight="false" outlineLevel="0" collapsed="false">
      <c r="B1860" s="36" t="s">
        <v>102</v>
      </c>
      <c r="C1860" s="98" t="s">
        <v>15</v>
      </c>
      <c r="D1860" s="98" t="s">
        <v>269</v>
      </c>
      <c r="E1860" s="110" t="s">
        <v>5753</v>
      </c>
      <c r="F1860" s="99" t="n">
        <v>5.09</v>
      </c>
      <c r="G1860" s="98" t="s">
        <v>244</v>
      </c>
      <c r="H1860" s="112" t="n">
        <f aca="false">IF(AND(AE1860="yes",ISNUMBER(AD1860)),AD1860,"")</f>
        <v>5.09</v>
      </c>
      <c r="I1860" s="95" t="n">
        <f aca="false">IF(AND(AE1860="yes",ISNUMBER(AD1860),ISNUMBER(INDEX(Sources!$G$7:$G$10,MATCH(AB1860,Sources!$B$7:$B$10,0)))),ROUND(AD1860/INDEX(Sources!$G$7:$G$10,MATCH(AB1860,Sources!$B$7:$B$10,0)),6),"")</f>
        <v>5.09</v>
      </c>
      <c r="J1860" s="98" t="s">
        <v>530</v>
      </c>
      <c r="K1860" s="98" t="s">
        <v>2059</v>
      </c>
      <c r="L1860" s="96"/>
      <c r="M1860" s="110" t="s">
        <v>5754</v>
      </c>
      <c r="N1860" s="117" t="s">
        <v>5755</v>
      </c>
      <c r="O1860" s="110" t="s">
        <v>598</v>
      </c>
      <c r="P1860" s="110" t="s">
        <v>590</v>
      </c>
      <c r="Q1860" s="118" t="n">
        <v>0.2</v>
      </c>
      <c r="R1860" s="110" t="n">
        <v>1</v>
      </c>
      <c r="S1860" s="110" t="s">
        <v>632</v>
      </c>
      <c r="T1860" s="110" t="s">
        <v>530</v>
      </c>
      <c r="U1860" s="110" t="s">
        <v>2913</v>
      </c>
      <c r="V1860" s="119" t="n">
        <v>5.09</v>
      </c>
      <c r="W1860" s="119"/>
      <c r="X1860" s="110" t="s">
        <v>2063</v>
      </c>
      <c r="Y1860" s="110" t="s">
        <v>2064</v>
      </c>
      <c r="Z1860" s="110" t="s">
        <v>2940</v>
      </c>
      <c r="AA1860" s="110" t="s">
        <v>537</v>
      </c>
      <c r="AB1860" s="110" t="s">
        <v>244</v>
      </c>
      <c r="AC1860" s="110" t="s">
        <v>538</v>
      </c>
      <c r="AD1860" s="110" t="n">
        <f aca="false">IF(OR(F1860="",Q1860="",R1860=""),"",ROUND(IF(P1860="incl.",F1860/(1+Q1860),F1860)/IF(S1860="per pack",R1860,1),2))</f>
        <v>5.09</v>
      </c>
      <c r="AE1860" s="110" t="str">
        <f aca="false">IF(AND(AC1860="yes",ISNUMBER(F1860),IF(Compare!$H$5="All mapped",TRUE(),IF(Compare!$H$5="EXACT only",J1860="EXACT",OR(J1860="EXACT",J1860="CLOSE")))),"yes","no")</f>
        <v>yes</v>
      </c>
      <c r="AF1860" s="110" t="n">
        <f aca="false">IF(ISNUMBER(H1860),COUNTIFS($B$7:$B$3000,B1860,$C$7:$C$3000,C1860,$H$7:$H$3000,"&lt;"&amp;H1860,$AH$7:$AH$3000,"yes")+COUNTIFS($B$7:B1860,B1860,$C$7:C1860,C1860,$H$7:H1860,H1860,$AH$7:AH1860,"yes"),"")</f>
        <v>4</v>
      </c>
      <c r="AG1860" s="110" t="n">
        <f aca="false">IF(ISNUMBER(I1860),COUNTIFS($B$7:$B$3000,B1860,$C$7:$C$3000,C1860,$I$7:$I$3000,"&lt;"&amp;I1860,$AI$7:$AI$3000,"yes")+COUNTIFS($B$7:B1860,B1860,$C$7:C1860,C1860,$I$7:I1860,I1860,$AI$7:AI1860,"yes"),"")</f>
        <v>4</v>
      </c>
      <c r="AH1860" s="110" t="str">
        <f aca="false">IF(ISNUMBER(H1860),"yes","no")</f>
        <v>yes</v>
      </c>
      <c r="AI1860" s="110" t="str">
        <f aca="false">IF(ISNUMBER(I1860),"yes","no")</f>
        <v>yes</v>
      </c>
      <c r="AJ1860" s="120" t="n">
        <v>46297</v>
      </c>
      <c r="AK1860" s="110"/>
    </row>
    <row r="1861" customFormat="false" ht="23.85" hidden="false" customHeight="false" outlineLevel="0" collapsed="false">
      <c r="B1861" s="36" t="s">
        <v>102</v>
      </c>
      <c r="C1861" s="98" t="s">
        <v>15</v>
      </c>
      <c r="D1861" s="98" t="s">
        <v>264</v>
      </c>
      <c r="E1861" s="110" t="s">
        <v>5756</v>
      </c>
      <c r="F1861" s="99" t="n">
        <v>19.5</v>
      </c>
      <c r="G1861" s="98" t="s">
        <v>244</v>
      </c>
      <c r="H1861" s="112" t="n">
        <f aca="false">IF(AND(AE1861="yes",ISNUMBER(AD1861)),AD1861,"")</f>
        <v>19.5</v>
      </c>
      <c r="I1861" s="95" t="n">
        <f aca="false">IF(AND(AE1861="yes",ISNUMBER(AD1861),ISNUMBER(INDEX(Sources!$G$7:$G$10,MATCH(AB1861,Sources!$B$7:$B$10,0)))),ROUND(AD1861/INDEX(Sources!$G$7:$G$10,MATCH(AB1861,Sources!$B$7:$B$10,0)),6),"")</f>
        <v>19.5</v>
      </c>
      <c r="J1861" s="98" t="s">
        <v>530</v>
      </c>
      <c r="K1861" s="98" t="s">
        <v>2059</v>
      </c>
      <c r="L1861" s="96"/>
      <c r="M1861" s="110" t="s">
        <v>5757</v>
      </c>
      <c r="N1861" s="117" t="s">
        <v>5758</v>
      </c>
      <c r="O1861" s="110" t="s">
        <v>662</v>
      </c>
      <c r="P1861" s="110" t="s">
        <v>590</v>
      </c>
      <c r="Q1861" s="118" t="n">
        <v>0.2</v>
      </c>
      <c r="R1861" s="110" t="n">
        <v>1</v>
      </c>
      <c r="S1861" s="110" t="s">
        <v>632</v>
      </c>
      <c r="T1861" s="110" t="s">
        <v>530</v>
      </c>
      <c r="U1861" s="110" t="s">
        <v>2913</v>
      </c>
      <c r="V1861" s="119" t="n">
        <v>19.5</v>
      </c>
      <c r="W1861" s="119"/>
      <c r="X1861" s="110" t="s">
        <v>2063</v>
      </c>
      <c r="Y1861" s="110" t="s">
        <v>2064</v>
      </c>
      <c r="Z1861" s="110"/>
      <c r="AA1861" s="110" t="s">
        <v>537</v>
      </c>
      <c r="AB1861" s="110" t="s">
        <v>244</v>
      </c>
      <c r="AC1861" s="110" t="s">
        <v>538</v>
      </c>
      <c r="AD1861" s="110" t="n">
        <f aca="false">IF(OR(F1861="",Q1861="",R1861=""),"",ROUND(IF(P1861="incl.",F1861/(1+Q1861),F1861)/IF(S1861="per pack",R1861,1),2))</f>
        <v>19.5</v>
      </c>
      <c r="AE1861" s="110" t="str">
        <f aca="false">IF(AND(AC1861="yes",ISNUMBER(F1861),IF(Compare!$H$5="All mapped",TRUE(),IF(Compare!$H$5="EXACT only",J1861="EXACT",OR(J1861="EXACT",J1861="CLOSE")))),"yes","no")</f>
        <v>yes</v>
      </c>
      <c r="AF1861" s="110" t="n">
        <f aca="false">IF(ISNUMBER(H1861),COUNTIFS($B$7:$B$3000,B1861,$C$7:$C$3000,C1861,$H$7:$H$3000,"&lt;"&amp;H1861,$AH$7:$AH$3000,"yes")+COUNTIFS($B$7:B1861,B1861,$C$7:C1861,C1861,$H$7:H1861,H1861,$AH$7:AH1861,"yes"),"")</f>
        <v>7</v>
      </c>
      <c r="AG1861" s="110" t="n">
        <f aca="false">IF(ISNUMBER(I1861),COUNTIFS($B$7:$B$3000,B1861,$C$7:$C$3000,C1861,$I$7:$I$3000,"&lt;"&amp;I1861,$AI$7:$AI$3000,"yes")+COUNTIFS($B$7:B1861,B1861,$C$7:C1861,C1861,$I$7:I1861,I1861,$AI$7:AI1861,"yes"),"")</f>
        <v>7</v>
      </c>
      <c r="AH1861" s="110" t="str">
        <f aca="false">IF(ISNUMBER(H1861),"yes","no")</f>
        <v>yes</v>
      </c>
      <c r="AI1861" s="110" t="str">
        <f aca="false">IF(ISNUMBER(I1861),"yes","no")</f>
        <v>yes</v>
      </c>
      <c r="AJ1861" s="120" t="n">
        <v>46297</v>
      </c>
      <c r="AK1861" s="110"/>
    </row>
    <row r="1862" customFormat="false" ht="23.85" hidden="false" customHeight="false" outlineLevel="0" collapsed="false">
      <c r="B1862" s="36" t="s">
        <v>102</v>
      </c>
      <c r="C1862" s="98" t="s">
        <v>15</v>
      </c>
      <c r="D1862" s="98" t="s">
        <v>273</v>
      </c>
      <c r="E1862" s="110" t="s">
        <v>5759</v>
      </c>
      <c r="F1862" s="99" t="n">
        <v>4.98</v>
      </c>
      <c r="G1862" s="98" t="s">
        <v>244</v>
      </c>
      <c r="H1862" s="112" t="n">
        <f aca="false">IF(AND(AE1862="yes",ISNUMBER(AD1862)),AD1862,"")</f>
        <v>4.15</v>
      </c>
      <c r="I1862" s="95" t="n">
        <f aca="false">IF(AND(AE1862="yes",ISNUMBER(AD1862),ISNUMBER(INDEX(Sources!$G$7:$G$10,MATCH(AB1862,Sources!$B$7:$B$10,0)))),ROUND(AD1862/INDEX(Sources!$G$7:$G$10,MATCH(AB1862,Sources!$B$7:$B$10,0)),6),"")</f>
        <v>4.15</v>
      </c>
      <c r="J1862" s="98" t="s">
        <v>530</v>
      </c>
      <c r="K1862" s="98" t="s">
        <v>2059</v>
      </c>
      <c r="L1862" s="96"/>
      <c r="M1862" s="110" t="s">
        <v>5760</v>
      </c>
      <c r="N1862" s="117" t="s">
        <v>5761</v>
      </c>
      <c r="O1862" s="110" t="s">
        <v>598</v>
      </c>
      <c r="P1862" s="110" t="s">
        <v>265</v>
      </c>
      <c r="Q1862" s="118" t="n">
        <v>0.2</v>
      </c>
      <c r="R1862" s="110" t="n">
        <v>1</v>
      </c>
      <c r="S1862" s="110" t="s">
        <v>632</v>
      </c>
      <c r="T1862" s="110" t="s">
        <v>530</v>
      </c>
      <c r="U1862" s="110" t="s">
        <v>2918</v>
      </c>
      <c r="V1862" s="119" t="n">
        <v>4.15</v>
      </c>
      <c r="W1862" s="119"/>
      <c r="X1862" s="110" t="s">
        <v>2063</v>
      </c>
      <c r="Y1862" s="110" t="s">
        <v>2064</v>
      </c>
      <c r="Z1862" s="110" t="s">
        <v>2948</v>
      </c>
      <c r="AA1862" s="110" t="s">
        <v>537</v>
      </c>
      <c r="AB1862" s="110" t="s">
        <v>244</v>
      </c>
      <c r="AC1862" s="110" t="s">
        <v>538</v>
      </c>
      <c r="AD1862" s="110" t="n">
        <f aca="false">IF(OR(F1862="",Q1862="",R1862=""),"",ROUND(IF(P1862="incl.",F1862/(1+Q1862),F1862)/IF(S1862="per pack",R1862,1),2))</f>
        <v>4.15</v>
      </c>
      <c r="AE1862" s="110" t="str">
        <f aca="false">IF(AND(AC1862="yes",ISNUMBER(F1862),IF(Compare!$H$5="All mapped",TRUE(),IF(Compare!$H$5="EXACT only",J1862="EXACT",OR(J1862="EXACT",J1862="CLOSE")))),"yes","no")</f>
        <v>yes</v>
      </c>
      <c r="AF1862" s="110" t="n">
        <f aca="false">IF(ISNUMBER(H1862),COUNTIFS($B$7:$B$3000,B1862,$C$7:$C$3000,C1862,$H$7:$H$3000,"&lt;"&amp;H1862,$AH$7:$AH$3000,"yes")+COUNTIFS($B$7:B1862,B1862,$C$7:C1862,C1862,$H$7:H1862,H1862,$AH$7:AH1862,"yes"),"")</f>
        <v>2</v>
      </c>
      <c r="AG1862" s="110" t="n">
        <f aca="false">IF(ISNUMBER(I1862),COUNTIFS($B$7:$B$3000,B1862,$C$7:$C$3000,C1862,$I$7:$I$3000,"&lt;"&amp;I1862,$AI$7:$AI$3000,"yes")+COUNTIFS($B$7:B1862,B1862,$C$7:C1862,C1862,$I$7:I1862,I1862,$AI$7:AI1862,"yes"),"")</f>
        <v>2</v>
      </c>
      <c r="AH1862" s="110" t="str">
        <f aca="false">IF(ISNUMBER(H1862),"yes","no")</f>
        <v>yes</v>
      </c>
      <c r="AI1862" s="110" t="str">
        <f aca="false">IF(ISNUMBER(I1862),"yes","no")</f>
        <v>yes</v>
      </c>
      <c r="AJ1862" s="120" t="n">
        <v>46297</v>
      </c>
      <c r="AK1862" s="110"/>
    </row>
    <row r="1863" customFormat="false" ht="35.05" hidden="false" customHeight="false" outlineLevel="0" collapsed="false">
      <c r="B1863" s="36" t="s">
        <v>102</v>
      </c>
      <c r="C1863" s="98" t="s">
        <v>15</v>
      </c>
      <c r="D1863" s="98" t="s">
        <v>281</v>
      </c>
      <c r="E1863" s="110" t="s">
        <v>5762</v>
      </c>
      <c r="F1863" s="99" t="n">
        <v>5.16</v>
      </c>
      <c r="G1863" s="98" t="s">
        <v>244</v>
      </c>
      <c r="H1863" s="112" t="n">
        <f aca="false">IF(AND(AE1863="yes",ISNUMBER(AD1863)),AD1863,"")</f>
        <v>5.16</v>
      </c>
      <c r="I1863" s="95" t="n">
        <f aca="false">IF(AND(AE1863="yes",ISNUMBER(AD1863),ISNUMBER(INDEX(Sources!$G$7:$G$10,MATCH(AB1863,Sources!$B$7:$B$10,0)))),ROUND(AD1863/INDEX(Sources!$G$7:$G$10,MATCH(AB1863,Sources!$B$7:$B$10,0)),6),"")</f>
        <v>5.16</v>
      </c>
      <c r="J1863" s="98" t="s">
        <v>530</v>
      </c>
      <c r="K1863" s="98" t="s">
        <v>2059</v>
      </c>
      <c r="L1863" s="96"/>
      <c r="M1863" s="110" t="s">
        <v>5763</v>
      </c>
      <c r="N1863" s="117" t="s">
        <v>5764</v>
      </c>
      <c r="O1863" s="110" t="s">
        <v>2944</v>
      </c>
      <c r="P1863" s="110" t="s">
        <v>590</v>
      </c>
      <c r="Q1863" s="118" t="n">
        <v>0.2</v>
      </c>
      <c r="R1863" s="110" t="n">
        <v>1</v>
      </c>
      <c r="S1863" s="110" t="s">
        <v>632</v>
      </c>
      <c r="T1863" s="110" t="s">
        <v>530</v>
      </c>
      <c r="U1863" s="110" t="s">
        <v>2913</v>
      </c>
      <c r="V1863" s="119" t="n">
        <v>5.16</v>
      </c>
      <c r="W1863" s="119"/>
      <c r="X1863" s="110" t="s">
        <v>2063</v>
      </c>
      <c r="Y1863" s="110" t="s">
        <v>2064</v>
      </c>
      <c r="Z1863" s="110" t="s">
        <v>2953</v>
      </c>
      <c r="AA1863" s="110" t="s">
        <v>537</v>
      </c>
      <c r="AB1863" s="110" t="s">
        <v>244</v>
      </c>
      <c r="AC1863" s="110" t="s">
        <v>538</v>
      </c>
      <c r="AD1863" s="110" t="n">
        <f aca="false">IF(OR(F1863="",Q1863="",R1863=""),"",ROUND(IF(P1863="incl.",F1863/(1+Q1863),F1863)/IF(S1863="per pack",R1863,1),2))</f>
        <v>5.16</v>
      </c>
      <c r="AE1863" s="110" t="str">
        <f aca="false">IF(AND(AC1863="yes",ISNUMBER(F1863),IF(Compare!$H$5="All mapped",TRUE(),IF(Compare!$H$5="EXACT only",J1863="EXACT",OR(J1863="EXACT",J1863="CLOSE")))),"yes","no")</f>
        <v>yes</v>
      </c>
      <c r="AF1863" s="110" t="n">
        <f aca="false">IF(ISNUMBER(H1863),COUNTIFS($B$7:$B$3000,B1863,$C$7:$C$3000,C1863,$H$7:$H$3000,"&lt;"&amp;H1863,$AH$7:$AH$3000,"yes")+COUNTIFS($B$7:B1863,B1863,$C$7:C1863,C1863,$H$7:H1863,H1863,$AH$7:AH1863,"yes"),"")</f>
        <v>5</v>
      </c>
      <c r="AG1863" s="110" t="n">
        <f aca="false">IF(ISNUMBER(I1863),COUNTIFS($B$7:$B$3000,B1863,$C$7:$C$3000,C1863,$I$7:$I$3000,"&lt;"&amp;I1863,$AI$7:$AI$3000,"yes")+COUNTIFS($B$7:B1863,B1863,$C$7:C1863,C1863,$I$7:I1863,I1863,$AI$7:AI1863,"yes"),"")</f>
        <v>5</v>
      </c>
      <c r="AH1863" s="110" t="str">
        <f aca="false">IF(ISNUMBER(H1863),"yes","no")</f>
        <v>yes</v>
      </c>
      <c r="AI1863" s="110" t="str">
        <f aca="false">IF(ISNUMBER(I1863),"yes","no")</f>
        <v>yes</v>
      </c>
      <c r="AJ1863" s="120" t="n">
        <v>46297</v>
      </c>
      <c r="AK1863" s="110"/>
    </row>
    <row r="1864" customFormat="false" ht="23.85" hidden="false" customHeight="false" outlineLevel="0" collapsed="false">
      <c r="B1864" s="36" t="s">
        <v>102</v>
      </c>
      <c r="C1864" s="98" t="s">
        <v>15</v>
      </c>
      <c r="D1864" s="98" t="s">
        <v>293</v>
      </c>
      <c r="E1864" s="110" t="s">
        <v>5765</v>
      </c>
      <c r="F1864" s="99" t="n">
        <v>4.6</v>
      </c>
      <c r="G1864" s="98" t="s">
        <v>244</v>
      </c>
      <c r="H1864" s="112" t="n">
        <f aca="false">IF(AND(AE1864="yes",ISNUMBER(AD1864)),AD1864,"")</f>
        <v>4.6</v>
      </c>
      <c r="I1864" s="95" t="n">
        <f aca="false">IF(AND(AE1864="yes",ISNUMBER(AD1864),ISNUMBER(INDEX(Sources!$G$7:$G$10,MATCH(AB1864,Sources!$B$7:$B$10,0)))),ROUND(AD1864/INDEX(Sources!$G$7:$G$10,MATCH(AB1864,Sources!$B$7:$B$10,0)),6),"")</f>
        <v>4.6</v>
      </c>
      <c r="J1864" s="98" t="s">
        <v>530</v>
      </c>
      <c r="K1864" s="98" t="s">
        <v>2059</v>
      </c>
      <c r="L1864" s="96"/>
      <c r="M1864" s="110" t="s">
        <v>5766</v>
      </c>
      <c r="N1864" s="117" t="s">
        <v>5767</v>
      </c>
      <c r="O1864" s="110" t="s">
        <v>2957</v>
      </c>
      <c r="P1864" s="110" t="s">
        <v>590</v>
      </c>
      <c r="Q1864" s="118" t="n">
        <v>0.2</v>
      </c>
      <c r="R1864" s="110" t="n">
        <v>1</v>
      </c>
      <c r="S1864" s="110" t="s">
        <v>632</v>
      </c>
      <c r="T1864" s="110" t="s">
        <v>530</v>
      </c>
      <c r="U1864" s="110" t="s">
        <v>2913</v>
      </c>
      <c r="V1864" s="119" t="n">
        <v>4.6</v>
      </c>
      <c r="W1864" s="119"/>
      <c r="X1864" s="110" t="s">
        <v>2063</v>
      </c>
      <c r="Y1864" s="110" t="s">
        <v>2064</v>
      </c>
      <c r="Z1864" s="110" t="s">
        <v>2958</v>
      </c>
      <c r="AA1864" s="110" t="s">
        <v>537</v>
      </c>
      <c r="AB1864" s="110" t="s">
        <v>244</v>
      </c>
      <c r="AC1864" s="110" t="s">
        <v>538</v>
      </c>
      <c r="AD1864" s="110" t="n">
        <f aca="false">IF(OR(F1864="",Q1864="",R1864=""),"",ROUND(IF(P1864="incl.",F1864/(1+Q1864),F1864)/IF(S1864="per pack",R1864,1),2))</f>
        <v>4.6</v>
      </c>
      <c r="AE1864" s="110" t="str">
        <f aca="false">IF(AND(AC1864="yes",ISNUMBER(F1864),IF(Compare!$H$5="All mapped",TRUE(),IF(Compare!$H$5="EXACT only",J1864="EXACT",OR(J1864="EXACT",J1864="CLOSE")))),"yes","no")</f>
        <v>yes</v>
      </c>
      <c r="AF1864" s="110" t="n">
        <f aca="false">IF(ISNUMBER(H1864),COUNTIFS($B$7:$B$3000,B1864,$C$7:$C$3000,C1864,$H$7:$H$3000,"&lt;"&amp;H1864,$AH$7:$AH$3000,"yes")+COUNTIFS($B$7:B1864,B1864,$C$7:C1864,C1864,$H$7:H1864,H1864,$AH$7:AH1864,"yes"),"")</f>
        <v>3</v>
      </c>
      <c r="AG1864" s="110" t="n">
        <f aca="false">IF(ISNUMBER(I1864),COUNTIFS($B$7:$B$3000,B1864,$C$7:$C$3000,C1864,$I$7:$I$3000,"&lt;"&amp;I1864,$AI$7:$AI$3000,"yes")+COUNTIFS($B$7:B1864,B1864,$C$7:C1864,C1864,$I$7:I1864,I1864,$AI$7:AI1864,"yes"),"")</f>
        <v>3</v>
      </c>
      <c r="AH1864" s="110" t="str">
        <f aca="false">IF(ISNUMBER(H1864),"yes","no")</f>
        <v>yes</v>
      </c>
      <c r="AI1864" s="110" t="str">
        <f aca="false">IF(ISNUMBER(I1864),"yes","no")</f>
        <v>yes</v>
      </c>
      <c r="AJ1864" s="120" t="n">
        <v>46297</v>
      </c>
      <c r="AK1864" s="110"/>
    </row>
    <row r="1865" customFormat="false" ht="23.85" hidden="false" customHeight="false" outlineLevel="0" collapsed="false">
      <c r="B1865" s="36" t="s">
        <v>102</v>
      </c>
      <c r="C1865" s="98" t="s">
        <v>16</v>
      </c>
      <c r="D1865" s="98" t="s">
        <v>296</v>
      </c>
      <c r="E1865" s="110" t="s">
        <v>5747</v>
      </c>
      <c r="F1865" s="99" t="n">
        <v>4.1</v>
      </c>
      <c r="G1865" s="98" t="s">
        <v>244</v>
      </c>
      <c r="H1865" s="112" t="n">
        <f aca="false">IF(AND(AE1865="yes",ISNUMBER(AD1865)),AD1865,"")</f>
        <v>4.1</v>
      </c>
      <c r="I1865" s="95" t="n">
        <f aca="false">IF(AND(AE1865="yes",ISNUMBER(AD1865),ISNUMBER(INDEX(Sources!$G$7:$G$10,MATCH(AB1865,Sources!$B$7:$B$10,0)))),ROUND(AD1865/INDEX(Sources!$G$7:$G$10,MATCH(AB1865,Sources!$B$7:$B$10,0)),6),"")</f>
        <v>4.1</v>
      </c>
      <c r="J1865" s="98" t="s">
        <v>530</v>
      </c>
      <c r="K1865" s="98" t="s">
        <v>2059</v>
      </c>
      <c r="L1865" s="96"/>
      <c r="M1865" s="110" t="s">
        <v>5768</v>
      </c>
      <c r="N1865" s="117" t="s">
        <v>5769</v>
      </c>
      <c r="O1865" s="110" t="s">
        <v>3149</v>
      </c>
      <c r="P1865" s="110" t="s">
        <v>590</v>
      </c>
      <c r="Q1865" s="118" t="n">
        <v>0.19</v>
      </c>
      <c r="R1865" s="110" t="n">
        <v>1</v>
      </c>
      <c r="S1865" s="110" t="s">
        <v>632</v>
      </c>
      <c r="T1865" s="110" t="s">
        <v>530</v>
      </c>
      <c r="U1865" s="110" t="s">
        <v>2913</v>
      </c>
      <c r="V1865" s="119" t="n">
        <v>4.1</v>
      </c>
      <c r="W1865" s="119"/>
      <c r="X1865" s="110" t="s">
        <v>2063</v>
      </c>
      <c r="Y1865" s="110" t="s">
        <v>2064</v>
      </c>
      <c r="Z1865" s="110" t="s">
        <v>2164</v>
      </c>
      <c r="AA1865" s="110" t="s">
        <v>537</v>
      </c>
      <c r="AB1865" s="110" t="s">
        <v>244</v>
      </c>
      <c r="AC1865" s="110" t="s">
        <v>538</v>
      </c>
      <c r="AD1865" s="110" t="n">
        <f aca="false">IF(OR(F1865="",Q1865="",R1865=""),"",ROUND(IF(P1865="incl.",F1865/(1+Q1865),F1865)/IF(S1865="per pack",R1865,1),2))</f>
        <v>4.1</v>
      </c>
      <c r="AE1865" s="110" t="str">
        <f aca="false">IF(AND(AC1865="yes",ISNUMBER(F1865),IF(Compare!$H$5="All mapped",TRUE(),IF(Compare!$H$5="EXACT only",J1865="EXACT",OR(J1865="EXACT",J1865="CLOSE")))),"yes","no")</f>
        <v>yes</v>
      </c>
      <c r="AF1865" s="110" t="n">
        <f aca="false">IF(ISNUMBER(H1865),COUNTIFS($B$7:$B$3000,B1865,$C$7:$C$3000,C1865,$H$7:$H$3000,"&lt;"&amp;H1865,$AH$7:$AH$3000,"yes")+COUNTIFS($B$7:B1865,B1865,$C$7:C1865,C1865,$H$7:H1865,H1865,$AH$7:AH1865,"yes"),"")</f>
        <v>2</v>
      </c>
      <c r="AG1865" s="110" t="n">
        <f aca="false">IF(ISNUMBER(I1865),COUNTIFS($B$7:$B$3000,B1865,$C$7:$C$3000,C1865,$I$7:$I$3000,"&lt;"&amp;I1865,$AI$7:$AI$3000,"yes")+COUNTIFS($B$7:B1865,B1865,$C$7:C1865,C1865,$I$7:I1865,I1865,$AI$7:AI1865,"yes"),"")</f>
        <v>2</v>
      </c>
      <c r="AH1865" s="110" t="str">
        <f aca="false">IF(ISNUMBER(H1865),"yes","no")</f>
        <v>yes</v>
      </c>
      <c r="AI1865" s="110" t="str">
        <f aca="false">IF(ISNUMBER(I1865),"yes","no")</f>
        <v>yes</v>
      </c>
      <c r="AJ1865" s="120" t="n">
        <v>46297</v>
      </c>
      <c r="AK1865" s="110"/>
    </row>
    <row r="1866" customFormat="false" ht="35.05" hidden="false" customHeight="false" outlineLevel="0" collapsed="false">
      <c r="B1866" s="36" t="s">
        <v>102</v>
      </c>
      <c r="C1866" s="98" t="s">
        <v>16</v>
      </c>
      <c r="D1866" s="98" t="s">
        <v>305</v>
      </c>
      <c r="E1866" s="110" t="s">
        <v>5770</v>
      </c>
      <c r="F1866" s="99" t="n">
        <v>5.6</v>
      </c>
      <c r="G1866" s="98" t="s">
        <v>244</v>
      </c>
      <c r="H1866" s="112" t="n">
        <f aca="false">IF(AND(AE1866="yes",ISNUMBER(AD1866)),AD1866,"")</f>
        <v>4.71</v>
      </c>
      <c r="I1866" s="95" t="n">
        <f aca="false">IF(AND(AE1866="yes",ISNUMBER(AD1866),ISNUMBER(INDEX(Sources!$G$7:$G$10,MATCH(AB1866,Sources!$B$7:$B$10,0)))),ROUND(AD1866/INDEX(Sources!$G$7:$G$10,MATCH(AB1866,Sources!$B$7:$B$10,0)),6),"")</f>
        <v>4.71</v>
      </c>
      <c r="J1866" s="98" t="s">
        <v>530</v>
      </c>
      <c r="K1866" s="98" t="s">
        <v>2059</v>
      </c>
      <c r="L1866" s="96"/>
      <c r="M1866" s="110" t="s">
        <v>5771</v>
      </c>
      <c r="N1866" s="117" t="s">
        <v>5772</v>
      </c>
      <c r="O1866" s="110" t="s">
        <v>2965</v>
      </c>
      <c r="P1866" s="110" t="s">
        <v>265</v>
      </c>
      <c r="Q1866" s="118" t="n">
        <v>0.19</v>
      </c>
      <c r="R1866" s="110" t="n">
        <v>1</v>
      </c>
      <c r="S1866" s="110" t="s">
        <v>632</v>
      </c>
      <c r="T1866" s="110" t="s">
        <v>530</v>
      </c>
      <c r="U1866" s="110" t="s">
        <v>2918</v>
      </c>
      <c r="V1866" s="119" t="n">
        <v>4.71</v>
      </c>
      <c r="W1866" s="119"/>
      <c r="X1866" s="110" t="s">
        <v>2063</v>
      </c>
      <c r="Y1866" s="110" t="s">
        <v>2064</v>
      </c>
      <c r="Z1866" s="110" t="s">
        <v>2156</v>
      </c>
      <c r="AA1866" s="110" t="s">
        <v>537</v>
      </c>
      <c r="AB1866" s="110" t="s">
        <v>244</v>
      </c>
      <c r="AC1866" s="110" t="s">
        <v>538</v>
      </c>
      <c r="AD1866" s="110" t="n">
        <f aca="false">IF(OR(F1866="",Q1866="",R1866=""),"",ROUND(IF(P1866="incl.",F1866/(1+Q1866),F1866)/IF(S1866="per pack",R1866,1),2))</f>
        <v>4.71</v>
      </c>
      <c r="AE1866" s="110" t="str">
        <f aca="false">IF(AND(AC1866="yes",ISNUMBER(F1866),IF(Compare!$H$5="All mapped",TRUE(),IF(Compare!$H$5="EXACT only",J1866="EXACT",OR(J1866="EXACT",J1866="CLOSE")))),"yes","no")</f>
        <v>yes</v>
      </c>
      <c r="AF1866" s="110" t="n">
        <f aca="false">IF(ISNUMBER(H1866),COUNTIFS($B$7:$B$3000,B1866,$C$7:$C$3000,C1866,$H$7:$H$3000,"&lt;"&amp;H1866,$AH$7:$AH$3000,"yes")+COUNTIFS($B$7:B1866,B1866,$C$7:C1866,C1866,$H$7:H1866,H1866,$AH$7:AH1866,"yes"),"")</f>
        <v>4</v>
      </c>
      <c r="AG1866" s="110" t="n">
        <f aca="false">IF(ISNUMBER(I1866),COUNTIFS($B$7:$B$3000,B1866,$C$7:$C$3000,C1866,$I$7:$I$3000,"&lt;"&amp;I1866,$AI$7:$AI$3000,"yes")+COUNTIFS($B$7:B1866,B1866,$C$7:C1866,C1866,$I$7:I1866,I1866,$AI$7:AI1866,"yes"),"")</f>
        <v>4</v>
      </c>
      <c r="AH1866" s="110" t="str">
        <f aca="false">IF(ISNUMBER(H1866),"yes","no")</f>
        <v>yes</v>
      </c>
      <c r="AI1866" s="110" t="str">
        <f aca="false">IF(ISNUMBER(I1866),"yes","no")</f>
        <v>yes</v>
      </c>
      <c r="AJ1866" s="120" t="n">
        <v>46297</v>
      </c>
      <c r="AK1866" s="110"/>
    </row>
    <row r="1867" customFormat="false" ht="35.05" hidden="false" customHeight="false" outlineLevel="0" collapsed="false">
      <c r="B1867" s="36" t="s">
        <v>102</v>
      </c>
      <c r="C1867" s="98" t="s">
        <v>16</v>
      </c>
      <c r="D1867" s="98" t="s">
        <v>311</v>
      </c>
      <c r="E1867" s="110" t="s">
        <v>5753</v>
      </c>
      <c r="F1867" s="99" t="n">
        <v>4.89</v>
      </c>
      <c r="G1867" s="98" t="s">
        <v>244</v>
      </c>
      <c r="H1867" s="112" t="n">
        <f aca="false">IF(AND(AE1867="yes",ISNUMBER(AD1867)),AD1867,"")</f>
        <v>4.89</v>
      </c>
      <c r="I1867" s="95" t="n">
        <f aca="false">IF(AND(AE1867="yes",ISNUMBER(AD1867),ISNUMBER(INDEX(Sources!$G$7:$G$10,MATCH(AB1867,Sources!$B$7:$B$10,0)))),ROUND(AD1867/INDEX(Sources!$G$7:$G$10,MATCH(AB1867,Sources!$B$7:$B$10,0)),6),"")</f>
        <v>4.89</v>
      </c>
      <c r="J1867" s="98" t="s">
        <v>530</v>
      </c>
      <c r="K1867" s="98" t="s">
        <v>2059</v>
      </c>
      <c r="L1867" s="96"/>
      <c r="M1867" s="110" t="s">
        <v>5773</v>
      </c>
      <c r="N1867" s="117" t="s">
        <v>5774</v>
      </c>
      <c r="O1867" s="110" t="s">
        <v>598</v>
      </c>
      <c r="P1867" s="110" t="s">
        <v>590</v>
      </c>
      <c r="Q1867" s="118" t="n">
        <v>0.19</v>
      </c>
      <c r="R1867" s="110" t="n">
        <v>1</v>
      </c>
      <c r="S1867" s="110" t="s">
        <v>632</v>
      </c>
      <c r="T1867" s="110" t="s">
        <v>530</v>
      </c>
      <c r="U1867" s="110" t="s">
        <v>2913</v>
      </c>
      <c r="V1867" s="119" t="n">
        <v>4.89</v>
      </c>
      <c r="W1867" s="119"/>
      <c r="X1867" s="110" t="s">
        <v>2063</v>
      </c>
      <c r="Y1867" s="110" t="s">
        <v>2064</v>
      </c>
      <c r="Z1867" s="110" t="s">
        <v>2968</v>
      </c>
      <c r="AA1867" s="110" t="s">
        <v>537</v>
      </c>
      <c r="AB1867" s="110" t="s">
        <v>244</v>
      </c>
      <c r="AC1867" s="110" t="s">
        <v>538</v>
      </c>
      <c r="AD1867" s="110" t="n">
        <f aca="false">IF(OR(F1867="",Q1867="",R1867=""),"",ROUND(IF(P1867="incl.",F1867/(1+Q1867),F1867)/IF(S1867="per pack",R1867,1),2))</f>
        <v>4.89</v>
      </c>
      <c r="AE1867" s="110" t="str">
        <f aca="false">IF(AND(AC1867="yes",ISNUMBER(F1867),IF(Compare!$H$5="All mapped",TRUE(),IF(Compare!$H$5="EXACT only",J1867="EXACT",OR(J1867="EXACT",J1867="CLOSE")))),"yes","no")</f>
        <v>yes</v>
      </c>
      <c r="AF1867" s="110" t="n">
        <f aca="false">IF(ISNUMBER(H1867),COUNTIFS($B$7:$B$3000,B1867,$C$7:$C$3000,C1867,$H$7:$H$3000,"&lt;"&amp;H1867,$AH$7:$AH$3000,"yes")+COUNTIFS($B$7:B1867,B1867,$C$7:C1867,C1867,$H$7:H1867,H1867,$AH$7:AH1867,"yes"),"")</f>
        <v>5</v>
      </c>
      <c r="AG1867" s="110" t="n">
        <f aca="false">IF(ISNUMBER(I1867),COUNTIFS($B$7:$B$3000,B1867,$C$7:$C$3000,C1867,$I$7:$I$3000,"&lt;"&amp;I1867,$AI$7:$AI$3000,"yes")+COUNTIFS($B$7:B1867,B1867,$C$7:C1867,C1867,$I$7:I1867,I1867,$AI$7:AI1867,"yes"),"")</f>
        <v>5</v>
      </c>
      <c r="AH1867" s="110" t="str">
        <f aca="false">IF(ISNUMBER(H1867),"yes","no")</f>
        <v>yes</v>
      </c>
      <c r="AI1867" s="110" t="str">
        <f aca="false">IF(ISNUMBER(I1867),"yes","no")</f>
        <v>yes</v>
      </c>
      <c r="AJ1867" s="120" t="n">
        <v>46297</v>
      </c>
      <c r="AK1867" s="110"/>
    </row>
    <row r="1868" customFormat="false" ht="35.05" hidden="false" customHeight="false" outlineLevel="0" collapsed="false">
      <c r="B1868" s="36" t="s">
        <v>102</v>
      </c>
      <c r="C1868" s="98" t="s">
        <v>16</v>
      </c>
      <c r="D1868" s="98" t="s">
        <v>309</v>
      </c>
      <c r="E1868" s="110" t="s">
        <v>5756</v>
      </c>
      <c r="F1868" s="99" t="n">
        <v>19.5</v>
      </c>
      <c r="G1868" s="98" t="s">
        <v>244</v>
      </c>
      <c r="H1868" s="112" t="n">
        <f aca="false">IF(AND(AE1868="yes",ISNUMBER(AD1868)),AD1868,"")</f>
        <v>19.5</v>
      </c>
      <c r="I1868" s="95" t="n">
        <f aca="false">IF(AND(AE1868="yes",ISNUMBER(AD1868),ISNUMBER(INDEX(Sources!$G$7:$G$10,MATCH(AB1868,Sources!$B$7:$B$10,0)))),ROUND(AD1868/INDEX(Sources!$G$7:$G$10,MATCH(AB1868,Sources!$B$7:$B$10,0)),6),"")</f>
        <v>19.5</v>
      </c>
      <c r="J1868" s="98" t="s">
        <v>530</v>
      </c>
      <c r="K1868" s="98" t="s">
        <v>2059</v>
      </c>
      <c r="L1868" s="96"/>
      <c r="M1868" s="110" t="s">
        <v>5775</v>
      </c>
      <c r="N1868" s="117" t="s">
        <v>5758</v>
      </c>
      <c r="O1868" s="110" t="s">
        <v>662</v>
      </c>
      <c r="P1868" s="110" t="s">
        <v>590</v>
      </c>
      <c r="Q1868" s="118" t="n">
        <v>0.19</v>
      </c>
      <c r="R1868" s="110" t="n">
        <v>1</v>
      </c>
      <c r="S1868" s="110" t="s">
        <v>632</v>
      </c>
      <c r="T1868" s="110" t="s">
        <v>530</v>
      </c>
      <c r="U1868" s="110" t="s">
        <v>2913</v>
      </c>
      <c r="V1868" s="119" t="n">
        <v>19.5</v>
      </c>
      <c r="W1868" s="119"/>
      <c r="X1868" s="110" t="s">
        <v>2063</v>
      </c>
      <c r="Y1868" s="110" t="s">
        <v>2064</v>
      </c>
      <c r="Z1868" s="110" t="s">
        <v>2970</v>
      </c>
      <c r="AA1868" s="110" t="s">
        <v>537</v>
      </c>
      <c r="AB1868" s="110" t="s">
        <v>244</v>
      </c>
      <c r="AC1868" s="110" t="s">
        <v>538</v>
      </c>
      <c r="AD1868" s="110" t="n">
        <f aca="false">IF(OR(F1868="",Q1868="",R1868=""),"",ROUND(IF(P1868="incl.",F1868/(1+Q1868),F1868)/IF(S1868="per pack",R1868,1),2))</f>
        <v>19.5</v>
      </c>
      <c r="AE1868" s="110" t="str">
        <f aca="false">IF(AND(AC1868="yes",ISNUMBER(F1868),IF(Compare!$H$5="All mapped",TRUE(),IF(Compare!$H$5="EXACT only",J1868="EXACT",OR(J1868="EXACT",J1868="CLOSE")))),"yes","no")</f>
        <v>yes</v>
      </c>
      <c r="AF1868" s="110" t="n">
        <f aca="false">IF(ISNUMBER(H1868),COUNTIFS($B$7:$B$3000,B1868,$C$7:$C$3000,C1868,$H$7:$H$3000,"&lt;"&amp;H1868,$AH$7:$AH$3000,"yes")+COUNTIFS($B$7:B1868,B1868,$C$7:C1868,C1868,$H$7:H1868,H1868,$AH$7:AH1868,"yes"),"")</f>
        <v>7</v>
      </c>
      <c r="AG1868" s="110" t="n">
        <f aca="false">IF(ISNUMBER(I1868),COUNTIFS($B$7:$B$3000,B1868,$C$7:$C$3000,C1868,$I$7:$I$3000,"&lt;"&amp;I1868,$AI$7:$AI$3000,"yes")+COUNTIFS($B$7:B1868,B1868,$C$7:C1868,C1868,$I$7:I1868,I1868,$AI$7:AI1868,"yes"),"")</f>
        <v>7</v>
      </c>
      <c r="AH1868" s="110" t="str">
        <f aca="false">IF(ISNUMBER(H1868),"yes","no")</f>
        <v>yes</v>
      </c>
      <c r="AI1868" s="110" t="str">
        <f aca="false">IF(ISNUMBER(I1868),"yes","no")</f>
        <v>yes</v>
      </c>
      <c r="AJ1868" s="120" t="n">
        <v>46297</v>
      </c>
      <c r="AK1868" s="110"/>
    </row>
    <row r="1869" customFormat="false" ht="23.85" hidden="false" customHeight="false" outlineLevel="0" collapsed="false">
      <c r="B1869" s="36" t="s">
        <v>102</v>
      </c>
      <c r="C1869" s="98" t="s">
        <v>16</v>
      </c>
      <c r="D1869" s="98" t="s">
        <v>313</v>
      </c>
      <c r="E1869" s="110" t="s">
        <v>5759</v>
      </c>
      <c r="F1869" s="99" t="n">
        <v>4.98</v>
      </c>
      <c r="G1869" s="98" t="s">
        <v>244</v>
      </c>
      <c r="H1869" s="112" t="n">
        <f aca="false">IF(AND(AE1869="yes",ISNUMBER(AD1869)),AD1869,"")</f>
        <v>4.18</v>
      </c>
      <c r="I1869" s="95" t="n">
        <f aca="false">IF(AND(AE1869="yes",ISNUMBER(AD1869),ISNUMBER(INDEX(Sources!$G$7:$G$10,MATCH(AB1869,Sources!$B$7:$B$10,0)))),ROUND(AD1869/INDEX(Sources!$G$7:$G$10,MATCH(AB1869,Sources!$B$7:$B$10,0)),6),"")</f>
        <v>4.18</v>
      </c>
      <c r="J1869" s="98" t="s">
        <v>530</v>
      </c>
      <c r="K1869" s="98" t="s">
        <v>2059</v>
      </c>
      <c r="L1869" s="96"/>
      <c r="M1869" s="110" t="s">
        <v>5776</v>
      </c>
      <c r="N1869" s="117" t="s">
        <v>5777</v>
      </c>
      <c r="O1869" s="110" t="s">
        <v>598</v>
      </c>
      <c r="P1869" s="110" t="s">
        <v>265</v>
      </c>
      <c r="Q1869" s="118" t="n">
        <v>0.19</v>
      </c>
      <c r="R1869" s="110" t="n">
        <v>1</v>
      </c>
      <c r="S1869" s="110" t="s">
        <v>632</v>
      </c>
      <c r="T1869" s="110" t="s">
        <v>530</v>
      </c>
      <c r="U1869" s="110" t="s">
        <v>2918</v>
      </c>
      <c r="V1869" s="119" t="n">
        <v>4.18</v>
      </c>
      <c r="W1869" s="119"/>
      <c r="X1869" s="110" t="s">
        <v>2063</v>
      </c>
      <c r="Y1869" s="110" t="s">
        <v>2064</v>
      </c>
      <c r="Z1869" s="110" t="s">
        <v>2973</v>
      </c>
      <c r="AA1869" s="110" t="s">
        <v>537</v>
      </c>
      <c r="AB1869" s="110" t="s">
        <v>244</v>
      </c>
      <c r="AC1869" s="110" t="s">
        <v>538</v>
      </c>
      <c r="AD1869" s="110" t="n">
        <f aca="false">IF(OR(F1869="",Q1869="",R1869=""),"",ROUND(IF(P1869="incl.",F1869/(1+Q1869),F1869)/IF(S1869="per pack",R1869,1),2))</f>
        <v>4.18</v>
      </c>
      <c r="AE1869" s="110" t="str">
        <f aca="false">IF(AND(AC1869="yes",ISNUMBER(F1869),IF(Compare!$H$5="All mapped",TRUE(),IF(Compare!$H$5="EXACT only",J1869="EXACT",OR(J1869="EXACT",J1869="CLOSE")))),"yes","no")</f>
        <v>yes</v>
      </c>
      <c r="AF1869" s="110" t="n">
        <f aca="false">IF(ISNUMBER(H1869),COUNTIFS($B$7:$B$3000,B1869,$C$7:$C$3000,C1869,$H$7:$H$3000,"&lt;"&amp;H1869,$AH$7:$AH$3000,"yes")+COUNTIFS($B$7:B1869,B1869,$C$7:C1869,C1869,$H$7:H1869,H1869,$AH$7:AH1869,"yes"),"")</f>
        <v>3</v>
      </c>
      <c r="AG1869" s="110" t="n">
        <f aca="false">IF(ISNUMBER(I1869),COUNTIFS($B$7:$B$3000,B1869,$C$7:$C$3000,C1869,$I$7:$I$3000,"&lt;"&amp;I1869,$AI$7:$AI$3000,"yes")+COUNTIFS($B$7:B1869,B1869,$C$7:C1869,C1869,$I$7:I1869,I1869,$AI$7:AI1869,"yes"),"")</f>
        <v>3</v>
      </c>
      <c r="AH1869" s="110" t="str">
        <f aca="false">IF(ISNUMBER(H1869),"yes","no")</f>
        <v>yes</v>
      </c>
      <c r="AI1869" s="110" t="str">
        <f aca="false">IF(ISNUMBER(I1869),"yes","no")</f>
        <v>yes</v>
      </c>
      <c r="AJ1869" s="120" t="n">
        <v>46297</v>
      </c>
      <c r="AK1869" s="110"/>
    </row>
    <row r="1870" customFormat="false" ht="23.85" hidden="false" customHeight="false" outlineLevel="0" collapsed="false">
      <c r="B1870" s="36" t="s">
        <v>102</v>
      </c>
      <c r="C1870" s="98" t="s">
        <v>16</v>
      </c>
      <c r="D1870" s="98" t="s">
        <v>321</v>
      </c>
      <c r="E1870" s="110" t="s">
        <v>5762</v>
      </c>
      <c r="F1870" s="99" t="n">
        <v>5.16</v>
      </c>
      <c r="G1870" s="98" t="s">
        <v>244</v>
      </c>
      <c r="H1870" s="112" t="n">
        <f aca="false">IF(AND(AE1870="yes",ISNUMBER(AD1870)),AD1870,"")</f>
        <v>5.16</v>
      </c>
      <c r="I1870" s="95" t="n">
        <f aca="false">IF(AND(AE1870="yes",ISNUMBER(AD1870),ISNUMBER(INDEX(Sources!$G$7:$G$10,MATCH(AB1870,Sources!$B$7:$B$10,0)))),ROUND(AD1870/INDEX(Sources!$G$7:$G$10,MATCH(AB1870,Sources!$B$7:$B$10,0)),6),"")</f>
        <v>5.16</v>
      </c>
      <c r="J1870" s="98" t="s">
        <v>530</v>
      </c>
      <c r="K1870" s="98" t="s">
        <v>2059</v>
      </c>
      <c r="L1870" s="96"/>
      <c r="M1870" s="110" t="s">
        <v>5778</v>
      </c>
      <c r="N1870" s="117" t="s">
        <v>5779</v>
      </c>
      <c r="O1870" s="110" t="s">
        <v>2944</v>
      </c>
      <c r="P1870" s="110" t="s">
        <v>590</v>
      </c>
      <c r="Q1870" s="118" t="n">
        <v>0.19</v>
      </c>
      <c r="R1870" s="110" t="n">
        <v>1</v>
      </c>
      <c r="S1870" s="110" t="s">
        <v>632</v>
      </c>
      <c r="T1870" s="110" t="s">
        <v>530</v>
      </c>
      <c r="U1870" s="110" t="s">
        <v>2913</v>
      </c>
      <c r="V1870" s="119" t="n">
        <v>5.16</v>
      </c>
      <c r="W1870" s="119"/>
      <c r="X1870" s="110" t="s">
        <v>2063</v>
      </c>
      <c r="Y1870" s="110" t="s">
        <v>2064</v>
      </c>
      <c r="Z1870" s="110" t="s">
        <v>2978</v>
      </c>
      <c r="AA1870" s="110" t="s">
        <v>537</v>
      </c>
      <c r="AB1870" s="110" t="s">
        <v>244</v>
      </c>
      <c r="AC1870" s="110" t="s">
        <v>538</v>
      </c>
      <c r="AD1870" s="110" t="n">
        <f aca="false">IF(OR(F1870="",Q1870="",R1870=""),"",ROUND(IF(P1870="incl.",F1870/(1+Q1870),F1870)/IF(S1870="per pack",R1870,1),2))</f>
        <v>5.16</v>
      </c>
      <c r="AE1870" s="110" t="str">
        <f aca="false">IF(AND(AC1870="yes",ISNUMBER(F1870),IF(Compare!$H$5="All mapped",TRUE(),IF(Compare!$H$5="EXACT only",J1870="EXACT",OR(J1870="EXACT",J1870="CLOSE")))),"yes","no")</f>
        <v>yes</v>
      </c>
      <c r="AF1870" s="110" t="n">
        <f aca="false">IF(ISNUMBER(H1870),COUNTIFS($B$7:$B$3000,B1870,$C$7:$C$3000,C1870,$H$7:$H$3000,"&lt;"&amp;H1870,$AH$7:$AH$3000,"yes")+COUNTIFS($B$7:B1870,B1870,$C$7:C1870,C1870,$H$7:H1870,H1870,$AH$7:AH1870,"yes"),"")</f>
        <v>6</v>
      </c>
      <c r="AG1870" s="110" t="n">
        <f aca="false">IF(ISNUMBER(I1870),COUNTIFS($B$7:$B$3000,B1870,$C$7:$C$3000,C1870,$I$7:$I$3000,"&lt;"&amp;I1870,$AI$7:$AI$3000,"yes")+COUNTIFS($B$7:B1870,B1870,$C$7:C1870,C1870,$I$7:I1870,I1870,$AI$7:AI1870,"yes"),"")</f>
        <v>6</v>
      </c>
      <c r="AH1870" s="110" t="str">
        <f aca="false">IF(ISNUMBER(H1870),"yes","no")</f>
        <v>yes</v>
      </c>
      <c r="AI1870" s="110" t="str">
        <f aca="false">IF(ISNUMBER(I1870),"yes","no")</f>
        <v>yes</v>
      </c>
      <c r="AJ1870" s="120" t="n">
        <v>46297</v>
      </c>
      <c r="AK1870" s="110"/>
    </row>
    <row r="1871" customFormat="false" ht="35.05" hidden="false" customHeight="false" outlineLevel="0" collapsed="false">
      <c r="B1871" s="36" t="s">
        <v>102</v>
      </c>
      <c r="C1871" s="98" t="s">
        <v>16</v>
      </c>
      <c r="D1871" s="98" t="s">
        <v>329</v>
      </c>
      <c r="E1871" s="110" t="s">
        <v>5780</v>
      </c>
      <c r="F1871" s="99" t="n">
        <v>2.64</v>
      </c>
      <c r="G1871" s="98" t="s">
        <v>244</v>
      </c>
      <c r="H1871" s="112" t="n">
        <f aca="false">IF(AND(AE1871="yes",ISNUMBER(AD1871)),AD1871,"")</f>
        <v>2.64</v>
      </c>
      <c r="I1871" s="95" t="n">
        <f aca="false">IF(AND(AE1871="yes",ISNUMBER(AD1871),ISNUMBER(INDEX(Sources!$G$7:$G$10,MATCH(AB1871,Sources!$B$7:$B$10,0)))),ROUND(AD1871/INDEX(Sources!$G$7:$G$10,MATCH(AB1871,Sources!$B$7:$B$10,0)),6),"")</f>
        <v>2.64</v>
      </c>
      <c r="J1871" s="98" t="s">
        <v>530</v>
      </c>
      <c r="K1871" s="98" t="s">
        <v>2059</v>
      </c>
      <c r="L1871" s="96"/>
      <c r="M1871" s="110" t="s">
        <v>5781</v>
      </c>
      <c r="N1871" s="117" t="s">
        <v>5782</v>
      </c>
      <c r="O1871" s="110" t="s">
        <v>598</v>
      </c>
      <c r="P1871" s="110" t="s">
        <v>590</v>
      </c>
      <c r="Q1871" s="118" t="n">
        <v>0.19</v>
      </c>
      <c r="R1871" s="110" t="n">
        <v>1</v>
      </c>
      <c r="S1871" s="110" t="s">
        <v>632</v>
      </c>
      <c r="T1871" s="110" t="s">
        <v>530</v>
      </c>
      <c r="U1871" s="110" t="s">
        <v>2913</v>
      </c>
      <c r="V1871" s="119" t="n">
        <v>2.64</v>
      </c>
      <c r="W1871" s="119"/>
      <c r="X1871" s="110" t="s">
        <v>2063</v>
      </c>
      <c r="Y1871" s="110" t="s">
        <v>2064</v>
      </c>
      <c r="Z1871" s="110" t="s">
        <v>2777</v>
      </c>
      <c r="AA1871" s="110" t="s">
        <v>537</v>
      </c>
      <c r="AB1871" s="110" t="s">
        <v>244</v>
      </c>
      <c r="AC1871" s="110" t="s">
        <v>538</v>
      </c>
      <c r="AD1871" s="110" t="n">
        <f aca="false">IF(OR(F1871="",Q1871="",R1871=""),"",ROUND(IF(P1871="incl.",F1871/(1+Q1871),F1871)/IF(S1871="per pack",R1871,1),2))</f>
        <v>2.64</v>
      </c>
      <c r="AE1871" s="110" t="str">
        <f aca="false">IF(AND(AC1871="yes",ISNUMBER(F1871),IF(Compare!$H$5="All mapped",TRUE(),IF(Compare!$H$5="EXACT only",J1871="EXACT",OR(J1871="EXACT",J1871="CLOSE")))),"yes","no")</f>
        <v>yes</v>
      </c>
      <c r="AF1871" s="110" t="n">
        <f aca="false">IF(ISNUMBER(H1871),COUNTIFS($B$7:$B$3000,B1871,$C$7:$C$3000,C1871,$H$7:$H$3000,"&lt;"&amp;H1871,$AH$7:$AH$3000,"yes")+COUNTIFS($B$7:B1871,B1871,$C$7:C1871,C1871,$H$7:H1871,H1871,$AH$7:AH1871,"yes"),"")</f>
        <v>1</v>
      </c>
      <c r="AG1871" s="110" t="n">
        <f aca="false">IF(ISNUMBER(I1871),COUNTIFS($B$7:$B$3000,B1871,$C$7:$C$3000,C1871,$I$7:$I$3000,"&lt;"&amp;I1871,$AI$7:$AI$3000,"yes")+COUNTIFS($B$7:B1871,B1871,$C$7:C1871,C1871,$I$7:I1871,I1871,$AI$7:AI1871,"yes"),"")</f>
        <v>1</v>
      </c>
      <c r="AH1871" s="110" t="str">
        <f aca="false">IF(ISNUMBER(H1871),"yes","no")</f>
        <v>yes</v>
      </c>
      <c r="AI1871" s="110" t="str">
        <f aca="false">IF(ISNUMBER(I1871),"yes","no")</f>
        <v>yes</v>
      </c>
      <c r="AJ1871" s="120" t="n">
        <v>46297</v>
      </c>
      <c r="AK1871" s="110"/>
    </row>
    <row r="1872" customFormat="false" ht="23.85" hidden="false" customHeight="false" outlineLevel="0" collapsed="false">
      <c r="B1872" s="36" t="s">
        <v>102</v>
      </c>
      <c r="C1872" s="98" t="s">
        <v>17</v>
      </c>
      <c r="D1872" s="98" t="s">
        <v>338</v>
      </c>
      <c r="E1872" s="110" t="s">
        <v>5783</v>
      </c>
      <c r="F1872" s="99" t="n">
        <v>131</v>
      </c>
      <c r="G1872" s="98" t="s">
        <v>333</v>
      </c>
      <c r="H1872" s="112" t="n">
        <f aca="false">IF(AND(AE1872="yes",ISNUMBER(AD1872)),AD1872,"")</f>
        <v>131</v>
      </c>
      <c r="I1872" s="95" t="n">
        <f aca="false">IF(AND(AE1872="yes",ISNUMBER(AD1872),ISNUMBER(INDEX(Sources!$G$7:$G$10,MATCH(AB1872,Sources!$B$7:$B$10,0)))),ROUND(AD1872/INDEX(Sources!$G$7:$G$10,MATCH(AB1872,Sources!$B$7:$B$10,0)),6),"")</f>
        <v>5.363661</v>
      </c>
      <c r="J1872" s="98" t="s">
        <v>530</v>
      </c>
      <c r="K1872" s="98" t="s">
        <v>2059</v>
      </c>
      <c r="L1872" s="96"/>
      <c r="M1872" s="110" t="s">
        <v>5784</v>
      </c>
      <c r="N1872" s="117" t="s">
        <v>5785</v>
      </c>
      <c r="O1872" s="110" t="s">
        <v>2412</v>
      </c>
      <c r="P1872" s="110" t="s">
        <v>590</v>
      </c>
      <c r="Q1872" s="118" t="n">
        <v>0.21</v>
      </c>
      <c r="R1872" s="110" t="n">
        <v>1</v>
      </c>
      <c r="S1872" s="110" t="s">
        <v>632</v>
      </c>
      <c r="T1872" s="110" t="s">
        <v>530</v>
      </c>
      <c r="U1872" s="110" t="s">
        <v>2913</v>
      </c>
      <c r="V1872" s="119" t="n">
        <v>131</v>
      </c>
      <c r="W1872" s="119"/>
      <c r="X1872" s="110" t="s">
        <v>2063</v>
      </c>
      <c r="Y1872" s="110" t="s">
        <v>2064</v>
      </c>
      <c r="Z1872" s="110" t="s">
        <v>2413</v>
      </c>
      <c r="AA1872" s="110" t="s">
        <v>537</v>
      </c>
      <c r="AB1872" s="110" t="s">
        <v>333</v>
      </c>
      <c r="AC1872" s="110" t="s">
        <v>538</v>
      </c>
      <c r="AD1872" s="110" t="n">
        <f aca="false">IF(OR(F1872="",Q1872="",R1872=""),"",ROUND(IF(P1872="incl.",F1872/(1+Q1872),F1872)/IF(S1872="per pack",R1872,1),2))</f>
        <v>131</v>
      </c>
      <c r="AE1872" s="110" t="str">
        <f aca="false">IF(AND(AC1872="yes",ISNUMBER(F1872),IF(Compare!$H$5="All mapped",TRUE(),IF(Compare!$H$5="EXACT only",J1872="EXACT",OR(J1872="EXACT",J1872="CLOSE")))),"yes","no")</f>
        <v>yes</v>
      </c>
      <c r="AF1872" s="110" t="n">
        <f aca="false">IF(ISNUMBER(H1872),COUNTIFS($B$7:$B$3000,B1872,$C$7:$C$3000,C1872,$H$7:$H$3000,"&lt;"&amp;H1872,$AH$7:$AH$3000,"yes")+COUNTIFS($B$7:B1872,B1872,$C$7:C1872,C1872,$H$7:H1872,H1872,$AH$7:AH1872,"yes"),"")</f>
        <v>2</v>
      </c>
      <c r="AG1872" s="110" t="n">
        <f aca="false">IF(ISNUMBER(I1872),COUNTIFS($B$7:$B$3000,B1872,$C$7:$C$3000,C1872,$I$7:$I$3000,"&lt;"&amp;I1872,$AI$7:$AI$3000,"yes")+COUNTIFS($B$7:B1872,B1872,$C$7:C1872,C1872,$I$7:I1872,I1872,$AI$7:AI1872,"yes"),"")</f>
        <v>2</v>
      </c>
      <c r="AH1872" s="110" t="str">
        <f aca="false">IF(ISNUMBER(H1872),"yes","no")</f>
        <v>yes</v>
      </c>
      <c r="AI1872" s="110" t="str">
        <f aca="false">IF(ISNUMBER(I1872),"yes","no")</f>
        <v>yes</v>
      </c>
      <c r="AJ1872" s="120" t="n">
        <v>46297</v>
      </c>
      <c r="AK1872" s="110"/>
    </row>
    <row r="1873" customFormat="false" ht="23.85" hidden="false" customHeight="false" outlineLevel="0" collapsed="false">
      <c r="B1873" s="36" t="s">
        <v>102</v>
      </c>
      <c r="C1873" s="98" t="s">
        <v>17</v>
      </c>
      <c r="D1873" s="98" t="s">
        <v>342</v>
      </c>
      <c r="E1873" s="110" t="s">
        <v>5786</v>
      </c>
      <c r="F1873" s="99" t="n">
        <v>92</v>
      </c>
      <c r="G1873" s="98" t="s">
        <v>333</v>
      </c>
      <c r="H1873" s="112" t="n">
        <f aca="false">IF(AND(AE1873="yes",ISNUMBER(AD1873)),AD1873,"")</f>
        <v>92</v>
      </c>
      <c r="I1873" s="95" t="n">
        <f aca="false">IF(AND(AE1873="yes",ISNUMBER(AD1873),ISNUMBER(INDEX(Sources!$G$7:$G$10,MATCH(AB1873,Sources!$B$7:$B$10,0)))),ROUND(AD1873/INDEX(Sources!$G$7:$G$10,MATCH(AB1873,Sources!$B$7:$B$10,0)),6),"")</f>
        <v>3.766846</v>
      </c>
      <c r="J1873" s="98" t="s">
        <v>530</v>
      </c>
      <c r="K1873" s="98" t="s">
        <v>2059</v>
      </c>
      <c r="L1873" s="96"/>
      <c r="M1873" s="110" t="s">
        <v>5787</v>
      </c>
      <c r="N1873" s="117" t="s">
        <v>5788</v>
      </c>
      <c r="O1873" s="110" t="s">
        <v>1138</v>
      </c>
      <c r="P1873" s="110" t="s">
        <v>590</v>
      </c>
      <c r="Q1873" s="118" t="n">
        <v>0.21</v>
      </c>
      <c r="R1873" s="110" t="n">
        <v>1</v>
      </c>
      <c r="S1873" s="110" t="s">
        <v>632</v>
      </c>
      <c r="T1873" s="110" t="s">
        <v>530</v>
      </c>
      <c r="U1873" s="110" t="s">
        <v>2913</v>
      </c>
      <c r="V1873" s="119" t="n">
        <v>92</v>
      </c>
      <c r="W1873" s="119"/>
      <c r="X1873" s="110" t="s">
        <v>2063</v>
      </c>
      <c r="Y1873" s="110" t="s">
        <v>2064</v>
      </c>
      <c r="Z1873" s="110" t="s">
        <v>2989</v>
      </c>
      <c r="AA1873" s="110" t="s">
        <v>537</v>
      </c>
      <c r="AB1873" s="110" t="s">
        <v>333</v>
      </c>
      <c r="AC1873" s="110" t="s">
        <v>538</v>
      </c>
      <c r="AD1873" s="110" t="n">
        <f aca="false">IF(OR(F1873="",Q1873="",R1873=""),"",ROUND(IF(P1873="incl.",F1873/(1+Q1873),F1873)/IF(S1873="per pack",R1873,1),2))</f>
        <v>92</v>
      </c>
      <c r="AE1873" s="110" t="str">
        <f aca="false">IF(AND(AC1873="yes",ISNUMBER(F1873),IF(Compare!$H$5="All mapped",TRUE(),IF(Compare!$H$5="EXACT only",J1873="EXACT",OR(J1873="EXACT",J1873="CLOSE")))),"yes","no")</f>
        <v>yes</v>
      </c>
      <c r="AF1873" s="110" t="n">
        <f aca="false">IF(ISNUMBER(H1873),COUNTIFS($B$7:$B$3000,B1873,$C$7:$C$3000,C1873,$H$7:$H$3000,"&lt;"&amp;H1873,$AH$7:$AH$3000,"yes")+COUNTIFS($B$7:B1873,B1873,$C$7:C1873,C1873,$H$7:H1873,H1873,$AH$7:AH1873,"yes"),"")</f>
        <v>1</v>
      </c>
      <c r="AG1873" s="110" t="n">
        <f aca="false">IF(ISNUMBER(I1873),COUNTIFS($B$7:$B$3000,B1873,$C$7:$C$3000,C1873,$I$7:$I$3000,"&lt;"&amp;I1873,$AI$7:$AI$3000,"yes")+COUNTIFS($B$7:B1873,B1873,$C$7:C1873,C1873,$I$7:I1873,I1873,$AI$7:AI1873,"yes"),"")</f>
        <v>1</v>
      </c>
      <c r="AH1873" s="110" t="str">
        <f aca="false">IF(ISNUMBER(H1873),"yes","no")</f>
        <v>yes</v>
      </c>
      <c r="AI1873" s="110" t="str">
        <f aca="false">IF(ISNUMBER(I1873),"yes","no")</f>
        <v>yes</v>
      </c>
      <c r="AJ1873" s="120" t="n">
        <v>46297</v>
      </c>
      <c r="AK1873" s="110"/>
    </row>
    <row r="1874" customFormat="false" ht="46.25" hidden="false" customHeight="false" outlineLevel="0" collapsed="false">
      <c r="B1874" s="36" t="s">
        <v>102</v>
      </c>
      <c r="C1874" s="98" t="s">
        <v>17</v>
      </c>
      <c r="D1874" s="98" t="s">
        <v>346</v>
      </c>
      <c r="E1874" s="110" t="s">
        <v>5789</v>
      </c>
      <c r="F1874" s="99" t="n">
        <v>177</v>
      </c>
      <c r="G1874" s="98" t="s">
        <v>333</v>
      </c>
      <c r="H1874" s="112" t="n">
        <f aca="false">IF(AND(AE1874="yes",ISNUMBER(AD1874)),AD1874,"")</f>
        <v>177</v>
      </c>
      <c r="I1874" s="95" t="n">
        <f aca="false">IF(AND(AE1874="yes",ISNUMBER(AD1874),ISNUMBER(INDEX(Sources!$G$7:$G$10,MATCH(AB1874,Sources!$B$7:$B$10,0)))),ROUND(AD1874/INDEX(Sources!$G$7:$G$10,MATCH(AB1874,Sources!$B$7:$B$10,0)),6),"")</f>
        <v>7.247084</v>
      </c>
      <c r="J1874" s="98" t="s">
        <v>702</v>
      </c>
      <c r="K1874" s="98" t="s">
        <v>2059</v>
      </c>
      <c r="L1874" s="96"/>
      <c r="M1874" s="110" t="s">
        <v>5790</v>
      </c>
      <c r="N1874" s="117" t="s">
        <v>5791</v>
      </c>
      <c r="O1874" s="110" t="s">
        <v>565</v>
      </c>
      <c r="P1874" s="110" t="s">
        <v>590</v>
      </c>
      <c r="Q1874" s="118" t="n">
        <v>0.21</v>
      </c>
      <c r="R1874" s="110" t="n">
        <v>1</v>
      </c>
      <c r="S1874" s="110" t="s">
        <v>632</v>
      </c>
      <c r="T1874" s="110" t="s">
        <v>702</v>
      </c>
      <c r="U1874" s="110" t="s">
        <v>2913</v>
      </c>
      <c r="V1874" s="119" t="n">
        <v>177</v>
      </c>
      <c r="W1874" s="119"/>
      <c r="X1874" s="110" t="s">
        <v>2063</v>
      </c>
      <c r="Y1874" s="110" t="s">
        <v>2064</v>
      </c>
      <c r="Z1874" s="110" t="s">
        <v>2993</v>
      </c>
      <c r="AA1874" s="110" t="s">
        <v>537</v>
      </c>
      <c r="AB1874" s="110" t="s">
        <v>333</v>
      </c>
      <c r="AC1874" s="110" t="s">
        <v>538</v>
      </c>
      <c r="AD1874" s="110" t="n">
        <f aca="false">IF(OR(F1874="",Q1874="",R1874=""),"",ROUND(IF(P1874="incl.",F1874/(1+Q1874),F1874)/IF(S1874="per pack",R1874,1),2))</f>
        <v>177</v>
      </c>
      <c r="AE1874" s="110" t="str">
        <f aca="false">IF(AND(AC1874="yes",ISNUMBER(F1874),IF(Compare!$H$5="All mapped",TRUE(),IF(Compare!$H$5="EXACT only",J1874="EXACT",OR(J1874="EXACT",J1874="CLOSE")))),"yes","no")</f>
        <v>yes</v>
      </c>
      <c r="AF1874" s="110" t="n">
        <f aca="false">IF(ISNUMBER(H1874),COUNTIFS($B$7:$B$3000,B1874,$C$7:$C$3000,C1874,$H$7:$H$3000,"&lt;"&amp;H1874,$AH$7:$AH$3000,"yes")+COUNTIFS($B$7:B1874,B1874,$C$7:C1874,C1874,$H$7:H1874,H1874,$AH$7:AH1874,"yes"),"")</f>
        <v>3</v>
      </c>
      <c r="AG1874" s="110" t="n">
        <f aca="false">IF(ISNUMBER(I1874),COUNTIFS($B$7:$B$3000,B1874,$C$7:$C$3000,C1874,$I$7:$I$3000,"&lt;"&amp;I1874,$AI$7:$AI$3000,"yes")+COUNTIFS($B$7:B1874,B1874,$C$7:C1874,C1874,$I$7:I1874,I1874,$AI$7:AI1874,"yes"),"")</f>
        <v>3</v>
      </c>
      <c r="AH1874" s="110" t="str">
        <f aca="false">IF(ISNUMBER(H1874),"yes","no")</f>
        <v>yes</v>
      </c>
      <c r="AI1874" s="110" t="str">
        <f aca="false">IF(ISNUMBER(I1874),"yes","no")</f>
        <v>yes</v>
      </c>
      <c r="AJ1874" s="120" t="n">
        <v>46297</v>
      </c>
      <c r="AK1874" s="110"/>
    </row>
    <row r="1875" customFormat="false" ht="35.05" hidden="false" customHeight="false" outlineLevel="0" collapsed="false">
      <c r="B1875" s="36" t="s">
        <v>102</v>
      </c>
      <c r="C1875" s="98" t="s">
        <v>17</v>
      </c>
      <c r="D1875" s="98" t="s">
        <v>357</v>
      </c>
      <c r="E1875" s="110" t="s">
        <v>5792</v>
      </c>
      <c r="F1875" s="99" t="n">
        <v>453.72</v>
      </c>
      <c r="G1875" s="98" t="s">
        <v>333</v>
      </c>
      <c r="H1875" s="112" t="n">
        <f aca="false">IF(AND(AE1875="yes",ISNUMBER(AD1875)),AD1875,"")</f>
        <v>453.72</v>
      </c>
      <c r="I1875" s="95" t="n">
        <f aca="false">IF(AND(AE1875="yes",ISNUMBER(AD1875),ISNUMBER(INDEX(Sources!$G$7:$G$10,MATCH(AB1875,Sources!$B$7:$B$10,0)))),ROUND(AD1875/INDEX(Sources!$G$7:$G$10,MATCH(AB1875,Sources!$B$7:$B$10,0)),6),"")</f>
        <v>18.577102</v>
      </c>
      <c r="J1875" s="98" t="s">
        <v>702</v>
      </c>
      <c r="K1875" s="98" t="s">
        <v>2059</v>
      </c>
      <c r="L1875" s="96"/>
      <c r="M1875" s="110" t="s">
        <v>5793</v>
      </c>
      <c r="N1875" s="117" t="s">
        <v>5794</v>
      </c>
      <c r="O1875" s="110" t="s">
        <v>5795</v>
      </c>
      <c r="P1875" s="110" t="s">
        <v>590</v>
      </c>
      <c r="Q1875" s="118" t="n">
        <v>0.21</v>
      </c>
      <c r="R1875" s="110" t="n">
        <v>1</v>
      </c>
      <c r="S1875" s="110" t="s">
        <v>632</v>
      </c>
      <c r="T1875" s="110" t="s">
        <v>702</v>
      </c>
      <c r="U1875" s="110" t="s">
        <v>2913</v>
      </c>
      <c r="V1875" s="119" t="n">
        <v>453.72</v>
      </c>
      <c r="W1875" s="119"/>
      <c r="X1875" s="110" t="s">
        <v>2063</v>
      </c>
      <c r="Y1875" s="110" t="s">
        <v>2064</v>
      </c>
      <c r="Z1875" s="110" t="s">
        <v>5796</v>
      </c>
      <c r="AA1875" s="110" t="s">
        <v>537</v>
      </c>
      <c r="AB1875" s="110" t="s">
        <v>333</v>
      </c>
      <c r="AC1875" s="110" t="s">
        <v>538</v>
      </c>
      <c r="AD1875" s="110" t="n">
        <f aca="false">IF(OR(F1875="",Q1875="",R1875=""),"",ROUND(IF(P1875="incl.",F1875/(1+Q1875),F1875)/IF(S1875="per pack",R1875,1),2))</f>
        <v>453.72</v>
      </c>
      <c r="AE1875" s="110" t="str">
        <f aca="false">IF(AND(AC1875="yes",ISNUMBER(F1875),IF(Compare!$H$5="All mapped",TRUE(),IF(Compare!$H$5="EXACT only",J1875="EXACT",OR(J1875="EXACT",J1875="CLOSE")))),"yes","no")</f>
        <v>yes</v>
      </c>
      <c r="AF1875" s="110" t="n">
        <f aca="false">IF(ISNUMBER(H1875),COUNTIFS($B$7:$B$3000,B1875,$C$7:$C$3000,C1875,$H$7:$H$3000,"&lt;"&amp;H1875,$AH$7:$AH$3000,"yes")+COUNTIFS($B$7:B1875,B1875,$C$7:C1875,C1875,$H$7:H1875,H1875,$AH$7:AH1875,"yes"),"")</f>
        <v>4</v>
      </c>
      <c r="AG1875" s="110" t="n">
        <f aca="false">IF(ISNUMBER(I1875),COUNTIFS($B$7:$B$3000,B1875,$C$7:$C$3000,C1875,$I$7:$I$3000,"&lt;"&amp;I1875,$AI$7:$AI$3000,"yes")+COUNTIFS($B$7:B1875,B1875,$C$7:C1875,C1875,$I$7:I1875,I1875,$AI$7:AI1875,"yes"),"")</f>
        <v>4</v>
      </c>
      <c r="AH1875" s="110" t="str">
        <f aca="false">IF(ISNUMBER(H1875),"yes","no")</f>
        <v>yes</v>
      </c>
      <c r="AI1875" s="110" t="str">
        <f aca="false">IF(ISNUMBER(I1875),"yes","no")</f>
        <v>yes</v>
      </c>
      <c r="AJ1875" s="120" t="n">
        <v>46297</v>
      </c>
      <c r="AK1875" s="110"/>
    </row>
    <row r="1876" customFormat="false" ht="35.05" hidden="false" customHeight="false" outlineLevel="0" collapsed="false">
      <c r="B1876" s="36" t="s">
        <v>102</v>
      </c>
      <c r="C1876" s="98" t="s">
        <v>17</v>
      </c>
      <c r="D1876" s="98" t="s">
        <v>361</v>
      </c>
      <c r="E1876" s="110" t="s">
        <v>5792</v>
      </c>
      <c r="F1876" s="99" t="n">
        <v>454</v>
      </c>
      <c r="G1876" s="98" t="s">
        <v>333</v>
      </c>
      <c r="H1876" s="112" t="n">
        <f aca="false">IF(AND(AE1876="yes",ISNUMBER(AD1876)),AD1876,"")</f>
        <v>454</v>
      </c>
      <c r="I1876" s="95" t="n">
        <f aca="false">IF(AND(AE1876="yes",ISNUMBER(AD1876),ISNUMBER(INDEX(Sources!$G$7:$G$10,MATCH(AB1876,Sources!$B$7:$B$10,0)))),ROUND(AD1876/INDEX(Sources!$G$7:$G$10,MATCH(AB1876,Sources!$B$7:$B$10,0)),6),"")</f>
        <v>18.588566</v>
      </c>
      <c r="J1876" s="98" t="s">
        <v>702</v>
      </c>
      <c r="K1876" s="98" t="s">
        <v>2059</v>
      </c>
      <c r="L1876" s="96"/>
      <c r="M1876" s="110" t="s">
        <v>5797</v>
      </c>
      <c r="N1876" s="117" t="s">
        <v>5798</v>
      </c>
      <c r="O1876" s="110" t="s">
        <v>5795</v>
      </c>
      <c r="P1876" s="110" t="s">
        <v>590</v>
      </c>
      <c r="Q1876" s="118" t="n">
        <v>0.21</v>
      </c>
      <c r="R1876" s="110" t="n">
        <v>1</v>
      </c>
      <c r="S1876" s="110" t="s">
        <v>632</v>
      </c>
      <c r="T1876" s="110" t="s">
        <v>702</v>
      </c>
      <c r="U1876" s="110" t="s">
        <v>2913</v>
      </c>
      <c r="V1876" s="119" t="n">
        <v>454</v>
      </c>
      <c r="W1876" s="119"/>
      <c r="X1876" s="110" t="s">
        <v>2063</v>
      </c>
      <c r="Y1876" s="110" t="s">
        <v>2064</v>
      </c>
      <c r="Z1876" s="110" t="s">
        <v>5799</v>
      </c>
      <c r="AA1876" s="110" t="s">
        <v>537</v>
      </c>
      <c r="AB1876" s="110" t="s">
        <v>333</v>
      </c>
      <c r="AC1876" s="110" t="s">
        <v>538</v>
      </c>
      <c r="AD1876" s="110" t="n">
        <f aca="false">IF(OR(F1876="",Q1876="",R1876=""),"",ROUND(IF(P1876="incl.",F1876/(1+Q1876),F1876)/IF(S1876="per pack",R1876,1),2))</f>
        <v>454</v>
      </c>
      <c r="AE1876" s="110" t="str">
        <f aca="false">IF(AND(AC1876="yes",ISNUMBER(F1876),IF(Compare!$H$5="All mapped",TRUE(),IF(Compare!$H$5="EXACT only",J1876="EXACT",OR(J1876="EXACT",J1876="CLOSE")))),"yes","no")</f>
        <v>yes</v>
      </c>
      <c r="AF1876" s="110" t="n">
        <f aca="false">IF(ISNUMBER(H1876),COUNTIFS($B$7:$B$3000,B1876,$C$7:$C$3000,C1876,$H$7:$H$3000,"&lt;"&amp;H1876,$AH$7:$AH$3000,"yes")+COUNTIFS($B$7:B1876,B1876,$C$7:C1876,C1876,$H$7:H1876,H1876,$AH$7:AH1876,"yes"),"")</f>
        <v>5</v>
      </c>
      <c r="AG1876" s="110" t="n">
        <f aca="false">IF(ISNUMBER(I1876),COUNTIFS($B$7:$B$3000,B1876,$C$7:$C$3000,C1876,$I$7:$I$3000,"&lt;"&amp;I1876,$AI$7:$AI$3000,"yes")+COUNTIFS($B$7:B1876,B1876,$C$7:C1876,C1876,$I$7:I1876,I1876,$AI$7:AI1876,"yes"),"")</f>
        <v>5</v>
      </c>
      <c r="AH1876" s="110" t="str">
        <f aca="false">IF(ISNUMBER(H1876),"yes","no")</f>
        <v>yes</v>
      </c>
      <c r="AI1876" s="110" t="str">
        <f aca="false">IF(ISNUMBER(I1876),"yes","no")</f>
        <v>yes</v>
      </c>
      <c r="AJ1876" s="120" t="n">
        <v>46297</v>
      </c>
      <c r="AK1876" s="110"/>
    </row>
    <row r="1877" customFormat="false" ht="23.85" hidden="false" customHeight="false" outlineLevel="0" collapsed="false">
      <c r="B1877" s="36" t="s">
        <v>102</v>
      </c>
      <c r="C1877" s="98" t="s">
        <v>18</v>
      </c>
      <c r="D1877" s="98" t="s">
        <v>3002</v>
      </c>
      <c r="E1877" s="110" t="s">
        <v>5800</v>
      </c>
      <c r="F1877" s="99" t="n">
        <v>6.05</v>
      </c>
      <c r="G1877" s="98" t="s">
        <v>244</v>
      </c>
      <c r="H1877" s="112" t="n">
        <f aca="false">IF(AND(AE1877="yes",ISNUMBER(AD1877)),AD1877,"")</f>
        <v>6.05</v>
      </c>
      <c r="I1877" s="95" t="n">
        <f aca="false">IF(AND(AE1877="yes",ISNUMBER(AD1877),ISNUMBER(INDEX(Sources!$G$7:$G$10,MATCH(AB1877,Sources!$B$7:$B$10,0)))),ROUND(AD1877/INDEX(Sources!$G$7:$G$10,MATCH(AB1877,Sources!$B$7:$B$10,0)),6),"")</f>
        <v>6.05</v>
      </c>
      <c r="J1877" s="98" t="s">
        <v>530</v>
      </c>
      <c r="K1877" s="98" t="s">
        <v>2059</v>
      </c>
      <c r="L1877" s="96"/>
      <c r="M1877" s="110" t="s">
        <v>5801</v>
      </c>
      <c r="N1877" s="117" t="s">
        <v>4128</v>
      </c>
      <c r="O1877" s="110" t="s">
        <v>2396</v>
      </c>
      <c r="P1877" s="110" t="s">
        <v>590</v>
      </c>
      <c r="Q1877" s="118" t="n">
        <v>0.23</v>
      </c>
      <c r="R1877" s="110" t="n">
        <v>1</v>
      </c>
      <c r="S1877" s="110" t="s">
        <v>632</v>
      </c>
      <c r="T1877" s="110" t="s">
        <v>530</v>
      </c>
      <c r="U1877" s="110" t="s">
        <v>2913</v>
      </c>
      <c r="V1877" s="119" t="n">
        <v>6.05</v>
      </c>
      <c r="W1877" s="119"/>
      <c r="X1877" s="110" t="s">
        <v>2063</v>
      </c>
      <c r="Y1877" s="110" t="s">
        <v>2064</v>
      </c>
      <c r="Z1877" s="110" t="s">
        <v>3268</v>
      </c>
      <c r="AA1877" s="110" t="s">
        <v>537</v>
      </c>
      <c r="AB1877" s="110" t="s">
        <v>244</v>
      </c>
      <c r="AC1877" s="110" t="s">
        <v>538</v>
      </c>
      <c r="AD1877" s="110" t="n">
        <f aca="false">IF(OR(F1877="",Q1877="",R1877=""),"",ROUND(IF(P1877="incl.",F1877/(1+Q1877),F1877)/IF(S1877="per pack",R1877,1),2))</f>
        <v>6.05</v>
      </c>
      <c r="AE1877" s="110" t="str">
        <f aca="false">IF(AND(AC1877="yes",ISNUMBER(F1877),IF(Compare!$H$5="All mapped",TRUE(),IF(Compare!$H$5="EXACT only",J1877="EXACT",OR(J1877="EXACT",J1877="CLOSE")))),"yes","no")</f>
        <v>yes</v>
      </c>
      <c r="AF1877" s="110" t="n">
        <f aca="false">IF(ISNUMBER(H1877),COUNTIFS($B$7:$B$3000,B1877,$C$7:$C$3000,C1877,$H$7:$H$3000,"&lt;"&amp;H1877,$AH$7:$AH$3000,"yes")+COUNTIFS($B$7:B1877,B1877,$C$7:C1877,C1877,$H$7:H1877,H1877,$AH$7:AH1877,"yes"),"")</f>
        <v>3</v>
      </c>
      <c r="AG1877" s="110" t="n">
        <f aca="false">IF(ISNUMBER(I1877),COUNTIFS($B$7:$B$3000,B1877,$C$7:$C$3000,C1877,$I$7:$I$3000,"&lt;"&amp;I1877,$AI$7:$AI$3000,"yes")+COUNTIFS($B$7:B1877,B1877,$C$7:C1877,C1877,$I$7:I1877,I1877,$AI$7:AI1877,"yes"),"")</f>
        <v>3</v>
      </c>
      <c r="AH1877" s="110" t="str">
        <f aca="false">IF(ISNUMBER(H1877),"yes","no")</f>
        <v>yes</v>
      </c>
      <c r="AI1877" s="110" t="str">
        <f aca="false">IF(ISNUMBER(I1877),"yes","no")</f>
        <v>yes</v>
      </c>
      <c r="AJ1877" s="120" t="n">
        <v>46297</v>
      </c>
      <c r="AK1877" s="110"/>
    </row>
    <row r="1878" customFormat="false" ht="35.05" hidden="false" customHeight="false" outlineLevel="0" collapsed="false">
      <c r="B1878" s="36" t="s">
        <v>102</v>
      </c>
      <c r="C1878" s="98" t="s">
        <v>18</v>
      </c>
      <c r="D1878" s="98" t="s">
        <v>3007</v>
      </c>
      <c r="E1878" s="110" t="s">
        <v>5802</v>
      </c>
      <c r="F1878" s="99" t="n">
        <v>6.29</v>
      </c>
      <c r="G1878" s="98" t="s">
        <v>244</v>
      </c>
      <c r="H1878" s="112" t="n">
        <f aca="false">IF(AND(AE1878="yes",ISNUMBER(AD1878)),AD1878,"")</f>
        <v>6.29</v>
      </c>
      <c r="I1878" s="95" t="n">
        <f aca="false">IF(AND(AE1878="yes",ISNUMBER(AD1878),ISNUMBER(INDEX(Sources!$G$7:$G$10,MATCH(AB1878,Sources!$B$7:$B$10,0)))),ROUND(AD1878/INDEX(Sources!$G$7:$G$10,MATCH(AB1878,Sources!$B$7:$B$10,0)),6),"")</f>
        <v>6.29</v>
      </c>
      <c r="J1878" s="98" t="s">
        <v>530</v>
      </c>
      <c r="K1878" s="98" t="s">
        <v>2059</v>
      </c>
      <c r="L1878" s="96"/>
      <c r="M1878" s="110" t="s">
        <v>5803</v>
      </c>
      <c r="N1878" s="117" t="s">
        <v>3010</v>
      </c>
      <c r="O1878" s="110" t="s">
        <v>598</v>
      </c>
      <c r="P1878" s="110" t="s">
        <v>590</v>
      </c>
      <c r="Q1878" s="118" t="n">
        <v>0.23</v>
      </c>
      <c r="R1878" s="110" t="n">
        <v>1</v>
      </c>
      <c r="S1878" s="110" t="s">
        <v>632</v>
      </c>
      <c r="T1878" s="110" t="s">
        <v>530</v>
      </c>
      <c r="U1878" s="110" t="s">
        <v>2913</v>
      </c>
      <c r="V1878" s="119" t="n">
        <v>6.29</v>
      </c>
      <c r="W1878" s="119"/>
      <c r="X1878" s="110" t="s">
        <v>2063</v>
      </c>
      <c r="Y1878" s="110" t="s">
        <v>2064</v>
      </c>
      <c r="Z1878" s="110" t="s">
        <v>3012</v>
      </c>
      <c r="AA1878" s="110" t="s">
        <v>537</v>
      </c>
      <c r="AB1878" s="110" t="s">
        <v>244</v>
      </c>
      <c r="AC1878" s="110" t="s">
        <v>538</v>
      </c>
      <c r="AD1878" s="110" t="n">
        <f aca="false">IF(OR(F1878="",Q1878="",R1878=""),"",ROUND(IF(P1878="incl.",F1878/(1+Q1878),F1878)/IF(S1878="per pack",R1878,1),2))</f>
        <v>6.29</v>
      </c>
      <c r="AE1878" s="110" t="str">
        <f aca="false">IF(AND(AC1878="yes",ISNUMBER(F1878),IF(Compare!$H$5="All mapped",TRUE(),IF(Compare!$H$5="EXACT only",J1878="EXACT",OR(J1878="EXACT",J1878="CLOSE")))),"yes","no")</f>
        <v>yes</v>
      </c>
      <c r="AF1878" s="110" t="n">
        <f aca="false">IF(ISNUMBER(H1878),COUNTIFS($B$7:$B$3000,B1878,$C$7:$C$3000,C1878,$H$7:$H$3000,"&lt;"&amp;H1878,$AH$7:$AH$3000,"yes")+COUNTIFS($B$7:B1878,B1878,$C$7:C1878,C1878,$H$7:H1878,H1878,$AH$7:AH1878,"yes"),"")</f>
        <v>4</v>
      </c>
      <c r="AG1878" s="110" t="n">
        <f aca="false">IF(ISNUMBER(I1878),COUNTIFS($B$7:$B$3000,B1878,$C$7:$C$3000,C1878,$I$7:$I$3000,"&lt;"&amp;I1878,$AI$7:$AI$3000,"yes")+COUNTIFS($B$7:B1878,B1878,$C$7:C1878,C1878,$I$7:I1878,I1878,$AI$7:AI1878,"yes"),"")</f>
        <v>4</v>
      </c>
      <c r="AH1878" s="110" t="str">
        <f aca="false">IF(ISNUMBER(H1878),"yes","no")</f>
        <v>yes</v>
      </c>
      <c r="AI1878" s="110" t="str">
        <f aca="false">IF(ISNUMBER(I1878),"yes","no")</f>
        <v>yes</v>
      </c>
      <c r="AJ1878" s="120" t="n">
        <v>46297</v>
      </c>
      <c r="AK1878" s="110"/>
    </row>
    <row r="1879" customFormat="false" ht="35.05" hidden="false" customHeight="false" outlineLevel="0" collapsed="false">
      <c r="B1879" s="36" t="s">
        <v>102</v>
      </c>
      <c r="C1879" s="98" t="s">
        <v>18</v>
      </c>
      <c r="D1879" s="98" t="s">
        <v>365</v>
      </c>
      <c r="E1879" s="110" t="s">
        <v>5804</v>
      </c>
      <c r="F1879" s="99" t="n">
        <v>4.43</v>
      </c>
      <c r="G1879" s="98" t="s">
        <v>244</v>
      </c>
      <c r="H1879" s="112" t="n">
        <f aca="false">IF(AND(AE1879="yes",ISNUMBER(AD1879)),AD1879,"")</f>
        <v>3.6</v>
      </c>
      <c r="I1879" s="95" t="n">
        <f aca="false">IF(AND(AE1879="yes",ISNUMBER(AD1879),ISNUMBER(INDEX(Sources!$G$7:$G$10,MATCH(AB1879,Sources!$B$7:$B$10,0)))),ROUND(AD1879/INDEX(Sources!$G$7:$G$10,MATCH(AB1879,Sources!$B$7:$B$10,0)),6),"")</f>
        <v>3.6</v>
      </c>
      <c r="J1879" s="98" t="s">
        <v>530</v>
      </c>
      <c r="K1879" s="98" t="s">
        <v>2059</v>
      </c>
      <c r="L1879" s="96"/>
      <c r="M1879" s="110" t="s">
        <v>5805</v>
      </c>
      <c r="N1879" s="117" t="s">
        <v>5806</v>
      </c>
      <c r="O1879" s="110" t="s">
        <v>3015</v>
      </c>
      <c r="P1879" s="110" t="s">
        <v>265</v>
      </c>
      <c r="Q1879" s="118" t="n">
        <v>0.23</v>
      </c>
      <c r="R1879" s="110" t="n">
        <v>1</v>
      </c>
      <c r="S1879" s="110" t="s">
        <v>632</v>
      </c>
      <c r="T1879" s="110" t="s">
        <v>530</v>
      </c>
      <c r="U1879" s="110" t="s">
        <v>2918</v>
      </c>
      <c r="V1879" s="119" t="n">
        <v>3.6</v>
      </c>
      <c r="W1879" s="119"/>
      <c r="X1879" s="110" t="s">
        <v>2063</v>
      </c>
      <c r="Y1879" s="110" t="s">
        <v>2064</v>
      </c>
      <c r="Z1879" s="110" t="s">
        <v>3016</v>
      </c>
      <c r="AA1879" s="110" t="s">
        <v>537</v>
      </c>
      <c r="AB1879" s="110" t="s">
        <v>244</v>
      </c>
      <c r="AC1879" s="110" t="s">
        <v>538</v>
      </c>
      <c r="AD1879" s="110" t="n">
        <f aca="false">IF(OR(F1879="",Q1879="",R1879=""),"",ROUND(IF(P1879="incl.",F1879/(1+Q1879),F1879)/IF(S1879="per pack",R1879,1),2))</f>
        <v>3.6</v>
      </c>
      <c r="AE1879" s="110" t="str">
        <f aca="false">IF(AND(AC1879="yes",ISNUMBER(F1879),IF(Compare!$H$5="All mapped",TRUE(),IF(Compare!$H$5="EXACT only",J1879="EXACT",OR(J1879="EXACT",J1879="CLOSE")))),"yes","no")</f>
        <v>yes</v>
      </c>
      <c r="AF1879" s="110" t="n">
        <f aca="false">IF(ISNUMBER(H1879),COUNTIFS($B$7:$B$3000,B1879,$C$7:$C$3000,C1879,$H$7:$H$3000,"&lt;"&amp;H1879,$AH$7:$AH$3000,"yes")+COUNTIFS($B$7:B1879,B1879,$C$7:C1879,C1879,$H$7:H1879,H1879,$AH$7:AH1879,"yes"),"")</f>
        <v>1</v>
      </c>
      <c r="AG1879" s="110" t="n">
        <f aca="false">IF(ISNUMBER(I1879),COUNTIFS($B$7:$B$3000,B1879,$C$7:$C$3000,C1879,$I$7:$I$3000,"&lt;"&amp;I1879,$AI$7:$AI$3000,"yes")+COUNTIFS($B$7:B1879,B1879,$C$7:C1879,C1879,$I$7:I1879,I1879,$AI$7:AI1879,"yes"),"")</f>
        <v>1</v>
      </c>
      <c r="AH1879" s="110" t="str">
        <f aca="false">IF(ISNUMBER(H1879),"yes","no")</f>
        <v>yes</v>
      </c>
      <c r="AI1879" s="110" t="str">
        <f aca="false">IF(ISNUMBER(I1879),"yes","no")</f>
        <v>yes</v>
      </c>
      <c r="AJ1879" s="120" t="n">
        <v>46297</v>
      </c>
      <c r="AK1879" s="110"/>
    </row>
    <row r="1880" customFormat="false" ht="35.05" hidden="false" customHeight="false" outlineLevel="0" collapsed="false">
      <c r="B1880" s="36" t="s">
        <v>102</v>
      </c>
      <c r="C1880" s="98" t="s">
        <v>18</v>
      </c>
      <c r="D1880" s="98" t="s">
        <v>369</v>
      </c>
      <c r="E1880" s="110" t="s">
        <v>5807</v>
      </c>
      <c r="F1880" s="99" t="n">
        <v>8.54</v>
      </c>
      <c r="G1880" s="98" t="s">
        <v>244</v>
      </c>
      <c r="H1880" s="112" t="n">
        <f aca="false">IF(AND(AE1880="yes",ISNUMBER(AD1880)),AD1880,"")</f>
        <v>6.94</v>
      </c>
      <c r="I1880" s="95" t="n">
        <f aca="false">IF(AND(AE1880="yes",ISNUMBER(AD1880),ISNUMBER(INDEX(Sources!$G$7:$G$10,MATCH(AB1880,Sources!$B$7:$B$10,0)))),ROUND(AD1880/INDEX(Sources!$G$7:$G$10,MATCH(AB1880,Sources!$B$7:$B$10,0)),6),"")</f>
        <v>6.94</v>
      </c>
      <c r="J1880" s="98" t="s">
        <v>530</v>
      </c>
      <c r="K1880" s="98" t="s">
        <v>2059</v>
      </c>
      <c r="L1880" s="96"/>
      <c r="M1880" s="110" t="s">
        <v>5808</v>
      </c>
      <c r="N1880" s="117" t="s">
        <v>5809</v>
      </c>
      <c r="O1880" s="110" t="s">
        <v>662</v>
      </c>
      <c r="P1880" s="110" t="s">
        <v>265</v>
      </c>
      <c r="Q1880" s="118" t="n">
        <v>0.23</v>
      </c>
      <c r="R1880" s="110" t="n">
        <v>1</v>
      </c>
      <c r="S1880" s="110" t="s">
        <v>632</v>
      </c>
      <c r="T1880" s="110" t="s">
        <v>530</v>
      </c>
      <c r="U1880" s="110" t="s">
        <v>2918</v>
      </c>
      <c r="V1880" s="119" t="n">
        <v>6.94</v>
      </c>
      <c r="W1880" s="119"/>
      <c r="X1880" s="110" t="s">
        <v>2063</v>
      </c>
      <c r="Y1880" s="110" t="s">
        <v>2064</v>
      </c>
      <c r="Z1880" s="110" t="s">
        <v>3354</v>
      </c>
      <c r="AA1880" s="110" t="s">
        <v>537</v>
      </c>
      <c r="AB1880" s="110" t="s">
        <v>244</v>
      </c>
      <c r="AC1880" s="110" t="s">
        <v>538</v>
      </c>
      <c r="AD1880" s="110" t="n">
        <f aca="false">IF(OR(F1880="",Q1880="",R1880=""),"",ROUND(IF(P1880="incl.",F1880/(1+Q1880),F1880)/IF(S1880="per pack",R1880,1),2))</f>
        <v>6.94</v>
      </c>
      <c r="AE1880" s="110" t="str">
        <f aca="false">IF(AND(AC1880="yes",ISNUMBER(F1880),IF(Compare!$H$5="All mapped",TRUE(),IF(Compare!$H$5="EXACT only",J1880="EXACT",OR(J1880="EXACT",J1880="CLOSE")))),"yes","no")</f>
        <v>yes</v>
      </c>
      <c r="AF1880" s="110" t="n">
        <f aca="false">IF(ISNUMBER(H1880),COUNTIFS($B$7:$B$3000,B1880,$C$7:$C$3000,C1880,$H$7:$H$3000,"&lt;"&amp;H1880,$AH$7:$AH$3000,"yes")+COUNTIFS($B$7:B1880,B1880,$C$7:C1880,C1880,$H$7:H1880,H1880,$AH$7:AH1880,"yes"),"")</f>
        <v>5</v>
      </c>
      <c r="AG1880" s="110" t="n">
        <f aca="false">IF(ISNUMBER(I1880),COUNTIFS($B$7:$B$3000,B1880,$C$7:$C$3000,C1880,$I$7:$I$3000,"&lt;"&amp;I1880,$AI$7:$AI$3000,"yes")+COUNTIFS($B$7:B1880,B1880,$C$7:C1880,C1880,$I$7:I1880,I1880,$AI$7:AI1880,"yes"),"")</f>
        <v>5</v>
      </c>
      <c r="AH1880" s="110" t="str">
        <f aca="false">IF(ISNUMBER(H1880),"yes","no")</f>
        <v>yes</v>
      </c>
      <c r="AI1880" s="110" t="str">
        <f aca="false">IF(ISNUMBER(I1880),"yes","no")</f>
        <v>yes</v>
      </c>
      <c r="AJ1880" s="120" t="n">
        <v>46297</v>
      </c>
      <c r="AK1880" s="110"/>
    </row>
    <row r="1881" customFormat="false" ht="23.85" hidden="false" customHeight="false" outlineLevel="0" collapsed="false">
      <c r="B1881" s="36" t="s">
        <v>102</v>
      </c>
      <c r="C1881" s="98" t="s">
        <v>18</v>
      </c>
      <c r="D1881" s="98" t="s">
        <v>3021</v>
      </c>
      <c r="E1881" s="110" t="s">
        <v>5810</v>
      </c>
      <c r="F1881" s="99" t="n">
        <v>3.93</v>
      </c>
      <c r="G1881" s="98" t="s">
        <v>244</v>
      </c>
      <c r="H1881" s="112" t="n">
        <f aca="false">IF(AND(AE1881="yes",ISNUMBER(AD1881)),AD1881,"")</f>
        <v>3.93</v>
      </c>
      <c r="I1881" s="95" t="n">
        <f aca="false">IF(AND(AE1881="yes",ISNUMBER(AD1881),ISNUMBER(INDEX(Sources!$G$7:$G$10,MATCH(AB1881,Sources!$B$7:$B$10,0)))),ROUND(AD1881/INDEX(Sources!$G$7:$G$10,MATCH(AB1881,Sources!$B$7:$B$10,0)),6),"")</f>
        <v>3.93</v>
      </c>
      <c r="J1881" s="98" t="s">
        <v>530</v>
      </c>
      <c r="K1881" s="98" t="s">
        <v>2059</v>
      </c>
      <c r="L1881" s="96"/>
      <c r="M1881" s="110" t="s">
        <v>5811</v>
      </c>
      <c r="N1881" s="117" t="s">
        <v>3023</v>
      </c>
      <c r="O1881" s="110" t="s">
        <v>2396</v>
      </c>
      <c r="P1881" s="110" t="s">
        <v>590</v>
      </c>
      <c r="Q1881" s="118" t="n">
        <v>0.23</v>
      </c>
      <c r="R1881" s="110" t="n">
        <v>1</v>
      </c>
      <c r="S1881" s="110" t="s">
        <v>632</v>
      </c>
      <c r="T1881" s="110" t="s">
        <v>530</v>
      </c>
      <c r="U1881" s="110" t="s">
        <v>2913</v>
      </c>
      <c r="V1881" s="119" t="n">
        <v>3.93</v>
      </c>
      <c r="W1881" s="119"/>
      <c r="X1881" s="110" t="s">
        <v>2063</v>
      </c>
      <c r="Y1881" s="110" t="s">
        <v>2064</v>
      </c>
      <c r="Z1881" s="110" t="s">
        <v>3900</v>
      </c>
      <c r="AA1881" s="110" t="s">
        <v>537</v>
      </c>
      <c r="AB1881" s="110" t="s">
        <v>244</v>
      </c>
      <c r="AC1881" s="110" t="s">
        <v>538</v>
      </c>
      <c r="AD1881" s="110" t="n">
        <f aca="false">IF(OR(F1881="",Q1881="",R1881=""),"",ROUND(IF(P1881="incl.",F1881/(1+Q1881),F1881)/IF(S1881="per pack",R1881,1),2))</f>
        <v>3.93</v>
      </c>
      <c r="AE1881" s="110" t="str">
        <f aca="false">IF(AND(AC1881="yes",ISNUMBER(F1881),IF(Compare!$H$5="All mapped",TRUE(),IF(Compare!$H$5="EXACT only",J1881="EXACT",OR(J1881="EXACT",J1881="CLOSE")))),"yes","no")</f>
        <v>yes</v>
      </c>
      <c r="AF1881" s="110" t="n">
        <f aca="false">IF(ISNUMBER(H1881),COUNTIFS($B$7:$B$3000,B1881,$C$7:$C$3000,C1881,$H$7:$H$3000,"&lt;"&amp;H1881,$AH$7:$AH$3000,"yes")+COUNTIFS($B$7:B1881,B1881,$C$7:C1881,C1881,$H$7:H1881,H1881,$AH$7:AH1881,"yes"),"")</f>
        <v>2</v>
      </c>
      <c r="AG1881" s="110" t="n">
        <f aca="false">IF(ISNUMBER(I1881),COUNTIFS($B$7:$B$3000,B1881,$C$7:$C$3000,C1881,$I$7:$I$3000,"&lt;"&amp;I1881,$AI$7:$AI$3000,"yes")+COUNTIFS($B$7:B1881,B1881,$C$7:C1881,C1881,$I$7:I1881,I1881,$AI$7:AI1881,"yes"),"")</f>
        <v>2</v>
      </c>
      <c r="AH1881" s="110" t="str">
        <f aca="false">IF(ISNUMBER(H1881),"yes","no")</f>
        <v>yes</v>
      </c>
      <c r="AI1881" s="110" t="str">
        <f aca="false">IF(ISNUMBER(I1881),"yes","no")</f>
        <v>yes</v>
      </c>
      <c r="AJ1881" s="120" t="n">
        <v>46297</v>
      </c>
      <c r="AK1881" s="110"/>
    </row>
    <row r="1882" customFormat="false" ht="23.85" hidden="false" customHeight="false" outlineLevel="0" collapsed="false">
      <c r="B1882" s="36" t="s">
        <v>103</v>
      </c>
      <c r="C1882" s="98" t="s">
        <v>14</v>
      </c>
      <c r="D1882" s="98" t="s">
        <v>373</v>
      </c>
      <c r="E1882" s="110" t="s">
        <v>5812</v>
      </c>
      <c r="F1882" s="99" t="n">
        <v>16.53</v>
      </c>
      <c r="G1882" s="98" t="s">
        <v>374</v>
      </c>
      <c r="H1882" s="112" t="n">
        <f aca="false">IF(AND(AE1882="yes",ISNUMBER(AD1882)),AD1882,"")</f>
        <v>16.53</v>
      </c>
      <c r="I1882" s="95" t="n">
        <f aca="false">IF(AND(AE1882="yes",ISNUMBER(AD1882),ISNUMBER(INDEX(Sources!$G$7:$G$10,MATCH(AB1882,Sources!$B$7:$B$10,0)))),ROUND(AD1882/INDEX(Sources!$G$7:$G$10,MATCH(AB1882,Sources!$B$7:$B$10,0)),6),"")</f>
        <v>3.132081</v>
      </c>
      <c r="J1882" s="98" t="s">
        <v>530</v>
      </c>
      <c r="K1882" s="98" t="s">
        <v>2059</v>
      </c>
      <c r="L1882" s="96"/>
      <c r="M1882" s="110" t="s">
        <v>5813</v>
      </c>
      <c r="N1882" s="117" t="s">
        <v>5814</v>
      </c>
      <c r="O1882" s="110"/>
      <c r="P1882" s="110" t="s">
        <v>590</v>
      </c>
      <c r="Q1882" s="118" t="n">
        <v>0.21</v>
      </c>
      <c r="R1882" s="110" t="n">
        <v>1</v>
      </c>
      <c r="S1882" s="110" t="s">
        <v>632</v>
      </c>
      <c r="T1882" s="110" t="s">
        <v>530</v>
      </c>
      <c r="U1882" s="110" t="s">
        <v>2913</v>
      </c>
      <c r="V1882" s="119" t="n">
        <v>16.53</v>
      </c>
      <c r="W1882" s="119"/>
      <c r="X1882" s="110" t="s">
        <v>2063</v>
      </c>
      <c r="Y1882" s="110" t="s">
        <v>2064</v>
      </c>
      <c r="Z1882" s="110"/>
      <c r="AA1882" s="110" t="s">
        <v>537</v>
      </c>
      <c r="AB1882" s="110" t="s">
        <v>374</v>
      </c>
      <c r="AC1882" s="110" t="s">
        <v>538</v>
      </c>
      <c r="AD1882" s="110" t="n">
        <f aca="false">IF(OR(F1882="",Q1882="",R1882=""),"",ROUND(IF(P1882="incl.",F1882/(1+Q1882),F1882)/IF(S1882="per pack",R1882,1),2))</f>
        <v>16.53</v>
      </c>
      <c r="AE1882" s="110" t="str">
        <f aca="false">IF(AND(AC1882="yes",ISNUMBER(F1882),IF(Compare!$H$5="All mapped",TRUE(),IF(Compare!$H$5="EXACT only",J1882="EXACT",OR(J1882="EXACT",J1882="CLOSE")))),"yes","no")</f>
        <v>yes</v>
      </c>
      <c r="AF1882" s="110" t="n">
        <f aca="false">IF(ISNUMBER(H1882),COUNTIFS($B$7:$B$3000,B1882,$C$7:$C$3000,C1882,$H$7:$H$3000,"&lt;"&amp;H1882,$AH$7:$AH$3000,"yes")+COUNTIFS($B$7:B1882,B1882,$C$7:C1882,C1882,$H$7:H1882,H1882,$AH$7:AH1882,"yes"),"")</f>
        <v>3</v>
      </c>
      <c r="AG1882" s="110" t="n">
        <f aca="false">IF(ISNUMBER(I1882),COUNTIFS($B$7:$B$3000,B1882,$C$7:$C$3000,C1882,$I$7:$I$3000,"&lt;"&amp;I1882,$AI$7:$AI$3000,"yes")+COUNTIFS($B$7:B1882,B1882,$C$7:C1882,C1882,$I$7:I1882,I1882,$AI$7:AI1882,"yes"),"")</f>
        <v>3</v>
      </c>
      <c r="AH1882" s="110" t="str">
        <f aca="false">IF(ISNUMBER(H1882),"yes","no")</f>
        <v>yes</v>
      </c>
      <c r="AI1882" s="110" t="str">
        <f aca="false">IF(ISNUMBER(I1882),"yes","no")</f>
        <v>yes</v>
      </c>
      <c r="AJ1882" s="120" t="n">
        <v>46297</v>
      </c>
      <c r="AK1882" s="110"/>
    </row>
    <row r="1883" customFormat="false" ht="23.85" hidden="false" customHeight="false" outlineLevel="0" collapsed="false">
      <c r="B1883" s="36" t="s">
        <v>103</v>
      </c>
      <c r="C1883" s="98" t="s">
        <v>14</v>
      </c>
      <c r="D1883" s="98" t="s">
        <v>378</v>
      </c>
      <c r="E1883" s="110" t="s">
        <v>5815</v>
      </c>
      <c r="F1883" s="99" t="n">
        <v>22.09</v>
      </c>
      <c r="G1883" s="98" t="s">
        <v>374</v>
      </c>
      <c r="H1883" s="112" t="n">
        <f aca="false">IF(AND(AE1883="yes",ISNUMBER(AD1883)),AD1883,"")</f>
        <v>18.26</v>
      </c>
      <c r="I1883" s="95" t="n">
        <f aca="false">IF(AND(AE1883="yes",ISNUMBER(AD1883),ISNUMBER(INDEX(Sources!$G$7:$G$10,MATCH(AB1883,Sources!$B$7:$B$10,0)))),ROUND(AD1883/INDEX(Sources!$G$7:$G$10,MATCH(AB1883,Sources!$B$7:$B$10,0)),6),"")</f>
        <v>3.459879</v>
      </c>
      <c r="J1883" s="98" t="s">
        <v>530</v>
      </c>
      <c r="K1883" s="98" t="s">
        <v>2059</v>
      </c>
      <c r="L1883" s="96"/>
      <c r="M1883" s="110" t="s">
        <v>5816</v>
      </c>
      <c r="N1883" s="117" t="s">
        <v>5817</v>
      </c>
      <c r="O1883" s="110" t="s">
        <v>2917</v>
      </c>
      <c r="P1883" s="110" t="s">
        <v>265</v>
      </c>
      <c r="Q1883" s="118" t="n">
        <v>0.21</v>
      </c>
      <c r="R1883" s="110" t="n">
        <v>1</v>
      </c>
      <c r="S1883" s="110" t="s">
        <v>632</v>
      </c>
      <c r="T1883" s="110" t="s">
        <v>530</v>
      </c>
      <c r="U1883" s="110" t="s">
        <v>2918</v>
      </c>
      <c r="V1883" s="119" t="n">
        <v>18.26</v>
      </c>
      <c r="W1883" s="119"/>
      <c r="X1883" s="110" t="s">
        <v>2063</v>
      </c>
      <c r="Y1883" s="110" t="s">
        <v>2064</v>
      </c>
      <c r="Z1883" s="110"/>
      <c r="AA1883" s="110" t="s">
        <v>537</v>
      </c>
      <c r="AB1883" s="110" t="s">
        <v>374</v>
      </c>
      <c r="AC1883" s="110" t="s">
        <v>538</v>
      </c>
      <c r="AD1883" s="110" t="n">
        <f aca="false">IF(OR(F1883="",Q1883="",R1883=""),"",ROUND(IF(P1883="incl.",F1883/(1+Q1883),F1883)/IF(S1883="per pack",R1883,1),2))</f>
        <v>18.26</v>
      </c>
      <c r="AE1883" s="110" t="str">
        <f aca="false">IF(AND(AC1883="yes",ISNUMBER(F1883),IF(Compare!$H$5="All mapped",TRUE(),IF(Compare!$H$5="EXACT only",J1883="EXACT",OR(J1883="EXACT",J1883="CLOSE")))),"yes","no")</f>
        <v>yes</v>
      </c>
      <c r="AF1883" s="110" t="n">
        <f aca="false">IF(ISNUMBER(H1883),COUNTIFS($B$7:$B$3000,B1883,$C$7:$C$3000,C1883,$H$7:$H$3000,"&lt;"&amp;H1883,$AH$7:$AH$3000,"yes")+COUNTIFS($B$7:B1883,B1883,$C$7:C1883,C1883,$H$7:H1883,H1883,$AH$7:AH1883,"yes"),"")</f>
        <v>4</v>
      </c>
      <c r="AG1883" s="110" t="n">
        <f aca="false">IF(ISNUMBER(I1883),COUNTIFS($B$7:$B$3000,B1883,$C$7:$C$3000,C1883,$I$7:$I$3000,"&lt;"&amp;I1883,$AI$7:$AI$3000,"yes")+COUNTIFS($B$7:B1883,B1883,$C$7:C1883,C1883,$I$7:I1883,I1883,$AI$7:AI1883,"yes"),"")</f>
        <v>4</v>
      </c>
      <c r="AH1883" s="110" t="str">
        <f aca="false">IF(ISNUMBER(H1883),"yes","no")</f>
        <v>yes</v>
      </c>
      <c r="AI1883" s="110" t="str">
        <f aca="false">IF(ISNUMBER(I1883),"yes","no")</f>
        <v>yes</v>
      </c>
      <c r="AJ1883" s="120" t="n">
        <v>46297</v>
      </c>
      <c r="AK1883" s="110"/>
    </row>
    <row r="1884" customFormat="false" ht="23.85" hidden="false" customHeight="false" outlineLevel="0" collapsed="false">
      <c r="B1884" s="36" t="s">
        <v>103</v>
      </c>
      <c r="C1884" s="98" t="s">
        <v>14</v>
      </c>
      <c r="D1884" s="98" t="s">
        <v>346</v>
      </c>
      <c r="E1884" s="110" t="s">
        <v>5818</v>
      </c>
      <c r="F1884" s="99" t="n">
        <v>32.94</v>
      </c>
      <c r="G1884" s="98" t="s">
        <v>374</v>
      </c>
      <c r="H1884" s="112" t="n">
        <f aca="false">IF(AND(AE1884="yes",ISNUMBER(AD1884)),AD1884,"")</f>
        <v>27.22</v>
      </c>
      <c r="I1884" s="95" t="n">
        <f aca="false">IF(AND(AE1884="yes",ISNUMBER(AD1884),ISNUMBER(INDEX(Sources!$G$7:$G$10,MATCH(AB1884,Sources!$B$7:$B$10,0)))),ROUND(AD1884/INDEX(Sources!$G$7:$G$10,MATCH(AB1884,Sources!$B$7:$B$10,0)),6),"")</f>
        <v>5.157607</v>
      </c>
      <c r="J1884" s="98" t="s">
        <v>530</v>
      </c>
      <c r="K1884" s="98" t="s">
        <v>2059</v>
      </c>
      <c r="L1884" s="96"/>
      <c r="M1884" s="110" t="s">
        <v>5819</v>
      </c>
      <c r="N1884" s="117" t="s">
        <v>5820</v>
      </c>
      <c r="O1884" s="110" t="s">
        <v>565</v>
      </c>
      <c r="P1884" s="110" t="s">
        <v>265</v>
      </c>
      <c r="Q1884" s="118" t="n">
        <v>0.21</v>
      </c>
      <c r="R1884" s="110" t="n">
        <v>1</v>
      </c>
      <c r="S1884" s="110" t="s">
        <v>632</v>
      </c>
      <c r="T1884" s="110" t="s">
        <v>530</v>
      </c>
      <c r="U1884" s="110" t="s">
        <v>2918</v>
      </c>
      <c r="V1884" s="119" t="n">
        <v>27.22</v>
      </c>
      <c r="W1884" s="119"/>
      <c r="X1884" s="110" t="s">
        <v>2063</v>
      </c>
      <c r="Y1884" s="110" t="s">
        <v>2064</v>
      </c>
      <c r="Z1884" s="110"/>
      <c r="AA1884" s="110" t="s">
        <v>537</v>
      </c>
      <c r="AB1884" s="110" t="s">
        <v>374</v>
      </c>
      <c r="AC1884" s="110" t="s">
        <v>538</v>
      </c>
      <c r="AD1884" s="110" t="n">
        <f aca="false">IF(OR(F1884="",Q1884="",R1884=""),"",ROUND(IF(P1884="incl.",F1884/(1+Q1884),F1884)/IF(S1884="per pack",R1884,1),2))</f>
        <v>27.22</v>
      </c>
      <c r="AE1884" s="110" t="str">
        <f aca="false">IF(AND(AC1884="yes",ISNUMBER(F1884),IF(Compare!$H$5="All mapped",TRUE(),IF(Compare!$H$5="EXACT only",J1884="EXACT",OR(J1884="EXACT",J1884="CLOSE")))),"yes","no")</f>
        <v>yes</v>
      </c>
      <c r="AF1884" s="110" t="n">
        <f aca="false">IF(ISNUMBER(H1884),COUNTIFS($B$7:$B$3000,B1884,$C$7:$C$3000,C1884,$H$7:$H$3000,"&lt;"&amp;H1884,$AH$7:$AH$3000,"yes")+COUNTIFS($B$7:B1884,B1884,$C$7:C1884,C1884,$H$7:H1884,H1884,$AH$7:AH1884,"yes"),"")</f>
        <v>5</v>
      </c>
      <c r="AG1884" s="110" t="n">
        <f aca="false">IF(ISNUMBER(I1884),COUNTIFS($B$7:$B$3000,B1884,$C$7:$C$3000,C1884,$I$7:$I$3000,"&lt;"&amp;I1884,$AI$7:$AI$3000,"yes")+COUNTIFS($B$7:B1884,B1884,$C$7:C1884,C1884,$I$7:I1884,I1884,$AI$7:AI1884,"yes"),"")</f>
        <v>5</v>
      </c>
      <c r="AH1884" s="110" t="str">
        <f aca="false">IF(ISNUMBER(H1884),"yes","no")</f>
        <v>yes</v>
      </c>
      <c r="AI1884" s="110" t="str">
        <f aca="false">IF(ISNUMBER(I1884),"yes","no")</f>
        <v>yes</v>
      </c>
      <c r="AJ1884" s="120" t="n">
        <v>46297</v>
      </c>
      <c r="AK1884" s="110"/>
    </row>
    <row r="1885" customFormat="false" ht="23.85" hidden="false" customHeight="false" outlineLevel="0" collapsed="false">
      <c r="B1885" s="36" t="s">
        <v>103</v>
      </c>
      <c r="C1885" s="98" t="s">
        <v>14</v>
      </c>
      <c r="D1885" s="98" t="s">
        <v>395</v>
      </c>
      <c r="E1885" s="110" t="s">
        <v>5821</v>
      </c>
      <c r="F1885" s="99" t="n">
        <v>2.22</v>
      </c>
      <c r="G1885" s="98" t="s">
        <v>244</v>
      </c>
      <c r="H1885" s="112" t="n">
        <f aca="false">IF(AND(AE1885="yes",ISNUMBER(AD1885)),AD1885,"")</f>
        <v>2.22</v>
      </c>
      <c r="I1885" s="95" t="n">
        <f aca="false">IF(AND(AE1885="yes",ISNUMBER(AD1885),ISNUMBER(INDEX(Sources!$G$7:$G$10,MATCH(AB1885,Sources!$B$7:$B$10,0)))),ROUND(AD1885/INDEX(Sources!$G$7:$G$10,MATCH(AB1885,Sources!$B$7:$B$10,0)),6),"")</f>
        <v>2.22</v>
      </c>
      <c r="J1885" s="98" t="s">
        <v>530</v>
      </c>
      <c r="K1885" s="98" t="s">
        <v>2059</v>
      </c>
      <c r="L1885" s="96"/>
      <c r="M1885" s="110" t="s">
        <v>5822</v>
      </c>
      <c r="N1885" s="117" t="s">
        <v>5823</v>
      </c>
      <c r="O1885" s="110" t="s">
        <v>572</v>
      </c>
      <c r="P1885" s="110" t="s">
        <v>590</v>
      </c>
      <c r="Q1885" s="118" t="n">
        <v>0.21</v>
      </c>
      <c r="R1885" s="110" t="n">
        <v>1</v>
      </c>
      <c r="S1885" s="110" t="s">
        <v>632</v>
      </c>
      <c r="T1885" s="110" t="s">
        <v>530</v>
      </c>
      <c r="U1885" s="110" t="s">
        <v>2913</v>
      </c>
      <c r="V1885" s="119" t="n">
        <v>2.22</v>
      </c>
      <c r="W1885" s="119"/>
      <c r="X1885" s="110" t="s">
        <v>2063</v>
      </c>
      <c r="Y1885" s="110" t="s">
        <v>2064</v>
      </c>
      <c r="Z1885" s="110" t="s">
        <v>2925</v>
      </c>
      <c r="AA1885" s="110" t="s">
        <v>537</v>
      </c>
      <c r="AB1885" s="110" t="s">
        <v>244</v>
      </c>
      <c r="AC1885" s="110" t="s">
        <v>538</v>
      </c>
      <c r="AD1885" s="110" t="n">
        <f aca="false">IF(OR(F1885="",Q1885="",R1885=""),"",ROUND(IF(P1885="incl.",F1885/(1+Q1885),F1885)/IF(S1885="per pack",R1885,1),2))</f>
        <v>2.22</v>
      </c>
      <c r="AE1885" s="110" t="str">
        <f aca="false">IF(AND(AC1885="yes",ISNUMBER(F1885),IF(Compare!$H$5="All mapped",TRUE(),IF(Compare!$H$5="EXACT only",J1885="EXACT",OR(J1885="EXACT",J1885="CLOSE")))),"yes","no")</f>
        <v>yes</v>
      </c>
      <c r="AF1885" s="110" t="n">
        <f aca="false">IF(ISNUMBER(H1885),COUNTIFS($B$7:$B$3000,B1885,$C$7:$C$3000,C1885,$H$7:$H$3000,"&lt;"&amp;H1885,$AH$7:$AH$3000,"yes")+COUNTIFS($B$7:B1885,B1885,$C$7:C1885,C1885,$H$7:H1885,H1885,$AH$7:AH1885,"yes"),"")</f>
        <v>1</v>
      </c>
      <c r="AG1885" s="110" t="n">
        <f aca="false">IF(ISNUMBER(I1885),COUNTIFS($B$7:$B$3000,B1885,$C$7:$C$3000,C1885,$I$7:$I$3000,"&lt;"&amp;I1885,$AI$7:$AI$3000,"yes")+COUNTIFS($B$7:B1885,B1885,$C$7:C1885,C1885,$I$7:I1885,I1885,$AI$7:AI1885,"yes"),"")</f>
        <v>2</v>
      </c>
      <c r="AH1885" s="110" t="str">
        <f aca="false">IF(ISNUMBER(H1885),"yes","no")</f>
        <v>yes</v>
      </c>
      <c r="AI1885" s="110" t="str">
        <f aca="false">IF(ISNUMBER(I1885),"yes","no")</f>
        <v>yes</v>
      </c>
      <c r="AJ1885" s="120" t="n">
        <v>46297</v>
      </c>
      <c r="AK1885" s="110"/>
    </row>
    <row r="1886" customFormat="false" ht="23.85" hidden="false" customHeight="false" outlineLevel="0" collapsed="false">
      <c r="B1886" s="36" t="s">
        <v>103</v>
      </c>
      <c r="C1886" s="98" t="s">
        <v>14</v>
      </c>
      <c r="D1886" s="98" t="s">
        <v>403</v>
      </c>
      <c r="E1886" s="110" t="s">
        <v>5824</v>
      </c>
      <c r="F1886" s="99" t="n">
        <v>10.94</v>
      </c>
      <c r="G1886" s="98" t="s">
        <v>374</v>
      </c>
      <c r="H1886" s="112" t="n">
        <f aca="false">IF(AND(AE1886="yes",ISNUMBER(AD1886)),AD1886,"")</f>
        <v>10.94</v>
      </c>
      <c r="I1886" s="95" t="n">
        <f aca="false">IF(AND(AE1886="yes",ISNUMBER(AD1886),ISNUMBER(INDEX(Sources!$G$7:$G$10,MATCH(AB1886,Sources!$B$7:$B$10,0)))),ROUND(AD1886/INDEX(Sources!$G$7:$G$10,MATCH(AB1886,Sources!$B$7:$B$10,0)),6),"")</f>
        <v>2.072896</v>
      </c>
      <c r="J1886" s="98" t="s">
        <v>530</v>
      </c>
      <c r="K1886" s="98" t="s">
        <v>2059</v>
      </c>
      <c r="L1886" s="96"/>
      <c r="M1886" s="110" t="s">
        <v>5825</v>
      </c>
      <c r="N1886" s="117" t="s">
        <v>5826</v>
      </c>
      <c r="O1886" s="110" t="s">
        <v>668</v>
      </c>
      <c r="P1886" s="110" t="s">
        <v>590</v>
      </c>
      <c r="Q1886" s="118" t="n">
        <v>0.21</v>
      </c>
      <c r="R1886" s="110" t="n">
        <v>1</v>
      </c>
      <c r="S1886" s="110" t="s">
        <v>632</v>
      </c>
      <c r="T1886" s="110" t="s">
        <v>530</v>
      </c>
      <c r="U1886" s="110" t="s">
        <v>2913</v>
      </c>
      <c r="V1886" s="119" t="n">
        <v>10.94</v>
      </c>
      <c r="W1886" s="119"/>
      <c r="X1886" s="110" t="s">
        <v>2063</v>
      </c>
      <c r="Y1886" s="110" t="s">
        <v>2064</v>
      </c>
      <c r="Z1886" s="110"/>
      <c r="AA1886" s="110" t="s">
        <v>537</v>
      </c>
      <c r="AB1886" s="110" t="s">
        <v>374</v>
      </c>
      <c r="AC1886" s="110" t="s">
        <v>538</v>
      </c>
      <c r="AD1886" s="110" t="n">
        <f aca="false">IF(OR(F1886="",Q1886="",R1886=""),"",ROUND(IF(P1886="incl.",F1886/(1+Q1886),F1886)/IF(S1886="per pack",R1886,1),2))</f>
        <v>10.94</v>
      </c>
      <c r="AE1886" s="110" t="str">
        <f aca="false">IF(AND(AC1886="yes",ISNUMBER(F1886),IF(Compare!$H$5="All mapped",TRUE(),IF(Compare!$H$5="EXACT only",J1886="EXACT",OR(J1886="EXACT",J1886="CLOSE")))),"yes","no")</f>
        <v>yes</v>
      </c>
      <c r="AF1886" s="110" t="n">
        <f aca="false">IF(ISNUMBER(H1886),COUNTIFS($B$7:$B$3000,B1886,$C$7:$C$3000,C1886,$H$7:$H$3000,"&lt;"&amp;H1886,$AH$7:$AH$3000,"yes")+COUNTIFS($B$7:B1886,B1886,$C$7:C1886,C1886,$H$7:H1886,H1886,$AH$7:AH1886,"yes"),"")</f>
        <v>2</v>
      </c>
      <c r="AG1886" s="110" t="n">
        <f aca="false">IF(ISNUMBER(I1886),COUNTIFS($B$7:$B$3000,B1886,$C$7:$C$3000,C1886,$I$7:$I$3000,"&lt;"&amp;I1886,$AI$7:$AI$3000,"yes")+COUNTIFS($B$7:B1886,B1886,$C$7:C1886,C1886,$I$7:I1886,I1886,$AI$7:AI1886,"yes"),"")</f>
        <v>1</v>
      </c>
      <c r="AH1886" s="110" t="str">
        <f aca="false">IF(ISNUMBER(H1886),"yes","no")</f>
        <v>yes</v>
      </c>
      <c r="AI1886" s="110" t="str">
        <f aca="false">IF(ISNUMBER(I1886),"yes","no")</f>
        <v>yes</v>
      </c>
      <c r="AJ1886" s="120" t="n">
        <v>46297</v>
      </c>
      <c r="AK1886" s="110"/>
    </row>
    <row r="1887" customFormat="false" ht="35.05" hidden="false" customHeight="false" outlineLevel="0" collapsed="false">
      <c r="B1887" s="36" t="s">
        <v>103</v>
      </c>
      <c r="C1887" s="98" t="s">
        <v>15</v>
      </c>
      <c r="D1887" s="98" t="s">
        <v>243</v>
      </c>
      <c r="E1887" s="110" t="s">
        <v>5827</v>
      </c>
      <c r="F1887" s="99" t="n">
        <v>3.23</v>
      </c>
      <c r="G1887" s="98" t="s">
        <v>244</v>
      </c>
      <c r="H1887" s="112" t="n">
        <f aca="false">IF(AND(AE1887="yes",ISNUMBER(AD1887)),AD1887,"")</f>
        <v>3.23</v>
      </c>
      <c r="I1887" s="95" t="n">
        <f aca="false">IF(AND(AE1887="yes",ISNUMBER(AD1887),ISNUMBER(INDEX(Sources!$G$7:$G$10,MATCH(AB1887,Sources!$B$7:$B$10,0)))),ROUND(AD1887/INDEX(Sources!$G$7:$G$10,MATCH(AB1887,Sources!$B$7:$B$10,0)),6),"")</f>
        <v>3.23</v>
      </c>
      <c r="J1887" s="98" t="s">
        <v>530</v>
      </c>
      <c r="K1887" s="98" t="s">
        <v>2059</v>
      </c>
      <c r="L1887" s="96"/>
      <c r="M1887" s="110" t="s">
        <v>5828</v>
      </c>
      <c r="N1887" s="117" t="s">
        <v>5829</v>
      </c>
      <c r="O1887" s="110" t="s">
        <v>2932</v>
      </c>
      <c r="P1887" s="110" t="s">
        <v>590</v>
      </c>
      <c r="Q1887" s="118" t="n">
        <v>0.2</v>
      </c>
      <c r="R1887" s="110" t="n">
        <v>1</v>
      </c>
      <c r="S1887" s="110" t="s">
        <v>632</v>
      </c>
      <c r="T1887" s="110" t="s">
        <v>530</v>
      </c>
      <c r="U1887" s="110" t="s">
        <v>2913</v>
      </c>
      <c r="V1887" s="119" t="n">
        <v>3.23</v>
      </c>
      <c r="W1887" s="119"/>
      <c r="X1887" s="110" t="s">
        <v>2063</v>
      </c>
      <c r="Y1887" s="110" t="s">
        <v>2064</v>
      </c>
      <c r="Z1887" s="110" t="s">
        <v>2164</v>
      </c>
      <c r="AA1887" s="110" t="s">
        <v>537</v>
      </c>
      <c r="AB1887" s="110" t="s">
        <v>244</v>
      </c>
      <c r="AC1887" s="110" t="s">
        <v>538</v>
      </c>
      <c r="AD1887" s="110" t="n">
        <f aca="false">IF(OR(F1887="",Q1887="",R1887=""),"",ROUND(IF(P1887="incl.",F1887/(1+Q1887),F1887)/IF(S1887="per pack",R1887,1),2))</f>
        <v>3.23</v>
      </c>
      <c r="AE1887" s="110" t="str">
        <f aca="false">IF(AND(AC1887="yes",ISNUMBER(F1887),IF(Compare!$H$5="All mapped",TRUE(),IF(Compare!$H$5="EXACT only",J1887="EXACT",OR(J1887="EXACT",J1887="CLOSE")))),"yes","no")</f>
        <v>yes</v>
      </c>
      <c r="AF1887" s="110" t="n">
        <f aca="false">IF(ISNUMBER(H1887),COUNTIFS($B$7:$B$3000,B1887,$C$7:$C$3000,C1887,$H$7:$H$3000,"&lt;"&amp;H1887,$AH$7:$AH$3000,"yes")+COUNTIFS($B$7:B1887,B1887,$C$7:C1887,C1887,$H$7:H1887,H1887,$AH$7:AH1887,"yes"),"")</f>
        <v>1</v>
      </c>
      <c r="AG1887" s="110" t="n">
        <f aca="false">IF(ISNUMBER(I1887),COUNTIFS($B$7:$B$3000,B1887,$C$7:$C$3000,C1887,$I$7:$I$3000,"&lt;"&amp;I1887,$AI$7:$AI$3000,"yes")+COUNTIFS($B$7:B1887,B1887,$C$7:C1887,C1887,$I$7:I1887,I1887,$AI$7:AI1887,"yes"),"")</f>
        <v>1</v>
      </c>
      <c r="AH1887" s="110" t="str">
        <f aca="false">IF(ISNUMBER(H1887),"yes","no")</f>
        <v>yes</v>
      </c>
      <c r="AI1887" s="110" t="str">
        <f aca="false">IF(ISNUMBER(I1887),"yes","no")</f>
        <v>yes</v>
      </c>
      <c r="AJ1887" s="120" t="n">
        <v>46297</v>
      </c>
      <c r="AK1887" s="110"/>
    </row>
    <row r="1888" customFormat="false" ht="23.85" hidden="false" customHeight="false" outlineLevel="0" collapsed="false">
      <c r="B1888" s="36" t="s">
        <v>103</v>
      </c>
      <c r="C1888" s="98" t="s">
        <v>15</v>
      </c>
      <c r="D1888" s="98" t="s">
        <v>257</v>
      </c>
      <c r="E1888" s="110" t="s">
        <v>5830</v>
      </c>
      <c r="F1888" s="99" t="n">
        <v>9</v>
      </c>
      <c r="G1888" s="98" t="s">
        <v>244</v>
      </c>
      <c r="H1888" s="112" t="n">
        <f aca="false">IF(AND(AE1888="yes",ISNUMBER(AD1888)),AD1888,"")</f>
        <v>9</v>
      </c>
      <c r="I1888" s="95" t="n">
        <f aca="false">IF(AND(AE1888="yes",ISNUMBER(AD1888),ISNUMBER(INDEX(Sources!$G$7:$G$10,MATCH(AB1888,Sources!$B$7:$B$10,0)))),ROUND(AD1888/INDEX(Sources!$G$7:$G$10,MATCH(AB1888,Sources!$B$7:$B$10,0)),6),"")</f>
        <v>9</v>
      </c>
      <c r="J1888" s="98" t="s">
        <v>530</v>
      </c>
      <c r="K1888" s="98" t="s">
        <v>2059</v>
      </c>
      <c r="L1888" s="96"/>
      <c r="M1888" s="110" t="s">
        <v>5831</v>
      </c>
      <c r="N1888" s="117" t="s">
        <v>5832</v>
      </c>
      <c r="O1888" s="110" t="s">
        <v>1576</v>
      </c>
      <c r="P1888" s="110" t="s">
        <v>590</v>
      </c>
      <c r="Q1888" s="118" t="n">
        <v>0.2</v>
      </c>
      <c r="R1888" s="110" t="n">
        <v>1</v>
      </c>
      <c r="S1888" s="110" t="s">
        <v>632</v>
      </c>
      <c r="T1888" s="110" t="s">
        <v>530</v>
      </c>
      <c r="U1888" s="110" t="s">
        <v>2913</v>
      </c>
      <c r="V1888" s="119" t="n">
        <v>9</v>
      </c>
      <c r="W1888" s="119"/>
      <c r="X1888" s="110" t="s">
        <v>2063</v>
      </c>
      <c r="Y1888" s="110" t="s">
        <v>2064</v>
      </c>
      <c r="Z1888" s="110" t="s">
        <v>4341</v>
      </c>
      <c r="AA1888" s="110" t="s">
        <v>537</v>
      </c>
      <c r="AB1888" s="110" t="s">
        <v>244</v>
      </c>
      <c r="AC1888" s="110" t="s">
        <v>538</v>
      </c>
      <c r="AD1888" s="110" t="n">
        <f aca="false">IF(OR(F1888="",Q1888="",R1888=""),"",ROUND(IF(P1888="incl.",F1888/(1+Q1888),F1888)/IF(S1888="per pack",R1888,1),2))</f>
        <v>9</v>
      </c>
      <c r="AE1888" s="110" t="str">
        <f aca="false">IF(AND(AC1888="yes",ISNUMBER(F1888),IF(Compare!$H$5="All mapped",TRUE(),IF(Compare!$H$5="EXACT only",J1888="EXACT",OR(J1888="EXACT",J1888="CLOSE")))),"yes","no")</f>
        <v>yes</v>
      </c>
      <c r="AF1888" s="110" t="n">
        <f aca="false">IF(ISNUMBER(H1888),COUNTIFS($B$7:$B$3000,B1888,$C$7:$C$3000,C1888,$H$7:$H$3000,"&lt;"&amp;H1888,$AH$7:$AH$3000,"yes")+COUNTIFS($B$7:B1888,B1888,$C$7:C1888,C1888,$H$7:H1888,H1888,$AH$7:AH1888,"yes"),"")</f>
        <v>6</v>
      </c>
      <c r="AG1888" s="110" t="n">
        <f aca="false">IF(ISNUMBER(I1888),COUNTIFS($B$7:$B$3000,B1888,$C$7:$C$3000,C1888,$I$7:$I$3000,"&lt;"&amp;I1888,$AI$7:$AI$3000,"yes")+COUNTIFS($B$7:B1888,B1888,$C$7:C1888,C1888,$I$7:I1888,I1888,$AI$7:AI1888,"yes"),"")</f>
        <v>6</v>
      </c>
      <c r="AH1888" s="110" t="str">
        <f aca="false">IF(ISNUMBER(H1888),"yes","no")</f>
        <v>yes</v>
      </c>
      <c r="AI1888" s="110" t="str">
        <f aca="false">IF(ISNUMBER(I1888),"yes","no")</f>
        <v>yes</v>
      </c>
      <c r="AJ1888" s="120" t="n">
        <v>46297</v>
      </c>
      <c r="AK1888" s="110"/>
    </row>
    <row r="1889" customFormat="false" ht="35.05" hidden="false" customHeight="false" outlineLevel="0" collapsed="false">
      <c r="B1889" s="36" t="s">
        <v>103</v>
      </c>
      <c r="C1889" s="98" t="s">
        <v>15</v>
      </c>
      <c r="D1889" s="98" t="s">
        <v>269</v>
      </c>
      <c r="E1889" s="110" t="s">
        <v>5833</v>
      </c>
      <c r="F1889" s="99" t="n">
        <v>3.99</v>
      </c>
      <c r="G1889" s="98" t="s">
        <v>244</v>
      </c>
      <c r="H1889" s="112" t="n">
        <f aca="false">IF(AND(AE1889="yes",ISNUMBER(AD1889)),AD1889,"")</f>
        <v>3.99</v>
      </c>
      <c r="I1889" s="95" t="n">
        <f aca="false">IF(AND(AE1889="yes",ISNUMBER(AD1889),ISNUMBER(INDEX(Sources!$G$7:$G$10,MATCH(AB1889,Sources!$B$7:$B$10,0)))),ROUND(AD1889/INDEX(Sources!$G$7:$G$10,MATCH(AB1889,Sources!$B$7:$B$10,0)),6),"")</f>
        <v>3.99</v>
      </c>
      <c r="J1889" s="98" t="s">
        <v>530</v>
      </c>
      <c r="K1889" s="98" t="s">
        <v>2059</v>
      </c>
      <c r="L1889" s="96"/>
      <c r="M1889" s="110" t="s">
        <v>5834</v>
      </c>
      <c r="N1889" s="117" t="s">
        <v>5835</v>
      </c>
      <c r="O1889" s="110" t="s">
        <v>598</v>
      </c>
      <c r="P1889" s="110" t="s">
        <v>590</v>
      </c>
      <c r="Q1889" s="118" t="n">
        <v>0.2</v>
      </c>
      <c r="R1889" s="110" t="n">
        <v>1</v>
      </c>
      <c r="S1889" s="110" t="s">
        <v>632</v>
      </c>
      <c r="T1889" s="110" t="s">
        <v>530</v>
      </c>
      <c r="U1889" s="110" t="s">
        <v>2913</v>
      </c>
      <c r="V1889" s="119" t="n">
        <v>3.99</v>
      </c>
      <c r="W1889" s="119"/>
      <c r="X1889" s="110" t="s">
        <v>2063</v>
      </c>
      <c r="Y1889" s="110" t="s">
        <v>2064</v>
      </c>
      <c r="Z1889" s="110" t="s">
        <v>2940</v>
      </c>
      <c r="AA1889" s="110" t="s">
        <v>537</v>
      </c>
      <c r="AB1889" s="110" t="s">
        <v>244</v>
      </c>
      <c r="AC1889" s="110" t="s">
        <v>538</v>
      </c>
      <c r="AD1889" s="110" t="n">
        <f aca="false">IF(OR(F1889="",Q1889="",R1889=""),"",ROUND(IF(P1889="incl.",F1889/(1+Q1889),F1889)/IF(S1889="per pack",R1889,1),2))</f>
        <v>3.99</v>
      </c>
      <c r="AE1889" s="110" t="str">
        <f aca="false">IF(AND(AC1889="yes",ISNUMBER(F1889),IF(Compare!$H$5="All mapped",TRUE(),IF(Compare!$H$5="EXACT only",J1889="EXACT",OR(J1889="EXACT",J1889="CLOSE")))),"yes","no")</f>
        <v>yes</v>
      </c>
      <c r="AF1889" s="110" t="n">
        <f aca="false">IF(ISNUMBER(H1889),COUNTIFS($B$7:$B$3000,B1889,$C$7:$C$3000,C1889,$H$7:$H$3000,"&lt;"&amp;H1889,$AH$7:$AH$3000,"yes")+COUNTIFS($B$7:B1889,B1889,$C$7:C1889,C1889,$H$7:H1889,H1889,$AH$7:AH1889,"yes"),"")</f>
        <v>3</v>
      </c>
      <c r="AG1889" s="110" t="n">
        <f aca="false">IF(ISNUMBER(I1889),COUNTIFS($B$7:$B$3000,B1889,$C$7:$C$3000,C1889,$I$7:$I$3000,"&lt;"&amp;I1889,$AI$7:$AI$3000,"yes")+COUNTIFS($B$7:B1889,B1889,$C$7:C1889,C1889,$I$7:I1889,I1889,$AI$7:AI1889,"yes"),"")</f>
        <v>3</v>
      </c>
      <c r="AH1889" s="110" t="str">
        <f aca="false">IF(ISNUMBER(H1889),"yes","no")</f>
        <v>yes</v>
      </c>
      <c r="AI1889" s="110" t="str">
        <f aca="false">IF(ISNUMBER(I1889),"yes","no")</f>
        <v>yes</v>
      </c>
      <c r="AJ1889" s="120" t="n">
        <v>46297</v>
      </c>
      <c r="AK1889" s="110"/>
    </row>
    <row r="1890" customFormat="false" ht="23.85" hidden="false" customHeight="false" outlineLevel="0" collapsed="false">
      <c r="B1890" s="36" t="s">
        <v>103</v>
      </c>
      <c r="C1890" s="98" t="s">
        <v>15</v>
      </c>
      <c r="D1890" s="98" t="s">
        <v>264</v>
      </c>
      <c r="E1890" s="110" t="s">
        <v>5836</v>
      </c>
      <c r="F1890" s="99" t="n">
        <v>15.42</v>
      </c>
      <c r="G1890" s="98" t="s">
        <v>244</v>
      </c>
      <c r="H1890" s="112" t="n">
        <f aca="false">IF(AND(AE1890="yes",ISNUMBER(AD1890)),AD1890,"")</f>
        <v>15.42</v>
      </c>
      <c r="I1890" s="95" t="n">
        <f aca="false">IF(AND(AE1890="yes",ISNUMBER(AD1890),ISNUMBER(INDEX(Sources!$G$7:$G$10,MATCH(AB1890,Sources!$B$7:$B$10,0)))),ROUND(AD1890/INDEX(Sources!$G$7:$G$10,MATCH(AB1890,Sources!$B$7:$B$10,0)),6),"")</f>
        <v>15.42</v>
      </c>
      <c r="J1890" s="98" t="s">
        <v>530</v>
      </c>
      <c r="K1890" s="98" t="s">
        <v>2059</v>
      </c>
      <c r="L1890" s="96"/>
      <c r="M1890" s="110" t="s">
        <v>5837</v>
      </c>
      <c r="N1890" s="117" t="s">
        <v>5838</v>
      </c>
      <c r="O1890" s="110" t="s">
        <v>662</v>
      </c>
      <c r="P1890" s="110" t="s">
        <v>590</v>
      </c>
      <c r="Q1890" s="118" t="n">
        <v>0.2</v>
      </c>
      <c r="R1890" s="110" t="n">
        <v>1</v>
      </c>
      <c r="S1890" s="110" t="s">
        <v>632</v>
      </c>
      <c r="T1890" s="110" t="s">
        <v>530</v>
      </c>
      <c r="U1890" s="110" t="s">
        <v>2913</v>
      </c>
      <c r="V1890" s="119" t="n">
        <v>15.42</v>
      </c>
      <c r="W1890" s="119"/>
      <c r="X1890" s="110" t="s">
        <v>2063</v>
      </c>
      <c r="Y1890" s="110" t="s">
        <v>2064</v>
      </c>
      <c r="Z1890" s="110"/>
      <c r="AA1890" s="110" t="s">
        <v>537</v>
      </c>
      <c r="AB1890" s="110" t="s">
        <v>244</v>
      </c>
      <c r="AC1890" s="110" t="s">
        <v>538</v>
      </c>
      <c r="AD1890" s="110" t="n">
        <f aca="false">IF(OR(F1890="",Q1890="",R1890=""),"",ROUND(IF(P1890="incl.",F1890/(1+Q1890),F1890)/IF(S1890="per pack",R1890,1),2))</f>
        <v>15.42</v>
      </c>
      <c r="AE1890" s="110" t="str">
        <f aca="false">IF(AND(AC1890="yes",ISNUMBER(F1890),IF(Compare!$H$5="All mapped",TRUE(),IF(Compare!$H$5="EXACT only",J1890="EXACT",OR(J1890="EXACT",J1890="CLOSE")))),"yes","no")</f>
        <v>yes</v>
      </c>
      <c r="AF1890" s="110" t="n">
        <f aca="false">IF(ISNUMBER(H1890),COUNTIFS($B$7:$B$3000,B1890,$C$7:$C$3000,C1890,$H$7:$H$3000,"&lt;"&amp;H1890,$AH$7:$AH$3000,"yes")+COUNTIFS($B$7:B1890,B1890,$C$7:C1890,C1890,$H$7:H1890,H1890,$AH$7:AH1890,"yes"),"")</f>
        <v>7</v>
      </c>
      <c r="AG1890" s="110" t="n">
        <f aca="false">IF(ISNUMBER(I1890),COUNTIFS($B$7:$B$3000,B1890,$C$7:$C$3000,C1890,$I$7:$I$3000,"&lt;"&amp;I1890,$AI$7:$AI$3000,"yes")+COUNTIFS($B$7:B1890,B1890,$C$7:C1890,C1890,$I$7:I1890,I1890,$AI$7:AI1890,"yes"),"")</f>
        <v>7</v>
      </c>
      <c r="AH1890" s="110" t="str">
        <f aca="false">IF(ISNUMBER(H1890),"yes","no")</f>
        <v>yes</v>
      </c>
      <c r="AI1890" s="110" t="str">
        <f aca="false">IF(ISNUMBER(I1890),"yes","no")</f>
        <v>yes</v>
      </c>
      <c r="AJ1890" s="120" t="n">
        <v>46297</v>
      </c>
      <c r="AK1890" s="110"/>
    </row>
    <row r="1891" customFormat="false" ht="23.85" hidden="false" customHeight="false" outlineLevel="0" collapsed="false">
      <c r="B1891" s="36" t="s">
        <v>103</v>
      </c>
      <c r="C1891" s="98" t="s">
        <v>15</v>
      </c>
      <c r="D1891" s="98" t="s">
        <v>273</v>
      </c>
      <c r="E1891" s="110" t="s">
        <v>5839</v>
      </c>
      <c r="F1891" s="99" t="n">
        <v>6.19</v>
      </c>
      <c r="G1891" s="98" t="s">
        <v>244</v>
      </c>
      <c r="H1891" s="112" t="n">
        <f aca="false">IF(AND(AE1891="yes",ISNUMBER(AD1891)),AD1891,"")</f>
        <v>5.16</v>
      </c>
      <c r="I1891" s="95" t="n">
        <f aca="false">IF(AND(AE1891="yes",ISNUMBER(AD1891),ISNUMBER(INDEX(Sources!$G$7:$G$10,MATCH(AB1891,Sources!$B$7:$B$10,0)))),ROUND(AD1891/INDEX(Sources!$G$7:$G$10,MATCH(AB1891,Sources!$B$7:$B$10,0)),6),"")</f>
        <v>5.16</v>
      </c>
      <c r="J1891" s="98" t="s">
        <v>530</v>
      </c>
      <c r="K1891" s="98" t="s">
        <v>2059</v>
      </c>
      <c r="L1891" s="96"/>
      <c r="M1891" s="110" t="s">
        <v>5840</v>
      </c>
      <c r="N1891" s="117" t="s">
        <v>5841</v>
      </c>
      <c r="O1891" s="110" t="s">
        <v>642</v>
      </c>
      <c r="P1891" s="110" t="s">
        <v>265</v>
      </c>
      <c r="Q1891" s="118" t="n">
        <v>0.2</v>
      </c>
      <c r="R1891" s="110" t="n">
        <v>1</v>
      </c>
      <c r="S1891" s="110" t="s">
        <v>632</v>
      </c>
      <c r="T1891" s="110" t="s">
        <v>530</v>
      </c>
      <c r="U1891" s="110" t="s">
        <v>2918</v>
      </c>
      <c r="V1891" s="119" t="n">
        <v>5.16</v>
      </c>
      <c r="W1891" s="119"/>
      <c r="X1891" s="110" t="s">
        <v>2063</v>
      </c>
      <c r="Y1891" s="110" t="s">
        <v>2064</v>
      </c>
      <c r="Z1891" s="110" t="s">
        <v>2130</v>
      </c>
      <c r="AA1891" s="110" t="s">
        <v>537</v>
      </c>
      <c r="AB1891" s="110" t="s">
        <v>244</v>
      </c>
      <c r="AC1891" s="110" t="s">
        <v>538</v>
      </c>
      <c r="AD1891" s="110" t="n">
        <f aca="false">IF(OR(F1891="",Q1891="",R1891=""),"",ROUND(IF(P1891="incl.",F1891/(1+Q1891),F1891)/IF(S1891="per pack",R1891,1),2))</f>
        <v>5.16</v>
      </c>
      <c r="AE1891" s="110" t="str">
        <f aca="false">IF(AND(AC1891="yes",ISNUMBER(F1891),IF(Compare!$H$5="All mapped",TRUE(),IF(Compare!$H$5="EXACT only",J1891="EXACT",OR(J1891="EXACT",J1891="CLOSE")))),"yes","no")</f>
        <v>yes</v>
      </c>
      <c r="AF1891" s="110" t="n">
        <f aca="false">IF(ISNUMBER(H1891),COUNTIFS($B$7:$B$3000,B1891,$C$7:$C$3000,C1891,$H$7:$H$3000,"&lt;"&amp;H1891,$AH$7:$AH$3000,"yes")+COUNTIFS($B$7:B1891,B1891,$C$7:C1891,C1891,$H$7:H1891,H1891,$AH$7:AH1891,"yes"),"")</f>
        <v>5</v>
      </c>
      <c r="AG1891" s="110" t="n">
        <f aca="false">IF(ISNUMBER(I1891),COUNTIFS($B$7:$B$3000,B1891,$C$7:$C$3000,C1891,$I$7:$I$3000,"&lt;"&amp;I1891,$AI$7:$AI$3000,"yes")+COUNTIFS($B$7:B1891,B1891,$C$7:C1891,C1891,$I$7:I1891,I1891,$AI$7:AI1891,"yes"),"")</f>
        <v>5</v>
      </c>
      <c r="AH1891" s="110" t="str">
        <f aca="false">IF(ISNUMBER(H1891),"yes","no")</f>
        <v>yes</v>
      </c>
      <c r="AI1891" s="110" t="str">
        <f aca="false">IF(ISNUMBER(I1891),"yes","no")</f>
        <v>yes</v>
      </c>
      <c r="AJ1891" s="120" t="n">
        <v>46297</v>
      </c>
      <c r="AK1891" s="110"/>
    </row>
    <row r="1892" customFormat="false" ht="35.05" hidden="false" customHeight="false" outlineLevel="0" collapsed="false">
      <c r="B1892" s="36" t="s">
        <v>103</v>
      </c>
      <c r="C1892" s="98" t="s">
        <v>15</v>
      </c>
      <c r="D1892" s="98" t="s">
        <v>281</v>
      </c>
      <c r="E1892" s="110" t="s">
        <v>5842</v>
      </c>
      <c r="F1892" s="99" t="n">
        <v>4.18</v>
      </c>
      <c r="G1892" s="98" t="s">
        <v>244</v>
      </c>
      <c r="H1892" s="112" t="n">
        <f aca="false">IF(AND(AE1892="yes",ISNUMBER(AD1892)),AD1892,"")</f>
        <v>4.18</v>
      </c>
      <c r="I1892" s="95" t="n">
        <f aca="false">IF(AND(AE1892="yes",ISNUMBER(AD1892),ISNUMBER(INDEX(Sources!$G$7:$G$10,MATCH(AB1892,Sources!$B$7:$B$10,0)))),ROUND(AD1892/INDEX(Sources!$G$7:$G$10,MATCH(AB1892,Sources!$B$7:$B$10,0)),6),"")</f>
        <v>4.18</v>
      </c>
      <c r="J1892" s="98" t="s">
        <v>530</v>
      </c>
      <c r="K1892" s="98" t="s">
        <v>2059</v>
      </c>
      <c r="L1892" s="96"/>
      <c r="M1892" s="110" t="s">
        <v>5843</v>
      </c>
      <c r="N1892" s="117" t="s">
        <v>5844</v>
      </c>
      <c r="O1892" s="110" t="s">
        <v>2944</v>
      </c>
      <c r="P1892" s="110" t="s">
        <v>590</v>
      </c>
      <c r="Q1892" s="118" t="n">
        <v>0.2</v>
      </c>
      <c r="R1892" s="110" t="n">
        <v>1</v>
      </c>
      <c r="S1892" s="110" t="s">
        <v>632</v>
      </c>
      <c r="T1892" s="110" t="s">
        <v>530</v>
      </c>
      <c r="U1892" s="110" t="s">
        <v>2913</v>
      </c>
      <c r="V1892" s="119" t="n">
        <v>4.18</v>
      </c>
      <c r="W1892" s="119"/>
      <c r="X1892" s="110" t="s">
        <v>2063</v>
      </c>
      <c r="Y1892" s="110" t="s">
        <v>2064</v>
      </c>
      <c r="Z1892" s="110" t="s">
        <v>2953</v>
      </c>
      <c r="AA1892" s="110" t="s">
        <v>537</v>
      </c>
      <c r="AB1892" s="110" t="s">
        <v>244</v>
      </c>
      <c r="AC1892" s="110" t="s">
        <v>538</v>
      </c>
      <c r="AD1892" s="110" t="n">
        <f aca="false">IF(OR(F1892="",Q1892="",R1892=""),"",ROUND(IF(P1892="incl.",F1892/(1+Q1892),F1892)/IF(S1892="per pack",R1892,1),2))</f>
        <v>4.18</v>
      </c>
      <c r="AE1892" s="110" t="str">
        <f aca="false">IF(AND(AC1892="yes",ISNUMBER(F1892),IF(Compare!$H$5="All mapped",TRUE(),IF(Compare!$H$5="EXACT only",J1892="EXACT",OR(J1892="EXACT",J1892="CLOSE")))),"yes","no")</f>
        <v>yes</v>
      </c>
      <c r="AF1892" s="110" t="n">
        <f aca="false">IF(ISNUMBER(H1892),COUNTIFS($B$7:$B$3000,B1892,$C$7:$C$3000,C1892,$H$7:$H$3000,"&lt;"&amp;H1892,$AH$7:$AH$3000,"yes")+COUNTIFS($B$7:B1892,B1892,$C$7:C1892,C1892,$H$7:H1892,H1892,$AH$7:AH1892,"yes"),"")</f>
        <v>4</v>
      </c>
      <c r="AG1892" s="110" t="n">
        <f aca="false">IF(ISNUMBER(I1892),COUNTIFS($B$7:$B$3000,B1892,$C$7:$C$3000,C1892,$I$7:$I$3000,"&lt;"&amp;I1892,$AI$7:$AI$3000,"yes")+COUNTIFS($B$7:B1892,B1892,$C$7:C1892,C1892,$I$7:I1892,I1892,$AI$7:AI1892,"yes"),"")</f>
        <v>4</v>
      </c>
      <c r="AH1892" s="110" t="str">
        <f aca="false">IF(ISNUMBER(H1892),"yes","no")</f>
        <v>yes</v>
      </c>
      <c r="AI1892" s="110" t="str">
        <f aca="false">IF(ISNUMBER(I1892),"yes","no")</f>
        <v>yes</v>
      </c>
      <c r="AJ1892" s="120" t="n">
        <v>46297</v>
      </c>
      <c r="AK1892" s="110"/>
    </row>
    <row r="1893" customFormat="false" ht="23.85" hidden="false" customHeight="false" outlineLevel="0" collapsed="false">
      <c r="B1893" s="36" t="s">
        <v>103</v>
      </c>
      <c r="C1893" s="98" t="s">
        <v>15</v>
      </c>
      <c r="D1893" s="98" t="s">
        <v>293</v>
      </c>
      <c r="E1893" s="110" t="s">
        <v>5845</v>
      </c>
      <c r="F1893" s="99" t="n">
        <v>3.6</v>
      </c>
      <c r="G1893" s="98" t="s">
        <v>244</v>
      </c>
      <c r="H1893" s="112" t="n">
        <f aca="false">IF(AND(AE1893="yes",ISNUMBER(AD1893)),AD1893,"")</f>
        <v>3.6</v>
      </c>
      <c r="I1893" s="95" t="n">
        <f aca="false">IF(AND(AE1893="yes",ISNUMBER(AD1893),ISNUMBER(INDEX(Sources!$G$7:$G$10,MATCH(AB1893,Sources!$B$7:$B$10,0)))),ROUND(AD1893/INDEX(Sources!$G$7:$G$10,MATCH(AB1893,Sources!$B$7:$B$10,0)),6),"")</f>
        <v>3.6</v>
      </c>
      <c r="J1893" s="98" t="s">
        <v>530</v>
      </c>
      <c r="K1893" s="98" t="s">
        <v>2059</v>
      </c>
      <c r="L1893" s="96"/>
      <c r="M1893" s="110" t="s">
        <v>5846</v>
      </c>
      <c r="N1893" s="117" t="s">
        <v>5847</v>
      </c>
      <c r="O1893" s="110" t="s">
        <v>5848</v>
      </c>
      <c r="P1893" s="110" t="s">
        <v>590</v>
      </c>
      <c r="Q1893" s="118" t="n">
        <v>0.2</v>
      </c>
      <c r="R1893" s="110" t="n">
        <v>1</v>
      </c>
      <c r="S1893" s="110" t="s">
        <v>632</v>
      </c>
      <c r="T1893" s="110" t="s">
        <v>530</v>
      </c>
      <c r="U1893" s="110" t="s">
        <v>2913</v>
      </c>
      <c r="V1893" s="119" t="n">
        <v>3.6</v>
      </c>
      <c r="W1893" s="119"/>
      <c r="X1893" s="110" t="s">
        <v>2063</v>
      </c>
      <c r="Y1893" s="110" t="s">
        <v>2064</v>
      </c>
      <c r="Z1893" s="110" t="s">
        <v>2958</v>
      </c>
      <c r="AA1893" s="110" t="s">
        <v>537</v>
      </c>
      <c r="AB1893" s="110" t="s">
        <v>244</v>
      </c>
      <c r="AC1893" s="110" t="s">
        <v>538</v>
      </c>
      <c r="AD1893" s="110" t="n">
        <f aca="false">IF(OR(F1893="",Q1893="",R1893=""),"",ROUND(IF(P1893="incl.",F1893/(1+Q1893),F1893)/IF(S1893="per pack",R1893,1),2))</f>
        <v>3.6</v>
      </c>
      <c r="AE1893" s="110" t="str">
        <f aca="false">IF(AND(AC1893="yes",ISNUMBER(F1893),IF(Compare!$H$5="All mapped",TRUE(),IF(Compare!$H$5="EXACT only",J1893="EXACT",OR(J1893="EXACT",J1893="CLOSE")))),"yes","no")</f>
        <v>yes</v>
      </c>
      <c r="AF1893" s="110" t="n">
        <f aca="false">IF(ISNUMBER(H1893),COUNTIFS($B$7:$B$3000,B1893,$C$7:$C$3000,C1893,$H$7:$H$3000,"&lt;"&amp;H1893,$AH$7:$AH$3000,"yes")+COUNTIFS($B$7:B1893,B1893,$C$7:C1893,C1893,$H$7:H1893,H1893,$AH$7:AH1893,"yes"),"")</f>
        <v>2</v>
      </c>
      <c r="AG1893" s="110" t="n">
        <f aca="false">IF(ISNUMBER(I1893),COUNTIFS($B$7:$B$3000,B1893,$C$7:$C$3000,C1893,$I$7:$I$3000,"&lt;"&amp;I1893,$AI$7:$AI$3000,"yes")+COUNTIFS($B$7:B1893,B1893,$C$7:C1893,C1893,$I$7:I1893,I1893,$AI$7:AI1893,"yes"),"")</f>
        <v>2</v>
      </c>
      <c r="AH1893" s="110" t="str">
        <f aca="false">IF(ISNUMBER(H1893),"yes","no")</f>
        <v>yes</v>
      </c>
      <c r="AI1893" s="110" t="str">
        <f aca="false">IF(ISNUMBER(I1893),"yes","no")</f>
        <v>yes</v>
      </c>
      <c r="AJ1893" s="120" t="n">
        <v>46297</v>
      </c>
      <c r="AK1893" s="110"/>
    </row>
    <row r="1894" customFormat="false" ht="23.85" hidden="false" customHeight="false" outlineLevel="0" collapsed="false">
      <c r="B1894" s="36" t="s">
        <v>103</v>
      </c>
      <c r="C1894" s="98" t="s">
        <v>16</v>
      </c>
      <c r="D1894" s="98" t="s">
        <v>296</v>
      </c>
      <c r="E1894" s="110" t="s">
        <v>5827</v>
      </c>
      <c r="F1894" s="99" t="n">
        <v>3.23</v>
      </c>
      <c r="G1894" s="98" t="s">
        <v>244</v>
      </c>
      <c r="H1894" s="112" t="n">
        <f aca="false">IF(AND(AE1894="yes",ISNUMBER(AD1894)),AD1894,"")</f>
        <v>3.23</v>
      </c>
      <c r="I1894" s="95" t="n">
        <f aca="false">IF(AND(AE1894="yes",ISNUMBER(AD1894),ISNUMBER(INDEX(Sources!$G$7:$G$10,MATCH(AB1894,Sources!$B$7:$B$10,0)))),ROUND(AD1894/INDEX(Sources!$G$7:$G$10,MATCH(AB1894,Sources!$B$7:$B$10,0)),6),"")</f>
        <v>3.23</v>
      </c>
      <c r="J1894" s="98" t="s">
        <v>530</v>
      </c>
      <c r="K1894" s="98" t="s">
        <v>2059</v>
      </c>
      <c r="L1894" s="96"/>
      <c r="M1894" s="110" t="s">
        <v>5849</v>
      </c>
      <c r="N1894" s="117" t="s">
        <v>5850</v>
      </c>
      <c r="O1894" s="110" t="s">
        <v>3149</v>
      </c>
      <c r="P1894" s="110" t="s">
        <v>590</v>
      </c>
      <c r="Q1894" s="118" t="n">
        <v>0.19</v>
      </c>
      <c r="R1894" s="110" t="n">
        <v>1</v>
      </c>
      <c r="S1894" s="110" t="s">
        <v>632</v>
      </c>
      <c r="T1894" s="110" t="s">
        <v>530</v>
      </c>
      <c r="U1894" s="110" t="s">
        <v>2913</v>
      </c>
      <c r="V1894" s="119" t="n">
        <v>3.23</v>
      </c>
      <c r="W1894" s="119"/>
      <c r="X1894" s="110" t="s">
        <v>2063</v>
      </c>
      <c r="Y1894" s="110" t="s">
        <v>2064</v>
      </c>
      <c r="Z1894" s="110" t="s">
        <v>2164</v>
      </c>
      <c r="AA1894" s="110" t="s">
        <v>537</v>
      </c>
      <c r="AB1894" s="110" t="s">
        <v>244</v>
      </c>
      <c r="AC1894" s="110" t="s">
        <v>538</v>
      </c>
      <c r="AD1894" s="110" t="n">
        <f aca="false">IF(OR(F1894="",Q1894="",R1894=""),"",ROUND(IF(P1894="incl.",F1894/(1+Q1894),F1894)/IF(S1894="per pack",R1894,1),2))</f>
        <v>3.23</v>
      </c>
      <c r="AE1894" s="110" t="str">
        <f aca="false">IF(AND(AC1894="yes",ISNUMBER(F1894),IF(Compare!$H$5="All mapped",TRUE(),IF(Compare!$H$5="EXACT only",J1894="EXACT",OR(J1894="EXACT",J1894="CLOSE")))),"yes","no")</f>
        <v>yes</v>
      </c>
      <c r="AF1894" s="110" t="n">
        <f aca="false">IF(ISNUMBER(H1894),COUNTIFS($B$7:$B$3000,B1894,$C$7:$C$3000,C1894,$H$7:$H$3000,"&lt;"&amp;H1894,$AH$7:$AH$3000,"yes")+COUNTIFS($B$7:B1894,B1894,$C$7:C1894,C1894,$H$7:H1894,H1894,$AH$7:AH1894,"yes"),"")</f>
        <v>1</v>
      </c>
      <c r="AG1894" s="110" t="n">
        <f aca="false">IF(ISNUMBER(I1894),COUNTIFS($B$7:$B$3000,B1894,$C$7:$C$3000,C1894,$I$7:$I$3000,"&lt;"&amp;I1894,$AI$7:$AI$3000,"yes")+COUNTIFS($B$7:B1894,B1894,$C$7:C1894,C1894,$I$7:I1894,I1894,$AI$7:AI1894,"yes"),"")</f>
        <v>1</v>
      </c>
      <c r="AH1894" s="110" t="str">
        <f aca="false">IF(ISNUMBER(H1894),"yes","no")</f>
        <v>yes</v>
      </c>
      <c r="AI1894" s="110" t="str">
        <f aca="false">IF(ISNUMBER(I1894),"yes","no")</f>
        <v>yes</v>
      </c>
      <c r="AJ1894" s="120" t="n">
        <v>46297</v>
      </c>
      <c r="AK1894" s="110"/>
    </row>
    <row r="1895" customFormat="false" ht="35.05" hidden="false" customHeight="false" outlineLevel="0" collapsed="false">
      <c r="B1895" s="36" t="s">
        <v>103</v>
      </c>
      <c r="C1895" s="98" t="s">
        <v>16</v>
      </c>
      <c r="D1895" s="98" t="s">
        <v>305</v>
      </c>
      <c r="E1895" s="110" t="s">
        <v>5851</v>
      </c>
      <c r="F1895" s="99" t="n">
        <v>4.57</v>
      </c>
      <c r="G1895" s="98" t="s">
        <v>244</v>
      </c>
      <c r="H1895" s="112" t="n">
        <f aca="false">IF(AND(AE1895="yes",ISNUMBER(AD1895)),AD1895,"")</f>
        <v>3.84</v>
      </c>
      <c r="I1895" s="95" t="n">
        <f aca="false">IF(AND(AE1895="yes",ISNUMBER(AD1895),ISNUMBER(INDEX(Sources!$G$7:$G$10,MATCH(AB1895,Sources!$B$7:$B$10,0)))),ROUND(AD1895/INDEX(Sources!$G$7:$G$10,MATCH(AB1895,Sources!$B$7:$B$10,0)),6),"")</f>
        <v>3.84</v>
      </c>
      <c r="J1895" s="98" t="s">
        <v>530</v>
      </c>
      <c r="K1895" s="98" t="s">
        <v>2059</v>
      </c>
      <c r="L1895" s="96"/>
      <c r="M1895" s="110" t="s">
        <v>5852</v>
      </c>
      <c r="N1895" s="117" t="s">
        <v>5853</v>
      </c>
      <c r="O1895" s="110" t="s">
        <v>2965</v>
      </c>
      <c r="P1895" s="110" t="s">
        <v>265</v>
      </c>
      <c r="Q1895" s="118" t="n">
        <v>0.19</v>
      </c>
      <c r="R1895" s="110" t="n">
        <v>1</v>
      </c>
      <c r="S1895" s="110" t="s">
        <v>632</v>
      </c>
      <c r="T1895" s="110" t="s">
        <v>530</v>
      </c>
      <c r="U1895" s="110" t="s">
        <v>2918</v>
      </c>
      <c r="V1895" s="119" t="n">
        <v>3.84</v>
      </c>
      <c r="W1895" s="119"/>
      <c r="X1895" s="110" t="s">
        <v>2063</v>
      </c>
      <c r="Y1895" s="110" t="s">
        <v>2064</v>
      </c>
      <c r="Z1895" s="110" t="s">
        <v>2156</v>
      </c>
      <c r="AA1895" s="110" t="s">
        <v>537</v>
      </c>
      <c r="AB1895" s="110" t="s">
        <v>244</v>
      </c>
      <c r="AC1895" s="110" t="s">
        <v>538</v>
      </c>
      <c r="AD1895" s="110" t="n">
        <f aca="false">IF(OR(F1895="",Q1895="",R1895=""),"",ROUND(IF(P1895="incl.",F1895/(1+Q1895),F1895)/IF(S1895="per pack",R1895,1),2))</f>
        <v>3.84</v>
      </c>
      <c r="AE1895" s="110" t="str">
        <f aca="false">IF(AND(AC1895="yes",ISNUMBER(F1895),IF(Compare!$H$5="All mapped",TRUE(),IF(Compare!$H$5="EXACT only",J1895="EXACT",OR(J1895="EXACT",J1895="CLOSE")))),"yes","no")</f>
        <v>yes</v>
      </c>
      <c r="AF1895" s="110" t="n">
        <f aca="false">IF(ISNUMBER(H1895),COUNTIFS($B$7:$B$3000,B1895,$C$7:$C$3000,C1895,$H$7:$H$3000,"&lt;"&amp;H1895,$AH$7:$AH$3000,"yes")+COUNTIFS($B$7:B1895,B1895,$C$7:C1895,C1895,$H$7:H1895,H1895,$AH$7:AH1895,"yes"),"")</f>
        <v>3</v>
      </c>
      <c r="AG1895" s="110" t="n">
        <f aca="false">IF(ISNUMBER(I1895),COUNTIFS($B$7:$B$3000,B1895,$C$7:$C$3000,C1895,$I$7:$I$3000,"&lt;"&amp;I1895,$AI$7:$AI$3000,"yes")+COUNTIFS($B$7:B1895,B1895,$C$7:C1895,C1895,$I$7:I1895,I1895,$AI$7:AI1895,"yes"),"")</f>
        <v>3</v>
      </c>
      <c r="AH1895" s="110" t="str">
        <f aca="false">IF(ISNUMBER(H1895),"yes","no")</f>
        <v>yes</v>
      </c>
      <c r="AI1895" s="110" t="str">
        <f aca="false">IF(ISNUMBER(I1895),"yes","no")</f>
        <v>yes</v>
      </c>
      <c r="AJ1895" s="120" t="n">
        <v>46297</v>
      </c>
      <c r="AK1895" s="110"/>
    </row>
    <row r="1896" customFormat="false" ht="35.05" hidden="false" customHeight="false" outlineLevel="0" collapsed="false">
      <c r="B1896" s="36" t="s">
        <v>103</v>
      </c>
      <c r="C1896" s="98" t="s">
        <v>16</v>
      </c>
      <c r="D1896" s="98" t="s">
        <v>311</v>
      </c>
      <c r="E1896" s="110" t="s">
        <v>5833</v>
      </c>
      <c r="F1896" s="99" t="n">
        <v>3.79</v>
      </c>
      <c r="G1896" s="98" t="s">
        <v>244</v>
      </c>
      <c r="H1896" s="112" t="n">
        <f aca="false">IF(AND(AE1896="yes",ISNUMBER(AD1896)),AD1896,"")</f>
        <v>3.79</v>
      </c>
      <c r="I1896" s="95" t="n">
        <f aca="false">IF(AND(AE1896="yes",ISNUMBER(AD1896),ISNUMBER(INDEX(Sources!$G$7:$G$10,MATCH(AB1896,Sources!$B$7:$B$10,0)))),ROUND(AD1896/INDEX(Sources!$G$7:$G$10,MATCH(AB1896,Sources!$B$7:$B$10,0)),6),"")</f>
        <v>3.79</v>
      </c>
      <c r="J1896" s="98" t="s">
        <v>530</v>
      </c>
      <c r="K1896" s="98" t="s">
        <v>2059</v>
      </c>
      <c r="L1896" s="96"/>
      <c r="M1896" s="110" t="s">
        <v>5854</v>
      </c>
      <c r="N1896" s="117" t="s">
        <v>5855</v>
      </c>
      <c r="O1896" s="110" t="s">
        <v>598</v>
      </c>
      <c r="P1896" s="110" t="s">
        <v>590</v>
      </c>
      <c r="Q1896" s="118" t="n">
        <v>0.19</v>
      </c>
      <c r="R1896" s="110" t="n">
        <v>1</v>
      </c>
      <c r="S1896" s="110" t="s">
        <v>632</v>
      </c>
      <c r="T1896" s="110" t="s">
        <v>530</v>
      </c>
      <c r="U1896" s="110" t="s">
        <v>2913</v>
      </c>
      <c r="V1896" s="119" t="n">
        <v>3.79</v>
      </c>
      <c r="W1896" s="119"/>
      <c r="X1896" s="110" t="s">
        <v>2063</v>
      </c>
      <c r="Y1896" s="110" t="s">
        <v>2064</v>
      </c>
      <c r="Z1896" s="110" t="s">
        <v>2968</v>
      </c>
      <c r="AA1896" s="110" t="s">
        <v>537</v>
      </c>
      <c r="AB1896" s="110" t="s">
        <v>244</v>
      </c>
      <c r="AC1896" s="110" t="s">
        <v>538</v>
      </c>
      <c r="AD1896" s="110" t="n">
        <f aca="false">IF(OR(F1896="",Q1896="",R1896=""),"",ROUND(IF(P1896="incl.",F1896/(1+Q1896),F1896)/IF(S1896="per pack",R1896,1),2))</f>
        <v>3.79</v>
      </c>
      <c r="AE1896" s="110" t="str">
        <f aca="false">IF(AND(AC1896="yes",ISNUMBER(F1896),IF(Compare!$H$5="All mapped",TRUE(),IF(Compare!$H$5="EXACT only",J1896="EXACT",OR(J1896="EXACT",J1896="CLOSE")))),"yes","no")</f>
        <v>yes</v>
      </c>
      <c r="AF1896" s="110" t="n">
        <f aca="false">IF(ISNUMBER(H1896),COUNTIFS($B$7:$B$3000,B1896,$C$7:$C$3000,C1896,$H$7:$H$3000,"&lt;"&amp;H1896,$AH$7:$AH$3000,"yes")+COUNTIFS($B$7:B1896,B1896,$C$7:C1896,C1896,$H$7:H1896,H1896,$AH$7:AH1896,"yes"),"")</f>
        <v>2</v>
      </c>
      <c r="AG1896" s="110" t="n">
        <f aca="false">IF(ISNUMBER(I1896),COUNTIFS($B$7:$B$3000,B1896,$C$7:$C$3000,C1896,$I$7:$I$3000,"&lt;"&amp;I1896,$AI$7:$AI$3000,"yes")+COUNTIFS($B$7:B1896,B1896,$C$7:C1896,C1896,$I$7:I1896,I1896,$AI$7:AI1896,"yes"),"")</f>
        <v>2</v>
      </c>
      <c r="AH1896" s="110" t="str">
        <f aca="false">IF(ISNUMBER(H1896),"yes","no")</f>
        <v>yes</v>
      </c>
      <c r="AI1896" s="110" t="str">
        <f aca="false">IF(ISNUMBER(I1896),"yes","no")</f>
        <v>yes</v>
      </c>
      <c r="AJ1896" s="120" t="n">
        <v>46297</v>
      </c>
      <c r="AK1896" s="110"/>
    </row>
    <row r="1897" customFormat="false" ht="23.85" hidden="false" customHeight="false" outlineLevel="0" collapsed="false">
      <c r="B1897" s="36" t="s">
        <v>103</v>
      </c>
      <c r="C1897" s="98" t="s">
        <v>16</v>
      </c>
      <c r="D1897" s="98" t="s">
        <v>309</v>
      </c>
      <c r="E1897" s="110" t="s">
        <v>5856</v>
      </c>
      <c r="F1897" s="99" t="n">
        <v>7.62</v>
      </c>
      <c r="G1897" s="98" t="s">
        <v>244</v>
      </c>
      <c r="H1897" s="112" t="n">
        <f aca="false">IF(AND(AE1897="yes",ISNUMBER(AD1897)),AD1897,"")</f>
        <v>7.62</v>
      </c>
      <c r="I1897" s="95" t="n">
        <f aca="false">IF(AND(AE1897="yes",ISNUMBER(AD1897),ISNUMBER(INDEX(Sources!$G$7:$G$10,MATCH(AB1897,Sources!$B$7:$B$10,0)))),ROUND(AD1897/INDEX(Sources!$G$7:$G$10,MATCH(AB1897,Sources!$B$7:$B$10,0)),6),"")</f>
        <v>7.62</v>
      </c>
      <c r="J1897" s="98" t="s">
        <v>530</v>
      </c>
      <c r="K1897" s="98" t="s">
        <v>2059</v>
      </c>
      <c r="L1897" s="96"/>
      <c r="M1897" s="110" t="s">
        <v>5857</v>
      </c>
      <c r="N1897" s="117" t="s">
        <v>5858</v>
      </c>
      <c r="O1897" s="110" t="s">
        <v>1583</v>
      </c>
      <c r="P1897" s="110" t="s">
        <v>590</v>
      </c>
      <c r="Q1897" s="118" t="n">
        <v>0.19</v>
      </c>
      <c r="R1897" s="110" t="n">
        <v>1</v>
      </c>
      <c r="S1897" s="110" t="s">
        <v>632</v>
      </c>
      <c r="T1897" s="110" t="s">
        <v>530</v>
      </c>
      <c r="U1897" s="110" t="s">
        <v>2913</v>
      </c>
      <c r="V1897" s="119" t="n">
        <v>7.62</v>
      </c>
      <c r="W1897" s="119"/>
      <c r="X1897" s="110" t="s">
        <v>2063</v>
      </c>
      <c r="Y1897" s="110" t="s">
        <v>2064</v>
      </c>
      <c r="Z1897" s="110" t="s">
        <v>5859</v>
      </c>
      <c r="AA1897" s="110" t="s">
        <v>537</v>
      </c>
      <c r="AB1897" s="110" t="s">
        <v>244</v>
      </c>
      <c r="AC1897" s="110" t="s">
        <v>538</v>
      </c>
      <c r="AD1897" s="110" t="n">
        <f aca="false">IF(OR(F1897="",Q1897="",R1897=""),"",ROUND(IF(P1897="incl.",F1897/(1+Q1897),F1897)/IF(S1897="per pack",R1897,1),2))</f>
        <v>7.62</v>
      </c>
      <c r="AE1897" s="110" t="str">
        <f aca="false">IF(AND(AC1897="yes",ISNUMBER(F1897),IF(Compare!$H$5="All mapped",TRUE(),IF(Compare!$H$5="EXACT only",J1897="EXACT",OR(J1897="EXACT",J1897="CLOSE")))),"yes","no")</f>
        <v>yes</v>
      </c>
      <c r="AF1897" s="110" t="n">
        <f aca="false">IF(ISNUMBER(H1897),COUNTIFS($B$7:$B$3000,B1897,$C$7:$C$3000,C1897,$H$7:$H$3000,"&lt;"&amp;H1897,$AH$7:$AH$3000,"yes")+COUNTIFS($B$7:B1897,B1897,$C$7:C1897,C1897,$H$7:H1897,H1897,$AH$7:AH1897,"yes"),"")</f>
        <v>7</v>
      </c>
      <c r="AG1897" s="110" t="n">
        <f aca="false">IF(ISNUMBER(I1897),COUNTIFS($B$7:$B$3000,B1897,$C$7:$C$3000,C1897,$I$7:$I$3000,"&lt;"&amp;I1897,$AI$7:$AI$3000,"yes")+COUNTIFS($B$7:B1897,B1897,$C$7:C1897,C1897,$I$7:I1897,I1897,$AI$7:AI1897,"yes"),"")</f>
        <v>7</v>
      </c>
      <c r="AH1897" s="110" t="str">
        <f aca="false">IF(ISNUMBER(H1897),"yes","no")</f>
        <v>yes</v>
      </c>
      <c r="AI1897" s="110" t="str">
        <f aca="false">IF(ISNUMBER(I1897),"yes","no")</f>
        <v>yes</v>
      </c>
      <c r="AJ1897" s="120" t="n">
        <v>46297</v>
      </c>
      <c r="AK1897" s="110"/>
    </row>
    <row r="1898" customFormat="false" ht="23.85" hidden="false" customHeight="false" outlineLevel="0" collapsed="false">
      <c r="B1898" s="36" t="s">
        <v>103</v>
      </c>
      <c r="C1898" s="98" t="s">
        <v>16</v>
      </c>
      <c r="D1898" s="98" t="s">
        <v>313</v>
      </c>
      <c r="E1898" s="110" t="s">
        <v>5860</v>
      </c>
      <c r="F1898" s="99" t="n">
        <v>6.09</v>
      </c>
      <c r="G1898" s="98" t="s">
        <v>244</v>
      </c>
      <c r="H1898" s="112" t="n">
        <f aca="false">IF(AND(AE1898="yes",ISNUMBER(AD1898)),AD1898,"")</f>
        <v>5.12</v>
      </c>
      <c r="I1898" s="95" t="n">
        <f aca="false">IF(AND(AE1898="yes",ISNUMBER(AD1898),ISNUMBER(INDEX(Sources!$G$7:$G$10,MATCH(AB1898,Sources!$B$7:$B$10,0)))),ROUND(AD1898/INDEX(Sources!$G$7:$G$10,MATCH(AB1898,Sources!$B$7:$B$10,0)),6),"")</f>
        <v>5.12</v>
      </c>
      <c r="J1898" s="98" t="s">
        <v>530</v>
      </c>
      <c r="K1898" s="98" t="s">
        <v>2059</v>
      </c>
      <c r="L1898" s="96"/>
      <c r="M1898" s="110" t="s">
        <v>5861</v>
      </c>
      <c r="N1898" s="117" t="s">
        <v>5862</v>
      </c>
      <c r="O1898" s="110" t="s">
        <v>2982</v>
      </c>
      <c r="P1898" s="110" t="s">
        <v>265</v>
      </c>
      <c r="Q1898" s="118" t="n">
        <v>0.19</v>
      </c>
      <c r="R1898" s="110" t="n">
        <v>1</v>
      </c>
      <c r="S1898" s="110" t="s">
        <v>632</v>
      </c>
      <c r="T1898" s="110" t="s">
        <v>530</v>
      </c>
      <c r="U1898" s="110" t="s">
        <v>2918</v>
      </c>
      <c r="V1898" s="119" t="n">
        <v>5.12</v>
      </c>
      <c r="W1898" s="119"/>
      <c r="X1898" s="110" t="s">
        <v>2063</v>
      </c>
      <c r="Y1898" s="110" t="s">
        <v>2064</v>
      </c>
      <c r="Z1898" s="110" t="s">
        <v>3243</v>
      </c>
      <c r="AA1898" s="110" t="s">
        <v>537</v>
      </c>
      <c r="AB1898" s="110" t="s">
        <v>244</v>
      </c>
      <c r="AC1898" s="110" t="s">
        <v>538</v>
      </c>
      <c r="AD1898" s="110" t="n">
        <f aca="false">IF(OR(F1898="",Q1898="",R1898=""),"",ROUND(IF(P1898="incl.",F1898/(1+Q1898),F1898)/IF(S1898="per pack",R1898,1),2))</f>
        <v>5.12</v>
      </c>
      <c r="AE1898" s="110" t="str">
        <f aca="false">IF(AND(AC1898="yes",ISNUMBER(F1898),IF(Compare!$H$5="All mapped",TRUE(),IF(Compare!$H$5="EXACT only",J1898="EXACT",OR(J1898="EXACT",J1898="CLOSE")))),"yes","no")</f>
        <v>yes</v>
      </c>
      <c r="AF1898" s="110" t="n">
        <f aca="false">IF(ISNUMBER(H1898),COUNTIFS($B$7:$B$3000,B1898,$C$7:$C$3000,C1898,$H$7:$H$3000,"&lt;"&amp;H1898,$AH$7:$AH$3000,"yes")+COUNTIFS($B$7:B1898,B1898,$C$7:C1898,C1898,$H$7:H1898,H1898,$AH$7:AH1898,"yes"),"")</f>
        <v>6</v>
      </c>
      <c r="AG1898" s="110" t="n">
        <f aca="false">IF(ISNUMBER(I1898),COUNTIFS($B$7:$B$3000,B1898,$C$7:$C$3000,C1898,$I$7:$I$3000,"&lt;"&amp;I1898,$AI$7:$AI$3000,"yes")+COUNTIFS($B$7:B1898,B1898,$C$7:C1898,C1898,$I$7:I1898,I1898,$AI$7:AI1898,"yes"),"")</f>
        <v>6</v>
      </c>
      <c r="AH1898" s="110" t="str">
        <f aca="false">IF(ISNUMBER(H1898),"yes","no")</f>
        <v>yes</v>
      </c>
      <c r="AI1898" s="110" t="str">
        <f aca="false">IF(ISNUMBER(I1898),"yes","no")</f>
        <v>yes</v>
      </c>
      <c r="AJ1898" s="120" t="n">
        <v>46297</v>
      </c>
      <c r="AK1898" s="110"/>
    </row>
    <row r="1899" customFormat="false" ht="23.85" hidden="false" customHeight="false" outlineLevel="0" collapsed="false">
      <c r="B1899" s="36" t="s">
        <v>103</v>
      </c>
      <c r="C1899" s="98" t="s">
        <v>16</v>
      </c>
      <c r="D1899" s="98" t="s">
        <v>321</v>
      </c>
      <c r="E1899" s="110" t="s">
        <v>5842</v>
      </c>
      <c r="F1899" s="99" t="n">
        <v>4.18</v>
      </c>
      <c r="G1899" s="98" t="s">
        <v>244</v>
      </c>
      <c r="H1899" s="112" t="n">
        <f aca="false">IF(AND(AE1899="yes",ISNUMBER(AD1899)),AD1899,"")</f>
        <v>4.18</v>
      </c>
      <c r="I1899" s="95" t="n">
        <f aca="false">IF(AND(AE1899="yes",ISNUMBER(AD1899),ISNUMBER(INDEX(Sources!$G$7:$G$10,MATCH(AB1899,Sources!$B$7:$B$10,0)))),ROUND(AD1899/INDEX(Sources!$G$7:$G$10,MATCH(AB1899,Sources!$B$7:$B$10,0)),6),"")</f>
        <v>4.18</v>
      </c>
      <c r="J1899" s="98" t="s">
        <v>530</v>
      </c>
      <c r="K1899" s="98" t="s">
        <v>2059</v>
      </c>
      <c r="L1899" s="96"/>
      <c r="M1899" s="110" t="s">
        <v>5863</v>
      </c>
      <c r="N1899" s="117" t="s">
        <v>5864</v>
      </c>
      <c r="O1899" s="110" t="s">
        <v>2944</v>
      </c>
      <c r="P1899" s="110" t="s">
        <v>590</v>
      </c>
      <c r="Q1899" s="118" t="n">
        <v>0.19</v>
      </c>
      <c r="R1899" s="110" t="n">
        <v>1</v>
      </c>
      <c r="S1899" s="110" t="s">
        <v>632</v>
      </c>
      <c r="T1899" s="110" t="s">
        <v>530</v>
      </c>
      <c r="U1899" s="110" t="s">
        <v>2913</v>
      </c>
      <c r="V1899" s="119" t="n">
        <v>4.18</v>
      </c>
      <c r="W1899" s="119"/>
      <c r="X1899" s="110" t="s">
        <v>2063</v>
      </c>
      <c r="Y1899" s="110" t="s">
        <v>2064</v>
      </c>
      <c r="Z1899" s="110" t="s">
        <v>2978</v>
      </c>
      <c r="AA1899" s="110" t="s">
        <v>537</v>
      </c>
      <c r="AB1899" s="110" t="s">
        <v>244</v>
      </c>
      <c r="AC1899" s="110" t="s">
        <v>538</v>
      </c>
      <c r="AD1899" s="110" t="n">
        <f aca="false">IF(OR(F1899="",Q1899="",R1899=""),"",ROUND(IF(P1899="incl.",F1899/(1+Q1899),F1899)/IF(S1899="per pack",R1899,1),2))</f>
        <v>4.18</v>
      </c>
      <c r="AE1899" s="110" t="str">
        <f aca="false">IF(AND(AC1899="yes",ISNUMBER(F1899),IF(Compare!$H$5="All mapped",TRUE(),IF(Compare!$H$5="EXACT only",J1899="EXACT",OR(J1899="EXACT",J1899="CLOSE")))),"yes","no")</f>
        <v>yes</v>
      </c>
      <c r="AF1899" s="110" t="n">
        <f aca="false">IF(ISNUMBER(H1899),COUNTIFS($B$7:$B$3000,B1899,$C$7:$C$3000,C1899,$H$7:$H$3000,"&lt;"&amp;H1899,$AH$7:$AH$3000,"yes")+COUNTIFS($B$7:B1899,B1899,$C$7:C1899,C1899,$H$7:H1899,H1899,$AH$7:AH1899,"yes"),"")</f>
        <v>5</v>
      </c>
      <c r="AG1899" s="110" t="n">
        <f aca="false">IF(ISNUMBER(I1899),COUNTIFS($B$7:$B$3000,B1899,$C$7:$C$3000,C1899,$I$7:$I$3000,"&lt;"&amp;I1899,$AI$7:$AI$3000,"yes")+COUNTIFS($B$7:B1899,B1899,$C$7:C1899,C1899,$I$7:I1899,I1899,$AI$7:AI1899,"yes"),"")</f>
        <v>5</v>
      </c>
      <c r="AH1899" s="110" t="str">
        <f aca="false">IF(ISNUMBER(H1899),"yes","no")</f>
        <v>yes</v>
      </c>
      <c r="AI1899" s="110" t="str">
        <f aca="false">IF(ISNUMBER(I1899),"yes","no")</f>
        <v>yes</v>
      </c>
      <c r="AJ1899" s="120" t="n">
        <v>46297</v>
      </c>
      <c r="AK1899" s="110"/>
    </row>
    <row r="1900" customFormat="false" ht="35.05" hidden="false" customHeight="false" outlineLevel="0" collapsed="false">
      <c r="B1900" s="36" t="s">
        <v>103</v>
      </c>
      <c r="C1900" s="98" t="s">
        <v>16</v>
      </c>
      <c r="D1900" s="98" t="s">
        <v>329</v>
      </c>
      <c r="E1900" s="110" t="s">
        <v>5839</v>
      </c>
      <c r="F1900" s="99" t="n">
        <v>3.99</v>
      </c>
      <c r="G1900" s="98" t="s">
        <v>244</v>
      </c>
      <c r="H1900" s="112" t="n">
        <f aca="false">IF(AND(AE1900="yes",ISNUMBER(AD1900)),AD1900,"")</f>
        <v>3.99</v>
      </c>
      <c r="I1900" s="95" t="n">
        <f aca="false">IF(AND(AE1900="yes",ISNUMBER(AD1900),ISNUMBER(INDEX(Sources!$G$7:$G$10,MATCH(AB1900,Sources!$B$7:$B$10,0)))),ROUND(AD1900/INDEX(Sources!$G$7:$G$10,MATCH(AB1900,Sources!$B$7:$B$10,0)),6),"")</f>
        <v>3.99</v>
      </c>
      <c r="J1900" s="98" t="s">
        <v>530</v>
      </c>
      <c r="K1900" s="98" t="s">
        <v>2059</v>
      </c>
      <c r="L1900" s="96"/>
      <c r="M1900" s="110" t="s">
        <v>5865</v>
      </c>
      <c r="N1900" s="117" t="s">
        <v>5866</v>
      </c>
      <c r="O1900" s="110" t="s">
        <v>2982</v>
      </c>
      <c r="P1900" s="110" t="s">
        <v>590</v>
      </c>
      <c r="Q1900" s="118" t="n">
        <v>0.19</v>
      </c>
      <c r="R1900" s="110" t="n">
        <v>1</v>
      </c>
      <c r="S1900" s="110" t="s">
        <v>632</v>
      </c>
      <c r="T1900" s="110" t="s">
        <v>530</v>
      </c>
      <c r="U1900" s="110" t="s">
        <v>2913</v>
      </c>
      <c r="V1900" s="119" t="n">
        <v>3.99</v>
      </c>
      <c r="W1900" s="119"/>
      <c r="X1900" s="110" t="s">
        <v>2063</v>
      </c>
      <c r="Y1900" s="110" t="s">
        <v>2064</v>
      </c>
      <c r="Z1900" s="110" t="s">
        <v>2624</v>
      </c>
      <c r="AA1900" s="110" t="s">
        <v>537</v>
      </c>
      <c r="AB1900" s="110" t="s">
        <v>244</v>
      </c>
      <c r="AC1900" s="110" t="s">
        <v>538</v>
      </c>
      <c r="AD1900" s="110" t="n">
        <f aca="false">IF(OR(F1900="",Q1900="",R1900=""),"",ROUND(IF(P1900="incl.",F1900/(1+Q1900),F1900)/IF(S1900="per pack",R1900,1),2))</f>
        <v>3.99</v>
      </c>
      <c r="AE1900" s="110" t="str">
        <f aca="false">IF(AND(AC1900="yes",ISNUMBER(F1900),IF(Compare!$H$5="All mapped",TRUE(),IF(Compare!$H$5="EXACT only",J1900="EXACT",OR(J1900="EXACT",J1900="CLOSE")))),"yes","no")</f>
        <v>yes</v>
      </c>
      <c r="AF1900" s="110" t="n">
        <f aca="false">IF(ISNUMBER(H1900),COUNTIFS($B$7:$B$3000,B1900,$C$7:$C$3000,C1900,$H$7:$H$3000,"&lt;"&amp;H1900,$AH$7:$AH$3000,"yes")+COUNTIFS($B$7:B1900,B1900,$C$7:C1900,C1900,$H$7:H1900,H1900,$AH$7:AH1900,"yes"),"")</f>
        <v>4</v>
      </c>
      <c r="AG1900" s="110" t="n">
        <f aca="false">IF(ISNUMBER(I1900),COUNTIFS($B$7:$B$3000,B1900,$C$7:$C$3000,C1900,$I$7:$I$3000,"&lt;"&amp;I1900,$AI$7:$AI$3000,"yes")+COUNTIFS($B$7:B1900,B1900,$C$7:C1900,C1900,$I$7:I1900,I1900,$AI$7:AI1900,"yes"),"")</f>
        <v>4</v>
      </c>
      <c r="AH1900" s="110" t="str">
        <f aca="false">IF(ISNUMBER(H1900),"yes","no")</f>
        <v>yes</v>
      </c>
      <c r="AI1900" s="110" t="str">
        <f aca="false">IF(ISNUMBER(I1900),"yes","no")</f>
        <v>yes</v>
      </c>
      <c r="AJ1900" s="120" t="n">
        <v>46297</v>
      </c>
      <c r="AK1900" s="110"/>
    </row>
    <row r="1901" customFormat="false" ht="23.85" hidden="false" customHeight="false" outlineLevel="0" collapsed="false">
      <c r="B1901" s="36" t="s">
        <v>103</v>
      </c>
      <c r="C1901" s="98" t="s">
        <v>17</v>
      </c>
      <c r="D1901" s="98" t="s">
        <v>338</v>
      </c>
      <c r="E1901" s="110" t="s">
        <v>5867</v>
      </c>
      <c r="F1901" s="99" t="n">
        <v>98</v>
      </c>
      <c r="G1901" s="98" t="s">
        <v>333</v>
      </c>
      <c r="H1901" s="112" t="n">
        <f aca="false">IF(AND(AE1901="yes",ISNUMBER(AD1901)),AD1901,"")</f>
        <v>98</v>
      </c>
      <c r="I1901" s="95" t="n">
        <f aca="false">IF(AND(AE1901="yes",ISNUMBER(AD1901),ISNUMBER(INDEX(Sources!$G$7:$G$10,MATCH(AB1901,Sources!$B$7:$B$10,0)))),ROUND(AD1901/INDEX(Sources!$G$7:$G$10,MATCH(AB1901,Sources!$B$7:$B$10,0)),6),"")</f>
        <v>4.01251</v>
      </c>
      <c r="J1901" s="98" t="s">
        <v>530</v>
      </c>
      <c r="K1901" s="98" t="s">
        <v>2059</v>
      </c>
      <c r="L1901" s="96"/>
      <c r="M1901" s="110" t="s">
        <v>5868</v>
      </c>
      <c r="N1901" s="117" t="s">
        <v>5869</v>
      </c>
      <c r="O1901" s="110" t="s">
        <v>388</v>
      </c>
      <c r="P1901" s="110" t="s">
        <v>590</v>
      </c>
      <c r="Q1901" s="118" t="n">
        <v>0.21</v>
      </c>
      <c r="R1901" s="110" t="n">
        <v>1</v>
      </c>
      <c r="S1901" s="110" t="s">
        <v>632</v>
      </c>
      <c r="T1901" s="110" t="s">
        <v>530</v>
      </c>
      <c r="U1901" s="110" t="s">
        <v>2913</v>
      </c>
      <c r="V1901" s="119" t="n">
        <v>98</v>
      </c>
      <c r="W1901" s="119"/>
      <c r="X1901" s="110" t="s">
        <v>2063</v>
      </c>
      <c r="Y1901" s="110" t="s">
        <v>2064</v>
      </c>
      <c r="Z1901" s="110" t="s">
        <v>2408</v>
      </c>
      <c r="AA1901" s="110" t="s">
        <v>537</v>
      </c>
      <c r="AB1901" s="110" t="s">
        <v>333</v>
      </c>
      <c r="AC1901" s="110" t="s">
        <v>538</v>
      </c>
      <c r="AD1901" s="110" t="n">
        <f aca="false">IF(OR(F1901="",Q1901="",R1901=""),"",ROUND(IF(P1901="incl.",F1901/(1+Q1901),F1901)/IF(S1901="per pack",R1901,1),2))</f>
        <v>98</v>
      </c>
      <c r="AE1901" s="110" t="str">
        <f aca="false">IF(AND(AC1901="yes",ISNUMBER(F1901),IF(Compare!$H$5="All mapped",TRUE(),IF(Compare!$H$5="EXACT only",J1901="EXACT",OR(J1901="EXACT",J1901="CLOSE")))),"yes","no")</f>
        <v>yes</v>
      </c>
      <c r="AF1901" s="110" t="n">
        <f aca="false">IF(ISNUMBER(H1901),COUNTIFS($B$7:$B$3000,B1901,$C$7:$C$3000,C1901,$H$7:$H$3000,"&lt;"&amp;H1901,$AH$7:$AH$3000,"yes")+COUNTIFS($B$7:B1901,B1901,$C$7:C1901,C1901,$H$7:H1901,H1901,$AH$7:AH1901,"yes"),"")</f>
        <v>2</v>
      </c>
      <c r="AG1901" s="110" t="n">
        <f aca="false">IF(ISNUMBER(I1901),COUNTIFS($B$7:$B$3000,B1901,$C$7:$C$3000,C1901,$I$7:$I$3000,"&lt;"&amp;I1901,$AI$7:$AI$3000,"yes")+COUNTIFS($B$7:B1901,B1901,$C$7:C1901,C1901,$I$7:I1901,I1901,$AI$7:AI1901,"yes"),"")</f>
        <v>2</v>
      </c>
      <c r="AH1901" s="110" t="str">
        <f aca="false">IF(ISNUMBER(H1901),"yes","no")</f>
        <v>yes</v>
      </c>
      <c r="AI1901" s="110" t="str">
        <f aca="false">IF(ISNUMBER(I1901),"yes","no")</f>
        <v>yes</v>
      </c>
      <c r="AJ1901" s="120" t="n">
        <v>46297</v>
      </c>
      <c r="AK1901" s="110"/>
    </row>
    <row r="1902" customFormat="false" ht="23.85" hidden="false" customHeight="false" outlineLevel="0" collapsed="false">
      <c r="B1902" s="36" t="s">
        <v>103</v>
      </c>
      <c r="C1902" s="98" t="s">
        <v>17</v>
      </c>
      <c r="D1902" s="98" t="s">
        <v>342</v>
      </c>
      <c r="E1902" s="110" t="s">
        <v>5870</v>
      </c>
      <c r="F1902" s="99" t="n">
        <v>66</v>
      </c>
      <c r="G1902" s="98" t="s">
        <v>333</v>
      </c>
      <c r="H1902" s="112" t="n">
        <f aca="false">IF(AND(AE1902="yes",ISNUMBER(AD1902)),AD1902,"")</f>
        <v>66</v>
      </c>
      <c r="I1902" s="95" t="n">
        <f aca="false">IF(AND(AE1902="yes",ISNUMBER(AD1902),ISNUMBER(INDEX(Sources!$G$7:$G$10,MATCH(AB1902,Sources!$B$7:$B$10,0)))),ROUND(AD1902/INDEX(Sources!$G$7:$G$10,MATCH(AB1902,Sources!$B$7:$B$10,0)),6),"")</f>
        <v>2.702303</v>
      </c>
      <c r="J1902" s="98" t="s">
        <v>530</v>
      </c>
      <c r="K1902" s="98" t="s">
        <v>2059</v>
      </c>
      <c r="L1902" s="96"/>
      <c r="M1902" s="110" t="s">
        <v>5871</v>
      </c>
      <c r="N1902" s="117" t="s">
        <v>5872</v>
      </c>
      <c r="O1902" s="110" t="s">
        <v>1138</v>
      </c>
      <c r="P1902" s="110" t="s">
        <v>590</v>
      </c>
      <c r="Q1902" s="118" t="n">
        <v>0.21</v>
      </c>
      <c r="R1902" s="110" t="n">
        <v>1</v>
      </c>
      <c r="S1902" s="110" t="s">
        <v>632</v>
      </c>
      <c r="T1902" s="110" t="s">
        <v>530</v>
      </c>
      <c r="U1902" s="110" t="s">
        <v>2913</v>
      </c>
      <c r="V1902" s="119" t="n">
        <v>66</v>
      </c>
      <c r="W1902" s="119"/>
      <c r="X1902" s="110" t="s">
        <v>2063</v>
      </c>
      <c r="Y1902" s="110" t="s">
        <v>2064</v>
      </c>
      <c r="Z1902" s="110" t="s">
        <v>2989</v>
      </c>
      <c r="AA1902" s="110" t="s">
        <v>537</v>
      </c>
      <c r="AB1902" s="110" t="s">
        <v>333</v>
      </c>
      <c r="AC1902" s="110" t="s">
        <v>538</v>
      </c>
      <c r="AD1902" s="110" t="n">
        <f aca="false">IF(OR(F1902="",Q1902="",R1902=""),"",ROUND(IF(P1902="incl.",F1902/(1+Q1902),F1902)/IF(S1902="per pack",R1902,1),2))</f>
        <v>66</v>
      </c>
      <c r="AE1902" s="110" t="str">
        <f aca="false">IF(AND(AC1902="yes",ISNUMBER(F1902),IF(Compare!$H$5="All mapped",TRUE(),IF(Compare!$H$5="EXACT only",J1902="EXACT",OR(J1902="EXACT",J1902="CLOSE")))),"yes","no")</f>
        <v>yes</v>
      </c>
      <c r="AF1902" s="110" t="n">
        <f aca="false">IF(ISNUMBER(H1902),COUNTIFS($B$7:$B$3000,B1902,$C$7:$C$3000,C1902,$H$7:$H$3000,"&lt;"&amp;H1902,$AH$7:$AH$3000,"yes")+COUNTIFS($B$7:B1902,B1902,$C$7:C1902,C1902,$H$7:H1902,H1902,$AH$7:AH1902,"yes"),"")</f>
        <v>1</v>
      </c>
      <c r="AG1902" s="110" t="n">
        <f aca="false">IF(ISNUMBER(I1902),COUNTIFS($B$7:$B$3000,B1902,$C$7:$C$3000,C1902,$I$7:$I$3000,"&lt;"&amp;I1902,$AI$7:$AI$3000,"yes")+COUNTIFS($B$7:B1902,B1902,$C$7:C1902,C1902,$I$7:I1902,I1902,$AI$7:AI1902,"yes"),"")</f>
        <v>1</v>
      </c>
      <c r="AH1902" s="110" t="str">
        <f aca="false">IF(ISNUMBER(H1902),"yes","no")</f>
        <v>yes</v>
      </c>
      <c r="AI1902" s="110" t="str">
        <f aca="false">IF(ISNUMBER(I1902),"yes","no")</f>
        <v>yes</v>
      </c>
      <c r="AJ1902" s="120" t="n">
        <v>46297</v>
      </c>
      <c r="AK1902" s="110"/>
    </row>
    <row r="1903" customFormat="false" ht="46.25" hidden="false" customHeight="false" outlineLevel="0" collapsed="false">
      <c r="B1903" s="36" t="s">
        <v>103</v>
      </c>
      <c r="C1903" s="98" t="s">
        <v>17</v>
      </c>
      <c r="D1903" s="98" t="s">
        <v>346</v>
      </c>
      <c r="E1903" s="110" t="s">
        <v>5873</v>
      </c>
      <c r="F1903" s="99" t="n">
        <v>125</v>
      </c>
      <c r="G1903" s="98" t="s">
        <v>333</v>
      </c>
      <c r="H1903" s="112" t="n">
        <f aca="false">IF(AND(AE1903="yes",ISNUMBER(AD1903)),AD1903,"")</f>
        <v>125</v>
      </c>
      <c r="I1903" s="95" t="n">
        <f aca="false">IF(AND(AE1903="yes",ISNUMBER(AD1903),ISNUMBER(INDEX(Sources!$G$7:$G$10,MATCH(AB1903,Sources!$B$7:$B$10,0)))),ROUND(AD1903/INDEX(Sources!$G$7:$G$10,MATCH(AB1903,Sources!$B$7:$B$10,0)),6),"")</f>
        <v>5.117997</v>
      </c>
      <c r="J1903" s="98" t="s">
        <v>702</v>
      </c>
      <c r="K1903" s="98" t="s">
        <v>2059</v>
      </c>
      <c r="L1903" s="96"/>
      <c r="M1903" s="110" t="s">
        <v>5874</v>
      </c>
      <c r="N1903" s="117" t="s">
        <v>5875</v>
      </c>
      <c r="O1903" s="110" t="s">
        <v>565</v>
      </c>
      <c r="P1903" s="110" t="s">
        <v>590</v>
      </c>
      <c r="Q1903" s="118" t="n">
        <v>0.21</v>
      </c>
      <c r="R1903" s="110" t="n">
        <v>1</v>
      </c>
      <c r="S1903" s="110" t="s">
        <v>632</v>
      </c>
      <c r="T1903" s="110" t="s">
        <v>702</v>
      </c>
      <c r="U1903" s="110" t="s">
        <v>2913</v>
      </c>
      <c r="V1903" s="119" t="n">
        <v>125</v>
      </c>
      <c r="W1903" s="119"/>
      <c r="X1903" s="110" t="s">
        <v>2063</v>
      </c>
      <c r="Y1903" s="110" t="s">
        <v>2064</v>
      </c>
      <c r="Z1903" s="110" t="s">
        <v>2993</v>
      </c>
      <c r="AA1903" s="110" t="s">
        <v>537</v>
      </c>
      <c r="AB1903" s="110" t="s">
        <v>333</v>
      </c>
      <c r="AC1903" s="110" t="s">
        <v>538</v>
      </c>
      <c r="AD1903" s="110" t="n">
        <f aca="false">IF(OR(F1903="",Q1903="",R1903=""),"",ROUND(IF(P1903="incl.",F1903/(1+Q1903),F1903)/IF(S1903="per pack",R1903,1),2))</f>
        <v>125</v>
      </c>
      <c r="AE1903" s="110" t="str">
        <f aca="false">IF(AND(AC1903="yes",ISNUMBER(F1903),IF(Compare!$H$5="All mapped",TRUE(),IF(Compare!$H$5="EXACT only",J1903="EXACT",OR(J1903="EXACT",J1903="CLOSE")))),"yes","no")</f>
        <v>yes</v>
      </c>
      <c r="AF1903" s="110" t="n">
        <f aca="false">IF(ISNUMBER(H1903),COUNTIFS($B$7:$B$3000,B1903,$C$7:$C$3000,C1903,$H$7:$H$3000,"&lt;"&amp;H1903,$AH$7:$AH$3000,"yes")+COUNTIFS($B$7:B1903,B1903,$C$7:C1903,C1903,$H$7:H1903,H1903,$AH$7:AH1903,"yes"),"")</f>
        <v>3</v>
      </c>
      <c r="AG1903" s="110" t="n">
        <f aca="false">IF(ISNUMBER(I1903),COUNTIFS($B$7:$B$3000,B1903,$C$7:$C$3000,C1903,$I$7:$I$3000,"&lt;"&amp;I1903,$AI$7:$AI$3000,"yes")+COUNTIFS($B$7:B1903,B1903,$C$7:C1903,C1903,$I$7:I1903,I1903,$AI$7:AI1903,"yes"),"")</f>
        <v>3</v>
      </c>
      <c r="AH1903" s="110" t="str">
        <f aca="false">IF(ISNUMBER(H1903),"yes","no")</f>
        <v>yes</v>
      </c>
      <c r="AI1903" s="110" t="str">
        <f aca="false">IF(ISNUMBER(I1903),"yes","no")</f>
        <v>yes</v>
      </c>
      <c r="AJ1903" s="120" t="n">
        <v>46297</v>
      </c>
      <c r="AK1903" s="110"/>
    </row>
    <row r="1904" customFormat="false" ht="35.05" hidden="false" customHeight="false" outlineLevel="0" collapsed="false">
      <c r="B1904" s="36" t="s">
        <v>103</v>
      </c>
      <c r="C1904" s="98" t="s">
        <v>17</v>
      </c>
      <c r="D1904" s="98" t="s">
        <v>357</v>
      </c>
      <c r="E1904" s="110" t="s">
        <v>5876</v>
      </c>
      <c r="F1904" s="99" t="n">
        <v>417.36</v>
      </c>
      <c r="G1904" s="98" t="s">
        <v>333</v>
      </c>
      <c r="H1904" s="112" t="n">
        <f aca="false">IF(AND(AE1904="yes",ISNUMBER(AD1904)),AD1904,"")</f>
        <v>417.36</v>
      </c>
      <c r="I1904" s="95" t="n">
        <f aca="false">IF(AND(AE1904="yes",ISNUMBER(AD1904),ISNUMBER(INDEX(Sources!$G$7:$G$10,MATCH(AB1904,Sources!$B$7:$B$10,0)))),ROUND(AD1904/INDEX(Sources!$G$7:$G$10,MATCH(AB1904,Sources!$B$7:$B$10,0)),6),"")</f>
        <v>17.088379</v>
      </c>
      <c r="J1904" s="98" t="s">
        <v>702</v>
      </c>
      <c r="K1904" s="98" t="s">
        <v>2059</v>
      </c>
      <c r="L1904" s="96"/>
      <c r="M1904" s="110" t="s">
        <v>5877</v>
      </c>
      <c r="N1904" s="117" t="s">
        <v>5878</v>
      </c>
      <c r="O1904" s="110" t="s">
        <v>5795</v>
      </c>
      <c r="P1904" s="110" t="s">
        <v>590</v>
      </c>
      <c r="Q1904" s="118" t="n">
        <v>0.21</v>
      </c>
      <c r="R1904" s="110" t="n">
        <v>1</v>
      </c>
      <c r="S1904" s="110" t="s">
        <v>632</v>
      </c>
      <c r="T1904" s="110" t="s">
        <v>702</v>
      </c>
      <c r="U1904" s="110" t="s">
        <v>2913</v>
      </c>
      <c r="V1904" s="119" t="n">
        <v>417.36</v>
      </c>
      <c r="W1904" s="119"/>
      <c r="X1904" s="110" t="s">
        <v>2063</v>
      </c>
      <c r="Y1904" s="110" t="s">
        <v>2064</v>
      </c>
      <c r="Z1904" s="110" t="s">
        <v>5796</v>
      </c>
      <c r="AA1904" s="110" t="s">
        <v>537</v>
      </c>
      <c r="AB1904" s="110" t="s">
        <v>333</v>
      </c>
      <c r="AC1904" s="110" t="s">
        <v>538</v>
      </c>
      <c r="AD1904" s="110" t="n">
        <f aca="false">IF(OR(F1904="",Q1904="",R1904=""),"",ROUND(IF(P1904="incl.",F1904/(1+Q1904),F1904)/IF(S1904="per pack",R1904,1),2))</f>
        <v>417.36</v>
      </c>
      <c r="AE1904" s="110" t="str">
        <f aca="false">IF(AND(AC1904="yes",ISNUMBER(F1904),IF(Compare!$H$5="All mapped",TRUE(),IF(Compare!$H$5="EXACT only",J1904="EXACT",OR(J1904="EXACT",J1904="CLOSE")))),"yes","no")</f>
        <v>yes</v>
      </c>
      <c r="AF1904" s="110" t="n">
        <f aca="false">IF(ISNUMBER(H1904),COUNTIFS($B$7:$B$3000,B1904,$C$7:$C$3000,C1904,$H$7:$H$3000,"&lt;"&amp;H1904,$AH$7:$AH$3000,"yes")+COUNTIFS($B$7:B1904,B1904,$C$7:C1904,C1904,$H$7:H1904,H1904,$AH$7:AH1904,"yes"),"")</f>
        <v>5</v>
      </c>
      <c r="AG1904" s="110" t="n">
        <f aca="false">IF(ISNUMBER(I1904),COUNTIFS($B$7:$B$3000,B1904,$C$7:$C$3000,C1904,$I$7:$I$3000,"&lt;"&amp;I1904,$AI$7:$AI$3000,"yes")+COUNTIFS($B$7:B1904,B1904,$C$7:C1904,C1904,$I$7:I1904,I1904,$AI$7:AI1904,"yes"),"")</f>
        <v>5</v>
      </c>
      <c r="AH1904" s="110" t="str">
        <f aca="false">IF(ISNUMBER(H1904),"yes","no")</f>
        <v>yes</v>
      </c>
      <c r="AI1904" s="110" t="str">
        <f aca="false">IF(ISNUMBER(I1904),"yes","no")</f>
        <v>yes</v>
      </c>
      <c r="AJ1904" s="120" t="n">
        <v>46297</v>
      </c>
      <c r="AK1904" s="110"/>
    </row>
    <row r="1905" customFormat="false" ht="35.05" hidden="false" customHeight="false" outlineLevel="0" collapsed="false">
      <c r="B1905" s="36" t="s">
        <v>103</v>
      </c>
      <c r="C1905" s="98" t="s">
        <v>17</v>
      </c>
      <c r="D1905" s="98" t="s">
        <v>361</v>
      </c>
      <c r="E1905" s="110" t="s">
        <v>5879</v>
      </c>
      <c r="F1905" s="99" t="n">
        <v>139</v>
      </c>
      <c r="G1905" s="98" t="s">
        <v>333</v>
      </c>
      <c r="H1905" s="112" t="n">
        <f aca="false">IF(AND(AE1905="yes",ISNUMBER(AD1905)),AD1905,"")</f>
        <v>139</v>
      </c>
      <c r="I1905" s="95" t="n">
        <f aca="false">IF(AND(AE1905="yes",ISNUMBER(AD1905),ISNUMBER(INDEX(Sources!$G$7:$G$10,MATCH(AB1905,Sources!$B$7:$B$10,0)))),ROUND(AD1905/INDEX(Sources!$G$7:$G$10,MATCH(AB1905,Sources!$B$7:$B$10,0)),6),"")</f>
        <v>5.691213</v>
      </c>
      <c r="J1905" s="98" t="s">
        <v>530</v>
      </c>
      <c r="K1905" s="98" t="s">
        <v>2059</v>
      </c>
      <c r="L1905" s="96"/>
      <c r="M1905" s="110" t="s">
        <v>5880</v>
      </c>
      <c r="N1905" s="117" t="s">
        <v>5881</v>
      </c>
      <c r="O1905" s="110" t="s">
        <v>642</v>
      </c>
      <c r="P1905" s="110" t="s">
        <v>590</v>
      </c>
      <c r="Q1905" s="118" t="n">
        <v>0.21</v>
      </c>
      <c r="R1905" s="110" t="n">
        <v>1</v>
      </c>
      <c r="S1905" s="110" t="s">
        <v>632</v>
      </c>
      <c r="T1905" s="110" t="s">
        <v>530</v>
      </c>
      <c r="U1905" s="110" t="s">
        <v>2913</v>
      </c>
      <c r="V1905" s="119" t="n">
        <v>139</v>
      </c>
      <c r="W1905" s="119"/>
      <c r="X1905" s="110" t="s">
        <v>2063</v>
      </c>
      <c r="Y1905" s="110" t="s">
        <v>2064</v>
      </c>
      <c r="Z1905" s="110" t="s">
        <v>2534</v>
      </c>
      <c r="AA1905" s="110" t="s">
        <v>537</v>
      </c>
      <c r="AB1905" s="110" t="s">
        <v>333</v>
      </c>
      <c r="AC1905" s="110" t="s">
        <v>538</v>
      </c>
      <c r="AD1905" s="110" t="n">
        <f aca="false">IF(OR(F1905="",Q1905="",R1905=""),"",ROUND(IF(P1905="incl.",F1905/(1+Q1905),F1905)/IF(S1905="per pack",R1905,1),2))</f>
        <v>139</v>
      </c>
      <c r="AE1905" s="110" t="str">
        <f aca="false">IF(AND(AC1905="yes",ISNUMBER(F1905),IF(Compare!$H$5="All mapped",TRUE(),IF(Compare!$H$5="EXACT only",J1905="EXACT",OR(J1905="EXACT",J1905="CLOSE")))),"yes","no")</f>
        <v>yes</v>
      </c>
      <c r="AF1905" s="110" t="n">
        <f aca="false">IF(ISNUMBER(H1905),COUNTIFS($B$7:$B$3000,B1905,$C$7:$C$3000,C1905,$H$7:$H$3000,"&lt;"&amp;H1905,$AH$7:$AH$3000,"yes")+COUNTIFS($B$7:B1905,B1905,$C$7:C1905,C1905,$H$7:H1905,H1905,$AH$7:AH1905,"yes"),"")</f>
        <v>4</v>
      </c>
      <c r="AG1905" s="110" t="n">
        <f aca="false">IF(ISNUMBER(I1905),COUNTIFS($B$7:$B$3000,B1905,$C$7:$C$3000,C1905,$I$7:$I$3000,"&lt;"&amp;I1905,$AI$7:$AI$3000,"yes")+COUNTIFS($B$7:B1905,B1905,$C$7:C1905,C1905,$I$7:I1905,I1905,$AI$7:AI1905,"yes"),"")</f>
        <v>4</v>
      </c>
      <c r="AH1905" s="110" t="str">
        <f aca="false">IF(ISNUMBER(H1905),"yes","no")</f>
        <v>yes</v>
      </c>
      <c r="AI1905" s="110" t="str">
        <f aca="false">IF(ISNUMBER(I1905),"yes","no")</f>
        <v>yes</v>
      </c>
      <c r="AJ1905" s="120" t="n">
        <v>46297</v>
      </c>
      <c r="AK1905" s="110"/>
    </row>
    <row r="1906" customFormat="false" ht="23.85" hidden="false" customHeight="false" outlineLevel="0" collapsed="false">
      <c r="B1906" s="36" t="s">
        <v>103</v>
      </c>
      <c r="C1906" s="98" t="s">
        <v>18</v>
      </c>
      <c r="D1906" s="98" t="s">
        <v>3002</v>
      </c>
      <c r="E1906" s="110" t="s">
        <v>5882</v>
      </c>
      <c r="F1906" s="99" t="n">
        <v>4.1</v>
      </c>
      <c r="G1906" s="98" t="s">
        <v>244</v>
      </c>
      <c r="H1906" s="112" t="n">
        <f aca="false">IF(AND(AE1906="yes",ISNUMBER(AD1906)),AD1906,"")</f>
        <v>4.1</v>
      </c>
      <c r="I1906" s="95" t="n">
        <f aca="false">IF(AND(AE1906="yes",ISNUMBER(AD1906),ISNUMBER(INDEX(Sources!$G$7:$G$10,MATCH(AB1906,Sources!$B$7:$B$10,0)))),ROUND(AD1906/INDEX(Sources!$G$7:$G$10,MATCH(AB1906,Sources!$B$7:$B$10,0)),6),"")</f>
        <v>4.1</v>
      </c>
      <c r="J1906" s="98" t="s">
        <v>530</v>
      </c>
      <c r="K1906" s="98" t="s">
        <v>2059</v>
      </c>
      <c r="L1906" s="96"/>
      <c r="M1906" s="110" t="s">
        <v>5883</v>
      </c>
      <c r="N1906" s="117" t="s">
        <v>4128</v>
      </c>
      <c r="O1906" s="110" t="s">
        <v>2396</v>
      </c>
      <c r="P1906" s="110" t="s">
        <v>590</v>
      </c>
      <c r="Q1906" s="118" t="n">
        <v>0.23</v>
      </c>
      <c r="R1906" s="110" t="n">
        <v>1</v>
      </c>
      <c r="S1906" s="110" t="s">
        <v>632</v>
      </c>
      <c r="T1906" s="110" t="s">
        <v>530</v>
      </c>
      <c r="U1906" s="110" t="s">
        <v>2913</v>
      </c>
      <c r="V1906" s="119" t="n">
        <v>4.1</v>
      </c>
      <c r="W1906" s="119"/>
      <c r="X1906" s="110" t="s">
        <v>2063</v>
      </c>
      <c r="Y1906" s="110" t="s">
        <v>2064</v>
      </c>
      <c r="Z1906" s="110" t="s">
        <v>3346</v>
      </c>
      <c r="AA1906" s="110" t="s">
        <v>537</v>
      </c>
      <c r="AB1906" s="110" t="s">
        <v>244</v>
      </c>
      <c r="AC1906" s="110" t="s">
        <v>538</v>
      </c>
      <c r="AD1906" s="110" t="n">
        <f aca="false">IF(OR(F1906="",Q1906="",R1906=""),"",ROUND(IF(P1906="incl.",F1906/(1+Q1906),F1906)/IF(S1906="per pack",R1906,1),2))</f>
        <v>4.1</v>
      </c>
      <c r="AE1906" s="110" t="str">
        <f aca="false">IF(AND(AC1906="yes",ISNUMBER(F1906),IF(Compare!$H$5="All mapped",TRUE(),IF(Compare!$H$5="EXACT only",J1906="EXACT",OR(J1906="EXACT",J1906="CLOSE")))),"yes","no")</f>
        <v>yes</v>
      </c>
      <c r="AF1906" s="110" t="n">
        <f aca="false">IF(ISNUMBER(H1906),COUNTIFS($B$7:$B$3000,B1906,$C$7:$C$3000,C1906,$H$7:$H$3000,"&lt;"&amp;H1906,$AH$7:$AH$3000,"yes")+COUNTIFS($B$7:B1906,B1906,$C$7:C1906,C1906,$H$7:H1906,H1906,$AH$7:AH1906,"yes"),"")</f>
        <v>3</v>
      </c>
      <c r="AG1906" s="110" t="n">
        <f aca="false">IF(ISNUMBER(I1906),COUNTIFS($B$7:$B$3000,B1906,$C$7:$C$3000,C1906,$I$7:$I$3000,"&lt;"&amp;I1906,$AI$7:$AI$3000,"yes")+COUNTIFS($B$7:B1906,B1906,$C$7:C1906,C1906,$I$7:I1906,I1906,$AI$7:AI1906,"yes"),"")</f>
        <v>3</v>
      </c>
      <c r="AH1906" s="110" t="str">
        <f aca="false">IF(ISNUMBER(H1906),"yes","no")</f>
        <v>yes</v>
      </c>
      <c r="AI1906" s="110" t="str">
        <f aca="false">IF(ISNUMBER(I1906),"yes","no")</f>
        <v>yes</v>
      </c>
      <c r="AJ1906" s="120" t="n">
        <v>46297</v>
      </c>
      <c r="AK1906" s="110"/>
    </row>
    <row r="1907" customFormat="false" ht="35.05" hidden="false" customHeight="false" outlineLevel="0" collapsed="false">
      <c r="B1907" s="36" t="s">
        <v>103</v>
      </c>
      <c r="C1907" s="98" t="s">
        <v>18</v>
      </c>
      <c r="D1907" s="98" t="s">
        <v>3007</v>
      </c>
      <c r="E1907" s="110" t="s">
        <v>5884</v>
      </c>
      <c r="F1907" s="99" t="n">
        <v>4.71</v>
      </c>
      <c r="G1907" s="98" t="s">
        <v>244</v>
      </c>
      <c r="H1907" s="112" t="n">
        <f aca="false">IF(AND(AE1907="yes",ISNUMBER(AD1907)),AD1907,"")</f>
        <v>4.71</v>
      </c>
      <c r="I1907" s="95" t="n">
        <f aca="false">IF(AND(AE1907="yes",ISNUMBER(AD1907),ISNUMBER(INDEX(Sources!$G$7:$G$10,MATCH(AB1907,Sources!$B$7:$B$10,0)))),ROUND(AD1907/INDEX(Sources!$G$7:$G$10,MATCH(AB1907,Sources!$B$7:$B$10,0)),6),"")</f>
        <v>4.71</v>
      </c>
      <c r="J1907" s="98" t="s">
        <v>530</v>
      </c>
      <c r="K1907" s="98" t="s">
        <v>2059</v>
      </c>
      <c r="L1907" s="96"/>
      <c r="M1907" s="110" t="s">
        <v>5885</v>
      </c>
      <c r="N1907" s="117" t="s">
        <v>3010</v>
      </c>
      <c r="O1907" s="110" t="s">
        <v>1061</v>
      </c>
      <c r="P1907" s="110" t="s">
        <v>590</v>
      </c>
      <c r="Q1907" s="118" t="n">
        <v>0.23</v>
      </c>
      <c r="R1907" s="110" t="n">
        <v>1</v>
      </c>
      <c r="S1907" s="110" t="s">
        <v>632</v>
      </c>
      <c r="T1907" s="110" t="s">
        <v>530</v>
      </c>
      <c r="U1907" s="110" t="s">
        <v>2913</v>
      </c>
      <c r="V1907" s="119" t="n">
        <v>4.71</v>
      </c>
      <c r="W1907" s="119"/>
      <c r="X1907" s="110" t="s">
        <v>2063</v>
      </c>
      <c r="Y1907" s="110" t="s">
        <v>2064</v>
      </c>
      <c r="Z1907" s="110" t="s">
        <v>3012</v>
      </c>
      <c r="AA1907" s="110" t="s">
        <v>537</v>
      </c>
      <c r="AB1907" s="110" t="s">
        <v>244</v>
      </c>
      <c r="AC1907" s="110" t="s">
        <v>538</v>
      </c>
      <c r="AD1907" s="110" t="n">
        <f aca="false">IF(OR(F1907="",Q1907="",R1907=""),"",ROUND(IF(P1907="incl.",F1907/(1+Q1907),F1907)/IF(S1907="per pack",R1907,1),2))</f>
        <v>4.71</v>
      </c>
      <c r="AE1907" s="110" t="str">
        <f aca="false">IF(AND(AC1907="yes",ISNUMBER(F1907),IF(Compare!$H$5="All mapped",TRUE(),IF(Compare!$H$5="EXACT only",J1907="EXACT",OR(J1907="EXACT",J1907="CLOSE")))),"yes","no")</f>
        <v>yes</v>
      </c>
      <c r="AF1907" s="110" t="n">
        <f aca="false">IF(ISNUMBER(H1907),COUNTIFS($B$7:$B$3000,B1907,$C$7:$C$3000,C1907,$H$7:$H$3000,"&lt;"&amp;H1907,$AH$7:$AH$3000,"yes")+COUNTIFS($B$7:B1907,B1907,$C$7:C1907,C1907,$H$7:H1907,H1907,$AH$7:AH1907,"yes"),"")</f>
        <v>4</v>
      </c>
      <c r="AG1907" s="110" t="n">
        <f aca="false">IF(ISNUMBER(I1907),COUNTIFS($B$7:$B$3000,B1907,$C$7:$C$3000,C1907,$I$7:$I$3000,"&lt;"&amp;I1907,$AI$7:$AI$3000,"yes")+COUNTIFS($B$7:B1907,B1907,$C$7:C1907,C1907,$I$7:I1907,I1907,$AI$7:AI1907,"yes"),"")</f>
        <v>4</v>
      </c>
      <c r="AH1907" s="110" t="str">
        <f aca="false">IF(ISNUMBER(H1907),"yes","no")</f>
        <v>yes</v>
      </c>
      <c r="AI1907" s="110" t="str">
        <f aca="false">IF(ISNUMBER(I1907),"yes","no")</f>
        <v>yes</v>
      </c>
      <c r="AJ1907" s="120" t="n">
        <v>46297</v>
      </c>
      <c r="AK1907" s="110"/>
    </row>
    <row r="1908" customFormat="false" ht="35.05" hidden="false" customHeight="false" outlineLevel="0" collapsed="false">
      <c r="B1908" s="36" t="s">
        <v>103</v>
      </c>
      <c r="C1908" s="98" t="s">
        <v>18</v>
      </c>
      <c r="D1908" s="98" t="s">
        <v>365</v>
      </c>
      <c r="E1908" s="110" t="s">
        <v>5886</v>
      </c>
      <c r="F1908" s="99" t="n">
        <v>2.99</v>
      </c>
      <c r="G1908" s="98" t="s">
        <v>244</v>
      </c>
      <c r="H1908" s="112" t="n">
        <f aca="false">IF(AND(AE1908="yes",ISNUMBER(AD1908)),AD1908,"")</f>
        <v>2.43</v>
      </c>
      <c r="I1908" s="95" t="n">
        <f aca="false">IF(AND(AE1908="yes",ISNUMBER(AD1908),ISNUMBER(INDEX(Sources!$G$7:$G$10,MATCH(AB1908,Sources!$B$7:$B$10,0)))),ROUND(AD1908/INDEX(Sources!$G$7:$G$10,MATCH(AB1908,Sources!$B$7:$B$10,0)),6),"")</f>
        <v>2.43</v>
      </c>
      <c r="J1908" s="98" t="s">
        <v>530</v>
      </c>
      <c r="K1908" s="98" t="s">
        <v>2059</v>
      </c>
      <c r="L1908" s="96"/>
      <c r="M1908" s="110" t="s">
        <v>5887</v>
      </c>
      <c r="N1908" s="117" t="s">
        <v>5888</v>
      </c>
      <c r="O1908" s="110" t="s">
        <v>3076</v>
      </c>
      <c r="P1908" s="110" t="s">
        <v>265</v>
      </c>
      <c r="Q1908" s="118" t="n">
        <v>0.23</v>
      </c>
      <c r="R1908" s="110" t="n">
        <v>1</v>
      </c>
      <c r="S1908" s="110" t="s">
        <v>632</v>
      </c>
      <c r="T1908" s="110" t="s">
        <v>530</v>
      </c>
      <c r="U1908" s="110" t="s">
        <v>2918</v>
      </c>
      <c r="V1908" s="119" t="n">
        <v>2.43</v>
      </c>
      <c r="W1908" s="119"/>
      <c r="X1908" s="110" t="s">
        <v>2063</v>
      </c>
      <c r="Y1908" s="110" t="s">
        <v>2064</v>
      </c>
      <c r="Z1908" s="110" t="s">
        <v>3016</v>
      </c>
      <c r="AA1908" s="110" t="s">
        <v>537</v>
      </c>
      <c r="AB1908" s="110" t="s">
        <v>244</v>
      </c>
      <c r="AC1908" s="110" t="s">
        <v>538</v>
      </c>
      <c r="AD1908" s="110" t="n">
        <f aca="false">IF(OR(F1908="",Q1908="",R1908=""),"",ROUND(IF(P1908="incl.",F1908/(1+Q1908),F1908)/IF(S1908="per pack",R1908,1),2))</f>
        <v>2.43</v>
      </c>
      <c r="AE1908" s="110" t="str">
        <f aca="false">IF(AND(AC1908="yes",ISNUMBER(F1908),IF(Compare!$H$5="All mapped",TRUE(),IF(Compare!$H$5="EXACT only",J1908="EXACT",OR(J1908="EXACT",J1908="CLOSE")))),"yes","no")</f>
        <v>yes</v>
      </c>
      <c r="AF1908" s="110" t="n">
        <f aca="false">IF(ISNUMBER(H1908),COUNTIFS($B$7:$B$3000,B1908,$C$7:$C$3000,C1908,$H$7:$H$3000,"&lt;"&amp;H1908,$AH$7:$AH$3000,"yes")+COUNTIFS($B$7:B1908,B1908,$C$7:C1908,C1908,$H$7:H1908,H1908,$AH$7:AH1908,"yes"),"")</f>
        <v>1</v>
      </c>
      <c r="AG1908" s="110" t="n">
        <f aca="false">IF(ISNUMBER(I1908),COUNTIFS($B$7:$B$3000,B1908,$C$7:$C$3000,C1908,$I$7:$I$3000,"&lt;"&amp;I1908,$AI$7:$AI$3000,"yes")+COUNTIFS($B$7:B1908,B1908,$C$7:C1908,C1908,$I$7:I1908,I1908,$AI$7:AI1908,"yes"),"")</f>
        <v>1</v>
      </c>
      <c r="AH1908" s="110" t="str">
        <f aca="false">IF(ISNUMBER(H1908),"yes","no")</f>
        <v>yes</v>
      </c>
      <c r="AI1908" s="110" t="str">
        <f aca="false">IF(ISNUMBER(I1908),"yes","no")</f>
        <v>yes</v>
      </c>
      <c r="AJ1908" s="120" t="n">
        <v>46297</v>
      </c>
      <c r="AK1908" s="110"/>
    </row>
    <row r="1909" customFormat="false" ht="35.05" hidden="false" customHeight="false" outlineLevel="0" collapsed="false">
      <c r="B1909" s="36" t="s">
        <v>103</v>
      </c>
      <c r="C1909" s="98" t="s">
        <v>18</v>
      </c>
      <c r="D1909" s="98" t="s">
        <v>369</v>
      </c>
      <c r="E1909" s="110" t="s">
        <v>5889</v>
      </c>
      <c r="F1909" s="99" t="n">
        <v>6.69</v>
      </c>
      <c r="G1909" s="98" t="s">
        <v>244</v>
      </c>
      <c r="H1909" s="112" t="n">
        <f aca="false">IF(AND(AE1909="yes",ISNUMBER(AD1909)),AD1909,"")</f>
        <v>5.44</v>
      </c>
      <c r="I1909" s="95" t="n">
        <f aca="false">IF(AND(AE1909="yes",ISNUMBER(AD1909),ISNUMBER(INDEX(Sources!$G$7:$G$10,MATCH(AB1909,Sources!$B$7:$B$10,0)))),ROUND(AD1909/INDEX(Sources!$G$7:$G$10,MATCH(AB1909,Sources!$B$7:$B$10,0)),6),"")</f>
        <v>5.44</v>
      </c>
      <c r="J1909" s="98" t="s">
        <v>530</v>
      </c>
      <c r="K1909" s="98" t="s">
        <v>2059</v>
      </c>
      <c r="L1909" s="96"/>
      <c r="M1909" s="110" t="s">
        <v>5890</v>
      </c>
      <c r="N1909" s="117" t="s">
        <v>5891</v>
      </c>
      <c r="O1909" s="110" t="s">
        <v>662</v>
      </c>
      <c r="P1909" s="110" t="s">
        <v>265</v>
      </c>
      <c r="Q1909" s="118" t="n">
        <v>0.23</v>
      </c>
      <c r="R1909" s="110" t="n">
        <v>1</v>
      </c>
      <c r="S1909" s="110" t="s">
        <v>632</v>
      </c>
      <c r="T1909" s="110" t="s">
        <v>530</v>
      </c>
      <c r="U1909" s="110" t="s">
        <v>2918</v>
      </c>
      <c r="V1909" s="119" t="n">
        <v>5.44</v>
      </c>
      <c r="W1909" s="119"/>
      <c r="X1909" s="110" t="s">
        <v>2063</v>
      </c>
      <c r="Y1909" s="110" t="s">
        <v>2064</v>
      </c>
      <c r="Z1909" s="110" t="s">
        <v>5892</v>
      </c>
      <c r="AA1909" s="110" t="s">
        <v>537</v>
      </c>
      <c r="AB1909" s="110" t="s">
        <v>244</v>
      </c>
      <c r="AC1909" s="110" t="s">
        <v>538</v>
      </c>
      <c r="AD1909" s="110" t="n">
        <f aca="false">IF(OR(F1909="",Q1909="",R1909=""),"",ROUND(IF(P1909="incl.",F1909/(1+Q1909),F1909)/IF(S1909="per pack",R1909,1),2))</f>
        <v>5.44</v>
      </c>
      <c r="AE1909" s="110" t="str">
        <f aca="false">IF(AND(AC1909="yes",ISNUMBER(F1909),IF(Compare!$H$5="All mapped",TRUE(),IF(Compare!$H$5="EXACT only",J1909="EXACT",OR(J1909="EXACT",J1909="CLOSE")))),"yes","no")</f>
        <v>yes</v>
      </c>
      <c r="AF1909" s="110" t="n">
        <f aca="false">IF(ISNUMBER(H1909),COUNTIFS($B$7:$B$3000,B1909,$C$7:$C$3000,C1909,$H$7:$H$3000,"&lt;"&amp;H1909,$AH$7:$AH$3000,"yes")+COUNTIFS($B$7:B1909,B1909,$C$7:C1909,C1909,$H$7:H1909,H1909,$AH$7:AH1909,"yes"),"")</f>
        <v>5</v>
      </c>
      <c r="AG1909" s="110" t="n">
        <f aca="false">IF(ISNUMBER(I1909),COUNTIFS($B$7:$B$3000,B1909,$C$7:$C$3000,C1909,$I$7:$I$3000,"&lt;"&amp;I1909,$AI$7:$AI$3000,"yes")+COUNTIFS($B$7:B1909,B1909,$C$7:C1909,C1909,$I$7:I1909,I1909,$AI$7:AI1909,"yes"),"")</f>
        <v>5</v>
      </c>
      <c r="AH1909" s="110" t="str">
        <f aca="false">IF(ISNUMBER(H1909),"yes","no")</f>
        <v>yes</v>
      </c>
      <c r="AI1909" s="110" t="str">
        <f aca="false">IF(ISNUMBER(I1909),"yes","no")</f>
        <v>yes</v>
      </c>
      <c r="AJ1909" s="120" t="n">
        <v>46297</v>
      </c>
      <c r="AK1909" s="110"/>
    </row>
    <row r="1910" customFormat="false" ht="23.85" hidden="false" customHeight="false" outlineLevel="0" collapsed="false">
      <c r="B1910" s="36" t="s">
        <v>103</v>
      </c>
      <c r="C1910" s="98" t="s">
        <v>18</v>
      </c>
      <c r="D1910" s="98" t="s">
        <v>3021</v>
      </c>
      <c r="E1910" s="110" t="s">
        <v>5893</v>
      </c>
      <c r="F1910" s="99" t="n">
        <v>2.73</v>
      </c>
      <c r="G1910" s="98" t="s">
        <v>244</v>
      </c>
      <c r="H1910" s="112" t="n">
        <f aca="false">IF(AND(AE1910="yes",ISNUMBER(AD1910)),AD1910,"")</f>
        <v>2.73</v>
      </c>
      <c r="I1910" s="95" t="n">
        <f aca="false">IF(AND(AE1910="yes",ISNUMBER(AD1910),ISNUMBER(INDEX(Sources!$G$7:$G$10,MATCH(AB1910,Sources!$B$7:$B$10,0)))),ROUND(AD1910/INDEX(Sources!$G$7:$G$10,MATCH(AB1910,Sources!$B$7:$B$10,0)),6),"")</f>
        <v>2.73</v>
      </c>
      <c r="J1910" s="98" t="s">
        <v>530</v>
      </c>
      <c r="K1910" s="98" t="s">
        <v>2059</v>
      </c>
      <c r="L1910" s="96"/>
      <c r="M1910" s="110" t="s">
        <v>5894</v>
      </c>
      <c r="N1910" s="117" t="s">
        <v>3023</v>
      </c>
      <c r="O1910" s="110" t="s">
        <v>2396</v>
      </c>
      <c r="P1910" s="110" t="s">
        <v>590</v>
      </c>
      <c r="Q1910" s="118" t="n">
        <v>0.23</v>
      </c>
      <c r="R1910" s="110" t="n">
        <v>1</v>
      </c>
      <c r="S1910" s="110" t="s">
        <v>632</v>
      </c>
      <c r="T1910" s="110" t="s">
        <v>530</v>
      </c>
      <c r="U1910" s="110" t="s">
        <v>2913</v>
      </c>
      <c r="V1910" s="119" t="n">
        <v>2.73</v>
      </c>
      <c r="W1910" s="119"/>
      <c r="X1910" s="110" t="s">
        <v>2063</v>
      </c>
      <c r="Y1910" s="110" t="s">
        <v>2064</v>
      </c>
      <c r="Z1910" s="110" t="s">
        <v>3900</v>
      </c>
      <c r="AA1910" s="110" t="s">
        <v>537</v>
      </c>
      <c r="AB1910" s="110" t="s">
        <v>244</v>
      </c>
      <c r="AC1910" s="110" t="s">
        <v>538</v>
      </c>
      <c r="AD1910" s="110" t="n">
        <f aca="false">IF(OR(F1910="",Q1910="",R1910=""),"",ROUND(IF(P1910="incl.",F1910/(1+Q1910),F1910)/IF(S1910="per pack",R1910,1),2))</f>
        <v>2.73</v>
      </c>
      <c r="AE1910" s="110" t="str">
        <f aca="false">IF(AND(AC1910="yes",ISNUMBER(F1910),IF(Compare!$H$5="All mapped",TRUE(),IF(Compare!$H$5="EXACT only",J1910="EXACT",OR(J1910="EXACT",J1910="CLOSE")))),"yes","no")</f>
        <v>yes</v>
      </c>
      <c r="AF1910" s="110" t="n">
        <f aca="false">IF(ISNUMBER(H1910),COUNTIFS($B$7:$B$3000,B1910,$C$7:$C$3000,C1910,$H$7:$H$3000,"&lt;"&amp;H1910,$AH$7:$AH$3000,"yes")+COUNTIFS($B$7:B1910,B1910,$C$7:C1910,C1910,$H$7:H1910,H1910,$AH$7:AH1910,"yes"),"")</f>
        <v>2</v>
      </c>
      <c r="AG1910" s="110" t="n">
        <f aca="false">IF(ISNUMBER(I1910),COUNTIFS($B$7:$B$3000,B1910,$C$7:$C$3000,C1910,$I$7:$I$3000,"&lt;"&amp;I1910,$AI$7:$AI$3000,"yes")+COUNTIFS($B$7:B1910,B1910,$C$7:C1910,C1910,$I$7:I1910,I1910,$AI$7:AI1910,"yes"),"")</f>
        <v>2</v>
      </c>
      <c r="AH1910" s="110" t="str">
        <f aca="false">IF(ISNUMBER(H1910),"yes","no")</f>
        <v>yes</v>
      </c>
      <c r="AI1910" s="110" t="str">
        <f aca="false">IF(ISNUMBER(I1910),"yes","no")</f>
        <v>yes</v>
      </c>
      <c r="AJ1910" s="120" t="n">
        <v>46297</v>
      </c>
      <c r="AK1910" s="110"/>
    </row>
    <row r="1911" customFormat="false" ht="23.85" hidden="false" customHeight="false" outlineLevel="0" collapsed="false">
      <c r="B1911" s="36" t="s">
        <v>104</v>
      </c>
      <c r="C1911" s="98" t="s">
        <v>14</v>
      </c>
      <c r="D1911" s="98" t="s">
        <v>373</v>
      </c>
      <c r="E1911" s="110" t="s">
        <v>5895</v>
      </c>
      <c r="F1911" s="99" t="n">
        <v>14.84</v>
      </c>
      <c r="G1911" s="98" t="s">
        <v>374</v>
      </c>
      <c r="H1911" s="112" t="n">
        <f aca="false">IF(AND(AE1911="yes",ISNUMBER(AD1911)),AD1911,"")</f>
        <v>14.84</v>
      </c>
      <c r="I1911" s="95" t="n">
        <f aca="false">IF(AND(AE1911="yes",ISNUMBER(AD1911),ISNUMBER(INDEX(Sources!$G$7:$G$10,MATCH(AB1911,Sources!$B$7:$B$10,0)))),ROUND(AD1911/INDEX(Sources!$G$7:$G$10,MATCH(AB1911,Sources!$B$7:$B$10,0)),6),"")</f>
        <v>2.811862</v>
      </c>
      <c r="J1911" s="98" t="s">
        <v>530</v>
      </c>
      <c r="K1911" s="98" t="s">
        <v>2059</v>
      </c>
      <c r="L1911" s="96"/>
      <c r="M1911" s="110" t="s">
        <v>5896</v>
      </c>
      <c r="N1911" s="117" t="s">
        <v>5897</v>
      </c>
      <c r="O1911" s="110"/>
      <c r="P1911" s="110" t="s">
        <v>590</v>
      </c>
      <c r="Q1911" s="118" t="n">
        <v>0.21</v>
      </c>
      <c r="R1911" s="110" t="n">
        <v>1</v>
      </c>
      <c r="S1911" s="110" t="s">
        <v>632</v>
      </c>
      <c r="T1911" s="110" t="s">
        <v>530</v>
      </c>
      <c r="U1911" s="110" t="s">
        <v>2913</v>
      </c>
      <c r="V1911" s="119" t="n">
        <v>14.84</v>
      </c>
      <c r="W1911" s="119"/>
      <c r="X1911" s="110" t="s">
        <v>2063</v>
      </c>
      <c r="Y1911" s="110" t="s">
        <v>2064</v>
      </c>
      <c r="Z1911" s="110"/>
      <c r="AA1911" s="110" t="s">
        <v>537</v>
      </c>
      <c r="AB1911" s="110" t="s">
        <v>374</v>
      </c>
      <c r="AC1911" s="110" t="s">
        <v>538</v>
      </c>
      <c r="AD1911" s="110" t="n">
        <f aca="false">IF(OR(F1911="",Q1911="",R1911=""),"",ROUND(IF(P1911="incl.",F1911/(1+Q1911),F1911)/IF(S1911="per pack",R1911,1),2))</f>
        <v>14.84</v>
      </c>
      <c r="AE1911" s="110" t="str">
        <f aca="false">IF(AND(AC1911="yes",ISNUMBER(F1911),IF(Compare!$H$5="All mapped",TRUE(),IF(Compare!$H$5="EXACT only",J1911="EXACT",OR(J1911="EXACT",J1911="CLOSE")))),"yes","no")</f>
        <v>yes</v>
      </c>
      <c r="AF1911" s="110" t="n">
        <f aca="false">IF(ISNUMBER(H1911),COUNTIFS($B$7:$B$3000,B1911,$C$7:$C$3000,C1911,$H$7:$H$3000,"&lt;"&amp;H1911,$AH$7:$AH$3000,"yes")+COUNTIFS($B$7:B1911,B1911,$C$7:C1911,C1911,$H$7:H1911,H1911,$AH$7:AH1911,"yes"),"")</f>
        <v>3</v>
      </c>
      <c r="AG1911" s="110" t="n">
        <f aca="false">IF(ISNUMBER(I1911),COUNTIFS($B$7:$B$3000,B1911,$C$7:$C$3000,C1911,$I$7:$I$3000,"&lt;"&amp;I1911,$AI$7:$AI$3000,"yes")+COUNTIFS($B$7:B1911,B1911,$C$7:C1911,C1911,$I$7:I1911,I1911,$AI$7:AI1911,"yes"),"")</f>
        <v>3</v>
      </c>
      <c r="AH1911" s="110" t="str">
        <f aca="false">IF(ISNUMBER(H1911),"yes","no")</f>
        <v>yes</v>
      </c>
      <c r="AI1911" s="110" t="str">
        <f aca="false">IF(ISNUMBER(I1911),"yes","no")</f>
        <v>yes</v>
      </c>
      <c r="AJ1911" s="120" t="n">
        <v>46297</v>
      </c>
      <c r="AK1911" s="110"/>
    </row>
    <row r="1912" customFormat="false" ht="23.85" hidden="false" customHeight="false" outlineLevel="0" collapsed="false">
      <c r="B1912" s="36" t="s">
        <v>104</v>
      </c>
      <c r="C1912" s="98" t="s">
        <v>14</v>
      </c>
      <c r="D1912" s="98" t="s">
        <v>378</v>
      </c>
      <c r="E1912" s="110" t="s">
        <v>5898</v>
      </c>
      <c r="F1912" s="99" t="n">
        <v>19.2</v>
      </c>
      <c r="G1912" s="98" t="s">
        <v>374</v>
      </c>
      <c r="H1912" s="112" t="n">
        <f aca="false">IF(AND(AE1912="yes",ISNUMBER(AD1912)),AD1912,"")</f>
        <v>15.87</v>
      </c>
      <c r="I1912" s="95" t="n">
        <f aca="false">IF(AND(AE1912="yes",ISNUMBER(AD1912),ISNUMBER(INDEX(Sources!$G$7:$G$10,MATCH(AB1912,Sources!$B$7:$B$10,0)))),ROUND(AD1912/INDEX(Sources!$G$7:$G$10,MATCH(AB1912,Sources!$B$7:$B$10,0)),6),"")</f>
        <v>3.007025</v>
      </c>
      <c r="J1912" s="98" t="s">
        <v>530</v>
      </c>
      <c r="K1912" s="98" t="s">
        <v>2059</v>
      </c>
      <c r="L1912" s="96"/>
      <c r="M1912" s="110" t="s">
        <v>5899</v>
      </c>
      <c r="N1912" s="117" t="s">
        <v>5900</v>
      </c>
      <c r="O1912" s="110" t="s">
        <v>2917</v>
      </c>
      <c r="P1912" s="110" t="s">
        <v>265</v>
      </c>
      <c r="Q1912" s="118" t="n">
        <v>0.21</v>
      </c>
      <c r="R1912" s="110" t="n">
        <v>1</v>
      </c>
      <c r="S1912" s="110" t="s">
        <v>632</v>
      </c>
      <c r="T1912" s="110" t="s">
        <v>530</v>
      </c>
      <c r="U1912" s="110" t="s">
        <v>2918</v>
      </c>
      <c r="V1912" s="119" t="n">
        <v>15.87</v>
      </c>
      <c r="W1912" s="119"/>
      <c r="X1912" s="110" t="s">
        <v>2063</v>
      </c>
      <c r="Y1912" s="110" t="s">
        <v>2064</v>
      </c>
      <c r="Z1912" s="110"/>
      <c r="AA1912" s="110" t="s">
        <v>537</v>
      </c>
      <c r="AB1912" s="110" t="s">
        <v>374</v>
      </c>
      <c r="AC1912" s="110" t="s">
        <v>538</v>
      </c>
      <c r="AD1912" s="110" t="n">
        <f aca="false">IF(OR(F1912="",Q1912="",R1912=""),"",ROUND(IF(P1912="incl.",F1912/(1+Q1912),F1912)/IF(S1912="per pack",R1912,1),2))</f>
        <v>15.87</v>
      </c>
      <c r="AE1912" s="110" t="str">
        <f aca="false">IF(AND(AC1912="yes",ISNUMBER(F1912),IF(Compare!$H$5="All mapped",TRUE(),IF(Compare!$H$5="EXACT only",J1912="EXACT",OR(J1912="EXACT",J1912="CLOSE")))),"yes","no")</f>
        <v>yes</v>
      </c>
      <c r="AF1912" s="110" t="n">
        <f aca="false">IF(ISNUMBER(H1912),COUNTIFS($B$7:$B$3000,B1912,$C$7:$C$3000,C1912,$H$7:$H$3000,"&lt;"&amp;H1912,$AH$7:$AH$3000,"yes")+COUNTIFS($B$7:B1912,B1912,$C$7:C1912,C1912,$H$7:H1912,H1912,$AH$7:AH1912,"yes"),"")</f>
        <v>4</v>
      </c>
      <c r="AG1912" s="110" t="n">
        <f aca="false">IF(ISNUMBER(I1912),COUNTIFS($B$7:$B$3000,B1912,$C$7:$C$3000,C1912,$I$7:$I$3000,"&lt;"&amp;I1912,$AI$7:$AI$3000,"yes")+COUNTIFS($B$7:B1912,B1912,$C$7:C1912,C1912,$I$7:I1912,I1912,$AI$7:AI1912,"yes"),"")</f>
        <v>4</v>
      </c>
      <c r="AH1912" s="110" t="str">
        <f aca="false">IF(ISNUMBER(H1912),"yes","no")</f>
        <v>yes</v>
      </c>
      <c r="AI1912" s="110" t="str">
        <f aca="false">IF(ISNUMBER(I1912),"yes","no")</f>
        <v>yes</v>
      </c>
      <c r="AJ1912" s="120" t="n">
        <v>46297</v>
      </c>
      <c r="AK1912" s="110"/>
    </row>
    <row r="1913" customFormat="false" ht="35.05" hidden="false" customHeight="false" outlineLevel="0" collapsed="false">
      <c r="B1913" s="36" t="s">
        <v>104</v>
      </c>
      <c r="C1913" s="98" t="s">
        <v>14</v>
      </c>
      <c r="D1913" s="98" t="s">
        <v>346</v>
      </c>
      <c r="E1913" s="110" t="s">
        <v>5901</v>
      </c>
      <c r="F1913" s="99" t="n">
        <v>24.75</v>
      </c>
      <c r="G1913" s="98" t="s">
        <v>374</v>
      </c>
      <c r="H1913" s="112" t="n">
        <f aca="false">IF(AND(AE1913="yes",ISNUMBER(AD1913)),AD1913,"")</f>
        <v>20.45</v>
      </c>
      <c r="I1913" s="95" t="n">
        <f aca="false">IF(AND(AE1913="yes",ISNUMBER(AD1913),ISNUMBER(INDEX(Sources!$G$7:$G$10,MATCH(AB1913,Sources!$B$7:$B$10,0)))),ROUND(AD1913/INDEX(Sources!$G$7:$G$10,MATCH(AB1913,Sources!$B$7:$B$10,0)),6),"")</f>
        <v>3.874837</v>
      </c>
      <c r="J1913" s="98" t="s">
        <v>530</v>
      </c>
      <c r="K1913" s="98" t="s">
        <v>2059</v>
      </c>
      <c r="L1913" s="96"/>
      <c r="M1913" s="110" t="s">
        <v>5902</v>
      </c>
      <c r="N1913" s="117" t="s">
        <v>5903</v>
      </c>
      <c r="O1913" s="110" t="s">
        <v>565</v>
      </c>
      <c r="P1913" s="110" t="s">
        <v>265</v>
      </c>
      <c r="Q1913" s="118" t="n">
        <v>0.21</v>
      </c>
      <c r="R1913" s="110" t="n">
        <v>1</v>
      </c>
      <c r="S1913" s="110" t="s">
        <v>632</v>
      </c>
      <c r="T1913" s="110" t="s">
        <v>530</v>
      </c>
      <c r="U1913" s="110" t="s">
        <v>2918</v>
      </c>
      <c r="V1913" s="119" t="n">
        <v>20.45</v>
      </c>
      <c r="W1913" s="119"/>
      <c r="X1913" s="110" t="s">
        <v>2063</v>
      </c>
      <c r="Y1913" s="110" t="s">
        <v>2064</v>
      </c>
      <c r="Z1913" s="110"/>
      <c r="AA1913" s="110" t="s">
        <v>537</v>
      </c>
      <c r="AB1913" s="110" t="s">
        <v>374</v>
      </c>
      <c r="AC1913" s="110" t="s">
        <v>538</v>
      </c>
      <c r="AD1913" s="110" t="n">
        <f aca="false">IF(OR(F1913="",Q1913="",R1913=""),"",ROUND(IF(P1913="incl.",F1913/(1+Q1913),F1913)/IF(S1913="per pack",R1913,1),2))</f>
        <v>20.45</v>
      </c>
      <c r="AE1913" s="110" t="str">
        <f aca="false">IF(AND(AC1913="yes",ISNUMBER(F1913),IF(Compare!$H$5="All mapped",TRUE(),IF(Compare!$H$5="EXACT only",J1913="EXACT",OR(J1913="EXACT",J1913="CLOSE")))),"yes","no")</f>
        <v>yes</v>
      </c>
      <c r="AF1913" s="110" t="n">
        <f aca="false">IF(ISNUMBER(H1913),COUNTIFS($B$7:$B$3000,B1913,$C$7:$C$3000,C1913,$H$7:$H$3000,"&lt;"&amp;H1913,$AH$7:$AH$3000,"yes")+COUNTIFS($B$7:B1913,B1913,$C$7:C1913,C1913,$H$7:H1913,H1913,$AH$7:AH1913,"yes"),"")</f>
        <v>5</v>
      </c>
      <c r="AG1913" s="110" t="n">
        <f aca="false">IF(ISNUMBER(I1913),COUNTIFS($B$7:$B$3000,B1913,$C$7:$C$3000,C1913,$I$7:$I$3000,"&lt;"&amp;I1913,$AI$7:$AI$3000,"yes")+COUNTIFS($B$7:B1913,B1913,$C$7:C1913,C1913,$I$7:I1913,I1913,$AI$7:AI1913,"yes"),"")</f>
        <v>5</v>
      </c>
      <c r="AH1913" s="110" t="str">
        <f aca="false">IF(ISNUMBER(H1913),"yes","no")</f>
        <v>yes</v>
      </c>
      <c r="AI1913" s="110" t="str">
        <f aca="false">IF(ISNUMBER(I1913),"yes","no")</f>
        <v>yes</v>
      </c>
      <c r="AJ1913" s="120" t="n">
        <v>46297</v>
      </c>
      <c r="AK1913" s="110"/>
    </row>
    <row r="1914" customFormat="false" ht="23.85" hidden="false" customHeight="false" outlineLevel="0" collapsed="false">
      <c r="B1914" s="36" t="s">
        <v>104</v>
      </c>
      <c r="C1914" s="98" t="s">
        <v>14</v>
      </c>
      <c r="D1914" s="98" t="s">
        <v>395</v>
      </c>
      <c r="E1914" s="110" t="s">
        <v>5904</v>
      </c>
      <c r="F1914" s="99" t="n">
        <v>1.91</v>
      </c>
      <c r="G1914" s="98" t="s">
        <v>244</v>
      </c>
      <c r="H1914" s="112" t="n">
        <f aca="false">IF(AND(AE1914="yes",ISNUMBER(AD1914)),AD1914,"")</f>
        <v>1.91</v>
      </c>
      <c r="I1914" s="95" t="n">
        <f aca="false">IF(AND(AE1914="yes",ISNUMBER(AD1914),ISNUMBER(INDEX(Sources!$G$7:$G$10,MATCH(AB1914,Sources!$B$7:$B$10,0)))),ROUND(AD1914/INDEX(Sources!$G$7:$G$10,MATCH(AB1914,Sources!$B$7:$B$10,0)),6),"")</f>
        <v>1.91</v>
      </c>
      <c r="J1914" s="98" t="s">
        <v>530</v>
      </c>
      <c r="K1914" s="98" t="s">
        <v>2059</v>
      </c>
      <c r="L1914" s="96"/>
      <c r="M1914" s="110" t="s">
        <v>5905</v>
      </c>
      <c r="N1914" s="117" t="s">
        <v>5906</v>
      </c>
      <c r="O1914" s="110" t="s">
        <v>572</v>
      </c>
      <c r="P1914" s="110" t="s">
        <v>590</v>
      </c>
      <c r="Q1914" s="118" t="n">
        <v>0.21</v>
      </c>
      <c r="R1914" s="110" t="n">
        <v>1</v>
      </c>
      <c r="S1914" s="110" t="s">
        <v>632</v>
      </c>
      <c r="T1914" s="110" t="s">
        <v>530</v>
      </c>
      <c r="U1914" s="110" t="s">
        <v>2913</v>
      </c>
      <c r="V1914" s="119" t="n">
        <v>1.91</v>
      </c>
      <c r="W1914" s="119"/>
      <c r="X1914" s="110" t="s">
        <v>2063</v>
      </c>
      <c r="Y1914" s="110" t="s">
        <v>2064</v>
      </c>
      <c r="Z1914" s="110" t="s">
        <v>2925</v>
      </c>
      <c r="AA1914" s="110" t="s">
        <v>537</v>
      </c>
      <c r="AB1914" s="110" t="s">
        <v>244</v>
      </c>
      <c r="AC1914" s="110" t="s">
        <v>538</v>
      </c>
      <c r="AD1914" s="110" t="n">
        <f aca="false">IF(OR(F1914="",Q1914="",R1914=""),"",ROUND(IF(P1914="incl.",F1914/(1+Q1914),F1914)/IF(S1914="per pack",R1914,1),2))</f>
        <v>1.91</v>
      </c>
      <c r="AE1914" s="110" t="str">
        <f aca="false">IF(AND(AC1914="yes",ISNUMBER(F1914),IF(Compare!$H$5="All mapped",TRUE(),IF(Compare!$H$5="EXACT only",J1914="EXACT",OR(J1914="EXACT",J1914="CLOSE")))),"yes","no")</f>
        <v>yes</v>
      </c>
      <c r="AF1914" s="110" t="n">
        <f aca="false">IF(ISNUMBER(H1914),COUNTIFS($B$7:$B$3000,B1914,$C$7:$C$3000,C1914,$H$7:$H$3000,"&lt;"&amp;H1914,$AH$7:$AH$3000,"yes")+COUNTIFS($B$7:B1914,B1914,$C$7:C1914,C1914,$H$7:H1914,H1914,$AH$7:AH1914,"yes"),"")</f>
        <v>1</v>
      </c>
      <c r="AG1914" s="110" t="n">
        <f aca="false">IF(ISNUMBER(I1914),COUNTIFS($B$7:$B$3000,B1914,$C$7:$C$3000,C1914,$I$7:$I$3000,"&lt;"&amp;I1914,$AI$7:$AI$3000,"yes")+COUNTIFS($B$7:B1914,B1914,$C$7:C1914,C1914,$I$7:I1914,I1914,$AI$7:AI1914,"yes"),"")</f>
        <v>2</v>
      </c>
      <c r="AH1914" s="110" t="str">
        <f aca="false">IF(ISNUMBER(H1914),"yes","no")</f>
        <v>yes</v>
      </c>
      <c r="AI1914" s="110" t="str">
        <f aca="false">IF(ISNUMBER(I1914),"yes","no")</f>
        <v>yes</v>
      </c>
      <c r="AJ1914" s="120" t="n">
        <v>46297</v>
      </c>
      <c r="AK1914" s="110"/>
    </row>
    <row r="1915" customFormat="false" ht="23.85" hidden="false" customHeight="false" outlineLevel="0" collapsed="false">
      <c r="B1915" s="36" t="s">
        <v>104</v>
      </c>
      <c r="C1915" s="98" t="s">
        <v>14</v>
      </c>
      <c r="D1915" s="98" t="s">
        <v>403</v>
      </c>
      <c r="E1915" s="110" t="s">
        <v>5907</v>
      </c>
      <c r="F1915" s="99" t="n">
        <v>9.06</v>
      </c>
      <c r="G1915" s="98" t="s">
        <v>374</v>
      </c>
      <c r="H1915" s="112" t="n">
        <f aca="false">IF(AND(AE1915="yes",ISNUMBER(AD1915)),AD1915,"")</f>
        <v>9.06</v>
      </c>
      <c r="I1915" s="95" t="n">
        <f aca="false">IF(AND(AE1915="yes",ISNUMBER(AD1915),ISNUMBER(INDEX(Sources!$G$7:$G$10,MATCH(AB1915,Sources!$B$7:$B$10,0)))),ROUND(AD1915/INDEX(Sources!$G$7:$G$10,MATCH(AB1915,Sources!$B$7:$B$10,0)),6),"")</f>
        <v>1.716676</v>
      </c>
      <c r="J1915" s="98" t="s">
        <v>530</v>
      </c>
      <c r="K1915" s="98" t="s">
        <v>2059</v>
      </c>
      <c r="L1915" s="96"/>
      <c r="M1915" s="110" t="s">
        <v>5908</v>
      </c>
      <c r="N1915" s="117" t="s">
        <v>5909</v>
      </c>
      <c r="O1915" s="110" t="s">
        <v>668</v>
      </c>
      <c r="P1915" s="110" t="s">
        <v>590</v>
      </c>
      <c r="Q1915" s="118" t="n">
        <v>0.21</v>
      </c>
      <c r="R1915" s="110" t="n">
        <v>1</v>
      </c>
      <c r="S1915" s="110" t="s">
        <v>632</v>
      </c>
      <c r="T1915" s="110" t="s">
        <v>530</v>
      </c>
      <c r="U1915" s="110" t="s">
        <v>2913</v>
      </c>
      <c r="V1915" s="119" t="n">
        <v>9.06</v>
      </c>
      <c r="W1915" s="119"/>
      <c r="X1915" s="110" t="s">
        <v>2063</v>
      </c>
      <c r="Y1915" s="110" t="s">
        <v>2064</v>
      </c>
      <c r="Z1915" s="110"/>
      <c r="AA1915" s="110" t="s">
        <v>537</v>
      </c>
      <c r="AB1915" s="110" t="s">
        <v>374</v>
      </c>
      <c r="AC1915" s="110" t="s">
        <v>538</v>
      </c>
      <c r="AD1915" s="110" t="n">
        <f aca="false">IF(OR(F1915="",Q1915="",R1915=""),"",ROUND(IF(P1915="incl.",F1915/(1+Q1915),F1915)/IF(S1915="per pack",R1915,1),2))</f>
        <v>9.06</v>
      </c>
      <c r="AE1915" s="110" t="str">
        <f aca="false">IF(AND(AC1915="yes",ISNUMBER(F1915),IF(Compare!$H$5="All mapped",TRUE(),IF(Compare!$H$5="EXACT only",J1915="EXACT",OR(J1915="EXACT",J1915="CLOSE")))),"yes","no")</f>
        <v>yes</v>
      </c>
      <c r="AF1915" s="110" t="n">
        <f aca="false">IF(ISNUMBER(H1915),COUNTIFS($B$7:$B$3000,B1915,$C$7:$C$3000,C1915,$H$7:$H$3000,"&lt;"&amp;H1915,$AH$7:$AH$3000,"yes")+COUNTIFS($B$7:B1915,B1915,$C$7:C1915,C1915,$H$7:H1915,H1915,$AH$7:AH1915,"yes"),"")</f>
        <v>2</v>
      </c>
      <c r="AG1915" s="110" t="n">
        <f aca="false">IF(ISNUMBER(I1915),COUNTIFS($B$7:$B$3000,B1915,$C$7:$C$3000,C1915,$I$7:$I$3000,"&lt;"&amp;I1915,$AI$7:$AI$3000,"yes")+COUNTIFS($B$7:B1915,B1915,$C$7:C1915,C1915,$I$7:I1915,I1915,$AI$7:AI1915,"yes"),"")</f>
        <v>1</v>
      </c>
      <c r="AH1915" s="110" t="str">
        <f aca="false">IF(ISNUMBER(H1915),"yes","no")</f>
        <v>yes</v>
      </c>
      <c r="AI1915" s="110" t="str">
        <f aca="false">IF(ISNUMBER(I1915),"yes","no")</f>
        <v>yes</v>
      </c>
      <c r="AJ1915" s="120" t="n">
        <v>46297</v>
      </c>
      <c r="AK1915" s="110"/>
    </row>
    <row r="1916" customFormat="false" ht="35.05" hidden="false" customHeight="false" outlineLevel="0" collapsed="false">
      <c r="B1916" s="36" t="s">
        <v>104</v>
      </c>
      <c r="C1916" s="98" t="s">
        <v>15</v>
      </c>
      <c r="D1916" s="98" t="s">
        <v>243</v>
      </c>
      <c r="E1916" s="110" t="s">
        <v>5910</v>
      </c>
      <c r="F1916" s="99" t="n">
        <v>2.61</v>
      </c>
      <c r="G1916" s="98" t="s">
        <v>244</v>
      </c>
      <c r="H1916" s="112" t="n">
        <f aca="false">IF(AND(AE1916="yes",ISNUMBER(AD1916)),AD1916,"")</f>
        <v>2.61</v>
      </c>
      <c r="I1916" s="95" t="n">
        <f aca="false">IF(AND(AE1916="yes",ISNUMBER(AD1916),ISNUMBER(INDEX(Sources!$G$7:$G$10,MATCH(AB1916,Sources!$B$7:$B$10,0)))),ROUND(AD1916/INDEX(Sources!$G$7:$G$10,MATCH(AB1916,Sources!$B$7:$B$10,0)),6),"")</f>
        <v>2.61</v>
      </c>
      <c r="J1916" s="98" t="s">
        <v>530</v>
      </c>
      <c r="K1916" s="98" t="s">
        <v>2059</v>
      </c>
      <c r="L1916" s="96"/>
      <c r="M1916" s="110" t="s">
        <v>5911</v>
      </c>
      <c r="N1916" s="117" t="s">
        <v>5912</v>
      </c>
      <c r="O1916" s="110" t="s">
        <v>2932</v>
      </c>
      <c r="P1916" s="110" t="s">
        <v>590</v>
      </c>
      <c r="Q1916" s="118" t="n">
        <v>0.2</v>
      </c>
      <c r="R1916" s="110" t="n">
        <v>1</v>
      </c>
      <c r="S1916" s="110" t="s">
        <v>632</v>
      </c>
      <c r="T1916" s="110" t="s">
        <v>530</v>
      </c>
      <c r="U1916" s="110" t="s">
        <v>2913</v>
      </c>
      <c r="V1916" s="119" t="n">
        <v>2.61</v>
      </c>
      <c r="W1916" s="119"/>
      <c r="X1916" s="110" t="s">
        <v>2063</v>
      </c>
      <c r="Y1916" s="110" t="s">
        <v>2064</v>
      </c>
      <c r="Z1916" s="110" t="s">
        <v>3128</v>
      </c>
      <c r="AA1916" s="110" t="s">
        <v>537</v>
      </c>
      <c r="AB1916" s="110" t="s">
        <v>244</v>
      </c>
      <c r="AC1916" s="110" t="s">
        <v>538</v>
      </c>
      <c r="AD1916" s="110" t="n">
        <f aca="false">IF(OR(F1916="",Q1916="",R1916=""),"",ROUND(IF(P1916="incl.",F1916/(1+Q1916),F1916)/IF(S1916="per pack",R1916,1),2))</f>
        <v>2.61</v>
      </c>
      <c r="AE1916" s="110" t="str">
        <f aca="false">IF(AND(AC1916="yes",ISNUMBER(F1916),IF(Compare!$H$5="All mapped",TRUE(),IF(Compare!$H$5="EXACT only",J1916="EXACT",OR(J1916="EXACT",J1916="CLOSE")))),"yes","no")</f>
        <v>yes</v>
      </c>
      <c r="AF1916" s="110" t="n">
        <f aca="false">IF(ISNUMBER(H1916),COUNTIFS($B$7:$B$3000,B1916,$C$7:$C$3000,C1916,$H$7:$H$3000,"&lt;"&amp;H1916,$AH$7:$AH$3000,"yes")+COUNTIFS($B$7:B1916,B1916,$C$7:C1916,C1916,$H$7:H1916,H1916,$AH$7:AH1916,"yes"),"")</f>
        <v>1</v>
      </c>
      <c r="AG1916" s="110" t="n">
        <f aca="false">IF(ISNUMBER(I1916),COUNTIFS($B$7:$B$3000,B1916,$C$7:$C$3000,C1916,$I$7:$I$3000,"&lt;"&amp;I1916,$AI$7:$AI$3000,"yes")+COUNTIFS($B$7:B1916,B1916,$C$7:C1916,C1916,$I$7:I1916,I1916,$AI$7:AI1916,"yes"),"")</f>
        <v>1</v>
      </c>
      <c r="AH1916" s="110" t="str">
        <f aca="false">IF(ISNUMBER(H1916),"yes","no")</f>
        <v>yes</v>
      </c>
      <c r="AI1916" s="110" t="str">
        <f aca="false">IF(ISNUMBER(I1916),"yes","no")</f>
        <v>yes</v>
      </c>
      <c r="AJ1916" s="120" t="n">
        <v>46297</v>
      </c>
      <c r="AK1916" s="110"/>
    </row>
    <row r="1917" customFormat="false" ht="23.85" hidden="false" customHeight="false" outlineLevel="0" collapsed="false">
      <c r="B1917" s="36" t="s">
        <v>104</v>
      </c>
      <c r="C1917" s="98" t="s">
        <v>15</v>
      </c>
      <c r="D1917" s="98" t="s">
        <v>257</v>
      </c>
      <c r="E1917" s="110" t="s">
        <v>5913</v>
      </c>
      <c r="F1917" s="99" t="n">
        <v>6</v>
      </c>
      <c r="G1917" s="98" t="s">
        <v>244</v>
      </c>
      <c r="H1917" s="112" t="n">
        <f aca="false">IF(AND(AE1917="yes",ISNUMBER(AD1917)),AD1917,"")</f>
        <v>6</v>
      </c>
      <c r="I1917" s="95" t="n">
        <f aca="false">IF(AND(AE1917="yes",ISNUMBER(AD1917),ISNUMBER(INDEX(Sources!$G$7:$G$10,MATCH(AB1917,Sources!$B$7:$B$10,0)))),ROUND(AD1917/INDEX(Sources!$G$7:$G$10,MATCH(AB1917,Sources!$B$7:$B$10,0)),6),"")</f>
        <v>6</v>
      </c>
      <c r="J1917" s="98" t="s">
        <v>530</v>
      </c>
      <c r="K1917" s="98" t="s">
        <v>2059</v>
      </c>
      <c r="L1917" s="96"/>
      <c r="M1917" s="110" t="s">
        <v>5914</v>
      </c>
      <c r="N1917" s="117" t="s">
        <v>5915</v>
      </c>
      <c r="O1917" s="110" t="s">
        <v>1576</v>
      </c>
      <c r="P1917" s="110" t="s">
        <v>590</v>
      </c>
      <c r="Q1917" s="118" t="n">
        <v>0.2</v>
      </c>
      <c r="R1917" s="110" t="n">
        <v>1</v>
      </c>
      <c r="S1917" s="110" t="s">
        <v>632</v>
      </c>
      <c r="T1917" s="110" t="s">
        <v>530</v>
      </c>
      <c r="U1917" s="110" t="s">
        <v>2913</v>
      </c>
      <c r="V1917" s="119" t="n">
        <v>6</v>
      </c>
      <c r="W1917" s="119"/>
      <c r="X1917" s="110" t="s">
        <v>2063</v>
      </c>
      <c r="Y1917" s="110" t="s">
        <v>2064</v>
      </c>
      <c r="Z1917" s="110" t="s">
        <v>4341</v>
      </c>
      <c r="AA1917" s="110" t="s">
        <v>537</v>
      </c>
      <c r="AB1917" s="110" t="s">
        <v>244</v>
      </c>
      <c r="AC1917" s="110" t="s">
        <v>538</v>
      </c>
      <c r="AD1917" s="110" t="n">
        <f aca="false">IF(OR(F1917="",Q1917="",R1917=""),"",ROUND(IF(P1917="incl.",F1917/(1+Q1917),F1917)/IF(S1917="per pack",R1917,1),2))</f>
        <v>6</v>
      </c>
      <c r="AE1917" s="110" t="str">
        <f aca="false">IF(AND(AC1917="yes",ISNUMBER(F1917),IF(Compare!$H$5="All mapped",TRUE(),IF(Compare!$H$5="EXACT only",J1917="EXACT",OR(J1917="EXACT",J1917="CLOSE")))),"yes","no")</f>
        <v>yes</v>
      </c>
      <c r="AF1917" s="110" t="n">
        <f aca="false">IF(ISNUMBER(H1917),COUNTIFS($B$7:$B$3000,B1917,$C$7:$C$3000,C1917,$H$7:$H$3000,"&lt;"&amp;H1917,$AH$7:$AH$3000,"yes")+COUNTIFS($B$7:B1917,B1917,$C$7:C1917,C1917,$H$7:H1917,H1917,$AH$7:AH1917,"yes"),"")</f>
        <v>6</v>
      </c>
      <c r="AG1917" s="110" t="n">
        <f aca="false">IF(ISNUMBER(I1917),COUNTIFS($B$7:$B$3000,B1917,$C$7:$C$3000,C1917,$I$7:$I$3000,"&lt;"&amp;I1917,$AI$7:$AI$3000,"yes")+COUNTIFS($B$7:B1917,B1917,$C$7:C1917,C1917,$I$7:I1917,I1917,$AI$7:AI1917,"yes"),"")</f>
        <v>6</v>
      </c>
      <c r="AH1917" s="110" t="str">
        <f aca="false">IF(ISNUMBER(H1917),"yes","no")</f>
        <v>yes</v>
      </c>
      <c r="AI1917" s="110" t="str">
        <f aca="false">IF(ISNUMBER(I1917),"yes","no")</f>
        <v>yes</v>
      </c>
      <c r="AJ1917" s="120" t="n">
        <v>46297</v>
      </c>
      <c r="AK1917" s="110"/>
    </row>
    <row r="1918" customFormat="false" ht="35.05" hidden="false" customHeight="false" outlineLevel="0" collapsed="false">
      <c r="B1918" s="36" t="s">
        <v>104</v>
      </c>
      <c r="C1918" s="98" t="s">
        <v>15</v>
      </c>
      <c r="D1918" s="98" t="s">
        <v>269</v>
      </c>
      <c r="E1918" s="110" t="s">
        <v>5916</v>
      </c>
      <c r="F1918" s="99" t="n">
        <v>2.89</v>
      </c>
      <c r="G1918" s="98" t="s">
        <v>244</v>
      </c>
      <c r="H1918" s="112" t="n">
        <f aca="false">IF(AND(AE1918="yes",ISNUMBER(AD1918)),AD1918,"")</f>
        <v>2.89</v>
      </c>
      <c r="I1918" s="95" t="n">
        <f aca="false">IF(AND(AE1918="yes",ISNUMBER(AD1918),ISNUMBER(INDEX(Sources!$G$7:$G$10,MATCH(AB1918,Sources!$B$7:$B$10,0)))),ROUND(AD1918/INDEX(Sources!$G$7:$G$10,MATCH(AB1918,Sources!$B$7:$B$10,0)),6),"")</f>
        <v>2.89</v>
      </c>
      <c r="J1918" s="98" t="s">
        <v>530</v>
      </c>
      <c r="K1918" s="98" t="s">
        <v>2059</v>
      </c>
      <c r="L1918" s="96"/>
      <c r="M1918" s="110" t="s">
        <v>5917</v>
      </c>
      <c r="N1918" s="117" t="s">
        <v>5918</v>
      </c>
      <c r="O1918" s="110" t="s">
        <v>598</v>
      </c>
      <c r="P1918" s="110" t="s">
        <v>590</v>
      </c>
      <c r="Q1918" s="118" t="n">
        <v>0.2</v>
      </c>
      <c r="R1918" s="110" t="n">
        <v>1</v>
      </c>
      <c r="S1918" s="110" t="s">
        <v>632</v>
      </c>
      <c r="T1918" s="110" t="s">
        <v>530</v>
      </c>
      <c r="U1918" s="110" t="s">
        <v>2913</v>
      </c>
      <c r="V1918" s="119" t="n">
        <v>2.89</v>
      </c>
      <c r="W1918" s="119"/>
      <c r="X1918" s="110" t="s">
        <v>2063</v>
      </c>
      <c r="Y1918" s="110" t="s">
        <v>2064</v>
      </c>
      <c r="Z1918" s="110" t="s">
        <v>3216</v>
      </c>
      <c r="AA1918" s="110" t="s">
        <v>537</v>
      </c>
      <c r="AB1918" s="110" t="s">
        <v>244</v>
      </c>
      <c r="AC1918" s="110" t="s">
        <v>538</v>
      </c>
      <c r="AD1918" s="110" t="n">
        <f aca="false">IF(OR(F1918="",Q1918="",R1918=""),"",ROUND(IF(P1918="incl.",F1918/(1+Q1918),F1918)/IF(S1918="per pack",R1918,1),2))</f>
        <v>2.89</v>
      </c>
      <c r="AE1918" s="110" t="str">
        <f aca="false">IF(AND(AC1918="yes",ISNUMBER(F1918),IF(Compare!$H$5="All mapped",TRUE(),IF(Compare!$H$5="EXACT only",J1918="EXACT",OR(J1918="EXACT",J1918="CLOSE")))),"yes","no")</f>
        <v>yes</v>
      </c>
      <c r="AF1918" s="110" t="n">
        <f aca="false">IF(ISNUMBER(H1918),COUNTIFS($B$7:$B$3000,B1918,$C$7:$C$3000,C1918,$H$7:$H$3000,"&lt;"&amp;H1918,$AH$7:$AH$3000,"yes")+COUNTIFS($B$7:B1918,B1918,$C$7:C1918,C1918,$H$7:H1918,H1918,$AH$7:AH1918,"yes"),"")</f>
        <v>2</v>
      </c>
      <c r="AG1918" s="110" t="n">
        <f aca="false">IF(ISNUMBER(I1918),COUNTIFS($B$7:$B$3000,B1918,$C$7:$C$3000,C1918,$I$7:$I$3000,"&lt;"&amp;I1918,$AI$7:$AI$3000,"yes")+COUNTIFS($B$7:B1918,B1918,$C$7:C1918,C1918,$I$7:I1918,I1918,$AI$7:AI1918,"yes"),"")</f>
        <v>2</v>
      </c>
      <c r="AH1918" s="110" t="str">
        <f aca="false">IF(ISNUMBER(H1918),"yes","no")</f>
        <v>yes</v>
      </c>
      <c r="AI1918" s="110" t="str">
        <f aca="false">IF(ISNUMBER(I1918),"yes","no")</f>
        <v>yes</v>
      </c>
      <c r="AJ1918" s="120" t="n">
        <v>46297</v>
      </c>
      <c r="AK1918" s="110"/>
    </row>
    <row r="1919" customFormat="false" ht="23.85" hidden="false" customHeight="false" outlineLevel="0" collapsed="false">
      <c r="B1919" s="36" t="s">
        <v>104</v>
      </c>
      <c r="C1919" s="98" t="s">
        <v>15</v>
      </c>
      <c r="D1919" s="98" t="s">
        <v>264</v>
      </c>
      <c r="E1919" s="110" t="s">
        <v>5919</v>
      </c>
      <c r="F1919" s="99" t="n">
        <v>12.51</v>
      </c>
      <c r="G1919" s="98" t="s">
        <v>244</v>
      </c>
      <c r="H1919" s="112" t="n">
        <f aca="false">IF(AND(AE1919="yes",ISNUMBER(AD1919)),AD1919,"")</f>
        <v>12.51</v>
      </c>
      <c r="I1919" s="95" t="n">
        <f aca="false">IF(AND(AE1919="yes",ISNUMBER(AD1919),ISNUMBER(INDEX(Sources!$G$7:$G$10,MATCH(AB1919,Sources!$B$7:$B$10,0)))),ROUND(AD1919/INDEX(Sources!$G$7:$G$10,MATCH(AB1919,Sources!$B$7:$B$10,0)),6),"")</f>
        <v>12.51</v>
      </c>
      <c r="J1919" s="98" t="s">
        <v>530</v>
      </c>
      <c r="K1919" s="98" t="s">
        <v>2059</v>
      </c>
      <c r="L1919" s="96"/>
      <c r="M1919" s="110" t="s">
        <v>5920</v>
      </c>
      <c r="N1919" s="117" t="s">
        <v>5921</v>
      </c>
      <c r="O1919" s="110" t="s">
        <v>662</v>
      </c>
      <c r="P1919" s="110" t="s">
        <v>590</v>
      </c>
      <c r="Q1919" s="118" t="n">
        <v>0.2</v>
      </c>
      <c r="R1919" s="110" t="n">
        <v>1</v>
      </c>
      <c r="S1919" s="110" t="s">
        <v>632</v>
      </c>
      <c r="T1919" s="110" t="s">
        <v>530</v>
      </c>
      <c r="U1919" s="110" t="s">
        <v>2913</v>
      </c>
      <c r="V1919" s="119" t="n">
        <v>12.51</v>
      </c>
      <c r="W1919" s="119"/>
      <c r="X1919" s="110" t="s">
        <v>2063</v>
      </c>
      <c r="Y1919" s="110" t="s">
        <v>2064</v>
      </c>
      <c r="Z1919" s="110"/>
      <c r="AA1919" s="110" t="s">
        <v>537</v>
      </c>
      <c r="AB1919" s="110" t="s">
        <v>244</v>
      </c>
      <c r="AC1919" s="110" t="s">
        <v>538</v>
      </c>
      <c r="AD1919" s="110" t="n">
        <f aca="false">IF(OR(F1919="",Q1919="",R1919=""),"",ROUND(IF(P1919="incl.",F1919/(1+Q1919),F1919)/IF(S1919="per pack",R1919,1),2))</f>
        <v>12.51</v>
      </c>
      <c r="AE1919" s="110" t="str">
        <f aca="false">IF(AND(AC1919="yes",ISNUMBER(F1919),IF(Compare!$H$5="All mapped",TRUE(),IF(Compare!$H$5="EXACT only",J1919="EXACT",OR(J1919="EXACT",J1919="CLOSE")))),"yes","no")</f>
        <v>yes</v>
      </c>
      <c r="AF1919" s="110" t="n">
        <f aca="false">IF(ISNUMBER(H1919),COUNTIFS($B$7:$B$3000,B1919,$C$7:$C$3000,C1919,$H$7:$H$3000,"&lt;"&amp;H1919,$AH$7:$AH$3000,"yes")+COUNTIFS($B$7:B1919,B1919,$C$7:C1919,C1919,$H$7:H1919,H1919,$AH$7:AH1919,"yes"),"")</f>
        <v>7</v>
      </c>
      <c r="AG1919" s="110" t="n">
        <f aca="false">IF(ISNUMBER(I1919),COUNTIFS($B$7:$B$3000,B1919,$C$7:$C$3000,C1919,$I$7:$I$3000,"&lt;"&amp;I1919,$AI$7:$AI$3000,"yes")+COUNTIFS($B$7:B1919,B1919,$C$7:C1919,C1919,$I$7:I1919,I1919,$AI$7:AI1919,"yes"),"")</f>
        <v>7</v>
      </c>
      <c r="AH1919" s="110" t="str">
        <f aca="false">IF(ISNUMBER(H1919),"yes","no")</f>
        <v>yes</v>
      </c>
      <c r="AI1919" s="110" t="str">
        <f aca="false">IF(ISNUMBER(I1919),"yes","no")</f>
        <v>yes</v>
      </c>
      <c r="AJ1919" s="120" t="n">
        <v>46297</v>
      </c>
      <c r="AK1919" s="110"/>
    </row>
    <row r="1920" customFormat="false" ht="23.85" hidden="false" customHeight="false" outlineLevel="0" collapsed="false">
      <c r="B1920" s="36" t="s">
        <v>104</v>
      </c>
      <c r="C1920" s="98" t="s">
        <v>15</v>
      </c>
      <c r="D1920" s="98" t="s">
        <v>273</v>
      </c>
      <c r="E1920" s="110" t="s">
        <v>5922</v>
      </c>
      <c r="F1920" s="99" t="n">
        <v>3.79</v>
      </c>
      <c r="G1920" s="98" t="s">
        <v>244</v>
      </c>
      <c r="H1920" s="112" t="n">
        <f aca="false">IF(AND(AE1920="yes",ISNUMBER(AD1920)),AD1920,"")</f>
        <v>3.16</v>
      </c>
      <c r="I1920" s="95" t="n">
        <f aca="false">IF(AND(AE1920="yes",ISNUMBER(AD1920),ISNUMBER(INDEX(Sources!$G$7:$G$10,MATCH(AB1920,Sources!$B$7:$B$10,0)))),ROUND(AD1920/INDEX(Sources!$G$7:$G$10,MATCH(AB1920,Sources!$B$7:$B$10,0)),6),"")</f>
        <v>3.16</v>
      </c>
      <c r="J1920" s="98" t="s">
        <v>530</v>
      </c>
      <c r="K1920" s="98" t="s">
        <v>2059</v>
      </c>
      <c r="L1920" s="96"/>
      <c r="M1920" s="110" t="s">
        <v>5923</v>
      </c>
      <c r="N1920" s="117" t="s">
        <v>5924</v>
      </c>
      <c r="O1920" s="110" t="s">
        <v>642</v>
      </c>
      <c r="P1920" s="110" t="s">
        <v>265</v>
      </c>
      <c r="Q1920" s="118" t="n">
        <v>0.2</v>
      </c>
      <c r="R1920" s="110" t="n">
        <v>1</v>
      </c>
      <c r="S1920" s="110" t="s">
        <v>632</v>
      </c>
      <c r="T1920" s="110" t="s">
        <v>530</v>
      </c>
      <c r="U1920" s="110" t="s">
        <v>2918</v>
      </c>
      <c r="V1920" s="119" t="n">
        <v>3.16</v>
      </c>
      <c r="W1920" s="119"/>
      <c r="X1920" s="110" t="s">
        <v>2063</v>
      </c>
      <c r="Y1920" s="110" t="s">
        <v>2064</v>
      </c>
      <c r="Z1920" s="110" t="s">
        <v>2130</v>
      </c>
      <c r="AA1920" s="110" t="s">
        <v>537</v>
      </c>
      <c r="AB1920" s="110" t="s">
        <v>244</v>
      </c>
      <c r="AC1920" s="110" t="s">
        <v>538</v>
      </c>
      <c r="AD1920" s="110" t="n">
        <f aca="false">IF(OR(F1920="",Q1920="",R1920=""),"",ROUND(IF(P1920="incl.",F1920/(1+Q1920),F1920)/IF(S1920="per pack",R1920,1),2))</f>
        <v>3.16</v>
      </c>
      <c r="AE1920" s="110" t="str">
        <f aca="false">IF(AND(AC1920="yes",ISNUMBER(F1920),IF(Compare!$H$5="All mapped",TRUE(),IF(Compare!$H$5="EXACT only",J1920="EXACT",OR(J1920="EXACT",J1920="CLOSE")))),"yes","no")</f>
        <v>yes</v>
      </c>
      <c r="AF1920" s="110" t="n">
        <f aca="false">IF(ISNUMBER(H1920),COUNTIFS($B$7:$B$3000,B1920,$C$7:$C$3000,C1920,$H$7:$H$3000,"&lt;"&amp;H1920,$AH$7:$AH$3000,"yes")+COUNTIFS($B$7:B1920,B1920,$C$7:C1920,C1920,$H$7:H1920,H1920,$AH$7:AH1920,"yes"),"")</f>
        <v>4</v>
      </c>
      <c r="AG1920" s="110" t="n">
        <f aca="false">IF(ISNUMBER(I1920),COUNTIFS($B$7:$B$3000,B1920,$C$7:$C$3000,C1920,$I$7:$I$3000,"&lt;"&amp;I1920,$AI$7:$AI$3000,"yes")+COUNTIFS($B$7:B1920,B1920,$C$7:C1920,C1920,$I$7:I1920,I1920,$AI$7:AI1920,"yes"),"")</f>
        <v>4</v>
      </c>
      <c r="AH1920" s="110" t="str">
        <f aca="false">IF(ISNUMBER(H1920),"yes","no")</f>
        <v>yes</v>
      </c>
      <c r="AI1920" s="110" t="str">
        <f aca="false">IF(ISNUMBER(I1920),"yes","no")</f>
        <v>yes</v>
      </c>
      <c r="AJ1920" s="120" t="n">
        <v>46297</v>
      </c>
      <c r="AK1920" s="110"/>
    </row>
    <row r="1921" customFormat="false" ht="35.05" hidden="false" customHeight="false" outlineLevel="0" collapsed="false">
      <c r="B1921" s="36" t="s">
        <v>104</v>
      </c>
      <c r="C1921" s="98" t="s">
        <v>15</v>
      </c>
      <c r="D1921" s="98" t="s">
        <v>281</v>
      </c>
      <c r="E1921" s="110" t="s">
        <v>5925</v>
      </c>
      <c r="F1921" s="99" t="n">
        <v>3.4</v>
      </c>
      <c r="G1921" s="98" t="s">
        <v>244</v>
      </c>
      <c r="H1921" s="112" t="n">
        <f aca="false">IF(AND(AE1921="yes",ISNUMBER(AD1921)),AD1921,"")</f>
        <v>3.4</v>
      </c>
      <c r="I1921" s="95" t="n">
        <f aca="false">IF(AND(AE1921="yes",ISNUMBER(AD1921),ISNUMBER(INDEX(Sources!$G$7:$G$10,MATCH(AB1921,Sources!$B$7:$B$10,0)))),ROUND(AD1921/INDEX(Sources!$G$7:$G$10,MATCH(AB1921,Sources!$B$7:$B$10,0)),6),"")</f>
        <v>3.4</v>
      </c>
      <c r="J1921" s="98" t="s">
        <v>530</v>
      </c>
      <c r="K1921" s="98" t="s">
        <v>2059</v>
      </c>
      <c r="L1921" s="96"/>
      <c r="M1921" s="110" t="s">
        <v>5926</v>
      </c>
      <c r="N1921" s="117" t="s">
        <v>5927</v>
      </c>
      <c r="O1921" s="110" t="s">
        <v>2944</v>
      </c>
      <c r="P1921" s="110" t="s">
        <v>590</v>
      </c>
      <c r="Q1921" s="118" t="n">
        <v>0.2</v>
      </c>
      <c r="R1921" s="110" t="n">
        <v>1</v>
      </c>
      <c r="S1921" s="110" t="s">
        <v>632</v>
      </c>
      <c r="T1921" s="110" t="s">
        <v>530</v>
      </c>
      <c r="U1921" s="110" t="s">
        <v>2913</v>
      </c>
      <c r="V1921" s="119" t="n">
        <v>3.4</v>
      </c>
      <c r="W1921" s="119"/>
      <c r="X1921" s="110" t="s">
        <v>2063</v>
      </c>
      <c r="Y1921" s="110" t="s">
        <v>2064</v>
      </c>
      <c r="Z1921" s="110" t="s">
        <v>5928</v>
      </c>
      <c r="AA1921" s="110" t="s">
        <v>537</v>
      </c>
      <c r="AB1921" s="110" t="s">
        <v>244</v>
      </c>
      <c r="AC1921" s="110" t="s">
        <v>538</v>
      </c>
      <c r="AD1921" s="110" t="n">
        <f aca="false">IF(OR(F1921="",Q1921="",R1921=""),"",ROUND(IF(P1921="incl.",F1921/(1+Q1921),F1921)/IF(S1921="per pack",R1921,1),2))</f>
        <v>3.4</v>
      </c>
      <c r="AE1921" s="110" t="str">
        <f aca="false">IF(AND(AC1921="yes",ISNUMBER(F1921),IF(Compare!$H$5="All mapped",TRUE(),IF(Compare!$H$5="EXACT only",J1921="EXACT",OR(J1921="EXACT",J1921="CLOSE")))),"yes","no")</f>
        <v>yes</v>
      </c>
      <c r="AF1921" s="110" t="n">
        <f aca="false">IF(ISNUMBER(H1921),COUNTIFS($B$7:$B$3000,B1921,$C$7:$C$3000,C1921,$H$7:$H$3000,"&lt;"&amp;H1921,$AH$7:$AH$3000,"yes")+COUNTIFS($B$7:B1921,B1921,$C$7:C1921,C1921,$H$7:H1921,H1921,$AH$7:AH1921,"yes"),"")</f>
        <v>5</v>
      </c>
      <c r="AG1921" s="110" t="n">
        <f aca="false">IF(ISNUMBER(I1921),COUNTIFS($B$7:$B$3000,B1921,$C$7:$C$3000,C1921,$I$7:$I$3000,"&lt;"&amp;I1921,$AI$7:$AI$3000,"yes")+COUNTIFS($B$7:B1921,B1921,$C$7:C1921,C1921,$I$7:I1921,I1921,$AI$7:AI1921,"yes"),"")</f>
        <v>5</v>
      </c>
      <c r="AH1921" s="110" t="str">
        <f aca="false">IF(ISNUMBER(H1921),"yes","no")</f>
        <v>yes</v>
      </c>
      <c r="AI1921" s="110" t="str">
        <f aca="false">IF(ISNUMBER(I1921),"yes","no")</f>
        <v>yes</v>
      </c>
      <c r="AJ1921" s="120" t="n">
        <v>46297</v>
      </c>
      <c r="AK1921" s="110"/>
    </row>
    <row r="1922" customFormat="false" ht="23.85" hidden="false" customHeight="false" outlineLevel="0" collapsed="false">
      <c r="B1922" s="36" t="s">
        <v>104</v>
      </c>
      <c r="C1922" s="98" t="s">
        <v>15</v>
      </c>
      <c r="D1922" s="98" t="s">
        <v>293</v>
      </c>
      <c r="E1922" s="110" t="s">
        <v>5929</v>
      </c>
      <c r="F1922" s="99" t="n">
        <v>3</v>
      </c>
      <c r="G1922" s="98" t="s">
        <v>244</v>
      </c>
      <c r="H1922" s="112" t="n">
        <f aca="false">IF(AND(AE1922="yes",ISNUMBER(AD1922)),AD1922,"")</f>
        <v>3</v>
      </c>
      <c r="I1922" s="95" t="n">
        <f aca="false">IF(AND(AE1922="yes",ISNUMBER(AD1922),ISNUMBER(INDEX(Sources!$G$7:$G$10,MATCH(AB1922,Sources!$B$7:$B$10,0)))),ROUND(AD1922/INDEX(Sources!$G$7:$G$10,MATCH(AB1922,Sources!$B$7:$B$10,0)),6),"")</f>
        <v>3</v>
      </c>
      <c r="J1922" s="98" t="s">
        <v>530</v>
      </c>
      <c r="K1922" s="98" t="s">
        <v>2059</v>
      </c>
      <c r="L1922" s="96"/>
      <c r="M1922" s="110" t="s">
        <v>5930</v>
      </c>
      <c r="N1922" s="117" t="s">
        <v>5931</v>
      </c>
      <c r="O1922" s="110" t="s">
        <v>2957</v>
      </c>
      <c r="P1922" s="110" t="s">
        <v>590</v>
      </c>
      <c r="Q1922" s="118" t="n">
        <v>0.2</v>
      </c>
      <c r="R1922" s="110" t="n">
        <v>1</v>
      </c>
      <c r="S1922" s="110" t="s">
        <v>632</v>
      </c>
      <c r="T1922" s="110" t="s">
        <v>530</v>
      </c>
      <c r="U1922" s="110" t="s">
        <v>2913</v>
      </c>
      <c r="V1922" s="119" t="n">
        <v>3</v>
      </c>
      <c r="W1922" s="119"/>
      <c r="X1922" s="110" t="s">
        <v>2063</v>
      </c>
      <c r="Y1922" s="110" t="s">
        <v>2064</v>
      </c>
      <c r="Z1922" s="110" t="s">
        <v>2958</v>
      </c>
      <c r="AA1922" s="110" t="s">
        <v>537</v>
      </c>
      <c r="AB1922" s="110" t="s">
        <v>244</v>
      </c>
      <c r="AC1922" s="110" t="s">
        <v>538</v>
      </c>
      <c r="AD1922" s="110" t="n">
        <f aca="false">IF(OR(F1922="",Q1922="",R1922=""),"",ROUND(IF(P1922="incl.",F1922/(1+Q1922),F1922)/IF(S1922="per pack",R1922,1),2))</f>
        <v>3</v>
      </c>
      <c r="AE1922" s="110" t="str">
        <f aca="false">IF(AND(AC1922="yes",ISNUMBER(F1922),IF(Compare!$H$5="All mapped",TRUE(),IF(Compare!$H$5="EXACT only",J1922="EXACT",OR(J1922="EXACT",J1922="CLOSE")))),"yes","no")</f>
        <v>yes</v>
      </c>
      <c r="AF1922" s="110" t="n">
        <f aca="false">IF(ISNUMBER(H1922),COUNTIFS($B$7:$B$3000,B1922,$C$7:$C$3000,C1922,$H$7:$H$3000,"&lt;"&amp;H1922,$AH$7:$AH$3000,"yes")+COUNTIFS($B$7:B1922,B1922,$C$7:C1922,C1922,$H$7:H1922,H1922,$AH$7:AH1922,"yes"),"")</f>
        <v>3</v>
      </c>
      <c r="AG1922" s="110" t="n">
        <f aca="false">IF(ISNUMBER(I1922),COUNTIFS($B$7:$B$3000,B1922,$C$7:$C$3000,C1922,$I$7:$I$3000,"&lt;"&amp;I1922,$AI$7:$AI$3000,"yes")+COUNTIFS($B$7:B1922,B1922,$C$7:C1922,C1922,$I$7:I1922,I1922,$AI$7:AI1922,"yes"),"")</f>
        <v>3</v>
      </c>
      <c r="AH1922" s="110" t="str">
        <f aca="false">IF(ISNUMBER(H1922),"yes","no")</f>
        <v>yes</v>
      </c>
      <c r="AI1922" s="110" t="str">
        <f aca="false">IF(ISNUMBER(I1922),"yes","no")</f>
        <v>yes</v>
      </c>
      <c r="AJ1922" s="120" t="n">
        <v>46297</v>
      </c>
      <c r="AK1922" s="110"/>
    </row>
    <row r="1923" customFormat="false" ht="23.85" hidden="false" customHeight="false" outlineLevel="0" collapsed="false">
      <c r="B1923" s="36" t="s">
        <v>104</v>
      </c>
      <c r="C1923" s="98" t="s">
        <v>16</v>
      </c>
      <c r="D1923" s="98" t="s">
        <v>296</v>
      </c>
      <c r="E1923" s="110" t="s">
        <v>5910</v>
      </c>
      <c r="F1923" s="99" t="n">
        <v>2.61</v>
      </c>
      <c r="G1923" s="98" t="s">
        <v>244</v>
      </c>
      <c r="H1923" s="112" t="n">
        <f aca="false">IF(AND(AE1923="yes",ISNUMBER(AD1923)),AD1923,"")</f>
        <v>2.61</v>
      </c>
      <c r="I1923" s="95" t="n">
        <f aca="false">IF(AND(AE1923="yes",ISNUMBER(AD1923),ISNUMBER(INDEX(Sources!$G$7:$G$10,MATCH(AB1923,Sources!$B$7:$B$10,0)))),ROUND(AD1923/INDEX(Sources!$G$7:$G$10,MATCH(AB1923,Sources!$B$7:$B$10,0)),6),"")</f>
        <v>2.61</v>
      </c>
      <c r="J1923" s="98" t="s">
        <v>530</v>
      </c>
      <c r="K1923" s="98" t="s">
        <v>2059</v>
      </c>
      <c r="L1923" s="96"/>
      <c r="M1923" s="110" t="s">
        <v>5932</v>
      </c>
      <c r="N1923" s="117" t="s">
        <v>5933</v>
      </c>
      <c r="O1923" s="110" t="s">
        <v>3149</v>
      </c>
      <c r="P1923" s="110" t="s">
        <v>590</v>
      </c>
      <c r="Q1923" s="118" t="n">
        <v>0.19</v>
      </c>
      <c r="R1923" s="110" t="n">
        <v>1</v>
      </c>
      <c r="S1923" s="110" t="s">
        <v>632</v>
      </c>
      <c r="T1923" s="110" t="s">
        <v>530</v>
      </c>
      <c r="U1923" s="110" t="s">
        <v>2913</v>
      </c>
      <c r="V1923" s="119" t="n">
        <v>2.61</v>
      </c>
      <c r="W1923" s="119"/>
      <c r="X1923" s="110" t="s">
        <v>2063</v>
      </c>
      <c r="Y1923" s="110" t="s">
        <v>2064</v>
      </c>
      <c r="Z1923" s="110" t="s">
        <v>3128</v>
      </c>
      <c r="AA1923" s="110" t="s">
        <v>537</v>
      </c>
      <c r="AB1923" s="110" t="s">
        <v>244</v>
      </c>
      <c r="AC1923" s="110" t="s">
        <v>538</v>
      </c>
      <c r="AD1923" s="110" t="n">
        <f aca="false">IF(OR(F1923="",Q1923="",R1923=""),"",ROUND(IF(P1923="incl.",F1923/(1+Q1923),F1923)/IF(S1923="per pack",R1923,1),2))</f>
        <v>2.61</v>
      </c>
      <c r="AE1923" s="110" t="str">
        <f aca="false">IF(AND(AC1923="yes",ISNUMBER(F1923),IF(Compare!$H$5="All mapped",TRUE(),IF(Compare!$H$5="EXACT only",J1923="EXACT",OR(J1923="EXACT",J1923="CLOSE")))),"yes","no")</f>
        <v>yes</v>
      </c>
      <c r="AF1923" s="110" t="n">
        <f aca="false">IF(ISNUMBER(H1923),COUNTIFS($B$7:$B$3000,B1923,$C$7:$C$3000,C1923,$H$7:$H$3000,"&lt;"&amp;H1923,$AH$7:$AH$3000,"yes")+COUNTIFS($B$7:B1923,B1923,$C$7:C1923,C1923,$H$7:H1923,H1923,$AH$7:AH1923,"yes"),"")</f>
        <v>2</v>
      </c>
      <c r="AG1923" s="110" t="n">
        <f aca="false">IF(ISNUMBER(I1923),COUNTIFS($B$7:$B$3000,B1923,$C$7:$C$3000,C1923,$I$7:$I$3000,"&lt;"&amp;I1923,$AI$7:$AI$3000,"yes")+COUNTIFS($B$7:B1923,B1923,$C$7:C1923,C1923,$I$7:I1923,I1923,$AI$7:AI1923,"yes"),"")</f>
        <v>2</v>
      </c>
      <c r="AH1923" s="110" t="str">
        <f aca="false">IF(ISNUMBER(H1923),"yes","no")</f>
        <v>yes</v>
      </c>
      <c r="AI1923" s="110" t="str">
        <f aca="false">IF(ISNUMBER(I1923),"yes","no")</f>
        <v>yes</v>
      </c>
      <c r="AJ1923" s="120" t="n">
        <v>46297</v>
      </c>
      <c r="AK1923" s="110"/>
    </row>
    <row r="1924" customFormat="false" ht="35.05" hidden="false" customHeight="false" outlineLevel="0" collapsed="false">
      <c r="B1924" s="36" t="s">
        <v>104</v>
      </c>
      <c r="C1924" s="98" t="s">
        <v>16</v>
      </c>
      <c r="D1924" s="98" t="s">
        <v>305</v>
      </c>
      <c r="E1924" s="110" t="s">
        <v>5934</v>
      </c>
      <c r="F1924" s="99" t="n">
        <v>3.71</v>
      </c>
      <c r="G1924" s="98" t="s">
        <v>244</v>
      </c>
      <c r="H1924" s="112" t="n">
        <f aca="false">IF(AND(AE1924="yes",ISNUMBER(AD1924)),AD1924,"")</f>
        <v>3.12</v>
      </c>
      <c r="I1924" s="95" t="n">
        <f aca="false">IF(AND(AE1924="yes",ISNUMBER(AD1924),ISNUMBER(INDEX(Sources!$G$7:$G$10,MATCH(AB1924,Sources!$B$7:$B$10,0)))),ROUND(AD1924/INDEX(Sources!$G$7:$G$10,MATCH(AB1924,Sources!$B$7:$B$10,0)),6),"")</f>
        <v>3.12</v>
      </c>
      <c r="J1924" s="98" t="s">
        <v>530</v>
      </c>
      <c r="K1924" s="98" t="s">
        <v>2059</v>
      </c>
      <c r="L1924" s="96"/>
      <c r="M1924" s="110" t="s">
        <v>5935</v>
      </c>
      <c r="N1924" s="117" t="s">
        <v>5936</v>
      </c>
      <c r="O1924" s="110" t="s">
        <v>2965</v>
      </c>
      <c r="P1924" s="110" t="s">
        <v>265</v>
      </c>
      <c r="Q1924" s="118" t="n">
        <v>0.19</v>
      </c>
      <c r="R1924" s="110" t="n">
        <v>1</v>
      </c>
      <c r="S1924" s="110" t="s">
        <v>632</v>
      </c>
      <c r="T1924" s="110" t="s">
        <v>530</v>
      </c>
      <c r="U1924" s="110" t="s">
        <v>2918</v>
      </c>
      <c r="V1924" s="119" t="n">
        <v>3.12</v>
      </c>
      <c r="W1924" s="119"/>
      <c r="X1924" s="110" t="s">
        <v>2063</v>
      </c>
      <c r="Y1924" s="110" t="s">
        <v>2064</v>
      </c>
      <c r="Z1924" s="110" t="s">
        <v>2156</v>
      </c>
      <c r="AA1924" s="110" t="s">
        <v>537</v>
      </c>
      <c r="AB1924" s="110" t="s">
        <v>244</v>
      </c>
      <c r="AC1924" s="110" t="s">
        <v>538</v>
      </c>
      <c r="AD1924" s="110" t="n">
        <f aca="false">IF(OR(F1924="",Q1924="",R1924=""),"",ROUND(IF(P1924="incl.",F1924/(1+Q1924),F1924)/IF(S1924="per pack",R1924,1),2))</f>
        <v>3.12</v>
      </c>
      <c r="AE1924" s="110" t="str">
        <f aca="false">IF(AND(AC1924="yes",ISNUMBER(F1924),IF(Compare!$H$5="All mapped",TRUE(),IF(Compare!$H$5="EXACT only",J1924="EXACT",OR(J1924="EXACT",J1924="CLOSE")))),"yes","no")</f>
        <v>yes</v>
      </c>
      <c r="AF1924" s="110" t="n">
        <f aca="false">IF(ISNUMBER(H1924),COUNTIFS($B$7:$B$3000,B1924,$C$7:$C$3000,C1924,$H$7:$H$3000,"&lt;"&amp;H1924,$AH$7:$AH$3000,"yes")+COUNTIFS($B$7:B1924,B1924,$C$7:C1924,C1924,$H$7:H1924,H1924,$AH$7:AH1924,"yes"),"")</f>
        <v>4</v>
      </c>
      <c r="AG1924" s="110" t="n">
        <f aca="false">IF(ISNUMBER(I1924),COUNTIFS($B$7:$B$3000,B1924,$C$7:$C$3000,C1924,$I$7:$I$3000,"&lt;"&amp;I1924,$AI$7:$AI$3000,"yes")+COUNTIFS($B$7:B1924,B1924,$C$7:C1924,C1924,$I$7:I1924,I1924,$AI$7:AI1924,"yes"),"")</f>
        <v>4</v>
      </c>
      <c r="AH1924" s="110" t="str">
        <f aca="false">IF(ISNUMBER(H1924),"yes","no")</f>
        <v>yes</v>
      </c>
      <c r="AI1924" s="110" t="str">
        <f aca="false">IF(ISNUMBER(I1924),"yes","no")</f>
        <v>yes</v>
      </c>
      <c r="AJ1924" s="120" t="n">
        <v>46297</v>
      </c>
      <c r="AK1924" s="110"/>
    </row>
    <row r="1925" customFormat="false" ht="35.05" hidden="false" customHeight="false" outlineLevel="0" collapsed="false">
      <c r="B1925" s="36" t="s">
        <v>104</v>
      </c>
      <c r="C1925" s="98" t="s">
        <v>16</v>
      </c>
      <c r="D1925" s="98" t="s">
        <v>311</v>
      </c>
      <c r="E1925" s="110" t="s">
        <v>5916</v>
      </c>
      <c r="F1925" s="99" t="n">
        <v>2.79</v>
      </c>
      <c r="G1925" s="98" t="s">
        <v>244</v>
      </c>
      <c r="H1925" s="112" t="n">
        <f aca="false">IF(AND(AE1925="yes",ISNUMBER(AD1925)),AD1925,"")</f>
        <v>2.79</v>
      </c>
      <c r="I1925" s="95" t="n">
        <f aca="false">IF(AND(AE1925="yes",ISNUMBER(AD1925),ISNUMBER(INDEX(Sources!$G$7:$G$10,MATCH(AB1925,Sources!$B$7:$B$10,0)))),ROUND(AD1925/INDEX(Sources!$G$7:$G$10,MATCH(AB1925,Sources!$B$7:$B$10,0)),6),"")</f>
        <v>2.79</v>
      </c>
      <c r="J1925" s="98" t="s">
        <v>530</v>
      </c>
      <c r="K1925" s="98" t="s">
        <v>2059</v>
      </c>
      <c r="L1925" s="96"/>
      <c r="M1925" s="110" t="s">
        <v>5937</v>
      </c>
      <c r="N1925" s="117" t="s">
        <v>5938</v>
      </c>
      <c r="O1925" s="110" t="s">
        <v>598</v>
      </c>
      <c r="P1925" s="110" t="s">
        <v>590</v>
      </c>
      <c r="Q1925" s="118" t="n">
        <v>0.19</v>
      </c>
      <c r="R1925" s="110" t="n">
        <v>1</v>
      </c>
      <c r="S1925" s="110" t="s">
        <v>632</v>
      </c>
      <c r="T1925" s="110" t="s">
        <v>530</v>
      </c>
      <c r="U1925" s="110" t="s">
        <v>2913</v>
      </c>
      <c r="V1925" s="119" t="n">
        <v>2.79</v>
      </c>
      <c r="W1925" s="119"/>
      <c r="X1925" s="110" t="s">
        <v>2063</v>
      </c>
      <c r="Y1925" s="110" t="s">
        <v>2064</v>
      </c>
      <c r="Z1925" s="110" t="s">
        <v>3236</v>
      </c>
      <c r="AA1925" s="110" t="s">
        <v>537</v>
      </c>
      <c r="AB1925" s="110" t="s">
        <v>244</v>
      </c>
      <c r="AC1925" s="110" t="s">
        <v>538</v>
      </c>
      <c r="AD1925" s="110" t="n">
        <f aca="false">IF(OR(F1925="",Q1925="",R1925=""),"",ROUND(IF(P1925="incl.",F1925/(1+Q1925),F1925)/IF(S1925="per pack",R1925,1),2))</f>
        <v>2.79</v>
      </c>
      <c r="AE1925" s="110" t="str">
        <f aca="false">IF(AND(AC1925="yes",ISNUMBER(F1925),IF(Compare!$H$5="All mapped",TRUE(),IF(Compare!$H$5="EXACT only",J1925="EXACT",OR(J1925="EXACT",J1925="CLOSE")))),"yes","no")</f>
        <v>yes</v>
      </c>
      <c r="AF1925" s="110" t="n">
        <f aca="false">IF(ISNUMBER(H1925),COUNTIFS($B$7:$B$3000,B1925,$C$7:$C$3000,C1925,$H$7:$H$3000,"&lt;"&amp;H1925,$AH$7:$AH$3000,"yes")+COUNTIFS($B$7:B1925,B1925,$C$7:C1925,C1925,$H$7:H1925,H1925,$AH$7:AH1925,"yes"),"")</f>
        <v>3</v>
      </c>
      <c r="AG1925" s="110" t="n">
        <f aca="false">IF(ISNUMBER(I1925),COUNTIFS($B$7:$B$3000,B1925,$C$7:$C$3000,C1925,$I$7:$I$3000,"&lt;"&amp;I1925,$AI$7:$AI$3000,"yes")+COUNTIFS($B$7:B1925,B1925,$C$7:C1925,C1925,$I$7:I1925,I1925,$AI$7:AI1925,"yes"),"")</f>
        <v>3</v>
      </c>
      <c r="AH1925" s="110" t="str">
        <f aca="false">IF(ISNUMBER(H1925),"yes","no")</f>
        <v>yes</v>
      </c>
      <c r="AI1925" s="110" t="str">
        <f aca="false">IF(ISNUMBER(I1925),"yes","no")</f>
        <v>yes</v>
      </c>
      <c r="AJ1925" s="120" t="n">
        <v>46297</v>
      </c>
      <c r="AK1925" s="110"/>
    </row>
    <row r="1926" customFormat="false" ht="23.85" hidden="false" customHeight="false" outlineLevel="0" collapsed="false">
      <c r="B1926" s="36" t="s">
        <v>104</v>
      </c>
      <c r="C1926" s="98" t="s">
        <v>16</v>
      </c>
      <c r="D1926" s="98" t="s">
        <v>309</v>
      </c>
      <c r="E1926" s="110" t="s">
        <v>5939</v>
      </c>
      <c r="F1926" s="99" t="n">
        <v>5.61</v>
      </c>
      <c r="G1926" s="98" t="s">
        <v>244</v>
      </c>
      <c r="H1926" s="112" t="n">
        <f aca="false">IF(AND(AE1926="yes",ISNUMBER(AD1926)),AD1926,"")</f>
        <v>5.61</v>
      </c>
      <c r="I1926" s="95" t="n">
        <f aca="false">IF(AND(AE1926="yes",ISNUMBER(AD1926),ISNUMBER(INDEX(Sources!$G$7:$G$10,MATCH(AB1926,Sources!$B$7:$B$10,0)))),ROUND(AD1926/INDEX(Sources!$G$7:$G$10,MATCH(AB1926,Sources!$B$7:$B$10,0)),6),"")</f>
        <v>5.61</v>
      </c>
      <c r="J1926" s="98" t="s">
        <v>530</v>
      </c>
      <c r="K1926" s="98" t="s">
        <v>2059</v>
      </c>
      <c r="L1926" s="96"/>
      <c r="M1926" s="110" t="s">
        <v>5940</v>
      </c>
      <c r="N1926" s="117" t="s">
        <v>5941</v>
      </c>
      <c r="O1926" s="110" t="s">
        <v>1583</v>
      </c>
      <c r="P1926" s="110" t="s">
        <v>590</v>
      </c>
      <c r="Q1926" s="118" t="n">
        <v>0.19</v>
      </c>
      <c r="R1926" s="110" t="n">
        <v>1</v>
      </c>
      <c r="S1926" s="110" t="s">
        <v>632</v>
      </c>
      <c r="T1926" s="110" t="s">
        <v>530</v>
      </c>
      <c r="U1926" s="110" t="s">
        <v>2913</v>
      </c>
      <c r="V1926" s="119" t="n">
        <v>5.61</v>
      </c>
      <c r="W1926" s="119"/>
      <c r="X1926" s="110" t="s">
        <v>2063</v>
      </c>
      <c r="Y1926" s="110" t="s">
        <v>2064</v>
      </c>
      <c r="Z1926" s="110" t="s">
        <v>5859</v>
      </c>
      <c r="AA1926" s="110" t="s">
        <v>537</v>
      </c>
      <c r="AB1926" s="110" t="s">
        <v>244</v>
      </c>
      <c r="AC1926" s="110" t="s">
        <v>538</v>
      </c>
      <c r="AD1926" s="110" t="n">
        <f aca="false">IF(OR(F1926="",Q1926="",R1926=""),"",ROUND(IF(P1926="incl.",F1926/(1+Q1926),F1926)/IF(S1926="per pack",R1926,1),2))</f>
        <v>5.61</v>
      </c>
      <c r="AE1926" s="110" t="str">
        <f aca="false">IF(AND(AC1926="yes",ISNUMBER(F1926),IF(Compare!$H$5="All mapped",TRUE(),IF(Compare!$H$5="EXACT only",J1926="EXACT",OR(J1926="EXACT",J1926="CLOSE")))),"yes","no")</f>
        <v>yes</v>
      </c>
      <c r="AF1926" s="110" t="n">
        <f aca="false">IF(ISNUMBER(H1926),COUNTIFS($B$7:$B$3000,B1926,$C$7:$C$3000,C1926,$H$7:$H$3000,"&lt;"&amp;H1926,$AH$7:$AH$3000,"yes")+COUNTIFS($B$7:B1926,B1926,$C$7:C1926,C1926,$H$7:H1926,H1926,$AH$7:AH1926,"yes"),"")</f>
        <v>7</v>
      </c>
      <c r="AG1926" s="110" t="n">
        <f aca="false">IF(ISNUMBER(I1926),COUNTIFS($B$7:$B$3000,B1926,$C$7:$C$3000,C1926,$I$7:$I$3000,"&lt;"&amp;I1926,$AI$7:$AI$3000,"yes")+COUNTIFS($B$7:B1926,B1926,$C$7:C1926,C1926,$I$7:I1926,I1926,$AI$7:AI1926,"yes"),"")</f>
        <v>7</v>
      </c>
      <c r="AH1926" s="110" t="str">
        <f aca="false">IF(ISNUMBER(H1926),"yes","no")</f>
        <v>yes</v>
      </c>
      <c r="AI1926" s="110" t="str">
        <f aca="false">IF(ISNUMBER(I1926),"yes","no")</f>
        <v>yes</v>
      </c>
      <c r="AJ1926" s="120" t="n">
        <v>46297</v>
      </c>
      <c r="AK1926" s="110"/>
    </row>
    <row r="1927" customFormat="false" ht="23.85" hidden="false" customHeight="false" outlineLevel="0" collapsed="false">
      <c r="B1927" s="36" t="s">
        <v>104</v>
      </c>
      <c r="C1927" s="98" t="s">
        <v>16</v>
      </c>
      <c r="D1927" s="98" t="s">
        <v>313</v>
      </c>
      <c r="E1927" s="110" t="s">
        <v>5860</v>
      </c>
      <c r="F1927" s="99" t="n">
        <v>3.79</v>
      </c>
      <c r="G1927" s="98" t="s">
        <v>244</v>
      </c>
      <c r="H1927" s="112" t="n">
        <f aca="false">IF(AND(AE1927="yes",ISNUMBER(AD1927)),AD1927,"")</f>
        <v>3.18</v>
      </c>
      <c r="I1927" s="95" t="n">
        <f aca="false">IF(AND(AE1927="yes",ISNUMBER(AD1927),ISNUMBER(INDEX(Sources!$G$7:$G$10,MATCH(AB1927,Sources!$B$7:$B$10,0)))),ROUND(AD1927/INDEX(Sources!$G$7:$G$10,MATCH(AB1927,Sources!$B$7:$B$10,0)),6),"")</f>
        <v>3.18</v>
      </c>
      <c r="J1927" s="98" t="s">
        <v>530</v>
      </c>
      <c r="K1927" s="98" t="s">
        <v>2059</v>
      </c>
      <c r="L1927" s="96"/>
      <c r="M1927" s="110" t="s">
        <v>5942</v>
      </c>
      <c r="N1927" s="117" t="s">
        <v>5943</v>
      </c>
      <c r="O1927" s="110" t="s">
        <v>2982</v>
      </c>
      <c r="P1927" s="110" t="s">
        <v>265</v>
      </c>
      <c r="Q1927" s="118" t="n">
        <v>0.19</v>
      </c>
      <c r="R1927" s="110" t="n">
        <v>1</v>
      </c>
      <c r="S1927" s="110" t="s">
        <v>632</v>
      </c>
      <c r="T1927" s="110" t="s">
        <v>530</v>
      </c>
      <c r="U1927" s="110" t="s">
        <v>2918</v>
      </c>
      <c r="V1927" s="119" t="n">
        <v>3.18</v>
      </c>
      <c r="W1927" s="119"/>
      <c r="X1927" s="110" t="s">
        <v>2063</v>
      </c>
      <c r="Y1927" s="110" t="s">
        <v>2064</v>
      </c>
      <c r="Z1927" s="110" t="s">
        <v>3243</v>
      </c>
      <c r="AA1927" s="110" t="s">
        <v>537</v>
      </c>
      <c r="AB1927" s="110" t="s">
        <v>244</v>
      </c>
      <c r="AC1927" s="110" t="s">
        <v>538</v>
      </c>
      <c r="AD1927" s="110" t="n">
        <f aca="false">IF(OR(F1927="",Q1927="",R1927=""),"",ROUND(IF(P1927="incl.",F1927/(1+Q1927),F1927)/IF(S1927="per pack",R1927,1),2))</f>
        <v>3.18</v>
      </c>
      <c r="AE1927" s="110" t="str">
        <f aca="false">IF(AND(AC1927="yes",ISNUMBER(F1927),IF(Compare!$H$5="All mapped",TRUE(),IF(Compare!$H$5="EXACT only",J1927="EXACT",OR(J1927="EXACT",J1927="CLOSE")))),"yes","no")</f>
        <v>yes</v>
      </c>
      <c r="AF1927" s="110" t="n">
        <f aca="false">IF(ISNUMBER(H1927),COUNTIFS($B$7:$B$3000,B1927,$C$7:$C$3000,C1927,$H$7:$H$3000,"&lt;"&amp;H1927,$AH$7:$AH$3000,"yes")+COUNTIFS($B$7:B1927,B1927,$C$7:C1927,C1927,$H$7:H1927,H1927,$AH$7:AH1927,"yes"),"")</f>
        <v>5</v>
      </c>
      <c r="AG1927" s="110" t="n">
        <f aca="false">IF(ISNUMBER(I1927),COUNTIFS($B$7:$B$3000,B1927,$C$7:$C$3000,C1927,$I$7:$I$3000,"&lt;"&amp;I1927,$AI$7:$AI$3000,"yes")+COUNTIFS($B$7:B1927,B1927,$C$7:C1927,C1927,$I$7:I1927,I1927,$AI$7:AI1927,"yes"),"")</f>
        <v>5</v>
      </c>
      <c r="AH1927" s="110" t="str">
        <f aca="false">IF(ISNUMBER(H1927),"yes","no")</f>
        <v>yes</v>
      </c>
      <c r="AI1927" s="110" t="str">
        <f aca="false">IF(ISNUMBER(I1927),"yes","no")</f>
        <v>yes</v>
      </c>
      <c r="AJ1927" s="120" t="n">
        <v>46297</v>
      </c>
      <c r="AK1927" s="110"/>
    </row>
    <row r="1928" customFormat="false" ht="23.85" hidden="false" customHeight="false" outlineLevel="0" collapsed="false">
      <c r="B1928" s="36" t="s">
        <v>104</v>
      </c>
      <c r="C1928" s="98" t="s">
        <v>16</v>
      </c>
      <c r="D1928" s="98" t="s">
        <v>321</v>
      </c>
      <c r="E1928" s="110" t="s">
        <v>5925</v>
      </c>
      <c r="F1928" s="99" t="n">
        <v>3.4</v>
      </c>
      <c r="G1928" s="98" t="s">
        <v>244</v>
      </c>
      <c r="H1928" s="112" t="n">
        <f aca="false">IF(AND(AE1928="yes",ISNUMBER(AD1928)),AD1928,"")</f>
        <v>3.4</v>
      </c>
      <c r="I1928" s="95" t="n">
        <f aca="false">IF(AND(AE1928="yes",ISNUMBER(AD1928),ISNUMBER(INDEX(Sources!$G$7:$G$10,MATCH(AB1928,Sources!$B$7:$B$10,0)))),ROUND(AD1928/INDEX(Sources!$G$7:$G$10,MATCH(AB1928,Sources!$B$7:$B$10,0)),6),"")</f>
        <v>3.4</v>
      </c>
      <c r="J1928" s="98" t="s">
        <v>530</v>
      </c>
      <c r="K1928" s="98" t="s">
        <v>2059</v>
      </c>
      <c r="L1928" s="96"/>
      <c r="M1928" s="110" t="s">
        <v>5944</v>
      </c>
      <c r="N1928" s="117" t="s">
        <v>5945</v>
      </c>
      <c r="O1928" s="110" t="s">
        <v>2944</v>
      </c>
      <c r="P1928" s="110" t="s">
        <v>590</v>
      </c>
      <c r="Q1928" s="118" t="n">
        <v>0.19</v>
      </c>
      <c r="R1928" s="110" t="n">
        <v>1</v>
      </c>
      <c r="S1928" s="110" t="s">
        <v>632</v>
      </c>
      <c r="T1928" s="110" t="s">
        <v>530</v>
      </c>
      <c r="U1928" s="110" t="s">
        <v>2913</v>
      </c>
      <c r="V1928" s="119" t="n">
        <v>3.4</v>
      </c>
      <c r="W1928" s="119"/>
      <c r="X1928" s="110" t="s">
        <v>2063</v>
      </c>
      <c r="Y1928" s="110" t="s">
        <v>2064</v>
      </c>
      <c r="Z1928" s="110" t="s">
        <v>2978</v>
      </c>
      <c r="AA1928" s="110" t="s">
        <v>537</v>
      </c>
      <c r="AB1928" s="110" t="s">
        <v>244</v>
      </c>
      <c r="AC1928" s="110" t="s">
        <v>538</v>
      </c>
      <c r="AD1928" s="110" t="n">
        <f aca="false">IF(OR(F1928="",Q1928="",R1928=""),"",ROUND(IF(P1928="incl.",F1928/(1+Q1928),F1928)/IF(S1928="per pack",R1928,1),2))</f>
        <v>3.4</v>
      </c>
      <c r="AE1928" s="110" t="str">
        <f aca="false">IF(AND(AC1928="yes",ISNUMBER(F1928),IF(Compare!$H$5="All mapped",TRUE(),IF(Compare!$H$5="EXACT only",J1928="EXACT",OR(J1928="EXACT",J1928="CLOSE")))),"yes","no")</f>
        <v>yes</v>
      </c>
      <c r="AF1928" s="110" t="n">
        <f aca="false">IF(ISNUMBER(H1928),COUNTIFS($B$7:$B$3000,B1928,$C$7:$C$3000,C1928,$H$7:$H$3000,"&lt;"&amp;H1928,$AH$7:$AH$3000,"yes")+COUNTIFS($B$7:B1928,B1928,$C$7:C1928,C1928,$H$7:H1928,H1928,$AH$7:AH1928,"yes"),"")</f>
        <v>6</v>
      </c>
      <c r="AG1928" s="110" t="n">
        <f aca="false">IF(ISNUMBER(I1928),COUNTIFS($B$7:$B$3000,B1928,$C$7:$C$3000,C1928,$I$7:$I$3000,"&lt;"&amp;I1928,$AI$7:$AI$3000,"yes")+COUNTIFS($B$7:B1928,B1928,$C$7:C1928,C1928,$I$7:I1928,I1928,$AI$7:AI1928,"yes"),"")</f>
        <v>6</v>
      </c>
      <c r="AH1928" s="110" t="str">
        <f aca="false">IF(ISNUMBER(H1928),"yes","no")</f>
        <v>yes</v>
      </c>
      <c r="AI1928" s="110" t="str">
        <f aca="false">IF(ISNUMBER(I1928),"yes","no")</f>
        <v>yes</v>
      </c>
      <c r="AJ1928" s="120" t="n">
        <v>46297</v>
      </c>
      <c r="AK1928" s="110"/>
    </row>
    <row r="1929" customFormat="false" ht="35.05" hidden="false" customHeight="false" outlineLevel="0" collapsed="false">
      <c r="B1929" s="36" t="s">
        <v>104</v>
      </c>
      <c r="C1929" s="98" t="s">
        <v>16</v>
      </c>
      <c r="D1929" s="98" t="s">
        <v>329</v>
      </c>
      <c r="E1929" s="110" t="s">
        <v>5922</v>
      </c>
      <c r="F1929" s="99" t="n">
        <v>1.59</v>
      </c>
      <c r="G1929" s="98" t="s">
        <v>244</v>
      </c>
      <c r="H1929" s="112" t="n">
        <f aca="false">IF(AND(AE1929="yes",ISNUMBER(AD1929)),AD1929,"")</f>
        <v>1.59</v>
      </c>
      <c r="I1929" s="95" t="n">
        <f aca="false">IF(AND(AE1929="yes",ISNUMBER(AD1929),ISNUMBER(INDEX(Sources!$G$7:$G$10,MATCH(AB1929,Sources!$B$7:$B$10,0)))),ROUND(AD1929/INDEX(Sources!$G$7:$G$10,MATCH(AB1929,Sources!$B$7:$B$10,0)),6),"")</f>
        <v>1.59</v>
      </c>
      <c r="J1929" s="98" t="s">
        <v>530</v>
      </c>
      <c r="K1929" s="98" t="s">
        <v>2059</v>
      </c>
      <c r="L1929" s="96"/>
      <c r="M1929" s="110" t="s">
        <v>5946</v>
      </c>
      <c r="N1929" s="117" t="s">
        <v>5947</v>
      </c>
      <c r="O1929" s="110" t="s">
        <v>2982</v>
      </c>
      <c r="P1929" s="110" t="s">
        <v>590</v>
      </c>
      <c r="Q1929" s="118" t="n">
        <v>0.19</v>
      </c>
      <c r="R1929" s="110" t="n">
        <v>1</v>
      </c>
      <c r="S1929" s="110" t="s">
        <v>632</v>
      </c>
      <c r="T1929" s="110" t="s">
        <v>530</v>
      </c>
      <c r="U1929" s="110" t="s">
        <v>2913</v>
      </c>
      <c r="V1929" s="119" t="n">
        <v>1.59</v>
      </c>
      <c r="W1929" s="119"/>
      <c r="X1929" s="110" t="s">
        <v>2063</v>
      </c>
      <c r="Y1929" s="110" t="s">
        <v>2064</v>
      </c>
      <c r="Z1929" s="110" t="s">
        <v>2624</v>
      </c>
      <c r="AA1929" s="110" t="s">
        <v>537</v>
      </c>
      <c r="AB1929" s="110" t="s">
        <v>244</v>
      </c>
      <c r="AC1929" s="110" t="s">
        <v>538</v>
      </c>
      <c r="AD1929" s="110" t="n">
        <f aca="false">IF(OR(F1929="",Q1929="",R1929=""),"",ROUND(IF(P1929="incl.",F1929/(1+Q1929),F1929)/IF(S1929="per pack",R1929,1),2))</f>
        <v>1.59</v>
      </c>
      <c r="AE1929" s="110" t="str">
        <f aca="false">IF(AND(AC1929="yes",ISNUMBER(F1929),IF(Compare!$H$5="All mapped",TRUE(),IF(Compare!$H$5="EXACT only",J1929="EXACT",OR(J1929="EXACT",J1929="CLOSE")))),"yes","no")</f>
        <v>yes</v>
      </c>
      <c r="AF1929" s="110" t="n">
        <f aca="false">IF(ISNUMBER(H1929),COUNTIFS($B$7:$B$3000,B1929,$C$7:$C$3000,C1929,$H$7:$H$3000,"&lt;"&amp;H1929,$AH$7:$AH$3000,"yes")+COUNTIFS($B$7:B1929,B1929,$C$7:C1929,C1929,$H$7:H1929,H1929,$AH$7:AH1929,"yes"),"")</f>
        <v>1</v>
      </c>
      <c r="AG1929" s="110" t="n">
        <f aca="false">IF(ISNUMBER(I1929),COUNTIFS($B$7:$B$3000,B1929,$C$7:$C$3000,C1929,$I$7:$I$3000,"&lt;"&amp;I1929,$AI$7:$AI$3000,"yes")+COUNTIFS($B$7:B1929,B1929,$C$7:C1929,C1929,$I$7:I1929,I1929,$AI$7:AI1929,"yes"),"")</f>
        <v>1</v>
      </c>
      <c r="AH1929" s="110" t="str">
        <f aca="false">IF(ISNUMBER(H1929),"yes","no")</f>
        <v>yes</v>
      </c>
      <c r="AI1929" s="110" t="str">
        <f aca="false">IF(ISNUMBER(I1929),"yes","no")</f>
        <v>yes</v>
      </c>
      <c r="AJ1929" s="120" t="n">
        <v>46297</v>
      </c>
      <c r="AK1929" s="110"/>
    </row>
    <row r="1930" customFormat="false" ht="23.85" hidden="false" customHeight="false" outlineLevel="0" collapsed="false">
      <c r="B1930" s="36" t="s">
        <v>104</v>
      </c>
      <c r="C1930" s="98" t="s">
        <v>17</v>
      </c>
      <c r="D1930" s="98" t="s">
        <v>338</v>
      </c>
      <c r="E1930" s="110" t="s">
        <v>5948</v>
      </c>
      <c r="F1930" s="99" t="n">
        <v>69</v>
      </c>
      <c r="G1930" s="98" t="s">
        <v>333</v>
      </c>
      <c r="H1930" s="112" t="n">
        <f aca="false">IF(AND(AE1930="yes",ISNUMBER(AD1930)),AD1930,"")</f>
        <v>69</v>
      </c>
      <c r="I1930" s="95" t="n">
        <f aca="false">IF(AND(AE1930="yes",ISNUMBER(AD1930),ISNUMBER(INDEX(Sources!$G$7:$G$10,MATCH(AB1930,Sources!$B$7:$B$10,0)))),ROUND(AD1930/INDEX(Sources!$G$7:$G$10,MATCH(AB1930,Sources!$B$7:$B$10,0)),6),"")</f>
        <v>2.825135</v>
      </c>
      <c r="J1930" s="98" t="s">
        <v>530</v>
      </c>
      <c r="K1930" s="98" t="s">
        <v>2059</v>
      </c>
      <c r="L1930" s="96"/>
      <c r="M1930" s="110" t="s">
        <v>5949</v>
      </c>
      <c r="N1930" s="117" t="s">
        <v>5950</v>
      </c>
      <c r="O1930" s="110" t="s">
        <v>388</v>
      </c>
      <c r="P1930" s="110" t="s">
        <v>590</v>
      </c>
      <c r="Q1930" s="118" t="n">
        <v>0.21</v>
      </c>
      <c r="R1930" s="110" t="n">
        <v>1</v>
      </c>
      <c r="S1930" s="110" t="s">
        <v>632</v>
      </c>
      <c r="T1930" s="110" t="s">
        <v>530</v>
      </c>
      <c r="U1930" s="110" t="s">
        <v>2913</v>
      </c>
      <c r="V1930" s="119" t="n">
        <v>69</v>
      </c>
      <c r="W1930" s="119"/>
      <c r="X1930" s="110" t="s">
        <v>2063</v>
      </c>
      <c r="Y1930" s="110" t="s">
        <v>2064</v>
      </c>
      <c r="Z1930" s="110" t="s">
        <v>3167</v>
      </c>
      <c r="AA1930" s="110" t="s">
        <v>537</v>
      </c>
      <c r="AB1930" s="110" t="s">
        <v>333</v>
      </c>
      <c r="AC1930" s="110" t="s">
        <v>538</v>
      </c>
      <c r="AD1930" s="110" t="n">
        <f aca="false">IF(OR(F1930="",Q1930="",R1930=""),"",ROUND(IF(P1930="incl.",F1930/(1+Q1930),F1930)/IF(S1930="per pack",R1930,1),2))</f>
        <v>69</v>
      </c>
      <c r="AE1930" s="110" t="str">
        <f aca="false">IF(AND(AC1930="yes",ISNUMBER(F1930),IF(Compare!$H$5="All mapped",TRUE(),IF(Compare!$H$5="EXACT only",J1930="EXACT",OR(J1930="EXACT",J1930="CLOSE")))),"yes","no")</f>
        <v>yes</v>
      </c>
      <c r="AF1930" s="110" t="n">
        <f aca="false">IF(ISNUMBER(H1930),COUNTIFS($B$7:$B$3000,B1930,$C$7:$C$3000,C1930,$H$7:$H$3000,"&lt;"&amp;H1930,$AH$7:$AH$3000,"yes")+COUNTIFS($B$7:B1930,B1930,$C$7:C1930,C1930,$H$7:H1930,H1930,$AH$7:AH1930,"yes"),"")</f>
        <v>3</v>
      </c>
      <c r="AG1930" s="110" t="n">
        <f aca="false">IF(ISNUMBER(I1930),COUNTIFS($B$7:$B$3000,B1930,$C$7:$C$3000,C1930,$I$7:$I$3000,"&lt;"&amp;I1930,$AI$7:$AI$3000,"yes")+COUNTIFS($B$7:B1930,B1930,$C$7:C1930,C1930,$I$7:I1930,I1930,$AI$7:AI1930,"yes"),"")</f>
        <v>3</v>
      </c>
      <c r="AH1930" s="110" t="str">
        <f aca="false">IF(ISNUMBER(H1930),"yes","no")</f>
        <v>yes</v>
      </c>
      <c r="AI1930" s="110" t="str">
        <f aca="false">IF(ISNUMBER(I1930),"yes","no")</f>
        <v>yes</v>
      </c>
      <c r="AJ1930" s="120" t="n">
        <v>46297</v>
      </c>
      <c r="AK1930" s="110"/>
    </row>
    <row r="1931" customFormat="false" ht="23.85" hidden="false" customHeight="false" outlineLevel="0" collapsed="false">
      <c r="B1931" s="36" t="s">
        <v>104</v>
      </c>
      <c r="C1931" s="98" t="s">
        <v>17</v>
      </c>
      <c r="D1931" s="98" t="s">
        <v>342</v>
      </c>
      <c r="E1931" s="110" t="s">
        <v>5951</v>
      </c>
      <c r="F1931" s="99" t="n">
        <v>54</v>
      </c>
      <c r="G1931" s="98" t="s">
        <v>333</v>
      </c>
      <c r="H1931" s="112" t="n">
        <f aca="false">IF(AND(AE1931="yes",ISNUMBER(AD1931)),AD1931,"")</f>
        <v>54</v>
      </c>
      <c r="I1931" s="95" t="n">
        <f aca="false">IF(AND(AE1931="yes",ISNUMBER(AD1931),ISNUMBER(INDEX(Sources!$G$7:$G$10,MATCH(AB1931,Sources!$B$7:$B$10,0)))),ROUND(AD1931/INDEX(Sources!$G$7:$G$10,MATCH(AB1931,Sources!$B$7:$B$10,0)),6),"")</f>
        <v>2.210975</v>
      </c>
      <c r="J1931" s="98" t="s">
        <v>530</v>
      </c>
      <c r="K1931" s="98" t="s">
        <v>2059</v>
      </c>
      <c r="L1931" s="96"/>
      <c r="M1931" s="110" t="s">
        <v>5952</v>
      </c>
      <c r="N1931" s="117" t="s">
        <v>5953</v>
      </c>
      <c r="O1931" s="110" t="s">
        <v>1138</v>
      </c>
      <c r="P1931" s="110" t="s">
        <v>590</v>
      </c>
      <c r="Q1931" s="118" t="n">
        <v>0.21</v>
      </c>
      <c r="R1931" s="110" t="n">
        <v>1</v>
      </c>
      <c r="S1931" s="110" t="s">
        <v>632</v>
      </c>
      <c r="T1931" s="110" t="s">
        <v>530</v>
      </c>
      <c r="U1931" s="110" t="s">
        <v>2913</v>
      </c>
      <c r="V1931" s="119" t="n">
        <v>54</v>
      </c>
      <c r="W1931" s="119"/>
      <c r="X1931" s="110" t="s">
        <v>2063</v>
      </c>
      <c r="Y1931" s="110" t="s">
        <v>2064</v>
      </c>
      <c r="Z1931" s="110" t="s">
        <v>2989</v>
      </c>
      <c r="AA1931" s="110" t="s">
        <v>537</v>
      </c>
      <c r="AB1931" s="110" t="s">
        <v>333</v>
      </c>
      <c r="AC1931" s="110" t="s">
        <v>538</v>
      </c>
      <c r="AD1931" s="110" t="n">
        <f aca="false">IF(OR(F1931="",Q1931="",R1931=""),"",ROUND(IF(P1931="incl.",F1931/(1+Q1931),F1931)/IF(S1931="per pack",R1931,1),2))</f>
        <v>54</v>
      </c>
      <c r="AE1931" s="110" t="str">
        <f aca="false">IF(AND(AC1931="yes",ISNUMBER(F1931),IF(Compare!$H$5="All mapped",TRUE(),IF(Compare!$H$5="EXACT only",J1931="EXACT",OR(J1931="EXACT",J1931="CLOSE")))),"yes","no")</f>
        <v>yes</v>
      </c>
      <c r="AF1931" s="110" t="n">
        <f aca="false">IF(ISNUMBER(H1931),COUNTIFS($B$7:$B$3000,B1931,$C$7:$C$3000,C1931,$H$7:$H$3000,"&lt;"&amp;H1931,$AH$7:$AH$3000,"yes")+COUNTIFS($B$7:B1931,B1931,$C$7:C1931,C1931,$H$7:H1931,H1931,$AH$7:AH1931,"yes"),"")</f>
        <v>2</v>
      </c>
      <c r="AG1931" s="110" t="n">
        <f aca="false">IF(ISNUMBER(I1931),COUNTIFS($B$7:$B$3000,B1931,$C$7:$C$3000,C1931,$I$7:$I$3000,"&lt;"&amp;I1931,$AI$7:$AI$3000,"yes")+COUNTIFS($B$7:B1931,B1931,$C$7:C1931,C1931,$I$7:I1931,I1931,$AI$7:AI1931,"yes"),"")</f>
        <v>2</v>
      </c>
      <c r="AH1931" s="110" t="str">
        <f aca="false">IF(ISNUMBER(H1931),"yes","no")</f>
        <v>yes</v>
      </c>
      <c r="AI1931" s="110" t="str">
        <f aca="false">IF(ISNUMBER(I1931),"yes","no")</f>
        <v>yes</v>
      </c>
      <c r="AJ1931" s="120" t="n">
        <v>46297</v>
      </c>
      <c r="AK1931" s="110"/>
    </row>
    <row r="1932" customFormat="false" ht="23.85" hidden="false" customHeight="false" outlineLevel="0" collapsed="false">
      <c r="B1932" s="36" t="s">
        <v>104</v>
      </c>
      <c r="C1932" s="98" t="s">
        <v>17</v>
      </c>
      <c r="D1932" s="98" t="s">
        <v>346</v>
      </c>
      <c r="E1932" s="110" t="s">
        <v>5954</v>
      </c>
      <c r="F1932" s="99" t="n">
        <v>106</v>
      </c>
      <c r="G1932" s="98" t="s">
        <v>333</v>
      </c>
      <c r="H1932" s="112" t="n">
        <f aca="false">IF(AND(AE1932="yes",ISNUMBER(AD1932)),AD1932,"")</f>
        <v>106</v>
      </c>
      <c r="I1932" s="95" t="n">
        <f aca="false">IF(AND(AE1932="yes",ISNUMBER(AD1932),ISNUMBER(INDEX(Sources!$G$7:$G$10,MATCH(AB1932,Sources!$B$7:$B$10,0)))),ROUND(AD1932/INDEX(Sources!$G$7:$G$10,MATCH(AB1932,Sources!$B$7:$B$10,0)),6),"")</f>
        <v>4.340062</v>
      </c>
      <c r="J1932" s="98" t="s">
        <v>530</v>
      </c>
      <c r="K1932" s="98" t="s">
        <v>2059</v>
      </c>
      <c r="L1932" s="96"/>
      <c r="M1932" s="110" t="s">
        <v>5955</v>
      </c>
      <c r="N1932" s="117" t="s">
        <v>5956</v>
      </c>
      <c r="O1932" s="110" t="s">
        <v>565</v>
      </c>
      <c r="P1932" s="110" t="s">
        <v>590</v>
      </c>
      <c r="Q1932" s="118" t="n">
        <v>0.21</v>
      </c>
      <c r="R1932" s="110" t="n">
        <v>1</v>
      </c>
      <c r="S1932" s="110" t="s">
        <v>632</v>
      </c>
      <c r="T1932" s="110" t="s">
        <v>530</v>
      </c>
      <c r="U1932" s="110" t="s">
        <v>2913</v>
      </c>
      <c r="V1932" s="119" t="n">
        <v>106</v>
      </c>
      <c r="W1932" s="119"/>
      <c r="X1932" s="110" t="s">
        <v>2063</v>
      </c>
      <c r="Y1932" s="110" t="s">
        <v>2064</v>
      </c>
      <c r="Z1932" s="110" t="s">
        <v>5957</v>
      </c>
      <c r="AA1932" s="110" t="s">
        <v>537</v>
      </c>
      <c r="AB1932" s="110" t="s">
        <v>333</v>
      </c>
      <c r="AC1932" s="110" t="s">
        <v>538</v>
      </c>
      <c r="AD1932" s="110" t="n">
        <f aca="false">IF(OR(F1932="",Q1932="",R1932=""),"",ROUND(IF(P1932="incl.",F1932/(1+Q1932),F1932)/IF(S1932="per pack",R1932,1),2))</f>
        <v>106</v>
      </c>
      <c r="AE1932" s="110" t="str">
        <f aca="false">IF(AND(AC1932="yes",ISNUMBER(F1932),IF(Compare!$H$5="All mapped",TRUE(),IF(Compare!$H$5="EXACT only",J1932="EXACT",OR(J1932="EXACT",J1932="CLOSE")))),"yes","no")</f>
        <v>yes</v>
      </c>
      <c r="AF1932" s="110" t="n">
        <f aca="false">IF(ISNUMBER(H1932),COUNTIFS($B$7:$B$3000,B1932,$C$7:$C$3000,C1932,$H$7:$H$3000,"&lt;"&amp;H1932,$AH$7:$AH$3000,"yes")+COUNTIFS($B$7:B1932,B1932,$C$7:C1932,C1932,$H$7:H1932,H1932,$AH$7:AH1932,"yes"),"")</f>
        <v>5</v>
      </c>
      <c r="AG1932" s="110" t="n">
        <f aca="false">IF(ISNUMBER(I1932),COUNTIFS($B$7:$B$3000,B1932,$C$7:$C$3000,C1932,$I$7:$I$3000,"&lt;"&amp;I1932,$AI$7:$AI$3000,"yes")+COUNTIFS($B$7:B1932,B1932,$C$7:C1932,C1932,$I$7:I1932,I1932,$AI$7:AI1932,"yes"),"")</f>
        <v>5</v>
      </c>
      <c r="AH1932" s="110" t="str">
        <f aca="false">IF(ISNUMBER(H1932),"yes","no")</f>
        <v>yes</v>
      </c>
      <c r="AI1932" s="110" t="str">
        <f aca="false">IF(ISNUMBER(I1932),"yes","no")</f>
        <v>yes</v>
      </c>
      <c r="AJ1932" s="120" t="n">
        <v>46297</v>
      </c>
      <c r="AK1932" s="110"/>
    </row>
    <row r="1933" customFormat="false" ht="35.05" hidden="false" customHeight="false" outlineLevel="0" collapsed="false">
      <c r="B1933" s="36" t="s">
        <v>104</v>
      </c>
      <c r="C1933" s="98" t="s">
        <v>17</v>
      </c>
      <c r="D1933" s="98" t="s">
        <v>350</v>
      </c>
      <c r="E1933" s="110" t="s">
        <v>5958</v>
      </c>
      <c r="F1933" s="99" t="n">
        <v>58</v>
      </c>
      <c r="G1933" s="98" t="s">
        <v>333</v>
      </c>
      <c r="H1933" s="112" t="n">
        <f aca="false">IF(AND(AE1933="yes",ISNUMBER(AD1933)),AD1933,"")</f>
        <v>47.93</v>
      </c>
      <c r="I1933" s="95" t="n">
        <f aca="false">IF(AND(AE1933="yes",ISNUMBER(AD1933),ISNUMBER(INDEX(Sources!$G$7:$G$10,MATCH(AB1933,Sources!$B$7:$B$10,0)))),ROUND(AD1933/INDEX(Sources!$G$7:$G$10,MATCH(AB1933,Sources!$B$7:$B$10,0)),6),"")</f>
        <v>1.962445</v>
      </c>
      <c r="J1933" s="98" t="s">
        <v>530</v>
      </c>
      <c r="K1933" s="98" t="s">
        <v>2059</v>
      </c>
      <c r="L1933" s="96"/>
      <c r="M1933" s="110" t="s">
        <v>5959</v>
      </c>
      <c r="N1933" s="117" t="s">
        <v>5960</v>
      </c>
      <c r="O1933" s="110" t="s">
        <v>2997</v>
      </c>
      <c r="P1933" s="110" t="s">
        <v>265</v>
      </c>
      <c r="Q1933" s="118" t="n">
        <v>0.21</v>
      </c>
      <c r="R1933" s="110" t="n">
        <v>1</v>
      </c>
      <c r="S1933" s="110" t="s">
        <v>632</v>
      </c>
      <c r="T1933" s="110" t="s">
        <v>530</v>
      </c>
      <c r="U1933" s="110" t="s">
        <v>2918</v>
      </c>
      <c r="V1933" s="119" t="n">
        <v>47.93</v>
      </c>
      <c r="W1933" s="119"/>
      <c r="X1933" s="110" t="s">
        <v>2063</v>
      </c>
      <c r="Y1933" s="110" t="s">
        <v>2064</v>
      </c>
      <c r="Z1933" s="110" t="s">
        <v>2344</v>
      </c>
      <c r="AA1933" s="110" t="s">
        <v>537</v>
      </c>
      <c r="AB1933" s="110" t="s">
        <v>333</v>
      </c>
      <c r="AC1933" s="110" t="s">
        <v>538</v>
      </c>
      <c r="AD1933" s="110" t="n">
        <f aca="false">IF(OR(F1933="",Q1933="",R1933=""),"",ROUND(IF(P1933="incl.",F1933/(1+Q1933),F1933)/IF(S1933="per pack",R1933,1),2))</f>
        <v>47.93</v>
      </c>
      <c r="AE1933" s="110" t="str">
        <f aca="false">IF(AND(AC1933="yes",ISNUMBER(F1933),IF(Compare!$H$5="All mapped",TRUE(),IF(Compare!$H$5="EXACT only",J1933="EXACT",OR(J1933="EXACT",J1933="CLOSE")))),"yes","no")</f>
        <v>yes</v>
      </c>
      <c r="AF1933" s="110" t="n">
        <f aca="false">IF(ISNUMBER(H1933),COUNTIFS($B$7:$B$3000,B1933,$C$7:$C$3000,C1933,$H$7:$H$3000,"&lt;"&amp;H1933,$AH$7:$AH$3000,"yes")+COUNTIFS($B$7:B1933,B1933,$C$7:C1933,C1933,$H$7:H1933,H1933,$AH$7:AH1933,"yes"),"")</f>
        <v>1</v>
      </c>
      <c r="AG1933" s="110" t="n">
        <f aca="false">IF(ISNUMBER(I1933),COUNTIFS($B$7:$B$3000,B1933,$C$7:$C$3000,C1933,$I$7:$I$3000,"&lt;"&amp;I1933,$AI$7:$AI$3000,"yes")+COUNTIFS($B$7:B1933,B1933,$C$7:C1933,C1933,$I$7:I1933,I1933,$AI$7:AI1933,"yes"),"")</f>
        <v>1</v>
      </c>
      <c r="AH1933" s="110" t="str">
        <f aca="false">IF(ISNUMBER(H1933),"yes","no")</f>
        <v>yes</v>
      </c>
      <c r="AI1933" s="110" t="str">
        <f aca="false">IF(ISNUMBER(I1933),"yes","no")</f>
        <v>yes</v>
      </c>
      <c r="AJ1933" s="120" t="n">
        <v>46297</v>
      </c>
      <c r="AK1933" s="110"/>
    </row>
    <row r="1934" customFormat="false" ht="35.05" hidden="false" customHeight="false" outlineLevel="0" collapsed="false">
      <c r="B1934" s="36" t="s">
        <v>104</v>
      </c>
      <c r="C1934" s="98" t="s">
        <v>17</v>
      </c>
      <c r="D1934" s="98" t="s">
        <v>361</v>
      </c>
      <c r="E1934" s="110" t="s">
        <v>5961</v>
      </c>
      <c r="F1934" s="99" t="n">
        <v>96</v>
      </c>
      <c r="G1934" s="98" t="s">
        <v>333</v>
      </c>
      <c r="H1934" s="112" t="n">
        <f aca="false">IF(AND(AE1934="yes",ISNUMBER(AD1934)),AD1934,"")</f>
        <v>96</v>
      </c>
      <c r="I1934" s="95" t="n">
        <f aca="false">IF(AND(AE1934="yes",ISNUMBER(AD1934),ISNUMBER(INDEX(Sources!$G$7:$G$10,MATCH(AB1934,Sources!$B$7:$B$10,0)))),ROUND(AD1934/INDEX(Sources!$G$7:$G$10,MATCH(AB1934,Sources!$B$7:$B$10,0)),6),"")</f>
        <v>3.930622</v>
      </c>
      <c r="J1934" s="98" t="s">
        <v>530</v>
      </c>
      <c r="K1934" s="98" t="s">
        <v>2059</v>
      </c>
      <c r="L1934" s="96"/>
      <c r="M1934" s="110" t="s">
        <v>5962</v>
      </c>
      <c r="N1934" s="117" t="s">
        <v>5963</v>
      </c>
      <c r="O1934" s="110" t="s">
        <v>642</v>
      </c>
      <c r="P1934" s="110" t="s">
        <v>590</v>
      </c>
      <c r="Q1934" s="118" t="n">
        <v>0.21</v>
      </c>
      <c r="R1934" s="110" t="n">
        <v>1</v>
      </c>
      <c r="S1934" s="110" t="s">
        <v>632</v>
      </c>
      <c r="T1934" s="110" t="s">
        <v>530</v>
      </c>
      <c r="U1934" s="110" t="s">
        <v>2913</v>
      </c>
      <c r="V1934" s="119" t="n">
        <v>96</v>
      </c>
      <c r="W1934" s="119"/>
      <c r="X1934" s="110" t="s">
        <v>2063</v>
      </c>
      <c r="Y1934" s="110" t="s">
        <v>2064</v>
      </c>
      <c r="Z1934" s="110" t="s">
        <v>5964</v>
      </c>
      <c r="AA1934" s="110" t="s">
        <v>537</v>
      </c>
      <c r="AB1934" s="110" t="s">
        <v>333</v>
      </c>
      <c r="AC1934" s="110" t="s">
        <v>538</v>
      </c>
      <c r="AD1934" s="110" t="n">
        <f aca="false">IF(OR(F1934="",Q1934="",R1934=""),"",ROUND(IF(P1934="incl.",F1934/(1+Q1934),F1934)/IF(S1934="per pack",R1934,1),2))</f>
        <v>96</v>
      </c>
      <c r="AE1934" s="110" t="str">
        <f aca="false">IF(AND(AC1934="yes",ISNUMBER(F1934),IF(Compare!$H$5="All mapped",TRUE(),IF(Compare!$H$5="EXACT only",J1934="EXACT",OR(J1934="EXACT",J1934="CLOSE")))),"yes","no")</f>
        <v>yes</v>
      </c>
      <c r="AF1934" s="110" t="n">
        <f aca="false">IF(ISNUMBER(H1934),COUNTIFS($B$7:$B$3000,B1934,$C$7:$C$3000,C1934,$H$7:$H$3000,"&lt;"&amp;H1934,$AH$7:$AH$3000,"yes")+COUNTIFS($B$7:B1934,B1934,$C$7:C1934,C1934,$H$7:H1934,H1934,$AH$7:AH1934,"yes"),"")</f>
        <v>4</v>
      </c>
      <c r="AG1934" s="110" t="n">
        <f aca="false">IF(ISNUMBER(I1934),COUNTIFS($B$7:$B$3000,B1934,$C$7:$C$3000,C1934,$I$7:$I$3000,"&lt;"&amp;I1934,$AI$7:$AI$3000,"yes")+COUNTIFS($B$7:B1934,B1934,$C$7:C1934,C1934,$I$7:I1934,I1934,$AI$7:AI1934,"yes"),"")</f>
        <v>4</v>
      </c>
      <c r="AH1934" s="110" t="str">
        <f aca="false">IF(ISNUMBER(H1934),"yes","no")</f>
        <v>yes</v>
      </c>
      <c r="AI1934" s="110" t="str">
        <f aca="false">IF(ISNUMBER(I1934),"yes","no")</f>
        <v>yes</v>
      </c>
      <c r="AJ1934" s="120" t="n">
        <v>46297</v>
      </c>
      <c r="AK1934" s="110"/>
    </row>
    <row r="1935" customFormat="false" ht="23.85" hidden="false" customHeight="false" outlineLevel="0" collapsed="false">
      <c r="B1935" s="36" t="s">
        <v>104</v>
      </c>
      <c r="C1935" s="98" t="s">
        <v>18</v>
      </c>
      <c r="D1935" s="98" t="s">
        <v>3002</v>
      </c>
      <c r="E1935" s="110" t="s">
        <v>5965</v>
      </c>
      <c r="F1935" s="99" t="n">
        <v>3.3</v>
      </c>
      <c r="G1935" s="98" t="s">
        <v>244</v>
      </c>
      <c r="H1935" s="112" t="n">
        <f aca="false">IF(AND(AE1935="yes",ISNUMBER(AD1935)),AD1935,"")</f>
        <v>3.3</v>
      </c>
      <c r="I1935" s="95" t="n">
        <f aca="false">IF(AND(AE1935="yes",ISNUMBER(AD1935),ISNUMBER(INDEX(Sources!$G$7:$G$10,MATCH(AB1935,Sources!$B$7:$B$10,0)))),ROUND(AD1935/INDEX(Sources!$G$7:$G$10,MATCH(AB1935,Sources!$B$7:$B$10,0)),6),"")</f>
        <v>3.3</v>
      </c>
      <c r="J1935" s="98" t="s">
        <v>530</v>
      </c>
      <c r="K1935" s="98" t="s">
        <v>2059</v>
      </c>
      <c r="L1935" s="96"/>
      <c r="M1935" s="110" t="s">
        <v>5966</v>
      </c>
      <c r="N1935" s="117" t="s">
        <v>4128</v>
      </c>
      <c r="O1935" s="110" t="s">
        <v>2396</v>
      </c>
      <c r="P1935" s="110" t="s">
        <v>590</v>
      </c>
      <c r="Q1935" s="118" t="n">
        <v>0.23</v>
      </c>
      <c r="R1935" s="110" t="n">
        <v>1</v>
      </c>
      <c r="S1935" s="110" t="s">
        <v>632</v>
      </c>
      <c r="T1935" s="110" t="s">
        <v>530</v>
      </c>
      <c r="U1935" s="110" t="s">
        <v>2913</v>
      </c>
      <c r="V1935" s="119" t="n">
        <v>3.3</v>
      </c>
      <c r="W1935" s="119"/>
      <c r="X1935" s="110" t="s">
        <v>2063</v>
      </c>
      <c r="Y1935" s="110" t="s">
        <v>2064</v>
      </c>
      <c r="Z1935" s="110" t="s">
        <v>3006</v>
      </c>
      <c r="AA1935" s="110" t="s">
        <v>537</v>
      </c>
      <c r="AB1935" s="110" t="s">
        <v>244</v>
      </c>
      <c r="AC1935" s="110" t="s">
        <v>538</v>
      </c>
      <c r="AD1935" s="110" t="n">
        <f aca="false">IF(OR(F1935="",Q1935="",R1935=""),"",ROUND(IF(P1935="incl.",F1935/(1+Q1935),F1935)/IF(S1935="per pack",R1935,1),2))</f>
        <v>3.3</v>
      </c>
      <c r="AE1935" s="110" t="str">
        <f aca="false">IF(AND(AC1935="yes",ISNUMBER(F1935),IF(Compare!$H$5="All mapped",TRUE(),IF(Compare!$H$5="EXACT only",J1935="EXACT",OR(J1935="EXACT",J1935="CLOSE")))),"yes","no")</f>
        <v>yes</v>
      </c>
      <c r="AF1935" s="110" t="n">
        <f aca="false">IF(ISNUMBER(H1935),COUNTIFS($B$7:$B$3000,B1935,$C$7:$C$3000,C1935,$H$7:$H$3000,"&lt;"&amp;H1935,$AH$7:$AH$3000,"yes")+COUNTIFS($B$7:B1935,B1935,$C$7:C1935,C1935,$H$7:H1935,H1935,$AH$7:AH1935,"yes"),"")</f>
        <v>3</v>
      </c>
      <c r="AG1935" s="110" t="n">
        <f aca="false">IF(ISNUMBER(I1935),COUNTIFS($B$7:$B$3000,B1935,$C$7:$C$3000,C1935,$I$7:$I$3000,"&lt;"&amp;I1935,$AI$7:$AI$3000,"yes")+COUNTIFS($B$7:B1935,B1935,$C$7:C1935,C1935,$I$7:I1935,I1935,$AI$7:AI1935,"yes"),"")</f>
        <v>3</v>
      </c>
      <c r="AH1935" s="110" t="str">
        <f aca="false">IF(ISNUMBER(H1935),"yes","no")</f>
        <v>yes</v>
      </c>
      <c r="AI1935" s="110" t="str">
        <f aca="false">IF(ISNUMBER(I1935),"yes","no")</f>
        <v>yes</v>
      </c>
      <c r="AJ1935" s="120" t="n">
        <v>46297</v>
      </c>
      <c r="AK1935" s="110"/>
    </row>
    <row r="1936" customFormat="false" ht="35.05" hidden="false" customHeight="false" outlineLevel="0" collapsed="false">
      <c r="B1936" s="36" t="s">
        <v>104</v>
      </c>
      <c r="C1936" s="98" t="s">
        <v>18</v>
      </c>
      <c r="D1936" s="98" t="s">
        <v>3007</v>
      </c>
      <c r="E1936" s="110" t="s">
        <v>5967</v>
      </c>
      <c r="F1936" s="99" t="n">
        <v>3.59</v>
      </c>
      <c r="G1936" s="98" t="s">
        <v>244</v>
      </c>
      <c r="H1936" s="112" t="n">
        <f aca="false">IF(AND(AE1936="yes",ISNUMBER(AD1936)),AD1936,"")</f>
        <v>3.59</v>
      </c>
      <c r="I1936" s="95" t="n">
        <f aca="false">IF(AND(AE1936="yes",ISNUMBER(AD1936),ISNUMBER(INDEX(Sources!$G$7:$G$10,MATCH(AB1936,Sources!$B$7:$B$10,0)))),ROUND(AD1936/INDEX(Sources!$G$7:$G$10,MATCH(AB1936,Sources!$B$7:$B$10,0)),6),"")</f>
        <v>3.59</v>
      </c>
      <c r="J1936" s="98" t="s">
        <v>530</v>
      </c>
      <c r="K1936" s="98" t="s">
        <v>2059</v>
      </c>
      <c r="L1936" s="96"/>
      <c r="M1936" s="110" t="s">
        <v>5968</v>
      </c>
      <c r="N1936" s="117" t="s">
        <v>3010</v>
      </c>
      <c r="O1936" s="110" t="s">
        <v>1061</v>
      </c>
      <c r="P1936" s="110" t="s">
        <v>590</v>
      </c>
      <c r="Q1936" s="118" t="n">
        <v>0.23</v>
      </c>
      <c r="R1936" s="110" t="n">
        <v>1</v>
      </c>
      <c r="S1936" s="110" t="s">
        <v>632</v>
      </c>
      <c r="T1936" s="110" t="s">
        <v>530</v>
      </c>
      <c r="U1936" s="110" t="s">
        <v>2913</v>
      </c>
      <c r="V1936" s="119" t="n">
        <v>3.59</v>
      </c>
      <c r="W1936" s="119"/>
      <c r="X1936" s="110" t="s">
        <v>2063</v>
      </c>
      <c r="Y1936" s="110" t="s">
        <v>2064</v>
      </c>
      <c r="Z1936" s="110" t="s">
        <v>3012</v>
      </c>
      <c r="AA1936" s="110" t="s">
        <v>537</v>
      </c>
      <c r="AB1936" s="110" t="s">
        <v>244</v>
      </c>
      <c r="AC1936" s="110" t="s">
        <v>538</v>
      </c>
      <c r="AD1936" s="110" t="n">
        <f aca="false">IF(OR(F1936="",Q1936="",R1936=""),"",ROUND(IF(P1936="incl.",F1936/(1+Q1936),F1936)/IF(S1936="per pack",R1936,1),2))</f>
        <v>3.59</v>
      </c>
      <c r="AE1936" s="110" t="str">
        <f aca="false">IF(AND(AC1936="yes",ISNUMBER(F1936),IF(Compare!$H$5="All mapped",TRUE(),IF(Compare!$H$5="EXACT only",J1936="EXACT",OR(J1936="EXACT",J1936="CLOSE")))),"yes","no")</f>
        <v>yes</v>
      </c>
      <c r="AF1936" s="110" t="n">
        <f aca="false">IF(ISNUMBER(H1936),COUNTIFS($B$7:$B$3000,B1936,$C$7:$C$3000,C1936,$H$7:$H$3000,"&lt;"&amp;H1936,$AH$7:$AH$3000,"yes")+COUNTIFS($B$7:B1936,B1936,$C$7:C1936,C1936,$H$7:H1936,H1936,$AH$7:AH1936,"yes"),"")</f>
        <v>4</v>
      </c>
      <c r="AG1936" s="110" t="n">
        <f aca="false">IF(ISNUMBER(I1936),COUNTIFS($B$7:$B$3000,B1936,$C$7:$C$3000,C1936,$I$7:$I$3000,"&lt;"&amp;I1936,$AI$7:$AI$3000,"yes")+COUNTIFS($B$7:B1936,B1936,$C$7:C1936,C1936,$I$7:I1936,I1936,$AI$7:AI1936,"yes"),"")</f>
        <v>4</v>
      </c>
      <c r="AH1936" s="110" t="str">
        <f aca="false">IF(ISNUMBER(H1936),"yes","no")</f>
        <v>yes</v>
      </c>
      <c r="AI1936" s="110" t="str">
        <f aca="false">IF(ISNUMBER(I1936),"yes","no")</f>
        <v>yes</v>
      </c>
      <c r="AJ1936" s="120" t="n">
        <v>46297</v>
      </c>
      <c r="AK1936" s="110"/>
    </row>
    <row r="1937" customFormat="false" ht="35.05" hidden="false" customHeight="false" outlineLevel="0" collapsed="false">
      <c r="B1937" s="36" t="s">
        <v>104</v>
      </c>
      <c r="C1937" s="98" t="s">
        <v>18</v>
      </c>
      <c r="D1937" s="98" t="s">
        <v>365</v>
      </c>
      <c r="E1937" s="110" t="s">
        <v>5969</v>
      </c>
      <c r="F1937" s="99" t="n">
        <v>1.61</v>
      </c>
      <c r="G1937" s="98" t="s">
        <v>244</v>
      </c>
      <c r="H1937" s="112" t="n">
        <f aca="false">IF(AND(AE1937="yes",ISNUMBER(AD1937)),AD1937,"")</f>
        <v>1.31</v>
      </c>
      <c r="I1937" s="95" t="n">
        <f aca="false">IF(AND(AE1937="yes",ISNUMBER(AD1937),ISNUMBER(INDEX(Sources!$G$7:$G$10,MATCH(AB1937,Sources!$B$7:$B$10,0)))),ROUND(AD1937/INDEX(Sources!$G$7:$G$10,MATCH(AB1937,Sources!$B$7:$B$10,0)),6),"")</f>
        <v>1.31</v>
      </c>
      <c r="J1937" s="98" t="s">
        <v>530</v>
      </c>
      <c r="K1937" s="98" t="s">
        <v>2059</v>
      </c>
      <c r="L1937" s="96"/>
      <c r="M1937" s="110" t="s">
        <v>5970</v>
      </c>
      <c r="N1937" s="117" t="s">
        <v>5971</v>
      </c>
      <c r="O1937" s="110" t="s">
        <v>3076</v>
      </c>
      <c r="P1937" s="110" t="s">
        <v>265</v>
      </c>
      <c r="Q1937" s="118" t="n">
        <v>0.23</v>
      </c>
      <c r="R1937" s="110" t="n">
        <v>1</v>
      </c>
      <c r="S1937" s="110" t="s">
        <v>632</v>
      </c>
      <c r="T1937" s="110" t="s">
        <v>530</v>
      </c>
      <c r="U1937" s="110" t="s">
        <v>2918</v>
      </c>
      <c r="V1937" s="119" t="n">
        <v>1.31</v>
      </c>
      <c r="W1937" s="119"/>
      <c r="X1937" s="110" t="s">
        <v>2063</v>
      </c>
      <c r="Y1937" s="110" t="s">
        <v>2064</v>
      </c>
      <c r="Z1937" s="110" t="s">
        <v>3016</v>
      </c>
      <c r="AA1937" s="110" t="s">
        <v>537</v>
      </c>
      <c r="AB1937" s="110" t="s">
        <v>244</v>
      </c>
      <c r="AC1937" s="110" t="s">
        <v>538</v>
      </c>
      <c r="AD1937" s="110" t="n">
        <f aca="false">IF(OR(F1937="",Q1937="",R1937=""),"",ROUND(IF(P1937="incl.",F1937/(1+Q1937),F1937)/IF(S1937="per pack",R1937,1),2))</f>
        <v>1.31</v>
      </c>
      <c r="AE1937" s="110" t="str">
        <f aca="false">IF(AND(AC1937="yes",ISNUMBER(F1937),IF(Compare!$H$5="All mapped",TRUE(),IF(Compare!$H$5="EXACT only",J1937="EXACT",OR(J1937="EXACT",J1937="CLOSE")))),"yes","no")</f>
        <v>yes</v>
      </c>
      <c r="AF1937" s="110" t="n">
        <f aca="false">IF(ISNUMBER(H1937),COUNTIFS($B$7:$B$3000,B1937,$C$7:$C$3000,C1937,$H$7:$H$3000,"&lt;"&amp;H1937,$AH$7:$AH$3000,"yes")+COUNTIFS($B$7:B1937,B1937,$C$7:C1937,C1937,$H$7:H1937,H1937,$AH$7:AH1937,"yes"),"")</f>
        <v>1</v>
      </c>
      <c r="AG1937" s="110" t="n">
        <f aca="false">IF(ISNUMBER(I1937),COUNTIFS($B$7:$B$3000,B1937,$C$7:$C$3000,C1937,$I$7:$I$3000,"&lt;"&amp;I1937,$AI$7:$AI$3000,"yes")+COUNTIFS($B$7:B1937,B1937,$C$7:C1937,C1937,$I$7:I1937,I1937,$AI$7:AI1937,"yes"),"")</f>
        <v>1</v>
      </c>
      <c r="AH1937" s="110" t="str">
        <f aca="false">IF(ISNUMBER(H1937),"yes","no")</f>
        <v>yes</v>
      </c>
      <c r="AI1937" s="110" t="str">
        <f aca="false">IF(ISNUMBER(I1937),"yes","no")</f>
        <v>yes</v>
      </c>
      <c r="AJ1937" s="120" t="n">
        <v>46297</v>
      </c>
      <c r="AK1937" s="110"/>
    </row>
    <row r="1938" customFormat="false" ht="35.05" hidden="false" customHeight="false" outlineLevel="0" collapsed="false">
      <c r="B1938" s="36" t="s">
        <v>104</v>
      </c>
      <c r="C1938" s="98" t="s">
        <v>18</v>
      </c>
      <c r="D1938" s="98" t="s">
        <v>369</v>
      </c>
      <c r="E1938" s="110" t="s">
        <v>5972</v>
      </c>
      <c r="F1938" s="99" t="n">
        <v>4.53</v>
      </c>
      <c r="G1938" s="98" t="s">
        <v>244</v>
      </c>
      <c r="H1938" s="112" t="n">
        <f aca="false">IF(AND(AE1938="yes",ISNUMBER(AD1938)),AD1938,"")</f>
        <v>3.68</v>
      </c>
      <c r="I1938" s="95" t="n">
        <f aca="false">IF(AND(AE1938="yes",ISNUMBER(AD1938),ISNUMBER(INDEX(Sources!$G$7:$G$10,MATCH(AB1938,Sources!$B$7:$B$10,0)))),ROUND(AD1938/INDEX(Sources!$G$7:$G$10,MATCH(AB1938,Sources!$B$7:$B$10,0)),6),"")</f>
        <v>3.68</v>
      </c>
      <c r="J1938" s="98" t="s">
        <v>530</v>
      </c>
      <c r="K1938" s="98" t="s">
        <v>2059</v>
      </c>
      <c r="L1938" s="96"/>
      <c r="M1938" s="110" t="s">
        <v>5973</v>
      </c>
      <c r="N1938" s="117" t="s">
        <v>5974</v>
      </c>
      <c r="O1938" s="110" t="s">
        <v>565</v>
      </c>
      <c r="P1938" s="110" t="s">
        <v>265</v>
      </c>
      <c r="Q1938" s="118" t="n">
        <v>0.23</v>
      </c>
      <c r="R1938" s="110" t="n">
        <v>1</v>
      </c>
      <c r="S1938" s="110" t="s">
        <v>632</v>
      </c>
      <c r="T1938" s="110" t="s">
        <v>530</v>
      </c>
      <c r="U1938" s="110" t="s">
        <v>2918</v>
      </c>
      <c r="V1938" s="119" t="n">
        <v>3.68</v>
      </c>
      <c r="W1938" s="119"/>
      <c r="X1938" s="110" t="s">
        <v>2063</v>
      </c>
      <c r="Y1938" s="110" t="s">
        <v>2064</v>
      </c>
      <c r="Z1938" s="110" t="s">
        <v>3107</v>
      </c>
      <c r="AA1938" s="110" t="s">
        <v>537</v>
      </c>
      <c r="AB1938" s="110" t="s">
        <v>244</v>
      </c>
      <c r="AC1938" s="110" t="s">
        <v>538</v>
      </c>
      <c r="AD1938" s="110" t="n">
        <f aca="false">IF(OR(F1938="",Q1938="",R1938=""),"",ROUND(IF(P1938="incl.",F1938/(1+Q1938),F1938)/IF(S1938="per pack",R1938,1),2))</f>
        <v>3.68</v>
      </c>
      <c r="AE1938" s="110" t="str">
        <f aca="false">IF(AND(AC1938="yes",ISNUMBER(F1938),IF(Compare!$H$5="All mapped",TRUE(),IF(Compare!$H$5="EXACT only",J1938="EXACT",OR(J1938="EXACT",J1938="CLOSE")))),"yes","no")</f>
        <v>yes</v>
      </c>
      <c r="AF1938" s="110" t="n">
        <f aca="false">IF(ISNUMBER(H1938),COUNTIFS($B$7:$B$3000,B1938,$C$7:$C$3000,C1938,$H$7:$H$3000,"&lt;"&amp;H1938,$AH$7:$AH$3000,"yes")+COUNTIFS($B$7:B1938,B1938,$C$7:C1938,C1938,$H$7:H1938,H1938,$AH$7:AH1938,"yes"),"")</f>
        <v>5</v>
      </c>
      <c r="AG1938" s="110" t="n">
        <f aca="false">IF(ISNUMBER(I1938),COUNTIFS($B$7:$B$3000,B1938,$C$7:$C$3000,C1938,$I$7:$I$3000,"&lt;"&amp;I1938,$AI$7:$AI$3000,"yes")+COUNTIFS($B$7:B1938,B1938,$C$7:C1938,C1938,$I$7:I1938,I1938,$AI$7:AI1938,"yes"),"")</f>
        <v>5</v>
      </c>
      <c r="AH1938" s="110" t="str">
        <f aca="false">IF(ISNUMBER(H1938),"yes","no")</f>
        <v>yes</v>
      </c>
      <c r="AI1938" s="110" t="str">
        <f aca="false">IF(ISNUMBER(I1938),"yes","no")</f>
        <v>yes</v>
      </c>
      <c r="AJ1938" s="120" t="n">
        <v>46297</v>
      </c>
      <c r="AK1938" s="110"/>
    </row>
    <row r="1939" customFormat="false" ht="23.85" hidden="false" customHeight="false" outlineLevel="0" collapsed="false">
      <c r="B1939" s="36" t="s">
        <v>104</v>
      </c>
      <c r="C1939" s="98" t="s">
        <v>18</v>
      </c>
      <c r="D1939" s="98" t="s">
        <v>3021</v>
      </c>
      <c r="E1939" s="110" t="s">
        <v>5975</v>
      </c>
      <c r="F1939" s="99" t="n">
        <v>2.15</v>
      </c>
      <c r="G1939" s="98" t="s">
        <v>244</v>
      </c>
      <c r="H1939" s="112" t="n">
        <f aca="false">IF(AND(AE1939="yes",ISNUMBER(AD1939)),AD1939,"")</f>
        <v>2.15</v>
      </c>
      <c r="I1939" s="95" t="n">
        <f aca="false">IF(AND(AE1939="yes",ISNUMBER(AD1939),ISNUMBER(INDEX(Sources!$G$7:$G$10,MATCH(AB1939,Sources!$B$7:$B$10,0)))),ROUND(AD1939/INDEX(Sources!$G$7:$G$10,MATCH(AB1939,Sources!$B$7:$B$10,0)),6),"")</f>
        <v>2.15</v>
      </c>
      <c r="J1939" s="98" t="s">
        <v>530</v>
      </c>
      <c r="K1939" s="98" t="s">
        <v>2059</v>
      </c>
      <c r="L1939" s="96"/>
      <c r="M1939" s="110" t="s">
        <v>5976</v>
      </c>
      <c r="N1939" s="117" t="s">
        <v>3023</v>
      </c>
      <c r="O1939" s="110" t="s">
        <v>2396</v>
      </c>
      <c r="P1939" s="110" t="s">
        <v>590</v>
      </c>
      <c r="Q1939" s="118" t="n">
        <v>0.23</v>
      </c>
      <c r="R1939" s="110" t="n">
        <v>1</v>
      </c>
      <c r="S1939" s="110" t="s">
        <v>632</v>
      </c>
      <c r="T1939" s="110" t="s">
        <v>530</v>
      </c>
      <c r="U1939" s="110" t="s">
        <v>2913</v>
      </c>
      <c r="V1939" s="119" t="n">
        <v>2.15</v>
      </c>
      <c r="W1939" s="119"/>
      <c r="X1939" s="110" t="s">
        <v>2063</v>
      </c>
      <c r="Y1939" s="110" t="s">
        <v>2064</v>
      </c>
      <c r="Z1939" s="110" t="s">
        <v>3900</v>
      </c>
      <c r="AA1939" s="110" t="s">
        <v>537</v>
      </c>
      <c r="AB1939" s="110" t="s">
        <v>244</v>
      </c>
      <c r="AC1939" s="110" t="s">
        <v>538</v>
      </c>
      <c r="AD1939" s="110" t="n">
        <f aca="false">IF(OR(F1939="",Q1939="",R1939=""),"",ROUND(IF(P1939="incl.",F1939/(1+Q1939),F1939)/IF(S1939="per pack",R1939,1),2))</f>
        <v>2.15</v>
      </c>
      <c r="AE1939" s="110" t="str">
        <f aca="false">IF(AND(AC1939="yes",ISNUMBER(F1939),IF(Compare!$H$5="All mapped",TRUE(),IF(Compare!$H$5="EXACT only",J1939="EXACT",OR(J1939="EXACT",J1939="CLOSE")))),"yes","no")</f>
        <v>yes</v>
      </c>
      <c r="AF1939" s="110" t="n">
        <f aca="false">IF(ISNUMBER(H1939),COUNTIFS($B$7:$B$3000,B1939,$C$7:$C$3000,C1939,$H$7:$H$3000,"&lt;"&amp;H1939,$AH$7:$AH$3000,"yes")+COUNTIFS($B$7:B1939,B1939,$C$7:C1939,C1939,$H$7:H1939,H1939,$AH$7:AH1939,"yes"),"")</f>
        <v>2</v>
      </c>
      <c r="AG1939" s="110" t="n">
        <f aca="false">IF(ISNUMBER(I1939),COUNTIFS($B$7:$B$3000,B1939,$C$7:$C$3000,C1939,$I$7:$I$3000,"&lt;"&amp;I1939,$AI$7:$AI$3000,"yes")+COUNTIFS($B$7:B1939,B1939,$C$7:C1939,C1939,$I$7:I1939,I1939,$AI$7:AI1939,"yes"),"")</f>
        <v>2</v>
      </c>
      <c r="AH1939" s="110" t="str">
        <f aca="false">IF(ISNUMBER(H1939),"yes","no")</f>
        <v>yes</v>
      </c>
      <c r="AI1939" s="110" t="str">
        <f aca="false">IF(ISNUMBER(I1939),"yes","no")</f>
        <v>yes</v>
      </c>
      <c r="AJ1939" s="120" t="n">
        <v>46297</v>
      </c>
      <c r="AK1939" s="110"/>
    </row>
    <row r="1940" customFormat="false" ht="23.85" hidden="false" customHeight="false" outlineLevel="0" collapsed="false">
      <c r="B1940" s="36" t="s">
        <v>105</v>
      </c>
      <c r="C1940" s="98" t="s">
        <v>14</v>
      </c>
      <c r="D1940" s="98" t="s">
        <v>373</v>
      </c>
      <c r="E1940" s="110" t="s">
        <v>5977</v>
      </c>
      <c r="F1940" s="99" t="n">
        <v>8.89</v>
      </c>
      <c r="G1940" s="98" t="s">
        <v>374</v>
      </c>
      <c r="H1940" s="112" t="n">
        <f aca="false">IF(AND(AE1940="yes",ISNUMBER(AD1940)),AD1940,"")</f>
        <v>8.89</v>
      </c>
      <c r="I1940" s="95" t="n">
        <f aca="false">IF(AND(AE1940="yes",ISNUMBER(AD1940),ISNUMBER(INDEX(Sources!$G$7:$G$10,MATCH(AB1940,Sources!$B$7:$B$10,0)))),ROUND(AD1940/INDEX(Sources!$G$7:$G$10,MATCH(AB1940,Sources!$B$7:$B$10,0)),6),"")</f>
        <v>1.684465</v>
      </c>
      <c r="J1940" s="98" t="s">
        <v>530</v>
      </c>
      <c r="K1940" s="98" t="s">
        <v>2059</v>
      </c>
      <c r="L1940" s="96"/>
      <c r="M1940" s="110" t="s">
        <v>5978</v>
      </c>
      <c r="N1940" s="117" t="s">
        <v>5979</v>
      </c>
      <c r="O1940" s="110"/>
      <c r="P1940" s="110" t="s">
        <v>590</v>
      </c>
      <c r="Q1940" s="118" t="n">
        <v>0.21</v>
      </c>
      <c r="R1940" s="110" t="n">
        <v>1</v>
      </c>
      <c r="S1940" s="110" t="s">
        <v>632</v>
      </c>
      <c r="T1940" s="110" t="s">
        <v>530</v>
      </c>
      <c r="U1940" s="110" t="s">
        <v>2913</v>
      </c>
      <c r="V1940" s="119" t="n">
        <v>8.89</v>
      </c>
      <c r="W1940" s="119"/>
      <c r="X1940" s="110" t="s">
        <v>2063</v>
      </c>
      <c r="Y1940" s="110" t="s">
        <v>2064</v>
      </c>
      <c r="Z1940" s="110"/>
      <c r="AA1940" s="110" t="s">
        <v>537</v>
      </c>
      <c r="AB1940" s="110" t="s">
        <v>374</v>
      </c>
      <c r="AC1940" s="110" t="s">
        <v>538</v>
      </c>
      <c r="AD1940" s="110" t="n">
        <f aca="false">IF(OR(F1940="",Q1940="",R1940=""),"",ROUND(IF(P1940="incl.",F1940/(1+Q1940),F1940)/IF(S1940="per pack",R1940,1),2))</f>
        <v>8.89</v>
      </c>
      <c r="AE1940" s="110" t="str">
        <f aca="false">IF(AND(AC1940="yes",ISNUMBER(F1940),IF(Compare!$H$5="All mapped",TRUE(),IF(Compare!$H$5="EXACT only",J1940="EXACT",OR(J1940="EXACT",J1940="CLOSE")))),"yes","no")</f>
        <v>yes</v>
      </c>
      <c r="AF1940" s="110" t="n">
        <f aca="false">IF(ISNUMBER(H1940),COUNTIFS($B$7:$B$3000,B1940,$C$7:$C$3000,C1940,$H$7:$H$3000,"&lt;"&amp;H1940,$AH$7:$AH$3000,"yes")+COUNTIFS($B$7:B1940,B1940,$C$7:C1940,C1940,$H$7:H1940,H1940,$AH$7:AH1940,"yes"),"")</f>
        <v>3</v>
      </c>
      <c r="AG1940" s="110" t="n">
        <f aca="false">IF(ISNUMBER(I1940),COUNTIFS($B$7:$B$3000,B1940,$C$7:$C$3000,C1940,$I$7:$I$3000,"&lt;"&amp;I1940,$AI$7:$AI$3000,"yes")+COUNTIFS($B$7:B1940,B1940,$C$7:C1940,C1940,$I$7:I1940,I1940,$AI$7:AI1940,"yes"),"")</f>
        <v>3</v>
      </c>
      <c r="AH1940" s="110" t="str">
        <f aca="false">IF(ISNUMBER(H1940),"yes","no")</f>
        <v>yes</v>
      </c>
      <c r="AI1940" s="110" t="str">
        <f aca="false">IF(ISNUMBER(I1940),"yes","no")</f>
        <v>yes</v>
      </c>
      <c r="AJ1940" s="120" t="n">
        <v>46297</v>
      </c>
      <c r="AK1940" s="110"/>
    </row>
    <row r="1941" customFormat="false" ht="23.85" hidden="false" customHeight="false" outlineLevel="0" collapsed="false">
      <c r="B1941" s="36" t="s">
        <v>105</v>
      </c>
      <c r="C1941" s="98" t="s">
        <v>14</v>
      </c>
      <c r="D1941" s="98" t="s">
        <v>378</v>
      </c>
      <c r="E1941" s="110" t="s">
        <v>5980</v>
      </c>
      <c r="F1941" s="99" t="n">
        <v>11.63</v>
      </c>
      <c r="G1941" s="98" t="s">
        <v>374</v>
      </c>
      <c r="H1941" s="112" t="n">
        <f aca="false">IF(AND(AE1941="yes",ISNUMBER(AD1941)),AD1941,"")</f>
        <v>9.61</v>
      </c>
      <c r="I1941" s="95" t="n">
        <f aca="false">IF(AND(AE1941="yes",ISNUMBER(AD1941),ISNUMBER(INDEX(Sources!$G$7:$G$10,MATCH(AB1941,Sources!$B$7:$B$10,0)))),ROUND(AD1941/INDEX(Sources!$G$7:$G$10,MATCH(AB1941,Sources!$B$7:$B$10,0)),6),"")</f>
        <v>1.820889</v>
      </c>
      <c r="J1941" s="98" t="s">
        <v>530</v>
      </c>
      <c r="K1941" s="98" t="s">
        <v>2059</v>
      </c>
      <c r="L1941" s="96"/>
      <c r="M1941" s="110" t="s">
        <v>5981</v>
      </c>
      <c r="N1941" s="117" t="s">
        <v>5982</v>
      </c>
      <c r="O1941" s="110" t="s">
        <v>2917</v>
      </c>
      <c r="P1941" s="110" t="s">
        <v>265</v>
      </c>
      <c r="Q1941" s="118" t="n">
        <v>0.21</v>
      </c>
      <c r="R1941" s="110" t="n">
        <v>1</v>
      </c>
      <c r="S1941" s="110" t="s">
        <v>632</v>
      </c>
      <c r="T1941" s="110" t="s">
        <v>530</v>
      </c>
      <c r="U1941" s="110" t="s">
        <v>2918</v>
      </c>
      <c r="V1941" s="119" t="n">
        <v>9.61</v>
      </c>
      <c r="W1941" s="119"/>
      <c r="X1941" s="110" t="s">
        <v>2063</v>
      </c>
      <c r="Y1941" s="110" t="s">
        <v>2064</v>
      </c>
      <c r="Z1941" s="110"/>
      <c r="AA1941" s="110" t="s">
        <v>537</v>
      </c>
      <c r="AB1941" s="110" t="s">
        <v>374</v>
      </c>
      <c r="AC1941" s="110" t="s">
        <v>538</v>
      </c>
      <c r="AD1941" s="110" t="n">
        <f aca="false">IF(OR(F1941="",Q1941="",R1941=""),"",ROUND(IF(P1941="incl.",F1941/(1+Q1941),F1941)/IF(S1941="per pack",R1941,1),2))</f>
        <v>9.61</v>
      </c>
      <c r="AE1941" s="110" t="str">
        <f aca="false">IF(AND(AC1941="yes",ISNUMBER(F1941),IF(Compare!$H$5="All mapped",TRUE(),IF(Compare!$H$5="EXACT only",J1941="EXACT",OR(J1941="EXACT",J1941="CLOSE")))),"yes","no")</f>
        <v>yes</v>
      </c>
      <c r="AF1941" s="110" t="n">
        <f aca="false">IF(ISNUMBER(H1941),COUNTIFS($B$7:$B$3000,B1941,$C$7:$C$3000,C1941,$H$7:$H$3000,"&lt;"&amp;H1941,$AH$7:$AH$3000,"yes")+COUNTIFS($B$7:B1941,B1941,$C$7:C1941,C1941,$H$7:H1941,H1941,$AH$7:AH1941,"yes"),"")</f>
        <v>4</v>
      </c>
      <c r="AG1941" s="110" t="n">
        <f aca="false">IF(ISNUMBER(I1941),COUNTIFS($B$7:$B$3000,B1941,$C$7:$C$3000,C1941,$I$7:$I$3000,"&lt;"&amp;I1941,$AI$7:$AI$3000,"yes")+COUNTIFS($B$7:B1941,B1941,$C$7:C1941,C1941,$I$7:I1941,I1941,$AI$7:AI1941,"yes"),"")</f>
        <v>4</v>
      </c>
      <c r="AH1941" s="110" t="str">
        <f aca="false">IF(ISNUMBER(H1941),"yes","no")</f>
        <v>yes</v>
      </c>
      <c r="AI1941" s="110" t="str">
        <f aca="false">IF(ISNUMBER(I1941),"yes","no")</f>
        <v>yes</v>
      </c>
      <c r="AJ1941" s="120" t="n">
        <v>46297</v>
      </c>
      <c r="AK1941" s="110"/>
    </row>
    <row r="1942" customFormat="false" ht="23.85" hidden="false" customHeight="false" outlineLevel="0" collapsed="false">
      <c r="B1942" s="36" t="s">
        <v>105</v>
      </c>
      <c r="C1942" s="98" t="s">
        <v>14</v>
      </c>
      <c r="D1942" s="98" t="s">
        <v>346</v>
      </c>
      <c r="E1942" s="110" t="s">
        <v>5983</v>
      </c>
      <c r="F1942" s="99" t="n">
        <v>19.39</v>
      </c>
      <c r="G1942" s="98" t="s">
        <v>374</v>
      </c>
      <c r="H1942" s="112" t="n">
        <f aca="false">IF(AND(AE1942="yes",ISNUMBER(AD1942)),AD1942,"")</f>
        <v>16.02</v>
      </c>
      <c r="I1942" s="95" t="n">
        <f aca="false">IF(AND(AE1942="yes",ISNUMBER(AD1942),ISNUMBER(INDEX(Sources!$G$7:$G$10,MATCH(AB1942,Sources!$B$7:$B$10,0)))),ROUND(AD1942/INDEX(Sources!$G$7:$G$10,MATCH(AB1942,Sources!$B$7:$B$10,0)),6),"")</f>
        <v>3.035447</v>
      </c>
      <c r="J1942" s="98" t="s">
        <v>530</v>
      </c>
      <c r="K1942" s="98" t="s">
        <v>2059</v>
      </c>
      <c r="L1942" s="96"/>
      <c r="M1942" s="110" t="s">
        <v>5984</v>
      </c>
      <c r="N1942" s="117" t="s">
        <v>5985</v>
      </c>
      <c r="O1942" s="110" t="s">
        <v>565</v>
      </c>
      <c r="P1942" s="110" t="s">
        <v>265</v>
      </c>
      <c r="Q1942" s="118" t="n">
        <v>0.21</v>
      </c>
      <c r="R1942" s="110" t="n">
        <v>1</v>
      </c>
      <c r="S1942" s="110" t="s">
        <v>632</v>
      </c>
      <c r="T1942" s="110" t="s">
        <v>530</v>
      </c>
      <c r="U1942" s="110" t="s">
        <v>2918</v>
      </c>
      <c r="V1942" s="119" t="n">
        <v>16.02</v>
      </c>
      <c r="W1942" s="119"/>
      <c r="X1942" s="110" t="s">
        <v>2063</v>
      </c>
      <c r="Y1942" s="110" t="s">
        <v>2064</v>
      </c>
      <c r="Z1942" s="110"/>
      <c r="AA1942" s="110" t="s">
        <v>537</v>
      </c>
      <c r="AB1942" s="110" t="s">
        <v>374</v>
      </c>
      <c r="AC1942" s="110" t="s">
        <v>538</v>
      </c>
      <c r="AD1942" s="110" t="n">
        <f aca="false">IF(OR(F1942="",Q1942="",R1942=""),"",ROUND(IF(P1942="incl.",F1942/(1+Q1942),F1942)/IF(S1942="per pack",R1942,1),2))</f>
        <v>16.02</v>
      </c>
      <c r="AE1942" s="110" t="str">
        <f aca="false">IF(AND(AC1942="yes",ISNUMBER(F1942),IF(Compare!$H$5="All mapped",TRUE(),IF(Compare!$H$5="EXACT only",J1942="EXACT",OR(J1942="EXACT",J1942="CLOSE")))),"yes","no")</f>
        <v>yes</v>
      </c>
      <c r="AF1942" s="110" t="n">
        <f aca="false">IF(ISNUMBER(H1942),COUNTIFS($B$7:$B$3000,B1942,$C$7:$C$3000,C1942,$H$7:$H$3000,"&lt;"&amp;H1942,$AH$7:$AH$3000,"yes")+COUNTIFS($B$7:B1942,B1942,$C$7:C1942,C1942,$H$7:H1942,H1942,$AH$7:AH1942,"yes"),"")</f>
        <v>5</v>
      </c>
      <c r="AG1942" s="110" t="n">
        <f aca="false">IF(ISNUMBER(I1942),COUNTIFS($B$7:$B$3000,B1942,$C$7:$C$3000,C1942,$I$7:$I$3000,"&lt;"&amp;I1942,$AI$7:$AI$3000,"yes")+COUNTIFS($B$7:B1942,B1942,$C$7:C1942,C1942,$I$7:I1942,I1942,$AI$7:AI1942,"yes"),"")</f>
        <v>5</v>
      </c>
      <c r="AH1942" s="110" t="str">
        <f aca="false">IF(ISNUMBER(H1942),"yes","no")</f>
        <v>yes</v>
      </c>
      <c r="AI1942" s="110" t="str">
        <f aca="false">IF(ISNUMBER(I1942),"yes","no")</f>
        <v>yes</v>
      </c>
      <c r="AJ1942" s="120" t="n">
        <v>46297</v>
      </c>
      <c r="AK1942" s="110"/>
    </row>
    <row r="1943" customFormat="false" ht="23.85" hidden="false" customHeight="false" outlineLevel="0" collapsed="false">
      <c r="B1943" s="36" t="s">
        <v>105</v>
      </c>
      <c r="C1943" s="98" t="s">
        <v>14</v>
      </c>
      <c r="D1943" s="98" t="s">
        <v>395</v>
      </c>
      <c r="E1943" s="110" t="s">
        <v>5986</v>
      </c>
      <c r="F1943" s="99" t="n">
        <v>1.27</v>
      </c>
      <c r="G1943" s="98" t="s">
        <v>244</v>
      </c>
      <c r="H1943" s="112" t="n">
        <f aca="false">IF(AND(AE1943="yes",ISNUMBER(AD1943)),AD1943,"")</f>
        <v>1.27</v>
      </c>
      <c r="I1943" s="95" t="n">
        <f aca="false">IF(AND(AE1943="yes",ISNUMBER(AD1943),ISNUMBER(INDEX(Sources!$G$7:$G$10,MATCH(AB1943,Sources!$B$7:$B$10,0)))),ROUND(AD1943/INDEX(Sources!$G$7:$G$10,MATCH(AB1943,Sources!$B$7:$B$10,0)),6),"")</f>
        <v>1.27</v>
      </c>
      <c r="J1943" s="98" t="s">
        <v>530</v>
      </c>
      <c r="K1943" s="98" t="s">
        <v>2059</v>
      </c>
      <c r="L1943" s="96"/>
      <c r="M1943" s="110" t="s">
        <v>5987</v>
      </c>
      <c r="N1943" s="117" t="s">
        <v>5988</v>
      </c>
      <c r="O1943" s="110" t="s">
        <v>572</v>
      </c>
      <c r="P1943" s="110" t="s">
        <v>590</v>
      </c>
      <c r="Q1943" s="118" t="n">
        <v>0.21</v>
      </c>
      <c r="R1943" s="110" t="n">
        <v>1</v>
      </c>
      <c r="S1943" s="110" t="s">
        <v>632</v>
      </c>
      <c r="T1943" s="110" t="s">
        <v>530</v>
      </c>
      <c r="U1943" s="110" t="s">
        <v>2913</v>
      </c>
      <c r="V1943" s="119" t="n">
        <v>1.27</v>
      </c>
      <c r="W1943" s="119"/>
      <c r="X1943" s="110" t="s">
        <v>2063</v>
      </c>
      <c r="Y1943" s="110" t="s">
        <v>2064</v>
      </c>
      <c r="Z1943" s="110" t="s">
        <v>2925</v>
      </c>
      <c r="AA1943" s="110" t="s">
        <v>537</v>
      </c>
      <c r="AB1943" s="110" t="s">
        <v>244</v>
      </c>
      <c r="AC1943" s="110" t="s">
        <v>538</v>
      </c>
      <c r="AD1943" s="110" t="n">
        <f aca="false">IF(OR(F1943="",Q1943="",R1943=""),"",ROUND(IF(P1943="incl.",F1943/(1+Q1943),F1943)/IF(S1943="per pack",R1943,1),2))</f>
        <v>1.27</v>
      </c>
      <c r="AE1943" s="110" t="str">
        <f aca="false">IF(AND(AC1943="yes",ISNUMBER(F1943),IF(Compare!$H$5="All mapped",TRUE(),IF(Compare!$H$5="EXACT only",J1943="EXACT",OR(J1943="EXACT",J1943="CLOSE")))),"yes","no")</f>
        <v>yes</v>
      </c>
      <c r="AF1943" s="110" t="n">
        <f aca="false">IF(ISNUMBER(H1943),COUNTIFS($B$7:$B$3000,B1943,$C$7:$C$3000,C1943,$H$7:$H$3000,"&lt;"&amp;H1943,$AH$7:$AH$3000,"yes")+COUNTIFS($B$7:B1943,B1943,$C$7:C1943,C1943,$H$7:H1943,H1943,$AH$7:AH1943,"yes"),"")</f>
        <v>1</v>
      </c>
      <c r="AG1943" s="110" t="n">
        <f aca="false">IF(ISNUMBER(I1943),COUNTIFS($B$7:$B$3000,B1943,$C$7:$C$3000,C1943,$I$7:$I$3000,"&lt;"&amp;I1943,$AI$7:$AI$3000,"yes")+COUNTIFS($B$7:B1943,B1943,$C$7:C1943,C1943,$I$7:I1943,I1943,$AI$7:AI1943,"yes"),"")</f>
        <v>1</v>
      </c>
      <c r="AH1943" s="110" t="str">
        <f aca="false">IF(ISNUMBER(H1943),"yes","no")</f>
        <v>yes</v>
      </c>
      <c r="AI1943" s="110" t="str">
        <f aca="false">IF(ISNUMBER(I1943),"yes","no")</f>
        <v>yes</v>
      </c>
      <c r="AJ1943" s="120" t="n">
        <v>46297</v>
      </c>
      <c r="AK1943" s="110"/>
    </row>
    <row r="1944" customFormat="false" ht="23.85" hidden="false" customHeight="false" outlineLevel="0" collapsed="false">
      <c r="B1944" s="36" t="s">
        <v>105</v>
      </c>
      <c r="C1944" s="98" t="s">
        <v>14</v>
      </c>
      <c r="D1944" s="98" t="s">
        <v>403</v>
      </c>
      <c r="E1944" s="110" t="s">
        <v>5989</v>
      </c>
      <c r="F1944" s="99" t="n">
        <v>6.71</v>
      </c>
      <c r="G1944" s="98" t="s">
        <v>374</v>
      </c>
      <c r="H1944" s="112" t="n">
        <f aca="false">IF(AND(AE1944="yes",ISNUMBER(AD1944)),AD1944,"")</f>
        <v>6.71</v>
      </c>
      <c r="I1944" s="95" t="n">
        <f aca="false">IF(AND(AE1944="yes",ISNUMBER(AD1944),ISNUMBER(INDEX(Sources!$G$7:$G$10,MATCH(AB1944,Sources!$B$7:$B$10,0)))),ROUND(AD1944/INDEX(Sources!$G$7:$G$10,MATCH(AB1944,Sources!$B$7:$B$10,0)),6),"")</f>
        <v>1.271401</v>
      </c>
      <c r="J1944" s="98" t="s">
        <v>530</v>
      </c>
      <c r="K1944" s="98" t="s">
        <v>2059</v>
      </c>
      <c r="L1944" s="96"/>
      <c r="M1944" s="110" t="s">
        <v>5990</v>
      </c>
      <c r="N1944" s="117" t="s">
        <v>5991</v>
      </c>
      <c r="O1944" s="110" t="s">
        <v>668</v>
      </c>
      <c r="P1944" s="110" t="s">
        <v>590</v>
      </c>
      <c r="Q1944" s="118" t="n">
        <v>0.21</v>
      </c>
      <c r="R1944" s="110" t="n">
        <v>1</v>
      </c>
      <c r="S1944" s="110" t="s">
        <v>632</v>
      </c>
      <c r="T1944" s="110" t="s">
        <v>530</v>
      </c>
      <c r="U1944" s="110" t="s">
        <v>2913</v>
      </c>
      <c r="V1944" s="119" t="n">
        <v>6.71</v>
      </c>
      <c r="W1944" s="119"/>
      <c r="X1944" s="110" t="s">
        <v>2063</v>
      </c>
      <c r="Y1944" s="110" t="s">
        <v>2064</v>
      </c>
      <c r="Z1944" s="110"/>
      <c r="AA1944" s="110" t="s">
        <v>537</v>
      </c>
      <c r="AB1944" s="110" t="s">
        <v>374</v>
      </c>
      <c r="AC1944" s="110" t="s">
        <v>538</v>
      </c>
      <c r="AD1944" s="110" t="n">
        <f aca="false">IF(OR(F1944="",Q1944="",R1944=""),"",ROUND(IF(P1944="incl.",F1944/(1+Q1944),F1944)/IF(S1944="per pack",R1944,1),2))</f>
        <v>6.71</v>
      </c>
      <c r="AE1944" s="110" t="str">
        <f aca="false">IF(AND(AC1944="yes",ISNUMBER(F1944),IF(Compare!$H$5="All mapped",TRUE(),IF(Compare!$H$5="EXACT only",J1944="EXACT",OR(J1944="EXACT",J1944="CLOSE")))),"yes","no")</f>
        <v>yes</v>
      </c>
      <c r="AF1944" s="110" t="n">
        <f aca="false">IF(ISNUMBER(H1944),COUNTIFS($B$7:$B$3000,B1944,$C$7:$C$3000,C1944,$H$7:$H$3000,"&lt;"&amp;H1944,$AH$7:$AH$3000,"yes")+COUNTIFS($B$7:B1944,B1944,$C$7:C1944,C1944,$H$7:H1944,H1944,$AH$7:AH1944,"yes"),"")</f>
        <v>2</v>
      </c>
      <c r="AG1944" s="110" t="n">
        <f aca="false">IF(ISNUMBER(I1944),COUNTIFS($B$7:$B$3000,B1944,$C$7:$C$3000,C1944,$I$7:$I$3000,"&lt;"&amp;I1944,$AI$7:$AI$3000,"yes")+COUNTIFS($B$7:B1944,B1944,$C$7:C1944,C1944,$I$7:I1944,I1944,$AI$7:AI1944,"yes"),"")</f>
        <v>2</v>
      </c>
      <c r="AH1944" s="110" t="str">
        <f aca="false">IF(ISNUMBER(H1944),"yes","no")</f>
        <v>yes</v>
      </c>
      <c r="AI1944" s="110" t="str">
        <f aca="false">IF(ISNUMBER(I1944),"yes","no")</f>
        <v>yes</v>
      </c>
      <c r="AJ1944" s="120" t="n">
        <v>46297</v>
      </c>
      <c r="AK1944" s="110"/>
    </row>
    <row r="1945" customFormat="false" ht="35.05" hidden="false" customHeight="false" outlineLevel="0" collapsed="false">
      <c r="B1945" s="36" t="s">
        <v>105</v>
      </c>
      <c r="C1945" s="98" t="s">
        <v>15</v>
      </c>
      <c r="D1945" s="98" t="s">
        <v>243</v>
      </c>
      <c r="E1945" s="110" t="s">
        <v>5992</v>
      </c>
      <c r="F1945" s="99" t="n">
        <v>1.49</v>
      </c>
      <c r="G1945" s="98" t="s">
        <v>244</v>
      </c>
      <c r="H1945" s="112" t="n">
        <f aca="false">IF(AND(AE1945="yes",ISNUMBER(AD1945)),AD1945,"")</f>
        <v>1.49</v>
      </c>
      <c r="I1945" s="95" t="n">
        <f aca="false">IF(AND(AE1945="yes",ISNUMBER(AD1945),ISNUMBER(INDEX(Sources!$G$7:$G$10,MATCH(AB1945,Sources!$B$7:$B$10,0)))),ROUND(AD1945/INDEX(Sources!$G$7:$G$10,MATCH(AB1945,Sources!$B$7:$B$10,0)),6),"")</f>
        <v>1.49</v>
      </c>
      <c r="J1945" s="98" t="s">
        <v>530</v>
      </c>
      <c r="K1945" s="98" t="s">
        <v>2059</v>
      </c>
      <c r="L1945" s="96"/>
      <c r="M1945" s="110" t="s">
        <v>5993</v>
      </c>
      <c r="N1945" s="117" t="s">
        <v>5994</v>
      </c>
      <c r="O1945" s="110" t="s">
        <v>2932</v>
      </c>
      <c r="P1945" s="110" t="s">
        <v>590</v>
      </c>
      <c r="Q1945" s="118" t="n">
        <v>0.2</v>
      </c>
      <c r="R1945" s="110" t="n">
        <v>1</v>
      </c>
      <c r="S1945" s="110" t="s">
        <v>632</v>
      </c>
      <c r="T1945" s="110" t="s">
        <v>530</v>
      </c>
      <c r="U1945" s="110" t="s">
        <v>2913</v>
      </c>
      <c r="V1945" s="119" t="n">
        <v>1.49</v>
      </c>
      <c r="W1945" s="119"/>
      <c r="X1945" s="110" t="s">
        <v>2063</v>
      </c>
      <c r="Y1945" s="110" t="s">
        <v>2064</v>
      </c>
      <c r="Z1945" s="110" t="s">
        <v>2164</v>
      </c>
      <c r="AA1945" s="110" t="s">
        <v>537</v>
      </c>
      <c r="AB1945" s="110" t="s">
        <v>244</v>
      </c>
      <c r="AC1945" s="110" t="s">
        <v>538</v>
      </c>
      <c r="AD1945" s="110" t="n">
        <f aca="false">IF(OR(F1945="",Q1945="",R1945=""),"",ROUND(IF(P1945="incl.",F1945/(1+Q1945),F1945)/IF(S1945="per pack",R1945,1),2))</f>
        <v>1.49</v>
      </c>
      <c r="AE1945" s="110" t="str">
        <f aca="false">IF(AND(AC1945="yes",ISNUMBER(F1945),IF(Compare!$H$5="All mapped",TRUE(),IF(Compare!$H$5="EXACT only",J1945="EXACT",OR(J1945="EXACT",J1945="CLOSE")))),"yes","no")</f>
        <v>yes</v>
      </c>
      <c r="AF1945" s="110" t="n">
        <f aca="false">IF(ISNUMBER(H1945),COUNTIFS($B$7:$B$3000,B1945,$C$7:$C$3000,C1945,$H$7:$H$3000,"&lt;"&amp;H1945,$AH$7:$AH$3000,"yes")+COUNTIFS($B$7:B1945,B1945,$C$7:C1945,C1945,$H$7:H1945,H1945,$AH$7:AH1945,"yes"),"")</f>
        <v>1</v>
      </c>
      <c r="AG1945" s="110" t="n">
        <f aca="false">IF(ISNUMBER(I1945),COUNTIFS($B$7:$B$3000,B1945,$C$7:$C$3000,C1945,$I$7:$I$3000,"&lt;"&amp;I1945,$AI$7:$AI$3000,"yes")+COUNTIFS($B$7:B1945,B1945,$C$7:C1945,C1945,$I$7:I1945,I1945,$AI$7:AI1945,"yes"),"")</f>
        <v>1</v>
      </c>
      <c r="AH1945" s="110" t="str">
        <f aca="false">IF(ISNUMBER(H1945),"yes","no")</f>
        <v>yes</v>
      </c>
      <c r="AI1945" s="110" t="str">
        <f aca="false">IF(ISNUMBER(I1945),"yes","no")</f>
        <v>yes</v>
      </c>
      <c r="AJ1945" s="120" t="n">
        <v>46297</v>
      </c>
      <c r="AK1945" s="110"/>
    </row>
    <row r="1946" customFormat="false" ht="23.85" hidden="false" customHeight="false" outlineLevel="0" collapsed="false">
      <c r="B1946" s="36" t="s">
        <v>105</v>
      </c>
      <c r="C1946" s="98" t="s">
        <v>15</v>
      </c>
      <c r="D1946" s="98" t="s">
        <v>257</v>
      </c>
      <c r="E1946" s="110" t="s">
        <v>5995</v>
      </c>
      <c r="F1946" s="99" t="n">
        <v>4</v>
      </c>
      <c r="G1946" s="98" t="s">
        <v>244</v>
      </c>
      <c r="H1946" s="112" t="n">
        <f aca="false">IF(AND(AE1946="yes",ISNUMBER(AD1946)),AD1946,"")</f>
        <v>4</v>
      </c>
      <c r="I1946" s="95" t="n">
        <f aca="false">IF(AND(AE1946="yes",ISNUMBER(AD1946),ISNUMBER(INDEX(Sources!$G$7:$G$10,MATCH(AB1946,Sources!$B$7:$B$10,0)))),ROUND(AD1946/INDEX(Sources!$G$7:$G$10,MATCH(AB1946,Sources!$B$7:$B$10,0)),6),"")</f>
        <v>4</v>
      </c>
      <c r="J1946" s="98" t="s">
        <v>530</v>
      </c>
      <c r="K1946" s="98" t="s">
        <v>2059</v>
      </c>
      <c r="L1946" s="96"/>
      <c r="M1946" s="110" t="s">
        <v>5996</v>
      </c>
      <c r="N1946" s="117" t="s">
        <v>5997</v>
      </c>
      <c r="O1946" s="110" t="s">
        <v>1576</v>
      </c>
      <c r="P1946" s="110" t="s">
        <v>590</v>
      </c>
      <c r="Q1946" s="118" t="n">
        <v>0.2</v>
      </c>
      <c r="R1946" s="110" t="n">
        <v>1</v>
      </c>
      <c r="S1946" s="110" t="s">
        <v>632</v>
      </c>
      <c r="T1946" s="110" t="s">
        <v>530</v>
      </c>
      <c r="U1946" s="110" t="s">
        <v>2913</v>
      </c>
      <c r="V1946" s="119" t="n">
        <v>4</v>
      </c>
      <c r="W1946" s="119"/>
      <c r="X1946" s="110" t="s">
        <v>2063</v>
      </c>
      <c r="Y1946" s="110" t="s">
        <v>2064</v>
      </c>
      <c r="Z1946" s="110" t="s">
        <v>4341</v>
      </c>
      <c r="AA1946" s="110" t="s">
        <v>537</v>
      </c>
      <c r="AB1946" s="110" t="s">
        <v>244</v>
      </c>
      <c r="AC1946" s="110" t="s">
        <v>538</v>
      </c>
      <c r="AD1946" s="110" t="n">
        <f aca="false">IF(OR(F1946="",Q1946="",R1946=""),"",ROUND(IF(P1946="incl.",F1946/(1+Q1946),F1946)/IF(S1946="per pack",R1946,1),2))</f>
        <v>4</v>
      </c>
      <c r="AE1946" s="110" t="str">
        <f aca="false">IF(AND(AC1946="yes",ISNUMBER(F1946),IF(Compare!$H$5="All mapped",TRUE(),IF(Compare!$H$5="EXACT only",J1946="EXACT",OR(J1946="EXACT",J1946="CLOSE")))),"yes","no")</f>
        <v>yes</v>
      </c>
      <c r="AF1946" s="110" t="n">
        <f aca="false">IF(ISNUMBER(H1946),COUNTIFS($B$7:$B$3000,B1946,$C$7:$C$3000,C1946,$H$7:$H$3000,"&lt;"&amp;H1946,$AH$7:$AH$3000,"yes")+COUNTIFS($B$7:B1946,B1946,$C$7:C1946,C1946,$H$7:H1946,H1946,$AH$7:AH1946,"yes"),"")</f>
        <v>6</v>
      </c>
      <c r="AG1946" s="110" t="n">
        <f aca="false">IF(ISNUMBER(I1946),COUNTIFS($B$7:$B$3000,B1946,$C$7:$C$3000,C1946,$I$7:$I$3000,"&lt;"&amp;I1946,$AI$7:$AI$3000,"yes")+COUNTIFS($B$7:B1946,B1946,$C$7:C1946,C1946,$I$7:I1946,I1946,$AI$7:AI1946,"yes"),"")</f>
        <v>6</v>
      </c>
      <c r="AH1946" s="110" t="str">
        <f aca="false">IF(ISNUMBER(H1946),"yes","no")</f>
        <v>yes</v>
      </c>
      <c r="AI1946" s="110" t="str">
        <f aca="false">IF(ISNUMBER(I1946),"yes","no")</f>
        <v>yes</v>
      </c>
      <c r="AJ1946" s="120" t="n">
        <v>46297</v>
      </c>
      <c r="AK1946" s="110"/>
    </row>
    <row r="1947" customFormat="false" ht="35.05" hidden="false" customHeight="false" outlineLevel="0" collapsed="false">
      <c r="B1947" s="36" t="s">
        <v>105</v>
      </c>
      <c r="C1947" s="98" t="s">
        <v>15</v>
      </c>
      <c r="D1947" s="98" t="s">
        <v>269</v>
      </c>
      <c r="E1947" s="110" t="s">
        <v>5998</v>
      </c>
      <c r="F1947" s="99" t="n">
        <v>2.49</v>
      </c>
      <c r="G1947" s="98" t="s">
        <v>244</v>
      </c>
      <c r="H1947" s="112" t="n">
        <f aca="false">IF(AND(AE1947="yes",ISNUMBER(AD1947)),AD1947,"")</f>
        <v>2.49</v>
      </c>
      <c r="I1947" s="95" t="n">
        <f aca="false">IF(AND(AE1947="yes",ISNUMBER(AD1947),ISNUMBER(INDEX(Sources!$G$7:$G$10,MATCH(AB1947,Sources!$B$7:$B$10,0)))),ROUND(AD1947/INDEX(Sources!$G$7:$G$10,MATCH(AB1947,Sources!$B$7:$B$10,0)),6),"")</f>
        <v>2.49</v>
      </c>
      <c r="J1947" s="98" t="s">
        <v>530</v>
      </c>
      <c r="K1947" s="98" t="s">
        <v>2059</v>
      </c>
      <c r="L1947" s="96"/>
      <c r="M1947" s="110" t="s">
        <v>5999</v>
      </c>
      <c r="N1947" s="117" t="s">
        <v>6000</v>
      </c>
      <c r="O1947" s="110" t="s">
        <v>598</v>
      </c>
      <c r="P1947" s="110" t="s">
        <v>590</v>
      </c>
      <c r="Q1947" s="118" t="n">
        <v>0.2</v>
      </c>
      <c r="R1947" s="110" t="n">
        <v>1</v>
      </c>
      <c r="S1947" s="110" t="s">
        <v>632</v>
      </c>
      <c r="T1947" s="110" t="s">
        <v>530</v>
      </c>
      <c r="U1947" s="110" t="s">
        <v>2913</v>
      </c>
      <c r="V1947" s="119" t="n">
        <v>2.49</v>
      </c>
      <c r="W1947" s="119"/>
      <c r="X1947" s="110" t="s">
        <v>2063</v>
      </c>
      <c r="Y1947" s="110" t="s">
        <v>2064</v>
      </c>
      <c r="Z1947" s="110" t="s">
        <v>3216</v>
      </c>
      <c r="AA1947" s="110" t="s">
        <v>537</v>
      </c>
      <c r="AB1947" s="110" t="s">
        <v>244</v>
      </c>
      <c r="AC1947" s="110" t="s">
        <v>538</v>
      </c>
      <c r="AD1947" s="110" t="n">
        <f aca="false">IF(OR(F1947="",Q1947="",R1947=""),"",ROUND(IF(P1947="incl.",F1947/(1+Q1947),F1947)/IF(S1947="per pack",R1947,1),2))</f>
        <v>2.49</v>
      </c>
      <c r="AE1947" s="110" t="str">
        <f aca="false">IF(AND(AC1947="yes",ISNUMBER(F1947),IF(Compare!$H$5="All mapped",TRUE(),IF(Compare!$H$5="EXACT only",J1947="EXACT",OR(J1947="EXACT",J1947="CLOSE")))),"yes","no")</f>
        <v>yes</v>
      </c>
      <c r="AF1947" s="110" t="n">
        <f aca="false">IF(ISNUMBER(H1947),COUNTIFS($B$7:$B$3000,B1947,$C$7:$C$3000,C1947,$H$7:$H$3000,"&lt;"&amp;H1947,$AH$7:$AH$3000,"yes")+COUNTIFS($B$7:B1947,B1947,$C$7:C1947,C1947,$H$7:H1947,H1947,$AH$7:AH1947,"yes"),"")</f>
        <v>4</v>
      </c>
      <c r="AG1947" s="110" t="n">
        <f aca="false">IF(ISNUMBER(I1947),COUNTIFS($B$7:$B$3000,B1947,$C$7:$C$3000,C1947,$I$7:$I$3000,"&lt;"&amp;I1947,$AI$7:$AI$3000,"yes")+COUNTIFS($B$7:B1947,B1947,$C$7:C1947,C1947,$I$7:I1947,I1947,$AI$7:AI1947,"yes"),"")</f>
        <v>4</v>
      </c>
      <c r="AH1947" s="110" t="str">
        <f aca="false">IF(ISNUMBER(H1947),"yes","no")</f>
        <v>yes</v>
      </c>
      <c r="AI1947" s="110" t="str">
        <f aca="false">IF(ISNUMBER(I1947),"yes","no")</f>
        <v>yes</v>
      </c>
      <c r="AJ1947" s="120" t="n">
        <v>46297</v>
      </c>
      <c r="AK1947" s="110"/>
    </row>
    <row r="1948" customFormat="false" ht="23.85" hidden="false" customHeight="false" outlineLevel="0" collapsed="false">
      <c r="B1948" s="36" t="s">
        <v>105</v>
      </c>
      <c r="C1948" s="98" t="s">
        <v>15</v>
      </c>
      <c r="D1948" s="98" t="s">
        <v>264</v>
      </c>
      <c r="E1948" s="110" t="s">
        <v>6001</v>
      </c>
      <c r="F1948" s="99" t="n">
        <v>9.6</v>
      </c>
      <c r="G1948" s="98" t="s">
        <v>244</v>
      </c>
      <c r="H1948" s="112" t="n">
        <f aca="false">IF(AND(AE1948="yes",ISNUMBER(AD1948)),AD1948,"")</f>
        <v>9.6</v>
      </c>
      <c r="I1948" s="95" t="n">
        <f aca="false">IF(AND(AE1948="yes",ISNUMBER(AD1948),ISNUMBER(INDEX(Sources!$G$7:$G$10,MATCH(AB1948,Sources!$B$7:$B$10,0)))),ROUND(AD1948/INDEX(Sources!$G$7:$G$10,MATCH(AB1948,Sources!$B$7:$B$10,0)),6),"")</f>
        <v>9.6</v>
      </c>
      <c r="J1948" s="98" t="s">
        <v>530</v>
      </c>
      <c r="K1948" s="98" t="s">
        <v>2059</v>
      </c>
      <c r="L1948" s="96"/>
      <c r="M1948" s="110" t="s">
        <v>6002</v>
      </c>
      <c r="N1948" s="117" t="s">
        <v>6003</v>
      </c>
      <c r="O1948" s="110" t="s">
        <v>662</v>
      </c>
      <c r="P1948" s="110" t="s">
        <v>590</v>
      </c>
      <c r="Q1948" s="118" t="n">
        <v>0.2</v>
      </c>
      <c r="R1948" s="110" t="n">
        <v>1</v>
      </c>
      <c r="S1948" s="110" t="s">
        <v>632</v>
      </c>
      <c r="T1948" s="110" t="s">
        <v>530</v>
      </c>
      <c r="U1948" s="110" t="s">
        <v>2913</v>
      </c>
      <c r="V1948" s="119" t="n">
        <v>9.6</v>
      </c>
      <c r="W1948" s="119"/>
      <c r="X1948" s="110" t="s">
        <v>2063</v>
      </c>
      <c r="Y1948" s="110" t="s">
        <v>2064</v>
      </c>
      <c r="Z1948" s="110"/>
      <c r="AA1948" s="110" t="s">
        <v>537</v>
      </c>
      <c r="AB1948" s="110" t="s">
        <v>244</v>
      </c>
      <c r="AC1948" s="110" t="s">
        <v>538</v>
      </c>
      <c r="AD1948" s="110" t="n">
        <f aca="false">IF(OR(F1948="",Q1948="",R1948=""),"",ROUND(IF(P1948="incl.",F1948/(1+Q1948),F1948)/IF(S1948="per pack",R1948,1),2))</f>
        <v>9.6</v>
      </c>
      <c r="AE1948" s="110" t="str">
        <f aca="false">IF(AND(AC1948="yes",ISNUMBER(F1948),IF(Compare!$H$5="All mapped",TRUE(),IF(Compare!$H$5="EXACT only",J1948="EXACT",OR(J1948="EXACT",J1948="CLOSE")))),"yes","no")</f>
        <v>yes</v>
      </c>
      <c r="AF1948" s="110" t="n">
        <f aca="false">IF(ISNUMBER(H1948),COUNTIFS($B$7:$B$3000,B1948,$C$7:$C$3000,C1948,$H$7:$H$3000,"&lt;"&amp;H1948,$AH$7:$AH$3000,"yes")+COUNTIFS($B$7:B1948,B1948,$C$7:C1948,C1948,$H$7:H1948,H1948,$AH$7:AH1948,"yes"),"")</f>
        <v>7</v>
      </c>
      <c r="AG1948" s="110" t="n">
        <f aca="false">IF(ISNUMBER(I1948),COUNTIFS($B$7:$B$3000,B1948,$C$7:$C$3000,C1948,$I$7:$I$3000,"&lt;"&amp;I1948,$AI$7:$AI$3000,"yes")+COUNTIFS($B$7:B1948,B1948,$C$7:C1948,C1948,$I$7:I1948,I1948,$AI$7:AI1948,"yes"),"")</f>
        <v>7</v>
      </c>
      <c r="AH1948" s="110" t="str">
        <f aca="false">IF(ISNUMBER(H1948),"yes","no")</f>
        <v>yes</v>
      </c>
      <c r="AI1948" s="110" t="str">
        <f aca="false">IF(ISNUMBER(I1948),"yes","no")</f>
        <v>yes</v>
      </c>
      <c r="AJ1948" s="120" t="n">
        <v>46297</v>
      </c>
      <c r="AK1948" s="110"/>
    </row>
    <row r="1949" customFormat="false" ht="23.85" hidden="false" customHeight="false" outlineLevel="0" collapsed="false">
      <c r="B1949" s="36" t="s">
        <v>105</v>
      </c>
      <c r="C1949" s="98" t="s">
        <v>15</v>
      </c>
      <c r="D1949" s="98" t="s">
        <v>273</v>
      </c>
      <c r="E1949" s="110" t="s">
        <v>6004</v>
      </c>
      <c r="F1949" s="99" t="n">
        <v>2.19</v>
      </c>
      <c r="G1949" s="98" t="s">
        <v>244</v>
      </c>
      <c r="H1949" s="112" t="n">
        <f aca="false">IF(AND(AE1949="yes",ISNUMBER(AD1949)),AD1949,"")</f>
        <v>1.83</v>
      </c>
      <c r="I1949" s="95" t="n">
        <f aca="false">IF(AND(AE1949="yes",ISNUMBER(AD1949),ISNUMBER(INDEX(Sources!$G$7:$G$10,MATCH(AB1949,Sources!$B$7:$B$10,0)))),ROUND(AD1949/INDEX(Sources!$G$7:$G$10,MATCH(AB1949,Sources!$B$7:$B$10,0)),6),"")</f>
        <v>1.83</v>
      </c>
      <c r="J1949" s="98" t="s">
        <v>530</v>
      </c>
      <c r="K1949" s="98" t="s">
        <v>2059</v>
      </c>
      <c r="L1949" s="96"/>
      <c r="M1949" s="110" t="s">
        <v>6005</v>
      </c>
      <c r="N1949" s="117" t="s">
        <v>6006</v>
      </c>
      <c r="O1949" s="110" t="s">
        <v>598</v>
      </c>
      <c r="P1949" s="110" t="s">
        <v>265</v>
      </c>
      <c r="Q1949" s="118" t="n">
        <v>0.2</v>
      </c>
      <c r="R1949" s="110" t="n">
        <v>1</v>
      </c>
      <c r="S1949" s="110" t="s">
        <v>632</v>
      </c>
      <c r="T1949" s="110" t="s">
        <v>530</v>
      </c>
      <c r="U1949" s="110" t="s">
        <v>2918</v>
      </c>
      <c r="V1949" s="119" t="n">
        <v>1.82</v>
      </c>
      <c r="W1949" s="119"/>
      <c r="X1949" s="110" t="s">
        <v>2063</v>
      </c>
      <c r="Y1949" s="110" t="s">
        <v>2064</v>
      </c>
      <c r="Z1949" s="110" t="s">
        <v>2130</v>
      </c>
      <c r="AA1949" s="110" t="s">
        <v>537</v>
      </c>
      <c r="AB1949" s="110" t="s">
        <v>244</v>
      </c>
      <c r="AC1949" s="110" t="s">
        <v>538</v>
      </c>
      <c r="AD1949" s="110" t="n">
        <f aca="false">IF(OR(F1949="",Q1949="",R1949=""),"",ROUND(IF(P1949="incl.",F1949/(1+Q1949),F1949)/IF(S1949="per pack",R1949,1),2))</f>
        <v>1.83</v>
      </c>
      <c r="AE1949" s="110" t="str">
        <f aca="false">IF(AND(AC1949="yes",ISNUMBER(F1949),IF(Compare!$H$5="All mapped",TRUE(),IF(Compare!$H$5="EXACT only",J1949="EXACT",OR(J1949="EXACT",J1949="CLOSE")))),"yes","no")</f>
        <v>yes</v>
      </c>
      <c r="AF1949" s="110" t="n">
        <f aca="false">IF(ISNUMBER(H1949),COUNTIFS($B$7:$B$3000,B1949,$C$7:$C$3000,C1949,$H$7:$H$3000,"&lt;"&amp;H1949,$AH$7:$AH$3000,"yes")+COUNTIFS($B$7:B1949,B1949,$C$7:C1949,C1949,$H$7:H1949,H1949,$AH$7:AH1949,"yes"),"")</f>
        <v>2</v>
      </c>
      <c r="AG1949" s="110" t="n">
        <f aca="false">IF(ISNUMBER(I1949),COUNTIFS($B$7:$B$3000,B1949,$C$7:$C$3000,C1949,$I$7:$I$3000,"&lt;"&amp;I1949,$AI$7:$AI$3000,"yes")+COUNTIFS($B$7:B1949,B1949,$C$7:C1949,C1949,$I$7:I1949,I1949,$AI$7:AI1949,"yes"),"")</f>
        <v>2</v>
      </c>
      <c r="AH1949" s="110" t="str">
        <f aca="false">IF(ISNUMBER(H1949),"yes","no")</f>
        <v>yes</v>
      </c>
      <c r="AI1949" s="110" t="str">
        <f aca="false">IF(ISNUMBER(I1949),"yes","no")</f>
        <v>yes</v>
      </c>
      <c r="AJ1949" s="120" t="n">
        <v>46297</v>
      </c>
      <c r="AK1949" s="110"/>
    </row>
    <row r="1950" customFormat="false" ht="35.05" hidden="false" customHeight="false" outlineLevel="0" collapsed="false">
      <c r="B1950" s="36" t="s">
        <v>105</v>
      </c>
      <c r="C1950" s="98" t="s">
        <v>15</v>
      </c>
      <c r="D1950" s="98" t="s">
        <v>281</v>
      </c>
      <c r="E1950" s="110" t="s">
        <v>6007</v>
      </c>
      <c r="F1950" s="99" t="n">
        <v>2.57</v>
      </c>
      <c r="G1950" s="98" t="s">
        <v>244</v>
      </c>
      <c r="H1950" s="112" t="n">
        <f aca="false">IF(AND(AE1950="yes",ISNUMBER(AD1950)),AD1950,"")</f>
        <v>2.57</v>
      </c>
      <c r="I1950" s="95" t="n">
        <f aca="false">IF(AND(AE1950="yes",ISNUMBER(AD1950),ISNUMBER(INDEX(Sources!$G$7:$G$10,MATCH(AB1950,Sources!$B$7:$B$10,0)))),ROUND(AD1950/INDEX(Sources!$G$7:$G$10,MATCH(AB1950,Sources!$B$7:$B$10,0)),6),"")</f>
        <v>2.57</v>
      </c>
      <c r="J1950" s="98" t="s">
        <v>530</v>
      </c>
      <c r="K1950" s="98" t="s">
        <v>2059</v>
      </c>
      <c r="L1950" s="96"/>
      <c r="M1950" s="110" t="s">
        <v>6008</v>
      </c>
      <c r="N1950" s="117" t="s">
        <v>6009</v>
      </c>
      <c r="O1950" s="110" t="s">
        <v>2944</v>
      </c>
      <c r="P1950" s="110" t="s">
        <v>590</v>
      </c>
      <c r="Q1950" s="118" t="n">
        <v>0.2</v>
      </c>
      <c r="R1950" s="110" t="n">
        <v>1</v>
      </c>
      <c r="S1950" s="110" t="s">
        <v>632</v>
      </c>
      <c r="T1950" s="110" t="s">
        <v>530</v>
      </c>
      <c r="U1950" s="110" t="s">
        <v>2913</v>
      </c>
      <c r="V1950" s="119" t="n">
        <v>2.57</v>
      </c>
      <c r="W1950" s="119"/>
      <c r="X1950" s="110" t="s">
        <v>2063</v>
      </c>
      <c r="Y1950" s="110" t="s">
        <v>2064</v>
      </c>
      <c r="Z1950" s="110" t="s">
        <v>2953</v>
      </c>
      <c r="AA1950" s="110" t="s">
        <v>537</v>
      </c>
      <c r="AB1950" s="110" t="s">
        <v>244</v>
      </c>
      <c r="AC1950" s="110" t="s">
        <v>538</v>
      </c>
      <c r="AD1950" s="110" t="n">
        <f aca="false">IF(OR(F1950="",Q1950="",R1950=""),"",ROUND(IF(P1950="incl.",F1950/(1+Q1950),F1950)/IF(S1950="per pack",R1950,1),2))</f>
        <v>2.57</v>
      </c>
      <c r="AE1950" s="110" t="str">
        <f aca="false">IF(AND(AC1950="yes",ISNUMBER(F1950),IF(Compare!$H$5="All mapped",TRUE(),IF(Compare!$H$5="EXACT only",J1950="EXACT",OR(J1950="EXACT",J1950="CLOSE")))),"yes","no")</f>
        <v>yes</v>
      </c>
      <c r="AF1950" s="110" t="n">
        <f aca="false">IF(ISNUMBER(H1950),COUNTIFS($B$7:$B$3000,B1950,$C$7:$C$3000,C1950,$H$7:$H$3000,"&lt;"&amp;H1950,$AH$7:$AH$3000,"yes")+COUNTIFS($B$7:B1950,B1950,$C$7:C1950,C1950,$H$7:H1950,H1950,$AH$7:AH1950,"yes"),"")</f>
        <v>5</v>
      </c>
      <c r="AG1950" s="110" t="n">
        <f aca="false">IF(ISNUMBER(I1950),COUNTIFS($B$7:$B$3000,B1950,$C$7:$C$3000,C1950,$I$7:$I$3000,"&lt;"&amp;I1950,$AI$7:$AI$3000,"yes")+COUNTIFS($B$7:B1950,B1950,$C$7:C1950,C1950,$I$7:I1950,I1950,$AI$7:AI1950,"yes"),"")</f>
        <v>5</v>
      </c>
      <c r="AH1950" s="110" t="str">
        <f aca="false">IF(ISNUMBER(H1950),"yes","no")</f>
        <v>yes</v>
      </c>
      <c r="AI1950" s="110" t="str">
        <f aca="false">IF(ISNUMBER(I1950),"yes","no")</f>
        <v>yes</v>
      </c>
      <c r="AJ1950" s="120" t="n">
        <v>46297</v>
      </c>
      <c r="AK1950" s="110"/>
    </row>
    <row r="1951" customFormat="false" ht="23.85" hidden="false" customHeight="false" outlineLevel="0" collapsed="false">
      <c r="B1951" s="36" t="s">
        <v>105</v>
      </c>
      <c r="C1951" s="98" t="s">
        <v>15</v>
      </c>
      <c r="D1951" s="98" t="s">
        <v>293</v>
      </c>
      <c r="E1951" s="110" t="s">
        <v>6010</v>
      </c>
      <c r="F1951" s="99" t="n">
        <v>2.1</v>
      </c>
      <c r="G1951" s="98" t="s">
        <v>244</v>
      </c>
      <c r="H1951" s="112" t="n">
        <f aca="false">IF(AND(AE1951="yes",ISNUMBER(AD1951)),AD1951,"")</f>
        <v>2.1</v>
      </c>
      <c r="I1951" s="95" t="n">
        <f aca="false">IF(AND(AE1951="yes",ISNUMBER(AD1951),ISNUMBER(INDEX(Sources!$G$7:$G$10,MATCH(AB1951,Sources!$B$7:$B$10,0)))),ROUND(AD1951/INDEX(Sources!$G$7:$G$10,MATCH(AB1951,Sources!$B$7:$B$10,0)),6),"")</f>
        <v>2.1</v>
      </c>
      <c r="J1951" s="98" t="s">
        <v>530</v>
      </c>
      <c r="K1951" s="98" t="s">
        <v>2059</v>
      </c>
      <c r="L1951" s="96"/>
      <c r="M1951" s="110" t="s">
        <v>6011</v>
      </c>
      <c r="N1951" s="117" t="s">
        <v>6012</v>
      </c>
      <c r="O1951" s="110" t="s">
        <v>5848</v>
      </c>
      <c r="P1951" s="110" t="s">
        <v>590</v>
      </c>
      <c r="Q1951" s="118" t="n">
        <v>0.2</v>
      </c>
      <c r="R1951" s="110" t="n">
        <v>1</v>
      </c>
      <c r="S1951" s="110" t="s">
        <v>632</v>
      </c>
      <c r="T1951" s="110" t="s">
        <v>530</v>
      </c>
      <c r="U1951" s="110" t="s">
        <v>2913</v>
      </c>
      <c r="V1951" s="119" t="n">
        <v>2.1</v>
      </c>
      <c r="W1951" s="119"/>
      <c r="X1951" s="110" t="s">
        <v>2063</v>
      </c>
      <c r="Y1951" s="110" t="s">
        <v>2064</v>
      </c>
      <c r="Z1951" s="110" t="s">
        <v>2958</v>
      </c>
      <c r="AA1951" s="110" t="s">
        <v>537</v>
      </c>
      <c r="AB1951" s="110" t="s">
        <v>244</v>
      </c>
      <c r="AC1951" s="110" t="s">
        <v>538</v>
      </c>
      <c r="AD1951" s="110" t="n">
        <f aca="false">IF(OR(F1951="",Q1951="",R1951=""),"",ROUND(IF(P1951="incl.",F1951/(1+Q1951),F1951)/IF(S1951="per pack",R1951,1),2))</f>
        <v>2.1</v>
      </c>
      <c r="AE1951" s="110" t="str">
        <f aca="false">IF(AND(AC1951="yes",ISNUMBER(F1951),IF(Compare!$H$5="All mapped",TRUE(),IF(Compare!$H$5="EXACT only",J1951="EXACT",OR(J1951="EXACT",J1951="CLOSE")))),"yes","no")</f>
        <v>yes</v>
      </c>
      <c r="AF1951" s="110" t="n">
        <f aca="false">IF(ISNUMBER(H1951),COUNTIFS($B$7:$B$3000,B1951,$C$7:$C$3000,C1951,$H$7:$H$3000,"&lt;"&amp;H1951,$AH$7:$AH$3000,"yes")+COUNTIFS($B$7:B1951,B1951,$C$7:C1951,C1951,$H$7:H1951,H1951,$AH$7:AH1951,"yes"),"")</f>
        <v>3</v>
      </c>
      <c r="AG1951" s="110" t="n">
        <f aca="false">IF(ISNUMBER(I1951),COUNTIFS($B$7:$B$3000,B1951,$C$7:$C$3000,C1951,$I$7:$I$3000,"&lt;"&amp;I1951,$AI$7:$AI$3000,"yes")+COUNTIFS($B$7:B1951,B1951,$C$7:C1951,C1951,$I$7:I1951,I1951,$AI$7:AI1951,"yes"),"")</f>
        <v>3</v>
      </c>
      <c r="AH1951" s="110" t="str">
        <f aca="false">IF(ISNUMBER(H1951),"yes","no")</f>
        <v>yes</v>
      </c>
      <c r="AI1951" s="110" t="str">
        <f aca="false">IF(ISNUMBER(I1951),"yes","no")</f>
        <v>yes</v>
      </c>
      <c r="AJ1951" s="120" t="n">
        <v>46297</v>
      </c>
      <c r="AK1951" s="110"/>
    </row>
    <row r="1952" customFormat="false" ht="35.05" hidden="false" customHeight="false" outlineLevel="0" collapsed="false">
      <c r="B1952" s="36" t="s">
        <v>105</v>
      </c>
      <c r="C1952" s="98" t="s">
        <v>16</v>
      </c>
      <c r="D1952" s="98" t="s">
        <v>296</v>
      </c>
      <c r="E1952" s="110" t="s">
        <v>5992</v>
      </c>
      <c r="F1952" s="99" t="n">
        <v>1.49</v>
      </c>
      <c r="G1952" s="98" t="s">
        <v>244</v>
      </c>
      <c r="H1952" s="112" t="n">
        <f aca="false">IF(AND(AE1952="yes",ISNUMBER(AD1952)),AD1952,"")</f>
        <v>1.49</v>
      </c>
      <c r="I1952" s="95" t="n">
        <f aca="false">IF(AND(AE1952="yes",ISNUMBER(AD1952),ISNUMBER(INDEX(Sources!$G$7:$G$10,MATCH(AB1952,Sources!$B$7:$B$10,0)))),ROUND(AD1952/INDEX(Sources!$G$7:$G$10,MATCH(AB1952,Sources!$B$7:$B$10,0)),6),"")</f>
        <v>1.49</v>
      </c>
      <c r="J1952" s="98" t="s">
        <v>530</v>
      </c>
      <c r="K1952" s="98" t="s">
        <v>2059</v>
      </c>
      <c r="L1952" s="96"/>
      <c r="M1952" s="110" t="s">
        <v>6013</v>
      </c>
      <c r="N1952" s="117" t="s">
        <v>6014</v>
      </c>
      <c r="O1952" s="110" t="s">
        <v>296</v>
      </c>
      <c r="P1952" s="110" t="s">
        <v>590</v>
      </c>
      <c r="Q1952" s="118" t="n">
        <v>0.19</v>
      </c>
      <c r="R1952" s="110" t="n">
        <v>1</v>
      </c>
      <c r="S1952" s="110" t="s">
        <v>632</v>
      </c>
      <c r="T1952" s="110" t="s">
        <v>530</v>
      </c>
      <c r="U1952" s="110" t="s">
        <v>2913</v>
      </c>
      <c r="V1952" s="119" t="n">
        <v>1.49</v>
      </c>
      <c r="W1952" s="119"/>
      <c r="X1952" s="110" t="s">
        <v>2063</v>
      </c>
      <c r="Y1952" s="110" t="s">
        <v>2064</v>
      </c>
      <c r="Z1952" s="110" t="s">
        <v>2164</v>
      </c>
      <c r="AA1952" s="110" t="s">
        <v>537</v>
      </c>
      <c r="AB1952" s="110" t="s">
        <v>244</v>
      </c>
      <c r="AC1952" s="110" t="s">
        <v>538</v>
      </c>
      <c r="AD1952" s="110" t="n">
        <f aca="false">IF(OR(F1952="",Q1952="",R1952=""),"",ROUND(IF(P1952="incl.",F1952/(1+Q1952),F1952)/IF(S1952="per pack",R1952,1),2))</f>
        <v>1.49</v>
      </c>
      <c r="AE1952" s="110" t="str">
        <f aca="false">IF(AND(AC1952="yes",ISNUMBER(F1952),IF(Compare!$H$5="All mapped",TRUE(),IF(Compare!$H$5="EXACT only",J1952="EXACT",OR(J1952="EXACT",J1952="CLOSE")))),"yes","no")</f>
        <v>yes</v>
      </c>
      <c r="AF1952" s="110" t="n">
        <f aca="false">IF(ISNUMBER(H1952),COUNTIFS($B$7:$B$3000,B1952,$C$7:$C$3000,C1952,$H$7:$H$3000,"&lt;"&amp;H1952,$AH$7:$AH$3000,"yes")+COUNTIFS($B$7:B1952,B1952,$C$7:C1952,C1952,$H$7:H1952,H1952,$AH$7:AH1952,"yes"),"")</f>
        <v>2</v>
      </c>
      <c r="AG1952" s="110" t="n">
        <f aca="false">IF(ISNUMBER(I1952),COUNTIFS($B$7:$B$3000,B1952,$C$7:$C$3000,C1952,$I$7:$I$3000,"&lt;"&amp;I1952,$AI$7:$AI$3000,"yes")+COUNTIFS($B$7:B1952,B1952,$C$7:C1952,C1952,$I$7:I1952,I1952,$AI$7:AI1952,"yes"),"")</f>
        <v>2</v>
      </c>
      <c r="AH1952" s="110" t="str">
        <f aca="false">IF(ISNUMBER(H1952),"yes","no")</f>
        <v>yes</v>
      </c>
      <c r="AI1952" s="110" t="str">
        <f aca="false">IF(ISNUMBER(I1952),"yes","no")</f>
        <v>yes</v>
      </c>
      <c r="AJ1952" s="120" t="n">
        <v>46297</v>
      </c>
      <c r="AK1952" s="110"/>
    </row>
    <row r="1953" customFormat="false" ht="35.05" hidden="false" customHeight="false" outlineLevel="0" collapsed="false">
      <c r="B1953" s="36" t="s">
        <v>105</v>
      </c>
      <c r="C1953" s="98" t="s">
        <v>16</v>
      </c>
      <c r="D1953" s="98" t="s">
        <v>305</v>
      </c>
      <c r="E1953" s="110" t="s">
        <v>6015</v>
      </c>
      <c r="F1953" s="99" t="n">
        <v>2.67</v>
      </c>
      <c r="G1953" s="98" t="s">
        <v>244</v>
      </c>
      <c r="H1953" s="112" t="n">
        <f aca="false">IF(AND(AE1953="yes",ISNUMBER(AD1953)),AD1953,"")</f>
        <v>2.24</v>
      </c>
      <c r="I1953" s="95" t="n">
        <f aca="false">IF(AND(AE1953="yes",ISNUMBER(AD1953),ISNUMBER(INDEX(Sources!$G$7:$G$10,MATCH(AB1953,Sources!$B$7:$B$10,0)))),ROUND(AD1953/INDEX(Sources!$G$7:$G$10,MATCH(AB1953,Sources!$B$7:$B$10,0)),6),"")</f>
        <v>2.24</v>
      </c>
      <c r="J1953" s="98" t="s">
        <v>530</v>
      </c>
      <c r="K1953" s="98" t="s">
        <v>2059</v>
      </c>
      <c r="L1953" s="96"/>
      <c r="M1953" s="110" t="s">
        <v>6016</v>
      </c>
      <c r="N1953" s="117" t="s">
        <v>6017</v>
      </c>
      <c r="O1953" s="110" t="s">
        <v>2965</v>
      </c>
      <c r="P1953" s="110" t="s">
        <v>265</v>
      </c>
      <c r="Q1953" s="118" t="n">
        <v>0.19</v>
      </c>
      <c r="R1953" s="110" t="n">
        <v>1</v>
      </c>
      <c r="S1953" s="110" t="s">
        <v>632</v>
      </c>
      <c r="T1953" s="110" t="s">
        <v>530</v>
      </c>
      <c r="U1953" s="110" t="s">
        <v>2918</v>
      </c>
      <c r="V1953" s="119" t="n">
        <v>2.24</v>
      </c>
      <c r="W1953" s="119"/>
      <c r="X1953" s="110" t="s">
        <v>2063</v>
      </c>
      <c r="Y1953" s="110" t="s">
        <v>2064</v>
      </c>
      <c r="Z1953" s="110" t="s">
        <v>2156</v>
      </c>
      <c r="AA1953" s="110" t="s">
        <v>537</v>
      </c>
      <c r="AB1953" s="110" t="s">
        <v>244</v>
      </c>
      <c r="AC1953" s="110" t="s">
        <v>538</v>
      </c>
      <c r="AD1953" s="110" t="n">
        <f aca="false">IF(OR(F1953="",Q1953="",R1953=""),"",ROUND(IF(P1953="incl.",F1953/(1+Q1953),F1953)/IF(S1953="per pack",R1953,1),2))</f>
        <v>2.24</v>
      </c>
      <c r="AE1953" s="110" t="str">
        <f aca="false">IF(AND(AC1953="yes",ISNUMBER(F1953),IF(Compare!$H$5="All mapped",TRUE(),IF(Compare!$H$5="EXACT only",J1953="EXACT",OR(J1953="EXACT",J1953="CLOSE")))),"yes","no")</f>
        <v>yes</v>
      </c>
      <c r="AF1953" s="110" t="n">
        <f aca="false">IF(ISNUMBER(H1953),COUNTIFS($B$7:$B$3000,B1953,$C$7:$C$3000,C1953,$H$7:$H$3000,"&lt;"&amp;H1953,$AH$7:$AH$3000,"yes")+COUNTIFS($B$7:B1953,B1953,$C$7:C1953,C1953,$H$7:H1953,H1953,$AH$7:AH1953,"yes"),"")</f>
        <v>4</v>
      </c>
      <c r="AG1953" s="110" t="n">
        <f aca="false">IF(ISNUMBER(I1953),COUNTIFS($B$7:$B$3000,B1953,$C$7:$C$3000,C1953,$I$7:$I$3000,"&lt;"&amp;I1953,$AI$7:$AI$3000,"yes")+COUNTIFS($B$7:B1953,B1953,$C$7:C1953,C1953,$I$7:I1953,I1953,$AI$7:AI1953,"yes"),"")</f>
        <v>4</v>
      </c>
      <c r="AH1953" s="110" t="str">
        <f aca="false">IF(ISNUMBER(H1953),"yes","no")</f>
        <v>yes</v>
      </c>
      <c r="AI1953" s="110" t="str">
        <f aca="false">IF(ISNUMBER(I1953),"yes","no")</f>
        <v>yes</v>
      </c>
      <c r="AJ1953" s="120" t="n">
        <v>46297</v>
      </c>
      <c r="AK1953" s="110"/>
    </row>
    <row r="1954" customFormat="false" ht="35.05" hidden="false" customHeight="false" outlineLevel="0" collapsed="false">
      <c r="B1954" s="36" t="s">
        <v>105</v>
      </c>
      <c r="C1954" s="98" t="s">
        <v>16</v>
      </c>
      <c r="D1954" s="98" t="s">
        <v>311</v>
      </c>
      <c r="E1954" s="110" t="s">
        <v>6018</v>
      </c>
      <c r="F1954" s="99" t="n">
        <v>2.39</v>
      </c>
      <c r="G1954" s="98" t="s">
        <v>244</v>
      </c>
      <c r="H1954" s="112" t="n">
        <f aca="false">IF(AND(AE1954="yes",ISNUMBER(AD1954)),AD1954,"")</f>
        <v>2.39</v>
      </c>
      <c r="I1954" s="95" t="n">
        <f aca="false">IF(AND(AE1954="yes",ISNUMBER(AD1954),ISNUMBER(INDEX(Sources!$G$7:$G$10,MATCH(AB1954,Sources!$B$7:$B$10,0)))),ROUND(AD1954/INDEX(Sources!$G$7:$G$10,MATCH(AB1954,Sources!$B$7:$B$10,0)),6),"")</f>
        <v>2.39</v>
      </c>
      <c r="J1954" s="98" t="s">
        <v>530</v>
      </c>
      <c r="K1954" s="98" t="s">
        <v>2059</v>
      </c>
      <c r="L1954" s="96"/>
      <c r="M1954" s="110" t="s">
        <v>6019</v>
      </c>
      <c r="N1954" s="117" t="s">
        <v>6020</v>
      </c>
      <c r="O1954" s="110" t="s">
        <v>589</v>
      </c>
      <c r="P1954" s="110" t="s">
        <v>590</v>
      </c>
      <c r="Q1954" s="118" t="n">
        <v>0.19</v>
      </c>
      <c r="R1954" s="110" t="n">
        <v>1</v>
      </c>
      <c r="S1954" s="110" t="s">
        <v>632</v>
      </c>
      <c r="T1954" s="110" t="s">
        <v>530</v>
      </c>
      <c r="U1954" s="110" t="s">
        <v>2913</v>
      </c>
      <c r="V1954" s="119" t="n">
        <v>2.39</v>
      </c>
      <c r="W1954" s="119"/>
      <c r="X1954" s="110" t="s">
        <v>2063</v>
      </c>
      <c r="Y1954" s="110" t="s">
        <v>2064</v>
      </c>
      <c r="Z1954" s="110" t="s">
        <v>3236</v>
      </c>
      <c r="AA1954" s="110" t="s">
        <v>537</v>
      </c>
      <c r="AB1954" s="110" t="s">
        <v>244</v>
      </c>
      <c r="AC1954" s="110" t="s">
        <v>538</v>
      </c>
      <c r="AD1954" s="110" t="n">
        <f aca="false">IF(OR(F1954="",Q1954="",R1954=""),"",ROUND(IF(P1954="incl.",F1954/(1+Q1954),F1954)/IF(S1954="per pack",R1954,1),2))</f>
        <v>2.39</v>
      </c>
      <c r="AE1954" s="110" t="str">
        <f aca="false">IF(AND(AC1954="yes",ISNUMBER(F1954),IF(Compare!$H$5="All mapped",TRUE(),IF(Compare!$H$5="EXACT only",J1954="EXACT",OR(J1954="EXACT",J1954="CLOSE")))),"yes","no")</f>
        <v>yes</v>
      </c>
      <c r="AF1954" s="110" t="n">
        <f aca="false">IF(ISNUMBER(H1954),COUNTIFS($B$7:$B$3000,B1954,$C$7:$C$3000,C1954,$H$7:$H$3000,"&lt;"&amp;H1954,$AH$7:$AH$3000,"yes")+COUNTIFS($B$7:B1954,B1954,$C$7:C1954,C1954,$H$7:H1954,H1954,$AH$7:AH1954,"yes"),"")</f>
        <v>5</v>
      </c>
      <c r="AG1954" s="110" t="n">
        <f aca="false">IF(ISNUMBER(I1954),COUNTIFS($B$7:$B$3000,B1954,$C$7:$C$3000,C1954,$I$7:$I$3000,"&lt;"&amp;I1954,$AI$7:$AI$3000,"yes")+COUNTIFS($B$7:B1954,B1954,$C$7:C1954,C1954,$I$7:I1954,I1954,$AI$7:AI1954,"yes"),"")</f>
        <v>5</v>
      </c>
      <c r="AH1954" s="110" t="str">
        <f aca="false">IF(ISNUMBER(H1954),"yes","no")</f>
        <v>yes</v>
      </c>
      <c r="AI1954" s="110" t="str">
        <f aca="false">IF(ISNUMBER(I1954),"yes","no")</f>
        <v>yes</v>
      </c>
      <c r="AJ1954" s="120" t="n">
        <v>46297</v>
      </c>
      <c r="AK1954" s="110"/>
    </row>
    <row r="1955" customFormat="false" ht="35.05" hidden="false" customHeight="false" outlineLevel="0" collapsed="false">
      <c r="B1955" s="36" t="s">
        <v>105</v>
      </c>
      <c r="C1955" s="98" t="s">
        <v>16</v>
      </c>
      <c r="D1955" s="98" t="s">
        <v>309</v>
      </c>
      <c r="E1955" s="110" t="s">
        <v>6001</v>
      </c>
      <c r="F1955" s="99" t="n">
        <v>9.6</v>
      </c>
      <c r="G1955" s="98" t="s">
        <v>244</v>
      </c>
      <c r="H1955" s="112" t="n">
        <f aca="false">IF(AND(AE1955="yes",ISNUMBER(AD1955)),AD1955,"")</f>
        <v>9.6</v>
      </c>
      <c r="I1955" s="95" t="n">
        <f aca="false">IF(AND(AE1955="yes",ISNUMBER(AD1955),ISNUMBER(INDEX(Sources!$G$7:$G$10,MATCH(AB1955,Sources!$B$7:$B$10,0)))),ROUND(AD1955/INDEX(Sources!$G$7:$G$10,MATCH(AB1955,Sources!$B$7:$B$10,0)),6),"")</f>
        <v>9.6</v>
      </c>
      <c r="J1955" s="98" t="s">
        <v>530</v>
      </c>
      <c r="K1955" s="98" t="s">
        <v>2059</v>
      </c>
      <c r="L1955" s="96"/>
      <c r="M1955" s="110" t="s">
        <v>6021</v>
      </c>
      <c r="N1955" s="117" t="s">
        <v>6003</v>
      </c>
      <c r="O1955" s="110" t="s">
        <v>662</v>
      </c>
      <c r="P1955" s="110" t="s">
        <v>590</v>
      </c>
      <c r="Q1955" s="118" t="n">
        <v>0.19</v>
      </c>
      <c r="R1955" s="110" t="n">
        <v>1</v>
      </c>
      <c r="S1955" s="110" t="s">
        <v>632</v>
      </c>
      <c r="T1955" s="110" t="s">
        <v>530</v>
      </c>
      <c r="U1955" s="110" t="s">
        <v>2913</v>
      </c>
      <c r="V1955" s="119" t="n">
        <v>9.6</v>
      </c>
      <c r="W1955" s="119"/>
      <c r="X1955" s="110" t="s">
        <v>2063</v>
      </c>
      <c r="Y1955" s="110" t="s">
        <v>2064</v>
      </c>
      <c r="Z1955" s="110" t="s">
        <v>2970</v>
      </c>
      <c r="AA1955" s="110" t="s">
        <v>537</v>
      </c>
      <c r="AB1955" s="110" t="s">
        <v>244</v>
      </c>
      <c r="AC1955" s="110" t="s">
        <v>538</v>
      </c>
      <c r="AD1955" s="110" t="n">
        <f aca="false">IF(OR(F1955="",Q1955="",R1955=""),"",ROUND(IF(P1955="incl.",F1955/(1+Q1955),F1955)/IF(S1955="per pack",R1955,1),2))</f>
        <v>9.6</v>
      </c>
      <c r="AE1955" s="110" t="str">
        <f aca="false">IF(AND(AC1955="yes",ISNUMBER(F1955),IF(Compare!$H$5="All mapped",TRUE(),IF(Compare!$H$5="EXACT only",J1955="EXACT",OR(J1955="EXACT",J1955="CLOSE")))),"yes","no")</f>
        <v>yes</v>
      </c>
      <c r="AF1955" s="110" t="n">
        <f aca="false">IF(ISNUMBER(H1955),COUNTIFS($B$7:$B$3000,B1955,$C$7:$C$3000,C1955,$H$7:$H$3000,"&lt;"&amp;H1955,$AH$7:$AH$3000,"yes")+COUNTIFS($B$7:B1955,B1955,$C$7:C1955,C1955,$H$7:H1955,H1955,$AH$7:AH1955,"yes"),"")</f>
        <v>7</v>
      </c>
      <c r="AG1955" s="110" t="n">
        <f aca="false">IF(ISNUMBER(I1955),COUNTIFS($B$7:$B$3000,B1955,$C$7:$C$3000,C1955,$I$7:$I$3000,"&lt;"&amp;I1955,$AI$7:$AI$3000,"yes")+COUNTIFS($B$7:B1955,B1955,$C$7:C1955,C1955,$I$7:I1955,I1955,$AI$7:AI1955,"yes"),"")</f>
        <v>7</v>
      </c>
      <c r="AH1955" s="110" t="str">
        <f aca="false">IF(ISNUMBER(H1955),"yes","no")</f>
        <v>yes</v>
      </c>
      <c r="AI1955" s="110" t="str">
        <f aca="false">IF(ISNUMBER(I1955),"yes","no")</f>
        <v>yes</v>
      </c>
      <c r="AJ1955" s="120" t="n">
        <v>46297</v>
      </c>
      <c r="AK1955" s="110"/>
    </row>
    <row r="1956" customFormat="false" ht="23.85" hidden="false" customHeight="false" outlineLevel="0" collapsed="false">
      <c r="B1956" s="36" t="s">
        <v>105</v>
      </c>
      <c r="C1956" s="98" t="s">
        <v>16</v>
      </c>
      <c r="D1956" s="98" t="s">
        <v>313</v>
      </c>
      <c r="E1956" s="110" t="s">
        <v>6004</v>
      </c>
      <c r="F1956" s="99" t="n">
        <v>2.19</v>
      </c>
      <c r="G1956" s="98" t="s">
        <v>244</v>
      </c>
      <c r="H1956" s="112" t="n">
        <f aca="false">IF(AND(AE1956="yes",ISNUMBER(AD1956)),AD1956,"")</f>
        <v>1.84</v>
      </c>
      <c r="I1956" s="95" t="n">
        <f aca="false">IF(AND(AE1956="yes",ISNUMBER(AD1956),ISNUMBER(INDEX(Sources!$G$7:$G$10,MATCH(AB1956,Sources!$B$7:$B$10,0)))),ROUND(AD1956/INDEX(Sources!$G$7:$G$10,MATCH(AB1956,Sources!$B$7:$B$10,0)),6),"")</f>
        <v>1.84</v>
      </c>
      <c r="J1956" s="98" t="s">
        <v>530</v>
      </c>
      <c r="K1956" s="98" t="s">
        <v>2059</v>
      </c>
      <c r="L1956" s="96"/>
      <c r="M1956" s="110" t="s">
        <v>6022</v>
      </c>
      <c r="N1956" s="117" t="s">
        <v>6023</v>
      </c>
      <c r="O1956" s="110" t="s">
        <v>598</v>
      </c>
      <c r="P1956" s="110" t="s">
        <v>265</v>
      </c>
      <c r="Q1956" s="118" t="n">
        <v>0.19</v>
      </c>
      <c r="R1956" s="110" t="n">
        <v>1</v>
      </c>
      <c r="S1956" s="110" t="s">
        <v>632</v>
      </c>
      <c r="T1956" s="110" t="s">
        <v>530</v>
      </c>
      <c r="U1956" s="110" t="s">
        <v>2918</v>
      </c>
      <c r="V1956" s="119" t="n">
        <v>1.84</v>
      </c>
      <c r="W1956" s="119"/>
      <c r="X1956" s="110" t="s">
        <v>2063</v>
      </c>
      <c r="Y1956" s="110" t="s">
        <v>2064</v>
      </c>
      <c r="Z1956" s="110" t="s">
        <v>3243</v>
      </c>
      <c r="AA1956" s="110" t="s">
        <v>537</v>
      </c>
      <c r="AB1956" s="110" t="s">
        <v>244</v>
      </c>
      <c r="AC1956" s="110" t="s">
        <v>538</v>
      </c>
      <c r="AD1956" s="110" t="n">
        <f aca="false">IF(OR(F1956="",Q1956="",R1956=""),"",ROUND(IF(P1956="incl.",F1956/(1+Q1956),F1956)/IF(S1956="per pack",R1956,1),2))</f>
        <v>1.84</v>
      </c>
      <c r="AE1956" s="110" t="str">
        <f aca="false">IF(AND(AC1956="yes",ISNUMBER(F1956),IF(Compare!$H$5="All mapped",TRUE(),IF(Compare!$H$5="EXACT only",J1956="EXACT",OR(J1956="EXACT",J1956="CLOSE")))),"yes","no")</f>
        <v>yes</v>
      </c>
      <c r="AF1956" s="110" t="n">
        <f aca="false">IF(ISNUMBER(H1956),COUNTIFS($B$7:$B$3000,B1956,$C$7:$C$3000,C1956,$H$7:$H$3000,"&lt;"&amp;H1956,$AH$7:$AH$3000,"yes")+COUNTIFS($B$7:B1956,B1956,$C$7:C1956,C1956,$H$7:H1956,H1956,$AH$7:AH1956,"yes"),"")</f>
        <v>3</v>
      </c>
      <c r="AG1956" s="110" t="n">
        <f aca="false">IF(ISNUMBER(I1956),COUNTIFS($B$7:$B$3000,B1956,$C$7:$C$3000,C1956,$I$7:$I$3000,"&lt;"&amp;I1956,$AI$7:$AI$3000,"yes")+COUNTIFS($B$7:B1956,B1956,$C$7:C1956,C1956,$I$7:I1956,I1956,$AI$7:AI1956,"yes"),"")</f>
        <v>3</v>
      </c>
      <c r="AH1956" s="110" t="str">
        <f aca="false">IF(ISNUMBER(H1956),"yes","no")</f>
        <v>yes</v>
      </c>
      <c r="AI1956" s="110" t="str">
        <f aca="false">IF(ISNUMBER(I1956),"yes","no")</f>
        <v>yes</v>
      </c>
      <c r="AJ1956" s="120" t="n">
        <v>46297</v>
      </c>
      <c r="AK1956" s="110"/>
    </row>
    <row r="1957" customFormat="false" ht="23.85" hidden="false" customHeight="false" outlineLevel="0" collapsed="false">
      <c r="B1957" s="36" t="s">
        <v>105</v>
      </c>
      <c r="C1957" s="98" t="s">
        <v>16</v>
      </c>
      <c r="D1957" s="98" t="s">
        <v>321</v>
      </c>
      <c r="E1957" s="110" t="s">
        <v>6007</v>
      </c>
      <c r="F1957" s="99" t="n">
        <v>2.57</v>
      </c>
      <c r="G1957" s="98" t="s">
        <v>244</v>
      </c>
      <c r="H1957" s="112" t="n">
        <f aca="false">IF(AND(AE1957="yes",ISNUMBER(AD1957)),AD1957,"")</f>
        <v>2.57</v>
      </c>
      <c r="I1957" s="95" t="n">
        <f aca="false">IF(AND(AE1957="yes",ISNUMBER(AD1957),ISNUMBER(INDEX(Sources!$G$7:$G$10,MATCH(AB1957,Sources!$B$7:$B$10,0)))),ROUND(AD1957/INDEX(Sources!$G$7:$G$10,MATCH(AB1957,Sources!$B$7:$B$10,0)),6),"")</f>
        <v>2.57</v>
      </c>
      <c r="J1957" s="98" t="s">
        <v>530</v>
      </c>
      <c r="K1957" s="98" t="s">
        <v>2059</v>
      </c>
      <c r="L1957" s="96"/>
      <c r="M1957" s="110" t="s">
        <v>6024</v>
      </c>
      <c r="N1957" s="117" t="s">
        <v>6025</v>
      </c>
      <c r="O1957" s="110" t="s">
        <v>2944</v>
      </c>
      <c r="P1957" s="110" t="s">
        <v>590</v>
      </c>
      <c r="Q1957" s="118" t="n">
        <v>0.19</v>
      </c>
      <c r="R1957" s="110" t="n">
        <v>1</v>
      </c>
      <c r="S1957" s="110" t="s">
        <v>632</v>
      </c>
      <c r="T1957" s="110" t="s">
        <v>530</v>
      </c>
      <c r="U1957" s="110" t="s">
        <v>2913</v>
      </c>
      <c r="V1957" s="119" t="n">
        <v>2.57</v>
      </c>
      <c r="W1957" s="119"/>
      <c r="X1957" s="110" t="s">
        <v>2063</v>
      </c>
      <c r="Y1957" s="110" t="s">
        <v>2064</v>
      </c>
      <c r="Z1957" s="110" t="s">
        <v>2978</v>
      </c>
      <c r="AA1957" s="110" t="s">
        <v>537</v>
      </c>
      <c r="AB1957" s="110" t="s">
        <v>244</v>
      </c>
      <c r="AC1957" s="110" t="s">
        <v>538</v>
      </c>
      <c r="AD1957" s="110" t="n">
        <f aca="false">IF(OR(F1957="",Q1957="",R1957=""),"",ROUND(IF(P1957="incl.",F1957/(1+Q1957),F1957)/IF(S1957="per pack",R1957,1),2))</f>
        <v>2.57</v>
      </c>
      <c r="AE1957" s="110" t="str">
        <f aca="false">IF(AND(AC1957="yes",ISNUMBER(F1957),IF(Compare!$H$5="All mapped",TRUE(),IF(Compare!$H$5="EXACT only",J1957="EXACT",OR(J1957="EXACT",J1957="CLOSE")))),"yes","no")</f>
        <v>yes</v>
      </c>
      <c r="AF1957" s="110" t="n">
        <f aca="false">IF(ISNUMBER(H1957),COUNTIFS($B$7:$B$3000,B1957,$C$7:$C$3000,C1957,$H$7:$H$3000,"&lt;"&amp;H1957,$AH$7:$AH$3000,"yes")+COUNTIFS($B$7:B1957,B1957,$C$7:C1957,C1957,$H$7:H1957,H1957,$AH$7:AH1957,"yes"),"")</f>
        <v>6</v>
      </c>
      <c r="AG1957" s="110" t="n">
        <f aca="false">IF(ISNUMBER(I1957),COUNTIFS($B$7:$B$3000,B1957,$C$7:$C$3000,C1957,$I$7:$I$3000,"&lt;"&amp;I1957,$AI$7:$AI$3000,"yes")+COUNTIFS($B$7:B1957,B1957,$C$7:C1957,C1957,$I$7:I1957,I1957,$AI$7:AI1957,"yes"),"")</f>
        <v>6</v>
      </c>
      <c r="AH1957" s="110" t="str">
        <f aca="false">IF(ISNUMBER(H1957),"yes","no")</f>
        <v>yes</v>
      </c>
      <c r="AI1957" s="110" t="str">
        <f aca="false">IF(ISNUMBER(I1957),"yes","no")</f>
        <v>yes</v>
      </c>
      <c r="AJ1957" s="120" t="n">
        <v>46297</v>
      </c>
      <c r="AK1957" s="110"/>
    </row>
    <row r="1958" customFormat="false" ht="35.05" hidden="false" customHeight="false" outlineLevel="0" collapsed="false">
      <c r="B1958" s="36" t="s">
        <v>105</v>
      </c>
      <c r="C1958" s="98" t="s">
        <v>16</v>
      </c>
      <c r="D1958" s="98" t="s">
        <v>329</v>
      </c>
      <c r="E1958" s="110" t="s">
        <v>6026</v>
      </c>
      <c r="F1958" s="99" t="n">
        <v>0.92</v>
      </c>
      <c r="G1958" s="98" t="s">
        <v>244</v>
      </c>
      <c r="H1958" s="112" t="n">
        <f aca="false">IF(AND(AE1958="yes",ISNUMBER(AD1958)),AD1958,"")</f>
        <v>0.92</v>
      </c>
      <c r="I1958" s="95" t="n">
        <f aca="false">IF(AND(AE1958="yes",ISNUMBER(AD1958),ISNUMBER(INDEX(Sources!$G$7:$G$10,MATCH(AB1958,Sources!$B$7:$B$10,0)))),ROUND(AD1958/INDEX(Sources!$G$7:$G$10,MATCH(AB1958,Sources!$B$7:$B$10,0)),6),"")</f>
        <v>0.92</v>
      </c>
      <c r="J1958" s="98" t="s">
        <v>530</v>
      </c>
      <c r="K1958" s="98" t="s">
        <v>2059</v>
      </c>
      <c r="L1958" s="96"/>
      <c r="M1958" s="110" t="s">
        <v>6027</v>
      </c>
      <c r="N1958" s="117" t="s">
        <v>6028</v>
      </c>
      <c r="O1958" s="110" t="s">
        <v>598</v>
      </c>
      <c r="P1958" s="110" t="s">
        <v>590</v>
      </c>
      <c r="Q1958" s="118" t="n">
        <v>0.19</v>
      </c>
      <c r="R1958" s="110" t="n">
        <v>1</v>
      </c>
      <c r="S1958" s="110" t="s">
        <v>632</v>
      </c>
      <c r="T1958" s="110" t="s">
        <v>530</v>
      </c>
      <c r="U1958" s="110" t="s">
        <v>2913</v>
      </c>
      <c r="V1958" s="119" t="n">
        <v>0.92</v>
      </c>
      <c r="W1958" s="119"/>
      <c r="X1958" s="110" t="s">
        <v>2063</v>
      </c>
      <c r="Y1958" s="110" t="s">
        <v>2064</v>
      </c>
      <c r="Z1958" s="110" t="s">
        <v>2624</v>
      </c>
      <c r="AA1958" s="110" t="s">
        <v>537</v>
      </c>
      <c r="AB1958" s="110" t="s">
        <v>244</v>
      </c>
      <c r="AC1958" s="110" t="s">
        <v>538</v>
      </c>
      <c r="AD1958" s="110" t="n">
        <f aca="false">IF(OR(F1958="",Q1958="",R1958=""),"",ROUND(IF(P1958="incl.",F1958/(1+Q1958),F1958)/IF(S1958="per pack",R1958,1),2))</f>
        <v>0.92</v>
      </c>
      <c r="AE1958" s="110" t="str">
        <f aca="false">IF(AND(AC1958="yes",ISNUMBER(F1958),IF(Compare!$H$5="All mapped",TRUE(),IF(Compare!$H$5="EXACT only",J1958="EXACT",OR(J1958="EXACT",J1958="CLOSE")))),"yes","no")</f>
        <v>yes</v>
      </c>
      <c r="AF1958" s="110" t="n">
        <f aca="false">IF(ISNUMBER(H1958),COUNTIFS($B$7:$B$3000,B1958,$C$7:$C$3000,C1958,$H$7:$H$3000,"&lt;"&amp;H1958,$AH$7:$AH$3000,"yes")+COUNTIFS($B$7:B1958,B1958,$C$7:C1958,C1958,$H$7:H1958,H1958,$AH$7:AH1958,"yes"),"")</f>
        <v>1</v>
      </c>
      <c r="AG1958" s="110" t="n">
        <f aca="false">IF(ISNUMBER(I1958),COUNTIFS($B$7:$B$3000,B1958,$C$7:$C$3000,C1958,$I$7:$I$3000,"&lt;"&amp;I1958,$AI$7:$AI$3000,"yes")+COUNTIFS($B$7:B1958,B1958,$C$7:C1958,C1958,$I$7:I1958,I1958,$AI$7:AI1958,"yes"),"")</f>
        <v>1</v>
      </c>
      <c r="AH1958" s="110" t="str">
        <f aca="false">IF(ISNUMBER(H1958),"yes","no")</f>
        <v>yes</v>
      </c>
      <c r="AI1958" s="110" t="str">
        <f aca="false">IF(ISNUMBER(I1958),"yes","no")</f>
        <v>yes</v>
      </c>
      <c r="AJ1958" s="120" t="n">
        <v>46297</v>
      </c>
      <c r="AK1958" s="110"/>
    </row>
    <row r="1959" customFormat="false" ht="23.85" hidden="false" customHeight="false" outlineLevel="0" collapsed="false">
      <c r="B1959" s="36" t="s">
        <v>105</v>
      </c>
      <c r="C1959" s="98" t="s">
        <v>17</v>
      </c>
      <c r="D1959" s="98" t="s">
        <v>338</v>
      </c>
      <c r="E1959" s="110" t="s">
        <v>6029</v>
      </c>
      <c r="F1959" s="99" t="n">
        <v>50</v>
      </c>
      <c r="G1959" s="98" t="s">
        <v>333</v>
      </c>
      <c r="H1959" s="112" t="n">
        <f aca="false">IF(AND(AE1959="yes",ISNUMBER(AD1959)),AD1959,"")</f>
        <v>50</v>
      </c>
      <c r="I1959" s="95" t="n">
        <f aca="false">IF(AND(AE1959="yes",ISNUMBER(AD1959),ISNUMBER(INDEX(Sources!$G$7:$G$10,MATCH(AB1959,Sources!$B$7:$B$10,0)))),ROUND(AD1959/INDEX(Sources!$G$7:$G$10,MATCH(AB1959,Sources!$B$7:$B$10,0)),6),"")</f>
        <v>2.047199</v>
      </c>
      <c r="J1959" s="98" t="s">
        <v>530</v>
      </c>
      <c r="K1959" s="98" t="s">
        <v>2059</v>
      </c>
      <c r="L1959" s="96"/>
      <c r="M1959" s="110" t="s">
        <v>6030</v>
      </c>
      <c r="N1959" s="117" t="s">
        <v>6031</v>
      </c>
      <c r="O1959" s="110" t="s">
        <v>2412</v>
      </c>
      <c r="P1959" s="110" t="s">
        <v>590</v>
      </c>
      <c r="Q1959" s="118" t="n">
        <v>0.21</v>
      </c>
      <c r="R1959" s="110" t="n">
        <v>1</v>
      </c>
      <c r="S1959" s="110" t="s">
        <v>632</v>
      </c>
      <c r="T1959" s="110" t="s">
        <v>530</v>
      </c>
      <c r="U1959" s="110" t="s">
        <v>2913</v>
      </c>
      <c r="V1959" s="119" t="n">
        <v>50</v>
      </c>
      <c r="W1959" s="119"/>
      <c r="X1959" s="110" t="s">
        <v>2063</v>
      </c>
      <c r="Y1959" s="110" t="s">
        <v>2064</v>
      </c>
      <c r="Z1959" s="110" t="s">
        <v>2413</v>
      </c>
      <c r="AA1959" s="110" t="s">
        <v>537</v>
      </c>
      <c r="AB1959" s="110" t="s">
        <v>333</v>
      </c>
      <c r="AC1959" s="110" t="s">
        <v>538</v>
      </c>
      <c r="AD1959" s="110" t="n">
        <f aca="false">IF(OR(F1959="",Q1959="",R1959=""),"",ROUND(IF(P1959="incl.",F1959/(1+Q1959),F1959)/IF(S1959="per pack",R1959,1),2))</f>
        <v>50</v>
      </c>
      <c r="AE1959" s="110" t="str">
        <f aca="false">IF(AND(AC1959="yes",ISNUMBER(F1959),IF(Compare!$H$5="All mapped",TRUE(),IF(Compare!$H$5="EXACT only",J1959="EXACT",OR(J1959="EXACT",J1959="CLOSE")))),"yes","no")</f>
        <v>yes</v>
      </c>
      <c r="AF1959" s="110" t="n">
        <f aca="false">IF(ISNUMBER(H1959),COUNTIFS($B$7:$B$3000,B1959,$C$7:$C$3000,C1959,$H$7:$H$3000,"&lt;"&amp;H1959,$AH$7:$AH$3000,"yes")+COUNTIFS($B$7:B1959,B1959,$C$7:C1959,C1959,$H$7:H1959,H1959,$AH$7:AH1959,"yes"),"")</f>
        <v>3</v>
      </c>
      <c r="AG1959" s="110" t="n">
        <f aca="false">IF(ISNUMBER(I1959),COUNTIFS($B$7:$B$3000,B1959,$C$7:$C$3000,C1959,$I$7:$I$3000,"&lt;"&amp;I1959,$AI$7:$AI$3000,"yes")+COUNTIFS($B$7:B1959,B1959,$C$7:C1959,C1959,$I$7:I1959,I1959,$AI$7:AI1959,"yes"),"")</f>
        <v>3</v>
      </c>
      <c r="AH1959" s="110" t="str">
        <f aca="false">IF(ISNUMBER(H1959),"yes","no")</f>
        <v>yes</v>
      </c>
      <c r="AI1959" s="110" t="str">
        <f aca="false">IF(ISNUMBER(I1959),"yes","no")</f>
        <v>yes</v>
      </c>
      <c r="AJ1959" s="120" t="n">
        <v>46297</v>
      </c>
      <c r="AK1959" s="110"/>
    </row>
    <row r="1960" customFormat="false" ht="23.85" hidden="false" customHeight="false" outlineLevel="0" collapsed="false">
      <c r="B1960" s="36" t="s">
        <v>105</v>
      </c>
      <c r="C1960" s="98" t="s">
        <v>17</v>
      </c>
      <c r="D1960" s="98" t="s">
        <v>342</v>
      </c>
      <c r="E1960" s="110" t="s">
        <v>6032</v>
      </c>
      <c r="F1960" s="99" t="n">
        <v>47</v>
      </c>
      <c r="G1960" s="98" t="s">
        <v>333</v>
      </c>
      <c r="H1960" s="112" t="n">
        <f aca="false">IF(AND(AE1960="yes",ISNUMBER(AD1960)),AD1960,"")</f>
        <v>47</v>
      </c>
      <c r="I1960" s="95" t="n">
        <f aca="false">IF(AND(AE1960="yes",ISNUMBER(AD1960),ISNUMBER(INDEX(Sources!$G$7:$G$10,MATCH(AB1960,Sources!$B$7:$B$10,0)))),ROUND(AD1960/INDEX(Sources!$G$7:$G$10,MATCH(AB1960,Sources!$B$7:$B$10,0)),6),"")</f>
        <v>1.924367</v>
      </c>
      <c r="J1960" s="98" t="s">
        <v>530</v>
      </c>
      <c r="K1960" s="98" t="s">
        <v>2059</v>
      </c>
      <c r="L1960" s="96"/>
      <c r="M1960" s="110" t="s">
        <v>6033</v>
      </c>
      <c r="N1960" s="117" t="s">
        <v>6034</v>
      </c>
      <c r="O1960" s="110" t="s">
        <v>1138</v>
      </c>
      <c r="P1960" s="110" t="s">
        <v>590</v>
      </c>
      <c r="Q1960" s="118" t="n">
        <v>0.21</v>
      </c>
      <c r="R1960" s="110" t="n">
        <v>1</v>
      </c>
      <c r="S1960" s="110" t="s">
        <v>632</v>
      </c>
      <c r="T1960" s="110" t="s">
        <v>530</v>
      </c>
      <c r="U1960" s="110" t="s">
        <v>2913</v>
      </c>
      <c r="V1960" s="119" t="n">
        <v>47</v>
      </c>
      <c r="W1960" s="119"/>
      <c r="X1960" s="110" t="s">
        <v>2063</v>
      </c>
      <c r="Y1960" s="110" t="s">
        <v>2064</v>
      </c>
      <c r="Z1960" s="110" t="s">
        <v>2989</v>
      </c>
      <c r="AA1960" s="110" t="s">
        <v>537</v>
      </c>
      <c r="AB1960" s="110" t="s">
        <v>333</v>
      </c>
      <c r="AC1960" s="110" t="s">
        <v>538</v>
      </c>
      <c r="AD1960" s="110" t="n">
        <f aca="false">IF(OR(F1960="",Q1960="",R1960=""),"",ROUND(IF(P1960="incl.",F1960/(1+Q1960),F1960)/IF(S1960="per pack",R1960,1),2))</f>
        <v>47</v>
      </c>
      <c r="AE1960" s="110" t="str">
        <f aca="false">IF(AND(AC1960="yes",ISNUMBER(F1960),IF(Compare!$H$5="All mapped",TRUE(),IF(Compare!$H$5="EXACT only",J1960="EXACT",OR(J1960="EXACT",J1960="CLOSE")))),"yes","no")</f>
        <v>yes</v>
      </c>
      <c r="AF1960" s="110" t="n">
        <f aca="false">IF(ISNUMBER(H1960),COUNTIFS($B$7:$B$3000,B1960,$C$7:$C$3000,C1960,$H$7:$H$3000,"&lt;"&amp;H1960,$AH$7:$AH$3000,"yes")+COUNTIFS($B$7:B1960,B1960,$C$7:C1960,C1960,$H$7:H1960,H1960,$AH$7:AH1960,"yes"),"")</f>
        <v>2</v>
      </c>
      <c r="AG1960" s="110" t="n">
        <f aca="false">IF(ISNUMBER(I1960),COUNTIFS($B$7:$B$3000,B1960,$C$7:$C$3000,C1960,$I$7:$I$3000,"&lt;"&amp;I1960,$AI$7:$AI$3000,"yes")+COUNTIFS($B$7:B1960,B1960,$C$7:C1960,C1960,$I$7:I1960,I1960,$AI$7:AI1960,"yes"),"")</f>
        <v>2</v>
      </c>
      <c r="AH1960" s="110" t="str">
        <f aca="false">IF(ISNUMBER(H1960),"yes","no")</f>
        <v>yes</v>
      </c>
      <c r="AI1960" s="110" t="str">
        <f aca="false">IF(ISNUMBER(I1960),"yes","no")</f>
        <v>yes</v>
      </c>
      <c r="AJ1960" s="120" t="n">
        <v>46297</v>
      </c>
      <c r="AK1960" s="110"/>
    </row>
    <row r="1961" customFormat="false" ht="46.25" hidden="false" customHeight="false" outlineLevel="0" collapsed="false">
      <c r="B1961" s="36" t="s">
        <v>105</v>
      </c>
      <c r="C1961" s="98" t="s">
        <v>17</v>
      </c>
      <c r="D1961" s="98" t="s">
        <v>346</v>
      </c>
      <c r="E1961" s="110" t="s">
        <v>6035</v>
      </c>
      <c r="F1961" s="99" t="n">
        <v>74</v>
      </c>
      <c r="G1961" s="98" t="s">
        <v>333</v>
      </c>
      <c r="H1961" s="112" t="n">
        <f aca="false">IF(AND(AE1961="yes",ISNUMBER(AD1961)),AD1961,"")</f>
        <v>74</v>
      </c>
      <c r="I1961" s="95" t="n">
        <f aca="false">IF(AND(AE1961="yes",ISNUMBER(AD1961),ISNUMBER(INDEX(Sources!$G$7:$G$10,MATCH(AB1961,Sources!$B$7:$B$10,0)))),ROUND(AD1961/INDEX(Sources!$G$7:$G$10,MATCH(AB1961,Sources!$B$7:$B$10,0)),6),"")</f>
        <v>3.029854</v>
      </c>
      <c r="J1961" s="98" t="s">
        <v>702</v>
      </c>
      <c r="K1961" s="98" t="s">
        <v>2059</v>
      </c>
      <c r="L1961" s="96"/>
      <c r="M1961" s="110" t="s">
        <v>6036</v>
      </c>
      <c r="N1961" s="117" t="s">
        <v>6037</v>
      </c>
      <c r="O1961" s="110" t="s">
        <v>565</v>
      </c>
      <c r="P1961" s="110" t="s">
        <v>590</v>
      </c>
      <c r="Q1961" s="118" t="n">
        <v>0.21</v>
      </c>
      <c r="R1961" s="110" t="n">
        <v>1</v>
      </c>
      <c r="S1961" s="110" t="s">
        <v>632</v>
      </c>
      <c r="T1961" s="110" t="s">
        <v>702</v>
      </c>
      <c r="U1961" s="110" t="s">
        <v>2913</v>
      </c>
      <c r="V1961" s="119" t="n">
        <v>74</v>
      </c>
      <c r="W1961" s="119"/>
      <c r="X1961" s="110" t="s">
        <v>2063</v>
      </c>
      <c r="Y1961" s="110" t="s">
        <v>2064</v>
      </c>
      <c r="Z1961" s="110" t="s">
        <v>2993</v>
      </c>
      <c r="AA1961" s="110" t="s">
        <v>537</v>
      </c>
      <c r="AB1961" s="110" t="s">
        <v>333</v>
      </c>
      <c r="AC1961" s="110" t="s">
        <v>538</v>
      </c>
      <c r="AD1961" s="110" t="n">
        <f aca="false">IF(OR(F1961="",Q1961="",R1961=""),"",ROUND(IF(P1961="incl.",F1961/(1+Q1961),F1961)/IF(S1961="per pack",R1961,1),2))</f>
        <v>74</v>
      </c>
      <c r="AE1961" s="110" t="str">
        <f aca="false">IF(AND(AC1961="yes",ISNUMBER(F1961),IF(Compare!$H$5="All mapped",TRUE(),IF(Compare!$H$5="EXACT only",J1961="EXACT",OR(J1961="EXACT",J1961="CLOSE")))),"yes","no")</f>
        <v>yes</v>
      </c>
      <c r="AF1961" s="110" t="n">
        <f aca="false">IF(ISNUMBER(H1961),COUNTIFS($B$7:$B$3000,B1961,$C$7:$C$3000,C1961,$H$7:$H$3000,"&lt;"&amp;H1961,$AH$7:$AH$3000,"yes")+COUNTIFS($B$7:B1961,B1961,$C$7:C1961,C1961,$H$7:H1961,H1961,$AH$7:AH1961,"yes"),"")</f>
        <v>4</v>
      </c>
      <c r="AG1961" s="110" t="n">
        <f aca="false">IF(ISNUMBER(I1961),COUNTIFS($B$7:$B$3000,B1961,$C$7:$C$3000,C1961,$I$7:$I$3000,"&lt;"&amp;I1961,$AI$7:$AI$3000,"yes")+COUNTIFS($B$7:B1961,B1961,$C$7:C1961,C1961,$I$7:I1961,I1961,$AI$7:AI1961,"yes"),"")</f>
        <v>4</v>
      </c>
      <c r="AH1961" s="110" t="str">
        <f aca="false">IF(ISNUMBER(H1961),"yes","no")</f>
        <v>yes</v>
      </c>
      <c r="AI1961" s="110" t="str">
        <f aca="false">IF(ISNUMBER(I1961),"yes","no")</f>
        <v>yes</v>
      </c>
      <c r="AJ1961" s="120" t="n">
        <v>46297</v>
      </c>
      <c r="AK1961" s="110"/>
    </row>
    <row r="1962" customFormat="false" ht="35.05" hidden="false" customHeight="false" outlineLevel="0" collapsed="false">
      <c r="B1962" s="36" t="s">
        <v>105</v>
      </c>
      <c r="C1962" s="98" t="s">
        <v>17</v>
      </c>
      <c r="D1962" s="98" t="s">
        <v>350</v>
      </c>
      <c r="E1962" s="110" t="s">
        <v>6038</v>
      </c>
      <c r="F1962" s="99" t="n">
        <v>44</v>
      </c>
      <c r="G1962" s="98" t="s">
        <v>333</v>
      </c>
      <c r="H1962" s="112" t="n">
        <f aca="false">IF(AND(AE1962="yes",ISNUMBER(AD1962)),AD1962,"")</f>
        <v>36.36</v>
      </c>
      <c r="I1962" s="95" t="n">
        <f aca="false">IF(AND(AE1962="yes",ISNUMBER(AD1962),ISNUMBER(INDEX(Sources!$G$7:$G$10,MATCH(AB1962,Sources!$B$7:$B$10,0)))),ROUND(AD1962/INDEX(Sources!$G$7:$G$10,MATCH(AB1962,Sources!$B$7:$B$10,0)),6),"")</f>
        <v>1.488723</v>
      </c>
      <c r="J1962" s="98" t="s">
        <v>530</v>
      </c>
      <c r="K1962" s="98" t="s">
        <v>2059</v>
      </c>
      <c r="L1962" s="96"/>
      <c r="M1962" s="110" t="s">
        <v>6039</v>
      </c>
      <c r="N1962" s="117" t="s">
        <v>6040</v>
      </c>
      <c r="O1962" s="110" t="s">
        <v>2997</v>
      </c>
      <c r="P1962" s="110" t="s">
        <v>265</v>
      </c>
      <c r="Q1962" s="118" t="n">
        <v>0.21</v>
      </c>
      <c r="R1962" s="110" t="n">
        <v>1</v>
      </c>
      <c r="S1962" s="110" t="s">
        <v>632</v>
      </c>
      <c r="T1962" s="110" t="s">
        <v>530</v>
      </c>
      <c r="U1962" s="110" t="s">
        <v>2918</v>
      </c>
      <c r="V1962" s="119" t="n">
        <v>36.36</v>
      </c>
      <c r="W1962" s="119"/>
      <c r="X1962" s="110" t="s">
        <v>2063</v>
      </c>
      <c r="Y1962" s="110" t="s">
        <v>2064</v>
      </c>
      <c r="Z1962" s="110" t="s">
        <v>2349</v>
      </c>
      <c r="AA1962" s="110" t="s">
        <v>537</v>
      </c>
      <c r="AB1962" s="110" t="s">
        <v>333</v>
      </c>
      <c r="AC1962" s="110" t="s">
        <v>538</v>
      </c>
      <c r="AD1962" s="110" t="n">
        <f aca="false">IF(OR(F1962="",Q1962="",R1962=""),"",ROUND(IF(P1962="incl.",F1962/(1+Q1962),F1962)/IF(S1962="per pack",R1962,1),2))</f>
        <v>36.36</v>
      </c>
      <c r="AE1962" s="110" t="str">
        <f aca="false">IF(AND(AC1962="yes",ISNUMBER(F1962),IF(Compare!$H$5="All mapped",TRUE(),IF(Compare!$H$5="EXACT only",J1962="EXACT",OR(J1962="EXACT",J1962="CLOSE")))),"yes","no")</f>
        <v>yes</v>
      </c>
      <c r="AF1962" s="110" t="n">
        <f aca="false">IF(ISNUMBER(H1962),COUNTIFS($B$7:$B$3000,B1962,$C$7:$C$3000,C1962,$H$7:$H$3000,"&lt;"&amp;H1962,$AH$7:$AH$3000,"yes")+COUNTIFS($B$7:B1962,B1962,$C$7:C1962,C1962,$H$7:H1962,H1962,$AH$7:AH1962,"yes"),"")</f>
        <v>1</v>
      </c>
      <c r="AG1962" s="110" t="n">
        <f aca="false">IF(ISNUMBER(I1962),COUNTIFS($B$7:$B$3000,B1962,$C$7:$C$3000,C1962,$I$7:$I$3000,"&lt;"&amp;I1962,$AI$7:$AI$3000,"yes")+COUNTIFS($B$7:B1962,B1962,$C$7:C1962,C1962,$I$7:I1962,I1962,$AI$7:AI1962,"yes"),"")</f>
        <v>1</v>
      </c>
      <c r="AH1962" s="110" t="str">
        <f aca="false">IF(ISNUMBER(H1962),"yes","no")</f>
        <v>yes</v>
      </c>
      <c r="AI1962" s="110" t="str">
        <f aca="false">IF(ISNUMBER(I1962),"yes","no")</f>
        <v>yes</v>
      </c>
      <c r="AJ1962" s="120" t="n">
        <v>46297</v>
      </c>
      <c r="AK1962" s="110"/>
    </row>
    <row r="1963" customFormat="false" ht="35.05" hidden="false" customHeight="false" outlineLevel="0" collapsed="false">
      <c r="B1963" s="36" t="s">
        <v>105</v>
      </c>
      <c r="C1963" s="98" t="s">
        <v>17</v>
      </c>
      <c r="D1963" s="98" t="s">
        <v>361</v>
      </c>
      <c r="E1963" s="110" t="s">
        <v>6041</v>
      </c>
      <c r="F1963" s="99" t="n">
        <v>89</v>
      </c>
      <c r="G1963" s="98" t="s">
        <v>333</v>
      </c>
      <c r="H1963" s="112" t="n">
        <f aca="false">IF(AND(AE1963="yes",ISNUMBER(AD1963)),AD1963,"")</f>
        <v>89</v>
      </c>
      <c r="I1963" s="95" t="n">
        <f aca="false">IF(AND(AE1963="yes",ISNUMBER(AD1963),ISNUMBER(INDEX(Sources!$G$7:$G$10,MATCH(AB1963,Sources!$B$7:$B$10,0)))),ROUND(AD1963/INDEX(Sources!$G$7:$G$10,MATCH(AB1963,Sources!$B$7:$B$10,0)),6),"")</f>
        <v>3.644014</v>
      </c>
      <c r="J1963" s="98" t="s">
        <v>530</v>
      </c>
      <c r="K1963" s="98" t="s">
        <v>2059</v>
      </c>
      <c r="L1963" s="96"/>
      <c r="M1963" s="110" t="s">
        <v>6042</v>
      </c>
      <c r="N1963" s="117" t="s">
        <v>6043</v>
      </c>
      <c r="O1963" s="110" t="s">
        <v>642</v>
      </c>
      <c r="P1963" s="110" t="s">
        <v>590</v>
      </c>
      <c r="Q1963" s="118" t="n">
        <v>0.21</v>
      </c>
      <c r="R1963" s="110" t="n">
        <v>1</v>
      </c>
      <c r="S1963" s="110" t="s">
        <v>632</v>
      </c>
      <c r="T1963" s="110" t="s">
        <v>530</v>
      </c>
      <c r="U1963" s="110" t="s">
        <v>2913</v>
      </c>
      <c r="V1963" s="119" t="n">
        <v>89</v>
      </c>
      <c r="W1963" s="119"/>
      <c r="X1963" s="110" t="s">
        <v>2063</v>
      </c>
      <c r="Y1963" s="110" t="s">
        <v>2064</v>
      </c>
      <c r="Z1963" s="110" t="s">
        <v>6044</v>
      </c>
      <c r="AA1963" s="110" t="s">
        <v>537</v>
      </c>
      <c r="AB1963" s="110" t="s">
        <v>333</v>
      </c>
      <c r="AC1963" s="110" t="s">
        <v>538</v>
      </c>
      <c r="AD1963" s="110" t="n">
        <f aca="false">IF(OR(F1963="",Q1963="",R1963=""),"",ROUND(IF(P1963="incl.",F1963/(1+Q1963),F1963)/IF(S1963="per pack",R1963,1),2))</f>
        <v>89</v>
      </c>
      <c r="AE1963" s="110" t="str">
        <f aca="false">IF(AND(AC1963="yes",ISNUMBER(F1963),IF(Compare!$H$5="All mapped",TRUE(),IF(Compare!$H$5="EXACT only",J1963="EXACT",OR(J1963="EXACT",J1963="CLOSE")))),"yes","no")</f>
        <v>yes</v>
      </c>
      <c r="AF1963" s="110" t="n">
        <f aca="false">IF(ISNUMBER(H1963),COUNTIFS($B$7:$B$3000,B1963,$C$7:$C$3000,C1963,$H$7:$H$3000,"&lt;"&amp;H1963,$AH$7:$AH$3000,"yes")+COUNTIFS($B$7:B1963,B1963,$C$7:C1963,C1963,$H$7:H1963,H1963,$AH$7:AH1963,"yes"),"")</f>
        <v>5</v>
      </c>
      <c r="AG1963" s="110" t="n">
        <f aca="false">IF(ISNUMBER(I1963),COUNTIFS($B$7:$B$3000,B1963,$C$7:$C$3000,C1963,$I$7:$I$3000,"&lt;"&amp;I1963,$AI$7:$AI$3000,"yes")+COUNTIFS($B$7:B1963,B1963,$C$7:C1963,C1963,$I$7:I1963,I1963,$AI$7:AI1963,"yes"),"")</f>
        <v>5</v>
      </c>
      <c r="AH1963" s="110" t="str">
        <f aca="false">IF(ISNUMBER(H1963),"yes","no")</f>
        <v>yes</v>
      </c>
      <c r="AI1963" s="110" t="str">
        <f aca="false">IF(ISNUMBER(I1963),"yes","no")</f>
        <v>yes</v>
      </c>
      <c r="AJ1963" s="120" t="n">
        <v>46297</v>
      </c>
      <c r="AK1963" s="110"/>
    </row>
    <row r="1964" customFormat="false" ht="23.85" hidden="false" customHeight="false" outlineLevel="0" collapsed="false">
      <c r="B1964" s="36" t="s">
        <v>105</v>
      </c>
      <c r="C1964" s="98" t="s">
        <v>18</v>
      </c>
      <c r="D1964" s="98" t="s">
        <v>3002</v>
      </c>
      <c r="E1964" s="110" t="s">
        <v>6045</v>
      </c>
      <c r="F1964" s="99" t="n">
        <v>2.6</v>
      </c>
      <c r="G1964" s="98" t="s">
        <v>244</v>
      </c>
      <c r="H1964" s="112" t="n">
        <f aca="false">IF(AND(AE1964="yes",ISNUMBER(AD1964)),AD1964,"")</f>
        <v>2.6</v>
      </c>
      <c r="I1964" s="95" t="n">
        <f aca="false">IF(AND(AE1964="yes",ISNUMBER(AD1964),ISNUMBER(INDEX(Sources!$G$7:$G$10,MATCH(AB1964,Sources!$B$7:$B$10,0)))),ROUND(AD1964/INDEX(Sources!$G$7:$G$10,MATCH(AB1964,Sources!$B$7:$B$10,0)),6),"")</f>
        <v>2.6</v>
      </c>
      <c r="J1964" s="98" t="s">
        <v>530</v>
      </c>
      <c r="K1964" s="98" t="s">
        <v>2059</v>
      </c>
      <c r="L1964" s="96"/>
      <c r="M1964" s="110" t="s">
        <v>6046</v>
      </c>
      <c r="N1964" s="117" t="s">
        <v>4128</v>
      </c>
      <c r="O1964" s="110" t="s">
        <v>2396</v>
      </c>
      <c r="P1964" s="110" t="s">
        <v>590</v>
      </c>
      <c r="Q1964" s="118" t="n">
        <v>0.23</v>
      </c>
      <c r="R1964" s="110" t="n">
        <v>1</v>
      </c>
      <c r="S1964" s="110" t="s">
        <v>632</v>
      </c>
      <c r="T1964" s="110" t="s">
        <v>530</v>
      </c>
      <c r="U1964" s="110" t="s">
        <v>2913</v>
      </c>
      <c r="V1964" s="119" t="n">
        <v>2.6</v>
      </c>
      <c r="W1964" s="119"/>
      <c r="X1964" s="110" t="s">
        <v>2063</v>
      </c>
      <c r="Y1964" s="110" t="s">
        <v>2064</v>
      </c>
      <c r="Z1964" s="110" t="s">
        <v>3346</v>
      </c>
      <c r="AA1964" s="110" t="s">
        <v>537</v>
      </c>
      <c r="AB1964" s="110" t="s">
        <v>244</v>
      </c>
      <c r="AC1964" s="110" t="s">
        <v>538</v>
      </c>
      <c r="AD1964" s="110" t="n">
        <f aca="false">IF(OR(F1964="",Q1964="",R1964=""),"",ROUND(IF(P1964="incl.",F1964/(1+Q1964),F1964)/IF(S1964="per pack",R1964,1),2))</f>
        <v>2.6</v>
      </c>
      <c r="AE1964" s="110" t="str">
        <f aca="false">IF(AND(AC1964="yes",ISNUMBER(F1964),IF(Compare!$H$5="All mapped",TRUE(),IF(Compare!$H$5="EXACT only",J1964="EXACT",OR(J1964="EXACT",J1964="CLOSE")))),"yes","no")</f>
        <v>yes</v>
      </c>
      <c r="AF1964" s="110" t="n">
        <f aca="false">IF(ISNUMBER(H1964),COUNTIFS($B$7:$B$3000,B1964,$C$7:$C$3000,C1964,$H$7:$H$3000,"&lt;"&amp;H1964,$AH$7:$AH$3000,"yes")+COUNTIFS($B$7:B1964,B1964,$C$7:C1964,C1964,$H$7:H1964,H1964,$AH$7:AH1964,"yes"),"")</f>
        <v>3</v>
      </c>
      <c r="AG1964" s="110" t="n">
        <f aca="false">IF(ISNUMBER(I1964),COUNTIFS($B$7:$B$3000,B1964,$C$7:$C$3000,C1964,$I$7:$I$3000,"&lt;"&amp;I1964,$AI$7:$AI$3000,"yes")+COUNTIFS($B$7:B1964,B1964,$C$7:C1964,C1964,$I$7:I1964,I1964,$AI$7:AI1964,"yes"),"")</f>
        <v>3</v>
      </c>
      <c r="AH1964" s="110" t="str">
        <f aca="false">IF(ISNUMBER(H1964),"yes","no")</f>
        <v>yes</v>
      </c>
      <c r="AI1964" s="110" t="str">
        <f aca="false">IF(ISNUMBER(I1964),"yes","no")</f>
        <v>yes</v>
      </c>
      <c r="AJ1964" s="120" t="n">
        <v>46297</v>
      </c>
      <c r="AK1964" s="110"/>
    </row>
    <row r="1965" customFormat="false" ht="23.85" hidden="false" customHeight="false" outlineLevel="0" collapsed="false">
      <c r="B1965" s="36" t="s">
        <v>105</v>
      </c>
      <c r="C1965" s="98" t="s">
        <v>18</v>
      </c>
      <c r="D1965" s="98" t="s">
        <v>3007</v>
      </c>
      <c r="E1965" s="110" t="s">
        <v>6047</v>
      </c>
      <c r="F1965" s="99" t="n">
        <v>2.99</v>
      </c>
      <c r="G1965" s="98" t="s">
        <v>244</v>
      </c>
      <c r="H1965" s="112" t="n">
        <f aca="false">IF(AND(AE1965="yes",ISNUMBER(AD1965)),AD1965,"")</f>
        <v>2.99</v>
      </c>
      <c r="I1965" s="95" t="n">
        <f aca="false">IF(AND(AE1965="yes",ISNUMBER(AD1965),ISNUMBER(INDEX(Sources!$G$7:$G$10,MATCH(AB1965,Sources!$B$7:$B$10,0)))),ROUND(AD1965/INDEX(Sources!$G$7:$G$10,MATCH(AB1965,Sources!$B$7:$B$10,0)),6),"")</f>
        <v>2.99</v>
      </c>
      <c r="J1965" s="98" t="s">
        <v>530</v>
      </c>
      <c r="K1965" s="98" t="s">
        <v>2059</v>
      </c>
      <c r="L1965" s="96"/>
      <c r="M1965" s="110" t="s">
        <v>6048</v>
      </c>
      <c r="N1965" s="117" t="s">
        <v>3010</v>
      </c>
      <c r="O1965" s="110" t="s">
        <v>598</v>
      </c>
      <c r="P1965" s="110" t="s">
        <v>590</v>
      </c>
      <c r="Q1965" s="118" t="n">
        <v>0.23</v>
      </c>
      <c r="R1965" s="110" t="n">
        <v>1</v>
      </c>
      <c r="S1965" s="110" t="s">
        <v>632</v>
      </c>
      <c r="T1965" s="110" t="s">
        <v>530</v>
      </c>
      <c r="U1965" s="110" t="s">
        <v>2913</v>
      </c>
      <c r="V1965" s="119" t="n">
        <v>2.99</v>
      </c>
      <c r="W1965" s="119"/>
      <c r="X1965" s="110" t="s">
        <v>2063</v>
      </c>
      <c r="Y1965" s="110" t="s">
        <v>2064</v>
      </c>
      <c r="Z1965" s="110" t="s">
        <v>3012</v>
      </c>
      <c r="AA1965" s="110" t="s">
        <v>537</v>
      </c>
      <c r="AB1965" s="110" t="s">
        <v>244</v>
      </c>
      <c r="AC1965" s="110" t="s">
        <v>538</v>
      </c>
      <c r="AD1965" s="110" t="n">
        <f aca="false">IF(OR(F1965="",Q1965="",R1965=""),"",ROUND(IF(P1965="incl.",F1965/(1+Q1965),F1965)/IF(S1965="per pack",R1965,1),2))</f>
        <v>2.99</v>
      </c>
      <c r="AE1965" s="110" t="str">
        <f aca="false">IF(AND(AC1965="yes",ISNUMBER(F1965),IF(Compare!$H$5="All mapped",TRUE(),IF(Compare!$H$5="EXACT only",J1965="EXACT",OR(J1965="EXACT",J1965="CLOSE")))),"yes","no")</f>
        <v>yes</v>
      </c>
      <c r="AF1965" s="110" t="n">
        <f aca="false">IF(ISNUMBER(H1965),COUNTIFS($B$7:$B$3000,B1965,$C$7:$C$3000,C1965,$H$7:$H$3000,"&lt;"&amp;H1965,$AH$7:$AH$3000,"yes")+COUNTIFS($B$7:B1965,B1965,$C$7:C1965,C1965,$H$7:H1965,H1965,$AH$7:AH1965,"yes"),"")</f>
        <v>4</v>
      </c>
      <c r="AG1965" s="110" t="n">
        <f aca="false">IF(ISNUMBER(I1965),COUNTIFS($B$7:$B$3000,B1965,$C$7:$C$3000,C1965,$I$7:$I$3000,"&lt;"&amp;I1965,$AI$7:$AI$3000,"yes")+COUNTIFS($B$7:B1965,B1965,$C$7:C1965,C1965,$I$7:I1965,I1965,$AI$7:AI1965,"yes"),"")</f>
        <v>4</v>
      </c>
      <c r="AH1965" s="110" t="str">
        <f aca="false">IF(ISNUMBER(H1965),"yes","no")</f>
        <v>yes</v>
      </c>
      <c r="AI1965" s="110" t="str">
        <f aca="false">IF(ISNUMBER(I1965),"yes","no")</f>
        <v>yes</v>
      </c>
      <c r="AJ1965" s="120" t="n">
        <v>46297</v>
      </c>
      <c r="AK1965" s="110"/>
    </row>
    <row r="1966" customFormat="false" ht="35.05" hidden="false" customHeight="false" outlineLevel="0" collapsed="false">
      <c r="B1966" s="36" t="s">
        <v>105</v>
      </c>
      <c r="C1966" s="98" t="s">
        <v>18</v>
      </c>
      <c r="D1966" s="98" t="s">
        <v>365</v>
      </c>
      <c r="E1966" s="110" t="s">
        <v>6049</v>
      </c>
      <c r="F1966" s="99" t="n">
        <v>2.27</v>
      </c>
      <c r="G1966" s="98" t="s">
        <v>244</v>
      </c>
      <c r="H1966" s="112" t="n">
        <f aca="false">IF(AND(AE1966="yes",ISNUMBER(AD1966)),AD1966,"")</f>
        <v>1.85</v>
      </c>
      <c r="I1966" s="95" t="n">
        <f aca="false">IF(AND(AE1966="yes",ISNUMBER(AD1966),ISNUMBER(INDEX(Sources!$G$7:$G$10,MATCH(AB1966,Sources!$B$7:$B$10,0)))),ROUND(AD1966/INDEX(Sources!$G$7:$G$10,MATCH(AB1966,Sources!$B$7:$B$10,0)),6),"")</f>
        <v>1.85</v>
      </c>
      <c r="J1966" s="98" t="s">
        <v>530</v>
      </c>
      <c r="K1966" s="98" t="s">
        <v>2059</v>
      </c>
      <c r="L1966" s="96"/>
      <c r="M1966" s="110" t="s">
        <v>6050</v>
      </c>
      <c r="N1966" s="117" t="s">
        <v>6051</v>
      </c>
      <c r="O1966" s="110" t="s">
        <v>3015</v>
      </c>
      <c r="P1966" s="110" t="s">
        <v>265</v>
      </c>
      <c r="Q1966" s="118" t="n">
        <v>0.23</v>
      </c>
      <c r="R1966" s="110" t="n">
        <v>1</v>
      </c>
      <c r="S1966" s="110" t="s">
        <v>632</v>
      </c>
      <c r="T1966" s="110" t="s">
        <v>530</v>
      </c>
      <c r="U1966" s="110" t="s">
        <v>2918</v>
      </c>
      <c r="V1966" s="119" t="n">
        <v>1.85</v>
      </c>
      <c r="W1966" s="119"/>
      <c r="X1966" s="110" t="s">
        <v>2063</v>
      </c>
      <c r="Y1966" s="110" t="s">
        <v>2064</v>
      </c>
      <c r="Z1966" s="110" t="s">
        <v>3016</v>
      </c>
      <c r="AA1966" s="110" t="s">
        <v>537</v>
      </c>
      <c r="AB1966" s="110" t="s">
        <v>244</v>
      </c>
      <c r="AC1966" s="110" t="s">
        <v>538</v>
      </c>
      <c r="AD1966" s="110" t="n">
        <f aca="false">IF(OR(F1966="",Q1966="",R1966=""),"",ROUND(IF(P1966="incl.",F1966/(1+Q1966),F1966)/IF(S1966="per pack",R1966,1),2))</f>
        <v>1.85</v>
      </c>
      <c r="AE1966" s="110" t="str">
        <f aca="false">IF(AND(AC1966="yes",ISNUMBER(F1966),IF(Compare!$H$5="All mapped",TRUE(),IF(Compare!$H$5="EXACT only",J1966="EXACT",OR(J1966="EXACT",J1966="CLOSE")))),"yes","no")</f>
        <v>yes</v>
      </c>
      <c r="AF1966" s="110" t="n">
        <f aca="false">IF(ISNUMBER(H1966),COUNTIFS($B$7:$B$3000,B1966,$C$7:$C$3000,C1966,$H$7:$H$3000,"&lt;"&amp;H1966,$AH$7:$AH$3000,"yes")+COUNTIFS($B$7:B1966,B1966,$C$7:C1966,C1966,$H$7:H1966,H1966,$AH$7:AH1966,"yes"),"")</f>
        <v>2</v>
      </c>
      <c r="AG1966" s="110" t="n">
        <f aca="false">IF(ISNUMBER(I1966),COUNTIFS($B$7:$B$3000,B1966,$C$7:$C$3000,C1966,$I$7:$I$3000,"&lt;"&amp;I1966,$AI$7:$AI$3000,"yes")+COUNTIFS($B$7:B1966,B1966,$C$7:C1966,C1966,$I$7:I1966,I1966,$AI$7:AI1966,"yes"),"")</f>
        <v>2</v>
      </c>
      <c r="AH1966" s="110" t="str">
        <f aca="false">IF(ISNUMBER(H1966),"yes","no")</f>
        <v>yes</v>
      </c>
      <c r="AI1966" s="110" t="str">
        <f aca="false">IF(ISNUMBER(I1966),"yes","no")</f>
        <v>yes</v>
      </c>
      <c r="AJ1966" s="120" t="n">
        <v>46297</v>
      </c>
      <c r="AK1966" s="110"/>
    </row>
    <row r="1967" customFormat="false" ht="35.05" hidden="false" customHeight="false" outlineLevel="0" collapsed="false">
      <c r="B1967" s="36" t="s">
        <v>105</v>
      </c>
      <c r="C1967" s="98" t="s">
        <v>18</v>
      </c>
      <c r="D1967" s="98" t="s">
        <v>369</v>
      </c>
      <c r="E1967" s="110" t="s">
        <v>6052</v>
      </c>
      <c r="F1967" s="99" t="n">
        <v>6</v>
      </c>
      <c r="G1967" s="98" t="s">
        <v>244</v>
      </c>
      <c r="H1967" s="112" t="n">
        <f aca="false">IF(AND(AE1967="yes",ISNUMBER(AD1967)),AD1967,"")</f>
        <v>4.88</v>
      </c>
      <c r="I1967" s="95" t="n">
        <f aca="false">IF(AND(AE1967="yes",ISNUMBER(AD1967),ISNUMBER(INDEX(Sources!$G$7:$G$10,MATCH(AB1967,Sources!$B$7:$B$10,0)))),ROUND(AD1967/INDEX(Sources!$G$7:$G$10,MATCH(AB1967,Sources!$B$7:$B$10,0)),6),"")</f>
        <v>4.88</v>
      </c>
      <c r="J1967" s="98" t="s">
        <v>530</v>
      </c>
      <c r="K1967" s="98" t="s">
        <v>2059</v>
      </c>
      <c r="L1967" s="96"/>
      <c r="M1967" s="110" t="s">
        <v>6053</v>
      </c>
      <c r="N1967" s="117" t="s">
        <v>6054</v>
      </c>
      <c r="O1967" s="110" t="s">
        <v>783</v>
      </c>
      <c r="P1967" s="110" t="s">
        <v>265</v>
      </c>
      <c r="Q1967" s="118" t="n">
        <v>0.23</v>
      </c>
      <c r="R1967" s="110" t="n">
        <v>1</v>
      </c>
      <c r="S1967" s="110" t="s">
        <v>632</v>
      </c>
      <c r="T1967" s="110" t="s">
        <v>530</v>
      </c>
      <c r="U1967" s="110" t="s">
        <v>2918</v>
      </c>
      <c r="V1967" s="119" t="n">
        <v>4.88</v>
      </c>
      <c r="W1967" s="119"/>
      <c r="X1967" s="110" t="s">
        <v>2063</v>
      </c>
      <c r="Y1967" s="110" t="s">
        <v>2064</v>
      </c>
      <c r="Z1967" s="110" t="s">
        <v>3514</v>
      </c>
      <c r="AA1967" s="110" t="s">
        <v>537</v>
      </c>
      <c r="AB1967" s="110" t="s">
        <v>244</v>
      </c>
      <c r="AC1967" s="110" t="s">
        <v>538</v>
      </c>
      <c r="AD1967" s="110" t="n">
        <f aca="false">IF(OR(F1967="",Q1967="",R1967=""),"",ROUND(IF(P1967="incl.",F1967/(1+Q1967),F1967)/IF(S1967="per pack",R1967,1),2))</f>
        <v>4.88</v>
      </c>
      <c r="AE1967" s="110" t="str">
        <f aca="false">IF(AND(AC1967="yes",ISNUMBER(F1967),IF(Compare!$H$5="All mapped",TRUE(),IF(Compare!$H$5="EXACT only",J1967="EXACT",OR(J1967="EXACT",J1967="CLOSE")))),"yes","no")</f>
        <v>yes</v>
      </c>
      <c r="AF1967" s="110" t="n">
        <f aca="false">IF(ISNUMBER(H1967),COUNTIFS($B$7:$B$3000,B1967,$C$7:$C$3000,C1967,$H$7:$H$3000,"&lt;"&amp;H1967,$AH$7:$AH$3000,"yes")+COUNTIFS($B$7:B1967,B1967,$C$7:C1967,C1967,$H$7:H1967,H1967,$AH$7:AH1967,"yes"),"")</f>
        <v>5</v>
      </c>
      <c r="AG1967" s="110" t="n">
        <f aca="false">IF(ISNUMBER(I1967),COUNTIFS($B$7:$B$3000,B1967,$C$7:$C$3000,C1967,$I$7:$I$3000,"&lt;"&amp;I1967,$AI$7:$AI$3000,"yes")+COUNTIFS($B$7:B1967,B1967,$C$7:C1967,C1967,$I$7:I1967,I1967,$AI$7:AI1967,"yes"),"")</f>
        <v>5</v>
      </c>
      <c r="AH1967" s="110" t="str">
        <f aca="false">IF(ISNUMBER(H1967),"yes","no")</f>
        <v>yes</v>
      </c>
      <c r="AI1967" s="110" t="str">
        <f aca="false">IF(ISNUMBER(I1967),"yes","no")</f>
        <v>yes</v>
      </c>
      <c r="AJ1967" s="120" t="n">
        <v>46297</v>
      </c>
      <c r="AK1967" s="110"/>
    </row>
    <row r="1968" customFormat="false" ht="23.85" hidden="false" customHeight="false" outlineLevel="0" collapsed="false">
      <c r="B1968" s="36" t="s">
        <v>105</v>
      </c>
      <c r="C1968" s="98" t="s">
        <v>18</v>
      </c>
      <c r="D1968" s="98" t="s">
        <v>3021</v>
      </c>
      <c r="E1968" s="110" t="s">
        <v>6055</v>
      </c>
      <c r="F1968" s="99" t="n">
        <v>1.69</v>
      </c>
      <c r="G1968" s="98" t="s">
        <v>244</v>
      </c>
      <c r="H1968" s="112" t="n">
        <f aca="false">IF(AND(AE1968="yes",ISNUMBER(AD1968)),AD1968,"")</f>
        <v>1.69</v>
      </c>
      <c r="I1968" s="95" t="n">
        <f aca="false">IF(AND(AE1968="yes",ISNUMBER(AD1968),ISNUMBER(INDEX(Sources!$G$7:$G$10,MATCH(AB1968,Sources!$B$7:$B$10,0)))),ROUND(AD1968/INDEX(Sources!$G$7:$G$10,MATCH(AB1968,Sources!$B$7:$B$10,0)),6),"")</f>
        <v>1.69</v>
      </c>
      <c r="J1968" s="98" t="s">
        <v>530</v>
      </c>
      <c r="K1968" s="98" t="s">
        <v>2059</v>
      </c>
      <c r="L1968" s="96"/>
      <c r="M1968" s="110" t="s">
        <v>6056</v>
      </c>
      <c r="N1968" s="117" t="s">
        <v>3023</v>
      </c>
      <c r="O1968" s="110" t="s">
        <v>2396</v>
      </c>
      <c r="P1968" s="110" t="s">
        <v>590</v>
      </c>
      <c r="Q1968" s="118" t="n">
        <v>0.23</v>
      </c>
      <c r="R1968" s="110" t="n">
        <v>1</v>
      </c>
      <c r="S1968" s="110" t="s">
        <v>632</v>
      </c>
      <c r="T1968" s="110" t="s">
        <v>530</v>
      </c>
      <c r="U1968" s="110" t="s">
        <v>2913</v>
      </c>
      <c r="V1968" s="119" t="n">
        <v>1.69</v>
      </c>
      <c r="W1968" s="119"/>
      <c r="X1968" s="110" t="s">
        <v>2063</v>
      </c>
      <c r="Y1968" s="110" t="s">
        <v>2064</v>
      </c>
      <c r="Z1968" s="110" t="s">
        <v>3900</v>
      </c>
      <c r="AA1968" s="110" t="s">
        <v>537</v>
      </c>
      <c r="AB1968" s="110" t="s">
        <v>244</v>
      </c>
      <c r="AC1968" s="110" t="s">
        <v>538</v>
      </c>
      <c r="AD1968" s="110" t="n">
        <f aca="false">IF(OR(F1968="",Q1968="",R1968=""),"",ROUND(IF(P1968="incl.",F1968/(1+Q1968),F1968)/IF(S1968="per pack",R1968,1),2))</f>
        <v>1.69</v>
      </c>
      <c r="AE1968" s="110" t="str">
        <f aca="false">IF(AND(AC1968="yes",ISNUMBER(F1968),IF(Compare!$H$5="All mapped",TRUE(),IF(Compare!$H$5="EXACT only",J1968="EXACT",OR(J1968="EXACT",J1968="CLOSE")))),"yes","no")</f>
        <v>yes</v>
      </c>
      <c r="AF1968" s="110" t="n">
        <f aca="false">IF(ISNUMBER(H1968),COUNTIFS($B$7:$B$3000,B1968,$C$7:$C$3000,C1968,$H$7:$H$3000,"&lt;"&amp;H1968,$AH$7:$AH$3000,"yes")+COUNTIFS($B$7:B1968,B1968,$C$7:C1968,C1968,$H$7:H1968,H1968,$AH$7:AH1968,"yes"),"")</f>
        <v>1</v>
      </c>
      <c r="AG1968" s="110" t="n">
        <f aca="false">IF(ISNUMBER(I1968),COUNTIFS($B$7:$B$3000,B1968,$C$7:$C$3000,C1968,$I$7:$I$3000,"&lt;"&amp;I1968,$AI$7:$AI$3000,"yes")+COUNTIFS($B$7:B1968,B1968,$C$7:C1968,C1968,$I$7:I1968,I1968,$AI$7:AI1968,"yes"),"")</f>
        <v>1</v>
      </c>
      <c r="AH1968" s="110" t="str">
        <f aca="false">IF(ISNUMBER(H1968),"yes","no")</f>
        <v>yes</v>
      </c>
      <c r="AI1968" s="110" t="str">
        <f aca="false">IF(ISNUMBER(I1968),"yes","no")</f>
        <v>yes</v>
      </c>
      <c r="AJ1968" s="120" t="n">
        <v>46297</v>
      </c>
      <c r="AK1968" s="110"/>
    </row>
    <row r="1969" customFormat="false" ht="23.85" hidden="false" customHeight="false" outlineLevel="0" collapsed="false">
      <c r="B1969" s="36" t="s">
        <v>106</v>
      </c>
      <c r="C1969" s="98" t="s">
        <v>14</v>
      </c>
      <c r="D1969" s="98" t="s">
        <v>373</v>
      </c>
      <c r="E1969" s="110" t="s">
        <v>6057</v>
      </c>
      <c r="F1969" s="99" t="n">
        <v>7.82</v>
      </c>
      <c r="G1969" s="98" t="s">
        <v>374</v>
      </c>
      <c r="H1969" s="112" t="n">
        <f aca="false">IF(AND(AE1969="yes",ISNUMBER(AD1969)),AD1969,"")</f>
        <v>7.82</v>
      </c>
      <c r="I1969" s="95" t="n">
        <f aca="false">IF(AND(AE1969="yes",ISNUMBER(AD1969),ISNUMBER(INDEX(Sources!$G$7:$G$10,MATCH(AB1969,Sources!$B$7:$B$10,0)))),ROUND(AD1969/INDEX(Sources!$G$7:$G$10,MATCH(AB1969,Sources!$B$7:$B$10,0)),6),"")</f>
        <v>1.481722</v>
      </c>
      <c r="J1969" s="98" t="s">
        <v>530</v>
      </c>
      <c r="K1969" s="98" t="s">
        <v>2059</v>
      </c>
      <c r="L1969" s="96"/>
      <c r="M1969" s="110" t="s">
        <v>6058</v>
      </c>
      <c r="N1969" s="117" t="s">
        <v>6059</v>
      </c>
      <c r="O1969" s="110"/>
      <c r="P1969" s="110" t="s">
        <v>590</v>
      </c>
      <c r="Q1969" s="118" t="n">
        <v>0.21</v>
      </c>
      <c r="R1969" s="110" t="n">
        <v>1</v>
      </c>
      <c r="S1969" s="110" t="s">
        <v>632</v>
      </c>
      <c r="T1969" s="110" t="s">
        <v>530</v>
      </c>
      <c r="U1969" s="110" t="s">
        <v>2913</v>
      </c>
      <c r="V1969" s="119" t="n">
        <v>7.82</v>
      </c>
      <c r="W1969" s="119"/>
      <c r="X1969" s="110" t="s">
        <v>2063</v>
      </c>
      <c r="Y1969" s="110" t="s">
        <v>2064</v>
      </c>
      <c r="Z1969" s="110"/>
      <c r="AA1969" s="110" t="s">
        <v>537</v>
      </c>
      <c r="AB1969" s="110" t="s">
        <v>374</v>
      </c>
      <c r="AC1969" s="110" t="s">
        <v>538</v>
      </c>
      <c r="AD1969" s="110" t="n">
        <f aca="false">IF(OR(F1969="",Q1969="",R1969=""),"",ROUND(IF(P1969="incl.",F1969/(1+Q1969),F1969)/IF(S1969="per pack",R1969,1),2))</f>
        <v>7.82</v>
      </c>
      <c r="AE1969" s="110" t="str">
        <f aca="false">IF(AND(AC1969="yes",ISNUMBER(F1969),IF(Compare!$H$5="All mapped",TRUE(),IF(Compare!$H$5="EXACT only",J1969="EXACT",OR(J1969="EXACT",J1969="CLOSE")))),"yes","no")</f>
        <v>yes</v>
      </c>
      <c r="AF1969" s="110" t="n">
        <f aca="false">IF(ISNUMBER(H1969),COUNTIFS($B$7:$B$3000,B1969,$C$7:$C$3000,C1969,$H$7:$H$3000,"&lt;"&amp;H1969,$AH$7:$AH$3000,"yes")+COUNTIFS($B$7:B1969,B1969,$C$7:C1969,C1969,$H$7:H1969,H1969,$AH$7:AH1969,"yes"),"")</f>
        <v>3</v>
      </c>
      <c r="AG1969" s="110" t="n">
        <f aca="false">IF(ISNUMBER(I1969),COUNTIFS($B$7:$B$3000,B1969,$C$7:$C$3000,C1969,$I$7:$I$3000,"&lt;"&amp;I1969,$AI$7:$AI$3000,"yes")+COUNTIFS($B$7:B1969,B1969,$C$7:C1969,C1969,$I$7:I1969,I1969,$AI$7:AI1969,"yes"),"")</f>
        <v>3</v>
      </c>
      <c r="AH1969" s="110" t="str">
        <f aca="false">IF(ISNUMBER(H1969),"yes","no")</f>
        <v>yes</v>
      </c>
      <c r="AI1969" s="110" t="str">
        <f aca="false">IF(ISNUMBER(I1969),"yes","no")</f>
        <v>yes</v>
      </c>
      <c r="AJ1969" s="120" t="n">
        <v>46297</v>
      </c>
      <c r="AK1969" s="110"/>
    </row>
    <row r="1970" customFormat="false" ht="23.85" hidden="false" customHeight="false" outlineLevel="0" collapsed="false">
      <c r="B1970" s="36" t="s">
        <v>106</v>
      </c>
      <c r="C1970" s="98" t="s">
        <v>14</v>
      </c>
      <c r="D1970" s="98" t="s">
        <v>378</v>
      </c>
      <c r="E1970" s="110" t="s">
        <v>6060</v>
      </c>
      <c r="F1970" s="99" t="n">
        <v>10.97</v>
      </c>
      <c r="G1970" s="98" t="s">
        <v>374</v>
      </c>
      <c r="H1970" s="112" t="n">
        <f aca="false">IF(AND(AE1970="yes",ISNUMBER(AD1970)),AD1970,"")</f>
        <v>9.07</v>
      </c>
      <c r="I1970" s="95" t="n">
        <f aca="false">IF(AND(AE1970="yes",ISNUMBER(AD1970),ISNUMBER(INDEX(Sources!$G$7:$G$10,MATCH(AB1970,Sources!$B$7:$B$10,0)))),ROUND(AD1970/INDEX(Sources!$G$7:$G$10,MATCH(AB1970,Sources!$B$7:$B$10,0)),6),"")</f>
        <v>1.718571</v>
      </c>
      <c r="J1970" s="98" t="s">
        <v>530</v>
      </c>
      <c r="K1970" s="98" t="s">
        <v>2059</v>
      </c>
      <c r="L1970" s="96"/>
      <c r="M1970" s="110" t="s">
        <v>6061</v>
      </c>
      <c r="N1970" s="117" t="s">
        <v>6062</v>
      </c>
      <c r="O1970" s="110" t="s">
        <v>2917</v>
      </c>
      <c r="P1970" s="110" t="s">
        <v>265</v>
      </c>
      <c r="Q1970" s="118" t="n">
        <v>0.21</v>
      </c>
      <c r="R1970" s="110" t="n">
        <v>1</v>
      </c>
      <c r="S1970" s="110" t="s">
        <v>632</v>
      </c>
      <c r="T1970" s="110" t="s">
        <v>530</v>
      </c>
      <c r="U1970" s="110" t="s">
        <v>2918</v>
      </c>
      <c r="V1970" s="119" t="n">
        <v>9.07</v>
      </c>
      <c r="W1970" s="119"/>
      <c r="X1970" s="110" t="s">
        <v>2063</v>
      </c>
      <c r="Y1970" s="110" t="s">
        <v>2064</v>
      </c>
      <c r="Z1970" s="110"/>
      <c r="AA1970" s="110" t="s">
        <v>537</v>
      </c>
      <c r="AB1970" s="110" t="s">
        <v>374</v>
      </c>
      <c r="AC1970" s="110" t="s">
        <v>538</v>
      </c>
      <c r="AD1970" s="110" t="n">
        <f aca="false">IF(OR(F1970="",Q1970="",R1970=""),"",ROUND(IF(P1970="incl.",F1970/(1+Q1970),F1970)/IF(S1970="per pack",R1970,1),2))</f>
        <v>9.07</v>
      </c>
      <c r="AE1970" s="110" t="str">
        <f aca="false">IF(AND(AC1970="yes",ISNUMBER(F1970),IF(Compare!$H$5="All mapped",TRUE(),IF(Compare!$H$5="EXACT only",J1970="EXACT",OR(J1970="EXACT",J1970="CLOSE")))),"yes","no")</f>
        <v>yes</v>
      </c>
      <c r="AF1970" s="110" t="n">
        <f aca="false">IF(ISNUMBER(H1970),COUNTIFS($B$7:$B$3000,B1970,$C$7:$C$3000,C1970,$H$7:$H$3000,"&lt;"&amp;H1970,$AH$7:$AH$3000,"yes")+COUNTIFS($B$7:B1970,B1970,$C$7:C1970,C1970,$H$7:H1970,H1970,$AH$7:AH1970,"yes"),"")</f>
        <v>4</v>
      </c>
      <c r="AG1970" s="110" t="n">
        <f aca="false">IF(ISNUMBER(I1970),COUNTIFS($B$7:$B$3000,B1970,$C$7:$C$3000,C1970,$I$7:$I$3000,"&lt;"&amp;I1970,$AI$7:$AI$3000,"yes")+COUNTIFS($B$7:B1970,B1970,$C$7:C1970,C1970,$I$7:I1970,I1970,$AI$7:AI1970,"yes"),"")</f>
        <v>4</v>
      </c>
      <c r="AH1970" s="110" t="str">
        <f aca="false">IF(ISNUMBER(H1970),"yes","no")</f>
        <v>yes</v>
      </c>
      <c r="AI1970" s="110" t="str">
        <f aca="false">IF(ISNUMBER(I1970),"yes","no")</f>
        <v>yes</v>
      </c>
      <c r="AJ1970" s="120" t="n">
        <v>46297</v>
      </c>
      <c r="AK1970" s="110"/>
    </row>
    <row r="1971" customFormat="false" ht="35.05" hidden="false" customHeight="false" outlineLevel="0" collapsed="false">
      <c r="B1971" s="36" t="s">
        <v>106</v>
      </c>
      <c r="C1971" s="98" t="s">
        <v>14</v>
      </c>
      <c r="D1971" s="98" t="s">
        <v>346</v>
      </c>
      <c r="E1971" s="110" t="s">
        <v>6063</v>
      </c>
      <c r="F1971" s="99" t="n">
        <v>15.84</v>
      </c>
      <c r="G1971" s="98" t="s">
        <v>374</v>
      </c>
      <c r="H1971" s="112" t="n">
        <f aca="false">IF(AND(AE1971="yes",ISNUMBER(AD1971)),AD1971,"")</f>
        <v>13.09</v>
      </c>
      <c r="I1971" s="95" t="n">
        <f aca="false">IF(AND(AE1971="yes",ISNUMBER(AD1971),ISNUMBER(INDEX(Sources!$G$7:$G$10,MATCH(AB1971,Sources!$B$7:$B$10,0)))),ROUND(AD1971/INDEX(Sources!$G$7:$G$10,MATCH(AB1971,Sources!$B$7:$B$10,0)),6),"")</f>
        <v>2.480275</v>
      </c>
      <c r="J1971" s="98" t="s">
        <v>530</v>
      </c>
      <c r="K1971" s="98" t="s">
        <v>2059</v>
      </c>
      <c r="L1971" s="96"/>
      <c r="M1971" s="110" t="s">
        <v>6064</v>
      </c>
      <c r="N1971" s="117" t="s">
        <v>6065</v>
      </c>
      <c r="O1971" s="110" t="s">
        <v>565</v>
      </c>
      <c r="P1971" s="110" t="s">
        <v>265</v>
      </c>
      <c r="Q1971" s="118" t="n">
        <v>0.21</v>
      </c>
      <c r="R1971" s="110" t="n">
        <v>1</v>
      </c>
      <c r="S1971" s="110" t="s">
        <v>632</v>
      </c>
      <c r="T1971" s="110" t="s">
        <v>530</v>
      </c>
      <c r="U1971" s="110" t="s">
        <v>2918</v>
      </c>
      <c r="V1971" s="119" t="n">
        <v>13.09</v>
      </c>
      <c r="W1971" s="119"/>
      <c r="X1971" s="110" t="s">
        <v>2063</v>
      </c>
      <c r="Y1971" s="110" t="s">
        <v>2064</v>
      </c>
      <c r="Z1971" s="110"/>
      <c r="AA1971" s="110" t="s">
        <v>537</v>
      </c>
      <c r="AB1971" s="110" t="s">
        <v>374</v>
      </c>
      <c r="AC1971" s="110" t="s">
        <v>538</v>
      </c>
      <c r="AD1971" s="110" t="n">
        <f aca="false">IF(OR(F1971="",Q1971="",R1971=""),"",ROUND(IF(P1971="incl.",F1971/(1+Q1971),F1971)/IF(S1971="per pack",R1971,1),2))</f>
        <v>13.09</v>
      </c>
      <c r="AE1971" s="110" t="str">
        <f aca="false">IF(AND(AC1971="yes",ISNUMBER(F1971),IF(Compare!$H$5="All mapped",TRUE(),IF(Compare!$H$5="EXACT only",J1971="EXACT",OR(J1971="EXACT",J1971="CLOSE")))),"yes","no")</f>
        <v>yes</v>
      </c>
      <c r="AF1971" s="110" t="n">
        <f aca="false">IF(ISNUMBER(H1971),COUNTIFS($B$7:$B$3000,B1971,$C$7:$C$3000,C1971,$H$7:$H$3000,"&lt;"&amp;H1971,$AH$7:$AH$3000,"yes")+COUNTIFS($B$7:B1971,B1971,$C$7:C1971,C1971,$H$7:H1971,H1971,$AH$7:AH1971,"yes"),"")</f>
        <v>5</v>
      </c>
      <c r="AG1971" s="110" t="n">
        <f aca="false">IF(ISNUMBER(I1971),COUNTIFS($B$7:$B$3000,B1971,$C$7:$C$3000,C1971,$I$7:$I$3000,"&lt;"&amp;I1971,$AI$7:$AI$3000,"yes")+COUNTIFS($B$7:B1971,B1971,$C$7:C1971,C1971,$I$7:I1971,I1971,$AI$7:AI1971,"yes"),"")</f>
        <v>5</v>
      </c>
      <c r="AH1971" s="110" t="str">
        <f aca="false">IF(ISNUMBER(H1971),"yes","no")</f>
        <v>yes</v>
      </c>
      <c r="AI1971" s="110" t="str">
        <f aca="false">IF(ISNUMBER(I1971),"yes","no")</f>
        <v>yes</v>
      </c>
      <c r="AJ1971" s="120" t="n">
        <v>46297</v>
      </c>
      <c r="AK1971" s="110"/>
    </row>
    <row r="1972" customFormat="false" ht="23.85" hidden="false" customHeight="false" outlineLevel="0" collapsed="false">
      <c r="B1972" s="36" t="s">
        <v>106</v>
      </c>
      <c r="C1972" s="98" t="s">
        <v>14</v>
      </c>
      <c r="D1972" s="98" t="s">
        <v>395</v>
      </c>
      <c r="E1972" s="110" t="s">
        <v>6066</v>
      </c>
      <c r="F1972" s="99" t="n">
        <v>0.9</v>
      </c>
      <c r="G1972" s="98" t="s">
        <v>244</v>
      </c>
      <c r="H1972" s="112" t="n">
        <f aca="false">IF(AND(AE1972="yes",ISNUMBER(AD1972)),AD1972,"")</f>
        <v>0.9</v>
      </c>
      <c r="I1972" s="95" t="n">
        <f aca="false">IF(AND(AE1972="yes",ISNUMBER(AD1972),ISNUMBER(INDEX(Sources!$G$7:$G$10,MATCH(AB1972,Sources!$B$7:$B$10,0)))),ROUND(AD1972/INDEX(Sources!$G$7:$G$10,MATCH(AB1972,Sources!$B$7:$B$10,0)),6),"")</f>
        <v>0.9</v>
      </c>
      <c r="J1972" s="98" t="s">
        <v>530</v>
      </c>
      <c r="K1972" s="98" t="s">
        <v>2059</v>
      </c>
      <c r="L1972" s="96"/>
      <c r="M1972" s="110" t="s">
        <v>6067</v>
      </c>
      <c r="N1972" s="117" t="s">
        <v>6068</v>
      </c>
      <c r="O1972" s="110" t="s">
        <v>572</v>
      </c>
      <c r="P1972" s="110" t="s">
        <v>590</v>
      </c>
      <c r="Q1972" s="118" t="n">
        <v>0.21</v>
      </c>
      <c r="R1972" s="110" t="n">
        <v>1</v>
      </c>
      <c r="S1972" s="110" t="s">
        <v>632</v>
      </c>
      <c r="T1972" s="110" t="s">
        <v>530</v>
      </c>
      <c r="U1972" s="110" t="s">
        <v>2913</v>
      </c>
      <c r="V1972" s="119" t="n">
        <v>0.9</v>
      </c>
      <c r="W1972" s="119"/>
      <c r="X1972" s="110" t="s">
        <v>2063</v>
      </c>
      <c r="Y1972" s="110" t="s">
        <v>2064</v>
      </c>
      <c r="Z1972" s="110" t="s">
        <v>2925</v>
      </c>
      <c r="AA1972" s="110" t="s">
        <v>537</v>
      </c>
      <c r="AB1972" s="110" t="s">
        <v>244</v>
      </c>
      <c r="AC1972" s="110" t="s">
        <v>538</v>
      </c>
      <c r="AD1972" s="110" t="n">
        <f aca="false">IF(OR(F1972="",Q1972="",R1972=""),"",ROUND(IF(P1972="incl.",F1972/(1+Q1972),F1972)/IF(S1972="per pack",R1972,1),2))</f>
        <v>0.9</v>
      </c>
      <c r="AE1972" s="110" t="str">
        <f aca="false">IF(AND(AC1972="yes",ISNUMBER(F1972),IF(Compare!$H$5="All mapped",TRUE(),IF(Compare!$H$5="EXACT only",J1972="EXACT",OR(J1972="EXACT",J1972="CLOSE")))),"yes","no")</f>
        <v>yes</v>
      </c>
      <c r="AF1972" s="110" t="n">
        <f aca="false">IF(ISNUMBER(H1972),COUNTIFS($B$7:$B$3000,B1972,$C$7:$C$3000,C1972,$H$7:$H$3000,"&lt;"&amp;H1972,$AH$7:$AH$3000,"yes")+COUNTIFS($B$7:B1972,B1972,$C$7:C1972,C1972,$H$7:H1972,H1972,$AH$7:AH1972,"yes"),"")</f>
        <v>1</v>
      </c>
      <c r="AG1972" s="110" t="n">
        <f aca="false">IF(ISNUMBER(I1972),COUNTIFS($B$7:$B$3000,B1972,$C$7:$C$3000,C1972,$I$7:$I$3000,"&lt;"&amp;I1972,$AI$7:$AI$3000,"yes")+COUNTIFS($B$7:B1972,B1972,$C$7:C1972,C1972,$I$7:I1972,I1972,$AI$7:AI1972,"yes"),"")</f>
        <v>2</v>
      </c>
      <c r="AH1972" s="110" t="str">
        <f aca="false">IF(ISNUMBER(H1972),"yes","no")</f>
        <v>yes</v>
      </c>
      <c r="AI1972" s="110" t="str">
        <f aca="false">IF(ISNUMBER(I1972),"yes","no")</f>
        <v>yes</v>
      </c>
      <c r="AJ1972" s="120" t="n">
        <v>46297</v>
      </c>
      <c r="AK1972" s="110"/>
    </row>
    <row r="1973" customFormat="false" ht="23.85" hidden="false" customHeight="false" outlineLevel="0" collapsed="false">
      <c r="B1973" s="36" t="s">
        <v>106</v>
      </c>
      <c r="C1973" s="98" t="s">
        <v>14</v>
      </c>
      <c r="D1973" s="98" t="s">
        <v>403</v>
      </c>
      <c r="E1973" s="110" t="s">
        <v>6069</v>
      </c>
      <c r="F1973" s="99" t="n">
        <v>3.8</v>
      </c>
      <c r="G1973" s="98" t="s">
        <v>374</v>
      </c>
      <c r="H1973" s="112" t="n">
        <f aca="false">IF(AND(AE1973="yes",ISNUMBER(AD1973)),AD1973,"")</f>
        <v>3.8</v>
      </c>
      <c r="I1973" s="95" t="n">
        <f aca="false">IF(AND(AE1973="yes",ISNUMBER(AD1973),ISNUMBER(INDEX(Sources!$G$7:$G$10,MATCH(AB1973,Sources!$B$7:$B$10,0)))),ROUND(AD1973/INDEX(Sources!$G$7:$G$10,MATCH(AB1973,Sources!$B$7:$B$10,0)),6),"")</f>
        <v>0.720019</v>
      </c>
      <c r="J1973" s="98" t="s">
        <v>530</v>
      </c>
      <c r="K1973" s="98" t="s">
        <v>2059</v>
      </c>
      <c r="L1973" s="96"/>
      <c r="M1973" s="110" t="s">
        <v>6070</v>
      </c>
      <c r="N1973" s="117" t="s">
        <v>6071</v>
      </c>
      <c r="O1973" s="110" t="s">
        <v>668</v>
      </c>
      <c r="P1973" s="110" t="s">
        <v>590</v>
      </c>
      <c r="Q1973" s="118" t="n">
        <v>0.21</v>
      </c>
      <c r="R1973" s="110" t="n">
        <v>1</v>
      </c>
      <c r="S1973" s="110" t="s">
        <v>632</v>
      </c>
      <c r="T1973" s="110" t="s">
        <v>530</v>
      </c>
      <c r="U1973" s="110" t="s">
        <v>2913</v>
      </c>
      <c r="V1973" s="119" t="n">
        <v>3.8</v>
      </c>
      <c r="W1973" s="119"/>
      <c r="X1973" s="110" t="s">
        <v>2063</v>
      </c>
      <c r="Y1973" s="110" t="s">
        <v>2064</v>
      </c>
      <c r="Z1973" s="110"/>
      <c r="AA1973" s="110" t="s">
        <v>537</v>
      </c>
      <c r="AB1973" s="110" t="s">
        <v>374</v>
      </c>
      <c r="AC1973" s="110" t="s">
        <v>538</v>
      </c>
      <c r="AD1973" s="110" t="n">
        <f aca="false">IF(OR(F1973="",Q1973="",R1973=""),"",ROUND(IF(P1973="incl.",F1973/(1+Q1973),F1973)/IF(S1973="per pack",R1973,1),2))</f>
        <v>3.8</v>
      </c>
      <c r="AE1973" s="110" t="str">
        <f aca="false">IF(AND(AC1973="yes",ISNUMBER(F1973),IF(Compare!$H$5="All mapped",TRUE(),IF(Compare!$H$5="EXACT only",J1973="EXACT",OR(J1973="EXACT",J1973="CLOSE")))),"yes","no")</f>
        <v>yes</v>
      </c>
      <c r="AF1973" s="110" t="n">
        <f aca="false">IF(ISNUMBER(H1973),COUNTIFS($B$7:$B$3000,B1973,$C$7:$C$3000,C1973,$H$7:$H$3000,"&lt;"&amp;H1973,$AH$7:$AH$3000,"yes")+COUNTIFS($B$7:B1973,B1973,$C$7:C1973,C1973,$H$7:H1973,H1973,$AH$7:AH1973,"yes"),"")</f>
        <v>2</v>
      </c>
      <c r="AG1973" s="110" t="n">
        <f aca="false">IF(ISNUMBER(I1973),COUNTIFS($B$7:$B$3000,B1973,$C$7:$C$3000,C1973,$I$7:$I$3000,"&lt;"&amp;I1973,$AI$7:$AI$3000,"yes")+COUNTIFS($B$7:B1973,B1973,$C$7:C1973,C1973,$I$7:I1973,I1973,$AI$7:AI1973,"yes"),"")</f>
        <v>1</v>
      </c>
      <c r="AH1973" s="110" t="str">
        <f aca="false">IF(ISNUMBER(H1973),"yes","no")</f>
        <v>yes</v>
      </c>
      <c r="AI1973" s="110" t="str">
        <f aca="false">IF(ISNUMBER(I1973),"yes","no")</f>
        <v>yes</v>
      </c>
      <c r="AJ1973" s="120" t="n">
        <v>46297</v>
      </c>
      <c r="AK1973" s="110"/>
    </row>
    <row r="1974" customFormat="false" ht="35.05" hidden="false" customHeight="false" outlineLevel="0" collapsed="false">
      <c r="B1974" s="36" t="s">
        <v>106</v>
      </c>
      <c r="C1974" s="98" t="s">
        <v>15</v>
      </c>
      <c r="D1974" s="98" t="s">
        <v>243</v>
      </c>
      <c r="E1974" s="110" t="s">
        <v>6072</v>
      </c>
      <c r="F1974" s="99" t="n">
        <v>0.4</v>
      </c>
      <c r="G1974" s="98" t="s">
        <v>244</v>
      </c>
      <c r="H1974" s="112" t="n">
        <f aca="false">IF(AND(AE1974="yes",ISNUMBER(AD1974)),AD1974,"")</f>
        <v>0.4</v>
      </c>
      <c r="I1974" s="95" t="n">
        <f aca="false">IF(AND(AE1974="yes",ISNUMBER(AD1974),ISNUMBER(INDEX(Sources!$G$7:$G$10,MATCH(AB1974,Sources!$B$7:$B$10,0)))),ROUND(AD1974/INDEX(Sources!$G$7:$G$10,MATCH(AB1974,Sources!$B$7:$B$10,0)),6),"")</f>
        <v>0.4</v>
      </c>
      <c r="J1974" s="98" t="s">
        <v>530</v>
      </c>
      <c r="K1974" s="98" t="s">
        <v>2059</v>
      </c>
      <c r="L1974" s="96"/>
      <c r="M1974" s="110" t="s">
        <v>6073</v>
      </c>
      <c r="N1974" s="117" t="s">
        <v>6074</v>
      </c>
      <c r="O1974" s="110" t="s">
        <v>2932</v>
      </c>
      <c r="P1974" s="110" t="s">
        <v>590</v>
      </c>
      <c r="Q1974" s="118" t="n">
        <v>0.2</v>
      </c>
      <c r="R1974" s="110" t="n">
        <v>1</v>
      </c>
      <c r="S1974" s="110" t="s">
        <v>632</v>
      </c>
      <c r="T1974" s="110" t="s">
        <v>530</v>
      </c>
      <c r="U1974" s="110" t="s">
        <v>2913</v>
      </c>
      <c r="V1974" s="119" t="n">
        <v>0.4</v>
      </c>
      <c r="W1974" s="119"/>
      <c r="X1974" s="110" t="s">
        <v>2063</v>
      </c>
      <c r="Y1974" s="110" t="s">
        <v>2064</v>
      </c>
      <c r="Z1974" s="110" t="s">
        <v>2164</v>
      </c>
      <c r="AA1974" s="110" t="s">
        <v>537</v>
      </c>
      <c r="AB1974" s="110" t="s">
        <v>244</v>
      </c>
      <c r="AC1974" s="110" t="s">
        <v>538</v>
      </c>
      <c r="AD1974" s="110" t="n">
        <f aca="false">IF(OR(F1974="",Q1974="",R1974=""),"",ROUND(IF(P1974="incl.",F1974/(1+Q1974),F1974)/IF(S1974="per pack",R1974,1),2))</f>
        <v>0.4</v>
      </c>
      <c r="AE1974" s="110" t="str">
        <f aca="false">IF(AND(AC1974="yes",ISNUMBER(F1974),IF(Compare!$H$5="All mapped",TRUE(),IF(Compare!$H$5="EXACT only",J1974="EXACT",OR(J1974="EXACT",J1974="CLOSE")))),"yes","no")</f>
        <v>yes</v>
      </c>
      <c r="AF1974" s="110" t="n">
        <f aca="false">IF(ISNUMBER(H1974),COUNTIFS($B$7:$B$3000,B1974,$C$7:$C$3000,C1974,$H$7:$H$3000,"&lt;"&amp;H1974,$AH$7:$AH$3000,"yes")+COUNTIFS($B$7:B1974,B1974,$C$7:C1974,C1974,$H$7:H1974,H1974,$AH$7:AH1974,"yes"),"")</f>
        <v>1</v>
      </c>
      <c r="AG1974" s="110" t="n">
        <f aca="false">IF(ISNUMBER(I1974),COUNTIFS($B$7:$B$3000,B1974,$C$7:$C$3000,C1974,$I$7:$I$3000,"&lt;"&amp;I1974,$AI$7:$AI$3000,"yes")+COUNTIFS($B$7:B1974,B1974,$C$7:C1974,C1974,$I$7:I1974,I1974,$AI$7:AI1974,"yes"),"")</f>
        <v>1</v>
      </c>
      <c r="AH1974" s="110" t="str">
        <f aca="false">IF(ISNUMBER(H1974),"yes","no")</f>
        <v>yes</v>
      </c>
      <c r="AI1974" s="110" t="str">
        <f aca="false">IF(ISNUMBER(I1974),"yes","no")</f>
        <v>yes</v>
      </c>
      <c r="AJ1974" s="120" t="n">
        <v>46297</v>
      </c>
      <c r="AK1974" s="110"/>
    </row>
    <row r="1975" customFormat="false" ht="23.85" hidden="false" customHeight="false" outlineLevel="0" collapsed="false">
      <c r="B1975" s="36" t="s">
        <v>106</v>
      </c>
      <c r="C1975" s="98" t="s">
        <v>15</v>
      </c>
      <c r="D1975" s="98" t="s">
        <v>257</v>
      </c>
      <c r="E1975" s="110" t="s">
        <v>6075</v>
      </c>
      <c r="F1975" s="99" t="n">
        <v>4</v>
      </c>
      <c r="G1975" s="98" t="s">
        <v>244</v>
      </c>
      <c r="H1975" s="112" t="n">
        <f aca="false">IF(AND(AE1975="yes",ISNUMBER(AD1975)),AD1975,"")</f>
        <v>4</v>
      </c>
      <c r="I1975" s="95" t="n">
        <f aca="false">IF(AND(AE1975="yes",ISNUMBER(AD1975),ISNUMBER(INDEX(Sources!$G$7:$G$10,MATCH(AB1975,Sources!$B$7:$B$10,0)))),ROUND(AD1975/INDEX(Sources!$G$7:$G$10,MATCH(AB1975,Sources!$B$7:$B$10,0)),6),"")</f>
        <v>4</v>
      </c>
      <c r="J1975" s="98" t="s">
        <v>530</v>
      </c>
      <c r="K1975" s="98" t="s">
        <v>2059</v>
      </c>
      <c r="L1975" s="96"/>
      <c r="M1975" s="110" t="s">
        <v>6076</v>
      </c>
      <c r="N1975" s="117" t="s">
        <v>6077</v>
      </c>
      <c r="O1975" s="110" t="s">
        <v>1576</v>
      </c>
      <c r="P1975" s="110" t="s">
        <v>590</v>
      </c>
      <c r="Q1975" s="118" t="n">
        <v>0.2</v>
      </c>
      <c r="R1975" s="110" t="n">
        <v>1</v>
      </c>
      <c r="S1975" s="110" t="s">
        <v>632</v>
      </c>
      <c r="T1975" s="110" t="s">
        <v>530</v>
      </c>
      <c r="U1975" s="110" t="s">
        <v>2913</v>
      </c>
      <c r="V1975" s="119" t="n">
        <v>4</v>
      </c>
      <c r="W1975" s="119"/>
      <c r="X1975" s="110" t="s">
        <v>2063</v>
      </c>
      <c r="Y1975" s="110" t="s">
        <v>2064</v>
      </c>
      <c r="Z1975" s="110" t="s">
        <v>4341</v>
      </c>
      <c r="AA1975" s="110" t="s">
        <v>537</v>
      </c>
      <c r="AB1975" s="110" t="s">
        <v>244</v>
      </c>
      <c r="AC1975" s="110" t="s">
        <v>538</v>
      </c>
      <c r="AD1975" s="110" t="n">
        <f aca="false">IF(OR(F1975="",Q1975="",R1975=""),"",ROUND(IF(P1975="incl.",F1975/(1+Q1975),F1975)/IF(S1975="per pack",R1975,1),2))</f>
        <v>4</v>
      </c>
      <c r="AE1975" s="110" t="str">
        <f aca="false">IF(AND(AC1975="yes",ISNUMBER(F1975),IF(Compare!$H$5="All mapped",TRUE(),IF(Compare!$H$5="EXACT only",J1975="EXACT",OR(J1975="EXACT",J1975="CLOSE")))),"yes","no")</f>
        <v>yes</v>
      </c>
      <c r="AF1975" s="110" t="n">
        <f aca="false">IF(ISNUMBER(H1975),COUNTIFS($B$7:$B$3000,B1975,$C$7:$C$3000,C1975,$H$7:$H$3000,"&lt;"&amp;H1975,$AH$7:$AH$3000,"yes")+COUNTIFS($B$7:B1975,B1975,$C$7:C1975,C1975,$H$7:H1975,H1975,$AH$7:AH1975,"yes"),"")</f>
        <v>6</v>
      </c>
      <c r="AG1975" s="110" t="n">
        <f aca="false">IF(ISNUMBER(I1975),COUNTIFS($B$7:$B$3000,B1975,$C$7:$C$3000,C1975,$I$7:$I$3000,"&lt;"&amp;I1975,$AI$7:$AI$3000,"yes")+COUNTIFS($B$7:B1975,B1975,$C$7:C1975,C1975,$I$7:I1975,I1975,$AI$7:AI1975,"yes"),"")</f>
        <v>6</v>
      </c>
      <c r="AH1975" s="110" t="str">
        <f aca="false">IF(ISNUMBER(H1975),"yes","no")</f>
        <v>yes</v>
      </c>
      <c r="AI1975" s="110" t="str">
        <f aca="false">IF(ISNUMBER(I1975),"yes","no")</f>
        <v>yes</v>
      </c>
      <c r="AJ1975" s="120" t="n">
        <v>46297</v>
      </c>
      <c r="AK1975" s="110"/>
    </row>
    <row r="1976" customFormat="false" ht="35.05" hidden="false" customHeight="false" outlineLevel="0" collapsed="false">
      <c r="B1976" s="36" t="s">
        <v>106</v>
      </c>
      <c r="C1976" s="98" t="s">
        <v>15</v>
      </c>
      <c r="D1976" s="98" t="s">
        <v>269</v>
      </c>
      <c r="E1976" s="110" t="s">
        <v>6078</v>
      </c>
      <c r="F1976" s="99" t="n">
        <v>3.29</v>
      </c>
      <c r="G1976" s="98" t="s">
        <v>244</v>
      </c>
      <c r="H1976" s="112" t="n">
        <f aca="false">IF(AND(AE1976="yes",ISNUMBER(AD1976)),AD1976,"")</f>
        <v>3.29</v>
      </c>
      <c r="I1976" s="95" t="n">
        <f aca="false">IF(AND(AE1976="yes",ISNUMBER(AD1976),ISNUMBER(INDEX(Sources!$G$7:$G$10,MATCH(AB1976,Sources!$B$7:$B$10,0)))),ROUND(AD1976/INDEX(Sources!$G$7:$G$10,MATCH(AB1976,Sources!$B$7:$B$10,0)),6),"")</f>
        <v>3.29</v>
      </c>
      <c r="J1976" s="98" t="s">
        <v>530</v>
      </c>
      <c r="K1976" s="98" t="s">
        <v>2059</v>
      </c>
      <c r="L1976" s="96"/>
      <c r="M1976" s="110" t="s">
        <v>6079</v>
      </c>
      <c r="N1976" s="117" t="s">
        <v>6080</v>
      </c>
      <c r="O1976" s="110" t="s">
        <v>589</v>
      </c>
      <c r="P1976" s="110" t="s">
        <v>590</v>
      </c>
      <c r="Q1976" s="118" t="n">
        <v>0.2</v>
      </c>
      <c r="R1976" s="110" t="n">
        <v>1</v>
      </c>
      <c r="S1976" s="110" t="s">
        <v>632</v>
      </c>
      <c r="T1976" s="110" t="s">
        <v>530</v>
      </c>
      <c r="U1976" s="110" t="s">
        <v>2913</v>
      </c>
      <c r="V1976" s="119" t="n">
        <v>3.29</v>
      </c>
      <c r="W1976" s="119"/>
      <c r="X1976" s="110" t="s">
        <v>2063</v>
      </c>
      <c r="Y1976" s="110" t="s">
        <v>2064</v>
      </c>
      <c r="Z1976" s="110" t="s">
        <v>3216</v>
      </c>
      <c r="AA1976" s="110" t="s">
        <v>537</v>
      </c>
      <c r="AB1976" s="110" t="s">
        <v>244</v>
      </c>
      <c r="AC1976" s="110" t="s">
        <v>538</v>
      </c>
      <c r="AD1976" s="110" t="n">
        <f aca="false">IF(OR(F1976="",Q1976="",R1976=""),"",ROUND(IF(P1976="incl.",F1976/(1+Q1976),F1976)/IF(S1976="per pack",R1976,1),2))</f>
        <v>3.29</v>
      </c>
      <c r="AE1976" s="110" t="str">
        <f aca="false">IF(AND(AC1976="yes",ISNUMBER(F1976),IF(Compare!$H$5="All mapped",TRUE(),IF(Compare!$H$5="EXACT only",J1976="EXACT",OR(J1976="EXACT",J1976="CLOSE")))),"yes","no")</f>
        <v>yes</v>
      </c>
      <c r="AF1976" s="110" t="n">
        <f aca="false">IF(ISNUMBER(H1976),COUNTIFS($B$7:$B$3000,B1976,$C$7:$C$3000,C1976,$H$7:$H$3000,"&lt;"&amp;H1976,$AH$7:$AH$3000,"yes")+COUNTIFS($B$7:B1976,B1976,$C$7:C1976,C1976,$H$7:H1976,H1976,$AH$7:AH1976,"yes"),"")</f>
        <v>5</v>
      </c>
      <c r="AG1976" s="110" t="n">
        <f aca="false">IF(ISNUMBER(I1976),COUNTIFS($B$7:$B$3000,B1976,$C$7:$C$3000,C1976,$I$7:$I$3000,"&lt;"&amp;I1976,$AI$7:$AI$3000,"yes")+COUNTIFS($B$7:B1976,B1976,$C$7:C1976,C1976,$I$7:I1976,I1976,$AI$7:AI1976,"yes"),"")</f>
        <v>5</v>
      </c>
      <c r="AH1976" s="110" t="str">
        <f aca="false">IF(ISNUMBER(H1976),"yes","no")</f>
        <v>yes</v>
      </c>
      <c r="AI1976" s="110" t="str">
        <f aca="false">IF(ISNUMBER(I1976),"yes","no")</f>
        <v>yes</v>
      </c>
      <c r="AJ1976" s="120" t="n">
        <v>46297</v>
      </c>
      <c r="AK1976" s="110"/>
    </row>
    <row r="1977" customFormat="false" ht="23.85" hidden="false" customHeight="false" outlineLevel="0" collapsed="false">
      <c r="B1977" s="36" t="s">
        <v>106</v>
      </c>
      <c r="C1977" s="98" t="s">
        <v>15</v>
      </c>
      <c r="D1977" s="98" t="s">
        <v>264</v>
      </c>
      <c r="E1977" s="110" t="s">
        <v>6081</v>
      </c>
      <c r="F1977" s="99" t="n">
        <v>8.73</v>
      </c>
      <c r="G1977" s="98" t="s">
        <v>244</v>
      </c>
      <c r="H1977" s="112" t="n">
        <f aca="false">IF(AND(AE1977="yes",ISNUMBER(AD1977)),AD1977,"")</f>
        <v>8.73</v>
      </c>
      <c r="I1977" s="95" t="n">
        <f aca="false">IF(AND(AE1977="yes",ISNUMBER(AD1977),ISNUMBER(INDEX(Sources!$G$7:$G$10,MATCH(AB1977,Sources!$B$7:$B$10,0)))),ROUND(AD1977/INDEX(Sources!$G$7:$G$10,MATCH(AB1977,Sources!$B$7:$B$10,0)),6),"")</f>
        <v>8.73</v>
      </c>
      <c r="J1977" s="98" t="s">
        <v>530</v>
      </c>
      <c r="K1977" s="98" t="s">
        <v>2059</v>
      </c>
      <c r="L1977" s="96"/>
      <c r="M1977" s="110" t="s">
        <v>6082</v>
      </c>
      <c r="N1977" s="117" t="s">
        <v>6083</v>
      </c>
      <c r="O1977" s="110" t="s">
        <v>662</v>
      </c>
      <c r="P1977" s="110" t="s">
        <v>590</v>
      </c>
      <c r="Q1977" s="118" t="n">
        <v>0.2</v>
      </c>
      <c r="R1977" s="110" t="n">
        <v>1</v>
      </c>
      <c r="S1977" s="110" t="s">
        <v>632</v>
      </c>
      <c r="T1977" s="110" t="s">
        <v>530</v>
      </c>
      <c r="U1977" s="110" t="s">
        <v>2913</v>
      </c>
      <c r="V1977" s="119" t="n">
        <v>8.73</v>
      </c>
      <c r="W1977" s="119"/>
      <c r="X1977" s="110" t="s">
        <v>2063</v>
      </c>
      <c r="Y1977" s="110" t="s">
        <v>2064</v>
      </c>
      <c r="Z1977" s="110"/>
      <c r="AA1977" s="110" t="s">
        <v>537</v>
      </c>
      <c r="AB1977" s="110" t="s">
        <v>244</v>
      </c>
      <c r="AC1977" s="110" t="s">
        <v>538</v>
      </c>
      <c r="AD1977" s="110" t="n">
        <f aca="false">IF(OR(F1977="",Q1977="",R1977=""),"",ROUND(IF(P1977="incl.",F1977/(1+Q1977),F1977)/IF(S1977="per pack",R1977,1),2))</f>
        <v>8.73</v>
      </c>
      <c r="AE1977" s="110" t="str">
        <f aca="false">IF(AND(AC1977="yes",ISNUMBER(F1977),IF(Compare!$H$5="All mapped",TRUE(),IF(Compare!$H$5="EXACT only",J1977="EXACT",OR(J1977="EXACT",J1977="CLOSE")))),"yes","no")</f>
        <v>yes</v>
      </c>
      <c r="AF1977" s="110" t="n">
        <f aca="false">IF(ISNUMBER(H1977),COUNTIFS($B$7:$B$3000,B1977,$C$7:$C$3000,C1977,$H$7:$H$3000,"&lt;"&amp;H1977,$AH$7:$AH$3000,"yes")+COUNTIFS($B$7:B1977,B1977,$C$7:C1977,C1977,$H$7:H1977,H1977,$AH$7:AH1977,"yes"),"")</f>
        <v>7</v>
      </c>
      <c r="AG1977" s="110" t="n">
        <f aca="false">IF(ISNUMBER(I1977),COUNTIFS($B$7:$B$3000,B1977,$C$7:$C$3000,C1977,$I$7:$I$3000,"&lt;"&amp;I1977,$AI$7:$AI$3000,"yes")+COUNTIFS($B$7:B1977,B1977,$C$7:C1977,C1977,$I$7:I1977,I1977,$AI$7:AI1977,"yes"),"")</f>
        <v>7</v>
      </c>
      <c r="AH1977" s="110" t="str">
        <f aca="false">IF(ISNUMBER(H1977),"yes","no")</f>
        <v>yes</v>
      </c>
      <c r="AI1977" s="110" t="str">
        <f aca="false">IF(ISNUMBER(I1977),"yes","no")</f>
        <v>yes</v>
      </c>
      <c r="AJ1977" s="120" t="n">
        <v>46297</v>
      </c>
      <c r="AK1977" s="110"/>
    </row>
    <row r="1978" customFormat="false" ht="23.85" hidden="false" customHeight="false" outlineLevel="0" collapsed="false">
      <c r="B1978" s="36" t="s">
        <v>106</v>
      </c>
      <c r="C1978" s="98" t="s">
        <v>15</v>
      </c>
      <c r="D1978" s="98" t="s">
        <v>273</v>
      </c>
      <c r="E1978" s="110" t="s">
        <v>6084</v>
      </c>
      <c r="F1978" s="99" t="n">
        <v>1.69</v>
      </c>
      <c r="G1978" s="98" t="s">
        <v>244</v>
      </c>
      <c r="H1978" s="112" t="n">
        <f aca="false">IF(AND(AE1978="yes",ISNUMBER(AD1978)),AD1978,"")</f>
        <v>1.41</v>
      </c>
      <c r="I1978" s="95" t="n">
        <f aca="false">IF(AND(AE1978="yes",ISNUMBER(AD1978),ISNUMBER(INDEX(Sources!$G$7:$G$10,MATCH(AB1978,Sources!$B$7:$B$10,0)))),ROUND(AD1978/INDEX(Sources!$G$7:$G$10,MATCH(AB1978,Sources!$B$7:$B$10,0)),6),"")</f>
        <v>1.41</v>
      </c>
      <c r="J1978" s="98" t="s">
        <v>530</v>
      </c>
      <c r="K1978" s="98" t="s">
        <v>2059</v>
      </c>
      <c r="L1978" s="96"/>
      <c r="M1978" s="110" t="s">
        <v>6085</v>
      </c>
      <c r="N1978" s="117" t="s">
        <v>6086</v>
      </c>
      <c r="O1978" s="110" t="s">
        <v>598</v>
      </c>
      <c r="P1978" s="110" t="s">
        <v>265</v>
      </c>
      <c r="Q1978" s="118" t="n">
        <v>0.2</v>
      </c>
      <c r="R1978" s="110" t="n">
        <v>1</v>
      </c>
      <c r="S1978" s="110" t="s">
        <v>632</v>
      </c>
      <c r="T1978" s="110" t="s">
        <v>530</v>
      </c>
      <c r="U1978" s="110" t="s">
        <v>2918</v>
      </c>
      <c r="V1978" s="119" t="n">
        <v>1.41</v>
      </c>
      <c r="W1978" s="119"/>
      <c r="X1978" s="110" t="s">
        <v>2063</v>
      </c>
      <c r="Y1978" s="110" t="s">
        <v>2064</v>
      </c>
      <c r="Z1978" s="110" t="s">
        <v>2130</v>
      </c>
      <c r="AA1978" s="110" t="s">
        <v>537</v>
      </c>
      <c r="AB1978" s="110" t="s">
        <v>244</v>
      </c>
      <c r="AC1978" s="110" t="s">
        <v>538</v>
      </c>
      <c r="AD1978" s="110" t="n">
        <f aca="false">IF(OR(F1978="",Q1978="",R1978=""),"",ROUND(IF(P1978="incl.",F1978/(1+Q1978),F1978)/IF(S1978="per pack",R1978,1),2))</f>
        <v>1.41</v>
      </c>
      <c r="AE1978" s="110" t="str">
        <f aca="false">IF(AND(AC1978="yes",ISNUMBER(F1978),IF(Compare!$H$5="All mapped",TRUE(),IF(Compare!$H$5="EXACT only",J1978="EXACT",OR(J1978="EXACT",J1978="CLOSE")))),"yes","no")</f>
        <v>yes</v>
      </c>
      <c r="AF1978" s="110" t="n">
        <f aca="false">IF(ISNUMBER(H1978),COUNTIFS($B$7:$B$3000,B1978,$C$7:$C$3000,C1978,$H$7:$H$3000,"&lt;"&amp;H1978,$AH$7:$AH$3000,"yes")+COUNTIFS($B$7:B1978,B1978,$C$7:C1978,C1978,$H$7:H1978,H1978,$AH$7:AH1978,"yes"),"")</f>
        <v>2</v>
      </c>
      <c r="AG1978" s="110" t="n">
        <f aca="false">IF(ISNUMBER(I1978),COUNTIFS($B$7:$B$3000,B1978,$C$7:$C$3000,C1978,$I$7:$I$3000,"&lt;"&amp;I1978,$AI$7:$AI$3000,"yes")+COUNTIFS($B$7:B1978,B1978,$C$7:C1978,C1978,$I$7:I1978,I1978,$AI$7:AI1978,"yes"),"")</f>
        <v>2</v>
      </c>
      <c r="AH1978" s="110" t="str">
        <f aca="false">IF(ISNUMBER(H1978),"yes","no")</f>
        <v>yes</v>
      </c>
      <c r="AI1978" s="110" t="str">
        <f aca="false">IF(ISNUMBER(I1978),"yes","no")</f>
        <v>yes</v>
      </c>
      <c r="AJ1978" s="120" t="n">
        <v>46297</v>
      </c>
      <c r="AK1978" s="110"/>
    </row>
    <row r="1979" customFormat="false" ht="35.05" hidden="false" customHeight="false" outlineLevel="0" collapsed="false">
      <c r="B1979" s="36" t="s">
        <v>106</v>
      </c>
      <c r="C1979" s="98" t="s">
        <v>15</v>
      </c>
      <c r="D1979" s="98" t="s">
        <v>281</v>
      </c>
      <c r="E1979" s="110" t="s">
        <v>6087</v>
      </c>
      <c r="F1979" s="99" t="n">
        <v>2.1</v>
      </c>
      <c r="G1979" s="98" t="s">
        <v>244</v>
      </c>
      <c r="H1979" s="112" t="n">
        <f aca="false">IF(AND(AE1979="yes",ISNUMBER(AD1979)),AD1979,"")</f>
        <v>2.1</v>
      </c>
      <c r="I1979" s="95" t="n">
        <f aca="false">IF(AND(AE1979="yes",ISNUMBER(AD1979),ISNUMBER(INDEX(Sources!$G$7:$G$10,MATCH(AB1979,Sources!$B$7:$B$10,0)))),ROUND(AD1979/INDEX(Sources!$G$7:$G$10,MATCH(AB1979,Sources!$B$7:$B$10,0)),6),"")</f>
        <v>2.1</v>
      </c>
      <c r="J1979" s="98" t="s">
        <v>530</v>
      </c>
      <c r="K1979" s="98" t="s">
        <v>2059</v>
      </c>
      <c r="L1979" s="96"/>
      <c r="M1979" s="110" t="s">
        <v>6088</v>
      </c>
      <c r="N1979" s="117" t="s">
        <v>6089</v>
      </c>
      <c r="O1979" s="110" t="s">
        <v>2944</v>
      </c>
      <c r="P1979" s="110" t="s">
        <v>590</v>
      </c>
      <c r="Q1979" s="118" t="n">
        <v>0.2</v>
      </c>
      <c r="R1979" s="110" t="n">
        <v>1</v>
      </c>
      <c r="S1979" s="110" t="s">
        <v>632</v>
      </c>
      <c r="T1979" s="110" t="s">
        <v>530</v>
      </c>
      <c r="U1979" s="110" t="s">
        <v>2913</v>
      </c>
      <c r="V1979" s="119" t="n">
        <v>2.1</v>
      </c>
      <c r="W1979" s="119"/>
      <c r="X1979" s="110" t="s">
        <v>2063</v>
      </c>
      <c r="Y1979" s="110" t="s">
        <v>2064</v>
      </c>
      <c r="Z1979" s="110" t="s">
        <v>2953</v>
      </c>
      <c r="AA1979" s="110" t="s">
        <v>537</v>
      </c>
      <c r="AB1979" s="110" t="s">
        <v>244</v>
      </c>
      <c r="AC1979" s="110" t="s">
        <v>538</v>
      </c>
      <c r="AD1979" s="110" t="n">
        <f aca="false">IF(OR(F1979="",Q1979="",R1979=""),"",ROUND(IF(P1979="incl.",F1979/(1+Q1979),F1979)/IF(S1979="per pack",R1979,1),2))</f>
        <v>2.1</v>
      </c>
      <c r="AE1979" s="110" t="str">
        <f aca="false">IF(AND(AC1979="yes",ISNUMBER(F1979),IF(Compare!$H$5="All mapped",TRUE(),IF(Compare!$H$5="EXACT only",J1979="EXACT",OR(J1979="EXACT",J1979="CLOSE")))),"yes","no")</f>
        <v>yes</v>
      </c>
      <c r="AF1979" s="110" t="n">
        <f aca="false">IF(ISNUMBER(H1979),COUNTIFS($B$7:$B$3000,B1979,$C$7:$C$3000,C1979,$H$7:$H$3000,"&lt;"&amp;H1979,$AH$7:$AH$3000,"yes")+COUNTIFS($B$7:B1979,B1979,$C$7:C1979,C1979,$H$7:H1979,H1979,$AH$7:AH1979,"yes"),"")</f>
        <v>4</v>
      </c>
      <c r="AG1979" s="110" t="n">
        <f aca="false">IF(ISNUMBER(I1979),COUNTIFS($B$7:$B$3000,B1979,$C$7:$C$3000,C1979,$I$7:$I$3000,"&lt;"&amp;I1979,$AI$7:$AI$3000,"yes")+COUNTIFS($B$7:B1979,B1979,$C$7:C1979,C1979,$I$7:I1979,I1979,$AI$7:AI1979,"yes"),"")</f>
        <v>4</v>
      </c>
      <c r="AH1979" s="110" t="str">
        <f aca="false">IF(ISNUMBER(H1979),"yes","no")</f>
        <v>yes</v>
      </c>
      <c r="AI1979" s="110" t="str">
        <f aca="false">IF(ISNUMBER(I1979),"yes","no")</f>
        <v>yes</v>
      </c>
      <c r="AJ1979" s="120" t="n">
        <v>46297</v>
      </c>
      <c r="AK1979" s="110"/>
    </row>
    <row r="1980" customFormat="false" ht="23.85" hidden="false" customHeight="false" outlineLevel="0" collapsed="false">
      <c r="B1980" s="36" t="s">
        <v>106</v>
      </c>
      <c r="C1980" s="98" t="s">
        <v>15</v>
      </c>
      <c r="D1980" s="98" t="s">
        <v>293</v>
      </c>
      <c r="E1980" s="110" t="s">
        <v>6090</v>
      </c>
      <c r="F1980" s="99" t="n">
        <v>1.8</v>
      </c>
      <c r="G1980" s="98" t="s">
        <v>244</v>
      </c>
      <c r="H1980" s="112" t="n">
        <f aca="false">IF(AND(AE1980="yes",ISNUMBER(AD1980)),AD1980,"")</f>
        <v>1.8</v>
      </c>
      <c r="I1980" s="95" t="n">
        <f aca="false">IF(AND(AE1980="yes",ISNUMBER(AD1980),ISNUMBER(INDEX(Sources!$G$7:$G$10,MATCH(AB1980,Sources!$B$7:$B$10,0)))),ROUND(AD1980/INDEX(Sources!$G$7:$G$10,MATCH(AB1980,Sources!$B$7:$B$10,0)),6),"")</f>
        <v>1.8</v>
      </c>
      <c r="J1980" s="98" t="s">
        <v>530</v>
      </c>
      <c r="K1980" s="98" t="s">
        <v>2059</v>
      </c>
      <c r="L1980" s="96"/>
      <c r="M1980" s="110" t="s">
        <v>6091</v>
      </c>
      <c r="N1980" s="117" t="s">
        <v>6092</v>
      </c>
      <c r="O1980" s="110" t="s">
        <v>3063</v>
      </c>
      <c r="P1980" s="110" t="s">
        <v>590</v>
      </c>
      <c r="Q1980" s="118" t="n">
        <v>0.2</v>
      </c>
      <c r="R1980" s="110" t="n">
        <v>1</v>
      </c>
      <c r="S1980" s="110" t="s">
        <v>632</v>
      </c>
      <c r="T1980" s="110" t="s">
        <v>530</v>
      </c>
      <c r="U1980" s="110" t="s">
        <v>2913</v>
      </c>
      <c r="V1980" s="119" t="n">
        <v>1.8</v>
      </c>
      <c r="W1980" s="119"/>
      <c r="X1980" s="110" t="s">
        <v>2063</v>
      </c>
      <c r="Y1980" s="110" t="s">
        <v>2064</v>
      </c>
      <c r="Z1980" s="110" t="s">
        <v>3064</v>
      </c>
      <c r="AA1980" s="110" t="s">
        <v>537</v>
      </c>
      <c r="AB1980" s="110" t="s">
        <v>244</v>
      </c>
      <c r="AC1980" s="110" t="s">
        <v>538</v>
      </c>
      <c r="AD1980" s="110" t="n">
        <f aca="false">IF(OR(F1980="",Q1980="",R1980=""),"",ROUND(IF(P1980="incl.",F1980/(1+Q1980),F1980)/IF(S1980="per pack",R1980,1),2))</f>
        <v>1.8</v>
      </c>
      <c r="AE1980" s="110" t="str">
        <f aca="false">IF(AND(AC1980="yes",ISNUMBER(F1980),IF(Compare!$H$5="All mapped",TRUE(),IF(Compare!$H$5="EXACT only",J1980="EXACT",OR(J1980="EXACT",J1980="CLOSE")))),"yes","no")</f>
        <v>yes</v>
      </c>
      <c r="AF1980" s="110" t="n">
        <f aca="false">IF(ISNUMBER(H1980),COUNTIFS($B$7:$B$3000,B1980,$C$7:$C$3000,C1980,$H$7:$H$3000,"&lt;"&amp;H1980,$AH$7:$AH$3000,"yes")+COUNTIFS($B$7:B1980,B1980,$C$7:C1980,C1980,$H$7:H1980,H1980,$AH$7:AH1980,"yes"),"")</f>
        <v>3</v>
      </c>
      <c r="AG1980" s="110" t="n">
        <f aca="false">IF(ISNUMBER(I1980),COUNTIFS($B$7:$B$3000,B1980,$C$7:$C$3000,C1980,$I$7:$I$3000,"&lt;"&amp;I1980,$AI$7:$AI$3000,"yes")+COUNTIFS($B$7:B1980,B1980,$C$7:C1980,C1980,$I$7:I1980,I1980,$AI$7:AI1980,"yes"),"")</f>
        <v>3</v>
      </c>
      <c r="AH1980" s="110" t="str">
        <f aca="false">IF(ISNUMBER(H1980),"yes","no")</f>
        <v>yes</v>
      </c>
      <c r="AI1980" s="110" t="str">
        <f aca="false">IF(ISNUMBER(I1980),"yes","no")</f>
        <v>yes</v>
      </c>
      <c r="AJ1980" s="120" t="n">
        <v>46297</v>
      </c>
      <c r="AK1980" s="110"/>
    </row>
    <row r="1981" customFormat="false" ht="23.85" hidden="false" customHeight="false" outlineLevel="0" collapsed="false">
      <c r="B1981" s="36" t="s">
        <v>106</v>
      </c>
      <c r="C1981" s="98" t="s">
        <v>16</v>
      </c>
      <c r="D1981" s="98" t="s">
        <v>296</v>
      </c>
      <c r="E1981" s="110" t="s">
        <v>6072</v>
      </c>
      <c r="F1981" s="99" t="n">
        <v>0.4</v>
      </c>
      <c r="G1981" s="98" t="s">
        <v>244</v>
      </c>
      <c r="H1981" s="112" t="n">
        <f aca="false">IF(AND(AE1981="yes",ISNUMBER(AD1981)),AD1981,"")</f>
        <v>0.4</v>
      </c>
      <c r="I1981" s="95" t="n">
        <f aca="false">IF(AND(AE1981="yes",ISNUMBER(AD1981),ISNUMBER(INDEX(Sources!$G$7:$G$10,MATCH(AB1981,Sources!$B$7:$B$10,0)))),ROUND(AD1981/INDEX(Sources!$G$7:$G$10,MATCH(AB1981,Sources!$B$7:$B$10,0)),6),"")</f>
        <v>0.4</v>
      </c>
      <c r="J1981" s="98" t="s">
        <v>530</v>
      </c>
      <c r="K1981" s="98" t="s">
        <v>2059</v>
      </c>
      <c r="L1981" s="96"/>
      <c r="M1981" s="110" t="s">
        <v>6093</v>
      </c>
      <c r="N1981" s="117" t="s">
        <v>6094</v>
      </c>
      <c r="O1981" s="110" t="s">
        <v>3149</v>
      </c>
      <c r="P1981" s="110" t="s">
        <v>590</v>
      </c>
      <c r="Q1981" s="118" t="n">
        <v>0.19</v>
      </c>
      <c r="R1981" s="110" t="n">
        <v>1</v>
      </c>
      <c r="S1981" s="110" t="s">
        <v>632</v>
      </c>
      <c r="T1981" s="110" t="s">
        <v>530</v>
      </c>
      <c r="U1981" s="110" t="s">
        <v>2913</v>
      </c>
      <c r="V1981" s="119" t="n">
        <v>0.4</v>
      </c>
      <c r="W1981" s="119"/>
      <c r="X1981" s="110" t="s">
        <v>2063</v>
      </c>
      <c r="Y1981" s="110" t="s">
        <v>2064</v>
      </c>
      <c r="Z1981" s="110" t="s">
        <v>2164</v>
      </c>
      <c r="AA1981" s="110" t="s">
        <v>537</v>
      </c>
      <c r="AB1981" s="110" t="s">
        <v>244</v>
      </c>
      <c r="AC1981" s="110" t="s">
        <v>538</v>
      </c>
      <c r="AD1981" s="110" t="n">
        <f aca="false">IF(OR(F1981="",Q1981="",R1981=""),"",ROUND(IF(P1981="incl.",F1981/(1+Q1981),F1981)/IF(S1981="per pack",R1981,1),2))</f>
        <v>0.4</v>
      </c>
      <c r="AE1981" s="110" t="str">
        <f aca="false">IF(AND(AC1981="yes",ISNUMBER(F1981),IF(Compare!$H$5="All mapped",TRUE(),IF(Compare!$H$5="EXACT only",J1981="EXACT",OR(J1981="EXACT",J1981="CLOSE")))),"yes","no")</f>
        <v>yes</v>
      </c>
      <c r="AF1981" s="110" t="n">
        <f aca="false">IF(ISNUMBER(H1981),COUNTIFS($B$7:$B$3000,B1981,$C$7:$C$3000,C1981,$H$7:$H$3000,"&lt;"&amp;H1981,$AH$7:$AH$3000,"yes")+COUNTIFS($B$7:B1981,B1981,$C$7:C1981,C1981,$H$7:H1981,H1981,$AH$7:AH1981,"yes"),"")</f>
        <v>1</v>
      </c>
      <c r="AG1981" s="110" t="n">
        <f aca="false">IF(ISNUMBER(I1981),COUNTIFS($B$7:$B$3000,B1981,$C$7:$C$3000,C1981,$I$7:$I$3000,"&lt;"&amp;I1981,$AI$7:$AI$3000,"yes")+COUNTIFS($B$7:B1981,B1981,$C$7:C1981,C1981,$I$7:I1981,I1981,$AI$7:AI1981,"yes"),"")</f>
        <v>1</v>
      </c>
      <c r="AH1981" s="110" t="str">
        <f aca="false">IF(ISNUMBER(H1981),"yes","no")</f>
        <v>yes</v>
      </c>
      <c r="AI1981" s="110" t="str">
        <f aca="false">IF(ISNUMBER(I1981),"yes","no")</f>
        <v>yes</v>
      </c>
      <c r="AJ1981" s="120" t="n">
        <v>46297</v>
      </c>
      <c r="AK1981" s="110"/>
    </row>
    <row r="1982" customFormat="false" ht="35.05" hidden="false" customHeight="false" outlineLevel="0" collapsed="false">
      <c r="B1982" s="36" t="s">
        <v>106</v>
      </c>
      <c r="C1982" s="98" t="s">
        <v>16</v>
      </c>
      <c r="D1982" s="98" t="s">
        <v>305</v>
      </c>
      <c r="E1982" s="110" t="s">
        <v>6095</v>
      </c>
      <c r="F1982" s="99" t="n">
        <v>2.32</v>
      </c>
      <c r="G1982" s="98" t="s">
        <v>244</v>
      </c>
      <c r="H1982" s="112" t="n">
        <f aca="false">IF(AND(AE1982="yes",ISNUMBER(AD1982)),AD1982,"")</f>
        <v>1.95</v>
      </c>
      <c r="I1982" s="95" t="n">
        <f aca="false">IF(AND(AE1982="yes",ISNUMBER(AD1982),ISNUMBER(INDEX(Sources!$G$7:$G$10,MATCH(AB1982,Sources!$B$7:$B$10,0)))),ROUND(AD1982/INDEX(Sources!$G$7:$G$10,MATCH(AB1982,Sources!$B$7:$B$10,0)),6),"")</f>
        <v>1.95</v>
      </c>
      <c r="J1982" s="98" t="s">
        <v>530</v>
      </c>
      <c r="K1982" s="98" t="s">
        <v>2059</v>
      </c>
      <c r="L1982" s="96"/>
      <c r="M1982" s="110" t="s">
        <v>6096</v>
      </c>
      <c r="N1982" s="117" t="s">
        <v>6097</v>
      </c>
      <c r="O1982" s="110" t="s">
        <v>2965</v>
      </c>
      <c r="P1982" s="110" t="s">
        <v>265</v>
      </c>
      <c r="Q1982" s="118" t="n">
        <v>0.19</v>
      </c>
      <c r="R1982" s="110" t="n">
        <v>1</v>
      </c>
      <c r="S1982" s="110" t="s">
        <v>632</v>
      </c>
      <c r="T1982" s="110" t="s">
        <v>530</v>
      </c>
      <c r="U1982" s="110" t="s">
        <v>2918</v>
      </c>
      <c r="V1982" s="119" t="n">
        <v>1.95</v>
      </c>
      <c r="W1982" s="119"/>
      <c r="X1982" s="110" t="s">
        <v>2063</v>
      </c>
      <c r="Y1982" s="110" t="s">
        <v>2064</v>
      </c>
      <c r="Z1982" s="110" t="s">
        <v>2156</v>
      </c>
      <c r="AA1982" s="110" t="s">
        <v>537</v>
      </c>
      <c r="AB1982" s="110" t="s">
        <v>244</v>
      </c>
      <c r="AC1982" s="110" t="s">
        <v>538</v>
      </c>
      <c r="AD1982" s="110" t="n">
        <f aca="false">IF(OR(F1982="",Q1982="",R1982=""),"",ROUND(IF(P1982="incl.",F1982/(1+Q1982),F1982)/IF(S1982="per pack",R1982,1),2))</f>
        <v>1.95</v>
      </c>
      <c r="AE1982" s="110" t="str">
        <f aca="false">IF(AND(AC1982="yes",ISNUMBER(F1982),IF(Compare!$H$5="All mapped",TRUE(),IF(Compare!$H$5="EXACT only",J1982="EXACT",OR(J1982="EXACT",J1982="CLOSE")))),"yes","no")</f>
        <v>yes</v>
      </c>
      <c r="AF1982" s="110" t="n">
        <f aca="false">IF(ISNUMBER(H1982),COUNTIFS($B$7:$B$3000,B1982,$C$7:$C$3000,C1982,$H$7:$H$3000,"&lt;"&amp;H1982,$AH$7:$AH$3000,"yes")+COUNTIFS($B$7:B1982,B1982,$C$7:C1982,C1982,$H$7:H1982,H1982,$AH$7:AH1982,"yes"),"")</f>
        <v>5</v>
      </c>
      <c r="AG1982" s="110" t="n">
        <f aca="false">IF(ISNUMBER(I1982),COUNTIFS($B$7:$B$3000,B1982,$C$7:$C$3000,C1982,$I$7:$I$3000,"&lt;"&amp;I1982,$AI$7:$AI$3000,"yes")+COUNTIFS($B$7:B1982,B1982,$C$7:C1982,C1982,$I$7:I1982,I1982,$AI$7:AI1982,"yes"),"")</f>
        <v>5</v>
      </c>
      <c r="AH1982" s="110" t="str">
        <f aca="false">IF(ISNUMBER(H1982),"yes","no")</f>
        <v>yes</v>
      </c>
      <c r="AI1982" s="110" t="str">
        <f aca="false">IF(ISNUMBER(I1982),"yes","no")</f>
        <v>yes</v>
      </c>
      <c r="AJ1982" s="120" t="n">
        <v>46297</v>
      </c>
      <c r="AK1982" s="110"/>
    </row>
    <row r="1983" customFormat="false" ht="35.05" hidden="false" customHeight="false" outlineLevel="0" collapsed="false">
      <c r="B1983" s="36" t="s">
        <v>106</v>
      </c>
      <c r="C1983" s="98" t="s">
        <v>16</v>
      </c>
      <c r="D1983" s="98" t="s">
        <v>311</v>
      </c>
      <c r="E1983" s="110" t="s">
        <v>6078</v>
      </c>
      <c r="F1983" s="99" t="n">
        <v>1.79</v>
      </c>
      <c r="G1983" s="98" t="s">
        <v>244</v>
      </c>
      <c r="H1983" s="112" t="n">
        <f aca="false">IF(AND(AE1983="yes",ISNUMBER(AD1983)),AD1983,"")</f>
        <v>1.79</v>
      </c>
      <c r="I1983" s="95" t="n">
        <f aca="false">IF(AND(AE1983="yes",ISNUMBER(AD1983),ISNUMBER(INDEX(Sources!$G$7:$G$10,MATCH(AB1983,Sources!$B$7:$B$10,0)))),ROUND(AD1983/INDEX(Sources!$G$7:$G$10,MATCH(AB1983,Sources!$B$7:$B$10,0)),6),"")</f>
        <v>1.79</v>
      </c>
      <c r="J1983" s="98" t="s">
        <v>530</v>
      </c>
      <c r="K1983" s="98" t="s">
        <v>2059</v>
      </c>
      <c r="L1983" s="96"/>
      <c r="M1983" s="110" t="s">
        <v>6098</v>
      </c>
      <c r="N1983" s="117" t="s">
        <v>6099</v>
      </c>
      <c r="O1983" s="110" t="s">
        <v>589</v>
      </c>
      <c r="P1983" s="110" t="s">
        <v>590</v>
      </c>
      <c r="Q1983" s="118" t="n">
        <v>0.19</v>
      </c>
      <c r="R1983" s="110" t="n">
        <v>1</v>
      </c>
      <c r="S1983" s="110" t="s">
        <v>632</v>
      </c>
      <c r="T1983" s="110" t="s">
        <v>530</v>
      </c>
      <c r="U1983" s="110" t="s">
        <v>2913</v>
      </c>
      <c r="V1983" s="119" t="n">
        <v>1.79</v>
      </c>
      <c r="W1983" s="119"/>
      <c r="X1983" s="110" t="s">
        <v>2063</v>
      </c>
      <c r="Y1983" s="110" t="s">
        <v>2064</v>
      </c>
      <c r="Z1983" s="110" t="s">
        <v>3236</v>
      </c>
      <c r="AA1983" s="110" t="s">
        <v>537</v>
      </c>
      <c r="AB1983" s="110" t="s">
        <v>244</v>
      </c>
      <c r="AC1983" s="110" t="s">
        <v>538</v>
      </c>
      <c r="AD1983" s="110" t="n">
        <f aca="false">IF(OR(F1983="",Q1983="",R1983=""),"",ROUND(IF(P1983="incl.",F1983/(1+Q1983),F1983)/IF(S1983="per pack",R1983,1),2))</f>
        <v>1.79</v>
      </c>
      <c r="AE1983" s="110" t="str">
        <f aca="false">IF(AND(AC1983="yes",ISNUMBER(F1983),IF(Compare!$H$5="All mapped",TRUE(),IF(Compare!$H$5="EXACT only",J1983="EXACT",OR(J1983="EXACT",J1983="CLOSE")))),"yes","no")</f>
        <v>yes</v>
      </c>
      <c r="AF1983" s="110" t="n">
        <f aca="false">IF(ISNUMBER(H1983),COUNTIFS($B$7:$B$3000,B1983,$C$7:$C$3000,C1983,$H$7:$H$3000,"&lt;"&amp;H1983,$AH$7:$AH$3000,"yes")+COUNTIFS($B$7:B1983,B1983,$C$7:C1983,C1983,$H$7:H1983,H1983,$AH$7:AH1983,"yes"),"")</f>
        <v>4</v>
      </c>
      <c r="AG1983" s="110" t="n">
        <f aca="false">IF(ISNUMBER(I1983),COUNTIFS($B$7:$B$3000,B1983,$C$7:$C$3000,C1983,$I$7:$I$3000,"&lt;"&amp;I1983,$AI$7:$AI$3000,"yes")+COUNTIFS($B$7:B1983,B1983,$C$7:C1983,C1983,$I$7:I1983,I1983,$AI$7:AI1983,"yes"),"")</f>
        <v>4</v>
      </c>
      <c r="AH1983" s="110" t="str">
        <f aca="false">IF(ISNUMBER(H1983),"yes","no")</f>
        <v>yes</v>
      </c>
      <c r="AI1983" s="110" t="str">
        <f aca="false">IF(ISNUMBER(I1983),"yes","no")</f>
        <v>yes</v>
      </c>
      <c r="AJ1983" s="120" t="n">
        <v>46297</v>
      </c>
      <c r="AK1983" s="110"/>
    </row>
    <row r="1984" customFormat="false" ht="35.05" hidden="false" customHeight="false" outlineLevel="0" collapsed="false">
      <c r="B1984" s="36" t="s">
        <v>106</v>
      </c>
      <c r="C1984" s="98" t="s">
        <v>16</v>
      </c>
      <c r="D1984" s="98" t="s">
        <v>309</v>
      </c>
      <c r="E1984" s="110" t="s">
        <v>6081</v>
      </c>
      <c r="F1984" s="99" t="n">
        <v>8.73</v>
      </c>
      <c r="G1984" s="98" t="s">
        <v>244</v>
      </c>
      <c r="H1984" s="112" t="n">
        <f aca="false">IF(AND(AE1984="yes",ISNUMBER(AD1984)),AD1984,"")</f>
        <v>8.73</v>
      </c>
      <c r="I1984" s="95" t="n">
        <f aca="false">IF(AND(AE1984="yes",ISNUMBER(AD1984),ISNUMBER(INDEX(Sources!$G$7:$G$10,MATCH(AB1984,Sources!$B$7:$B$10,0)))),ROUND(AD1984/INDEX(Sources!$G$7:$G$10,MATCH(AB1984,Sources!$B$7:$B$10,0)),6),"")</f>
        <v>8.73</v>
      </c>
      <c r="J1984" s="98" t="s">
        <v>530</v>
      </c>
      <c r="K1984" s="98" t="s">
        <v>2059</v>
      </c>
      <c r="L1984" s="96"/>
      <c r="M1984" s="110" t="s">
        <v>6100</v>
      </c>
      <c r="N1984" s="117" t="s">
        <v>6083</v>
      </c>
      <c r="O1984" s="110" t="s">
        <v>662</v>
      </c>
      <c r="P1984" s="110" t="s">
        <v>590</v>
      </c>
      <c r="Q1984" s="118" t="n">
        <v>0.19</v>
      </c>
      <c r="R1984" s="110" t="n">
        <v>1</v>
      </c>
      <c r="S1984" s="110" t="s">
        <v>632</v>
      </c>
      <c r="T1984" s="110" t="s">
        <v>530</v>
      </c>
      <c r="U1984" s="110" t="s">
        <v>2913</v>
      </c>
      <c r="V1984" s="119" t="n">
        <v>8.73</v>
      </c>
      <c r="W1984" s="119"/>
      <c r="X1984" s="110" t="s">
        <v>2063</v>
      </c>
      <c r="Y1984" s="110" t="s">
        <v>2064</v>
      </c>
      <c r="Z1984" s="110" t="s">
        <v>2970</v>
      </c>
      <c r="AA1984" s="110" t="s">
        <v>537</v>
      </c>
      <c r="AB1984" s="110" t="s">
        <v>244</v>
      </c>
      <c r="AC1984" s="110" t="s">
        <v>538</v>
      </c>
      <c r="AD1984" s="110" t="n">
        <f aca="false">IF(OR(F1984="",Q1984="",R1984=""),"",ROUND(IF(P1984="incl.",F1984/(1+Q1984),F1984)/IF(S1984="per pack",R1984,1),2))</f>
        <v>8.73</v>
      </c>
      <c r="AE1984" s="110" t="str">
        <f aca="false">IF(AND(AC1984="yes",ISNUMBER(F1984),IF(Compare!$H$5="All mapped",TRUE(),IF(Compare!$H$5="EXACT only",J1984="EXACT",OR(J1984="EXACT",J1984="CLOSE")))),"yes","no")</f>
        <v>yes</v>
      </c>
      <c r="AF1984" s="110" t="n">
        <f aca="false">IF(ISNUMBER(H1984),COUNTIFS($B$7:$B$3000,B1984,$C$7:$C$3000,C1984,$H$7:$H$3000,"&lt;"&amp;H1984,$AH$7:$AH$3000,"yes")+COUNTIFS($B$7:B1984,B1984,$C$7:C1984,C1984,$H$7:H1984,H1984,$AH$7:AH1984,"yes"),"")</f>
        <v>7</v>
      </c>
      <c r="AG1984" s="110" t="n">
        <f aca="false">IF(ISNUMBER(I1984),COUNTIFS($B$7:$B$3000,B1984,$C$7:$C$3000,C1984,$I$7:$I$3000,"&lt;"&amp;I1984,$AI$7:$AI$3000,"yes")+COUNTIFS($B$7:B1984,B1984,$C$7:C1984,C1984,$I$7:I1984,I1984,$AI$7:AI1984,"yes"),"")</f>
        <v>7</v>
      </c>
      <c r="AH1984" s="110" t="str">
        <f aca="false">IF(ISNUMBER(H1984),"yes","no")</f>
        <v>yes</v>
      </c>
      <c r="AI1984" s="110" t="str">
        <f aca="false">IF(ISNUMBER(I1984),"yes","no")</f>
        <v>yes</v>
      </c>
      <c r="AJ1984" s="120" t="n">
        <v>46297</v>
      </c>
      <c r="AK1984" s="110"/>
    </row>
    <row r="1985" customFormat="false" ht="23.85" hidden="false" customHeight="false" outlineLevel="0" collapsed="false">
      <c r="B1985" s="36" t="s">
        <v>106</v>
      </c>
      <c r="C1985" s="98" t="s">
        <v>16</v>
      </c>
      <c r="D1985" s="98" t="s">
        <v>313</v>
      </c>
      <c r="E1985" s="110" t="s">
        <v>6084</v>
      </c>
      <c r="F1985" s="99" t="n">
        <v>1.69</v>
      </c>
      <c r="G1985" s="98" t="s">
        <v>244</v>
      </c>
      <c r="H1985" s="112" t="n">
        <f aca="false">IF(AND(AE1985="yes",ISNUMBER(AD1985)),AD1985,"")</f>
        <v>1.42</v>
      </c>
      <c r="I1985" s="95" t="n">
        <f aca="false">IF(AND(AE1985="yes",ISNUMBER(AD1985),ISNUMBER(INDEX(Sources!$G$7:$G$10,MATCH(AB1985,Sources!$B$7:$B$10,0)))),ROUND(AD1985/INDEX(Sources!$G$7:$G$10,MATCH(AB1985,Sources!$B$7:$B$10,0)),6),"")</f>
        <v>1.42</v>
      </c>
      <c r="J1985" s="98" t="s">
        <v>530</v>
      </c>
      <c r="K1985" s="98" t="s">
        <v>2059</v>
      </c>
      <c r="L1985" s="96"/>
      <c r="M1985" s="110" t="s">
        <v>6101</v>
      </c>
      <c r="N1985" s="117" t="s">
        <v>6102</v>
      </c>
      <c r="O1985" s="110" t="s">
        <v>598</v>
      </c>
      <c r="P1985" s="110" t="s">
        <v>265</v>
      </c>
      <c r="Q1985" s="118" t="n">
        <v>0.19</v>
      </c>
      <c r="R1985" s="110" t="n">
        <v>1</v>
      </c>
      <c r="S1985" s="110" t="s">
        <v>632</v>
      </c>
      <c r="T1985" s="110" t="s">
        <v>530</v>
      </c>
      <c r="U1985" s="110" t="s">
        <v>2918</v>
      </c>
      <c r="V1985" s="119" t="n">
        <v>1.42</v>
      </c>
      <c r="W1985" s="119"/>
      <c r="X1985" s="110" t="s">
        <v>2063</v>
      </c>
      <c r="Y1985" s="110" t="s">
        <v>2064</v>
      </c>
      <c r="Z1985" s="110" t="s">
        <v>3243</v>
      </c>
      <c r="AA1985" s="110" t="s">
        <v>537</v>
      </c>
      <c r="AB1985" s="110" t="s">
        <v>244</v>
      </c>
      <c r="AC1985" s="110" t="s">
        <v>538</v>
      </c>
      <c r="AD1985" s="110" t="n">
        <f aca="false">IF(OR(F1985="",Q1985="",R1985=""),"",ROUND(IF(P1985="incl.",F1985/(1+Q1985),F1985)/IF(S1985="per pack",R1985,1),2))</f>
        <v>1.42</v>
      </c>
      <c r="AE1985" s="110" t="str">
        <f aca="false">IF(AND(AC1985="yes",ISNUMBER(F1985),IF(Compare!$H$5="All mapped",TRUE(),IF(Compare!$H$5="EXACT only",J1985="EXACT",OR(J1985="EXACT",J1985="CLOSE")))),"yes","no")</f>
        <v>yes</v>
      </c>
      <c r="AF1985" s="110" t="n">
        <f aca="false">IF(ISNUMBER(H1985),COUNTIFS($B$7:$B$3000,B1985,$C$7:$C$3000,C1985,$H$7:$H$3000,"&lt;"&amp;H1985,$AH$7:$AH$3000,"yes")+COUNTIFS($B$7:B1985,B1985,$C$7:C1985,C1985,$H$7:H1985,H1985,$AH$7:AH1985,"yes"),"")</f>
        <v>3</v>
      </c>
      <c r="AG1985" s="110" t="n">
        <f aca="false">IF(ISNUMBER(I1985),COUNTIFS($B$7:$B$3000,B1985,$C$7:$C$3000,C1985,$I$7:$I$3000,"&lt;"&amp;I1985,$AI$7:$AI$3000,"yes")+COUNTIFS($B$7:B1985,B1985,$C$7:C1985,C1985,$I$7:I1985,I1985,$AI$7:AI1985,"yes"),"")</f>
        <v>3</v>
      </c>
      <c r="AH1985" s="110" t="str">
        <f aca="false">IF(ISNUMBER(H1985),"yes","no")</f>
        <v>yes</v>
      </c>
      <c r="AI1985" s="110" t="str">
        <f aca="false">IF(ISNUMBER(I1985),"yes","no")</f>
        <v>yes</v>
      </c>
      <c r="AJ1985" s="120" t="n">
        <v>46297</v>
      </c>
      <c r="AK1985" s="110"/>
    </row>
    <row r="1986" customFormat="false" ht="23.85" hidden="false" customHeight="false" outlineLevel="0" collapsed="false">
      <c r="B1986" s="36" t="s">
        <v>106</v>
      </c>
      <c r="C1986" s="98" t="s">
        <v>16</v>
      </c>
      <c r="D1986" s="98" t="s">
        <v>321</v>
      </c>
      <c r="E1986" s="110" t="s">
        <v>6087</v>
      </c>
      <c r="F1986" s="99" t="n">
        <v>2.1</v>
      </c>
      <c r="G1986" s="98" t="s">
        <v>244</v>
      </c>
      <c r="H1986" s="112" t="n">
        <f aca="false">IF(AND(AE1986="yes",ISNUMBER(AD1986)),AD1986,"")</f>
        <v>2.1</v>
      </c>
      <c r="I1986" s="95" t="n">
        <f aca="false">IF(AND(AE1986="yes",ISNUMBER(AD1986),ISNUMBER(INDEX(Sources!$G$7:$G$10,MATCH(AB1986,Sources!$B$7:$B$10,0)))),ROUND(AD1986/INDEX(Sources!$G$7:$G$10,MATCH(AB1986,Sources!$B$7:$B$10,0)),6),"")</f>
        <v>2.1</v>
      </c>
      <c r="J1986" s="98" t="s">
        <v>530</v>
      </c>
      <c r="K1986" s="98" t="s">
        <v>2059</v>
      </c>
      <c r="L1986" s="96"/>
      <c r="M1986" s="110" t="s">
        <v>6103</v>
      </c>
      <c r="N1986" s="117" t="s">
        <v>6104</v>
      </c>
      <c r="O1986" s="110" t="s">
        <v>2944</v>
      </c>
      <c r="P1986" s="110" t="s">
        <v>590</v>
      </c>
      <c r="Q1986" s="118" t="n">
        <v>0.19</v>
      </c>
      <c r="R1986" s="110" t="n">
        <v>1</v>
      </c>
      <c r="S1986" s="110" t="s">
        <v>632</v>
      </c>
      <c r="T1986" s="110" t="s">
        <v>530</v>
      </c>
      <c r="U1986" s="110" t="s">
        <v>2913</v>
      </c>
      <c r="V1986" s="119" t="n">
        <v>2.1</v>
      </c>
      <c r="W1986" s="119"/>
      <c r="X1986" s="110" t="s">
        <v>2063</v>
      </c>
      <c r="Y1986" s="110" t="s">
        <v>2064</v>
      </c>
      <c r="Z1986" s="110" t="s">
        <v>2978</v>
      </c>
      <c r="AA1986" s="110" t="s">
        <v>537</v>
      </c>
      <c r="AB1986" s="110" t="s">
        <v>244</v>
      </c>
      <c r="AC1986" s="110" t="s">
        <v>538</v>
      </c>
      <c r="AD1986" s="110" t="n">
        <f aca="false">IF(OR(F1986="",Q1986="",R1986=""),"",ROUND(IF(P1986="incl.",F1986/(1+Q1986),F1986)/IF(S1986="per pack",R1986,1),2))</f>
        <v>2.1</v>
      </c>
      <c r="AE1986" s="110" t="str">
        <f aca="false">IF(AND(AC1986="yes",ISNUMBER(F1986),IF(Compare!$H$5="All mapped",TRUE(),IF(Compare!$H$5="EXACT only",J1986="EXACT",OR(J1986="EXACT",J1986="CLOSE")))),"yes","no")</f>
        <v>yes</v>
      </c>
      <c r="AF1986" s="110" t="n">
        <f aca="false">IF(ISNUMBER(H1986),COUNTIFS($B$7:$B$3000,B1986,$C$7:$C$3000,C1986,$H$7:$H$3000,"&lt;"&amp;H1986,$AH$7:$AH$3000,"yes")+COUNTIFS($B$7:B1986,B1986,$C$7:C1986,C1986,$H$7:H1986,H1986,$AH$7:AH1986,"yes"),"")</f>
        <v>6</v>
      </c>
      <c r="AG1986" s="110" t="n">
        <f aca="false">IF(ISNUMBER(I1986),COUNTIFS($B$7:$B$3000,B1986,$C$7:$C$3000,C1986,$I$7:$I$3000,"&lt;"&amp;I1986,$AI$7:$AI$3000,"yes")+COUNTIFS($B$7:B1986,B1986,$C$7:C1986,C1986,$I$7:I1986,I1986,$AI$7:AI1986,"yes"),"")</f>
        <v>6</v>
      </c>
      <c r="AH1986" s="110" t="str">
        <f aca="false">IF(ISNUMBER(H1986),"yes","no")</f>
        <v>yes</v>
      </c>
      <c r="AI1986" s="110" t="str">
        <f aca="false">IF(ISNUMBER(I1986),"yes","no")</f>
        <v>yes</v>
      </c>
      <c r="AJ1986" s="120" t="n">
        <v>46297</v>
      </c>
      <c r="AK1986" s="110"/>
    </row>
    <row r="1987" customFormat="false" ht="35.05" hidden="false" customHeight="false" outlineLevel="0" collapsed="false">
      <c r="B1987" s="36" t="s">
        <v>106</v>
      </c>
      <c r="C1987" s="98" t="s">
        <v>16</v>
      </c>
      <c r="D1987" s="98" t="s">
        <v>329</v>
      </c>
      <c r="E1987" s="110" t="s">
        <v>6084</v>
      </c>
      <c r="F1987" s="99" t="n">
        <v>0.71</v>
      </c>
      <c r="G1987" s="98" t="s">
        <v>244</v>
      </c>
      <c r="H1987" s="112" t="n">
        <f aca="false">IF(AND(AE1987="yes",ISNUMBER(AD1987)),AD1987,"")</f>
        <v>0.71</v>
      </c>
      <c r="I1987" s="95" t="n">
        <f aca="false">IF(AND(AE1987="yes",ISNUMBER(AD1987),ISNUMBER(INDEX(Sources!$G$7:$G$10,MATCH(AB1987,Sources!$B$7:$B$10,0)))),ROUND(AD1987/INDEX(Sources!$G$7:$G$10,MATCH(AB1987,Sources!$B$7:$B$10,0)),6),"")</f>
        <v>0.71</v>
      </c>
      <c r="J1987" s="98" t="s">
        <v>530</v>
      </c>
      <c r="K1987" s="98" t="s">
        <v>2059</v>
      </c>
      <c r="L1987" s="96"/>
      <c r="M1987" s="110" t="s">
        <v>6105</v>
      </c>
      <c r="N1987" s="117" t="s">
        <v>6106</v>
      </c>
      <c r="O1987" s="110" t="s">
        <v>598</v>
      </c>
      <c r="P1987" s="110" t="s">
        <v>590</v>
      </c>
      <c r="Q1987" s="118" t="n">
        <v>0.19</v>
      </c>
      <c r="R1987" s="110" t="n">
        <v>1</v>
      </c>
      <c r="S1987" s="110" t="s">
        <v>632</v>
      </c>
      <c r="T1987" s="110" t="s">
        <v>530</v>
      </c>
      <c r="U1987" s="110" t="s">
        <v>2913</v>
      </c>
      <c r="V1987" s="119" t="n">
        <v>0.71</v>
      </c>
      <c r="W1987" s="119"/>
      <c r="X1987" s="110" t="s">
        <v>2063</v>
      </c>
      <c r="Y1987" s="110" t="s">
        <v>2064</v>
      </c>
      <c r="Z1987" s="110" t="s">
        <v>2624</v>
      </c>
      <c r="AA1987" s="110" t="s">
        <v>537</v>
      </c>
      <c r="AB1987" s="110" t="s">
        <v>244</v>
      </c>
      <c r="AC1987" s="110" t="s">
        <v>538</v>
      </c>
      <c r="AD1987" s="110" t="n">
        <f aca="false">IF(OR(F1987="",Q1987="",R1987=""),"",ROUND(IF(P1987="incl.",F1987/(1+Q1987),F1987)/IF(S1987="per pack",R1987,1),2))</f>
        <v>0.71</v>
      </c>
      <c r="AE1987" s="110" t="str">
        <f aca="false">IF(AND(AC1987="yes",ISNUMBER(F1987),IF(Compare!$H$5="All mapped",TRUE(),IF(Compare!$H$5="EXACT only",J1987="EXACT",OR(J1987="EXACT",J1987="CLOSE")))),"yes","no")</f>
        <v>yes</v>
      </c>
      <c r="AF1987" s="110" t="n">
        <f aca="false">IF(ISNUMBER(H1987),COUNTIFS($B$7:$B$3000,B1987,$C$7:$C$3000,C1987,$H$7:$H$3000,"&lt;"&amp;H1987,$AH$7:$AH$3000,"yes")+COUNTIFS($B$7:B1987,B1987,$C$7:C1987,C1987,$H$7:H1987,H1987,$AH$7:AH1987,"yes"),"")</f>
        <v>2</v>
      </c>
      <c r="AG1987" s="110" t="n">
        <f aca="false">IF(ISNUMBER(I1987),COUNTIFS($B$7:$B$3000,B1987,$C$7:$C$3000,C1987,$I$7:$I$3000,"&lt;"&amp;I1987,$AI$7:$AI$3000,"yes")+COUNTIFS($B$7:B1987,B1987,$C$7:C1987,C1987,$I$7:I1987,I1987,$AI$7:AI1987,"yes"),"")</f>
        <v>2</v>
      </c>
      <c r="AH1987" s="110" t="str">
        <f aca="false">IF(ISNUMBER(H1987),"yes","no")</f>
        <v>yes</v>
      </c>
      <c r="AI1987" s="110" t="str">
        <f aca="false">IF(ISNUMBER(I1987),"yes","no")</f>
        <v>yes</v>
      </c>
      <c r="AJ1987" s="120" t="n">
        <v>46297</v>
      </c>
      <c r="AK1987" s="110"/>
    </row>
    <row r="1988" customFormat="false" ht="35.05" hidden="false" customHeight="false" outlineLevel="0" collapsed="false">
      <c r="B1988" s="36" t="s">
        <v>106</v>
      </c>
      <c r="C1988" s="98" t="s">
        <v>17</v>
      </c>
      <c r="D1988" s="98" t="s">
        <v>332</v>
      </c>
      <c r="E1988" s="110" t="s">
        <v>6107</v>
      </c>
      <c r="F1988" s="99" t="n">
        <v>71.39</v>
      </c>
      <c r="G1988" s="98" t="s">
        <v>333</v>
      </c>
      <c r="H1988" s="112" t="n">
        <f aca="false">IF(AND(AE1988="yes",ISNUMBER(AD1988)),AD1988,"")</f>
        <v>59</v>
      </c>
      <c r="I1988" s="95" t="n">
        <f aca="false">IF(AND(AE1988="yes",ISNUMBER(AD1988),ISNUMBER(INDEX(Sources!$G$7:$G$10,MATCH(AB1988,Sources!$B$7:$B$10,0)))),ROUND(AD1988/INDEX(Sources!$G$7:$G$10,MATCH(AB1988,Sources!$B$7:$B$10,0)),6),"")</f>
        <v>2.415695</v>
      </c>
      <c r="J1988" s="98" t="s">
        <v>530</v>
      </c>
      <c r="K1988" s="98" t="s">
        <v>2059</v>
      </c>
      <c r="L1988" s="96"/>
      <c r="M1988" s="110" t="s">
        <v>6108</v>
      </c>
      <c r="N1988" s="117" t="s">
        <v>6109</v>
      </c>
      <c r="O1988" s="110" t="s">
        <v>246</v>
      </c>
      <c r="P1988" s="110" t="s">
        <v>265</v>
      </c>
      <c r="Q1988" s="118" t="n">
        <v>0.21</v>
      </c>
      <c r="R1988" s="110" t="n">
        <v>1</v>
      </c>
      <c r="S1988" s="110" t="s">
        <v>632</v>
      </c>
      <c r="T1988" s="110" t="s">
        <v>530</v>
      </c>
      <c r="U1988" s="110" t="s">
        <v>2918</v>
      </c>
      <c r="V1988" s="119" t="n">
        <v>59</v>
      </c>
      <c r="W1988" s="119"/>
      <c r="X1988" s="110" t="s">
        <v>2063</v>
      </c>
      <c r="Y1988" s="110" t="s">
        <v>2064</v>
      </c>
      <c r="Z1988" s="110" t="s">
        <v>2282</v>
      </c>
      <c r="AA1988" s="110" t="s">
        <v>537</v>
      </c>
      <c r="AB1988" s="110" t="s">
        <v>333</v>
      </c>
      <c r="AC1988" s="110" t="s">
        <v>538</v>
      </c>
      <c r="AD1988" s="110" t="n">
        <f aca="false">IF(OR(F1988="",Q1988="",R1988=""),"",ROUND(IF(P1988="incl.",F1988/(1+Q1988),F1988)/IF(S1988="per pack",R1988,1),2))</f>
        <v>59</v>
      </c>
      <c r="AE1988" s="110" t="str">
        <f aca="false">IF(AND(AC1988="yes",ISNUMBER(F1988),IF(Compare!$H$5="All mapped",TRUE(),IF(Compare!$H$5="EXACT only",J1988="EXACT",OR(J1988="EXACT",J1988="CLOSE")))),"yes","no")</f>
        <v>yes</v>
      </c>
      <c r="AF1988" s="110" t="n">
        <f aca="false">IF(ISNUMBER(H1988),COUNTIFS($B$7:$B$3000,B1988,$C$7:$C$3000,C1988,$H$7:$H$3000,"&lt;"&amp;H1988,$AH$7:$AH$3000,"yes")+COUNTIFS($B$7:B1988,B1988,$C$7:C1988,C1988,$H$7:H1988,H1988,$AH$7:AH1988,"yes"),"")</f>
        <v>4</v>
      </c>
      <c r="AG1988" s="110" t="n">
        <f aca="false">IF(ISNUMBER(I1988),COUNTIFS($B$7:$B$3000,B1988,$C$7:$C$3000,C1988,$I$7:$I$3000,"&lt;"&amp;I1988,$AI$7:$AI$3000,"yes")+COUNTIFS($B$7:B1988,B1988,$C$7:C1988,C1988,$I$7:I1988,I1988,$AI$7:AI1988,"yes"),"")</f>
        <v>4</v>
      </c>
      <c r="AH1988" s="110" t="str">
        <f aca="false">IF(ISNUMBER(H1988),"yes","no")</f>
        <v>yes</v>
      </c>
      <c r="AI1988" s="110" t="str">
        <f aca="false">IF(ISNUMBER(I1988),"yes","no")</f>
        <v>yes</v>
      </c>
      <c r="AJ1988" s="120" t="n">
        <v>46297</v>
      </c>
      <c r="AK1988" s="110"/>
    </row>
    <row r="1989" customFormat="false" ht="23.85" hidden="false" customHeight="false" outlineLevel="0" collapsed="false">
      <c r="B1989" s="36" t="s">
        <v>106</v>
      </c>
      <c r="C1989" s="98" t="s">
        <v>17</v>
      </c>
      <c r="D1989" s="98" t="s">
        <v>338</v>
      </c>
      <c r="E1989" s="110" t="s">
        <v>6110</v>
      </c>
      <c r="F1989" s="99" t="n">
        <v>40</v>
      </c>
      <c r="G1989" s="98" t="s">
        <v>333</v>
      </c>
      <c r="H1989" s="112" t="n">
        <f aca="false">IF(AND(AE1989="yes",ISNUMBER(AD1989)),AD1989,"")</f>
        <v>40</v>
      </c>
      <c r="I1989" s="95" t="n">
        <f aca="false">IF(AND(AE1989="yes",ISNUMBER(AD1989),ISNUMBER(INDEX(Sources!$G$7:$G$10,MATCH(AB1989,Sources!$B$7:$B$10,0)))),ROUND(AD1989/INDEX(Sources!$G$7:$G$10,MATCH(AB1989,Sources!$B$7:$B$10,0)),6),"")</f>
        <v>1.637759</v>
      </c>
      <c r="J1989" s="98" t="s">
        <v>530</v>
      </c>
      <c r="K1989" s="98" t="s">
        <v>2059</v>
      </c>
      <c r="L1989" s="96"/>
      <c r="M1989" s="110" t="s">
        <v>6111</v>
      </c>
      <c r="N1989" s="117" t="s">
        <v>6112</v>
      </c>
      <c r="O1989" s="110" t="s">
        <v>2412</v>
      </c>
      <c r="P1989" s="110" t="s">
        <v>590</v>
      </c>
      <c r="Q1989" s="118" t="n">
        <v>0.21</v>
      </c>
      <c r="R1989" s="110" t="n">
        <v>1</v>
      </c>
      <c r="S1989" s="110" t="s">
        <v>632</v>
      </c>
      <c r="T1989" s="110" t="s">
        <v>530</v>
      </c>
      <c r="U1989" s="110" t="s">
        <v>2913</v>
      </c>
      <c r="V1989" s="119" t="n">
        <v>40</v>
      </c>
      <c r="W1989" s="119"/>
      <c r="X1989" s="110" t="s">
        <v>2063</v>
      </c>
      <c r="Y1989" s="110" t="s">
        <v>2064</v>
      </c>
      <c r="Z1989" s="110" t="s">
        <v>2408</v>
      </c>
      <c r="AA1989" s="110" t="s">
        <v>537</v>
      </c>
      <c r="AB1989" s="110" t="s">
        <v>333</v>
      </c>
      <c r="AC1989" s="110" t="s">
        <v>538</v>
      </c>
      <c r="AD1989" s="110" t="n">
        <f aca="false">IF(OR(F1989="",Q1989="",R1989=""),"",ROUND(IF(P1989="incl.",F1989/(1+Q1989),F1989)/IF(S1989="per pack",R1989,1),2))</f>
        <v>40</v>
      </c>
      <c r="AE1989" s="110" t="str">
        <f aca="false">IF(AND(AC1989="yes",ISNUMBER(F1989),IF(Compare!$H$5="All mapped",TRUE(),IF(Compare!$H$5="EXACT only",J1989="EXACT",OR(J1989="EXACT",J1989="CLOSE")))),"yes","no")</f>
        <v>yes</v>
      </c>
      <c r="AF1989" s="110" t="n">
        <f aca="false">IF(ISNUMBER(H1989),COUNTIFS($B$7:$B$3000,B1989,$C$7:$C$3000,C1989,$H$7:$H$3000,"&lt;"&amp;H1989,$AH$7:$AH$3000,"yes")+COUNTIFS($B$7:B1989,B1989,$C$7:C1989,C1989,$H$7:H1989,H1989,$AH$7:AH1989,"yes"),"")</f>
        <v>3</v>
      </c>
      <c r="AG1989" s="110" t="n">
        <f aca="false">IF(ISNUMBER(I1989),COUNTIFS($B$7:$B$3000,B1989,$C$7:$C$3000,C1989,$I$7:$I$3000,"&lt;"&amp;I1989,$AI$7:$AI$3000,"yes")+COUNTIFS($B$7:B1989,B1989,$C$7:C1989,C1989,$I$7:I1989,I1989,$AI$7:AI1989,"yes"),"")</f>
        <v>3</v>
      </c>
      <c r="AH1989" s="110" t="str">
        <f aca="false">IF(ISNUMBER(H1989),"yes","no")</f>
        <v>yes</v>
      </c>
      <c r="AI1989" s="110" t="str">
        <f aca="false">IF(ISNUMBER(I1989),"yes","no")</f>
        <v>yes</v>
      </c>
      <c r="AJ1989" s="120" t="n">
        <v>46297</v>
      </c>
      <c r="AK1989" s="110"/>
    </row>
    <row r="1990" customFormat="false" ht="23.85" hidden="false" customHeight="false" outlineLevel="0" collapsed="false">
      <c r="B1990" s="36" t="s">
        <v>106</v>
      </c>
      <c r="C1990" s="98" t="s">
        <v>17</v>
      </c>
      <c r="D1990" s="98" t="s">
        <v>342</v>
      </c>
      <c r="E1990" s="110" t="s">
        <v>6113</v>
      </c>
      <c r="F1990" s="99" t="n">
        <v>26</v>
      </c>
      <c r="G1990" s="98" t="s">
        <v>333</v>
      </c>
      <c r="H1990" s="112" t="n">
        <f aca="false">IF(AND(AE1990="yes",ISNUMBER(AD1990)),AD1990,"")</f>
        <v>26</v>
      </c>
      <c r="I1990" s="95" t="n">
        <f aca="false">IF(AND(AE1990="yes",ISNUMBER(AD1990),ISNUMBER(INDEX(Sources!$G$7:$G$10,MATCH(AB1990,Sources!$B$7:$B$10,0)))),ROUND(AD1990/INDEX(Sources!$G$7:$G$10,MATCH(AB1990,Sources!$B$7:$B$10,0)),6),"")</f>
        <v>1.064543</v>
      </c>
      <c r="J1990" s="98" t="s">
        <v>530</v>
      </c>
      <c r="K1990" s="98" t="s">
        <v>2059</v>
      </c>
      <c r="L1990" s="96"/>
      <c r="M1990" s="110" t="s">
        <v>6114</v>
      </c>
      <c r="N1990" s="117" t="s">
        <v>6115</v>
      </c>
      <c r="O1990" s="110" t="s">
        <v>1138</v>
      </c>
      <c r="P1990" s="110" t="s">
        <v>590</v>
      </c>
      <c r="Q1990" s="118" t="n">
        <v>0.21</v>
      </c>
      <c r="R1990" s="110" t="n">
        <v>1</v>
      </c>
      <c r="S1990" s="110" t="s">
        <v>632</v>
      </c>
      <c r="T1990" s="110" t="s">
        <v>530</v>
      </c>
      <c r="U1990" s="110" t="s">
        <v>2913</v>
      </c>
      <c r="V1990" s="119" t="n">
        <v>26</v>
      </c>
      <c r="W1990" s="119"/>
      <c r="X1990" s="110" t="s">
        <v>2063</v>
      </c>
      <c r="Y1990" s="110" t="s">
        <v>2064</v>
      </c>
      <c r="Z1990" s="110" t="s">
        <v>2989</v>
      </c>
      <c r="AA1990" s="110" t="s">
        <v>537</v>
      </c>
      <c r="AB1990" s="110" t="s">
        <v>333</v>
      </c>
      <c r="AC1990" s="110" t="s">
        <v>538</v>
      </c>
      <c r="AD1990" s="110" t="n">
        <f aca="false">IF(OR(F1990="",Q1990="",R1990=""),"",ROUND(IF(P1990="incl.",F1990/(1+Q1990),F1990)/IF(S1990="per pack",R1990,1),2))</f>
        <v>26</v>
      </c>
      <c r="AE1990" s="110" t="str">
        <f aca="false">IF(AND(AC1990="yes",ISNUMBER(F1990),IF(Compare!$H$5="All mapped",TRUE(),IF(Compare!$H$5="EXACT only",J1990="EXACT",OR(J1990="EXACT",J1990="CLOSE")))),"yes","no")</f>
        <v>yes</v>
      </c>
      <c r="AF1990" s="110" t="n">
        <f aca="false">IF(ISNUMBER(H1990),COUNTIFS($B$7:$B$3000,B1990,$C$7:$C$3000,C1990,$H$7:$H$3000,"&lt;"&amp;H1990,$AH$7:$AH$3000,"yes")+COUNTIFS($B$7:B1990,B1990,$C$7:C1990,C1990,$H$7:H1990,H1990,$AH$7:AH1990,"yes"),"")</f>
        <v>1</v>
      </c>
      <c r="AG1990" s="110" t="n">
        <f aca="false">IF(ISNUMBER(I1990),COUNTIFS($B$7:$B$3000,B1990,$C$7:$C$3000,C1990,$I$7:$I$3000,"&lt;"&amp;I1990,$AI$7:$AI$3000,"yes")+COUNTIFS($B$7:B1990,B1990,$C$7:C1990,C1990,$I$7:I1990,I1990,$AI$7:AI1990,"yes"),"")</f>
        <v>1</v>
      </c>
      <c r="AH1990" s="110" t="str">
        <f aca="false">IF(ISNUMBER(H1990),"yes","no")</f>
        <v>yes</v>
      </c>
      <c r="AI1990" s="110" t="str">
        <f aca="false">IF(ISNUMBER(I1990),"yes","no")</f>
        <v>yes</v>
      </c>
      <c r="AJ1990" s="120" t="n">
        <v>46297</v>
      </c>
      <c r="AK1990" s="110"/>
    </row>
    <row r="1991" customFormat="false" ht="23.85" hidden="false" customHeight="false" outlineLevel="0" collapsed="false">
      <c r="B1991" s="36" t="s">
        <v>106</v>
      </c>
      <c r="C1991" s="98" t="s">
        <v>17</v>
      </c>
      <c r="D1991" s="98" t="s">
        <v>346</v>
      </c>
      <c r="E1991" s="110" t="s">
        <v>6116</v>
      </c>
      <c r="F1991" s="99" t="n">
        <v>79</v>
      </c>
      <c r="G1991" s="98" t="s">
        <v>333</v>
      </c>
      <c r="H1991" s="112" t="n">
        <f aca="false">IF(AND(AE1991="yes",ISNUMBER(AD1991)),AD1991,"")</f>
        <v>79</v>
      </c>
      <c r="I1991" s="95" t="n">
        <f aca="false">IF(AND(AE1991="yes",ISNUMBER(AD1991),ISNUMBER(INDEX(Sources!$G$7:$G$10,MATCH(AB1991,Sources!$B$7:$B$10,0)))),ROUND(AD1991/INDEX(Sources!$G$7:$G$10,MATCH(AB1991,Sources!$B$7:$B$10,0)),6),"")</f>
        <v>3.234574</v>
      </c>
      <c r="J1991" s="98" t="s">
        <v>530</v>
      </c>
      <c r="K1991" s="98" t="s">
        <v>2059</v>
      </c>
      <c r="L1991" s="96"/>
      <c r="M1991" s="110" t="s">
        <v>6117</v>
      </c>
      <c r="N1991" s="117" t="s">
        <v>6118</v>
      </c>
      <c r="O1991" s="110" t="s">
        <v>565</v>
      </c>
      <c r="P1991" s="110" t="s">
        <v>590</v>
      </c>
      <c r="Q1991" s="118" t="n">
        <v>0.21</v>
      </c>
      <c r="R1991" s="110" t="n">
        <v>1</v>
      </c>
      <c r="S1991" s="110" t="s">
        <v>632</v>
      </c>
      <c r="T1991" s="110" t="s">
        <v>530</v>
      </c>
      <c r="U1991" s="110" t="s">
        <v>2913</v>
      </c>
      <c r="V1991" s="119" t="n">
        <v>79</v>
      </c>
      <c r="W1991" s="119"/>
      <c r="X1991" s="110" t="s">
        <v>2063</v>
      </c>
      <c r="Y1991" s="110" t="s">
        <v>2064</v>
      </c>
      <c r="Z1991" s="110" t="s">
        <v>6119</v>
      </c>
      <c r="AA1991" s="110" t="s">
        <v>537</v>
      </c>
      <c r="AB1991" s="110" t="s">
        <v>333</v>
      </c>
      <c r="AC1991" s="110" t="s">
        <v>538</v>
      </c>
      <c r="AD1991" s="110" t="n">
        <f aca="false">IF(OR(F1991="",Q1991="",R1991=""),"",ROUND(IF(P1991="incl.",F1991/(1+Q1991),F1991)/IF(S1991="per pack",R1991,1),2))</f>
        <v>79</v>
      </c>
      <c r="AE1991" s="110" t="str">
        <f aca="false">IF(AND(AC1991="yes",ISNUMBER(F1991),IF(Compare!$H$5="All mapped",TRUE(),IF(Compare!$H$5="EXACT only",J1991="EXACT",OR(J1991="EXACT",J1991="CLOSE")))),"yes","no")</f>
        <v>yes</v>
      </c>
      <c r="AF1991" s="110" t="n">
        <f aca="false">IF(ISNUMBER(H1991),COUNTIFS($B$7:$B$3000,B1991,$C$7:$C$3000,C1991,$H$7:$H$3000,"&lt;"&amp;H1991,$AH$7:$AH$3000,"yes")+COUNTIFS($B$7:B1991,B1991,$C$7:C1991,C1991,$H$7:H1991,H1991,$AH$7:AH1991,"yes"),"")</f>
        <v>5</v>
      </c>
      <c r="AG1991" s="110" t="n">
        <f aca="false">IF(ISNUMBER(I1991),COUNTIFS($B$7:$B$3000,B1991,$C$7:$C$3000,C1991,$I$7:$I$3000,"&lt;"&amp;I1991,$AI$7:$AI$3000,"yes")+COUNTIFS($B$7:B1991,B1991,$C$7:C1991,C1991,$I$7:I1991,I1991,$AI$7:AI1991,"yes"),"")</f>
        <v>5</v>
      </c>
      <c r="AH1991" s="110" t="str">
        <f aca="false">IF(ISNUMBER(H1991),"yes","no")</f>
        <v>yes</v>
      </c>
      <c r="AI1991" s="110" t="str">
        <f aca="false">IF(ISNUMBER(I1991),"yes","no")</f>
        <v>yes</v>
      </c>
      <c r="AJ1991" s="120" t="n">
        <v>46297</v>
      </c>
      <c r="AK1991" s="110"/>
    </row>
    <row r="1992" customFormat="false" ht="23.85" hidden="false" customHeight="false" outlineLevel="0" collapsed="false">
      <c r="B1992" s="36" t="s">
        <v>106</v>
      </c>
      <c r="C1992" s="98" t="s">
        <v>17</v>
      </c>
      <c r="D1992" s="98" t="s">
        <v>350</v>
      </c>
      <c r="E1992" s="110" t="s">
        <v>6120</v>
      </c>
      <c r="F1992" s="99" t="n">
        <v>32</v>
      </c>
      <c r="G1992" s="98" t="s">
        <v>333</v>
      </c>
      <c r="H1992" s="112" t="n">
        <f aca="false">IF(AND(AE1992="yes",ISNUMBER(AD1992)),AD1992,"")</f>
        <v>26.45</v>
      </c>
      <c r="I1992" s="95" t="n">
        <f aca="false">IF(AND(AE1992="yes",ISNUMBER(AD1992),ISNUMBER(INDEX(Sources!$G$7:$G$10,MATCH(AB1992,Sources!$B$7:$B$10,0)))),ROUND(AD1992/INDEX(Sources!$G$7:$G$10,MATCH(AB1992,Sources!$B$7:$B$10,0)),6),"")</f>
        <v>1.082968</v>
      </c>
      <c r="J1992" s="98" t="s">
        <v>530</v>
      </c>
      <c r="K1992" s="98" t="s">
        <v>2059</v>
      </c>
      <c r="L1992" s="96"/>
      <c r="M1992" s="110" t="s">
        <v>6121</v>
      </c>
      <c r="N1992" s="117" t="s">
        <v>6122</v>
      </c>
      <c r="O1992" s="110" t="s">
        <v>2997</v>
      </c>
      <c r="P1992" s="110" t="s">
        <v>265</v>
      </c>
      <c r="Q1992" s="118" t="n">
        <v>0.21</v>
      </c>
      <c r="R1992" s="110" t="n">
        <v>1</v>
      </c>
      <c r="S1992" s="110" t="s">
        <v>632</v>
      </c>
      <c r="T1992" s="110" t="s">
        <v>530</v>
      </c>
      <c r="U1992" s="110" t="s">
        <v>2918</v>
      </c>
      <c r="V1992" s="119" t="n">
        <v>26.45</v>
      </c>
      <c r="W1992" s="119"/>
      <c r="X1992" s="110" t="s">
        <v>2063</v>
      </c>
      <c r="Y1992" s="110" t="s">
        <v>2064</v>
      </c>
      <c r="Z1992" s="110" t="s">
        <v>2344</v>
      </c>
      <c r="AA1992" s="110" t="s">
        <v>537</v>
      </c>
      <c r="AB1992" s="110" t="s">
        <v>333</v>
      </c>
      <c r="AC1992" s="110" t="s">
        <v>538</v>
      </c>
      <c r="AD1992" s="110" t="n">
        <f aca="false">IF(OR(F1992="",Q1992="",R1992=""),"",ROUND(IF(P1992="incl.",F1992/(1+Q1992),F1992)/IF(S1992="per pack",R1992,1),2))</f>
        <v>26.45</v>
      </c>
      <c r="AE1992" s="110" t="str">
        <f aca="false">IF(AND(AC1992="yes",ISNUMBER(F1992),IF(Compare!$H$5="All mapped",TRUE(),IF(Compare!$H$5="EXACT only",J1992="EXACT",OR(J1992="EXACT",J1992="CLOSE")))),"yes","no")</f>
        <v>yes</v>
      </c>
      <c r="AF1992" s="110" t="n">
        <f aca="false">IF(ISNUMBER(H1992),COUNTIFS($B$7:$B$3000,B1992,$C$7:$C$3000,C1992,$H$7:$H$3000,"&lt;"&amp;H1992,$AH$7:$AH$3000,"yes")+COUNTIFS($B$7:B1992,B1992,$C$7:C1992,C1992,$H$7:H1992,H1992,$AH$7:AH1992,"yes"),"")</f>
        <v>2</v>
      </c>
      <c r="AG1992" s="110" t="n">
        <f aca="false">IF(ISNUMBER(I1992),COUNTIFS($B$7:$B$3000,B1992,$C$7:$C$3000,C1992,$I$7:$I$3000,"&lt;"&amp;I1992,$AI$7:$AI$3000,"yes")+COUNTIFS($B$7:B1992,B1992,$C$7:C1992,C1992,$I$7:I1992,I1992,$AI$7:AI1992,"yes"),"")</f>
        <v>2</v>
      </c>
      <c r="AH1992" s="110" t="str">
        <f aca="false">IF(ISNUMBER(H1992),"yes","no")</f>
        <v>yes</v>
      </c>
      <c r="AI1992" s="110" t="str">
        <f aca="false">IF(ISNUMBER(I1992),"yes","no")</f>
        <v>yes</v>
      </c>
      <c r="AJ1992" s="120" t="n">
        <v>46297</v>
      </c>
      <c r="AK1992" s="110"/>
    </row>
    <row r="1993" customFormat="false" ht="23.85" hidden="false" customHeight="false" outlineLevel="0" collapsed="false">
      <c r="B1993" s="36" t="s">
        <v>106</v>
      </c>
      <c r="C1993" s="98" t="s">
        <v>18</v>
      </c>
      <c r="D1993" s="98" t="s">
        <v>3002</v>
      </c>
      <c r="E1993" s="110" t="s">
        <v>6123</v>
      </c>
      <c r="F1993" s="99" t="n">
        <v>1.9</v>
      </c>
      <c r="G1993" s="98" t="s">
        <v>244</v>
      </c>
      <c r="H1993" s="112" t="n">
        <f aca="false">IF(AND(AE1993="yes",ISNUMBER(AD1993)),AD1993,"")</f>
        <v>1.9</v>
      </c>
      <c r="I1993" s="95" t="n">
        <f aca="false">IF(AND(AE1993="yes",ISNUMBER(AD1993),ISNUMBER(INDEX(Sources!$G$7:$G$10,MATCH(AB1993,Sources!$B$7:$B$10,0)))),ROUND(AD1993/INDEX(Sources!$G$7:$G$10,MATCH(AB1993,Sources!$B$7:$B$10,0)),6),"")</f>
        <v>1.9</v>
      </c>
      <c r="J1993" s="98" t="s">
        <v>530</v>
      </c>
      <c r="K1993" s="98" t="s">
        <v>2059</v>
      </c>
      <c r="L1993" s="96"/>
      <c r="M1993" s="110" t="s">
        <v>6124</v>
      </c>
      <c r="N1993" s="117" t="s">
        <v>4128</v>
      </c>
      <c r="O1993" s="110" t="s">
        <v>2396</v>
      </c>
      <c r="P1993" s="110" t="s">
        <v>590</v>
      </c>
      <c r="Q1993" s="118" t="n">
        <v>0.23</v>
      </c>
      <c r="R1993" s="110" t="n">
        <v>1</v>
      </c>
      <c r="S1993" s="110" t="s">
        <v>632</v>
      </c>
      <c r="T1993" s="110" t="s">
        <v>530</v>
      </c>
      <c r="U1993" s="110" t="s">
        <v>2913</v>
      </c>
      <c r="V1993" s="119" t="n">
        <v>1.9</v>
      </c>
      <c r="W1993" s="119"/>
      <c r="X1993" s="110" t="s">
        <v>2063</v>
      </c>
      <c r="Y1993" s="110" t="s">
        <v>2064</v>
      </c>
      <c r="Z1993" s="110" t="s">
        <v>3268</v>
      </c>
      <c r="AA1993" s="110" t="s">
        <v>537</v>
      </c>
      <c r="AB1993" s="110" t="s">
        <v>244</v>
      </c>
      <c r="AC1993" s="110" t="s">
        <v>538</v>
      </c>
      <c r="AD1993" s="110" t="n">
        <f aca="false">IF(OR(F1993="",Q1993="",R1993=""),"",ROUND(IF(P1993="incl.",F1993/(1+Q1993),F1993)/IF(S1993="per pack",R1993,1),2))</f>
        <v>1.9</v>
      </c>
      <c r="AE1993" s="110" t="str">
        <f aca="false">IF(AND(AC1993="yes",ISNUMBER(F1993),IF(Compare!$H$5="All mapped",TRUE(),IF(Compare!$H$5="EXACT only",J1993="EXACT",OR(J1993="EXACT",J1993="CLOSE")))),"yes","no")</f>
        <v>yes</v>
      </c>
      <c r="AF1993" s="110" t="n">
        <f aca="false">IF(ISNUMBER(H1993),COUNTIFS($B$7:$B$3000,B1993,$C$7:$C$3000,C1993,$H$7:$H$3000,"&lt;"&amp;H1993,$AH$7:$AH$3000,"yes")+COUNTIFS($B$7:B1993,B1993,$C$7:C1993,C1993,$H$7:H1993,H1993,$AH$7:AH1993,"yes"),"")</f>
        <v>3</v>
      </c>
      <c r="AG1993" s="110" t="n">
        <f aca="false">IF(ISNUMBER(I1993),COUNTIFS($B$7:$B$3000,B1993,$C$7:$C$3000,C1993,$I$7:$I$3000,"&lt;"&amp;I1993,$AI$7:$AI$3000,"yes")+COUNTIFS($B$7:B1993,B1993,$C$7:C1993,C1993,$I$7:I1993,I1993,$AI$7:AI1993,"yes"),"")</f>
        <v>3</v>
      </c>
      <c r="AH1993" s="110" t="str">
        <f aca="false">IF(ISNUMBER(H1993),"yes","no")</f>
        <v>yes</v>
      </c>
      <c r="AI1993" s="110" t="str">
        <f aca="false">IF(ISNUMBER(I1993),"yes","no")</f>
        <v>yes</v>
      </c>
      <c r="AJ1993" s="120" t="n">
        <v>46297</v>
      </c>
      <c r="AK1993" s="110"/>
    </row>
    <row r="1994" customFormat="false" ht="23.85" hidden="false" customHeight="false" outlineLevel="0" collapsed="false">
      <c r="B1994" s="36" t="s">
        <v>106</v>
      </c>
      <c r="C1994" s="98" t="s">
        <v>18</v>
      </c>
      <c r="D1994" s="98" t="s">
        <v>3007</v>
      </c>
      <c r="E1994" s="110" t="s">
        <v>6125</v>
      </c>
      <c r="F1994" s="99" t="n">
        <v>2.39</v>
      </c>
      <c r="G1994" s="98" t="s">
        <v>244</v>
      </c>
      <c r="H1994" s="112" t="n">
        <f aca="false">IF(AND(AE1994="yes",ISNUMBER(AD1994)),AD1994,"")</f>
        <v>2.39</v>
      </c>
      <c r="I1994" s="95" t="n">
        <f aca="false">IF(AND(AE1994="yes",ISNUMBER(AD1994),ISNUMBER(INDEX(Sources!$G$7:$G$10,MATCH(AB1994,Sources!$B$7:$B$10,0)))),ROUND(AD1994/INDEX(Sources!$G$7:$G$10,MATCH(AB1994,Sources!$B$7:$B$10,0)),6),"")</f>
        <v>2.39</v>
      </c>
      <c r="J1994" s="98" t="s">
        <v>530</v>
      </c>
      <c r="K1994" s="98" t="s">
        <v>2059</v>
      </c>
      <c r="L1994" s="96"/>
      <c r="M1994" s="110" t="s">
        <v>6126</v>
      </c>
      <c r="N1994" s="117" t="s">
        <v>3010</v>
      </c>
      <c r="O1994" s="110" t="s">
        <v>598</v>
      </c>
      <c r="P1994" s="110" t="s">
        <v>590</v>
      </c>
      <c r="Q1994" s="118" t="n">
        <v>0.23</v>
      </c>
      <c r="R1994" s="110" t="n">
        <v>1</v>
      </c>
      <c r="S1994" s="110" t="s">
        <v>632</v>
      </c>
      <c r="T1994" s="110" t="s">
        <v>530</v>
      </c>
      <c r="U1994" s="110" t="s">
        <v>2913</v>
      </c>
      <c r="V1994" s="119" t="n">
        <v>2.39</v>
      </c>
      <c r="W1994" s="119"/>
      <c r="X1994" s="110" t="s">
        <v>2063</v>
      </c>
      <c r="Y1994" s="110" t="s">
        <v>2064</v>
      </c>
      <c r="Z1994" s="110" t="s">
        <v>3012</v>
      </c>
      <c r="AA1994" s="110" t="s">
        <v>537</v>
      </c>
      <c r="AB1994" s="110" t="s">
        <v>244</v>
      </c>
      <c r="AC1994" s="110" t="s">
        <v>538</v>
      </c>
      <c r="AD1994" s="110" t="n">
        <f aca="false">IF(OR(F1994="",Q1994="",R1994=""),"",ROUND(IF(P1994="incl.",F1994/(1+Q1994),F1994)/IF(S1994="per pack",R1994,1),2))</f>
        <v>2.39</v>
      </c>
      <c r="AE1994" s="110" t="str">
        <f aca="false">IF(AND(AC1994="yes",ISNUMBER(F1994),IF(Compare!$H$5="All mapped",TRUE(),IF(Compare!$H$5="EXACT only",J1994="EXACT",OR(J1994="EXACT",J1994="CLOSE")))),"yes","no")</f>
        <v>yes</v>
      </c>
      <c r="AF1994" s="110" t="n">
        <f aca="false">IF(ISNUMBER(H1994),COUNTIFS($B$7:$B$3000,B1994,$C$7:$C$3000,C1994,$H$7:$H$3000,"&lt;"&amp;H1994,$AH$7:$AH$3000,"yes")+COUNTIFS($B$7:B1994,B1994,$C$7:C1994,C1994,$H$7:H1994,H1994,$AH$7:AH1994,"yes"),"")</f>
        <v>5</v>
      </c>
      <c r="AG1994" s="110" t="n">
        <f aca="false">IF(ISNUMBER(I1994),COUNTIFS($B$7:$B$3000,B1994,$C$7:$C$3000,C1994,$I$7:$I$3000,"&lt;"&amp;I1994,$AI$7:$AI$3000,"yes")+COUNTIFS($B$7:B1994,B1994,$C$7:C1994,C1994,$I$7:I1994,I1994,$AI$7:AI1994,"yes"),"")</f>
        <v>5</v>
      </c>
      <c r="AH1994" s="110" t="str">
        <f aca="false">IF(ISNUMBER(H1994),"yes","no")</f>
        <v>yes</v>
      </c>
      <c r="AI1994" s="110" t="str">
        <f aca="false">IF(ISNUMBER(I1994),"yes","no")</f>
        <v>yes</v>
      </c>
      <c r="AJ1994" s="120" t="n">
        <v>46297</v>
      </c>
      <c r="AK1994" s="110"/>
    </row>
    <row r="1995" customFormat="false" ht="35.05" hidden="false" customHeight="false" outlineLevel="0" collapsed="false">
      <c r="B1995" s="36" t="s">
        <v>106</v>
      </c>
      <c r="C1995" s="98" t="s">
        <v>18</v>
      </c>
      <c r="D1995" s="98" t="s">
        <v>365</v>
      </c>
      <c r="E1995" s="110" t="s">
        <v>6127</v>
      </c>
      <c r="F1995" s="99" t="n">
        <v>1.23</v>
      </c>
      <c r="G1995" s="98" t="s">
        <v>244</v>
      </c>
      <c r="H1995" s="112" t="n">
        <f aca="false">IF(AND(AE1995="yes",ISNUMBER(AD1995)),AD1995,"")</f>
        <v>1</v>
      </c>
      <c r="I1995" s="95" t="n">
        <f aca="false">IF(AND(AE1995="yes",ISNUMBER(AD1995),ISNUMBER(INDEX(Sources!$G$7:$G$10,MATCH(AB1995,Sources!$B$7:$B$10,0)))),ROUND(AD1995/INDEX(Sources!$G$7:$G$10,MATCH(AB1995,Sources!$B$7:$B$10,0)),6),"")</f>
        <v>1</v>
      </c>
      <c r="J1995" s="98" t="s">
        <v>530</v>
      </c>
      <c r="K1995" s="98" t="s">
        <v>2059</v>
      </c>
      <c r="L1995" s="96"/>
      <c r="M1995" s="110" t="s">
        <v>6128</v>
      </c>
      <c r="N1995" s="117" t="s">
        <v>6129</v>
      </c>
      <c r="O1995" s="110" t="s">
        <v>3015</v>
      </c>
      <c r="P1995" s="110" t="s">
        <v>265</v>
      </c>
      <c r="Q1995" s="118" t="n">
        <v>0.23</v>
      </c>
      <c r="R1995" s="110" t="n">
        <v>1</v>
      </c>
      <c r="S1995" s="110" t="s">
        <v>632</v>
      </c>
      <c r="T1995" s="110" t="s">
        <v>530</v>
      </c>
      <c r="U1995" s="110" t="s">
        <v>2918</v>
      </c>
      <c r="V1995" s="119" t="n">
        <v>1</v>
      </c>
      <c r="W1995" s="119"/>
      <c r="X1995" s="110" t="s">
        <v>2063</v>
      </c>
      <c r="Y1995" s="110" t="s">
        <v>2064</v>
      </c>
      <c r="Z1995" s="110" t="s">
        <v>3016</v>
      </c>
      <c r="AA1995" s="110" t="s">
        <v>537</v>
      </c>
      <c r="AB1995" s="110" t="s">
        <v>244</v>
      </c>
      <c r="AC1995" s="110" t="s">
        <v>538</v>
      </c>
      <c r="AD1995" s="110" t="n">
        <f aca="false">IF(OR(F1995="",Q1995="",R1995=""),"",ROUND(IF(P1995="incl.",F1995/(1+Q1995),F1995)/IF(S1995="per pack",R1995,1),2))</f>
        <v>1</v>
      </c>
      <c r="AE1995" s="110" t="str">
        <f aca="false">IF(AND(AC1995="yes",ISNUMBER(F1995),IF(Compare!$H$5="All mapped",TRUE(),IF(Compare!$H$5="EXACT only",J1995="EXACT",OR(J1995="EXACT",J1995="CLOSE")))),"yes","no")</f>
        <v>yes</v>
      </c>
      <c r="AF1995" s="110" t="n">
        <f aca="false">IF(ISNUMBER(H1995),COUNTIFS($B$7:$B$3000,B1995,$C$7:$C$3000,C1995,$H$7:$H$3000,"&lt;"&amp;H1995,$AH$7:$AH$3000,"yes")+COUNTIFS($B$7:B1995,B1995,$C$7:C1995,C1995,$H$7:H1995,H1995,$AH$7:AH1995,"yes"),"")</f>
        <v>1</v>
      </c>
      <c r="AG1995" s="110" t="n">
        <f aca="false">IF(ISNUMBER(I1995),COUNTIFS($B$7:$B$3000,B1995,$C$7:$C$3000,C1995,$I$7:$I$3000,"&lt;"&amp;I1995,$AI$7:$AI$3000,"yes")+COUNTIFS($B$7:B1995,B1995,$C$7:C1995,C1995,$I$7:I1995,I1995,$AI$7:AI1995,"yes"),"")</f>
        <v>1</v>
      </c>
      <c r="AH1995" s="110" t="str">
        <f aca="false">IF(ISNUMBER(H1995),"yes","no")</f>
        <v>yes</v>
      </c>
      <c r="AI1995" s="110" t="str">
        <f aca="false">IF(ISNUMBER(I1995),"yes","no")</f>
        <v>yes</v>
      </c>
      <c r="AJ1995" s="120" t="n">
        <v>46297</v>
      </c>
      <c r="AK1995" s="110"/>
    </row>
    <row r="1996" customFormat="false" ht="35.05" hidden="false" customHeight="false" outlineLevel="0" collapsed="false">
      <c r="B1996" s="36" t="s">
        <v>106</v>
      </c>
      <c r="C1996" s="98" t="s">
        <v>18</v>
      </c>
      <c r="D1996" s="98" t="s">
        <v>369</v>
      </c>
      <c r="E1996" s="110" t="s">
        <v>6130</v>
      </c>
      <c r="F1996" s="99" t="n">
        <v>2.9</v>
      </c>
      <c r="G1996" s="98" t="s">
        <v>244</v>
      </c>
      <c r="H1996" s="112" t="n">
        <f aca="false">IF(AND(AE1996="yes",ISNUMBER(AD1996)),AD1996,"")</f>
        <v>2.36</v>
      </c>
      <c r="I1996" s="95" t="n">
        <f aca="false">IF(AND(AE1996="yes",ISNUMBER(AD1996),ISNUMBER(INDEX(Sources!$G$7:$G$10,MATCH(AB1996,Sources!$B$7:$B$10,0)))),ROUND(AD1996/INDEX(Sources!$G$7:$G$10,MATCH(AB1996,Sources!$B$7:$B$10,0)),6),"")</f>
        <v>2.36</v>
      </c>
      <c r="J1996" s="98" t="s">
        <v>530</v>
      </c>
      <c r="K1996" s="98" t="s">
        <v>2059</v>
      </c>
      <c r="L1996" s="96"/>
      <c r="M1996" s="110" t="s">
        <v>6131</v>
      </c>
      <c r="N1996" s="117" t="s">
        <v>6132</v>
      </c>
      <c r="O1996" s="110" t="s">
        <v>565</v>
      </c>
      <c r="P1996" s="110" t="s">
        <v>265</v>
      </c>
      <c r="Q1996" s="118" t="n">
        <v>0.23</v>
      </c>
      <c r="R1996" s="110" t="n">
        <v>1</v>
      </c>
      <c r="S1996" s="110" t="s">
        <v>632</v>
      </c>
      <c r="T1996" s="110" t="s">
        <v>530</v>
      </c>
      <c r="U1996" s="110" t="s">
        <v>2918</v>
      </c>
      <c r="V1996" s="119" t="n">
        <v>2.36</v>
      </c>
      <c r="W1996" s="119"/>
      <c r="X1996" s="110" t="s">
        <v>2063</v>
      </c>
      <c r="Y1996" s="110" t="s">
        <v>2064</v>
      </c>
      <c r="Z1996" s="110" t="s">
        <v>3020</v>
      </c>
      <c r="AA1996" s="110" t="s">
        <v>537</v>
      </c>
      <c r="AB1996" s="110" t="s">
        <v>244</v>
      </c>
      <c r="AC1996" s="110" t="s">
        <v>538</v>
      </c>
      <c r="AD1996" s="110" t="n">
        <f aca="false">IF(OR(F1996="",Q1996="",R1996=""),"",ROUND(IF(P1996="incl.",F1996/(1+Q1996),F1996)/IF(S1996="per pack",R1996,1),2))</f>
        <v>2.36</v>
      </c>
      <c r="AE1996" s="110" t="str">
        <f aca="false">IF(AND(AC1996="yes",ISNUMBER(F1996),IF(Compare!$H$5="All mapped",TRUE(),IF(Compare!$H$5="EXACT only",J1996="EXACT",OR(J1996="EXACT",J1996="CLOSE")))),"yes","no")</f>
        <v>yes</v>
      </c>
      <c r="AF1996" s="110" t="n">
        <f aca="false">IF(ISNUMBER(H1996),COUNTIFS($B$7:$B$3000,B1996,$C$7:$C$3000,C1996,$H$7:$H$3000,"&lt;"&amp;H1996,$AH$7:$AH$3000,"yes")+COUNTIFS($B$7:B1996,B1996,$C$7:C1996,C1996,$H$7:H1996,H1996,$AH$7:AH1996,"yes"),"")</f>
        <v>4</v>
      </c>
      <c r="AG1996" s="110" t="n">
        <f aca="false">IF(ISNUMBER(I1996),COUNTIFS($B$7:$B$3000,B1996,$C$7:$C$3000,C1996,$I$7:$I$3000,"&lt;"&amp;I1996,$AI$7:$AI$3000,"yes")+COUNTIFS($B$7:B1996,B1996,$C$7:C1996,C1996,$I$7:I1996,I1996,$AI$7:AI1996,"yes"),"")</f>
        <v>4</v>
      </c>
      <c r="AH1996" s="110" t="str">
        <f aca="false">IF(ISNUMBER(H1996),"yes","no")</f>
        <v>yes</v>
      </c>
      <c r="AI1996" s="110" t="str">
        <f aca="false">IF(ISNUMBER(I1996),"yes","no")</f>
        <v>yes</v>
      </c>
      <c r="AJ1996" s="120" t="n">
        <v>46297</v>
      </c>
      <c r="AK1996" s="110"/>
    </row>
    <row r="1997" customFormat="false" ht="23.85" hidden="false" customHeight="false" outlineLevel="0" collapsed="false">
      <c r="B1997" s="36" t="s">
        <v>106</v>
      </c>
      <c r="C1997" s="98" t="s">
        <v>18</v>
      </c>
      <c r="D1997" s="98" t="s">
        <v>3021</v>
      </c>
      <c r="E1997" s="110" t="s">
        <v>6133</v>
      </c>
      <c r="F1997" s="99" t="n">
        <v>1.23</v>
      </c>
      <c r="G1997" s="98" t="s">
        <v>244</v>
      </c>
      <c r="H1997" s="112" t="n">
        <f aca="false">IF(AND(AE1997="yes",ISNUMBER(AD1997)),AD1997,"")</f>
        <v>1.23</v>
      </c>
      <c r="I1997" s="95" t="n">
        <f aca="false">IF(AND(AE1997="yes",ISNUMBER(AD1997),ISNUMBER(INDEX(Sources!$G$7:$G$10,MATCH(AB1997,Sources!$B$7:$B$10,0)))),ROUND(AD1997/INDEX(Sources!$G$7:$G$10,MATCH(AB1997,Sources!$B$7:$B$10,0)),6),"")</f>
        <v>1.23</v>
      </c>
      <c r="J1997" s="98" t="s">
        <v>530</v>
      </c>
      <c r="K1997" s="98" t="s">
        <v>2059</v>
      </c>
      <c r="L1997" s="96"/>
      <c r="M1997" s="110" t="s">
        <v>6134</v>
      </c>
      <c r="N1997" s="117" t="s">
        <v>3023</v>
      </c>
      <c r="O1997" s="110" t="s">
        <v>2396</v>
      </c>
      <c r="P1997" s="110" t="s">
        <v>590</v>
      </c>
      <c r="Q1997" s="118" t="n">
        <v>0.23</v>
      </c>
      <c r="R1997" s="110" t="n">
        <v>1</v>
      </c>
      <c r="S1997" s="110" t="s">
        <v>632</v>
      </c>
      <c r="T1997" s="110" t="s">
        <v>530</v>
      </c>
      <c r="U1997" s="110" t="s">
        <v>2913</v>
      </c>
      <c r="V1997" s="119" t="n">
        <v>1.23</v>
      </c>
      <c r="W1997" s="119"/>
      <c r="X1997" s="110" t="s">
        <v>2063</v>
      </c>
      <c r="Y1997" s="110" t="s">
        <v>2064</v>
      </c>
      <c r="Z1997" s="110" t="s">
        <v>3900</v>
      </c>
      <c r="AA1997" s="110" t="s">
        <v>537</v>
      </c>
      <c r="AB1997" s="110" t="s">
        <v>244</v>
      </c>
      <c r="AC1997" s="110" t="s">
        <v>538</v>
      </c>
      <c r="AD1997" s="110" t="n">
        <f aca="false">IF(OR(F1997="",Q1997="",R1997=""),"",ROUND(IF(P1997="incl.",F1997/(1+Q1997),F1997)/IF(S1997="per pack",R1997,1),2))</f>
        <v>1.23</v>
      </c>
      <c r="AE1997" s="110" t="str">
        <f aca="false">IF(AND(AC1997="yes",ISNUMBER(F1997),IF(Compare!$H$5="All mapped",TRUE(),IF(Compare!$H$5="EXACT only",J1997="EXACT",OR(J1997="EXACT",J1997="CLOSE")))),"yes","no")</f>
        <v>yes</v>
      </c>
      <c r="AF1997" s="110" t="n">
        <f aca="false">IF(ISNUMBER(H1997),COUNTIFS($B$7:$B$3000,B1997,$C$7:$C$3000,C1997,$H$7:$H$3000,"&lt;"&amp;H1997,$AH$7:$AH$3000,"yes")+COUNTIFS($B$7:B1997,B1997,$C$7:C1997,C1997,$H$7:H1997,H1997,$AH$7:AH1997,"yes"),"")</f>
        <v>2</v>
      </c>
      <c r="AG1997" s="110" t="n">
        <f aca="false">IF(ISNUMBER(I1997),COUNTIFS($B$7:$B$3000,B1997,$C$7:$C$3000,C1997,$I$7:$I$3000,"&lt;"&amp;I1997,$AI$7:$AI$3000,"yes")+COUNTIFS($B$7:B1997,B1997,$C$7:C1997,C1997,$I$7:I1997,I1997,$AI$7:AI1997,"yes"),"")</f>
        <v>2</v>
      </c>
      <c r="AH1997" s="110" t="str">
        <f aca="false">IF(ISNUMBER(H1997),"yes","no")</f>
        <v>yes</v>
      </c>
      <c r="AI1997" s="110" t="str">
        <f aca="false">IF(ISNUMBER(I1997),"yes","no")</f>
        <v>yes</v>
      </c>
      <c r="AJ1997" s="120" t="n">
        <v>46297</v>
      </c>
      <c r="AK1997" s="110"/>
    </row>
    <row r="1998" customFormat="false" ht="23.85" hidden="false" customHeight="false" outlineLevel="0" collapsed="false">
      <c r="B1998" s="36" t="s">
        <v>107</v>
      </c>
      <c r="C1998" s="98" t="s">
        <v>14</v>
      </c>
      <c r="D1998" s="98" t="s">
        <v>373</v>
      </c>
      <c r="E1998" s="110" t="s">
        <v>6135</v>
      </c>
      <c r="F1998" s="99" t="n">
        <v>13.8</v>
      </c>
      <c r="G1998" s="98" t="s">
        <v>374</v>
      </c>
      <c r="H1998" s="112" t="n">
        <f aca="false">IF(AND(AE1998="yes",ISNUMBER(AD1998)),AD1998,"")</f>
        <v>13.8</v>
      </c>
      <c r="I1998" s="95" t="n">
        <f aca="false">IF(AND(AE1998="yes",ISNUMBER(AD1998),ISNUMBER(INDEX(Sources!$G$7:$G$10,MATCH(AB1998,Sources!$B$7:$B$10,0)))),ROUND(AD1998/INDEX(Sources!$G$7:$G$10,MATCH(AB1998,Sources!$B$7:$B$10,0)),6),"")</f>
        <v>2.614804</v>
      </c>
      <c r="J1998" s="98" t="s">
        <v>702</v>
      </c>
      <c r="K1998" s="98" t="s">
        <v>2059</v>
      </c>
      <c r="L1998" s="96"/>
      <c r="M1998" s="110" t="s">
        <v>6136</v>
      </c>
      <c r="N1998" s="117" t="s">
        <v>6137</v>
      </c>
      <c r="O1998" s="110" t="s">
        <v>6138</v>
      </c>
      <c r="P1998" s="110" t="s">
        <v>590</v>
      </c>
      <c r="Q1998" s="118" t="n">
        <v>0.21</v>
      </c>
      <c r="R1998" s="110" t="n">
        <v>1</v>
      </c>
      <c r="S1998" s="110" t="s">
        <v>632</v>
      </c>
      <c r="T1998" s="110" t="s">
        <v>702</v>
      </c>
      <c r="U1998" s="110" t="s">
        <v>2913</v>
      </c>
      <c r="V1998" s="119" t="n">
        <v>13.8</v>
      </c>
      <c r="W1998" s="119"/>
      <c r="X1998" s="110" t="s">
        <v>2063</v>
      </c>
      <c r="Y1998" s="110" t="s">
        <v>2064</v>
      </c>
      <c r="Z1998" s="110"/>
      <c r="AA1998" s="110" t="s">
        <v>537</v>
      </c>
      <c r="AB1998" s="110" t="s">
        <v>374</v>
      </c>
      <c r="AC1998" s="110" t="s">
        <v>538</v>
      </c>
      <c r="AD1998" s="110" t="n">
        <f aca="false">IF(OR(F1998="",Q1998="",R1998=""),"",ROUND(IF(P1998="incl.",F1998/(1+Q1998),F1998)/IF(S1998="per pack",R1998,1),2))</f>
        <v>13.8</v>
      </c>
      <c r="AE1998" s="110" t="str">
        <f aca="false">IF(AND(AC1998="yes",ISNUMBER(F1998),IF(Compare!$H$5="All mapped",TRUE(),IF(Compare!$H$5="EXACT only",J1998="EXACT",OR(J1998="EXACT",J1998="CLOSE")))),"yes","no")</f>
        <v>yes</v>
      </c>
      <c r="AF1998" s="110" t="n">
        <f aca="false">IF(ISNUMBER(H1998),COUNTIFS($B$7:$B$3000,B1998,$C$7:$C$3000,C1998,$H$7:$H$3000,"&lt;"&amp;H1998,$AH$7:$AH$3000,"yes")+COUNTIFS($B$7:B1998,B1998,$C$7:C1998,C1998,$H$7:H1998,H1998,$AH$7:AH1998,"yes"),"")</f>
        <v>2</v>
      </c>
      <c r="AG1998" s="110" t="n">
        <f aca="false">IF(ISNUMBER(I1998),COUNTIFS($B$7:$B$3000,B1998,$C$7:$C$3000,C1998,$I$7:$I$3000,"&lt;"&amp;I1998,$AI$7:$AI$3000,"yes")+COUNTIFS($B$7:B1998,B1998,$C$7:C1998,C1998,$I$7:I1998,I1998,$AI$7:AI1998,"yes"),"")</f>
        <v>2</v>
      </c>
      <c r="AH1998" s="110" t="str">
        <f aca="false">IF(ISNUMBER(H1998),"yes","no")</f>
        <v>yes</v>
      </c>
      <c r="AI1998" s="110" t="str">
        <f aca="false">IF(ISNUMBER(I1998),"yes","no")</f>
        <v>yes</v>
      </c>
      <c r="AJ1998" s="120" t="n">
        <v>46297</v>
      </c>
      <c r="AK1998" s="110"/>
    </row>
    <row r="1999" customFormat="false" ht="23.85" hidden="false" customHeight="false" outlineLevel="0" collapsed="false">
      <c r="B1999" s="36" t="s">
        <v>107</v>
      </c>
      <c r="C1999" s="98" t="s">
        <v>14</v>
      </c>
      <c r="D1999" s="98" t="s">
        <v>378</v>
      </c>
      <c r="E1999" s="110" t="s">
        <v>6139</v>
      </c>
      <c r="F1999" s="99" t="n">
        <v>20.29</v>
      </c>
      <c r="G1999" s="98" t="s">
        <v>374</v>
      </c>
      <c r="H1999" s="112" t="n">
        <f aca="false">IF(AND(AE1999="yes",ISNUMBER(AD1999)),AD1999,"")</f>
        <v>16.77</v>
      </c>
      <c r="I1999" s="95" t="n">
        <f aca="false">IF(AND(AE1999="yes",ISNUMBER(AD1999),ISNUMBER(INDEX(Sources!$G$7:$G$10,MATCH(AB1999,Sources!$B$7:$B$10,0)))),ROUND(AD1999/INDEX(Sources!$G$7:$G$10,MATCH(AB1999,Sources!$B$7:$B$10,0)),6),"")</f>
        <v>3.177556</v>
      </c>
      <c r="J1999" s="98" t="s">
        <v>530</v>
      </c>
      <c r="K1999" s="98" t="s">
        <v>2059</v>
      </c>
      <c r="L1999" s="96"/>
      <c r="M1999" s="110" t="s">
        <v>6140</v>
      </c>
      <c r="N1999" s="117" t="s">
        <v>6141</v>
      </c>
      <c r="O1999" s="110" t="s">
        <v>2917</v>
      </c>
      <c r="P1999" s="110" t="s">
        <v>265</v>
      </c>
      <c r="Q1999" s="118" t="n">
        <v>0.21</v>
      </c>
      <c r="R1999" s="110" t="n">
        <v>1</v>
      </c>
      <c r="S1999" s="110" t="s">
        <v>632</v>
      </c>
      <c r="T1999" s="110" t="s">
        <v>530</v>
      </c>
      <c r="U1999" s="110" t="s">
        <v>2918</v>
      </c>
      <c r="V1999" s="119" t="n">
        <v>16.77</v>
      </c>
      <c r="W1999" s="119"/>
      <c r="X1999" s="110" t="s">
        <v>2063</v>
      </c>
      <c r="Y1999" s="110" t="s">
        <v>2064</v>
      </c>
      <c r="Z1999" s="110"/>
      <c r="AA1999" s="110" t="s">
        <v>537</v>
      </c>
      <c r="AB1999" s="110" t="s">
        <v>374</v>
      </c>
      <c r="AC1999" s="110" t="s">
        <v>538</v>
      </c>
      <c r="AD1999" s="110" t="n">
        <f aca="false">IF(OR(F1999="",Q1999="",R1999=""),"",ROUND(IF(P1999="incl.",F1999/(1+Q1999),F1999)/IF(S1999="per pack",R1999,1),2))</f>
        <v>16.77</v>
      </c>
      <c r="AE1999" s="110" t="str">
        <f aca="false">IF(AND(AC1999="yes",ISNUMBER(F1999),IF(Compare!$H$5="All mapped",TRUE(),IF(Compare!$H$5="EXACT only",J1999="EXACT",OR(J1999="EXACT",J1999="CLOSE")))),"yes","no")</f>
        <v>yes</v>
      </c>
      <c r="AF1999" s="110" t="n">
        <f aca="false">IF(ISNUMBER(H1999),COUNTIFS($B$7:$B$3000,B1999,$C$7:$C$3000,C1999,$H$7:$H$3000,"&lt;"&amp;H1999,$AH$7:$AH$3000,"yes")+COUNTIFS($B$7:B1999,B1999,$C$7:C1999,C1999,$H$7:H1999,H1999,$AH$7:AH1999,"yes"),"")</f>
        <v>4</v>
      </c>
      <c r="AG1999" s="110" t="n">
        <f aca="false">IF(ISNUMBER(I1999),COUNTIFS($B$7:$B$3000,B1999,$C$7:$C$3000,C1999,$I$7:$I$3000,"&lt;"&amp;I1999,$AI$7:$AI$3000,"yes")+COUNTIFS($B$7:B1999,B1999,$C$7:C1999,C1999,$I$7:I1999,I1999,$AI$7:AI1999,"yes"),"")</f>
        <v>4</v>
      </c>
      <c r="AH1999" s="110" t="str">
        <f aca="false">IF(ISNUMBER(H1999),"yes","no")</f>
        <v>yes</v>
      </c>
      <c r="AI1999" s="110" t="str">
        <f aca="false">IF(ISNUMBER(I1999),"yes","no")</f>
        <v>yes</v>
      </c>
      <c r="AJ1999" s="120" t="n">
        <v>46297</v>
      </c>
      <c r="AK1999" s="110"/>
    </row>
    <row r="2000" customFormat="false" ht="35.05" hidden="false" customHeight="false" outlineLevel="0" collapsed="false">
      <c r="B2000" s="36" t="s">
        <v>107</v>
      </c>
      <c r="C2000" s="98" t="s">
        <v>14</v>
      </c>
      <c r="D2000" s="98" t="s">
        <v>346</v>
      </c>
      <c r="E2000" s="110" t="s">
        <v>6142</v>
      </c>
      <c r="F2000" s="99" t="n">
        <v>46.65</v>
      </c>
      <c r="G2000" s="98" t="s">
        <v>374</v>
      </c>
      <c r="H2000" s="112" t="n">
        <f aca="false">IF(AND(AE2000="yes",ISNUMBER(AD2000)),AD2000,"")</f>
        <v>38.55</v>
      </c>
      <c r="I2000" s="95" t="n">
        <f aca="false">IF(AND(AE2000="yes",ISNUMBER(AD2000),ISNUMBER(INDEX(Sources!$G$7:$G$10,MATCH(AB2000,Sources!$B$7:$B$10,0)))),ROUND(AD2000/INDEX(Sources!$G$7:$G$10,MATCH(AB2000,Sources!$B$7:$B$10,0)),6),"")</f>
        <v>7.304399</v>
      </c>
      <c r="J2000" s="98" t="s">
        <v>530</v>
      </c>
      <c r="K2000" s="98" t="s">
        <v>2059</v>
      </c>
      <c r="L2000" s="96"/>
      <c r="M2000" s="110" t="s">
        <v>6143</v>
      </c>
      <c r="N2000" s="117" t="s">
        <v>6144</v>
      </c>
      <c r="O2000" s="110" t="s">
        <v>783</v>
      </c>
      <c r="P2000" s="110" t="s">
        <v>265</v>
      </c>
      <c r="Q2000" s="118" t="n">
        <v>0.21</v>
      </c>
      <c r="R2000" s="110" t="n">
        <v>1</v>
      </c>
      <c r="S2000" s="110" t="s">
        <v>632</v>
      </c>
      <c r="T2000" s="110" t="s">
        <v>530</v>
      </c>
      <c r="U2000" s="110" t="s">
        <v>2918</v>
      </c>
      <c r="V2000" s="119" t="n">
        <v>38.55</v>
      </c>
      <c r="W2000" s="119"/>
      <c r="X2000" s="110" t="s">
        <v>2063</v>
      </c>
      <c r="Y2000" s="110" t="s">
        <v>2064</v>
      </c>
      <c r="Z2000" s="110"/>
      <c r="AA2000" s="110" t="s">
        <v>537</v>
      </c>
      <c r="AB2000" s="110" t="s">
        <v>374</v>
      </c>
      <c r="AC2000" s="110" t="s">
        <v>538</v>
      </c>
      <c r="AD2000" s="110" t="n">
        <f aca="false">IF(OR(F2000="",Q2000="",R2000=""),"",ROUND(IF(P2000="incl.",F2000/(1+Q2000),F2000)/IF(S2000="per pack",R2000,1),2))</f>
        <v>38.55</v>
      </c>
      <c r="AE2000" s="110" t="str">
        <f aca="false">IF(AND(AC2000="yes",ISNUMBER(F2000),IF(Compare!$H$5="All mapped",TRUE(),IF(Compare!$H$5="EXACT only",J2000="EXACT",OR(J2000="EXACT",J2000="CLOSE")))),"yes","no")</f>
        <v>yes</v>
      </c>
      <c r="AF2000" s="110" t="n">
        <f aca="false">IF(ISNUMBER(H2000),COUNTIFS($B$7:$B$3000,B2000,$C$7:$C$3000,C2000,$H$7:$H$3000,"&lt;"&amp;H2000,$AH$7:$AH$3000,"yes")+COUNTIFS($B$7:B2000,B2000,$C$7:C2000,C2000,$H$7:H2000,H2000,$AH$7:AH2000,"yes"),"")</f>
        <v>5</v>
      </c>
      <c r="AG2000" s="110" t="n">
        <f aca="false">IF(ISNUMBER(I2000),COUNTIFS($B$7:$B$3000,B2000,$C$7:$C$3000,C2000,$I$7:$I$3000,"&lt;"&amp;I2000,$AI$7:$AI$3000,"yes")+COUNTIFS($B$7:B2000,B2000,$C$7:C2000,C2000,$I$7:I2000,I2000,$AI$7:AI2000,"yes"),"")</f>
        <v>5</v>
      </c>
      <c r="AH2000" s="110" t="str">
        <f aca="false">IF(ISNUMBER(H2000),"yes","no")</f>
        <v>yes</v>
      </c>
      <c r="AI2000" s="110" t="str">
        <f aca="false">IF(ISNUMBER(I2000),"yes","no")</f>
        <v>yes</v>
      </c>
      <c r="AJ2000" s="120" t="n">
        <v>46297</v>
      </c>
      <c r="AK2000" s="110"/>
    </row>
    <row r="2001" customFormat="false" ht="23.85" hidden="false" customHeight="false" outlineLevel="0" collapsed="false">
      <c r="B2001" s="36" t="s">
        <v>107</v>
      </c>
      <c r="C2001" s="98" t="s">
        <v>14</v>
      </c>
      <c r="D2001" s="98" t="s">
        <v>395</v>
      </c>
      <c r="E2001" s="110" t="s">
        <v>6145</v>
      </c>
      <c r="F2001" s="99" t="n">
        <v>2.54</v>
      </c>
      <c r="G2001" s="98" t="s">
        <v>244</v>
      </c>
      <c r="H2001" s="112" t="n">
        <f aca="false">IF(AND(AE2001="yes",ISNUMBER(AD2001)),AD2001,"")</f>
        <v>2.54</v>
      </c>
      <c r="I2001" s="95" t="n">
        <f aca="false">IF(AND(AE2001="yes",ISNUMBER(AD2001),ISNUMBER(INDEX(Sources!$G$7:$G$10,MATCH(AB2001,Sources!$B$7:$B$10,0)))),ROUND(AD2001/INDEX(Sources!$G$7:$G$10,MATCH(AB2001,Sources!$B$7:$B$10,0)),6),"")</f>
        <v>2.54</v>
      </c>
      <c r="J2001" s="98" t="s">
        <v>530</v>
      </c>
      <c r="K2001" s="98" t="s">
        <v>2059</v>
      </c>
      <c r="L2001" s="96"/>
      <c r="M2001" s="110" t="s">
        <v>6146</v>
      </c>
      <c r="N2001" s="117" t="s">
        <v>6147</v>
      </c>
      <c r="O2001" s="110"/>
      <c r="P2001" s="110" t="s">
        <v>590</v>
      </c>
      <c r="Q2001" s="118" t="n">
        <v>0.21</v>
      </c>
      <c r="R2001" s="110" t="n">
        <v>1</v>
      </c>
      <c r="S2001" s="110" t="s">
        <v>632</v>
      </c>
      <c r="T2001" s="110" t="s">
        <v>530</v>
      </c>
      <c r="U2001" s="110" t="s">
        <v>2913</v>
      </c>
      <c r="V2001" s="119" t="n">
        <v>2.54</v>
      </c>
      <c r="W2001" s="119"/>
      <c r="X2001" s="110" t="s">
        <v>2063</v>
      </c>
      <c r="Y2001" s="110" t="s">
        <v>2064</v>
      </c>
      <c r="Z2001" s="110" t="s">
        <v>2925</v>
      </c>
      <c r="AA2001" s="110" t="s">
        <v>537</v>
      </c>
      <c r="AB2001" s="110" t="s">
        <v>244</v>
      </c>
      <c r="AC2001" s="110" t="s">
        <v>538</v>
      </c>
      <c r="AD2001" s="110" t="n">
        <f aca="false">IF(OR(F2001="",Q2001="",R2001=""),"",ROUND(IF(P2001="incl.",F2001/(1+Q2001),F2001)/IF(S2001="per pack",R2001,1),2))</f>
        <v>2.54</v>
      </c>
      <c r="AE2001" s="110" t="str">
        <f aca="false">IF(AND(AC2001="yes",ISNUMBER(F2001),IF(Compare!$H$5="All mapped",TRUE(),IF(Compare!$H$5="EXACT only",J2001="EXACT",OR(J2001="EXACT",J2001="CLOSE")))),"yes","no")</f>
        <v>yes</v>
      </c>
      <c r="AF2001" s="110" t="n">
        <f aca="false">IF(ISNUMBER(H2001),COUNTIFS($B$7:$B$3000,B2001,$C$7:$C$3000,C2001,$H$7:$H$3000,"&lt;"&amp;H2001,$AH$7:$AH$3000,"yes")+COUNTIFS($B$7:B2001,B2001,$C$7:C2001,C2001,$H$7:H2001,H2001,$AH$7:AH2001,"yes"),"")</f>
        <v>1</v>
      </c>
      <c r="AG2001" s="110" t="n">
        <f aca="false">IF(ISNUMBER(I2001),COUNTIFS($B$7:$B$3000,B2001,$C$7:$C$3000,C2001,$I$7:$I$3000,"&lt;"&amp;I2001,$AI$7:$AI$3000,"yes")+COUNTIFS($B$7:B2001,B2001,$C$7:C2001,C2001,$I$7:I2001,I2001,$AI$7:AI2001,"yes"),"")</f>
        <v>1</v>
      </c>
      <c r="AH2001" s="110" t="str">
        <f aca="false">IF(ISNUMBER(H2001),"yes","no")</f>
        <v>yes</v>
      </c>
      <c r="AI2001" s="110" t="str">
        <f aca="false">IF(ISNUMBER(I2001),"yes","no")</f>
        <v>yes</v>
      </c>
      <c r="AJ2001" s="120" t="n">
        <v>46297</v>
      </c>
      <c r="AK2001" s="110"/>
    </row>
    <row r="2002" customFormat="false" ht="23.85" hidden="false" customHeight="false" outlineLevel="0" collapsed="false">
      <c r="B2002" s="36" t="s">
        <v>107</v>
      </c>
      <c r="C2002" s="98" t="s">
        <v>14</v>
      </c>
      <c r="D2002" s="98" t="s">
        <v>403</v>
      </c>
      <c r="E2002" s="110" t="s">
        <v>6148</v>
      </c>
      <c r="F2002" s="99" t="n">
        <v>15.58</v>
      </c>
      <c r="G2002" s="98" t="s">
        <v>374</v>
      </c>
      <c r="H2002" s="112" t="n">
        <f aca="false">IF(AND(AE2002="yes",ISNUMBER(AD2002)),AD2002,"")</f>
        <v>15.58</v>
      </c>
      <c r="I2002" s="95" t="n">
        <f aca="false">IF(AND(AE2002="yes",ISNUMBER(AD2002),ISNUMBER(INDEX(Sources!$G$7:$G$10,MATCH(AB2002,Sources!$B$7:$B$10,0)))),ROUND(AD2002/INDEX(Sources!$G$7:$G$10,MATCH(AB2002,Sources!$B$7:$B$10,0)),6),"")</f>
        <v>2.952076</v>
      </c>
      <c r="J2002" s="98" t="s">
        <v>530</v>
      </c>
      <c r="K2002" s="98" t="s">
        <v>2059</v>
      </c>
      <c r="L2002" s="96"/>
      <c r="M2002" s="110" t="s">
        <v>6149</v>
      </c>
      <c r="N2002" s="117" t="s">
        <v>6150</v>
      </c>
      <c r="O2002" s="110" t="s">
        <v>388</v>
      </c>
      <c r="P2002" s="110" t="s">
        <v>590</v>
      </c>
      <c r="Q2002" s="118" t="n">
        <v>0.21</v>
      </c>
      <c r="R2002" s="110" t="n">
        <v>1</v>
      </c>
      <c r="S2002" s="110" t="s">
        <v>632</v>
      </c>
      <c r="T2002" s="110" t="s">
        <v>530</v>
      </c>
      <c r="U2002" s="110" t="s">
        <v>2913</v>
      </c>
      <c r="V2002" s="119" t="n">
        <v>15.58</v>
      </c>
      <c r="W2002" s="119"/>
      <c r="X2002" s="110" t="s">
        <v>2063</v>
      </c>
      <c r="Y2002" s="110" t="s">
        <v>2064</v>
      </c>
      <c r="Z2002" s="110"/>
      <c r="AA2002" s="110" t="s">
        <v>537</v>
      </c>
      <c r="AB2002" s="110" t="s">
        <v>374</v>
      </c>
      <c r="AC2002" s="110" t="s">
        <v>538</v>
      </c>
      <c r="AD2002" s="110" t="n">
        <f aca="false">IF(OR(F2002="",Q2002="",R2002=""),"",ROUND(IF(P2002="incl.",F2002/(1+Q2002),F2002)/IF(S2002="per pack",R2002,1),2))</f>
        <v>15.58</v>
      </c>
      <c r="AE2002" s="110" t="str">
        <f aca="false">IF(AND(AC2002="yes",ISNUMBER(F2002),IF(Compare!$H$5="All mapped",TRUE(),IF(Compare!$H$5="EXACT only",J2002="EXACT",OR(J2002="EXACT",J2002="CLOSE")))),"yes","no")</f>
        <v>yes</v>
      </c>
      <c r="AF2002" s="110" t="n">
        <f aca="false">IF(ISNUMBER(H2002),COUNTIFS($B$7:$B$3000,B2002,$C$7:$C$3000,C2002,$H$7:$H$3000,"&lt;"&amp;H2002,$AH$7:$AH$3000,"yes")+COUNTIFS($B$7:B2002,B2002,$C$7:C2002,C2002,$H$7:H2002,H2002,$AH$7:AH2002,"yes"),"")</f>
        <v>3</v>
      </c>
      <c r="AG2002" s="110" t="n">
        <f aca="false">IF(ISNUMBER(I2002),COUNTIFS($B$7:$B$3000,B2002,$C$7:$C$3000,C2002,$I$7:$I$3000,"&lt;"&amp;I2002,$AI$7:$AI$3000,"yes")+COUNTIFS($B$7:B2002,B2002,$C$7:C2002,C2002,$I$7:I2002,I2002,$AI$7:AI2002,"yes"),"")</f>
        <v>3</v>
      </c>
      <c r="AH2002" s="110" t="str">
        <f aca="false">IF(ISNUMBER(H2002),"yes","no")</f>
        <v>yes</v>
      </c>
      <c r="AI2002" s="110" t="str">
        <f aca="false">IF(ISNUMBER(I2002),"yes","no")</f>
        <v>yes</v>
      </c>
      <c r="AJ2002" s="120" t="n">
        <v>46297</v>
      </c>
      <c r="AK2002" s="110"/>
    </row>
    <row r="2003" customFormat="false" ht="23.85" hidden="false" customHeight="false" outlineLevel="0" collapsed="false">
      <c r="B2003" s="36" t="s">
        <v>107</v>
      </c>
      <c r="C2003" s="98" t="s">
        <v>15</v>
      </c>
      <c r="D2003" s="98" t="s">
        <v>243</v>
      </c>
      <c r="E2003" s="110" t="s">
        <v>6151</v>
      </c>
      <c r="F2003" s="99" t="n">
        <v>4.24</v>
      </c>
      <c r="G2003" s="98" t="s">
        <v>244</v>
      </c>
      <c r="H2003" s="112" t="n">
        <f aca="false">IF(AND(AE2003="yes",ISNUMBER(AD2003)),AD2003,"")</f>
        <v>4.24</v>
      </c>
      <c r="I2003" s="95" t="n">
        <f aca="false">IF(AND(AE2003="yes",ISNUMBER(AD2003),ISNUMBER(INDEX(Sources!$G$7:$G$10,MATCH(AB2003,Sources!$B$7:$B$10,0)))),ROUND(AD2003/INDEX(Sources!$G$7:$G$10,MATCH(AB2003,Sources!$B$7:$B$10,0)),6),"")</f>
        <v>4.24</v>
      </c>
      <c r="J2003" s="98" t="s">
        <v>702</v>
      </c>
      <c r="K2003" s="98" t="s">
        <v>2059</v>
      </c>
      <c r="L2003" s="96"/>
      <c r="M2003" s="110" t="s">
        <v>6152</v>
      </c>
      <c r="N2003" s="117" t="s">
        <v>6153</v>
      </c>
      <c r="O2003" s="110" t="s">
        <v>388</v>
      </c>
      <c r="P2003" s="110" t="s">
        <v>590</v>
      </c>
      <c r="Q2003" s="118" t="n">
        <v>0.2</v>
      </c>
      <c r="R2003" s="110" t="n">
        <v>1</v>
      </c>
      <c r="S2003" s="110" t="s">
        <v>632</v>
      </c>
      <c r="T2003" s="110" t="s">
        <v>702</v>
      </c>
      <c r="U2003" s="110" t="s">
        <v>2913</v>
      </c>
      <c r="V2003" s="119" t="n">
        <v>4.24</v>
      </c>
      <c r="W2003" s="119"/>
      <c r="X2003" s="110" t="s">
        <v>2063</v>
      </c>
      <c r="Y2003" s="110" t="s">
        <v>2064</v>
      </c>
      <c r="Z2003" s="110"/>
      <c r="AA2003" s="110" t="s">
        <v>537</v>
      </c>
      <c r="AB2003" s="110" t="s">
        <v>244</v>
      </c>
      <c r="AC2003" s="110" t="s">
        <v>538</v>
      </c>
      <c r="AD2003" s="110" t="n">
        <f aca="false">IF(OR(F2003="",Q2003="",R2003=""),"",ROUND(IF(P2003="incl.",F2003/(1+Q2003),F2003)/IF(S2003="per pack",R2003,1),2))</f>
        <v>4.24</v>
      </c>
      <c r="AE2003" s="110" t="str">
        <f aca="false">IF(AND(AC2003="yes",ISNUMBER(F2003),IF(Compare!$H$5="All mapped",TRUE(),IF(Compare!$H$5="EXACT only",J2003="EXACT",OR(J2003="EXACT",J2003="CLOSE")))),"yes","no")</f>
        <v>yes</v>
      </c>
      <c r="AF2003" s="110" t="n">
        <f aca="false">IF(ISNUMBER(H2003),COUNTIFS($B$7:$B$3000,B2003,$C$7:$C$3000,C2003,$H$7:$H$3000,"&lt;"&amp;H2003,$AH$7:$AH$3000,"yes")+COUNTIFS($B$7:B2003,B2003,$C$7:C2003,C2003,$H$7:H2003,H2003,$AH$7:AH2003,"yes"),"")</f>
        <v>4</v>
      </c>
      <c r="AG2003" s="110" t="n">
        <f aca="false">IF(ISNUMBER(I2003),COUNTIFS($B$7:$B$3000,B2003,$C$7:$C$3000,C2003,$I$7:$I$3000,"&lt;"&amp;I2003,$AI$7:$AI$3000,"yes")+COUNTIFS($B$7:B2003,B2003,$C$7:C2003,C2003,$I$7:I2003,I2003,$AI$7:AI2003,"yes"),"")</f>
        <v>4</v>
      </c>
      <c r="AH2003" s="110" t="str">
        <f aca="false">IF(ISNUMBER(H2003),"yes","no")</f>
        <v>yes</v>
      </c>
      <c r="AI2003" s="110" t="str">
        <f aca="false">IF(ISNUMBER(I2003),"yes","no")</f>
        <v>yes</v>
      </c>
      <c r="AJ2003" s="120" t="n">
        <v>46297</v>
      </c>
      <c r="AK2003" s="110"/>
    </row>
    <row r="2004" customFormat="false" ht="23.85" hidden="false" customHeight="false" outlineLevel="0" collapsed="false">
      <c r="B2004" s="36" t="s">
        <v>107</v>
      </c>
      <c r="C2004" s="98" t="s">
        <v>15</v>
      </c>
      <c r="D2004" s="98" t="s">
        <v>257</v>
      </c>
      <c r="E2004" s="110" t="s">
        <v>6154</v>
      </c>
      <c r="F2004" s="99" t="n">
        <v>3.3</v>
      </c>
      <c r="G2004" s="98" t="s">
        <v>244</v>
      </c>
      <c r="H2004" s="112" t="n">
        <f aca="false">IF(AND(AE2004="yes",ISNUMBER(AD2004)),AD2004,"")</f>
        <v>3.3</v>
      </c>
      <c r="I2004" s="95" t="n">
        <f aca="false">IF(AND(AE2004="yes",ISNUMBER(AD2004),ISNUMBER(INDEX(Sources!$G$7:$G$10,MATCH(AB2004,Sources!$B$7:$B$10,0)))),ROUND(AD2004/INDEX(Sources!$G$7:$G$10,MATCH(AB2004,Sources!$B$7:$B$10,0)),6),"")</f>
        <v>3.3</v>
      </c>
      <c r="J2004" s="98" t="s">
        <v>530</v>
      </c>
      <c r="K2004" s="98" t="s">
        <v>2059</v>
      </c>
      <c r="L2004" s="96"/>
      <c r="M2004" s="110" t="s">
        <v>6155</v>
      </c>
      <c r="N2004" s="117" t="s">
        <v>6156</v>
      </c>
      <c r="O2004" s="110" t="s">
        <v>2396</v>
      </c>
      <c r="P2004" s="110" t="s">
        <v>590</v>
      </c>
      <c r="Q2004" s="118" t="n">
        <v>0.2</v>
      </c>
      <c r="R2004" s="110" t="n">
        <v>1</v>
      </c>
      <c r="S2004" s="110" t="s">
        <v>632</v>
      </c>
      <c r="T2004" s="110" t="s">
        <v>530</v>
      </c>
      <c r="U2004" s="110" t="s">
        <v>2913</v>
      </c>
      <c r="V2004" s="119" t="n">
        <v>3.3</v>
      </c>
      <c r="W2004" s="119"/>
      <c r="X2004" s="110" t="s">
        <v>2063</v>
      </c>
      <c r="Y2004" s="110" t="s">
        <v>2064</v>
      </c>
      <c r="Z2004" s="110" t="s">
        <v>4341</v>
      </c>
      <c r="AA2004" s="110" t="s">
        <v>537</v>
      </c>
      <c r="AB2004" s="110" t="s">
        <v>244</v>
      </c>
      <c r="AC2004" s="110" t="s">
        <v>538</v>
      </c>
      <c r="AD2004" s="110" t="n">
        <f aca="false">IF(OR(F2004="",Q2004="",R2004=""),"",ROUND(IF(P2004="incl.",F2004/(1+Q2004),F2004)/IF(S2004="per pack",R2004,1),2))</f>
        <v>3.3</v>
      </c>
      <c r="AE2004" s="110" t="str">
        <f aca="false">IF(AND(AC2004="yes",ISNUMBER(F2004),IF(Compare!$H$5="All mapped",TRUE(),IF(Compare!$H$5="EXACT only",J2004="EXACT",OR(J2004="EXACT",J2004="CLOSE")))),"yes","no")</f>
        <v>yes</v>
      </c>
      <c r="AF2004" s="110" t="n">
        <f aca="false">IF(ISNUMBER(H2004),COUNTIFS($B$7:$B$3000,B2004,$C$7:$C$3000,C2004,$H$7:$H$3000,"&lt;"&amp;H2004,$AH$7:$AH$3000,"yes")+COUNTIFS($B$7:B2004,B2004,$C$7:C2004,C2004,$H$7:H2004,H2004,$AH$7:AH2004,"yes"),"")</f>
        <v>3</v>
      </c>
      <c r="AG2004" s="110" t="n">
        <f aca="false">IF(ISNUMBER(I2004),COUNTIFS($B$7:$B$3000,B2004,$C$7:$C$3000,C2004,$I$7:$I$3000,"&lt;"&amp;I2004,$AI$7:$AI$3000,"yes")+COUNTIFS($B$7:B2004,B2004,$C$7:C2004,C2004,$I$7:I2004,I2004,$AI$7:AI2004,"yes"),"")</f>
        <v>3</v>
      </c>
      <c r="AH2004" s="110" t="str">
        <f aca="false">IF(ISNUMBER(H2004),"yes","no")</f>
        <v>yes</v>
      </c>
      <c r="AI2004" s="110" t="str">
        <f aca="false">IF(ISNUMBER(I2004),"yes","no")</f>
        <v>yes</v>
      </c>
      <c r="AJ2004" s="120" t="n">
        <v>46297</v>
      </c>
      <c r="AK2004" s="110"/>
    </row>
    <row r="2005" customFormat="false" ht="23.85" hidden="false" customHeight="false" outlineLevel="0" collapsed="false">
      <c r="B2005" s="36" t="s">
        <v>107</v>
      </c>
      <c r="C2005" s="98" t="s">
        <v>15</v>
      </c>
      <c r="D2005" s="98" t="s">
        <v>269</v>
      </c>
      <c r="E2005" s="110" t="s">
        <v>6157</v>
      </c>
      <c r="F2005" s="99" t="n">
        <v>5.69</v>
      </c>
      <c r="G2005" s="98" t="s">
        <v>244</v>
      </c>
      <c r="H2005" s="112" t="n">
        <f aca="false">IF(AND(AE2005="yes",ISNUMBER(AD2005)),AD2005,"")</f>
        <v>5.69</v>
      </c>
      <c r="I2005" s="95" t="n">
        <f aca="false">IF(AND(AE2005="yes",ISNUMBER(AD2005),ISNUMBER(INDEX(Sources!$G$7:$G$10,MATCH(AB2005,Sources!$B$7:$B$10,0)))),ROUND(AD2005/INDEX(Sources!$G$7:$G$10,MATCH(AB2005,Sources!$B$7:$B$10,0)),6),"")</f>
        <v>5.69</v>
      </c>
      <c r="J2005" s="98" t="s">
        <v>530</v>
      </c>
      <c r="K2005" s="98" t="s">
        <v>2059</v>
      </c>
      <c r="L2005" s="96"/>
      <c r="M2005" s="110" t="s">
        <v>6158</v>
      </c>
      <c r="N2005" s="117" t="s">
        <v>6159</v>
      </c>
      <c r="O2005" s="110" t="s">
        <v>589</v>
      </c>
      <c r="P2005" s="110" t="s">
        <v>590</v>
      </c>
      <c r="Q2005" s="118" t="n">
        <v>0.19</v>
      </c>
      <c r="R2005" s="110" t="n">
        <v>1</v>
      </c>
      <c r="S2005" s="110" t="s">
        <v>632</v>
      </c>
      <c r="T2005" s="110" t="s">
        <v>530</v>
      </c>
      <c r="U2005" s="110" t="s">
        <v>2913</v>
      </c>
      <c r="V2005" s="119" t="n">
        <v>5.69</v>
      </c>
      <c r="W2005" s="119"/>
      <c r="X2005" s="110" t="s">
        <v>2063</v>
      </c>
      <c r="Y2005" s="110" t="s">
        <v>2064</v>
      </c>
      <c r="Z2005" s="110" t="s">
        <v>4345</v>
      </c>
      <c r="AA2005" s="110" t="s">
        <v>537</v>
      </c>
      <c r="AB2005" s="110" t="s">
        <v>244</v>
      </c>
      <c r="AC2005" s="110" t="s">
        <v>538</v>
      </c>
      <c r="AD2005" s="110" t="n">
        <f aca="false">IF(OR(F2005="",Q2005="",R2005=""),"",ROUND(IF(P2005="incl.",F2005/(1+Q2005),F2005)/IF(S2005="per pack",R2005,1),2))</f>
        <v>5.69</v>
      </c>
      <c r="AE2005" s="110" t="str">
        <f aca="false">IF(AND(AC2005="yes",ISNUMBER(F2005),IF(Compare!$H$5="All mapped",TRUE(),IF(Compare!$H$5="EXACT only",J2005="EXACT",OR(J2005="EXACT",J2005="CLOSE")))),"yes","no")</f>
        <v>yes</v>
      </c>
      <c r="AF2005" s="110" t="n">
        <f aca="false">IF(ISNUMBER(H2005),COUNTIFS($B$7:$B$3000,B2005,$C$7:$C$3000,C2005,$H$7:$H$3000,"&lt;"&amp;H2005,$AH$7:$AH$3000,"yes")+COUNTIFS($B$7:B2005,B2005,$C$7:C2005,C2005,$H$7:H2005,H2005,$AH$7:AH2005,"yes"),"")</f>
        <v>5</v>
      </c>
      <c r="AG2005" s="110" t="n">
        <f aca="false">IF(ISNUMBER(I2005),COUNTIFS($B$7:$B$3000,B2005,$C$7:$C$3000,C2005,$I$7:$I$3000,"&lt;"&amp;I2005,$AI$7:$AI$3000,"yes")+COUNTIFS($B$7:B2005,B2005,$C$7:C2005,C2005,$I$7:I2005,I2005,$AI$7:AI2005,"yes"),"")</f>
        <v>5</v>
      </c>
      <c r="AH2005" s="110" t="str">
        <f aca="false">IF(ISNUMBER(H2005),"yes","no")</f>
        <v>yes</v>
      </c>
      <c r="AI2005" s="110" t="str">
        <f aca="false">IF(ISNUMBER(I2005),"yes","no")</f>
        <v>yes</v>
      </c>
      <c r="AJ2005" s="120" t="n">
        <v>46297</v>
      </c>
      <c r="AK2005" s="110"/>
    </row>
    <row r="2006" customFormat="false" ht="35.05" hidden="false" customHeight="false" outlineLevel="0" collapsed="false">
      <c r="B2006" s="36" t="s">
        <v>107</v>
      </c>
      <c r="C2006" s="98" t="s">
        <v>15</v>
      </c>
      <c r="D2006" s="98" t="s">
        <v>264</v>
      </c>
      <c r="E2006" s="110" t="s">
        <v>6160</v>
      </c>
      <c r="F2006" s="99" t="n">
        <v>14.85</v>
      </c>
      <c r="G2006" s="98" t="s">
        <v>244</v>
      </c>
      <c r="H2006" s="112" t="n">
        <f aca="false">IF(AND(AE2006="yes",ISNUMBER(AD2006)),AD2006,"")</f>
        <v>14.85</v>
      </c>
      <c r="I2006" s="95" t="n">
        <f aca="false">IF(AND(AE2006="yes",ISNUMBER(AD2006),ISNUMBER(INDEX(Sources!$G$7:$G$10,MATCH(AB2006,Sources!$B$7:$B$10,0)))),ROUND(AD2006/INDEX(Sources!$G$7:$G$10,MATCH(AB2006,Sources!$B$7:$B$10,0)),6),"")</f>
        <v>14.85</v>
      </c>
      <c r="J2006" s="98" t="s">
        <v>702</v>
      </c>
      <c r="K2006" s="98" t="s">
        <v>2059</v>
      </c>
      <c r="L2006" s="96"/>
      <c r="M2006" s="110" t="s">
        <v>6161</v>
      </c>
      <c r="N2006" s="117" t="s">
        <v>6162</v>
      </c>
      <c r="O2006" s="110" t="s">
        <v>388</v>
      </c>
      <c r="P2006" s="110" t="s">
        <v>590</v>
      </c>
      <c r="Q2006" s="118" t="n">
        <v>0.19</v>
      </c>
      <c r="R2006" s="110" t="n">
        <v>1</v>
      </c>
      <c r="S2006" s="110" t="s">
        <v>632</v>
      </c>
      <c r="T2006" s="110" t="s">
        <v>702</v>
      </c>
      <c r="U2006" s="110" t="s">
        <v>2913</v>
      </c>
      <c r="V2006" s="119" t="n">
        <v>14.85</v>
      </c>
      <c r="W2006" s="119"/>
      <c r="X2006" s="110" t="s">
        <v>2063</v>
      </c>
      <c r="Y2006" s="110" t="s">
        <v>2064</v>
      </c>
      <c r="Z2006" s="110"/>
      <c r="AA2006" s="110" t="s">
        <v>537</v>
      </c>
      <c r="AB2006" s="110" t="s">
        <v>244</v>
      </c>
      <c r="AC2006" s="110" t="s">
        <v>538</v>
      </c>
      <c r="AD2006" s="110" t="n">
        <f aca="false">IF(OR(F2006="",Q2006="",R2006=""),"",ROUND(IF(P2006="incl.",F2006/(1+Q2006),F2006)/IF(S2006="per pack",R2006,1),2))</f>
        <v>14.85</v>
      </c>
      <c r="AE2006" s="110" t="str">
        <f aca="false">IF(AND(AC2006="yes",ISNUMBER(F2006),IF(Compare!$H$5="All mapped",TRUE(),IF(Compare!$H$5="EXACT only",J2006="EXACT",OR(J2006="EXACT",J2006="CLOSE")))),"yes","no")</f>
        <v>yes</v>
      </c>
      <c r="AF2006" s="110" t="n">
        <f aca="false">IF(ISNUMBER(H2006),COUNTIFS($B$7:$B$3000,B2006,$C$7:$C$3000,C2006,$H$7:$H$3000,"&lt;"&amp;H2006,$AH$7:$AH$3000,"yes")+COUNTIFS($B$7:B2006,B2006,$C$7:C2006,C2006,$H$7:H2006,H2006,$AH$7:AH2006,"yes"),"")</f>
        <v>7</v>
      </c>
      <c r="AG2006" s="110" t="n">
        <f aca="false">IF(ISNUMBER(I2006),COUNTIFS($B$7:$B$3000,B2006,$C$7:$C$3000,C2006,$I$7:$I$3000,"&lt;"&amp;I2006,$AI$7:$AI$3000,"yes")+COUNTIFS($B$7:B2006,B2006,$C$7:C2006,C2006,$I$7:I2006,I2006,$AI$7:AI2006,"yes"),"")</f>
        <v>7</v>
      </c>
      <c r="AH2006" s="110" t="str">
        <f aca="false">IF(ISNUMBER(H2006),"yes","no")</f>
        <v>yes</v>
      </c>
      <c r="AI2006" s="110" t="str">
        <f aca="false">IF(ISNUMBER(I2006),"yes","no")</f>
        <v>yes</v>
      </c>
      <c r="AJ2006" s="120" t="n">
        <v>46297</v>
      </c>
      <c r="AK2006" s="110"/>
    </row>
    <row r="2007" customFormat="false" ht="23.85" hidden="false" customHeight="false" outlineLevel="0" collapsed="false">
      <c r="B2007" s="36" t="s">
        <v>107</v>
      </c>
      <c r="C2007" s="98" t="s">
        <v>15</v>
      </c>
      <c r="D2007" s="98" t="s">
        <v>273</v>
      </c>
      <c r="E2007" s="110" t="s">
        <v>6163</v>
      </c>
      <c r="F2007" s="99" t="n">
        <v>6.98</v>
      </c>
      <c r="G2007" s="98" t="s">
        <v>244</v>
      </c>
      <c r="H2007" s="112" t="n">
        <f aca="false">IF(AND(AE2007="yes",ISNUMBER(AD2007)),AD2007,"")</f>
        <v>5.82</v>
      </c>
      <c r="I2007" s="95" t="n">
        <f aca="false">IF(AND(AE2007="yes",ISNUMBER(AD2007),ISNUMBER(INDEX(Sources!$G$7:$G$10,MATCH(AB2007,Sources!$B$7:$B$10,0)))),ROUND(AD2007/INDEX(Sources!$G$7:$G$10,MATCH(AB2007,Sources!$B$7:$B$10,0)),6),"")</f>
        <v>5.82</v>
      </c>
      <c r="J2007" s="98" t="s">
        <v>702</v>
      </c>
      <c r="K2007" s="98" t="s">
        <v>2059</v>
      </c>
      <c r="L2007" s="96"/>
      <c r="M2007" s="110" t="s">
        <v>6164</v>
      </c>
      <c r="N2007" s="117" t="s">
        <v>6165</v>
      </c>
      <c r="O2007" s="110" t="s">
        <v>642</v>
      </c>
      <c r="P2007" s="110" t="s">
        <v>265</v>
      </c>
      <c r="Q2007" s="118" t="n">
        <v>0.2</v>
      </c>
      <c r="R2007" s="110" t="n">
        <v>1</v>
      </c>
      <c r="S2007" s="110" t="s">
        <v>632</v>
      </c>
      <c r="T2007" s="110" t="s">
        <v>702</v>
      </c>
      <c r="U2007" s="110" t="s">
        <v>2918</v>
      </c>
      <c r="V2007" s="119" t="n">
        <v>5.82</v>
      </c>
      <c r="W2007" s="119"/>
      <c r="X2007" s="110" t="s">
        <v>2063</v>
      </c>
      <c r="Y2007" s="110" t="s">
        <v>2064</v>
      </c>
      <c r="Z2007" s="110"/>
      <c r="AA2007" s="110" t="s">
        <v>537</v>
      </c>
      <c r="AB2007" s="110" t="s">
        <v>244</v>
      </c>
      <c r="AC2007" s="110" t="s">
        <v>538</v>
      </c>
      <c r="AD2007" s="110" t="n">
        <f aca="false">IF(OR(F2007="",Q2007="",R2007=""),"",ROUND(IF(P2007="incl.",F2007/(1+Q2007),F2007)/IF(S2007="per pack",R2007,1),2))</f>
        <v>5.82</v>
      </c>
      <c r="AE2007" s="110" t="str">
        <f aca="false">IF(AND(AC2007="yes",ISNUMBER(F2007),IF(Compare!$H$5="All mapped",TRUE(),IF(Compare!$H$5="EXACT only",J2007="EXACT",OR(J2007="EXACT",J2007="CLOSE")))),"yes","no")</f>
        <v>yes</v>
      </c>
      <c r="AF2007" s="110" t="n">
        <f aca="false">IF(ISNUMBER(H2007),COUNTIFS($B$7:$B$3000,B2007,$C$7:$C$3000,C2007,$H$7:$H$3000,"&lt;"&amp;H2007,$AH$7:$AH$3000,"yes")+COUNTIFS($B$7:B2007,B2007,$C$7:C2007,C2007,$H$7:H2007,H2007,$AH$7:AH2007,"yes"),"")</f>
        <v>6</v>
      </c>
      <c r="AG2007" s="110" t="n">
        <f aca="false">IF(ISNUMBER(I2007),COUNTIFS($B$7:$B$3000,B2007,$C$7:$C$3000,C2007,$I$7:$I$3000,"&lt;"&amp;I2007,$AI$7:$AI$3000,"yes")+COUNTIFS($B$7:B2007,B2007,$C$7:C2007,C2007,$I$7:I2007,I2007,$AI$7:AI2007,"yes"),"")</f>
        <v>6</v>
      </c>
      <c r="AH2007" s="110" t="str">
        <f aca="false">IF(ISNUMBER(H2007),"yes","no")</f>
        <v>yes</v>
      </c>
      <c r="AI2007" s="110" t="str">
        <f aca="false">IF(ISNUMBER(I2007),"yes","no")</f>
        <v>yes</v>
      </c>
      <c r="AJ2007" s="120" t="n">
        <v>46297</v>
      </c>
      <c r="AK2007" s="110"/>
    </row>
    <row r="2008" customFormat="false" ht="57.45" hidden="false" customHeight="false" outlineLevel="0" collapsed="false">
      <c r="B2008" s="36" t="s">
        <v>107</v>
      </c>
      <c r="C2008" s="98" t="s">
        <v>15</v>
      </c>
      <c r="D2008" s="98" t="s">
        <v>281</v>
      </c>
      <c r="E2008" s="110" t="s">
        <v>6166</v>
      </c>
      <c r="F2008" s="99" t="n">
        <v>2.32</v>
      </c>
      <c r="G2008" s="98" t="s">
        <v>244</v>
      </c>
      <c r="H2008" s="112" t="n">
        <f aca="false">IF(AND(AE2008="yes",ISNUMBER(AD2008)),AD2008,"")</f>
        <v>2.32</v>
      </c>
      <c r="I2008" s="95" t="n">
        <f aca="false">IF(AND(AE2008="yes",ISNUMBER(AD2008),ISNUMBER(INDEX(Sources!$G$7:$G$10,MATCH(AB2008,Sources!$B$7:$B$10,0)))),ROUND(AD2008/INDEX(Sources!$G$7:$G$10,MATCH(AB2008,Sources!$B$7:$B$10,0)),6),"")</f>
        <v>2.32</v>
      </c>
      <c r="J2008" s="98" t="s">
        <v>702</v>
      </c>
      <c r="K2008" s="98" t="s">
        <v>2059</v>
      </c>
      <c r="L2008" s="96"/>
      <c r="M2008" s="110" t="s">
        <v>6167</v>
      </c>
      <c r="N2008" s="117" t="s">
        <v>6168</v>
      </c>
      <c r="O2008" s="110" t="s">
        <v>603</v>
      </c>
      <c r="P2008" s="110" t="s">
        <v>590</v>
      </c>
      <c r="Q2008" s="118" t="n">
        <v>0.2</v>
      </c>
      <c r="R2008" s="110" t="n">
        <v>1</v>
      </c>
      <c r="S2008" s="110" t="s">
        <v>632</v>
      </c>
      <c r="T2008" s="110" t="s">
        <v>702</v>
      </c>
      <c r="U2008" s="110" t="s">
        <v>2913</v>
      </c>
      <c r="V2008" s="119" t="n">
        <v>2.32</v>
      </c>
      <c r="W2008" s="119"/>
      <c r="X2008" s="110" t="s">
        <v>2063</v>
      </c>
      <c r="Y2008" s="110" t="s">
        <v>2064</v>
      </c>
      <c r="Z2008" s="110" t="s">
        <v>2125</v>
      </c>
      <c r="AA2008" s="110" t="s">
        <v>537</v>
      </c>
      <c r="AB2008" s="110" t="s">
        <v>244</v>
      </c>
      <c r="AC2008" s="110" t="s">
        <v>538</v>
      </c>
      <c r="AD2008" s="110" t="n">
        <f aca="false">IF(OR(F2008="",Q2008="",R2008=""),"",ROUND(IF(P2008="incl.",F2008/(1+Q2008),F2008)/IF(S2008="per pack",R2008,1),2))</f>
        <v>2.32</v>
      </c>
      <c r="AE2008" s="110" t="str">
        <f aca="false">IF(AND(AC2008="yes",ISNUMBER(F2008),IF(Compare!$H$5="All mapped",TRUE(),IF(Compare!$H$5="EXACT only",J2008="EXACT",OR(J2008="EXACT",J2008="CLOSE")))),"yes","no")</f>
        <v>yes</v>
      </c>
      <c r="AF2008" s="110" t="n">
        <f aca="false">IF(ISNUMBER(H2008),COUNTIFS($B$7:$B$3000,B2008,$C$7:$C$3000,C2008,$H$7:$H$3000,"&lt;"&amp;H2008,$AH$7:$AH$3000,"yes")+COUNTIFS($B$7:B2008,B2008,$C$7:C2008,C2008,$H$7:H2008,H2008,$AH$7:AH2008,"yes"),"")</f>
        <v>2</v>
      </c>
      <c r="AG2008" s="110" t="n">
        <f aca="false">IF(ISNUMBER(I2008),COUNTIFS($B$7:$B$3000,B2008,$C$7:$C$3000,C2008,$I$7:$I$3000,"&lt;"&amp;I2008,$AI$7:$AI$3000,"yes")+COUNTIFS($B$7:B2008,B2008,$C$7:C2008,C2008,$I$7:I2008,I2008,$AI$7:AI2008,"yes"),"")</f>
        <v>2</v>
      </c>
      <c r="AH2008" s="110" t="str">
        <f aca="false">IF(ISNUMBER(H2008),"yes","no")</f>
        <v>yes</v>
      </c>
      <c r="AI2008" s="110" t="str">
        <f aca="false">IF(ISNUMBER(I2008),"yes","no")</f>
        <v>yes</v>
      </c>
      <c r="AJ2008" s="120" t="n">
        <v>46297</v>
      </c>
      <c r="AK2008" s="110"/>
    </row>
    <row r="2009" customFormat="false" ht="35.05" hidden="false" customHeight="false" outlineLevel="0" collapsed="false">
      <c r="B2009" s="36" t="s">
        <v>107</v>
      </c>
      <c r="C2009" s="98" t="s">
        <v>15</v>
      </c>
      <c r="D2009" s="98" t="s">
        <v>293</v>
      </c>
      <c r="E2009" s="110" t="s">
        <v>6169</v>
      </c>
      <c r="F2009" s="99" t="n">
        <v>2.1</v>
      </c>
      <c r="G2009" s="98" t="s">
        <v>244</v>
      </c>
      <c r="H2009" s="112" t="n">
        <f aca="false">IF(AND(AE2009="yes",ISNUMBER(AD2009)),AD2009,"")</f>
        <v>2.1</v>
      </c>
      <c r="I2009" s="95" t="n">
        <f aca="false">IF(AND(AE2009="yes",ISNUMBER(AD2009),ISNUMBER(INDEX(Sources!$G$7:$G$10,MATCH(AB2009,Sources!$B$7:$B$10,0)))),ROUND(AD2009/INDEX(Sources!$G$7:$G$10,MATCH(AB2009,Sources!$B$7:$B$10,0)),6),"")</f>
        <v>2.1</v>
      </c>
      <c r="J2009" s="98" t="s">
        <v>530</v>
      </c>
      <c r="K2009" s="98" t="s">
        <v>2059</v>
      </c>
      <c r="L2009" s="96"/>
      <c r="M2009" s="110" t="s">
        <v>6170</v>
      </c>
      <c r="N2009" s="117" t="s">
        <v>6171</v>
      </c>
      <c r="O2009" s="110" t="s">
        <v>4358</v>
      </c>
      <c r="P2009" s="110" t="s">
        <v>590</v>
      </c>
      <c r="Q2009" s="118" t="n">
        <v>0.2</v>
      </c>
      <c r="R2009" s="110" t="n">
        <v>1</v>
      </c>
      <c r="S2009" s="110" t="s">
        <v>632</v>
      </c>
      <c r="T2009" s="110" t="s">
        <v>530</v>
      </c>
      <c r="U2009" s="110" t="s">
        <v>2913</v>
      </c>
      <c r="V2009" s="119" t="n">
        <v>2.1</v>
      </c>
      <c r="W2009" s="119"/>
      <c r="X2009" s="110" t="s">
        <v>2063</v>
      </c>
      <c r="Y2009" s="110" t="s">
        <v>2064</v>
      </c>
      <c r="Z2009" s="110"/>
      <c r="AA2009" s="110" t="s">
        <v>537</v>
      </c>
      <c r="AB2009" s="110" t="s">
        <v>244</v>
      </c>
      <c r="AC2009" s="110" t="s">
        <v>538</v>
      </c>
      <c r="AD2009" s="110" t="n">
        <f aca="false">IF(OR(F2009="",Q2009="",R2009=""),"",ROUND(IF(P2009="incl.",F2009/(1+Q2009),F2009)/IF(S2009="per pack",R2009,1),2))</f>
        <v>2.1</v>
      </c>
      <c r="AE2009" s="110" t="str">
        <f aca="false">IF(AND(AC2009="yes",ISNUMBER(F2009),IF(Compare!$H$5="All mapped",TRUE(),IF(Compare!$H$5="EXACT only",J2009="EXACT",OR(J2009="EXACT",J2009="CLOSE")))),"yes","no")</f>
        <v>yes</v>
      </c>
      <c r="AF2009" s="110" t="n">
        <f aca="false">IF(ISNUMBER(H2009),COUNTIFS($B$7:$B$3000,B2009,$C$7:$C$3000,C2009,$H$7:$H$3000,"&lt;"&amp;H2009,$AH$7:$AH$3000,"yes")+COUNTIFS($B$7:B2009,B2009,$C$7:C2009,C2009,$H$7:H2009,H2009,$AH$7:AH2009,"yes"),"")</f>
        <v>1</v>
      </c>
      <c r="AG2009" s="110" t="n">
        <f aca="false">IF(ISNUMBER(I2009),COUNTIFS($B$7:$B$3000,B2009,$C$7:$C$3000,C2009,$I$7:$I$3000,"&lt;"&amp;I2009,$AI$7:$AI$3000,"yes")+COUNTIFS($B$7:B2009,B2009,$C$7:C2009,C2009,$I$7:I2009,I2009,$AI$7:AI2009,"yes"),"")</f>
        <v>1</v>
      </c>
      <c r="AH2009" s="110" t="str">
        <f aca="false">IF(ISNUMBER(H2009),"yes","no")</f>
        <v>yes</v>
      </c>
      <c r="AI2009" s="110" t="str">
        <f aca="false">IF(ISNUMBER(I2009),"yes","no")</f>
        <v>yes</v>
      </c>
      <c r="AJ2009" s="120" t="n">
        <v>46297</v>
      </c>
      <c r="AK2009" s="110"/>
    </row>
    <row r="2010" customFormat="false" ht="23.85" hidden="false" customHeight="false" outlineLevel="0" collapsed="false">
      <c r="B2010" s="36" t="s">
        <v>107</v>
      </c>
      <c r="C2010" s="98" t="s">
        <v>16</v>
      </c>
      <c r="D2010" s="98" t="s">
        <v>296</v>
      </c>
      <c r="E2010" s="110" t="s">
        <v>6172</v>
      </c>
      <c r="F2010" s="99" t="n">
        <v>4.09</v>
      </c>
      <c r="G2010" s="98" t="s">
        <v>244</v>
      </c>
      <c r="H2010" s="112" t="n">
        <f aca="false">IF(AND(AE2010="yes",ISNUMBER(AD2010)),AD2010,"")</f>
        <v>4.09</v>
      </c>
      <c r="I2010" s="95" t="n">
        <f aca="false">IF(AND(AE2010="yes",ISNUMBER(AD2010),ISNUMBER(INDEX(Sources!$G$7:$G$10,MATCH(AB2010,Sources!$B$7:$B$10,0)))),ROUND(AD2010/INDEX(Sources!$G$7:$G$10,MATCH(AB2010,Sources!$B$7:$B$10,0)),6),"")</f>
        <v>4.09</v>
      </c>
      <c r="J2010" s="98" t="s">
        <v>530</v>
      </c>
      <c r="K2010" s="98" t="s">
        <v>2059</v>
      </c>
      <c r="L2010" s="96"/>
      <c r="M2010" s="110" t="s">
        <v>6173</v>
      </c>
      <c r="N2010" s="117" t="s">
        <v>6174</v>
      </c>
      <c r="O2010" s="110" t="s">
        <v>4362</v>
      </c>
      <c r="P2010" s="110" t="s">
        <v>590</v>
      </c>
      <c r="Q2010" s="118" t="n">
        <v>0.19</v>
      </c>
      <c r="R2010" s="110" t="n">
        <v>1</v>
      </c>
      <c r="S2010" s="110" t="s">
        <v>632</v>
      </c>
      <c r="T2010" s="110" t="s">
        <v>530</v>
      </c>
      <c r="U2010" s="110" t="s">
        <v>2913</v>
      </c>
      <c r="V2010" s="119" t="n">
        <v>4.09</v>
      </c>
      <c r="W2010" s="119"/>
      <c r="X2010" s="110" t="s">
        <v>2063</v>
      </c>
      <c r="Y2010" s="110" t="s">
        <v>2064</v>
      </c>
      <c r="Z2010" s="110" t="s">
        <v>2164</v>
      </c>
      <c r="AA2010" s="110" t="s">
        <v>537</v>
      </c>
      <c r="AB2010" s="110" t="s">
        <v>244</v>
      </c>
      <c r="AC2010" s="110" t="s">
        <v>538</v>
      </c>
      <c r="AD2010" s="110" t="n">
        <f aca="false">IF(OR(F2010="",Q2010="",R2010=""),"",ROUND(IF(P2010="incl.",F2010/(1+Q2010),F2010)/IF(S2010="per pack",R2010,1),2))</f>
        <v>4.09</v>
      </c>
      <c r="AE2010" s="110" t="str">
        <f aca="false">IF(AND(AC2010="yes",ISNUMBER(F2010),IF(Compare!$H$5="All mapped",TRUE(),IF(Compare!$H$5="EXACT only",J2010="EXACT",OR(J2010="EXACT",J2010="CLOSE")))),"yes","no")</f>
        <v>yes</v>
      </c>
      <c r="AF2010" s="110" t="n">
        <f aca="false">IF(ISNUMBER(H2010),COUNTIFS($B$7:$B$3000,B2010,$C$7:$C$3000,C2010,$H$7:$H$3000,"&lt;"&amp;H2010,$AH$7:$AH$3000,"yes")+COUNTIFS($B$7:B2010,B2010,$C$7:C2010,C2010,$H$7:H2010,H2010,$AH$7:AH2010,"yes"),"")</f>
        <v>6</v>
      </c>
      <c r="AG2010" s="110" t="n">
        <f aca="false">IF(ISNUMBER(I2010),COUNTIFS($B$7:$B$3000,B2010,$C$7:$C$3000,C2010,$I$7:$I$3000,"&lt;"&amp;I2010,$AI$7:$AI$3000,"yes")+COUNTIFS($B$7:B2010,B2010,$C$7:C2010,C2010,$I$7:I2010,I2010,$AI$7:AI2010,"yes"),"")</f>
        <v>6</v>
      </c>
      <c r="AH2010" s="110" t="str">
        <f aca="false">IF(ISNUMBER(H2010),"yes","no")</f>
        <v>yes</v>
      </c>
      <c r="AI2010" s="110" t="str">
        <f aca="false">IF(ISNUMBER(I2010),"yes","no")</f>
        <v>yes</v>
      </c>
      <c r="AJ2010" s="120" t="n">
        <v>46297</v>
      </c>
      <c r="AK2010" s="110"/>
    </row>
    <row r="2011" customFormat="false" ht="35.05" hidden="false" customHeight="false" outlineLevel="0" collapsed="false">
      <c r="B2011" s="36" t="s">
        <v>107</v>
      </c>
      <c r="C2011" s="98" t="s">
        <v>16</v>
      </c>
      <c r="D2011" s="98" t="s">
        <v>317</v>
      </c>
      <c r="E2011" s="110" t="s">
        <v>6175</v>
      </c>
      <c r="F2011" s="99" t="n">
        <v>44.99</v>
      </c>
      <c r="G2011" s="98" t="s">
        <v>244</v>
      </c>
      <c r="H2011" s="112" t="n">
        <f aca="false">IF(AND(AE2011="yes",ISNUMBER(AD2011)),AD2011,"")</f>
        <v>3.75</v>
      </c>
      <c r="I2011" s="95" t="n">
        <f aca="false">IF(AND(AE2011="yes",ISNUMBER(AD2011),ISNUMBER(INDEX(Sources!$G$7:$G$10,MATCH(AB2011,Sources!$B$7:$B$10,0)))),ROUND(AD2011/INDEX(Sources!$G$7:$G$10,MATCH(AB2011,Sources!$B$7:$B$10,0)),6),"")</f>
        <v>3.75</v>
      </c>
      <c r="J2011" s="98" t="s">
        <v>530</v>
      </c>
      <c r="K2011" s="98" t="s">
        <v>2059</v>
      </c>
      <c r="L2011" s="96"/>
      <c r="M2011" s="110" t="s">
        <v>6176</v>
      </c>
      <c r="N2011" s="117" t="s">
        <v>6177</v>
      </c>
      <c r="O2011" s="110" t="s">
        <v>317</v>
      </c>
      <c r="P2011" s="110" t="s">
        <v>590</v>
      </c>
      <c r="Q2011" s="118" t="n">
        <v>0.19</v>
      </c>
      <c r="R2011" s="110" t="n">
        <v>12</v>
      </c>
      <c r="S2011" s="110" t="s">
        <v>625</v>
      </c>
      <c r="T2011" s="110" t="s">
        <v>530</v>
      </c>
      <c r="U2011" s="110" t="s">
        <v>2913</v>
      </c>
      <c r="V2011" s="119" t="n">
        <v>3.75</v>
      </c>
      <c r="W2011" s="119"/>
      <c r="X2011" s="110" t="s">
        <v>2063</v>
      </c>
      <c r="Y2011" s="110" t="s">
        <v>2064</v>
      </c>
      <c r="Z2011" s="110" t="s">
        <v>4521</v>
      </c>
      <c r="AA2011" s="110" t="s">
        <v>537</v>
      </c>
      <c r="AB2011" s="110" t="s">
        <v>244</v>
      </c>
      <c r="AC2011" s="110" t="s">
        <v>538</v>
      </c>
      <c r="AD2011" s="110" t="n">
        <f aca="false">IF(OR(F2011="",Q2011="",R2011=""),"",ROUND(IF(P2011="incl.",F2011/(1+Q2011),F2011)/IF(S2011="per pack",R2011,1),2))</f>
        <v>3.75</v>
      </c>
      <c r="AE2011" s="110" t="str">
        <f aca="false">IF(AND(AC2011="yes",ISNUMBER(F2011),IF(Compare!$H$5="All mapped",TRUE(),IF(Compare!$H$5="EXACT only",J2011="EXACT",OR(J2011="EXACT",J2011="CLOSE")))),"yes","no")</f>
        <v>yes</v>
      </c>
      <c r="AF2011" s="110" t="n">
        <f aca="false">IF(ISNUMBER(H2011),COUNTIFS($B$7:$B$3000,B2011,$C$7:$C$3000,C2011,$H$7:$H$3000,"&lt;"&amp;H2011,$AH$7:$AH$3000,"yes")+COUNTIFS($B$7:B2011,B2011,$C$7:C2011,C2011,$H$7:H2011,H2011,$AH$7:AH2011,"yes"),"")</f>
        <v>5</v>
      </c>
      <c r="AG2011" s="110" t="n">
        <f aca="false">IF(ISNUMBER(I2011),COUNTIFS($B$7:$B$3000,B2011,$C$7:$C$3000,C2011,$I$7:$I$3000,"&lt;"&amp;I2011,$AI$7:$AI$3000,"yes")+COUNTIFS($B$7:B2011,B2011,$C$7:C2011,C2011,$I$7:I2011,I2011,$AI$7:AI2011,"yes"),"")</f>
        <v>5</v>
      </c>
      <c r="AH2011" s="110" t="str">
        <f aca="false">IF(ISNUMBER(H2011),"yes","no")</f>
        <v>yes</v>
      </c>
      <c r="AI2011" s="110" t="str">
        <f aca="false">IF(ISNUMBER(I2011),"yes","no")</f>
        <v>yes</v>
      </c>
      <c r="AJ2011" s="120" t="n">
        <v>46297</v>
      </c>
      <c r="AK2011" s="110"/>
    </row>
    <row r="2012" customFormat="false" ht="23.85" hidden="false" customHeight="false" outlineLevel="0" collapsed="false">
      <c r="B2012" s="36" t="s">
        <v>107</v>
      </c>
      <c r="C2012" s="98" t="s">
        <v>16</v>
      </c>
      <c r="D2012" s="98" t="s">
        <v>305</v>
      </c>
      <c r="E2012" s="110" t="s">
        <v>6178</v>
      </c>
      <c r="F2012" s="99" t="n">
        <v>2.17</v>
      </c>
      <c r="G2012" s="98" t="s">
        <v>244</v>
      </c>
      <c r="H2012" s="112" t="n">
        <f aca="false">IF(AND(AE2012="yes",ISNUMBER(AD2012)),AD2012,"")</f>
        <v>2.17</v>
      </c>
      <c r="I2012" s="95" t="n">
        <f aca="false">IF(AND(AE2012="yes",ISNUMBER(AD2012),ISNUMBER(INDEX(Sources!$G$7:$G$10,MATCH(AB2012,Sources!$B$7:$B$10,0)))),ROUND(AD2012/INDEX(Sources!$G$7:$G$10,MATCH(AB2012,Sources!$B$7:$B$10,0)),6),"")</f>
        <v>2.17</v>
      </c>
      <c r="J2012" s="98" t="s">
        <v>530</v>
      </c>
      <c r="K2012" s="98" t="s">
        <v>2059</v>
      </c>
      <c r="L2012" s="96"/>
      <c r="M2012" s="110" t="s">
        <v>6179</v>
      </c>
      <c r="N2012" s="117" t="s">
        <v>6180</v>
      </c>
      <c r="O2012" s="110" t="s">
        <v>603</v>
      </c>
      <c r="P2012" s="110" t="s">
        <v>590</v>
      </c>
      <c r="Q2012" s="118" t="n">
        <v>0.19</v>
      </c>
      <c r="R2012" s="110" t="n">
        <v>1</v>
      </c>
      <c r="S2012" s="110" t="s">
        <v>632</v>
      </c>
      <c r="T2012" s="110" t="s">
        <v>530</v>
      </c>
      <c r="U2012" s="110" t="s">
        <v>2913</v>
      </c>
      <c r="V2012" s="119" t="n">
        <v>2.17</v>
      </c>
      <c r="W2012" s="119"/>
      <c r="X2012" s="110" t="s">
        <v>2063</v>
      </c>
      <c r="Y2012" s="110" t="s">
        <v>2064</v>
      </c>
      <c r="Z2012" s="110" t="s">
        <v>2142</v>
      </c>
      <c r="AA2012" s="110" t="s">
        <v>537</v>
      </c>
      <c r="AB2012" s="110" t="s">
        <v>244</v>
      </c>
      <c r="AC2012" s="110" t="s">
        <v>538</v>
      </c>
      <c r="AD2012" s="110" t="n">
        <f aca="false">IF(OR(F2012="",Q2012="",R2012=""),"",ROUND(IF(P2012="incl.",F2012/(1+Q2012),F2012)/IF(S2012="per pack",R2012,1),2))</f>
        <v>2.17</v>
      </c>
      <c r="AE2012" s="110" t="str">
        <f aca="false">IF(AND(AC2012="yes",ISNUMBER(F2012),IF(Compare!$H$5="All mapped",TRUE(),IF(Compare!$H$5="EXACT only",J2012="EXACT",OR(J2012="EXACT",J2012="CLOSE")))),"yes","no")</f>
        <v>yes</v>
      </c>
      <c r="AF2012" s="110" t="n">
        <f aca="false">IF(ISNUMBER(H2012),COUNTIFS($B$7:$B$3000,B2012,$C$7:$C$3000,C2012,$H$7:$H$3000,"&lt;"&amp;H2012,$AH$7:$AH$3000,"yes")+COUNTIFS($B$7:B2012,B2012,$C$7:C2012,C2012,$H$7:H2012,H2012,$AH$7:AH2012,"yes"),"")</f>
        <v>1</v>
      </c>
      <c r="AG2012" s="110" t="n">
        <f aca="false">IF(ISNUMBER(I2012),COUNTIFS($B$7:$B$3000,B2012,$C$7:$C$3000,C2012,$I$7:$I$3000,"&lt;"&amp;I2012,$AI$7:$AI$3000,"yes")+COUNTIFS($B$7:B2012,B2012,$C$7:C2012,C2012,$I$7:I2012,I2012,$AI$7:AI2012,"yes"),"")</f>
        <v>1</v>
      </c>
      <c r="AH2012" s="110" t="str">
        <f aca="false">IF(ISNUMBER(H2012),"yes","no")</f>
        <v>yes</v>
      </c>
      <c r="AI2012" s="110" t="str">
        <f aca="false">IF(ISNUMBER(I2012),"yes","no")</f>
        <v>yes</v>
      </c>
      <c r="AJ2012" s="120" t="n">
        <v>46297</v>
      </c>
      <c r="AK2012" s="110"/>
    </row>
    <row r="2013" customFormat="false" ht="23.85" hidden="false" customHeight="false" outlineLevel="0" collapsed="false">
      <c r="B2013" s="36" t="s">
        <v>107</v>
      </c>
      <c r="C2013" s="98" t="s">
        <v>16</v>
      </c>
      <c r="D2013" s="98" t="s">
        <v>311</v>
      </c>
      <c r="E2013" s="110" t="s">
        <v>6157</v>
      </c>
      <c r="F2013" s="99" t="n">
        <v>2.69</v>
      </c>
      <c r="G2013" s="98" t="s">
        <v>244</v>
      </c>
      <c r="H2013" s="112" t="n">
        <f aca="false">IF(AND(AE2013="yes",ISNUMBER(AD2013)),AD2013,"")</f>
        <v>2.69</v>
      </c>
      <c r="I2013" s="95" t="n">
        <f aca="false">IF(AND(AE2013="yes",ISNUMBER(AD2013),ISNUMBER(INDEX(Sources!$G$7:$G$10,MATCH(AB2013,Sources!$B$7:$B$10,0)))),ROUND(AD2013/INDEX(Sources!$G$7:$G$10,MATCH(AB2013,Sources!$B$7:$B$10,0)),6),"")</f>
        <v>2.69</v>
      </c>
      <c r="J2013" s="98" t="s">
        <v>530</v>
      </c>
      <c r="K2013" s="98" t="s">
        <v>2059</v>
      </c>
      <c r="L2013" s="96"/>
      <c r="M2013" s="110" t="s">
        <v>6181</v>
      </c>
      <c r="N2013" s="117" t="s">
        <v>6182</v>
      </c>
      <c r="O2013" s="110" t="s">
        <v>589</v>
      </c>
      <c r="P2013" s="110" t="s">
        <v>590</v>
      </c>
      <c r="Q2013" s="118" t="n">
        <v>0.19</v>
      </c>
      <c r="R2013" s="110" t="n">
        <v>1</v>
      </c>
      <c r="S2013" s="110" t="s">
        <v>632</v>
      </c>
      <c r="T2013" s="110" t="s">
        <v>530</v>
      </c>
      <c r="U2013" s="110" t="s">
        <v>2913</v>
      </c>
      <c r="V2013" s="119" t="n">
        <v>2.69</v>
      </c>
      <c r="W2013" s="119"/>
      <c r="X2013" s="110" t="s">
        <v>2063</v>
      </c>
      <c r="Y2013" s="110" t="s">
        <v>2064</v>
      </c>
      <c r="Z2013" s="110" t="s">
        <v>4369</v>
      </c>
      <c r="AA2013" s="110" t="s">
        <v>537</v>
      </c>
      <c r="AB2013" s="110" t="s">
        <v>244</v>
      </c>
      <c r="AC2013" s="110" t="s">
        <v>538</v>
      </c>
      <c r="AD2013" s="110" t="n">
        <f aca="false">IF(OR(F2013="",Q2013="",R2013=""),"",ROUND(IF(P2013="incl.",F2013/(1+Q2013),F2013)/IF(S2013="per pack",R2013,1),2))</f>
        <v>2.69</v>
      </c>
      <c r="AE2013" s="110" t="str">
        <f aca="false">IF(AND(AC2013="yes",ISNUMBER(F2013),IF(Compare!$H$5="All mapped",TRUE(),IF(Compare!$H$5="EXACT only",J2013="EXACT",OR(J2013="EXACT",J2013="CLOSE")))),"yes","no")</f>
        <v>yes</v>
      </c>
      <c r="AF2013" s="110" t="n">
        <f aca="false">IF(ISNUMBER(H2013),COUNTIFS($B$7:$B$3000,B2013,$C$7:$C$3000,C2013,$H$7:$H$3000,"&lt;"&amp;H2013,$AH$7:$AH$3000,"yes")+COUNTIFS($B$7:B2013,B2013,$C$7:C2013,C2013,$H$7:H2013,H2013,$AH$7:AH2013,"yes"),"")</f>
        <v>4</v>
      </c>
      <c r="AG2013" s="110" t="n">
        <f aca="false">IF(ISNUMBER(I2013),COUNTIFS($B$7:$B$3000,B2013,$C$7:$C$3000,C2013,$I$7:$I$3000,"&lt;"&amp;I2013,$AI$7:$AI$3000,"yes")+COUNTIFS($B$7:B2013,B2013,$C$7:C2013,C2013,$I$7:I2013,I2013,$AI$7:AI2013,"yes"),"")</f>
        <v>4</v>
      </c>
      <c r="AH2013" s="110" t="str">
        <f aca="false">IF(ISNUMBER(H2013),"yes","no")</f>
        <v>yes</v>
      </c>
      <c r="AI2013" s="110" t="str">
        <f aca="false">IF(ISNUMBER(I2013),"yes","no")</f>
        <v>yes</v>
      </c>
      <c r="AJ2013" s="120" t="n">
        <v>46297</v>
      </c>
      <c r="AK2013" s="110"/>
    </row>
    <row r="2014" customFormat="false" ht="35.05" hidden="false" customHeight="false" outlineLevel="0" collapsed="false">
      <c r="B2014" s="36" t="s">
        <v>107</v>
      </c>
      <c r="C2014" s="98" t="s">
        <v>16</v>
      </c>
      <c r="D2014" s="98" t="s">
        <v>313</v>
      </c>
      <c r="E2014" s="110" t="s">
        <v>6163</v>
      </c>
      <c r="F2014" s="99" t="n">
        <v>6.98</v>
      </c>
      <c r="G2014" s="98" t="s">
        <v>244</v>
      </c>
      <c r="H2014" s="112" t="n">
        <f aca="false">IF(AND(AE2014="yes",ISNUMBER(AD2014)),AD2014,"")</f>
        <v>5.87</v>
      </c>
      <c r="I2014" s="95" t="n">
        <f aca="false">IF(AND(AE2014="yes",ISNUMBER(AD2014),ISNUMBER(INDEX(Sources!$G$7:$G$10,MATCH(AB2014,Sources!$B$7:$B$10,0)))),ROUND(AD2014/INDEX(Sources!$G$7:$G$10,MATCH(AB2014,Sources!$B$7:$B$10,0)),6),"")</f>
        <v>5.87</v>
      </c>
      <c r="J2014" s="98" t="s">
        <v>702</v>
      </c>
      <c r="K2014" s="98" t="s">
        <v>2059</v>
      </c>
      <c r="L2014" s="96"/>
      <c r="M2014" s="110" t="s">
        <v>6183</v>
      </c>
      <c r="N2014" s="117" t="s">
        <v>6184</v>
      </c>
      <c r="O2014" s="110" t="s">
        <v>642</v>
      </c>
      <c r="P2014" s="110" t="s">
        <v>265</v>
      </c>
      <c r="Q2014" s="118" t="n">
        <v>0.19</v>
      </c>
      <c r="R2014" s="110" t="n">
        <v>1</v>
      </c>
      <c r="S2014" s="110" t="s">
        <v>632</v>
      </c>
      <c r="T2014" s="110" t="s">
        <v>702</v>
      </c>
      <c r="U2014" s="110" t="s">
        <v>2918</v>
      </c>
      <c r="V2014" s="119" t="n">
        <v>5.87</v>
      </c>
      <c r="W2014" s="119"/>
      <c r="X2014" s="110" t="s">
        <v>2063</v>
      </c>
      <c r="Y2014" s="110" t="s">
        <v>2064</v>
      </c>
      <c r="Z2014" s="110" t="s">
        <v>4376</v>
      </c>
      <c r="AA2014" s="110" t="s">
        <v>537</v>
      </c>
      <c r="AB2014" s="110" t="s">
        <v>244</v>
      </c>
      <c r="AC2014" s="110" t="s">
        <v>538</v>
      </c>
      <c r="AD2014" s="110" t="n">
        <f aca="false">IF(OR(F2014="",Q2014="",R2014=""),"",ROUND(IF(P2014="incl.",F2014/(1+Q2014),F2014)/IF(S2014="per pack",R2014,1),2))</f>
        <v>5.87</v>
      </c>
      <c r="AE2014" s="110" t="str">
        <f aca="false">IF(AND(AC2014="yes",ISNUMBER(F2014),IF(Compare!$H$5="All mapped",TRUE(),IF(Compare!$H$5="EXACT only",J2014="EXACT",OR(J2014="EXACT",J2014="CLOSE")))),"yes","no")</f>
        <v>yes</v>
      </c>
      <c r="AF2014" s="110" t="n">
        <f aca="false">IF(ISNUMBER(H2014),COUNTIFS($B$7:$B$3000,B2014,$C$7:$C$3000,C2014,$H$7:$H$3000,"&lt;"&amp;H2014,$AH$7:$AH$3000,"yes")+COUNTIFS($B$7:B2014,B2014,$C$7:C2014,C2014,$H$7:H2014,H2014,$AH$7:AH2014,"yes"),"")</f>
        <v>7</v>
      </c>
      <c r="AG2014" s="110" t="n">
        <f aca="false">IF(ISNUMBER(I2014),COUNTIFS($B$7:$B$3000,B2014,$C$7:$C$3000,C2014,$I$7:$I$3000,"&lt;"&amp;I2014,$AI$7:$AI$3000,"yes")+COUNTIFS($B$7:B2014,B2014,$C$7:C2014,C2014,$I$7:I2014,I2014,$AI$7:AI2014,"yes"),"")</f>
        <v>7</v>
      </c>
      <c r="AH2014" s="110" t="str">
        <f aca="false">IF(ISNUMBER(H2014),"yes","no")</f>
        <v>yes</v>
      </c>
      <c r="AI2014" s="110" t="str">
        <f aca="false">IF(ISNUMBER(I2014),"yes","no")</f>
        <v>yes</v>
      </c>
      <c r="AJ2014" s="120" t="n">
        <v>46297</v>
      </c>
      <c r="AK2014" s="110"/>
    </row>
    <row r="2015" customFormat="false" ht="46.25" hidden="false" customHeight="false" outlineLevel="0" collapsed="false">
      <c r="B2015" s="36" t="s">
        <v>107</v>
      </c>
      <c r="C2015" s="98" t="s">
        <v>16</v>
      </c>
      <c r="D2015" s="98" t="s">
        <v>321</v>
      </c>
      <c r="E2015" s="110" t="s">
        <v>6166</v>
      </c>
      <c r="F2015" s="99" t="n">
        <v>2.32</v>
      </c>
      <c r="G2015" s="98" t="s">
        <v>244</v>
      </c>
      <c r="H2015" s="112" t="n">
        <f aca="false">IF(AND(AE2015="yes",ISNUMBER(AD2015)),AD2015,"")</f>
        <v>2.32</v>
      </c>
      <c r="I2015" s="95" t="n">
        <f aca="false">IF(AND(AE2015="yes",ISNUMBER(AD2015),ISNUMBER(INDEX(Sources!$G$7:$G$10,MATCH(AB2015,Sources!$B$7:$B$10,0)))),ROUND(AD2015/INDEX(Sources!$G$7:$G$10,MATCH(AB2015,Sources!$B$7:$B$10,0)),6),"")</f>
        <v>2.32</v>
      </c>
      <c r="J2015" s="98" t="s">
        <v>702</v>
      </c>
      <c r="K2015" s="98" t="s">
        <v>2059</v>
      </c>
      <c r="L2015" s="96"/>
      <c r="M2015" s="110" t="s">
        <v>6185</v>
      </c>
      <c r="N2015" s="117" t="s">
        <v>6186</v>
      </c>
      <c r="O2015" s="110" t="s">
        <v>603</v>
      </c>
      <c r="P2015" s="110" t="s">
        <v>590</v>
      </c>
      <c r="Q2015" s="118" t="n">
        <v>0.19</v>
      </c>
      <c r="R2015" s="110" t="n">
        <v>1</v>
      </c>
      <c r="S2015" s="110" t="s">
        <v>632</v>
      </c>
      <c r="T2015" s="110" t="s">
        <v>702</v>
      </c>
      <c r="U2015" s="110" t="s">
        <v>2913</v>
      </c>
      <c r="V2015" s="119" t="n">
        <v>2.32</v>
      </c>
      <c r="W2015" s="119"/>
      <c r="X2015" s="110" t="s">
        <v>2063</v>
      </c>
      <c r="Y2015" s="110" t="s">
        <v>2064</v>
      </c>
      <c r="Z2015" s="110" t="s">
        <v>2857</v>
      </c>
      <c r="AA2015" s="110" t="s">
        <v>537</v>
      </c>
      <c r="AB2015" s="110" t="s">
        <v>244</v>
      </c>
      <c r="AC2015" s="110" t="s">
        <v>538</v>
      </c>
      <c r="AD2015" s="110" t="n">
        <f aca="false">IF(OR(F2015="",Q2015="",R2015=""),"",ROUND(IF(P2015="incl.",F2015/(1+Q2015),F2015)/IF(S2015="per pack",R2015,1),2))</f>
        <v>2.32</v>
      </c>
      <c r="AE2015" s="110" t="str">
        <f aca="false">IF(AND(AC2015="yes",ISNUMBER(F2015),IF(Compare!$H$5="All mapped",TRUE(),IF(Compare!$H$5="EXACT only",J2015="EXACT",OR(J2015="EXACT",J2015="CLOSE")))),"yes","no")</f>
        <v>yes</v>
      </c>
      <c r="AF2015" s="110" t="n">
        <f aca="false">IF(ISNUMBER(H2015),COUNTIFS($B$7:$B$3000,B2015,$C$7:$C$3000,C2015,$H$7:$H$3000,"&lt;"&amp;H2015,$AH$7:$AH$3000,"yes")+COUNTIFS($B$7:B2015,B2015,$C$7:C2015,C2015,$H$7:H2015,H2015,$AH$7:AH2015,"yes"),"")</f>
        <v>2</v>
      </c>
      <c r="AG2015" s="110" t="n">
        <f aca="false">IF(ISNUMBER(I2015),COUNTIFS($B$7:$B$3000,B2015,$C$7:$C$3000,C2015,$I$7:$I$3000,"&lt;"&amp;I2015,$AI$7:$AI$3000,"yes")+COUNTIFS($B$7:B2015,B2015,$C$7:C2015,C2015,$I$7:I2015,I2015,$AI$7:AI2015,"yes"),"")</f>
        <v>2</v>
      </c>
      <c r="AH2015" s="110" t="str">
        <f aca="false">IF(ISNUMBER(H2015),"yes","no")</f>
        <v>yes</v>
      </c>
      <c r="AI2015" s="110" t="str">
        <f aca="false">IF(ISNUMBER(I2015),"yes","no")</f>
        <v>yes</v>
      </c>
      <c r="AJ2015" s="120" t="n">
        <v>46297</v>
      </c>
      <c r="AK2015" s="110"/>
    </row>
    <row r="2016" customFormat="false" ht="23.85" hidden="false" customHeight="false" outlineLevel="0" collapsed="false">
      <c r="B2016" s="36" t="s">
        <v>107</v>
      </c>
      <c r="C2016" s="98" t="s">
        <v>16</v>
      </c>
      <c r="D2016" s="98" t="s">
        <v>329</v>
      </c>
      <c r="E2016" s="110" t="s">
        <v>6187</v>
      </c>
      <c r="F2016" s="99" t="n">
        <v>2.49</v>
      </c>
      <c r="G2016" s="98" t="s">
        <v>244</v>
      </c>
      <c r="H2016" s="112" t="n">
        <f aca="false">IF(AND(AE2016="yes",ISNUMBER(AD2016)),AD2016,"")</f>
        <v>2.49</v>
      </c>
      <c r="I2016" s="95" t="n">
        <f aca="false">IF(AND(AE2016="yes",ISNUMBER(AD2016),ISNUMBER(INDEX(Sources!$G$7:$G$10,MATCH(AB2016,Sources!$B$7:$B$10,0)))),ROUND(AD2016/INDEX(Sources!$G$7:$G$10,MATCH(AB2016,Sources!$B$7:$B$10,0)),6),"")</f>
        <v>2.49</v>
      </c>
      <c r="J2016" s="98" t="s">
        <v>530</v>
      </c>
      <c r="K2016" s="98" t="s">
        <v>2059</v>
      </c>
      <c r="L2016" s="96"/>
      <c r="M2016" s="110" t="s">
        <v>6188</v>
      </c>
      <c r="N2016" s="117" t="s">
        <v>6189</v>
      </c>
      <c r="O2016" s="110" t="s">
        <v>817</v>
      </c>
      <c r="P2016" s="110" t="s">
        <v>590</v>
      </c>
      <c r="Q2016" s="118" t="n">
        <v>0.19</v>
      </c>
      <c r="R2016" s="110" t="n">
        <v>1</v>
      </c>
      <c r="S2016" s="110" t="s">
        <v>632</v>
      </c>
      <c r="T2016" s="110" t="s">
        <v>530</v>
      </c>
      <c r="U2016" s="110" t="s">
        <v>2913</v>
      </c>
      <c r="V2016" s="119" t="n">
        <v>2.49</v>
      </c>
      <c r="W2016" s="119"/>
      <c r="X2016" s="110" t="s">
        <v>2063</v>
      </c>
      <c r="Y2016" s="110" t="s">
        <v>2064</v>
      </c>
      <c r="Z2016" s="110" t="s">
        <v>2624</v>
      </c>
      <c r="AA2016" s="110" t="s">
        <v>537</v>
      </c>
      <c r="AB2016" s="110" t="s">
        <v>244</v>
      </c>
      <c r="AC2016" s="110" t="s">
        <v>538</v>
      </c>
      <c r="AD2016" s="110" t="n">
        <f aca="false">IF(OR(F2016="",Q2016="",R2016=""),"",ROUND(IF(P2016="incl.",F2016/(1+Q2016),F2016)/IF(S2016="per pack",R2016,1),2))</f>
        <v>2.49</v>
      </c>
      <c r="AE2016" s="110" t="str">
        <f aca="false">IF(AND(AC2016="yes",ISNUMBER(F2016),IF(Compare!$H$5="All mapped",TRUE(),IF(Compare!$H$5="EXACT only",J2016="EXACT",OR(J2016="EXACT",J2016="CLOSE")))),"yes","no")</f>
        <v>yes</v>
      </c>
      <c r="AF2016" s="110" t="n">
        <f aca="false">IF(ISNUMBER(H2016),COUNTIFS($B$7:$B$3000,B2016,$C$7:$C$3000,C2016,$H$7:$H$3000,"&lt;"&amp;H2016,$AH$7:$AH$3000,"yes")+COUNTIFS($B$7:B2016,B2016,$C$7:C2016,C2016,$H$7:H2016,H2016,$AH$7:AH2016,"yes"),"")</f>
        <v>3</v>
      </c>
      <c r="AG2016" s="110" t="n">
        <f aca="false">IF(ISNUMBER(I2016),COUNTIFS($B$7:$B$3000,B2016,$C$7:$C$3000,C2016,$I$7:$I$3000,"&lt;"&amp;I2016,$AI$7:$AI$3000,"yes")+COUNTIFS($B$7:B2016,B2016,$C$7:C2016,C2016,$I$7:I2016,I2016,$AI$7:AI2016,"yes"),"")</f>
        <v>3</v>
      </c>
      <c r="AH2016" s="110" t="str">
        <f aca="false">IF(ISNUMBER(H2016),"yes","no")</f>
        <v>yes</v>
      </c>
      <c r="AI2016" s="110" t="str">
        <f aca="false">IF(ISNUMBER(I2016),"yes","no")</f>
        <v>yes</v>
      </c>
      <c r="AJ2016" s="120" t="n">
        <v>46297</v>
      </c>
      <c r="AK2016" s="110"/>
    </row>
    <row r="2017" customFormat="false" ht="23.85" hidden="false" customHeight="false" outlineLevel="0" collapsed="false">
      <c r="B2017" s="36" t="s">
        <v>107</v>
      </c>
      <c r="C2017" s="98" t="s">
        <v>17</v>
      </c>
      <c r="D2017" s="98" t="s">
        <v>338</v>
      </c>
      <c r="E2017" s="110" t="s">
        <v>6190</v>
      </c>
      <c r="F2017" s="99" t="n">
        <v>133</v>
      </c>
      <c r="G2017" s="98" t="s">
        <v>333</v>
      </c>
      <c r="H2017" s="112" t="n">
        <f aca="false">IF(AND(AE2017="yes",ISNUMBER(AD2017)),AD2017,"")</f>
        <v>109.92</v>
      </c>
      <c r="I2017" s="95" t="n">
        <f aca="false">IF(AND(AE2017="yes",ISNUMBER(AD2017),ISNUMBER(INDEX(Sources!$G$7:$G$10,MATCH(AB2017,Sources!$B$7:$B$10,0)))),ROUND(AD2017/INDEX(Sources!$G$7:$G$10,MATCH(AB2017,Sources!$B$7:$B$10,0)),6),"")</f>
        <v>4.500562</v>
      </c>
      <c r="J2017" s="98" t="s">
        <v>530</v>
      </c>
      <c r="K2017" s="98" t="s">
        <v>2059</v>
      </c>
      <c r="L2017" s="96"/>
      <c r="M2017" s="110" t="s">
        <v>6191</v>
      </c>
      <c r="N2017" s="117" t="s">
        <v>6192</v>
      </c>
      <c r="O2017" s="110" t="s">
        <v>388</v>
      </c>
      <c r="P2017" s="110" t="s">
        <v>265</v>
      </c>
      <c r="Q2017" s="118" t="n">
        <v>0.21</v>
      </c>
      <c r="R2017" s="110" t="n">
        <v>1</v>
      </c>
      <c r="S2017" s="110" t="s">
        <v>632</v>
      </c>
      <c r="T2017" s="110" t="s">
        <v>530</v>
      </c>
      <c r="U2017" s="110" t="s">
        <v>2918</v>
      </c>
      <c r="V2017" s="119" t="n">
        <v>109.92</v>
      </c>
      <c r="W2017" s="119"/>
      <c r="X2017" s="110" t="s">
        <v>2063</v>
      </c>
      <c r="Y2017" s="110" t="s">
        <v>2064</v>
      </c>
      <c r="Z2017" s="110" t="s">
        <v>4387</v>
      </c>
      <c r="AA2017" s="110" t="s">
        <v>537</v>
      </c>
      <c r="AB2017" s="110" t="s">
        <v>333</v>
      </c>
      <c r="AC2017" s="110" t="s">
        <v>538</v>
      </c>
      <c r="AD2017" s="110" t="n">
        <f aca="false">IF(OR(F2017="",Q2017="",R2017=""),"",ROUND(IF(P2017="incl.",F2017/(1+Q2017),F2017)/IF(S2017="per pack",R2017,1),2))</f>
        <v>109.92</v>
      </c>
      <c r="AE2017" s="110" t="str">
        <f aca="false">IF(AND(AC2017="yes",ISNUMBER(F2017),IF(Compare!$H$5="All mapped",TRUE(),IF(Compare!$H$5="EXACT only",J2017="EXACT",OR(J2017="EXACT",J2017="CLOSE")))),"yes","no")</f>
        <v>yes</v>
      </c>
      <c r="AF2017" s="110" t="n">
        <f aca="false">IF(ISNUMBER(H2017),COUNTIFS($B$7:$B$3000,B2017,$C$7:$C$3000,C2017,$H$7:$H$3000,"&lt;"&amp;H2017,$AH$7:$AH$3000,"yes")+COUNTIFS($B$7:B2017,B2017,$C$7:C2017,C2017,$H$7:H2017,H2017,$AH$7:AH2017,"yes"),"")</f>
        <v>2</v>
      </c>
      <c r="AG2017" s="110" t="n">
        <f aca="false">IF(ISNUMBER(I2017),COUNTIFS($B$7:$B$3000,B2017,$C$7:$C$3000,C2017,$I$7:$I$3000,"&lt;"&amp;I2017,$AI$7:$AI$3000,"yes")+COUNTIFS($B$7:B2017,B2017,$C$7:C2017,C2017,$I$7:I2017,I2017,$AI$7:AI2017,"yes"),"")</f>
        <v>2</v>
      </c>
      <c r="AH2017" s="110" t="str">
        <f aca="false">IF(ISNUMBER(H2017),"yes","no")</f>
        <v>yes</v>
      </c>
      <c r="AI2017" s="110" t="str">
        <f aca="false">IF(ISNUMBER(I2017),"yes","no")</f>
        <v>yes</v>
      </c>
      <c r="AJ2017" s="120" t="n">
        <v>46297</v>
      </c>
      <c r="AK2017" s="110"/>
    </row>
    <row r="2018" customFormat="false" ht="35.05" hidden="false" customHeight="false" outlineLevel="0" collapsed="false">
      <c r="B2018" s="36" t="s">
        <v>107</v>
      </c>
      <c r="C2018" s="98" t="s">
        <v>17</v>
      </c>
      <c r="D2018" s="98" t="s">
        <v>342</v>
      </c>
      <c r="E2018" s="110" t="s">
        <v>6193</v>
      </c>
      <c r="F2018" s="99" t="n">
        <v>125</v>
      </c>
      <c r="G2018" s="98" t="s">
        <v>333</v>
      </c>
      <c r="H2018" s="112" t="n">
        <f aca="false">IF(AND(AE2018="yes",ISNUMBER(AD2018)),AD2018,"")</f>
        <v>125</v>
      </c>
      <c r="I2018" s="95" t="n">
        <f aca="false">IF(AND(AE2018="yes",ISNUMBER(AD2018),ISNUMBER(INDEX(Sources!$G$7:$G$10,MATCH(AB2018,Sources!$B$7:$B$10,0)))),ROUND(AD2018/INDEX(Sources!$G$7:$G$10,MATCH(AB2018,Sources!$B$7:$B$10,0)),6),"")</f>
        <v>5.117997</v>
      </c>
      <c r="J2018" s="98" t="s">
        <v>530</v>
      </c>
      <c r="K2018" s="98" t="s">
        <v>2059</v>
      </c>
      <c r="L2018" s="96"/>
      <c r="M2018" s="110" t="s">
        <v>6194</v>
      </c>
      <c r="N2018" s="117" t="s">
        <v>6195</v>
      </c>
      <c r="O2018" s="110" t="s">
        <v>388</v>
      </c>
      <c r="P2018" s="110" t="s">
        <v>590</v>
      </c>
      <c r="Q2018" s="118" t="n">
        <v>0.21</v>
      </c>
      <c r="R2018" s="110" t="n">
        <v>1</v>
      </c>
      <c r="S2018" s="110" t="s">
        <v>632</v>
      </c>
      <c r="T2018" s="110" t="s">
        <v>530</v>
      </c>
      <c r="U2018" s="110" t="s">
        <v>2913</v>
      </c>
      <c r="V2018" s="119" t="n">
        <v>125</v>
      </c>
      <c r="W2018" s="119"/>
      <c r="X2018" s="110" t="s">
        <v>2063</v>
      </c>
      <c r="Y2018" s="110" t="s">
        <v>2064</v>
      </c>
      <c r="Z2018" s="110" t="s">
        <v>4391</v>
      </c>
      <c r="AA2018" s="110" t="s">
        <v>537</v>
      </c>
      <c r="AB2018" s="110" t="s">
        <v>333</v>
      </c>
      <c r="AC2018" s="110" t="s">
        <v>538</v>
      </c>
      <c r="AD2018" s="110" t="n">
        <f aca="false">IF(OR(F2018="",Q2018="",R2018=""),"",ROUND(IF(P2018="incl.",F2018/(1+Q2018),F2018)/IF(S2018="per pack",R2018,1),2))</f>
        <v>125</v>
      </c>
      <c r="AE2018" s="110" t="str">
        <f aca="false">IF(AND(AC2018="yes",ISNUMBER(F2018),IF(Compare!$H$5="All mapped",TRUE(),IF(Compare!$H$5="EXACT only",J2018="EXACT",OR(J2018="EXACT",J2018="CLOSE")))),"yes","no")</f>
        <v>yes</v>
      </c>
      <c r="AF2018" s="110" t="n">
        <f aca="false">IF(ISNUMBER(H2018),COUNTIFS($B$7:$B$3000,B2018,$C$7:$C$3000,C2018,$H$7:$H$3000,"&lt;"&amp;H2018,$AH$7:$AH$3000,"yes")+COUNTIFS($B$7:B2018,B2018,$C$7:C2018,C2018,$H$7:H2018,H2018,$AH$7:AH2018,"yes"),"")</f>
        <v>3</v>
      </c>
      <c r="AG2018" s="110" t="n">
        <f aca="false">IF(ISNUMBER(I2018),COUNTIFS($B$7:$B$3000,B2018,$C$7:$C$3000,C2018,$I$7:$I$3000,"&lt;"&amp;I2018,$AI$7:$AI$3000,"yes")+COUNTIFS($B$7:B2018,B2018,$C$7:C2018,C2018,$I$7:I2018,I2018,$AI$7:AI2018,"yes"),"")</f>
        <v>3</v>
      </c>
      <c r="AH2018" s="110" t="str">
        <f aca="false">IF(ISNUMBER(H2018),"yes","no")</f>
        <v>yes</v>
      </c>
      <c r="AI2018" s="110" t="str">
        <f aca="false">IF(ISNUMBER(I2018),"yes","no")</f>
        <v>yes</v>
      </c>
      <c r="AJ2018" s="120" t="n">
        <v>46297</v>
      </c>
      <c r="AK2018" s="110"/>
    </row>
    <row r="2019" customFormat="false" ht="23.85" hidden="false" customHeight="false" outlineLevel="0" collapsed="false">
      <c r="B2019" s="36" t="s">
        <v>107</v>
      </c>
      <c r="C2019" s="98" t="s">
        <v>17</v>
      </c>
      <c r="D2019" s="98" t="s">
        <v>346</v>
      </c>
      <c r="E2019" s="110" t="s">
        <v>6196</v>
      </c>
      <c r="F2019" s="99" t="n">
        <v>175</v>
      </c>
      <c r="G2019" s="98" t="s">
        <v>333</v>
      </c>
      <c r="H2019" s="112" t="n">
        <f aca="false">IF(AND(AE2019="yes",ISNUMBER(AD2019)),AD2019,"")</f>
        <v>175</v>
      </c>
      <c r="I2019" s="95" t="n">
        <f aca="false">IF(AND(AE2019="yes",ISNUMBER(AD2019),ISNUMBER(INDEX(Sources!$G$7:$G$10,MATCH(AB2019,Sources!$B$7:$B$10,0)))),ROUND(AD2019/INDEX(Sources!$G$7:$G$10,MATCH(AB2019,Sources!$B$7:$B$10,0)),6),"")</f>
        <v>7.165196</v>
      </c>
      <c r="J2019" s="98" t="s">
        <v>530</v>
      </c>
      <c r="K2019" s="98" t="s">
        <v>2059</v>
      </c>
      <c r="L2019" s="96"/>
      <c r="M2019" s="110" t="s">
        <v>6197</v>
      </c>
      <c r="N2019" s="117" t="s">
        <v>6198</v>
      </c>
      <c r="O2019" s="110" t="s">
        <v>731</v>
      </c>
      <c r="P2019" s="110" t="s">
        <v>590</v>
      </c>
      <c r="Q2019" s="118" t="n">
        <v>0.21</v>
      </c>
      <c r="R2019" s="110" t="n">
        <v>1</v>
      </c>
      <c r="S2019" s="110" t="s">
        <v>632</v>
      </c>
      <c r="T2019" s="110" t="s">
        <v>530</v>
      </c>
      <c r="U2019" s="110" t="s">
        <v>2913</v>
      </c>
      <c r="V2019" s="119" t="n">
        <v>175</v>
      </c>
      <c r="W2019" s="119"/>
      <c r="X2019" s="110" t="s">
        <v>2063</v>
      </c>
      <c r="Y2019" s="110" t="s">
        <v>2064</v>
      </c>
      <c r="Z2019" s="110" t="s">
        <v>5721</v>
      </c>
      <c r="AA2019" s="110" t="s">
        <v>537</v>
      </c>
      <c r="AB2019" s="110" t="s">
        <v>333</v>
      </c>
      <c r="AC2019" s="110" t="s">
        <v>538</v>
      </c>
      <c r="AD2019" s="110" t="n">
        <f aca="false">IF(OR(F2019="",Q2019="",R2019=""),"",ROUND(IF(P2019="incl.",F2019/(1+Q2019),F2019)/IF(S2019="per pack",R2019,1),2))</f>
        <v>175</v>
      </c>
      <c r="AE2019" s="110" t="str">
        <f aca="false">IF(AND(AC2019="yes",ISNUMBER(F2019),IF(Compare!$H$5="All mapped",TRUE(),IF(Compare!$H$5="EXACT only",J2019="EXACT",OR(J2019="EXACT",J2019="CLOSE")))),"yes","no")</f>
        <v>yes</v>
      </c>
      <c r="AF2019" s="110" t="n">
        <f aca="false">IF(ISNUMBER(H2019),COUNTIFS($B$7:$B$3000,B2019,$C$7:$C$3000,C2019,$H$7:$H$3000,"&lt;"&amp;H2019,$AH$7:$AH$3000,"yes")+COUNTIFS($B$7:B2019,B2019,$C$7:C2019,C2019,$H$7:H2019,H2019,$AH$7:AH2019,"yes"),"")</f>
        <v>4</v>
      </c>
      <c r="AG2019" s="110" t="n">
        <f aca="false">IF(ISNUMBER(I2019),COUNTIFS($B$7:$B$3000,B2019,$C$7:$C$3000,C2019,$I$7:$I$3000,"&lt;"&amp;I2019,$AI$7:$AI$3000,"yes")+COUNTIFS($B$7:B2019,B2019,$C$7:C2019,C2019,$I$7:I2019,I2019,$AI$7:AI2019,"yes"),"")</f>
        <v>4</v>
      </c>
      <c r="AH2019" s="110" t="str">
        <f aca="false">IF(ISNUMBER(H2019),"yes","no")</f>
        <v>yes</v>
      </c>
      <c r="AI2019" s="110" t="str">
        <f aca="false">IF(ISNUMBER(I2019),"yes","no")</f>
        <v>yes</v>
      </c>
      <c r="AJ2019" s="120" t="n">
        <v>46297</v>
      </c>
      <c r="AK2019" s="110"/>
    </row>
    <row r="2020" customFormat="false" ht="35.05" hidden="false" customHeight="false" outlineLevel="0" collapsed="false">
      <c r="B2020" s="36" t="s">
        <v>107</v>
      </c>
      <c r="C2020" s="98" t="s">
        <v>17</v>
      </c>
      <c r="D2020" s="98" t="s">
        <v>350</v>
      </c>
      <c r="E2020" s="110" t="s">
        <v>6199</v>
      </c>
      <c r="F2020" s="99" t="n">
        <v>53</v>
      </c>
      <c r="G2020" s="98" t="s">
        <v>333</v>
      </c>
      <c r="H2020" s="112" t="n">
        <f aca="false">IF(AND(AE2020="yes",ISNUMBER(AD2020)),AD2020,"")</f>
        <v>43.8</v>
      </c>
      <c r="I2020" s="95" t="n">
        <f aca="false">IF(AND(AE2020="yes",ISNUMBER(AD2020),ISNUMBER(INDEX(Sources!$G$7:$G$10,MATCH(AB2020,Sources!$B$7:$B$10,0)))),ROUND(AD2020/INDEX(Sources!$G$7:$G$10,MATCH(AB2020,Sources!$B$7:$B$10,0)),6),"")</f>
        <v>1.793346</v>
      </c>
      <c r="J2020" s="98" t="s">
        <v>530</v>
      </c>
      <c r="K2020" s="98" t="s">
        <v>2059</v>
      </c>
      <c r="L2020" s="96"/>
      <c r="M2020" s="110" t="s">
        <v>6200</v>
      </c>
      <c r="N2020" s="117" t="s">
        <v>6201</v>
      </c>
      <c r="O2020" s="110" t="s">
        <v>2452</v>
      </c>
      <c r="P2020" s="110" t="s">
        <v>265</v>
      </c>
      <c r="Q2020" s="118" t="n">
        <v>0.21</v>
      </c>
      <c r="R2020" s="110" t="n">
        <v>1</v>
      </c>
      <c r="S2020" s="110" t="s">
        <v>632</v>
      </c>
      <c r="T2020" s="110" t="s">
        <v>530</v>
      </c>
      <c r="U2020" s="110" t="s">
        <v>2918</v>
      </c>
      <c r="V2020" s="119" t="n">
        <v>43.8</v>
      </c>
      <c r="W2020" s="119"/>
      <c r="X2020" s="110" t="s">
        <v>2063</v>
      </c>
      <c r="Y2020" s="110" t="s">
        <v>2064</v>
      </c>
      <c r="Z2020" s="110" t="s">
        <v>2349</v>
      </c>
      <c r="AA2020" s="110" t="s">
        <v>537</v>
      </c>
      <c r="AB2020" s="110" t="s">
        <v>333</v>
      </c>
      <c r="AC2020" s="110" t="s">
        <v>538</v>
      </c>
      <c r="AD2020" s="110" t="n">
        <f aca="false">IF(OR(F2020="",Q2020="",R2020=""),"",ROUND(IF(P2020="incl.",F2020/(1+Q2020),F2020)/IF(S2020="per pack",R2020,1),2))</f>
        <v>43.8</v>
      </c>
      <c r="AE2020" s="110" t="str">
        <f aca="false">IF(AND(AC2020="yes",ISNUMBER(F2020),IF(Compare!$H$5="All mapped",TRUE(),IF(Compare!$H$5="EXACT only",J2020="EXACT",OR(J2020="EXACT",J2020="CLOSE")))),"yes","no")</f>
        <v>yes</v>
      </c>
      <c r="AF2020" s="110" t="n">
        <f aca="false">IF(ISNUMBER(H2020),COUNTIFS($B$7:$B$3000,B2020,$C$7:$C$3000,C2020,$H$7:$H$3000,"&lt;"&amp;H2020,$AH$7:$AH$3000,"yes")+COUNTIFS($B$7:B2020,B2020,$C$7:C2020,C2020,$H$7:H2020,H2020,$AH$7:AH2020,"yes"),"")</f>
        <v>1</v>
      </c>
      <c r="AG2020" s="110" t="n">
        <f aca="false">IF(ISNUMBER(I2020),COUNTIFS($B$7:$B$3000,B2020,$C$7:$C$3000,C2020,$I$7:$I$3000,"&lt;"&amp;I2020,$AI$7:$AI$3000,"yes")+COUNTIFS($B$7:B2020,B2020,$C$7:C2020,C2020,$I$7:I2020,I2020,$AI$7:AI2020,"yes"),"")</f>
        <v>1</v>
      </c>
      <c r="AH2020" s="110" t="str">
        <f aca="false">IF(ISNUMBER(H2020),"yes","no")</f>
        <v>yes</v>
      </c>
      <c r="AI2020" s="110" t="str">
        <f aca="false">IF(ISNUMBER(I2020),"yes","no")</f>
        <v>yes</v>
      </c>
      <c r="AJ2020" s="120" t="n">
        <v>46297</v>
      </c>
      <c r="AK2020" s="110"/>
    </row>
    <row r="2021" customFormat="false" ht="35.05" hidden="false" customHeight="false" outlineLevel="0" collapsed="false">
      <c r="B2021" s="36" t="s">
        <v>107</v>
      </c>
      <c r="C2021" s="98" t="s">
        <v>17</v>
      </c>
      <c r="D2021" s="98" t="s">
        <v>361</v>
      </c>
      <c r="E2021" s="110" t="s">
        <v>6202</v>
      </c>
      <c r="F2021" s="99" t="n">
        <v>128</v>
      </c>
      <c r="G2021" s="98" t="s">
        <v>333</v>
      </c>
      <c r="H2021" s="112" t="str">
        <f aca="false">IF(AND(AE2021="yes",ISNUMBER(AD2021)),AD2021,"")</f>
        <v/>
      </c>
      <c r="I2021" s="95" t="str">
        <f aca="false">IF(AND(AE2021="yes",ISNUMBER(AD2021),ISNUMBER(INDEX(Sources!$G$7:$G$10,MATCH(AB2021,Sources!$B$7:$B$10,0)))),ROUND(AD2021/INDEX(Sources!$G$7:$G$10,MATCH(AB2021,Sources!$B$7:$B$10,0)),6),"")</f>
        <v/>
      </c>
      <c r="J2021" s="98" t="s">
        <v>629</v>
      </c>
      <c r="K2021" s="98" t="s">
        <v>2059</v>
      </c>
      <c r="L2021" s="96"/>
      <c r="M2021" s="110" t="s">
        <v>6203</v>
      </c>
      <c r="N2021" s="117" t="s">
        <v>6204</v>
      </c>
      <c r="O2021" s="110" t="s">
        <v>642</v>
      </c>
      <c r="P2021" s="110" t="s">
        <v>265</v>
      </c>
      <c r="Q2021" s="118" t="n">
        <v>0.21</v>
      </c>
      <c r="R2021" s="110" t="n">
        <v>1</v>
      </c>
      <c r="S2021" s="110" t="s">
        <v>632</v>
      </c>
      <c r="T2021" s="110" t="s">
        <v>629</v>
      </c>
      <c r="U2021" s="110" t="s">
        <v>2918</v>
      </c>
      <c r="V2021" s="119" t="n">
        <v>105.79</v>
      </c>
      <c r="W2021" s="119"/>
      <c r="X2021" s="110" t="s">
        <v>2063</v>
      </c>
      <c r="Y2021" s="110" t="s">
        <v>2064</v>
      </c>
      <c r="Z2021" s="110" t="s">
        <v>2400</v>
      </c>
      <c r="AA2021" s="110" t="s">
        <v>537</v>
      </c>
      <c r="AB2021" s="110" t="s">
        <v>333</v>
      </c>
      <c r="AC2021" s="110" t="s">
        <v>538</v>
      </c>
      <c r="AD2021" s="110" t="n">
        <f aca="false">IF(OR(F2021="",Q2021="",R2021=""),"",ROUND(IF(P2021="incl.",F2021/(1+Q2021),F2021)/IF(S2021="per pack",R2021,1),2))</f>
        <v>105.79</v>
      </c>
      <c r="AE2021" s="110" t="str">
        <f aca="false">IF(AND(AC2021="yes",ISNUMBER(F2021),IF(Compare!$H$5="All mapped",TRUE(),IF(Compare!$H$5="EXACT only",J2021="EXACT",OR(J2021="EXACT",J2021="CLOSE")))),"yes","no")</f>
        <v>no</v>
      </c>
      <c r="AF2021" s="110" t="str">
        <f aca="false">IF(ISNUMBER(H2021),COUNTIFS($B$7:$B$3000,B2021,$C$7:$C$3000,C2021,$H$7:$H$3000,"&lt;"&amp;H2021,$AH$7:$AH$3000,"yes")+COUNTIFS($B$7:B2021,B2021,$C$7:C2021,C2021,$H$7:H2021,H2021,$AH$7:AH2021,"yes"),"")</f>
        <v/>
      </c>
      <c r="AG2021" s="110" t="str">
        <f aca="false">IF(ISNUMBER(I2021),COUNTIFS($B$7:$B$3000,B2021,$C$7:$C$3000,C2021,$I$7:$I$3000,"&lt;"&amp;I2021,$AI$7:$AI$3000,"yes")+COUNTIFS($B$7:B2021,B2021,$C$7:C2021,C2021,$I$7:I2021,I2021,$AI$7:AI2021,"yes"),"")</f>
        <v/>
      </c>
      <c r="AH2021" s="110" t="str">
        <f aca="false">IF(ISNUMBER(H2021),"yes","no")</f>
        <v>no</v>
      </c>
      <c r="AI2021" s="110" t="str">
        <f aca="false">IF(ISNUMBER(I2021),"yes","no")</f>
        <v>no</v>
      </c>
      <c r="AJ2021" s="120" t="n">
        <v>46297</v>
      </c>
      <c r="AK2021" s="110"/>
    </row>
    <row r="2022" customFormat="false" ht="35.05" hidden="false" customHeight="false" outlineLevel="0" collapsed="false">
      <c r="B2022" s="36" t="s">
        <v>107</v>
      </c>
      <c r="C2022" s="98" t="s">
        <v>18</v>
      </c>
      <c r="D2022" s="98" t="s">
        <v>3002</v>
      </c>
      <c r="E2022" s="110" t="s">
        <v>6205</v>
      </c>
      <c r="F2022" s="99" t="n">
        <v>3.75</v>
      </c>
      <c r="G2022" s="98" t="s">
        <v>244</v>
      </c>
      <c r="H2022" s="112" t="n">
        <f aca="false">IF(AND(AE2022="yes",ISNUMBER(AD2022)),AD2022,"")</f>
        <v>3.75</v>
      </c>
      <c r="I2022" s="95" t="n">
        <f aca="false">IF(AND(AE2022="yes",ISNUMBER(AD2022),ISNUMBER(INDEX(Sources!$G$7:$G$10,MATCH(AB2022,Sources!$B$7:$B$10,0)))),ROUND(AD2022/INDEX(Sources!$G$7:$G$10,MATCH(AB2022,Sources!$B$7:$B$10,0)),6),"")</f>
        <v>3.75</v>
      </c>
      <c r="J2022" s="98" t="s">
        <v>530</v>
      </c>
      <c r="K2022" s="98" t="s">
        <v>2059</v>
      </c>
      <c r="L2022" s="96"/>
      <c r="M2022" s="110" t="s">
        <v>6206</v>
      </c>
      <c r="N2022" s="117" t="s">
        <v>5588</v>
      </c>
      <c r="O2022" s="110" t="s">
        <v>2396</v>
      </c>
      <c r="P2022" s="110" t="s">
        <v>590</v>
      </c>
      <c r="Q2022" s="118" t="n">
        <v>0.23</v>
      </c>
      <c r="R2022" s="110" t="n">
        <v>1</v>
      </c>
      <c r="S2022" s="110" t="s">
        <v>632</v>
      </c>
      <c r="T2022" s="110" t="s">
        <v>530</v>
      </c>
      <c r="U2022" s="110" t="s">
        <v>2913</v>
      </c>
      <c r="V2022" s="119" t="n">
        <v>3.75</v>
      </c>
      <c r="W2022" s="119"/>
      <c r="X2022" s="110" t="s">
        <v>2063</v>
      </c>
      <c r="Y2022" s="110" t="s">
        <v>2064</v>
      </c>
      <c r="Z2022" s="110" t="s">
        <v>3346</v>
      </c>
      <c r="AA2022" s="110" t="s">
        <v>537</v>
      </c>
      <c r="AB2022" s="110" t="s">
        <v>244</v>
      </c>
      <c r="AC2022" s="110" t="s">
        <v>538</v>
      </c>
      <c r="AD2022" s="110" t="n">
        <f aca="false">IF(OR(F2022="",Q2022="",R2022=""),"",ROUND(IF(P2022="incl.",F2022/(1+Q2022),F2022)/IF(S2022="per pack",R2022,1),2))</f>
        <v>3.75</v>
      </c>
      <c r="AE2022" s="110" t="str">
        <f aca="false">IF(AND(AC2022="yes",ISNUMBER(F2022),IF(Compare!$H$5="All mapped",TRUE(),IF(Compare!$H$5="EXACT only",J2022="EXACT",OR(J2022="EXACT",J2022="CLOSE")))),"yes","no")</f>
        <v>yes</v>
      </c>
      <c r="AF2022" s="110" t="n">
        <f aca="false">IF(ISNUMBER(H2022),COUNTIFS($B$7:$B$3000,B2022,$C$7:$C$3000,C2022,$H$7:$H$3000,"&lt;"&amp;H2022,$AH$7:$AH$3000,"yes")+COUNTIFS($B$7:B2022,B2022,$C$7:C2022,C2022,$H$7:H2022,H2022,$AH$7:AH2022,"yes"),"")</f>
        <v>4</v>
      </c>
      <c r="AG2022" s="110" t="n">
        <f aca="false">IF(ISNUMBER(I2022),COUNTIFS($B$7:$B$3000,B2022,$C$7:$C$3000,C2022,$I$7:$I$3000,"&lt;"&amp;I2022,$AI$7:$AI$3000,"yes")+COUNTIFS($B$7:B2022,B2022,$C$7:C2022,C2022,$I$7:I2022,I2022,$AI$7:AI2022,"yes"),"")</f>
        <v>4</v>
      </c>
      <c r="AH2022" s="110" t="str">
        <f aca="false">IF(ISNUMBER(H2022),"yes","no")</f>
        <v>yes</v>
      </c>
      <c r="AI2022" s="110" t="str">
        <f aca="false">IF(ISNUMBER(I2022),"yes","no")</f>
        <v>yes</v>
      </c>
      <c r="AJ2022" s="120" t="n">
        <v>46297</v>
      </c>
      <c r="AK2022" s="110"/>
    </row>
    <row r="2023" customFormat="false" ht="23.85" hidden="false" customHeight="false" outlineLevel="0" collapsed="false">
      <c r="B2023" s="36" t="s">
        <v>107</v>
      </c>
      <c r="C2023" s="98" t="s">
        <v>18</v>
      </c>
      <c r="D2023" s="98" t="s">
        <v>365</v>
      </c>
      <c r="E2023" s="110" t="s">
        <v>6207</v>
      </c>
      <c r="F2023" s="99" t="n">
        <v>3.15</v>
      </c>
      <c r="G2023" s="98" t="s">
        <v>244</v>
      </c>
      <c r="H2023" s="112" t="n">
        <f aca="false">IF(AND(AE2023="yes",ISNUMBER(AD2023)),AD2023,"")</f>
        <v>2.56</v>
      </c>
      <c r="I2023" s="95" t="n">
        <f aca="false">IF(AND(AE2023="yes",ISNUMBER(AD2023),ISNUMBER(INDEX(Sources!$G$7:$G$10,MATCH(AB2023,Sources!$B$7:$B$10,0)))),ROUND(AD2023/INDEX(Sources!$G$7:$G$10,MATCH(AB2023,Sources!$B$7:$B$10,0)),6),"")</f>
        <v>2.56</v>
      </c>
      <c r="J2023" s="98" t="s">
        <v>530</v>
      </c>
      <c r="K2023" s="98" t="s">
        <v>2059</v>
      </c>
      <c r="L2023" s="96"/>
      <c r="M2023" s="110" t="s">
        <v>6208</v>
      </c>
      <c r="N2023" s="117" t="s">
        <v>6209</v>
      </c>
      <c r="O2023" s="110" t="s">
        <v>6210</v>
      </c>
      <c r="P2023" s="110" t="s">
        <v>265</v>
      </c>
      <c r="Q2023" s="118" t="n">
        <v>0.23</v>
      </c>
      <c r="R2023" s="110" t="n">
        <v>1</v>
      </c>
      <c r="S2023" s="110" t="s">
        <v>632</v>
      </c>
      <c r="T2023" s="110" t="s">
        <v>530</v>
      </c>
      <c r="U2023" s="110" t="s">
        <v>2918</v>
      </c>
      <c r="V2023" s="119" t="n">
        <v>2.56</v>
      </c>
      <c r="W2023" s="119"/>
      <c r="X2023" s="110" t="s">
        <v>2063</v>
      </c>
      <c r="Y2023" s="110" t="s">
        <v>2064</v>
      </c>
      <c r="Z2023" s="110" t="s">
        <v>3016</v>
      </c>
      <c r="AA2023" s="110" t="s">
        <v>537</v>
      </c>
      <c r="AB2023" s="110" t="s">
        <v>244</v>
      </c>
      <c r="AC2023" s="110" t="s">
        <v>538</v>
      </c>
      <c r="AD2023" s="110" t="n">
        <f aca="false">IF(OR(F2023="",Q2023="",R2023=""),"",ROUND(IF(P2023="incl.",F2023/(1+Q2023),F2023)/IF(S2023="per pack",R2023,1),2))</f>
        <v>2.56</v>
      </c>
      <c r="AE2023" s="110" t="str">
        <f aca="false">IF(AND(AC2023="yes",ISNUMBER(F2023),IF(Compare!$H$5="All mapped",TRUE(),IF(Compare!$H$5="EXACT only",J2023="EXACT",OR(J2023="EXACT",J2023="CLOSE")))),"yes","no")</f>
        <v>yes</v>
      </c>
      <c r="AF2023" s="110" t="n">
        <f aca="false">IF(ISNUMBER(H2023),COUNTIFS($B$7:$B$3000,B2023,$C$7:$C$3000,C2023,$H$7:$H$3000,"&lt;"&amp;H2023,$AH$7:$AH$3000,"yes")+COUNTIFS($B$7:B2023,B2023,$C$7:C2023,C2023,$H$7:H2023,H2023,$AH$7:AH2023,"yes"),"")</f>
        <v>2</v>
      </c>
      <c r="AG2023" s="110" t="n">
        <f aca="false">IF(ISNUMBER(I2023),COUNTIFS($B$7:$B$3000,B2023,$C$7:$C$3000,C2023,$I$7:$I$3000,"&lt;"&amp;I2023,$AI$7:$AI$3000,"yes")+COUNTIFS($B$7:B2023,B2023,$C$7:C2023,C2023,$I$7:I2023,I2023,$AI$7:AI2023,"yes"),"")</f>
        <v>2</v>
      </c>
      <c r="AH2023" s="110" t="str">
        <f aca="false">IF(ISNUMBER(H2023),"yes","no")</f>
        <v>yes</v>
      </c>
      <c r="AI2023" s="110" t="str">
        <f aca="false">IF(ISNUMBER(I2023),"yes","no")</f>
        <v>yes</v>
      </c>
      <c r="AJ2023" s="120" t="n">
        <v>46297</v>
      </c>
      <c r="AK2023" s="110"/>
    </row>
    <row r="2024" customFormat="false" ht="35.05" hidden="false" customHeight="false" outlineLevel="0" collapsed="false">
      <c r="B2024" s="36" t="s">
        <v>107</v>
      </c>
      <c r="C2024" s="98" t="s">
        <v>18</v>
      </c>
      <c r="D2024" s="98" t="s">
        <v>369</v>
      </c>
      <c r="E2024" s="110" t="s">
        <v>6211</v>
      </c>
      <c r="F2024" s="99" t="n">
        <v>8.54</v>
      </c>
      <c r="G2024" s="98" t="s">
        <v>244</v>
      </c>
      <c r="H2024" s="112" t="n">
        <f aca="false">IF(AND(AE2024="yes",ISNUMBER(AD2024)),AD2024,"")</f>
        <v>6.94</v>
      </c>
      <c r="I2024" s="95" t="n">
        <f aca="false">IF(AND(AE2024="yes",ISNUMBER(AD2024),ISNUMBER(INDEX(Sources!$G$7:$G$10,MATCH(AB2024,Sources!$B$7:$B$10,0)))),ROUND(AD2024/INDEX(Sources!$G$7:$G$10,MATCH(AB2024,Sources!$B$7:$B$10,0)),6),"")</f>
        <v>6.94</v>
      </c>
      <c r="J2024" s="98" t="s">
        <v>530</v>
      </c>
      <c r="K2024" s="98" t="s">
        <v>2059</v>
      </c>
      <c r="L2024" s="96"/>
      <c r="M2024" s="110" t="s">
        <v>6212</v>
      </c>
      <c r="N2024" s="117" t="s">
        <v>6213</v>
      </c>
      <c r="O2024" s="110" t="s">
        <v>783</v>
      </c>
      <c r="P2024" s="110" t="s">
        <v>265</v>
      </c>
      <c r="Q2024" s="118" t="n">
        <v>0.23</v>
      </c>
      <c r="R2024" s="110" t="n">
        <v>1</v>
      </c>
      <c r="S2024" s="110" t="s">
        <v>632</v>
      </c>
      <c r="T2024" s="110" t="s">
        <v>530</v>
      </c>
      <c r="U2024" s="110" t="s">
        <v>2918</v>
      </c>
      <c r="V2024" s="119" t="n">
        <v>6.94</v>
      </c>
      <c r="W2024" s="119"/>
      <c r="X2024" s="110" t="s">
        <v>2063</v>
      </c>
      <c r="Y2024" s="110" t="s">
        <v>2064</v>
      </c>
      <c r="Z2024" s="110" t="s">
        <v>4300</v>
      </c>
      <c r="AA2024" s="110" t="s">
        <v>537</v>
      </c>
      <c r="AB2024" s="110" t="s">
        <v>244</v>
      </c>
      <c r="AC2024" s="110" t="s">
        <v>538</v>
      </c>
      <c r="AD2024" s="110" t="n">
        <f aca="false">IF(OR(F2024="",Q2024="",R2024=""),"",ROUND(IF(P2024="incl.",F2024/(1+Q2024),F2024)/IF(S2024="per pack",R2024,1),2))</f>
        <v>6.94</v>
      </c>
      <c r="AE2024" s="110" t="str">
        <f aca="false">IF(AND(AC2024="yes",ISNUMBER(F2024),IF(Compare!$H$5="All mapped",TRUE(),IF(Compare!$H$5="EXACT only",J2024="EXACT",OR(J2024="EXACT",J2024="CLOSE")))),"yes","no")</f>
        <v>yes</v>
      </c>
      <c r="AF2024" s="110" t="n">
        <f aca="false">IF(ISNUMBER(H2024),COUNTIFS($B$7:$B$3000,B2024,$C$7:$C$3000,C2024,$H$7:$H$3000,"&lt;"&amp;H2024,$AH$7:$AH$3000,"yes")+COUNTIFS($B$7:B2024,B2024,$C$7:C2024,C2024,$H$7:H2024,H2024,$AH$7:AH2024,"yes"),"")</f>
        <v>5</v>
      </c>
      <c r="AG2024" s="110" t="n">
        <f aca="false">IF(ISNUMBER(I2024),COUNTIFS($B$7:$B$3000,B2024,$C$7:$C$3000,C2024,$I$7:$I$3000,"&lt;"&amp;I2024,$AI$7:$AI$3000,"yes")+COUNTIFS($B$7:B2024,B2024,$C$7:C2024,C2024,$I$7:I2024,I2024,$AI$7:AI2024,"yes"),"")</f>
        <v>5</v>
      </c>
      <c r="AH2024" s="110" t="str">
        <f aca="false">IF(ISNUMBER(H2024),"yes","no")</f>
        <v>yes</v>
      </c>
      <c r="AI2024" s="110" t="str">
        <f aca="false">IF(ISNUMBER(I2024),"yes","no")</f>
        <v>yes</v>
      </c>
      <c r="AJ2024" s="120" t="n">
        <v>46297</v>
      </c>
      <c r="AK2024" s="110"/>
    </row>
    <row r="2025" customFormat="false" ht="23.85" hidden="false" customHeight="false" outlineLevel="0" collapsed="false">
      <c r="B2025" s="36" t="s">
        <v>107</v>
      </c>
      <c r="C2025" s="98" t="s">
        <v>18</v>
      </c>
      <c r="D2025" s="98" t="s">
        <v>4579</v>
      </c>
      <c r="E2025" s="110" t="s">
        <v>6214</v>
      </c>
      <c r="F2025" s="99" t="n">
        <v>3.69</v>
      </c>
      <c r="G2025" s="98" t="s">
        <v>244</v>
      </c>
      <c r="H2025" s="112" t="n">
        <f aca="false">IF(AND(AE2025="yes",ISNUMBER(AD2025)),AD2025,"")</f>
        <v>3</v>
      </c>
      <c r="I2025" s="95" t="n">
        <f aca="false">IF(AND(AE2025="yes",ISNUMBER(AD2025),ISNUMBER(INDEX(Sources!$G$7:$G$10,MATCH(AB2025,Sources!$B$7:$B$10,0)))),ROUND(AD2025/INDEX(Sources!$G$7:$G$10,MATCH(AB2025,Sources!$B$7:$B$10,0)),6),"")</f>
        <v>3</v>
      </c>
      <c r="J2025" s="98" t="s">
        <v>530</v>
      </c>
      <c r="K2025" s="98" t="s">
        <v>2059</v>
      </c>
      <c r="L2025" s="96"/>
      <c r="M2025" s="110" t="s">
        <v>6215</v>
      </c>
      <c r="N2025" s="117" t="s">
        <v>5211</v>
      </c>
      <c r="O2025" s="110" t="s">
        <v>246</v>
      </c>
      <c r="P2025" s="110" t="s">
        <v>265</v>
      </c>
      <c r="Q2025" s="118" t="n">
        <v>0.23</v>
      </c>
      <c r="R2025" s="110" t="n">
        <v>1</v>
      </c>
      <c r="S2025" s="110" t="s">
        <v>632</v>
      </c>
      <c r="T2025" s="110" t="s">
        <v>530</v>
      </c>
      <c r="U2025" s="110" t="s">
        <v>2918</v>
      </c>
      <c r="V2025" s="119" t="n">
        <v>3</v>
      </c>
      <c r="W2025" s="119"/>
      <c r="X2025" s="110" t="s">
        <v>2063</v>
      </c>
      <c r="Y2025" s="110" t="s">
        <v>2064</v>
      </c>
      <c r="Z2025" s="110" t="s">
        <v>4826</v>
      </c>
      <c r="AA2025" s="110" t="s">
        <v>537</v>
      </c>
      <c r="AB2025" s="110" t="s">
        <v>244</v>
      </c>
      <c r="AC2025" s="110" t="s">
        <v>538</v>
      </c>
      <c r="AD2025" s="110" t="n">
        <f aca="false">IF(OR(F2025="",Q2025="",R2025=""),"",ROUND(IF(P2025="incl.",F2025/(1+Q2025),F2025)/IF(S2025="per pack",R2025,1),2))</f>
        <v>3</v>
      </c>
      <c r="AE2025" s="110" t="str">
        <f aca="false">IF(AND(AC2025="yes",ISNUMBER(F2025),IF(Compare!$H$5="All mapped",TRUE(),IF(Compare!$H$5="EXACT only",J2025="EXACT",OR(J2025="EXACT",J2025="CLOSE")))),"yes","no")</f>
        <v>yes</v>
      </c>
      <c r="AF2025" s="110" t="n">
        <f aca="false">IF(ISNUMBER(H2025),COUNTIFS($B$7:$B$3000,B2025,$C$7:$C$3000,C2025,$H$7:$H$3000,"&lt;"&amp;H2025,$AH$7:$AH$3000,"yes")+COUNTIFS($B$7:B2025,B2025,$C$7:C2025,C2025,$H$7:H2025,H2025,$AH$7:AH2025,"yes"),"")</f>
        <v>3</v>
      </c>
      <c r="AG2025" s="110" t="n">
        <f aca="false">IF(ISNUMBER(I2025),COUNTIFS($B$7:$B$3000,B2025,$C$7:$C$3000,C2025,$I$7:$I$3000,"&lt;"&amp;I2025,$AI$7:$AI$3000,"yes")+COUNTIFS($B$7:B2025,B2025,$C$7:C2025,C2025,$I$7:I2025,I2025,$AI$7:AI2025,"yes"),"")</f>
        <v>3</v>
      </c>
      <c r="AH2025" s="110" t="str">
        <f aca="false">IF(ISNUMBER(H2025),"yes","no")</f>
        <v>yes</v>
      </c>
      <c r="AI2025" s="110" t="str">
        <f aca="false">IF(ISNUMBER(I2025),"yes","no")</f>
        <v>yes</v>
      </c>
      <c r="AJ2025" s="120" t="n">
        <v>46297</v>
      </c>
      <c r="AK2025" s="110"/>
    </row>
    <row r="2026" customFormat="false" ht="23.85" hidden="false" customHeight="false" outlineLevel="0" collapsed="false">
      <c r="B2026" s="36" t="s">
        <v>107</v>
      </c>
      <c r="C2026" s="98" t="s">
        <v>18</v>
      </c>
      <c r="D2026" s="98" t="s">
        <v>3021</v>
      </c>
      <c r="E2026" s="110" t="s">
        <v>6216</v>
      </c>
      <c r="F2026" s="99" t="n">
        <v>1.88</v>
      </c>
      <c r="G2026" s="98" t="s">
        <v>244</v>
      </c>
      <c r="H2026" s="112" t="n">
        <f aca="false">IF(AND(AE2026="yes",ISNUMBER(AD2026)),AD2026,"")</f>
        <v>1.88</v>
      </c>
      <c r="I2026" s="95" t="n">
        <f aca="false">IF(AND(AE2026="yes",ISNUMBER(AD2026),ISNUMBER(INDEX(Sources!$G$7:$G$10,MATCH(AB2026,Sources!$B$7:$B$10,0)))),ROUND(AD2026/INDEX(Sources!$G$7:$G$10,MATCH(AB2026,Sources!$B$7:$B$10,0)),6),"")</f>
        <v>1.88</v>
      </c>
      <c r="J2026" s="98" t="s">
        <v>530</v>
      </c>
      <c r="K2026" s="98" t="s">
        <v>2059</v>
      </c>
      <c r="L2026" s="96"/>
      <c r="M2026" s="110" t="s">
        <v>6217</v>
      </c>
      <c r="N2026" s="117" t="s">
        <v>4416</v>
      </c>
      <c r="O2026" s="110" t="s">
        <v>3024</v>
      </c>
      <c r="P2026" s="110" t="s">
        <v>590</v>
      </c>
      <c r="Q2026" s="118" t="n">
        <v>0.23</v>
      </c>
      <c r="R2026" s="110" t="n">
        <v>1</v>
      </c>
      <c r="S2026" s="110" t="s">
        <v>632</v>
      </c>
      <c r="T2026" s="110" t="s">
        <v>530</v>
      </c>
      <c r="U2026" s="110" t="s">
        <v>2913</v>
      </c>
      <c r="V2026" s="119" t="n">
        <v>1.88</v>
      </c>
      <c r="W2026" s="119"/>
      <c r="X2026" s="110" t="s">
        <v>2063</v>
      </c>
      <c r="Y2026" s="110" t="s">
        <v>2064</v>
      </c>
      <c r="Z2026" s="110" t="s">
        <v>3109</v>
      </c>
      <c r="AA2026" s="110" t="s">
        <v>537</v>
      </c>
      <c r="AB2026" s="110" t="s">
        <v>244</v>
      </c>
      <c r="AC2026" s="110" t="s">
        <v>538</v>
      </c>
      <c r="AD2026" s="110" t="n">
        <f aca="false">IF(OR(F2026="",Q2026="",R2026=""),"",ROUND(IF(P2026="incl.",F2026/(1+Q2026),F2026)/IF(S2026="per pack",R2026,1),2))</f>
        <v>1.88</v>
      </c>
      <c r="AE2026" s="110" t="str">
        <f aca="false">IF(AND(AC2026="yes",ISNUMBER(F2026),IF(Compare!$H$5="All mapped",TRUE(),IF(Compare!$H$5="EXACT only",J2026="EXACT",OR(J2026="EXACT",J2026="CLOSE")))),"yes","no")</f>
        <v>yes</v>
      </c>
      <c r="AF2026" s="110" t="n">
        <f aca="false">IF(ISNUMBER(H2026),COUNTIFS($B$7:$B$3000,B2026,$C$7:$C$3000,C2026,$H$7:$H$3000,"&lt;"&amp;H2026,$AH$7:$AH$3000,"yes")+COUNTIFS($B$7:B2026,B2026,$C$7:C2026,C2026,$H$7:H2026,H2026,$AH$7:AH2026,"yes"),"")</f>
        <v>1</v>
      </c>
      <c r="AG2026" s="110" t="n">
        <f aca="false">IF(ISNUMBER(I2026),COUNTIFS($B$7:$B$3000,B2026,$C$7:$C$3000,C2026,$I$7:$I$3000,"&lt;"&amp;I2026,$AI$7:$AI$3000,"yes")+COUNTIFS($B$7:B2026,B2026,$C$7:C2026,C2026,$I$7:I2026,I2026,$AI$7:AI2026,"yes"),"")</f>
        <v>1</v>
      </c>
      <c r="AH2026" s="110" t="str">
        <f aca="false">IF(ISNUMBER(H2026),"yes","no")</f>
        <v>yes</v>
      </c>
      <c r="AI2026" s="110" t="str">
        <f aca="false">IF(ISNUMBER(I2026),"yes","no")</f>
        <v>yes</v>
      </c>
      <c r="AJ2026" s="120" t="n">
        <v>46297</v>
      </c>
      <c r="AK2026" s="110"/>
    </row>
    <row r="2027" customFormat="false" ht="23.85" hidden="false" customHeight="false" outlineLevel="0" collapsed="false">
      <c r="B2027" s="36" t="s">
        <v>108</v>
      </c>
      <c r="C2027" s="98" t="s">
        <v>14</v>
      </c>
      <c r="D2027" s="98" t="s">
        <v>373</v>
      </c>
      <c r="E2027" s="110" t="s">
        <v>6218</v>
      </c>
      <c r="F2027" s="99" t="n">
        <v>8.77</v>
      </c>
      <c r="G2027" s="98" t="s">
        <v>374</v>
      </c>
      <c r="H2027" s="112" t="n">
        <f aca="false">IF(AND(AE2027="yes",ISNUMBER(AD2027)),AD2027,"")</f>
        <v>8.77</v>
      </c>
      <c r="I2027" s="95" t="n">
        <f aca="false">IF(AND(AE2027="yes",ISNUMBER(AD2027),ISNUMBER(INDEX(Sources!$G$7:$G$10,MATCH(AB2027,Sources!$B$7:$B$10,0)))),ROUND(AD2027/INDEX(Sources!$G$7:$G$10,MATCH(AB2027,Sources!$B$7:$B$10,0)),6),"")</f>
        <v>1.661727</v>
      </c>
      <c r="J2027" s="98" t="s">
        <v>702</v>
      </c>
      <c r="K2027" s="98" t="s">
        <v>2059</v>
      </c>
      <c r="L2027" s="96"/>
      <c r="M2027" s="110" t="s">
        <v>6219</v>
      </c>
      <c r="N2027" s="117" t="s">
        <v>6220</v>
      </c>
      <c r="O2027" s="110" t="s">
        <v>6138</v>
      </c>
      <c r="P2027" s="110" t="s">
        <v>590</v>
      </c>
      <c r="Q2027" s="118" t="n">
        <v>0.21</v>
      </c>
      <c r="R2027" s="110" t="n">
        <v>1</v>
      </c>
      <c r="S2027" s="110" t="s">
        <v>632</v>
      </c>
      <c r="T2027" s="110" t="s">
        <v>702</v>
      </c>
      <c r="U2027" s="110" t="s">
        <v>2913</v>
      </c>
      <c r="V2027" s="119" t="n">
        <v>8.77</v>
      </c>
      <c r="W2027" s="119"/>
      <c r="X2027" s="110" t="s">
        <v>2063</v>
      </c>
      <c r="Y2027" s="110" t="s">
        <v>2064</v>
      </c>
      <c r="Z2027" s="110"/>
      <c r="AA2027" s="110" t="s">
        <v>537</v>
      </c>
      <c r="AB2027" s="110" t="s">
        <v>374</v>
      </c>
      <c r="AC2027" s="110" t="s">
        <v>538</v>
      </c>
      <c r="AD2027" s="110" t="n">
        <f aca="false">IF(OR(F2027="",Q2027="",R2027=""),"",ROUND(IF(P2027="incl.",F2027/(1+Q2027),F2027)/IF(S2027="per pack",R2027,1),2))</f>
        <v>8.77</v>
      </c>
      <c r="AE2027" s="110" t="str">
        <f aca="false">IF(AND(AC2027="yes",ISNUMBER(F2027),IF(Compare!$H$5="All mapped",TRUE(),IF(Compare!$H$5="EXACT only",J2027="EXACT",OR(J2027="EXACT",J2027="CLOSE")))),"yes","no")</f>
        <v>yes</v>
      </c>
      <c r="AF2027" s="110" t="n">
        <f aca="false">IF(ISNUMBER(H2027),COUNTIFS($B$7:$B$3000,B2027,$C$7:$C$3000,C2027,$H$7:$H$3000,"&lt;"&amp;H2027,$AH$7:$AH$3000,"yes")+COUNTIFS($B$7:B2027,B2027,$C$7:C2027,C2027,$H$7:H2027,H2027,$AH$7:AH2027,"yes"),"")</f>
        <v>1</v>
      </c>
      <c r="AG2027" s="110" t="n">
        <f aca="false">IF(ISNUMBER(I2027),COUNTIFS($B$7:$B$3000,B2027,$C$7:$C$3000,C2027,$I$7:$I$3000,"&lt;"&amp;I2027,$AI$7:$AI$3000,"yes")+COUNTIFS($B$7:B2027,B2027,$C$7:C2027,C2027,$I$7:I2027,I2027,$AI$7:AI2027,"yes"),"")</f>
        <v>1</v>
      </c>
      <c r="AH2027" s="110" t="str">
        <f aca="false">IF(ISNUMBER(H2027),"yes","no")</f>
        <v>yes</v>
      </c>
      <c r="AI2027" s="110" t="str">
        <f aca="false">IF(ISNUMBER(I2027),"yes","no")</f>
        <v>yes</v>
      </c>
      <c r="AJ2027" s="120" t="n">
        <v>46297</v>
      </c>
      <c r="AK2027" s="110"/>
    </row>
    <row r="2028" customFormat="false" ht="23.85" hidden="false" customHeight="false" outlineLevel="0" collapsed="false">
      <c r="B2028" s="36" t="s">
        <v>108</v>
      </c>
      <c r="C2028" s="98" t="s">
        <v>14</v>
      </c>
      <c r="D2028" s="98" t="s">
        <v>378</v>
      </c>
      <c r="E2028" s="110" t="s">
        <v>6221</v>
      </c>
      <c r="F2028" s="99" t="n">
        <v>11.63</v>
      </c>
      <c r="G2028" s="98" t="s">
        <v>374</v>
      </c>
      <c r="H2028" s="112" t="n">
        <f aca="false">IF(AND(AE2028="yes",ISNUMBER(AD2028)),AD2028,"")</f>
        <v>9.61</v>
      </c>
      <c r="I2028" s="95" t="n">
        <f aca="false">IF(AND(AE2028="yes",ISNUMBER(AD2028),ISNUMBER(INDEX(Sources!$G$7:$G$10,MATCH(AB2028,Sources!$B$7:$B$10,0)))),ROUND(AD2028/INDEX(Sources!$G$7:$G$10,MATCH(AB2028,Sources!$B$7:$B$10,0)),6),"")</f>
        <v>1.820889</v>
      </c>
      <c r="J2028" s="98" t="s">
        <v>530</v>
      </c>
      <c r="K2028" s="98" t="s">
        <v>2059</v>
      </c>
      <c r="L2028" s="96"/>
      <c r="M2028" s="110" t="s">
        <v>6222</v>
      </c>
      <c r="N2028" s="117" t="s">
        <v>6223</v>
      </c>
      <c r="O2028" s="110" t="s">
        <v>2917</v>
      </c>
      <c r="P2028" s="110" t="s">
        <v>265</v>
      </c>
      <c r="Q2028" s="118" t="n">
        <v>0.21</v>
      </c>
      <c r="R2028" s="110" t="n">
        <v>1</v>
      </c>
      <c r="S2028" s="110" t="s">
        <v>632</v>
      </c>
      <c r="T2028" s="110" t="s">
        <v>530</v>
      </c>
      <c r="U2028" s="110" t="s">
        <v>2918</v>
      </c>
      <c r="V2028" s="119" t="n">
        <v>9.61</v>
      </c>
      <c r="W2028" s="119"/>
      <c r="X2028" s="110" t="s">
        <v>2063</v>
      </c>
      <c r="Y2028" s="110" t="s">
        <v>2064</v>
      </c>
      <c r="Z2028" s="110"/>
      <c r="AA2028" s="110" t="s">
        <v>537</v>
      </c>
      <c r="AB2028" s="110" t="s">
        <v>374</v>
      </c>
      <c r="AC2028" s="110" t="s">
        <v>538</v>
      </c>
      <c r="AD2028" s="110" t="n">
        <f aca="false">IF(OR(F2028="",Q2028="",R2028=""),"",ROUND(IF(P2028="incl.",F2028/(1+Q2028),F2028)/IF(S2028="per pack",R2028,1),2))</f>
        <v>9.61</v>
      </c>
      <c r="AE2028" s="110" t="str">
        <f aca="false">IF(AND(AC2028="yes",ISNUMBER(F2028),IF(Compare!$H$5="All mapped",TRUE(),IF(Compare!$H$5="EXACT only",J2028="EXACT",OR(J2028="EXACT",J2028="CLOSE")))),"yes","no")</f>
        <v>yes</v>
      </c>
      <c r="AF2028" s="110" t="n">
        <f aca="false">IF(ISNUMBER(H2028),COUNTIFS($B$7:$B$3000,B2028,$C$7:$C$3000,C2028,$H$7:$H$3000,"&lt;"&amp;H2028,$AH$7:$AH$3000,"yes")+COUNTIFS($B$7:B2028,B2028,$C$7:C2028,C2028,$H$7:H2028,H2028,$AH$7:AH2028,"yes"),"")</f>
        <v>3</v>
      </c>
      <c r="AG2028" s="110" t="n">
        <f aca="false">IF(ISNUMBER(I2028),COUNTIFS($B$7:$B$3000,B2028,$C$7:$C$3000,C2028,$I$7:$I$3000,"&lt;"&amp;I2028,$AI$7:$AI$3000,"yes")+COUNTIFS($B$7:B2028,B2028,$C$7:C2028,C2028,$I$7:I2028,I2028,$AI$7:AI2028,"yes"),"")</f>
        <v>3</v>
      </c>
      <c r="AH2028" s="110" t="str">
        <f aca="false">IF(ISNUMBER(H2028),"yes","no")</f>
        <v>yes</v>
      </c>
      <c r="AI2028" s="110" t="str">
        <f aca="false">IF(ISNUMBER(I2028),"yes","no")</f>
        <v>yes</v>
      </c>
      <c r="AJ2028" s="120" t="n">
        <v>46297</v>
      </c>
      <c r="AK2028" s="110"/>
    </row>
    <row r="2029" customFormat="false" ht="46.25" hidden="false" customHeight="false" outlineLevel="0" collapsed="false">
      <c r="B2029" s="36" t="s">
        <v>108</v>
      </c>
      <c r="C2029" s="98" t="s">
        <v>14</v>
      </c>
      <c r="D2029" s="98" t="s">
        <v>4143</v>
      </c>
      <c r="E2029" s="110" t="s">
        <v>6224</v>
      </c>
      <c r="F2029" s="99" t="n">
        <v>168.42</v>
      </c>
      <c r="G2029" s="98" t="s">
        <v>374</v>
      </c>
      <c r="H2029" s="112" t="n">
        <f aca="false">IF(AND(AE2029="yes",ISNUMBER(AD2029)),AD2029,"")</f>
        <v>14.04</v>
      </c>
      <c r="I2029" s="95" t="n">
        <f aca="false">IF(AND(AE2029="yes",ISNUMBER(AD2029),ISNUMBER(INDEX(Sources!$G$7:$G$10,MATCH(AB2029,Sources!$B$7:$B$10,0)))),ROUND(AD2029/INDEX(Sources!$G$7:$G$10,MATCH(AB2029,Sources!$B$7:$B$10,0)),6),"")</f>
        <v>2.660279</v>
      </c>
      <c r="J2029" s="98" t="s">
        <v>702</v>
      </c>
      <c r="K2029" s="98" t="s">
        <v>2059</v>
      </c>
      <c r="L2029" s="96"/>
      <c r="M2029" s="110" t="s">
        <v>6225</v>
      </c>
      <c r="N2029" s="117" t="s">
        <v>6226</v>
      </c>
      <c r="O2029" s="110" t="s">
        <v>317</v>
      </c>
      <c r="P2029" s="110" t="s">
        <v>590</v>
      </c>
      <c r="Q2029" s="118" t="n">
        <v>0.21</v>
      </c>
      <c r="R2029" s="110" t="n">
        <v>12</v>
      </c>
      <c r="S2029" s="110" t="s">
        <v>625</v>
      </c>
      <c r="T2029" s="110" t="s">
        <v>702</v>
      </c>
      <c r="U2029" s="110" t="s">
        <v>2913</v>
      </c>
      <c r="V2029" s="119" t="n">
        <v>14.03</v>
      </c>
      <c r="W2029" s="119"/>
      <c r="X2029" s="110" t="s">
        <v>2063</v>
      </c>
      <c r="Y2029" s="110" t="s">
        <v>2064</v>
      </c>
      <c r="Z2029" s="110"/>
      <c r="AA2029" s="110" t="s">
        <v>537</v>
      </c>
      <c r="AB2029" s="110" t="s">
        <v>374</v>
      </c>
      <c r="AC2029" s="110" t="s">
        <v>538</v>
      </c>
      <c r="AD2029" s="110" t="n">
        <f aca="false">IF(OR(F2029="",Q2029="",R2029=""),"",ROUND(IF(P2029="incl.",F2029/(1+Q2029),F2029)/IF(S2029="per pack",R2029,1),2))</f>
        <v>14.04</v>
      </c>
      <c r="AE2029" s="110" t="str">
        <f aca="false">IF(AND(AC2029="yes",ISNUMBER(F2029),IF(Compare!$H$5="All mapped",TRUE(),IF(Compare!$H$5="EXACT only",J2029="EXACT",OR(J2029="EXACT",J2029="CLOSE")))),"yes","no")</f>
        <v>yes</v>
      </c>
      <c r="AF2029" s="110" t="n">
        <f aca="false">IF(ISNUMBER(H2029),COUNTIFS($B$7:$B$3000,B2029,$C$7:$C$3000,C2029,$H$7:$H$3000,"&lt;"&amp;H2029,$AH$7:$AH$3000,"yes")+COUNTIFS($B$7:B2029,B2029,$C$7:C2029,C2029,$H$7:H2029,H2029,$AH$7:AH2029,"yes"),"")</f>
        <v>4</v>
      </c>
      <c r="AG2029" s="110" t="n">
        <f aca="false">IF(ISNUMBER(I2029),COUNTIFS($B$7:$B$3000,B2029,$C$7:$C$3000,C2029,$I$7:$I$3000,"&lt;"&amp;I2029,$AI$7:$AI$3000,"yes")+COUNTIFS($B$7:B2029,B2029,$C$7:C2029,C2029,$I$7:I2029,I2029,$AI$7:AI2029,"yes"),"")</f>
        <v>4</v>
      </c>
      <c r="AH2029" s="110" t="str">
        <f aca="false">IF(ISNUMBER(H2029),"yes","no")</f>
        <v>yes</v>
      </c>
      <c r="AI2029" s="110" t="str">
        <f aca="false">IF(ISNUMBER(I2029),"yes","no")</f>
        <v>yes</v>
      </c>
      <c r="AJ2029" s="120" t="n">
        <v>46297</v>
      </c>
      <c r="AK2029" s="110"/>
    </row>
    <row r="2030" customFormat="false" ht="23.85" hidden="false" customHeight="false" outlineLevel="0" collapsed="false">
      <c r="B2030" s="36" t="s">
        <v>108</v>
      </c>
      <c r="C2030" s="98" t="s">
        <v>14</v>
      </c>
      <c r="D2030" s="98" t="s">
        <v>346</v>
      </c>
      <c r="E2030" s="110" t="s">
        <v>6227</v>
      </c>
      <c r="F2030" s="99" t="n">
        <v>35.84</v>
      </c>
      <c r="G2030" s="98" t="s">
        <v>374</v>
      </c>
      <c r="H2030" s="112" t="n">
        <f aca="false">IF(AND(AE2030="yes",ISNUMBER(AD2030)),AD2030,"")</f>
        <v>29.62</v>
      </c>
      <c r="I2030" s="95" t="n">
        <f aca="false">IF(AND(AE2030="yes",ISNUMBER(AD2030),ISNUMBER(INDEX(Sources!$G$7:$G$10,MATCH(AB2030,Sources!$B$7:$B$10,0)))),ROUND(AD2030/INDEX(Sources!$G$7:$G$10,MATCH(AB2030,Sources!$B$7:$B$10,0)),6),"")</f>
        <v>5.612355</v>
      </c>
      <c r="J2030" s="98" t="s">
        <v>530</v>
      </c>
      <c r="K2030" s="98" t="s">
        <v>2059</v>
      </c>
      <c r="L2030" s="96"/>
      <c r="M2030" s="110" t="s">
        <v>6228</v>
      </c>
      <c r="N2030" s="117" t="s">
        <v>6229</v>
      </c>
      <c r="O2030" s="110" t="s">
        <v>783</v>
      </c>
      <c r="P2030" s="110" t="s">
        <v>265</v>
      </c>
      <c r="Q2030" s="118" t="n">
        <v>0.21</v>
      </c>
      <c r="R2030" s="110" t="n">
        <v>1</v>
      </c>
      <c r="S2030" s="110" t="s">
        <v>632</v>
      </c>
      <c r="T2030" s="110" t="s">
        <v>530</v>
      </c>
      <c r="U2030" s="110" t="s">
        <v>2918</v>
      </c>
      <c r="V2030" s="119" t="n">
        <v>29.62</v>
      </c>
      <c r="W2030" s="119"/>
      <c r="X2030" s="110" t="s">
        <v>2063</v>
      </c>
      <c r="Y2030" s="110" t="s">
        <v>2064</v>
      </c>
      <c r="Z2030" s="110"/>
      <c r="AA2030" s="110" t="s">
        <v>537</v>
      </c>
      <c r="AB2030" s="110" t="s">
        <v>374</v>
      </c>
      <c r="AC2030" s="110" t="s">
        <v>538</v>
      </c>
      <c r="AD2030" s="110" t="n">
        <f aca="false">IF(OR(F2030="",Q2030="",R2030=""),"",ROUND(IF(P2030="incl.",F2030/(1+Q2030),F2030)/IF(S2030="per pack",R2030,1),2))</f>
        <v>29.62</v>
      </c>
      <c r="AE2030" s="110" t="str">
        <f aca="false">IF(AND(AC2030="yes",ISNUMBER(F2030),IF(Compare!$H$5="All mapped",TRUE(),IF(Compare!$H$5="EXACT only",J2030="EXACT",OR(J2030="EXACT",J2030="CLOSE")))),"yes","no")</f>
        <v>yes</v>
      </c>
      <c r="AF2030" s="110" t="n">
        <f aca="false">IF(ISNUMBER(H2030),COUNTIFS($B$7:$B$3000,B2030,$C$7:$C$3000,C2030,$H$7:$H$3000,"&lt;"&amp;H2030,$AH$7:$AH$3000,"yes")+COUNTIFS($B$7:B2030,B2030,$C$7:C2030,C2030,$H$7:H2030,H2030,$AH$7:AH2030,"yes"),"")</f>
        <v>5</v>
      </c>
      <c r="AG2030" s="110" t="n">
        <f aca="false">IF(ISNUMBER(I2030),COUNTIFS($B$7:$B$3000,B2030,$C$7:$C$3000,C2030,$I$7:$I$3000,"&lt;"&amp;I2030,$AI$7:$AI$3000,"yes")+COUNTIFS($B$7:B2030,B2030,$C$7:C2030,C2030,$I$7:I2030,I2030,$AI$7:AI2030,"yes"),"")</f>
        <v>5</v>
      </c>
      <c r="AH2030" s="110" t="str">
        <f aca="false">IF(ISNUMBER(H2030),"yes","no")</f>
        <v>yes</v>
      </c>
      <c r="AI2030" s="110" t="str">
        <f aca="false">IF(ISNUMBER(I2030),"yes","no")</f>
        <v>yes</v>
      </c>
      <c r="AJ2030" s="120" t="n">
        <v>46297</v>
      </c>
      <c r="AK2030" s="110"/>
    </row>
    <row r="2031" customFormat="false" ht="23.85" hidden="false" customHeight="false" outlineLevel="0" collapsed="false">
      <c r="B2031" s="36" t="s">
        <v>108</v>
      </c>
      <c r="C2031" s="98" t="s">
        <v>14</v>
      </c>
      <c r="D2031" s="98" t="s">
        <v>403</v>
      </c>
      <c r="E2031" s="110" t="s">
        <v>6230</v>
      </c>
      <c r="F2031" s="99" t="n">
        <v>8.77</v>
      </c>
      <c r="G2031" s="98" t="s">
        <v>374</v>
      </c>
      <c r="H2031" s="112" t="n">
        <f aca="false">IF(AND(AE2031="yes",ISNUMBER(AD2031)),AD2031,"")</f>
        <v>8.77</v>
      </c>
      <c r="I2031" s="95" t="n">
        <f aca="false">IF(AND(AE2031="yes",ISNUMBER(AD2031),ISNUMBER(INDEX(Sources!$G$7:$G$10,MATCH(AB2031,Sources!$B$7:$B$10,0)))),ROUND(AD2031/INDEX(Sources!$G$7:$G$10,MATCH(AB2031,Sources!$B$7:$B$10,0)),6),"")</f>
        <v>1.661727</v>
      </c>
      <c r="J2031" s="98" t="s">
        <v>530</v>
      </c>
      <c r="K2031" s="98" t="s">
        <v>2059</v>
      </c>
      <c r="L2031" s="96"/>
      <c r="M2031" s="110" t="s">
        <v>6231</v>
      </c>
      <c r="N2031" s="117" t="s">
        <v>6232</v>
      </c>
      <c r="O2031" s="110" t="s">
        <v>388</v>
      </c>
      <c r="P2031" s="110" t="s">
        <v>590</v>
      </c>
      <c r="Q2031" s="118" t="n">
        <v>0.21</v>
      </c>
      <c r="R2031" s="110" t="n">
        <v>1</v>
      </c>
      <c r="S2031" s="110" t="s">
        <v>632</v>
      </c>
      <c r="T2031" s="110" t="s">
        <v>530</v>
      </c>
      <c r="U2031" s="110" t="s">
        <v>2913</v>
      </c>
      <c r="V2031" s="119" t="n">
        <v>8.77</v>
      </c>
      <c r="W2031" s="119"/>
      <c r="X2031" s="110" t="s">
        <v>2063</v>
      </c>
      <c r="Y2031" s="110" t="s">
        <v>2064</v>
      </c>
      <c r="Z2031" s="110"/>
      <c r="AA2031" s="110" t="s">
        <v>537</v>
      </c>
      <c r="AB2031" s="110" t="s">
        <v>374</v>
      </c>
      <c r="AC2031" s="110" t="s">
        <v>538</v>
      </c>
      <c r="AD2031" s="110" t="n">
        <f aca="false">IF(OR(F2031="",Q2031="",R2031=""),"",ROUND(IF(P2031="incl.",F2031/(1+Q2031),F2031)/IF(S2031="per pack",R2031,1),2))</f>
        <v>8.77</v>
      </c>
      <c r="AE2031" s="110" t="str">
        <f aca="false">IF(AND(AC2031="yes",ISNUMBER(F2031),IF(Compare!$H$5="All mapped",TRUE(),IF(Compare!$H$5="EXACT only",J2031="EXACT",OR(J2031="EXACT",J2031="CLOSE")))),"yes","no")</f>
        <v>yes</v>
      </c>
      <c r="AF2031" s="110" t="n">
        <f aca="false">IF(ISNUMBER(H2031),COUNTIFS($B$7:$B$3000,B2031,$C$7:$C$3000,C2031,$H$7:$H$3000,"&lt;"&amp;H2031,$AH$7:$AH$3000,"yes")+COUNTIFS($B$7:B2031,B2031,$C$7:C2031,C2031,$H$7:H2031,H2031,$AH$7:AH2031,"yes"),"")</f>
        <v>2</v>
      </c>
      <c r="AG2031" s="110" t="n">
        <f aca="false">IF(ISNUMBER(I2031),COUNTIFS($B$7:$B$3000,B2031,$C$7:$C$3000,C2031,$I$7:$I$3000,"&lt;"&amp;I2031,$AI$7:$AI$3000,"yes")+COUNTIFS($B$7:B2031,B2031,$C$7:C2031,C2031,$I$7:I2031,I2031,$AI$7:AI2031,"yes"),"")</f>
        <v>2</v>
      </c>
      <c r="AH2031" s="110" t="str">
        <f aca="false">IF(ISNUMBER(H2031),"yes","no")</f>
        <v>yes</v>
      </c>
      <c r="AI2031" s="110" t="str">
        <f aca="false">IF(ISNUMBER(I2031),"yes","no")</f>
        <v>yes</v>
      </c>
      <c r="AJ2031" s="120" t="n">
        <v>46297</v>
      </c>
      <c r="AK2031" s="110"/>
    </row>
    <row r="2032" customFormat="false" ht="35.05" hidden="false" customHeight="false" outlineLevel="0" collapsed="false">
      <c r="B2032" s="36" t="s">
        <v>108</v>
      </c>
      <c r="C2032" s="98" t="s">
        <v>15</v>
      </c>
      <c r="D2032" s="98" t="s">
        <v>277</v>
      </c>
      <c r="E2032" s="110" t="s">
        <v>6233</v>
      </c>
      <c r="F2032" s="99" t="n">
        <v>28.49</v>
      </c>
      <c r="G2032" s="98" t="s">
        <v>244</v>
      </c>
      <c r="H2032" s="112" t="n">
        <f aca="false">IF(AND(AE2032="yes",ISNUMBER(AD2032)),AD2032,"")</f>
        <v>2.37</v>
      </c>
      <c r="I2032" s="95" t="n">
        <f aca="false">IF(AND(AE2032="yes",ISNUMBER(AD2032),ISNUMBER(INDEX(Sources!$G$7:$G$10,MATCH(AB2032,Sources!$B$7:$B$10,0)))),ROUND(AD2032/INDEX(Sources!$G$7:$G$10,MATCH(AB2032,Sources!$B$7:$B$10,0)),6),"")</f>
        <v>2.37</v>
      </c>
      <c r="J2032" s="98" t="s">
        <v>530</v>
      </c>
      <c r="K2032" s="98" t="s">
        <v>2059</v>
      </c>
      <c r="L2032" s="96"/>
      <c r="M2032" s="110" t="s">
        <v>6234</v>
      </c>
      <c r="N2032" s="117" t="s">
        <v>6235</v>
      </c>
      <c r="O2032" s="110" t="s">
        <v>317</v>
      </c>
      <c r="P2032" s="110" t="s">
        <v>590</v>
      </c>
      <c r="Q2032" s="118" t="n">
        <v>0.19</v>
      </c>
      <c r="R2032" s="110" t="n">
        <v>12</v>
      </c>
      <c r="S2032" s="110" t="s">
        <v>625</v>
      </c>
      <c r="T2032" s="110" t="s">
        <v>530</v>
      </c>
      <c r="U2032" s="110" t="s">
        <v>2913</v>
      </c>
      <c r="V2032" s="119" t="n">
        <v>2.37</v>
      </c>
      <c r="W2032" s="119"/>
      <c r="X2032" s="110" t="s">
        <v>2063</v>
      </c>
      <c r="Y2032" s="110" t="s">
        <v>2064</v>
      </c>
      <c r="Z2032" s="110" t="s">
        <v>4521</v>
      </c>
      <c r="AA2032" s="110" t="s">
        <v>537</v>
      </c>
      <c r="AB2032" s="110" t="s">
        <v>244</v>
      </c>
      <c r="AC2032" s="110" t="s">
        <v>538</v>
      </c>
      <c r="AD2032" s="110" t="n">
        <f aca="false">IF(OR(F2032="",Q2032="",R2032=""),"",ROUND(IF(P2032="incl.",F2032/(1+Q2032),F2032)/IF(S2032="per pack",R2032,1),2))</f>
        <v>2.37</v>
      </c>
      <c r="AE2032" s="110" t="str">
        <f aca="false">IF(AND(AC2032="yes",ISNUMBER(F2032),IF(Compare!$H$5="All mapped",TRUE(),IF(Compare!$H$5="EXACT only",J2032="EXACT",OR(J2032="EXACT",J2032="CLOSE")))),"yes","no")</f>
        <v>yes</v>
      </c>
      <c r="AF2032" s="110" t="n">
        <f aca="false">IF(ISNUMBER(H2032),COUNTIFS($B$7:$B$3000,B2032,$C$7:$C$3000,C2032,$H$7:$H$3000,"&lt;"&amp;H2032,$AH$7:$AH$3000,"yes")+COUNTIFS($B$7:B2032,B2032,$C$7:C2032,C2032,$H$7:H2032,H2032,$AH$7:AH2032,"yes"),"")</f>
        <v>4</v>
      </c>
      <c r="AG2032" s="110" t="n">
        <f aca="false">IF(ISNUMBER(I2032),COUNTIFS($B$7:$B$3000,B2032,$C$7:$C$3000,C2032,$I$7:$I$3000,"&lt;"&amp;I2032,$AI$7:$AI$3000,"yes")+COUNTIFS($B$7:B2032,B2032,$C$7:C2032,C2032,$I$7:I2032,I2032,$AI$7:AI2032,"yes"),"")</f>
        <v>4</v>
      </c>
      <c r="AH2032" s="110" t="str">
        <f aca="false">IF(ISNUMBER(H2032),"yes","no")</f>
        <v>yes</v>
      </c>
      <c r="AI2032" s="110" t="str">
        <f aca="false">IF(ISNUMBER(I2032),"yes","no")</f>
        <v>yes</v>
      </c>
      <c r="AJ2032" s="120" t="n">
        <v>46297</v>
      </c>
      <c r="AK2032" s="110"/>
    </row>
    <row r="2033" customFormat="false" ht="23.85" hidden="false" customHeight="false" outlineLevel="0" collapsed="false">
      <c r="B2033" s="36" t="s">
        <v>108</v>
      </c>
      <c r="C2033" s="98" t="s">
        <v>15</v>
      </c>
      <c r="D2033" s="98" t="s">
        <v>257</v>
      </c>
      <c r="E2033" s="110" t="s">
        <v>6236</v>
      </c>
      <c r="F2033" s="99" t="n">
        <v>1.85</v>
      </c>
      <c r="G2033" s="98" t="s">
        <v>244</v>
      </c>
      <c r="H2033" s="112" t="n">
        <f aca="false">IF(AND(AE2033="yes",ISNUMBER(AD2033)),AD2033,"")</f>
        <v>1.85</v>
      </c>
      <c r="I2033" s="95" t="n">
        <f aca="false">IF(AND(AE2033="yes",ISNUMBER(AD2033),ISNUMBER(INDEX(Sources!$G$7:$G$10,MATCH(AB2033,Sources!$B$7:$B$10,0)))),ROUND(AD2033/INDEX(Sources!$G$7:$G$10,MATCH(AB2033,Sources!$B$7:$B$10,0)),6),"")</f>
        <v>1.85</v>
      </c>
      <c r="J2033" s="98" t="s">
        <v>530</v>
      </c>
      <c r="K2033" s="98" t="s">
        <v>2059</v>
      </c>
      <c r="L2033" s="96"/>
      <c r="M2033" s="110" t="s">
        <v>6237</v>
      </c>
      <c r="N2033" s="117" t="s">
        <v>6238</v>
      </c>
      <c r="O2033" s="110" t="s">
        <v>2396</v>
      </c>
      <c r="P2033" s="110" t="s">
        <v>590</v>
      </c>
      <c r="Q2033" s="118" t="n">
        <v>0.2</v>
      </c>
      <c r="R2033" s="110" t="n">
        <v>1</v>
      </c>
      <c r="S2033" s="110" t="s">
        <v>632</v>
      </c>
      <c r="T2033" s="110" t="s">
        <v>530</v>
      </c>
      <c r="U2033" s="110" t="s">
        <v>2913</v>
      </c>
      <c r="V2033" s="119" t="n">
        <v>1.85</v>
      </c>
      <c r="W2033" s="119"/>
      <c r="X2033" s="110" t="s">
        <v>2063</v>
      </c>
      <c r="Y2033" s="110" t="s">
        <v>2064</v>
      </c>
      <c r="Z2033" s="110" t="s">
        <v>4341</v>
      </c>
      <c r="AA2033" s="110" t="s">
        <v>537</v>
      </c>
      <c r="AB2033" s="110" t="s">
        <v>244</v>
      </c>
      <c r="AC2033" s="110" t="s">
        <v>538</v>
      </c>
      <c r="AD2033" s="110" t="n">
        <f aca="false">IF(OR(F2033="",Q2033="",R2033=""),"",ROUND(IF(P2033="incl.",F2033/(1+Q2033),F2033)/IF(S2033="per pack",R2033,1),2))</f>
        <v>1.85</v>
      </c>
      <c r="AE2033" s="110" t="str">
        <f aca="false">IF(AND(AC2033="yes",ISNUMBER(F2033),IF(Compare!$H$5="All mapped",TRUE(),IF(Compare!$H$5="EXACT only",J2033="EXACT",OR(J2033="EXACT",J2033="CLOSE")))),"yes","no")</f>
        <v>yes</v>
      </c>
      <c r="AF2033" s="110" t="n">
        <f aca="false">IF(ISNUMBER(H2033),COUNTIFS($B$7:$B$3000,B2033,$C$7:$C$3000,C2033,$H$7:$H$3000,"&lt;"&amp;H2033,$AH$7:$AH$3000,"yes")+COUNTIFS($B$7:B2033,B2033,$C$7:C2033,C2033,$H$7:H2033,H2033,$AH$7:AH2033,"yes"),"")</f>
        <v>3</v>
      </c>
      <c r="AG2033" s="110" t="n">
        <f aca="false">IF(ISNUMBER(I2033),COUNTIFS($B$7:$B$3000,B2033,$C$7:$C$3000,C2033,$I$7:$I$3000,"&lt;"&amp;I2033,$AI$7:$AI$3000,"yes")+COUNTIFS($B$7:B2033,B2033,$C$7:C2033,C2033,$I$7:I2033,I2033,$AI$7:AI2033,"yes"),"")</f>
        <v>3</v>
      </c>
      <c r="AH2033" s="110" t="str">
        <f aca="false">IF(ISNUMBER(H2033),"yes","no")</f>
        <v>yes</v>
      </c>
      <c r="AI2033" s="110" t="str">
        <f aca="false">IF(ISNUMBER(I2033),"yes","no")</f>
        <v>yes</v>
      </c>
      <c r="AJ2033" s="120" t="n">
        <v>46297</v>
      </c>
      <c r="AK2033" s="110"/>
    </row>
    <row r="2034" customFormat="false" ht="23.85" hidden="false" customHeight="false" outlineLevel="0" collapsed="false">
      <c r="B2034" s="36" t="s">
        <v>108</v>
      </c>
      <c r="C2034" s="98" t="s">
        <v>15</v>
      </c>
      <c r="D2034" s="98" t="s">
        <v>269</v>
      </c>
      <c r="E2034" s="110" t="s">
        <v>6239</v>
      </c>
      <c r="F2034" s="99" t="n">
        <v>5.39</v>
      </c>
      <c r="G2034" s="98" t="s">
        <v>244</v>
      </c>
      <c r="H2034" s="112" t="n">
        <f aca="false">IF(AND(AE2034="yes",ISNUMBER(AD2034)),AD2034,"")</f>
        <v>5.39</v>
      </c>
      <c r="I2034" s="95" t="n">
        <f aca="false">IF(AND(AE2034="yes",ISNUMBER(AD2034),ISNUMBER(INDEX(Sources!$G$7:$G$10,MATCH(AB2034,Sources!$B$7:$B$10,0)))),ROUND(AD2034/INDEX(Sources!$G$7:$G$10,MATCH(AB2034,Sources!$B$7:$B$10,0)),6),"")</f>
        <v>5.39</v>
      </c>
      <c r="J2034" s="98" t="s">
        <v>530</v>
      </c>
      <c r="K2034" s="98" t="s">
        <v>2059</v>
      </c>
      <c r="L2034" s="96"/>
      <c r="M2034" s="110" t="s">
        <v>6240</v>
      </c>
      <c r="N2034" s="117" t="s">
        <v>6241</v>
      </c>
      <c r="O2034" s="110" t="s">
        <v>589</v>
      </c>
      <c r="P2034" s="110" t="s">
        <v>590</v>
      </c>
      <c r="Q2034" s="118" t="n">
        <v>0.19</v>
      </c>
      <c r="R2034" s="110" t="n">
        <v>1</v>
      </c>
      <c r="S2034" s="110" t="s">
        <v>632</v>
      </c>
      <c r="T2034" s="110" t="s">
        <v>530</v>
      </c>
      <c r="U2034" s="110" t="s">
        <v>2913</v>
      </c>
      <c r="V2034" s="119" t="n">
        <v>5.39</v>
      </c>
      <c r="W2034" s="119"/>
      <c r="X2034" s="110" t="s">
        <v>2063</v>
      </c>
      <c r="Y2034" s="110" t="s">
        <v>2064</v>
      </c>
      <c r="Z2034" s="110" t="s">
        <v>4345</v>
      </c>
      <c r="AA2034" s="110" t="s">
        <v>537</v>
      </c>
      <c r="AB2034" s="110" t="s">
        <v>244</v>
      </c>
      <c r="AC2034" s="110" t="s">
        <v>538</v>
      </c>
      <c r="AD2034" s="110" t="n">
        <f aca="false">IF(OR(F2034="",Q2034="",R2034=""),"",ROUND(IF(P2034="incl.",F2034/(1+Q2034),F2034)/IF(S2034="per pack",R2034,1),2))</f>
        <v>5.39</v>
      </c>
      <c r="AE2034" s="110" t="str">
        <f aca="false">IF(AND(AC2034="yes",ISNUMBER(F2034),IF(Compare!$H$5="All mapped",TRUE(),IF(Compare!$H$5="EXACT only",J2034="EXACT",OR(J2034="EXACT",J2034="CLOSE")))),"yes","no")</f>
        <v>yes</v>
      </c>
      <c r="AF2034" s="110" t="n">
        <f aca="false">IF(ISNUMBER(H2034),COUNTIFS($B$7:$B$3000,B2034,$C$7:$C$3000,C2034,$H$7:$H$3000,"&lt;"&amp;H2034,$AH$7:$AH$3000,"yes")+COUNTIFS($B$7:B2034,B2034,$C$7:C2034,C2034,$H$7:H2034,H2034,$AH$7:AH2034,"yes"),"")</f>
        <v>6</v>
      </c>
      <c r="AG2034" s="110" t="n">
        <f aca="false">IF(ISNUMBER(I2034),COUNTIFS($B$7:$B$3000,B2034,$C$7:$C$3000,C2034,$I$7:$I$3000,"&lt;"&amp;I2034,$AI$7:$AI$3000,"yes")+COUNTIFS($B$7:B2034,B2034,$C$7:C2034,C2034,$I$7:I2034,I2034,$AI$7:AI2034,"yes"),"")</f>
        <v>6</v>
      </c>
      <c r="AH2034" s="110" t="str">
        <f aca="false">IF(ISNUMBER(H2034),"yes","no")</f>
        <v>yes</v>
      </c>
      <c r="AI2034" s="110" t="str">
        <f aca="false">IF(ISNUMBER(I2034),"yes","no")</f>
        <v>yes</v>
      </c>
      <c r="AJ2034" s="120" t="n">
        <v>46297</v>
      </c>
      <c r="AK2034" s="110"/>
    </row>
    <row r="2035" customFormat="false" ht="35.05" hidden="false" customHeight="false" outlineLevel="0" collapsed="false">
      <c r="B2035" s="36" t="s">
        <v>108</v>
      </c>
      <c r="C2035" s="98" t="s">
        <v>15</v>
      </c>
      <c r="D2035" s="98" t="s">
        <v>264</v>
      </c>
      <c r="E2035" s="110" t="s">
        <v>6242</v>
      </c>
      <c r="F2035" s="99" t="n">
        <v>16.68</v>
      </c>
      <c r="G2035" s="98" t="s">
        <v>244</v>
      </c>
      <c r="H2035" s="112" t="n">
        <f aca="false">IF(AND(AE2035="yes",ISNUMBER(AD2035)),AD2035,"")</f>
        <v>16.68</v>
      </c>
      <c r="I2035" s="95" t="n">
        <f aca="false">IF(AND(AE2035="yes",ISNUMBER(AD2035),ISNUMBER(INDEX(Sources!$G$7:$G$10,MATCH(AB2035,Sources!$B$7:$B$10,0)))),ROUND(AD2035/INDEX(Sources!$G$7:$G$10,MATCH(AB2035,Sources!$B$7:$B$10,0)),6),"")</f>
        <v>16.68</v>
      </c>
      <c r="J2035" s="98" t="s">
        <v>702</v>
      </c>
      <c r="K2035" s="98" t="s">
        <v>2059</v>
      </c>
      <c r="L2035" s="96"/>
      <c r="M2035" s="110" t="s">
        <v>6243</v>
      </c>
      <c r="N2035" s="117" t="s">
        <v>6244</v>
      </c>
      <c r="O2035" s="110" t="s">
        <v>388</v>
      </c>
      <c r="P2035" s="110" t="s">
        <v>590</v>
      </c>
      <c r="Q2035" s="118" t="n">
        <v>0.19</v>
      </c>
      <c r="R2035" s="110" t="n">
        <v>1</v>
      </c>
      <c r="S2035" s="110" t="s">
        <v>632</v>
      </c>
      <c r="T2035" s="110" t="s">
        <v>702</v>
      </c>
      <c r="U2035" s="110" t="s">
        <v>2913</v>
      </c>
      <c r="V2035" s="119" t="n">
        <v>16.68</v>
      </c>
      <c r="W2035" s="119"/>
      <c r="X2035" s="110" t="s">
        <v>2063</v>
      </c>
      <c r="Y2035" s="110" t="s">
        <v>2064</v>
      </c>
      <c r="Z2035" s="110"/>
      <c r="AA2035" s="110" t="s">
        <v>537</v>
      </c>
      <c r="AB2035" s="110" t="s">
        <v>244</v>
      </c>
      <c r="AC2035" s="110" t="s">
        <v>538</v>
      </c>
      <c r="AD2035" s="110" t="n">
        <f aca="false">IF(OR(F2035="",Q2035="",R2035=""),"",ROUND(IF(P2035="incl.",F2035/(1+Q2035),F2035)/IF(S2035="per pack",R2035,1),2))</f>
        <v>16.68</v>
      </c>
      <c r="AE2035" s="110" t="str">
        <f aca="false">IF(AND(AC2035="yes",ISNUMBER(F2035),IF(Compare!$H$5="All mapped",TRUE(),IF(Compare!$H$5="EXACT only",J2035="EXACT",OR(J2035="EXACT",J2035="CLOSE")))),"yes","no")</f>
        <v>yes</v>
      </c>
      <c r="AF2035" s="110" t="n">
        <f aca="false">IF(ISNUMBER(H2035),COUNTIFS($B$7:$B$3000,B2035,$C$7:$C$3000,C2035,$H$7:$H$3000,"&lt;"&amp;H2035,$AH$7:$AH$3000,"yes")+COUNTIFS($B$7:B2035,B2035,$C$7:C2035,C2035,$H$7:H2035,H2035,$AH$7:AH2035,"yes"),"")</f>
        <v>7</v>
      </c>
      <c r="AG2035" s="110" t="n">
        <f aca="false">IF(ISNUMBER(I2035),COUNTIFS($B$7:$B$3000,B2035,$C$7:$C$3000,C2035,$I$7:$I$3000,"&lt;"&amp;I2035,$AI$7:$AI$3000,"yes")+COUNTIFS($B$7:B2035,B2035,$C$7:C2035,C2035,$I$7:I2035,I2035,$AI$7:AI2035,"yes"),"")</f>
        <v>7</v>
      </c>
      <c r="AH2035" s="110" t="str">
        <f aca="false">IF(ISNUMBER(H2035),"yes","no")</f>
        <v>yes</v>
      </c>
      <c r="AI2035" s="110" t="str">
        <f aca="false">IF(ISNUMBER(I2035),"yes","no")</f>
        <v>yes</v>
      </c>
      <c r="AJ2035" s="120" t="n">
        <v>46297</v>
      </c>
      <c r="AK2035" s="110"/>
    </row>
    <row r="2036" customFormat="false" ht="23.85" hidden="false" customHeight="false" outlineLevel="0" collapsed="false">
      <c r="B2036" s="36" t="s">
        <v>108</v>
      </c>
      <c r="C2036" s="98" t="s">
        <v>15</v>
      </c>
      <c r="D2036" s="98" t="s">
        <v>273</v>
      </c>
      <c r="E2036" s="110" t="s">
        <v>6245</v>
      </c>
      <c r="F2036" s="99" t="n">
        <v>4.29</v>
      </c>
      <c r="G2036" s="98" t="s">
        <v>244</v>
      </c>
      <c r="H2036" s="112" t="n">
        <f aca="false">IF(AND(AE2036="yes",ISNUMBER(AD2036)),AD2036,"")</f>
        <v>3.58</v>
      </c>
      <c r="I2036" s="95" t="n">
        <f aca="false">IF(AND(AE2036="yes",ISNUMBER(AD2036),ISNUMBER(INDEX(Sources!$G$7:$G$10,MATCH(AB2036,Sources!$B$7:$B$10,0)))),ROUND(AD2036/INDEX(Sources!$G$7:$G$10,MATCH(AB2036,Sources!$B$7:$B$10,0)),6),"")</f>
        <v>3.58</v>
      </c>
      <c r="J2036" s="98" t="s">
        <v>702</v>
      </c>
      <c r="K2036" s="98" t="s">
        <v>2059</v>
      </c>
      <c r="L2036" s="96"/>
      <c r="M2036" s="110" t="s">
        <v>6246</v>
      </c>
      <c r="N2036" s="117" t="s">
        <v>6247</v>
      </c>
      <c r="O2036" s="110" t="s">
        <v>642</v>
      </c>
      <c r="P2036" s="110" t="s">
        <v>265</v>
      </c>
      <c r="Q2036" s="118" t="n">
        <v>0.2</v>
      </c>
      <c r="R2036" s="110" t="n">
        <v>1</v>
      </c>
      <c r="S2036" s="110" t="s">
        <v>632</v>
      </c>
      <c r="T2036" s="110" t="s">
        <v>702</v>
      </c>
      <c r="U2036" s="110" t="s">
        <v>2918</v>
      </c>
      <c r="V2036" s="119" t="n">
        <v>3.58</v>
      </c>
      <c r="W2036" s="119"/>
      <c r="X2036" s="110" t="s">
        <v>2063</v>
      </c>
      <c r="Y2036" s="110" t="s">
        <v>2064</v>
      </c>
      <c r="Z2036" s="110"/>
      <c r="AA2036" s="110" t="s">
        <v>537</v>
      </c>
      <c r="AB2036" s="110" t="s">
        <v>244</v>
      </c>
      <c r="AC2036" s="110" t="s">
        <v>538</v>
      </c>
      <c r="AD2036" s="110" t="n">
        <f aca="false">IF(OR(F2036="",Q2036="",R2036=""),"",ROUND(IF(P2036="incl.",F2036/(1+Q2036),F2036)/IF(S2036="per pack",R2036,1),2))</f>
        <v>3.58</v>
      </c>
      <c r="AE2036" s="110" t="str">
        <f aca="false">IF(AND(AC2036="yes",ISNUMBER(F2036),IF(Compare!$H$5="All mapped",TRUE(),IF(Compare!$H$5="EXACT only",J2036="EXACT",OR(J2036="EXACT",J2036="CLOSE")))),"yes","no")</f>
        <v>yes</v>
      </c>
      <c r="AF2036" s="110" t="n">
        <f aca="false">IF(ISNUMBER(H2036),COUNTIFS($B$7:$B$3000,B2036,$C$7:$C$3000,C2036,$H$7:$H$3000,"&lt;"&amp;H2036,$AH$7:$AH$3000,"yes")+COUNTIFS($B$7:B2036,B2036,$C$7:C2036,C2036,$H$7:H2036,H2036,$AH$7:AH2036,"yes"),"")</f>
        <v>5</v>
      </c>
      <c r="AG2036" s="110" t="n">
        <f aca="false">IF(ISNUMBER(I2036),COUNTIFS($B$7:$B$3000,B2036,$C$7:$C$3000,C2036,$I$7:$I$3000,"&lt;"&amp;I2036,$AI$7:$AI$3000,"yes")+COUNTIFS($B$7:B2036,B2036,$C$7:C2036,C2036,$I$7:I2036,I2036,$AI$7:AI2036,"yes"),"")</f>
        <v>5</v>
      </c>
      <c r="AH2036" s="110" t="str">
        <f aca="false">IF(ISNUMBER(H2036),"yes","no")</f>
        <v>yes</v>
      </c>
      <c r="AI2036" s="110" t="str">
        <f aca="false">IF(ISNUMBER(I2036),"yes","no")</f>
        <v>yes</v>
      </c>
      <c r="AJ2036" s="120" t="n">
        <v>46297</v>
      </c>
      <c r="AK2036" s="110"/>
    </row>
    <row r="2037" customFormat="false" ht="57.45" hidden="false" customHeight="false" outlineLevel="0" collapsed="false">
      <c r="B2037" s="36" t="s">
        <v>108</v>
      </c>
      <c r="C2037" s="98" t="s">
        <v>15</v>
      </c>
      <c r="D2037" s="98" t="s">
        <v>281</v>
      </c>
      <c r="E2037" s="110" t="s">
        <v>6248</v>
      </c>
      <c r="F2037" s="99" t="n">
        <v>1.84</v>
      </c>
      <c r="G2037" s="98" t="s">
        <v>244</v>
      </c>
      <c r="H2037" s="112" t="n">
        <f aca="false">IF(AND(AE2037="yes",ISNUMBER(AD2037)),AD2037,"")</f>
        <v>1.84</v>
      </c>
      <c r="I2037" s="95" t="n">
        <f aca="false">IF(AND(AE2037="yes",ISNUMBER(AD2037),ISNUMBER(INDEX(Sources!$G$7:$G$10,MATCH(AB2037,Sources!$B$7:$B$10,0)))),ROUND(AD2037/INDEX(Sources!$G$7:$G$10,MATCH(AB2037,Sources!$B$7:$B$10,0)),6),"")</f>
        <v>1.84</v>
      </c>
      <c r="J2037" s="98" t="s">
        <v>702</v>
      </c>
      <c r="K2037" s="98" t="s">
        <v>2059</v>
      </c>
      <c r="L2037" s="96"/>
      <c r="M2037" s="110" t="s">
        <v>6249</v>
      </c>
      <c r="N2037" s="117" t="s">
        <v>6250</v>
      </c>
      <c r="O2037" s="110" t="s">
        <v>603</v>
      </c>
      <c r="P2037" s="110" t="s">
        <v>590</v>
      </c>
      <c r="Q2037" s="118" t="n">
        <v>0.2</v>
      </c>
      <c r="R2037" s="110" t="n">
        <v>1</v>
      </c>
      <c r="S2037" s="110" t="s">
        <v>632</v>
      </c>
      <c r="T2037" s="110" t="s">
        <v>702</v>
      </c>
      <c r="U2037" s="110" t="s">
        <v>2913</v>
      </c>
      <c r="V2037" s="119" t="n">
        <v>1.84</v>
      </c>
      <c r="W2037" s="119"/>
      <c r="X2037" s="110" t="s">
        <v>2063</v>
      </c>
      <c r="Y2037" s="110" t="s">
        <v>2064</v>
      </c>
      <c r="Z2037" s="110" t="s">
        <v>5626</v>
      </c>
      <c r="AA2037" s="110" t="s">
        <v>537</v>
      </c>
      <c r="AB2037" s="110" t="s">
        <v>244</v>
      </c>
      <c r="AC2037" s="110" t="s">
        <v>538</v>
      </c>
      <c r="AD2037" s="110" t="n">
        <f aca="false">IF(OR(F2037="",Q2037="",R2037=""),"",ROUND(IF(P2037="incl.",F2037/(1+Q2037),F2037)/IF(S2037="per pack",R2037,1),2))</f>
        <v>1.84</v>
      </c>
      <c r="AE2037" s="110" t="str">
        <f aca="false">IF(AND(AC2037="yes",ISNUMBER(F2037),IF(Compare!$H$5="All mapped",TRUE(),IF(Compare!$H$5="EXACT only",J2037="EXACT",OR(J2037="EXACT",J2037="CLOSE")))),"yes","no")</f>
        <v>yes</v>
      </c>
      <c r="AF2037" s="110" t="n">
        <f aca="false">IF(ISNUMBER(H2037),COUNTIFS($B$7:$B$3000,B2037,$C$7:$C$3000,C2037,$H$7:$H$3000,"&lt;"&amp;H2037,$AH$7:$AH$3000,"yes")+COUNTIFS($B$7:B2037,B2037,$C$7:C2037,C2037,$H$7:H2037,H2037,$AH$7:AH2037,"yes"),"")</f>
        <v>2</v>
      </c>
      <c r="AG2037" s="110" t="n">
        <f aca="false">IF(ISNUMBER(I2037),COUNTIFS($B$7:$B$3000,B2037,$C$7:$C$3000,C2037,$I$7:$I$3000,"&lt;"&amp;I2037,$AI$7:$AI$3000,"yes")+COUNTIFS($B$7:B2037,B2037,$C$7:C2037,C2037,$I$7:I2037,I2037,$AI$7:AI2037,"yes"),"")</f>
        <v>2</v>
      </c>
      <c r="AH2037" s="110" t="str">
        <f aca="false">IF(ISNUMBER(H2037),"yes","no")</f>
        <v>yes</v>
      </c>
      <c r="AI2037" s="110" t="str">
        <f aca="false">IF(ISNUMBER(I2037),"yes","no")</f>
        <v>yes</v>
      </c>
      <c r="AJ2037" s="120" t="n">
        <v>46297</v>
      </c>
      <c r="AK2037" s="110"/>
    </row>
    <row r="2038" customFormat="false" ht="35.05" hidden="false" customHeight="false" outlineLevel="0" collapsed="false">
      <c r="B2038" s="36" t="s">
        <v>108</v>
      </c>
      <c r="C2038" s="98" t="s">
        <v>15</v>
      </c>
      <c r="D2038" s="98" t="s">
        <v>293</v>
      </c>
      <c r="E2038" s="110" t="s">
        <v>6251</v>
      </c>
      <c r="F2038" s="99" t="n">
        <v>1.6</v>
      </c>
      <c r="G2038" s="98" t="s">
        <v>244</v>
      </c>
      <c r="H2038" s="112" t="n">
        <f aca="false">IF(AND(AE2038="yes",ISNUMBER(AD2038)),AD2038,"")</f>
        <v>1.6</v>
      </c>
      <c r="I2038" s="95" t="n">
        <f aca="false">IF(AND(AE2038="yes",ISNUMBER(AD2038),ISNUMBER(INDEX(Sources!$G$7:$G$10,MATCH(AB2038,Sources!$B$7:$B$10,0)))),ROUND(AD2038/INDEX(Sources!$G$7:$G$10,MATCH(AB2038,Sources!$B$7:$B$10,0)),6),"")</f>
        <v>1.6</v>
      </c>
      <c r="J2038" s="98" t="s">
        <v>530</v>
      </c>
      <c r="K2038" s="98" t="s">
        <v>2059</v>
      </c>
      <c r="L2038" s="96"/>
      <c r="M2038" s="110" t="s">
        <v>6252</v>
      </c>
      <c r="N2038" s="117" t="s">
        <v>6253</v>
      </c>
      <c r="O2038" s="110" t="s">
        <v>4358</v>
      </c>
      <c r="P2038" s="110" t="s">
        <v>590</v>
      </c>
      <c r="Q2038" s="118" t="n">
        <v>0.2</v>
      </c>
      <c r="R2038" s="110" t="n">
        <v>1</v>
      </c>
      <c r="S2038" s="110" t="s">
        <v>632</v>
      </c>
      <c r="T2038" s="110" t="s">
        <v>530</v>
      </c>
      <c r="U2038" s="110" t="s">
        <v>2913</v>
      </c>
      <c r="V2038" s="119" t="n">
        <v>1.6</v>
      </c>
      <c r="W2038" s="119"/>
      <c r="X2038" s="110" t="s">
        <v>2063</v>
      </c>
      <c r="Y2038" s="110" t="s">
        <v>2064</v>
      </c>
      <c r="Z2038" s="110"/>
      <c r="AA2038" s="110" t="s">
        <v>537</v>
      </c>
      <c r="AB2038" s="110" t="s">
        <v>244</v>
      </c>
      <c r="AC2038" s="110" t="s">
        <v>538</v>
      </c>
      <c r="AD2038" s="110" t="n">
        <f aca="false">IF(OR(F2038="",Q2038="",R2038=""),"",ROUND(IF(P2038="incl.",F2038/(1+Q2038),F2038)/IF(S2038="per pack",R2038,1),2))</f>
        <v>1.6</v>
      </c>
      <c r="AE2038" s="110" t="str">
        <f aca="false">IF(AND(AC2038="yes",ISNUMBER(F2038),IF(Compare!$H$5="All mapped",TRUE(),IF(Compare!$H$5="EXACT only",J2038="EXACT",OR(J2038="EXACT",J2038="CLOSE")))),"yes","no")</f>
        <v>yes</v>
      </c>
      <c r="AF2038" s="110" t="n">
        <f aca="false">IF(ISNUMBER(H2038),COUNTIFS($B$7:$B$3000,B2038,$C$7:$C$3000,C2038,$H$7:$H$3000,"&lt;"&amp;H2038,$AH$7:$AH$3000,"yes")+COUNTIFS($B$7:B2038,B2038,$C$7:C2038,C2038,$H$7:H2038,H2038,$AH$7:AH2038,"yes"),"")</f>
        <v>1</v>
      </c>
      <c r="AG2038" s="110" t="n">
        <f aca="false">IF(ISNUMBER(I2038),COUNTIFS($B$7:$B$3000,B2038,$C$7:$C$3000,C2038,$I$7:$I$3000,"&lt;"&amp;I2038,$AI$7:$AI$3000,"yes")+COUNTIFS($B$7:B2038,B2038,$C$7:C2038,C2038,$I$7:I2038,I2038,$AI$7:AI2038,"yes"),"")</f>
        <v>1</v>
      </c>
      <c r="AH2038" s="110" t="str">
        <f aca="false">IF(ISNUMBER(H2038),"yes","no")</f>
        <v>yes</v>
      </c>
      <c r="AI2038" s="110" t="str">
        <f aca="false">IF(ISNUMBER(I2038),"yes","no")</f>
        <v>yes</v>
      </c>
      <c r="AJ2038" s="120" t="n">
        <v>46297</v>
      </c>
      <c r="AK2038" s="110"/>
    </row>
    <row r="2039" customFormat="false" ht="23.85" hidden="false" customHeight="false" outlineLevel="0" collapsed="false">
      <c r="B2039" s="36" t="s">
        <v>108</v>
      </c>
      <c r="C2039" s="98" t="s">
        <v>16</v>
      </c>
      <c r="D2039" s="98" t="s">
        <v>296</v>
      </c>
      <c r="E2039" s="110" t="s">
        <v>6254</v>
      </c>
      <c r="F2039" s="99" t="n">
        <v>1.99</v>
      </c>
      <c r="G2039" s="98" t="s">
        <v>244</v>
      </c>
      <c r="H2039" s="112" t="n">
        <f aca="false">IF(AND(AE2039="yes",ISNUMBER(AD2039)),AD2039,"")</f>
        <v>1.99</v>
      </c>
      <c r="I2039" s="95" t="n">
        <f aca="false">IF(AND(AE2039="yes",ISNUMBER(AD2039),ISNUMBER(INDEX(Sources!$G$7:$G$10,MATCH(AB2039,Sources!$B$7:$B$10,0)))),ROUND(AD2039/INDEX(Sources!$G$7:$G$10,MATCH(AB2039,Sources!$B$7:$B$10,0)),6),"")</f>
        <v>1.99</v>
      </c>
      <c r="J2039" s="98" t="s">
        <v>530</v>
      </c>
      <c r="K2039" s="98" t="s">
        <v>2059</v>
      </c>
      <c r="L2039" s="96"/>
      <c r="M2039" s="110" t="s">
        <v>6255</v>
      </c>
      <c r="N2039" s="117" t="s">
        <v>6256</v>
      </c>
      <c r="O2039" s="110" t="s">
        <v>4362</v>
      </c>
      <c r="P2039" s="110" t="s">
        <v>590</v>
      </c>
      <c r="Q2039" s="118" t="n">
        <v>0.19</v>
      </c>
      <c r="R2039" s="110" t="n">
        <v>1</v>
      </c>
      <c r="S2039" s="110" t="s">
        <v>632</v>
      </c>
      <c r="T2039" s="110" t="s">
        <v>530</v>
      </c>
      <c r="U2039" s="110" t="s">
        <v>2913</v>
      </c>
      <c r="V2039" s="119" t="n">
        <v>1.99</v>
      </c>
      <c r="W2039" s="119"/>
      <c r="X2039" s="110" t="s">
        <v>2063</v>
      </c>
      <c r="Y2039" s="110" t="s">
        <v>2064</v>
      </c>
      <c r="Z2039" s="110" t="s">
        <v>2164</v>
      </c>
      <c r="AA2039" s="110" t="s">
        <v>537</v>
      </c>
      <c r="AB2039" s="110" t="s">
        <v>244</v>
      </c>
      <c r="AC2039" s="110" t="s">
        <v>538</v>
      </c>
      <c r="AD2039" s="110" t="n">
        <f aca="false">IF(OR(F2039="",Q2039="",R2039=""),"",ROUND(IF(P2039="incl.",F2039/(1+Q2039),F2039)/IF(S2039="per pack",R2039,1),2))</f>
        <v>1.99</v>
      </c>
      <c r="AE2039" s="110" t="str">
        <f aca="false">IF(AND(AC2039="yes",ISNUMBER(F2039),IF(Compare!$H$5="All mapped",TRUE(),IF(Compare!$H$5="EXACT only",J2039="EXACT",OR(J2039="EXACT",J2039="CLOSE")))),"yes","no")</f>
        <v>yes</v>
      </c>
      <c r="AF2039" s="110" t="n">
        <f aca="false">IF(ISNUMBER(H2039),COUNTIFS($B$7:$B$3000,B2039,$C$7:$C$3000,C2039,$H$7:$H$3000,"&lt;"&amp;H2039,$AH$7:$AH$3000,"yes")+COUNTIFS($B$7:B2039,B2039,$C$7:C2039,C2039,$H$7:H2039,H2039,$AH$7:AH2039,"yes"),"")</f>
        <v>3</v>
      </c>
      <c r="AG2039" s="110" t="n">
        <f aca="false">IF(ISNUMBER(I2039),COUNTIFS($B$7:$B$3000,B2039,$C$7:$C$3000,C2039,$I$7:$I$3000,"&lt;"&amp;I2039,$AI$7:$AI$3000,"yes")+COUNTIFS($B$7:B2039,B2039,$C$7:C2039,C2039,$I$7:I2039,I2039,$AI$7:AI2039,"yes"),"")</f>
        <v>3</v>
      </c>
      <c r="AH2039" s="110" t="str">
        <f aca="false">IF(ISNUMBER(H2039),"yes","no")</f>
        <v>yes</v>
      </c>
      <c r="AI2039" s="110" t="str">
        <f aca="false">IF(ISNUMBER(I2039),"yes","no")</f>
        <v>yes</v>
      </c>
      <c r="AJ2039" s="120" t="n">
        <v>46297</v>
      </c>
      <c r="AK2039" s="110"/>
    </row>
    <row r="2040" customFormat="false" ht="23.85" hidden="false" customHeight="false" outlineLevel="0" collapsed="false">
      <c r="B2040" s="36" t="s">
        <v>108</v>
      </c>
      <c r="C2040" s="98" t="s">
        <v>16</v>
      </c>
      <c r="D2040" s="98" t="s">
        <v>305</v>
      </c>
      <c r="E2040" s="110" t="s">
        <v>6257</v>
      </c>
      <c r="F2040" s="99" t="n">
        <v>1.59</v>
      </c>
      <c r="G2040" s="98" t="s">
        <v>244</v>
      </c>
      <c r="H2040" s="112" t="n">
        <f aca="false">IF(AND(AE2040="yes",ISNUMBER(AD2040)),AD2040,"")</f>
        <v>1.59</v>
      </c>
      <c r="I2040" s="95" t="n">
        <f aca="false">IF(AND(AE2040="yes",ISNUMBER(AD2040),ISNUMBER(INDEX(Sources!$G$7:$G$10,MATCH(AB2040,Sources!$B$7:$B$10,0)))),ROUND(AD2040/INDEX(Sources!$G$7:$G$10,MATCH(AB2040,Sources!$B$7:$B$10,0)),6),"")</f>
        <v>1.59</v>
      </c>
      <c r="J2040" s="98" t="s">
        <v>530</v>
      </c>
      <c r="K2040" s="98" t="s">
        <v>2059</v>
      </c>
      <c r="L2040" s="96"/>
      <c r="M2040" s="110" t="s">
        <v>6258</v>
      </c>
      <c r="N2040" s="117" t="s">
        <v>6259</v>
      </c>
      <c r="O2040" s="110" t="s">
        <v>603</v>
      </c>
      <c r="P2040" s="110" t="s">
        <v>590</v>
      </c>
      <c r="Q2040" s="118" t="n">
        <v>0.19</v>
      </c>
      <c r="R2040" s="110" t="n">
        <v>1</v>
      </c>
      <c r="S2040" s="110" t="s">
        <v>632</v>
      </c>
      <c r="T2040" s="110" t="s">
        <v>530</v>
      </c>
      <c r="U2040" s="110" t="s">
        <v>2913</v>
      </c>
      <c r="V2040" s="119" t="n">
        <v>1.59</v>
      </c>
      <c r="W2040" s="119"/>
      <c r="X2040" s="110" t="s">
        <v>2063</v>
      </c>
      <c r="Y2040" s="110" t="s">
        <v>2064</v>
      </c>
      <c r="Z2040" s="110" t="s">
        <v>2142</v>
      </c>
      <c r="AA2040" s="110" t="s">
        <v>537</v>
      </c>
      <c r="AB2040" s="110" t="s">
        <v>244</v>
      </c>
      <c r="AC2040" s="110" t="s">
        <v>538</v>
      </c>
      <c r="AD2040" s="110" t="n">
        <f aca="false">IF(OR(F2040="",Q2040="",R2040=""),"",ROUND(IF(P2040="incl.",F2040/(1+Q2040),F2040)/IF(S2040="per pack",R2040,1),2))</f>
        <v>1.59</v>
      </c>
      <c r="AE2040" s="110" t="str">
        <f aca="false">IF(AND(AC2040="yes",ISNUMBER(F2040),IF(Compare!$H$5="All mapped",TRUE(),IF(Compare!$H$5="EXACT only",J2040="EXACT",OR(J2040="EXACT",J2040="CLOSE")))),"yes","no")</f>
        <v>yes</v>
      </c>
      <c r="AF2040" s="110" t="n">
        <f aca="false">IF(ISNUMBER(H2040),COUNTIFS($B$7:$B$3000,B2040,$C$7:$C$3000,C2040,$H$7:$H$3000,"&lt;"&amp;H2040,$AH$7:$AH$3000,"yes")+COUNTIFS($B$7:B2040,B2040,$C$7:C2040,C2040,$H$7:H2040,H2040,$AH$7:AH2040,"yes"),"")</f>
        <v>1</v>
      </c>
      <c r="AG2040" s="110" t="n">
        <f aca="false">IF(ISNUMBER(I2040),COUNTIFS($B$7:$B$3000,B2040,$C$7:$C$3000,C2040,$I$7:$I$3000,"&lt;"&amp;I2040,$AI$7:$AI$3000,"yes")+COUNTIFS($B$7:B2040,B2040,$C$7:C2040,C2040,$I$7:I2040,I2040,$AI$7:AI2040,"yes"),"")</f>
        <v>1</v>
      </c>
      <c r="AH2040" s="110" t="str">
        <f aca="false">IF(ISNUMBER(H2040),"yes","no")</f>
        <v>yes</v>
      </c>
      <c r="AI2040" s="110" t="str">
        <f aca="false">IF(ISNUMBER(I2040),"yes","no")</f>
        <v>yes</v>
      </c>
      <c r="AJ2040" s="120" t="n">
        <v>46297</v>
      </c>
      <c r="AK2040" s="110"/>
    </row>
    <row r="2041" customFormat="false" ht="23.85" hidden="false" customHeight="false" outlineLevel="0" collapsed="false">
      <c r="B2041" s="36" t="s">
        <v>108</v>
      </c>
      <c r="C2041" s="98" t="s">
        <v>16</v>
      </c>
      <c r="D2041" s="98" t="s">
        <v>311</v>
      </c>
      <c r="E2041" s="110" t="s">
        <v>6239</v>
      </c>
      <c r="F2041" s="99" t="n">
        <v>2.19</v>
      </c>
      <c r="G2041" s="98" t="s">
        <v>244</v>
      </c>
      <c r="H2041" s="112" t="n">
        <f aca="false">IF(AND(AE2041="yes",ISNUMBER(AD2041)),AD2041,"")</f>
        <v>2.19</v>
      </c>
      <c r="I2041" s="95" t="n">
        <f aca="false">IF(AND(AE2041="yes",ISNUMBER(AD2041),ISNUMBER(INDEX(Sources!$G$7:$G$10,MATCH(AB2041,Sources!$B$7:$B$10,0)))),ROUND(AD2041/INDEX(Sources!$G$7:$G$10,MATCH(AB2041,Sources!$B$7:$B$10,0)),6),"")</f>
        <v>2.19</v>
      </c>
      <c r="J2041" s="98" t="s">
        <v>530</v>
      </c>
      <c r="K2041" s="98" t="s">
        <v>2059</v>
      </c>
      <c r="L2041" s="96"/>
      <c r="M2041" s="110" t="s">
        <v>6260</v>
      </c>
      <c r="N2041" s="117" t="s">
        <v>6261</v>
      </c>
      <c r="O2041" s="110" t="s">
        <v>589</v>
      </c>
      <c r="P2041" s="110" t="s">
        <v>590</v>
      </c>
      <c r="Q2041" s="118" t="n">
        <v>0.19</v>
      </c>
      <c r="R2041" s="110" t="n">
        <v>1</v>
      </c>
      <c r="S2041" s="110" t="s">
        <v>632</v>
      </c>
      <c r="T2041" s="110" t="s">
        <v>530</v>
      </c>
      <c r="U2041" s="110" t="s">
        <v>2913</v>
      </c>
      <c r="V2041" s="119" t="n">
        <v>2.19</v>
      </c>
      <c r="W2041" s="119"/>
      <c r="X2041" s="110" t="s">
        <v>2063</v>
      </c>
      <c r="Y2041" s="110" t="s">
        <v>2064</v>
      </c>
      <c r="Z2041" s="110" t="s">
        <v>4369</v>
      </c>
      <c r="AA2041" s="110" t="s">
        <v>537</v>
      </c>
      <c r="AB2041" s="110" t="s">
        <v>244</v>
      </c>
      <c r="AC2041" s="110" t="s">
        <v>538</v>
      </c>
      <c r="AD2041" s="110" t="n">
        <f aca="false">IF(OR(F2041="",Q2041="",R2041=""),"",ROUND(IF(P2041="incl.",F2041/(1+Q2041),F2041)/IF(S2041="per pack",R2041,1),2))</f>
        <v>2.19</v>
      </c>
      <c r="AE2041" s="110" t="str">
        <f aca="false">IF(AND(AC2041="yes",ISNUMBER(F2041),IF(Compare!$H$5="All mapped",TRUE(),IF(Compare!$H$5="EXACT only",J2041="EXACT",OR(J2041="EXACT",J2041="CLOSE")))),"yes","no")</f>
        <v>yes</v>
      </c>
      <c r="AF2041" s="110" t="n">
        <f aca="false">IF(ISNUMBER(H2041),COUNTIFS($B$7:$B$3000,B2041,$C$7:$C$3000,C2041,$H$7:$H$3000,"&lt;"&amp;H2041,$AH$7:$AH$3000,"yes")+COUNTIFS($B$7:B2041,B2041,$C$7:C2041,C2041,$H$7:H2041,H2041,$AH$7:AH2041,"yes"),"")</f>
        <v>4</v>
      </c>
      <c r="AG2041" s="110" t="n">
        <f aca="false">IF(ISNUMBER(I2041),COUNTIFS($B$7:$B$3000,B2041,$C$7:$C$3000,C2041,$I$7:$I$3000,"&lt;"&amp;I2041,$AI$7:$AI$3000,"yes")+COUNTIFS($B$7:B2041,B2041,$C$7:C2041,C2041,$I$7:I2041,I2041,$AI$7:AI2041,"yes"),"")</f>
        <v>4</v>
      </c>
      <c r="AH2041" s="110" t="str">
        <f aca="false">IF(ISNUMBER(H2041),"yes","no")</f>
        <v>yes</v>
      </c>
      <c r="AI2041" s="110" t="str">
        <f aca="false">IF(ISNUMBER(I2041),"yes","no")</f>
        <v>yes</v>
      </c>
      <c r="AJ2041" s="120" t="n">
        <v>46297</v>
      </c>
      <c r="AK2041" s="110"/>
    </row>
    <row r="2042" customFormat="false" ht="23.85" hidden="false" customHeight="false" outlineLevel="0" collapsed="false">
      <c r="B2042" s="36" t="s">
        <v>108</v>
      </c>
      <c r="C2042" s="98" t="s">
        <v>16</v>
      </c>
      <c r="D2042" s="98" t="s">
        <v>309</v>
      </c>
      <c r="E2042" s="110" t="s">
        <v>6262</v>
      </c>
      <c r="F2042" s="99" t="n">
        <v>11.1</v>
      </c>
      <c r="G2042" s="98" t="s">
        <v>244</v>
      </c>
      <c r="H2042" s="112" t="n">
        <f aca="false">IF(AND(AE2042="yes",ISNUMBER(AD2042)),AD2042,"")</f>
        <v>11.1</v>
      </c>
      <c r="I2042" s="95" t="n">
        <f aca="false">IF(AND(AE2042="yes",ISNUMBER(AD2042),ISNUMBER(INDEX(Sources!$G$7:$G$10,MATCH(AB2042,Sources!$B$7:$B$10,0)))),ROUND(AD2042/INDEX(Sources!$G$7:$G$10,MATCH(AB2042,Sources!$B$7:$B$10,0)),6),"")</f>
        <v>11.1</v>
      </c>
      <c r="J2042" s="98" t="s">
        <v>530</v>
      </c>
      <c r="K2042" s="98" t="s">
        <v>2059</v>
      </c>
      <c r="L2042" s="96"/>
      <c r="M2042" s="110" t="s">
        <v>6263</v>
      </c>
      <c r="N2042" s="117" t="s">
        <v>6264</v>
      </c>
      <c r="O2042" s="110" t="s">
        <v>603</v>
      </c>
      <c r="P2042" s="110" t="s">
        <v>590</v>
      </c>
      <c r="Q2042" s="118" t="n">
        <v>0.19</v>
      </c>
      <c r="R2042" s="110" t="n">
        <v>1</v>
      </c>
      <c r="S2042" s="110" t="s">
        <v>632</v>
      </c>
      <c r="T2042" s="110" t="s">
        <v>530</v>
      </c>
      <c r="U2042" s="110" t="s">
        <v>2913</v>
      </c>
      <c r="V2042" s="119" t="n">
        <v>11.1</v>
      </c>
      <c r="W2042" s="119"/>
      <c r="X2042" s="110" t="s">
        <v>2063</v>
      </c>
      <c r="Y2042" s="110" t="s">
        <v>2064</v>
      </c>
      <c r="Z2042" s="110" t="s">
        <v>2729</v>
      </c>
      <c r="AA2042" s="110" t="s">
        <v>537</v>
      </c>
      <c r="AB2042" s="110" t="s">
        <v>244</v>
      </c>
      <c r="AC2042" s="110" t="s">
        <v>538</v>
      </c>
      <c r="AD2042" s="110" t="n">
        <f aca="false">IF(OR(F2042="",Q2042="",R2042=""),"",ROUND(IF(P2042="incl.",F2042/(1+Q2042),F2042)/IF(S2042="per pack",R2042,1),2))</f>
        <v>11.1</v>
      </c>
      <c r="AE2042" s="110" t="str">
        <f aca="false">IF(AND(AC2042="yes",ISNUMBER(F2042),IF(Compare!$H$5="All mapped",TRUE(),IF(Compare!$H$5="EXACT only",J2042="EXACT",OR(J2042="EXACT",J2042="CLOSE")))),"yes","no")</f>
        <v>yes</v>
      </c>
      <c r="AF2042" s="110" t="n">
        <f aca="false">IF(ISNUMBER(H2042),COUNTIFS($B$7:$B$3000,B2042,$C$7:$C$3000,C2042,$H$7:$H$3000,"&lt;"&amp;H2042,$AH$7:$AH$3000,"yes")+COUNTIFS($B$7:B2042,B2042,$C$7:C2042,C2042,$H$7:H2042,H2042,$AH$7:AH2042,"yes"),"")</f>
        <v>7</v>
      </c>
      <c r="AG2042" s="110" t="n">
        <f aca="false">IF(ISNUMBER(I2042),COUNTIFS($B$7:$B$3000,B2042,$C$7:$C$3000,C2042,$I$7:$I$3000,"&lt;"&amp;I2042,$AI$7:$AI$3000,"yes")+COUNTIFS($B$7:B2042,B2042,$C$7:C2042,C2042,$I$7:I2042,I2042,$AI$7:AI2042,"yes"),"")</f>
        <v>7</v>
      </c>
      <c r="AH2042" s="110" t="str">
        <f aca="false">IF(ISNUMBER(H2042),"yes","no")</f>
        <v>yes</v>
      </c>
      <c r="AI2042" s="110" t="str">
        <f aca="false">IF(ISNUMBER(I2042),"yes","no")</f>
        <v>yes</v>
      </c>
      <c r="AJ2042" s="120" t="n">
        <v>46297</v>
      </c>
      <c r="AK2042" s="110"/>
    </row>
    <row r="2043" customFormat="false" ht="35.05" hidden="false" customHeight="false" outlineLevel="0" collapsed="false">
      <c r="B2043" s="36" t="s">
        <v>108</v>
      </c>
      <c r="C2043" s="98" t="s">
        <v>16</v>
      </c>
      <c r="D2043" s="98" t="s">
        <v>313</v>
      </c>
      <c r="E2043" s="110" t="s">
        <v>6245</v>
      </c>
      <c r="F2043" s="99" t="n">
        <v>4.29</v>
      </c>
      <c r="G2043" s="98" t="s">
        <v>244</v>
      </c>
      <c r="H2043" s="112" t="n">
        <f aca="false">IF(AND(AE2043="yes",ISNUMBER(AD2043)),AD2043,"")</f>
        <v>3.61</v>
      </c>
      <c r="I2043" s="95" t="n">
        <f aca="false">IF(AND(AE2043="yes",ISNUMBER(AD2043),ISNUMBER(INDEX(Sources!$G$7:$G$10,MATCH(AB2043,Sources!$B$7:$B$10,0)))),ROUND(AD2043/INDEX(Sources!$G$7:$G$10,MATCH(AB2043,Sources!$B$7:$B$10,0)),6),"")</f>
        <v>3.61</v>
      </c>
      <c r="J2043" s="98" t="s">
        <v>702</v>
      </c>
      <c r="K2043" s="98" t="s">
        <v>2059</v>
      </c>
      <c r="L2043" s="96"/>
      <c r="M2043" s="110" t="s">
        <v>6265</v>
      </c>
      <c r="N2043" s="117" t="s">
        <v>6266</v>
      </c>
      <c r="O2043" s="110" t="s">
        <v>642</v>
      </c>
      <c r="P2043" s="110" t="s">
        <v>265</v>
      </c>
      <c r="Q2043" s="118" t="n">
        <v>0.19</v>
      </c>
      <c r="R2043" s="110" t="n">
        <v>1</v>
      </c>
      <c r="S2043" s="110" t="s">
        <v>632</v>
      </c>
      <c r="T2043" s="110" t="s">
        <v>702</v>
      </c>
      <c r="U2043" s="110" t="s">
        <v>2918</v>
      </c>
      <c r="V2043" s="119" t="n">
        <v>3.61</v>
      </c>
      <c r="W2043" s="119"/>
      <c r="X2043" s="110" t="s">
        <v>2063</v>
      </c>
      <c r="Y2043" s="110" t="s">
        <v>2064</v>
      </c>
      <c r="Z2043" s="110" t="s">
        <v>4376</v>
      </c>
      <c r="AA2043" s="110" t="s">
        <v>537</v>
      </c>
      <c r="AB2043" s="110" t="s">
        <v>244</v>
      </c>
      <c r="AC2043" s="110" t="s">
        <v>538</v>
      </c>
      <c r="AD2043" s="110" t="n">
        <f aca="false">IF(OR(F2043="",Q2043="",R2043=""),"",ROUND(IF(P2043="incl.",F2043/(1+Q2043),F2043)/IF(S2043="per pack",R2043,1),2))</f>
        <v>3.61</v>
      </c>
      <c r="AE2043" s="110" t="str">
        <f aca="false">IF(AND(AC2043="yes",ISNUMBER(F2043),IF(Compare!$H$5="All mapped",TRUE(),IF(Compare!$H$5="EXACT only",J2043="EXACT",OR(J2043="EXACT",J2043="CLOSE")))),"yes","no")</f>
        <v>yes</v>
      </c>
      <c r="AF2043" s="110" t="n">
        <f aca="false">IF(ISNUMBER(H2043),COUNTIFS($B$7:$B$3000,B2043,$C$7:$C$3000,C2043,$H$7:$H$3000,"&lt;"&amp;H2043,$AH$7:$AH$3000,"yes")+COUNTIFS($B$7:B2043,B2043,$C$7:C2043,C2043,$H$7:H2043,H2043,$AH$7:AH2043,"yes"),"")</f>
        <v>6</v>
      </c>
      <c r="AG2043" s="110" t="n">
        <f aca="false">IF(ISNUMBER(I2043),COUNTIFS($B$7:$B$3000,B2043,$C$7:$C$3000,C2043,$I$7:$I$3000,"&lt;"&amp;I2043,$AI$7:$AI$3000,"yes")+COUNTIFS($B$7:B2043,B2043,$C$7:C2043,C2043,$I$7:I2043,I2043,$AI$7:AI2043,"yes"),"")</f>
        <v>6</v>
      </c>
      <c r="AH2043" s="110" t="str">
        <f aca="false">IF(ISNUMBER(H2043),"yes","no")</f>
        <v>yes</v>
      </c>
      <c r="AI2043" s="110" t="str">
        <f aca="false">IF(ISNUMBER(I2043),"yes","no")</f>
        <v>yes</v>
      </c>
      <c r="AJ2043" s="120" t="n">
        <v>46297</v>
      </c>
      <c r="AK2043" s="110"/>
    </row>
    <row r="2044" customFormat="false" ht="23.85" hidden="false" customHeight="false" outlineLevel="0" collapsed="false">
      <c r="B2044" s="36" t="s">
        <v>108</v>
      </c>
      <c r="C2044" s="98" t="s">
        <v>16</v>
      </c>
      <c r="D2044" s="98" t="s">
        <v>321</v>
      </c>
      <c r="E2044" s="110" t="s">
        <v>6267</v>
      </c>
      <c r="F2044" s="99" t="n">
        <v>1.7</v>
      </c>
      <c r="G2044" s="98" t="s">
        <v>244</v>
      </c>
      <c r="H2044" s="112" t="n">
        <f aca="false">IF(AND(AE2044="yes",ISNUMBER(AD2044)),AD2044,"")</f>
        <v>1.7</v>
      </c>
      <c r="I2044" s="95" t="n">
        <f aca="false">IF(AND(AE2044="yes",ISNUMBER(AD2044),ISNUMBER(INDEX(Sources!$G$7:$G$10,MATCH(AB2044,Sources!$B$7:$B$10,0)))),ROUND(AD2044/INDEX(Sources!$G$7:$G$10,MATCH(AB2044,Sources!$B$7:$B$10,0)),6),"")</f>
        <v>1.7</v>
      </c>
      <c r="J2044" s="98" t="s">
        <v>530</v>
      </c>
      <c r="K2044" s="98" t="s">
        <v>2059</v>
      </c>
      <c r="L2044" s="96"/>
      <c r="M2044" s="110" t="s">
        <v>6268</v>
      </c>
      <c r="N2044" s="117" t="s">
        <v>6269</v>
      </c>
      <c r="O2044" s="110" t="s">
        <v>646</v>
      </c>
      <c r="P2044" s="110" t="s">
        <v>590</v>
      </c>
      <c r="Q2044" s="118" t="n">
        <v>0.19</v>
      </c>
      <c r="R2044" s="110" t="n">
        <v>1</v>
      </c>
      <c r="S2044" s="110" t="s">
        <v>632</v>
      </c>
      <c r="T2044" s="110" t="s">
        <v>530</v>
      </c>
      <c r="U2044" s="110" t="s">
        <v>2913</v>
      </c>
      <c r="V2044" s="119" t="n">
        <v>1.7</v>
      </c>
      <c r="W2044" s="119"/>
      <c r="X2044" s="110" t="s">
        <v>2063</v>
      </c>
      <c r="Y2044" s="110" t="s">
        <v>2064</v>
      </c>
      <c r="Z2044" s="110" t="s">
        <v>2857</v>
      </c>
      <c r="AA2044" s="110" t="s">
        <v>537</v>
      </c>
      <c r="AB2044" s="110" t="s">
        <v>244</v>
      </c>
      <c r="AC2044" s="110" t="s">
        <v>538</v>
      </c>
      <c r="AD2044" s="110" t="n">
        <f aca="false">IF(OR(F2044="",Q2044="",R2044=""),"",ROUND(IF(P2044="incl.",F2044/(1+Q2044),F2044)/IF(S2044="per pack",R2044,1),2))</f>
        <v>1.7</v>
      </c>
      <c r="AE2044" s="110" t="str">
        <f aca="false">IF(AND(AC2044="yes",ISNUMBER(F2044),IF(Compare!$H$5="All mapped",TRUE(),IF(Compare!$H$5="EXACT only",J2044="EXACT",OR(J2044="EXACT",J2044="CLOSE")))),"yes","no")</f>
        <v>yes</v>
      </c>
      <c r="AF2044" s="110" t="n">
        <f aca="false">IF(ISNUMBER(H2044),COUNTIFS($B$7:$B$3000,B2044,$C$7:$C$3000,C2044,$H$7:$H$3000,"&lt;"&amp;H2044,$AH$7:$AH$3000,"yes")+COUNTIFS($B$7:B2044,B2044,$C$7:C2044,C2044,$H$7:H2044,H2044,$AH$7:AH2044,"yes"),"")</f>
        <v>2</v>
      </c>
      <c r="AG2044" s="110" t="n">
        <f aca="false">IF(ISNUMBER(I2044),COUNTIFS($B$7:$B$3000,B2044,$C$7:$C$3000,C2044,$I$7:$I$3000,"&lt;"&amp;I2044,$AI$7:$AI$3000,"yes")+COUNTIFS($B$7:B2044,B2044,$C$7:C2044,C2044,$I$7:I2044,I2044,$AI$7:AI2044,"yes"),"")</f>
        <v>2</v>
      </c>
      <c r="AH2044" s="110" t="str">
        <f aca="false">IF(ISNUMBER(H2044),"yes","no")</f>
        <v>yes</v>
      </c>
      <c r="AI2044" s="110" t="str">
        <f aca="false">IF(ISNUMBER(I2044),"yes","no")</f>
        <v>yes</v>
      </c>
      <c r="AJ2044" s="120" t="n">
        <v>46297</v>
      </c>
      <c r="AK2044" s="110"/>
    </row>
    <row r="2045" customFormat="false" ht="23.85" hidden="false" customHeight="false" outlineLevel="0" collapsed="false">
      <c r="B2045" s="36" t="s">
        <v>108</v>
      </c>
      <c r="C2045" s="98" t="s">
        <v>16</v>
      </c>
      <c r="D2045" s="98" t="s">
        <v>329</v>
      </c>
      <c r="E2045" s="110" t="s">
        <v>6270</v>
      </c>
      <c r="F2045" s="99" t="n">
        <v>2.49</v>
      </c>
      <c r="G2045" s="98" t="s">
        <v>244</v>
      </c>
      <c r="H2045" s="112" t="n">
        <f aca="false">IF(AND(AE2045="yes",ISNUMBER(AD2045)),AD2045,"")</f>
        <v>2.49</v>
      </c>
      <c r="I2045" s="95" t="n">
        <f aca="false">IF(AND(AE2045="yes",ISNUMBER(AD2045),ISNUMBER(INDEX(Sources!$G$7:$G$10,MATCH(AB2045,Sources!$B$7:$B$10,0)))),ROUND(AD2045/INDEX(Sources!$G$7:$G$10,MATCH(AB2045,Sources!$B$7:$B$10,0)),6),"")</f>
        <v>2.49</v>
      </c>
      <c r="J2045" s="98" t="s">
        <v>530</v>
      </c>
      <c r="K2045" s="98" t="s">
        <v>2059</v>
      </c>
      <c r="L2045" s="96"/>
      <c r="M2045" s="110" t="s">
        <v>6271</v>
      </c>
      <c r="N2045" s="117" t="s">
        <v>6272</v>
      </c>
      <c r="O2045" s="110" t="s">
        <v>817</v>
      </c>
      <c r="P2045" s="110" t="s">
        <v>590</v>
      </c>
      <c r="Q2045" s="118" t="n">
        <v>0.19</v>
      </c>
      <c r="R2045" s="110" t="n">
        <v>1</v>
      </c>
      <c r="S2045" s="110" t="s">
        <v>632</v>
      </c>
      <c r="T2045" s="110" t="s">
        <v>530</v>
      </c>
      <c r="U2045" s="110" t="s">
        <v>2913</v>
      </c>
      <c r="V2045" s="119" t="n">
        <v>2.49</v>
      </c>
      <c r="W2045" s="119"/>
      <c r="X2045" s="110" t="s">
        <v>2063</v>
      </c>
      <c r="Y2045" s="110" t="s">
        <v>2064</v>
      </c>
      <c r="Z2045" s="110" t="s">
        <v>2624</v>
      </c>
      <c r="AA2045" s="110" t="s">
        <v>537</v>
      </c>
      <c r="AB2045" s="110" t="s">
        <v>244</v>
      </c>
      <c r="AC2045" s="110" t="s">
        <v>538</v>
      </c>
      <c r="AD2045" s="110" t="n">
        <f aca="false">IF(OR(F2045="",Q2045="",R2045=""),"",ROUND(IF(P2045="incl.",F2045/(1+Q2045),F2045)/IF(S2045="per pack",R2045,1),2))</f>
        <v>2.49</v>
      </c>
      <c r="AE2045" s="110" t="str">
        <f aca="false">IF(AND(AC2045="yes",ISNUMBER(F2045),IF(Compare!$H$5="All mapped",TRUE(),IF(Compare!$H$5="EXACT only",J2045="EXACT",OR(J2045="EXACT",J2045="CLOSE")))),"yes","no")</f>
        <v>yes</v>
      </c>
      <c r="AF2045" s="110" t="n">
        <f aca="false">IF(ISNUMBER(H2045),COUNTIFS($B$7:$B$3000,B2045,$C$7:$C$3000,C2045,$H$7:$H$3000,"&lt;"&amp;H2045,$AH$7:$AH$3000,"yes")+COUNTIFS($B$7:B2045,B2045,$C$7:C2045,C2045,$H$7:H2045,H2045,$AH$7:AH2045,"yes"),"")</f>
        <v>5</v>
      </c>
      <c r="AG2045" s="110" t="n">
        <f aca="false">IF(ISNUMBER(I2045),COUNTIFS($B$7:$B$3000,B2045,$C$7:$C$3000,C2045,$I$7:$I$3000,"&lt;"&amp;I2045,$AI$7:$AI$3000,"yes")+COUNTIFS($B$7:B2045,B2045,$C$7:C2045,C2045,$I$7:I2045,I2045,$AI$7:AI2045,"yes"),"")</f>
        <v>5</v>
      </c>
      <c r="AH2045" s="110" t="str">
        <f aca="false">IF(ISNUMBER(H2045),"yes","no")</f>
        <v>yes</v>
      </c>
      <c r="AI2045" s="110" t="str">
        <f aca="false">IF(ISNUMBER(I2045),"yes","no")</f>
        <v>yes</v>
      </c>
      <c r="AJ2045" s="120" t="n">
        <v>46297</v>
      </c>
      <c r="AK2045" s="110"/>
    </row>
    <row r="2046" customFormat="false" ht="23.85" hidden="false" customHeight="false" outlineLevel="0" collapsed="false">
      <c r="B2046" s="36" t="s">
        <v>108</v>
      </c>
      <c r="C2046" s="98" t="s">
        <v>17</v>
      </c>
      <c r="D2046" s="98" t="s">
        <v>338</v>
      </c>
      <c r="E2046" s="110" t="s">
        <v>6273</v>
      </c>
      <c r="F2046" s="99" t="n">
        <v>68</v>
      </c>
      <c r="G2046" s="98" t="s">
        <v>333</v>
      </c>
      <c r="H2046" s="112" t="n">
        <f aca="false">IF(AND(AE2046="yes",ISNUMBER(AD2046)),AD2046,"")</f>
        <v>56.2</v>
      </c>
      <c r="I2046" s="95" t="n">
        <f aca="false">IF(AND(AE2046="yes",ISNUMBER(AD2046),ISNUMBER(INDEX(Sources!$G$7:$G$10,MATCH(AB2046,Sources!$B$7:$B$10,0)))),ROUND(AD2046/INDEX(Sources!$G$7:$G$10,MATCH(AB2046,Sources!$B$7:$B$10,0)),6),"")</f>
        <v>2.301052</v>
      </c>
      <c r="J2046" s="98" t="s">
        <v>530</v>
      </c>
      <c r="K2046" s="98" t="s">
        <v>2059</v>
      </c>
      <c r="L2046" s="96"/>
      <c r="M2046" s="110" t="s">
        <v>6274</v>
      </c>
      <c r="N2046" s="117" t="s">
        <v>6275</v>
      </c>
      <c r="O2046" s="110" t="s">
        <v>388</v>
      </c>
      <c r="P2046" s="110" t="s">
        <v>265</v>
      </c>
      <c r="Q2046" s="118" t="n">
        <v>0.21</v>
      </c>
      <c r="R2046" s="110" t="n">
        <v>1</v>
      </c>
      <c r="S2046" s="110" t="s">
        <v>632</v>
      </c>
      <c r="T2046" s="110" t="s">
        <v>530</v>
      </c>
      <c r="U2046" s="110" t="s">
        <v>2918</v>
      </c>
      <c r="V2046" s="119" t="n">
        <v>56.2</v>
      </c>
      <c r="W2046" s="119"/>
      <c r="X2046" s="110" t="s">
        <v>2063</v>
      </c>
      <c r="Y2046" s="110" t="s">
        <v>2064</v>
      </c>
      <c r="Z2046" s="110" t="s">
        <v>4387</v>
      </c>
      <c r="AA2046" s="110" t="s">
        <v>537</v>
      </c>
      <c r="AB2046" s="110" t="s">
        <v>333</v>
      </c>
      <c r="AC2046" s="110" t="s">
        <v>538</v>
      </c>
      <c r="AD2046" s="110" t="n">
        <f aca="false">IF(OR(F2046="",Q2046="",R2046=""),"",ROUND(IF(P2046="incl.",F2046/(1+Q2046),F2046)/IF(S2046="per pack",R2046,1),2))</f>
        <v>56.2</v>
      </c>
      <c r="AE2046" s="110" t="str">
        <f aca="false">IF(AND(AC2046="yes",ISNUMBER(F2046),IF(Compare!$H$5="All mapped",TRUE(),IF(Compare!$H$5="EXACT only",J2046="EXACT",OR(J2046="EXACT",J2046="CLOSE")))),"yes","no")</f>
        <v>yes</v>
      </c>
      <c r="AF2046" s="110" t="n">
        <f aca="false">IF(ISNUMBER(H2046),COUNTIFS($B$7:$B$3000,B2046,$C$7:$C$3000,C2046,$H$7:$H$3000,"&lt;"&amp;H2046,$AH$7:$AH$3000,"yes")+COUNTIFS($B$7:B2046,B2046,$C$7:C2046,C2046,$H$7:H2046,H2046,$AH$7:AH2046,"yes"),"")</f>
        <v>2</v>
      </c>
      <c r="AG2046" s="110" t="n">
        <f aca="false">IF(ISNUMBER(I2046),COUNTIFS($B$7:$B$3000,B2046,$C$7:$C$3000,C2046,$I$7:$I$3000,"&lt;"&amp;I2046,$AI$7:$AI$3000,"yes")+COUNTIFS($B$7:B2046,B2046,$C$7:C2046,C2046,$I$7:I2046,I2046,$AI$7:AI2046,"yes"),"")</f>
        <v>2</v>
      </c>
      <c r="AH2046" s="110" t="str">
        <f aca="false">IF(ISNUMBER(H2046),"yes","no")</f>
        <v>yes</v>
      </c>
      <c r="AI2046" s="110" t="str">
        <f aca="false">IF(ISNUMBER(I2046),"yes","no")</f>
        <v>yes</v>
      </c>
      <c r="AJ2046" s="120" t="n">
        <v>46297</v>
      </c>
      <c r="AK2046" s="110"/>
    </row>
    <row r="2047" customFormat="false" ht="35.05" hidden="false" customHeight="false" outlineLevel="0" collapsed="false">
      <c r="B2047" s="36" t="s">
        <v>108</v>
      </c>
      <c r="C2047" s="98" t="s">
        <v>17</v>
      </c>
      <c r="D2047" s="98" t="s">
        <v>342</v>
      </c>
      <c r="E2047" s="110" t="s">
        <v>6276</v>
      </c>
      <c r="F2047" s="99" t="n">
        <v>75</v>
      </c>
      <c r="G2047" s="98" t="s">
        <v>333</v>
      </c>
      <c r="H2047" s="112" t="n">
        <f aca="false">IF(AND(AE2047="yes",ISNUMBER(AD2047)),AD2047,"")</f>
        <v>75</v>
      </c>
      <c r="I2047" s="95" t="n">
        <f aca="false">IF(AND(AE2047="yes",ISNUMBER(AD2047),ISNUMBER(INDEX(Sources!$G$7:$G$10,MATCH(AB2047,Sources!$B$7:$B$10,0)))),ROUND(AD2047/INDEX(Sources!$G$7:$G$10,MATCH(AB2047,Sources!$B$7:$B$10,0)),6),"")</f>
        <v>3.070798</v>
      </c>
      <c r="J2047" s="98" t="s">
        <v>530</v>
      </c>
      <c r="K2047" s="98" t="s">
        <v>2059</v>
      </c>
      <c r="L2047" s="96"/>
      <c r="M2047" s="110" t="s">
        <v>6277</v>
      </c>
      <c r="N2047" s="117" t="s">
        <v>6278</v>
      </c>
      <c r="O2047" s="110" t="s">
        <v>388</v>
      </c>
      <c r="P2047" s="110" t="s">
        <v>590</v>
      </c>
      <c r="Q2047" s="118" t="n">
        <v>0.21</v>
      </c>
      <c r="R2047" s="110" t="n">
        <v>1</v>
      </c>
      <c r="S2047" s="110" t="s">
        <v>632</v>
      </c>
      <c r="T2047" s="110" t="s">
        <v>530</v>
      </c>
      <c r="U2047" s="110" t="s">
        <v>2913</v>
      </c>
      <c r="V2047" s="119" t="n">
        <v>75</v>
      </c>
      <c r="W2047" s="119"/>
      <c r="X2047" s="110" t="s">
        <v>2063</v>
      </c>
      <c r="Y2047" s="110" t="s">
        <v>2064</v>
      </c>
      <c r="Z2047" s="110" t="s">
        <v>4391</v>
      </c>
      <c r="AA2047" s="110" t="s">
        <v>537</v>
      </c>
      <c r="AB2047" s="110" t="s">
        <v>333</v>
      </c>
      <c r="AC2047" s="110" t="s">
        <v>538</v>
      </c>
      <c r="AD2047" s="110" t="n">
        <f aca="false">IF(OR(F2047="",Q2047="",R2047=""),"",ROUND(IF(P2047="incl.",F2047/(1+Q2047),F2047)/IF(S2047="per pack",R2047,1),2))</f>
        <v>75</v>
      </c>
      <c r="AE2047" s="110" t="str">
        <f aca="false">IF(AND(AC2047="yes",ISNUMBER(F2047),IF(Compare!$H$5="All mapped",TRUE(),IF(Compare!$H$5="EXACT only",J2047="EXACT",OR(J2047="EXACT",J2047="CLOSE")))),"yes","no")</f>
        <v>yes</v>
      </c>
      <c r="AF2047" s="110" t="n">
        <f aca="false">IF(ISNUMBER(H2047),COUNTIFS($B$7:$B$3000,B2047,$C$7:$C$3000,C2047,$H$7:$H$3000,"&lt;"&amp;H2047,$AH$7:$AH$3000,"yes")+COUNTIFS($B$7:B2047,B2047,$C$7:C2047,C2047,$H$7:H2047,H2047,$AH$7:AH2047,"yes"),"")</f>
        <v>3</v>
      </c>
      <c r="AG2047" s="110" t="n">
        <f aca="false">IF(ISNUMBER(I2047),COUNTIFS($B$7:$B$3000,B2047,$C$7:$C$3000,C2047,$I$7:$I$3000,"&lt;"&amp;I2047,$AI$7:$AI$3000,"yes")+COUNTIFS($B$7:B2047,B2047,$C$7:C2047,C2047,$I$7:I2047,I2047,$AI$7:AI2047,"yes"),"")</f>
        <v>3</v>
      </c>
      <c r="AH2047" s="110" t="str">
        <f aca="false">IF(ISNUMBER(H2047),"yes","no")</f>
        <v>yes</v>
      </c>
      <c r="AI2047" s="110" t="str">
        <f aca="false">IF(ISNUMBER(I2047),"yes","no")</f>
        <v>yes</v>
      </c>
      <c r="AJ2047" s="120" t="n">
        <v>46297</v>
      </c>
      <c r="AK2047" s="110"/>
    </row>
    <row r="2048" customFormat="false" ht="23.85" hidden="false" customHeight="false" outlineLevel="0" collapsed="false">
      <c r="B2048" s="36" t="s">
        <v>108</v>
      </c>
      <c r="C2048" s="98" t="s">
        <v>17</v>
      </c>
      <c r="D2048" s="98" t="s">
        <v>346</v>
      </c>
      <c r="E2048" s="110" t="s">
        <v>6279</v>
      </c>
      <c r="F2048" s="99" t="n">
        <v>138</v>
      </c>
      <c r="G2048" s="98" t="s">
        <v>333</v>
      </c>
      <c r="H2048" s="112" t="n">
        <f aca="false">IF(AND(AE2048="yes",ISNUMBER(AD2048)),AD2048,"")</f>
        <v>138</v>
      </c>
      <c r="I2048" s="95" t="n">
        <f aca="false">IF(AND(AE2048="yes",ISNUMBER(AD2048),ISNUMBER(INDEX(Sources!$G$7:$G$10,MATCH(AB2048,Sources!$B$7:$B$10,0)))),ROUND(AD2048/INDEX(Sources!$G$7:$G$10,MATCH(AB2048,Sources!$B$7:$B$10,0)),6),"")</f>
        <v>5.650269</v>
      </c>
      <c r="J2048" s="98" t="s">
        <v>530</v>
      </c>
      <c r="K2048" s="98" t="s">
        <v>2059</v>
      </c>
      <c r="L2048" s="96"/>
      <c r="M2048" s="110" t="s">
        <v>6280</v>
      </c>
      <c r="N2048" s="117" t="s">
        <v>6281</v>
      </c>
      <c r="O2048" s="110" t="s">
        <v>731</v>
      </c>
      <c r="P2048" s="110" t="s">
        <v>590</v>
      </c>
      <c r="Q2048" s="118" t="n">
        <v>0.21</v>
      </c>
      <c r="R2048" s="110" t="n">
        <v>1</v>
      </c>
      <c r="S2048" s="110" t="s">
        <v>632</v>
      </c>
      <c r="T2048" s="110" t="s">
        <v>530</v>
      </c>
      <c r="U2048" s="110" t="s">
        <v>2913</v>
      </c>
      <c r="V2048" s="119" t="n">
        <v>138</v>
      </c>
      <c r="W2048" s="119"/>
      <c r="X2048" s="110" t="s">
        <v>2063</v>
      </c>
      <c r="Y2048" s="110" t="s">
        <v>2064</v>
      </c>
      <c r="Z2048" s="110" t="s">
        <v>5721</v>
      </c>
      <c r="AA2048" s="110" t="s">
        <v>537</v>
      </c>
      <c r="AB2048" s="110" t="s">
        <v>333</v>
      </c>
      <c r="AC2048" s="110" t="s">
        <v>538</v>
      </c>
      <c r="AD2048" s="110" t="n">
        <f aca="false">IF(OR(F2048="",Q2048="",R2048=""),"",ROUND(IF(P2048="incl.",F2048/(1+Q2048),F2048)/IF(S2048="per pack",R2048,1),2))</f>
        <v>138</v>
      </c>
      <c r="AE2048" s="110" t="str">
        <f aca="false">IF(AND(AC2048="yes",ISNUMBER(F2048),IF(Compare!$H$5="All mapped",TRUE(),IF(Compare!$H$5="EXACT only",J2048="EXACT",OR(J2048="EXACT",J2048="CLOSE")))),"yes","no")</f>
        <v>yes</v>
      </c>
      <c r="AF2048" s="110" t="n">
        <f aca="false">IF(ISNUMBER(H2048),COUNTIFS($B$7:$B$3000,B2048,$C$7:$C$3000,C2048,$H$7:$H$3000,"&lt;"&amp;H2048,$AH$7:$AH$3000,"yes")+COUNTIFS($B$7:B2048,B2048,$C$7:C2048,C2048,$H$7:H2048,H2048,$AH$7:AH2048,"yes"),"")</f>
        <v>4</v>
      </c>
      <c r="AG2048" s="110" t="n">
        <f aca="false">IF(ISNUMBER(I2048),COUNTIFS($B$7:$B$3000,B2048,$C$7:$C$3000,C2048,$I$7:$I$3000,"&lt;"&amp;I2048,$AI$7:$AI$3000,"yes")+COUNTIFS($B$7:B2048,B2048,$C$7:C2048,C2048,$I$7:I2048,I2048,$AI$7:AI2048,"yes"),"")</f>
        <v>4</v>
      </c>
      <c r="AH2048" s="110" t="str">
        <f aca="false">IF(ISNUMBER(H2048),"yes","no")</f>
        <v>yes</v>
      </c>
      <c r="AI2048" s="110" t="str">
        <f aca="false">IF(ISNUMBER(I2048),"yes","no")</f>
        <v>yes</v>
      </c>
      <c r="AJ2048" s="120" t="n">
        <v>46297</v>
      </c>
      <c r="AK2048" s="110"/>
    </row>
    <row r="2049" customFormat="false" ht="35.05" hidden="false" customHeight="false" outlineLevel="0" collapsed="false">
      <c r="B2049" s="36" t="s">
        <v>108</v>
      </c>
      <c r="C2049" s="98" t="s">
        <v>17</v>
      </c>
      <c r="D2049" s="98" t="s">
        <v>350</v>
      </c>
      <c r="E2049" s="110" t="s">
        <v>6282</v>
      </c>
      <c r="F2049" s="99" t="n">
        <v>37</v>
      </c>
      <c r="G2049" s="98" t="s">
        <v>333</v>
      </c>
      <c r="H2049" s="112" t="n">
        <f aca="false">IF(AND(AE2049="yes",ISNUMBER(AD2049)),AD2049,"")</f>
        <v>30.58</v>
      </c>
      <c r="I2049" s="95" t="n">
        <f aca="false">IF(AND(AE2049="yes",ISNUMBER(AD2049),ISNUMBER(INDEX(Sources!$G$7:$G$10,MATCH(AB2049,Sources!$B$7:$B$10,0)))),ROUND(AD2049/INDEX(Sources!$G$7:$G$10,MATCH(AB2049,Sources!$B$7:$B$10,0)),6),"")</f>
        <v>1.252067</v>
      </c>
      <c r="J2049" s="98" t="s">
        <v>530</v>
      </c>
      <c r="K2049" s="98" t="s">
        <v>2059</v>
      </c>
      <c r="L2049" s="96"/>
      <c r="M2049" s="110" t="s">
        <v>6283</v>
      </c>
      <c r="N2049" s="117" t="s">
        <v>6284</v>
      </c>
      <c r="O2049" s="110" t="s">
        <v>2452</v>
      </c>
      <c r="P2049" s="110" t="s">
        <v>265</v>
      </c>
      <c r="Q2049" s="118" t="n">
        <v>0.21</v>
      </c>
      <c r="R2049" s="110" t="n">
        <v>1</v>
      </c>
      <c r="S2049" s="110" t="s">
        <v>632</v>
      </c>
      <c r="T2049" s="110" t="s">
        <v>530</v>
      </c>
      <c r="U2049" s="110" t="s">
        <v>2918</v>
      </c>
      <c r="V2049" s="119" t="n">
        <v>30.58</v>
      </c>
      <c r="W2049" s="119"/>
      <c r="X2049" s="110" t="s">
        <v>2063</v>
      </c>
      <c r="Y2049" s="110" t="s">
        <v>2064</v>
      </c>
      <c r="Z2049" s="110" t="s">
        <v>2349</v>
      </c>
      <c r="AA2049" s="110" t="s">
        <v>537</v>
      </c>
      <c r="AB2049" s="110" t="s">
        <v>333</v>
      </c>
      <c r="AC2049" s="110" t="s">
        <v>538</v>
      </c>
      <c r="AD2049" s="110" t="n">
        <f aca="false">IF(OR(F2049="",Q2049="",R2049=""),"",ROUND(IF(P2049="incl.",F2049/(1+Q2049),F2049)/IF(S2049="per pack",R2049,1),2))</f>
        <v>30.58</v>
      </c>
      <c r="AE2049" s="110" t="str">
        <f aca="false">IF(AND(AC2049="yes",ISNUMBER(F2049),IF(Compare!$H$5="All mapped",TRUE(),IF(Compare!$H$5="EXACT only",J2049="EXACT",OR(J2049="EXACT",J2049="CLOSE")))),"yes","no")</f>
        <v>yes</v>
      </c>
      <c r="AF2049" s="110" t="n">
        <f aca="false">IF(ISNUMBER(H2049),COUNTIFS($B$7:$B$3000,B2049,$C$7:$C$3000,C2049,$H$7:$H$3000,"&lt;"&amp;H2049,$AH$7:$AH$3000,"yes")+COUNTIFS($B$7:B2049,B2049,$C$7:C2049,C2049,$H$7:H2049,H2049,$AH$7:AH2049,"yes"),"")</f>
        <v>1</v>
      </c>
      <c r="AG2049" s="110" t="n">
        <f aca="false">IF(ISNUMBER(I2049),COUNTIFS($B$7:$B$3000,B2049,$C$7:$C$3000,C2049,$I$7:$I$3000,"&lt;"&amp;I2049,$AI$7:$AI$3000,"yes")+COUNTIFS($B$7:B2049,B2049,$C$7:C2049,C2049,$I$7:I2049,I2049,$AI$7:AI2049,"yes"),"")</f>
        <v>1</v>
      </c>
      <c r="AH2049" s="110" t="str">
        <f aca="false">IF(ISNUMBER(H2049),"yes","no")</f>
        <v>yes</v>
      </c>
      <c r="AI2049" s="110" t="str">
        <f aca="false">IF(ISNUMBER(I2049),"yes","no")</f>
        <v>yes</v>
      </c>
      <c r="AJ2049" s="120" t="n">
        <v>46297</v>
      </c>
      <c r="AK2049" s="110"/>
    </row>
    <row r="2050" customFormat="false" ht="35.05" hidden="false" customHeight="false" outlineLevel="0" collapsed="false">
      <c r="B2050" s="36" t="s">
        <v>108</v>
      </c>
      <c r="C2050" s="98" t="s">
        <v>17</v>
      </c>
      <c r="D2050" s="98" t="s">
        <v>361</v>
      </c>
      <c r="E2050" s="110" t="s">
        <v>6285</v>
      </c>
      <c r="F2050" s="99" t="n">
        <v>85</v>
      </c>
      <c r="G2050" s="98" t="s">
        <v>333</v>
      </c>
      <c r="H2050" s="112" t="str">
        <f aca="false">IF(AND(AE2050="yes",ISNUMBER(AD2050)),AD2050,"")</f>
        <v/>
      </c>
      <c r="I2050" s="95" t="str">
        <f aca="false">IF(AND(AE2050="yes",ISNUMBER(AD2050),ISNUMBER(INDEX(Sources!$G$7:$G$10,MATCH(AB2050,Sources!$B$7:$B$10,0)))),ROUND(AD2050/INDEX(Sources!$G$7:$G$10,MATCH(AB2050,Sources!$B$7:$B$10,0)),6),"")</f>
        <v/>
      </c>
      <c r="J2050" s="98" t="s">
        <v>629</v>
      </c>
      <c r="K2050" s="98" t="s">
        <v>2059</v>
      </c>
      <c r="L2050" s="96"/>
      <c r="M2050" s="110" t="s">
        <v>6286</v>
      </c>
      <c r="N2050" s="117" t="s">
        <v>6287</v>
      </c>
      <c r="O2050" s="110" t="s">
        <v>642</v>
      </c>
      <c r="P2050" s="110" t="s">
        <v>265</v>
      </c>
      <c r="Q2050" s="118" t="n">
        <v>0.21</v>
      </c>
      <c r="R2050" s="110" t="n">
        <v>1</v>
      </c>
      <c r="S2050" s="110" t="s">
        <v>632</v>
      </c>
      <c r="T2050" s="110" t="s">
        <v>629</v>
      </c>
      <c r="U2050" s="110" t="s">
        <v>2918</v>
      </c>
      <c r="V2050" s="119" t="n">
        <v>70.25</v>
      </c>
      <c r="W2050" s="119"/>
      <c r="X2050" s="110" t="s">
        <v>2063</v>
      </c>
      <c r="Y2050" s="110" t="s">
        <v>2064</v>
      </c>
      <c r="Z2050" s="110" t="s">
        <v>2400</v>
      </c>
      <c r="AA2050" s="110" t="s">
        <v>537</v>
      </c>
      <c r="AB2050" s="110" t="s">
        <v>333</v>
      </c>
      <c r="AC2050" s="110" t="s">
        <v>538</v>
      </c>
      <c r="AD2050" s="110" t="n">
        <f aca="false">IF(OR(F2050="",Q2050="",R2050=""),"",ROUND(IF(P2050="incl.",F2050/(1+Q2050),F2050)/IF(S2050="per pack",R2050,1),2))</f>
        <v>70.25</v>
      </c>
      <c r="AE2050" s="110" t="str">
        <f aca="false">IF(AND(AC2050="yes",ISNUMBER(F2050),IF(Compare!$H$5="All mapped",TRUE(),IF(Compare!$H$5="EXACT only",J2050="EXACT",OR(J2050="EXACT",J2050="CLOSE")))),"yes","no")</f>
        <v>no</v>
      </c>
      <c r="AF2050" s="110" t="str">
        <f aca="false">IF(ISNUMBER(H2050),COUNTIFS($B$7:$B$3000,B2050,$C$7:$C$3000,C2050,$H$7:$H$3000,"&lt;"&amp;H2050,$AH$7:$AH$3000,"yes")+COUNTIFS($B$7:B2050,B2050,$C$7:C2050,C2050,$H$7:H2050,H2050,$AH$7:AH2050,"yes"),"")</f>
        <v/>
      </c>
      <c r="AG2050" s="110" t="str">
        <f aca="false">IF(ISNUMBER(I2050),COUNTIFS($B$7:$B$3000,B2050,$C$7:$C$3000,C2050,$I$7:$I$3000,"&lt;"&amp;I2050,$AI$7:$AI$3000,"yes")+COUNTIFS($B$7:B2050,B2050,$C$7:C2050,C2050,$I$7:I2050,I2050,$AI$7:AI2050,"yes"),"")</f>
        <v/>
      </c>
      <c r="AH2050" s="110" t="str">
        <f aca="false">IF(ISNUMBER(H2050),"yes","no")</f>
        <v>no</v>
      </c>
      <c r="AI2050" s="110" t="str">
        <f aca="false">IF(ISNUMBER(I2050),"yes","no")</f>
        <v>no</v>
      </c>
      <c r="AJ2050" s="120" t="n">
        <v>46297</v>
      </c>
      <c r="AK2050" s="110"/>
    </row>
    <row r="2051" customFormat="false" ht="35.05" hidden="false" customHeight="false" outlineLevel="0" collapsed="false">
      <c r="B2051" s="36" t="s">
        <v>108</v>
      </c>
      <c r="C2051" s="98" t="s">
        <v>18</v>
      </c>
      <c r="D2051" s="98" t="s">
        <v>3002</v>
      </c>
      <c r="E2051" s="110" t="s">
        <v>6288</v>
      </c>
      <c r="F2051" s="99" t="n">
        <v>1.9</v>
      </c>
      <c r="G2051" s="98" t="s">
        <v>244</v>
      </c>
      <c r="H2051" s="112" t="n">
        <f aca="false">IF(AND(AE2051="yes",ISNUMBER(AD2051)),AD2051,"")</f>
        <v>1.9</v>
      </c>
      <c r="I2051" s="95" t="n">
        <f aca="false">IF(AND(AE2051="yes",ISNUMBER(AD2051),ISNUMBER(INDEX(Sources!$G$7:$G$10,MATCH(AB2051,Sources!$B$7:$B$10,0)))),ROUND(AD2051/INDEX(Sources!$G$7:$G$10,MATCH(AB2051,Sources!$B$7:$B$10,0)),6),"")</f>
        <v>1.9</v>
      </c>
      <c r="J2051" s="98" t="s">
        <v>530</v>
      </c>
      <c r="K2051" s="98" t="s">
        <v>2059</v>
      </c>
      <c r="L2051" s="96"/>
      <c r="M2051" s="110" t="s">
        <v>6289</v>
      </c>
      <c r="N2051" s="117" t="s">
        <v>5588</v>
      </c>
      <c r="O2051" s="110" t="s">
        <v>2396</v>
      </c>
      <c r="P2051" s="110" t="s">
        <v>590</v>
      </c>
      <c r="Q2051" s="118" t="n">
        <v>0.23</v>
      </c>
      <c r="R2051" s="110" t="n">
        <v>1</v>
      </c>
      <c r="S2051" s="110" t="s">
        <v>632</v>
      </c>
      <c r="T2051" s="110" t="s">
        <v>530</v>
      </c>
      <c r="U2051" s="110" t="s">
        <v>2913</v>
      </c>
      <c r="V2051" s="119" t="n">
        <v>1.9</v>
      </c>
      <c r="W2051" s="119"/>
      <c r="X2051" s="110" t="s">
        <v>2063</v>
      </c>
      <c r="Y2051" s="110" t="s">
        <v>2064</v>
      </c>
      <c r="Z2051" s="110" t="s">
        <v>3346</v>
      </c>
      <c r="AA2051" s="110" t="s">
        <v>537</v>
      </c>
      <c r="AB2051" s="110" t="s">
        <v>244</v>
      </c>
      <c r="AC2051" s="110" t="s">
        <v>538</v>
      </c>
      <c r="AD2051" s="110" t="n">
        <f aca="false">IF(OR(F2051="",Q2051="",R2051=""),"",ROUND(IF(P2051="incl.",F2051/(1+Q2051),F2051)/IF(S2051="per pack",R2051,1),2))</f>
        <v>1.9</v>
      </c>
      <c r="AE2051" s="110" t="str">
        <f aca="false">IF(AND(AC2051="yes",ISNUMBER(F2051),IF(Compare!$H$5="All mapped",TRUE(),IF(Compare!$H$5="EXACT only",J2051="EXACT",OR(J2051="EXACT",J2051="CLOSE")))),"yes","no")</f>
        <v>yes</v>
      </c>
      <c r="AF2051" s="110" t="n">
        <f aca="false">IF(ISNUMBER(H2051),COUNTIFS($B$7:$B$3000,B2051,$C$7:$C$3000,C2051,$H$7:$H$3000,"&lt;"&amp;H2051,$AH$7:$AH$3000,"yes")+COUNTIFS($B$7:B2051,B2051,$C$7:C2051,C2051,$H$7:H2051,H2051,$AH$7:AH2051,"yes"),"")</f>
        <v>2</v>
      </c>
      <c r="AG2051" s="110" t="n">
        <f aca="false">IF(ISNUMBER(I2051),COUNTIFS($B$7:$B$3000,B2051,$C$7:$C$3000,C2051,$I$7:$I$3000,"&lt;"&amp;I2051,$AI$7:$AI$3000,"yes")+COUNTIFS($B$7:B2051,B2051,$C$7:C2051,C2051,$I$7:I2051,I2051,$AI$7:AI2051,"yes"),"")</f>
        <v>2</v>
      </c>
      <c r="AH2051" s="110" t="str">
        <f aca="false">IF(ISNUMBER(H2051),"yes","no")</f>
        <v>yes</v>
      </c>
      <c r="AI2051" s="110" t="str">
        <f aca="false">IF(ISNUMBER(I2051),"yes","no")</f>
        <v>yes</v>
      </c>
      <c r="AJ2051" s="120" t="n">
        <v>46297</v>
      </c>
      <c r="AK2051" s="110"/>
    </row>
    <row r="2052" customFormat="false" ht="35.05" hidden="false" customHeight="false" outlineLevel="0" collapsed="false">
      <c r="B2052" s="36" t="s">
        <v>108</v>
      </c>
      <c r="C2052" s="98" t="s">
        <v>18</v>
      </c>
      <c r="D2052" s="98" t="s">
        <v>365</v>
      </c>
      <c r="E2052" s="110" t="s">
        <v>6290</v>
      </c>
      <c r="F2052" s="99" t="n">
        <v>1.5</v>
      </c>
      <c r="G2052" s="98" t="s">
        <v>244</v>
      </c>
      <c r="H2052" s="112" t="n">
        <f aca="false">IF(AND(AE2052="yes",ISNUMBER(AD2052)),AD2052,"")</f>
        <v>1.22</v>
      </c>
      <c r="I2052" s="95" t="n">
        <f aca="false">IF(AND(AE2052="yes",ISNUMBER(AD2052),ISNUMBER(INDEX(Sources!$G$7:$G$10,MATCH(AB2052,Sources!$B$7:$B$10,0)))),ROUND(AD2052/INDEX(Sources!$G$7:$G$10,MATCH(AB2052,Sources!$B$7:$B$10,0)),6),"")</f>
        <v>1.22</v>
      </c>
      <c r="J2052" s="98" t="s">
        <v>530</v>
      </c>
      <c r="K2052" s="98" t="s">
        <v>2059</v>
      </c>
      <c r="L2052" s="96"/>
      <c r="M2052" s="110" t="s">
        <v>6291</v>
      </c>
      <c r="N2052" s="117" t="s">
        <v>6292</v>
      </c>
      <c r="O2052" s="110" t="s">
        <v>6210</v>
      </c>
      <c r="P2052" s="110" t="s">
        <v>265</v>
      </c>
      <c r="Q2052" s="118" t="n">
        <v>0.23</v>
      </c>
      <c r="R2052" s="110" t="n">
        <v>1</v>
      </c>
      <c r="S2052" s="110" t="s">
        <v>632</v>
      </c>
      <c r="T2052" s="110" t="s">
        <v>530</v>
      </c>
      <c r="U2052" s="110" t="s">
        <v>2918</v>
      </c>
      <c r="V2052" s="119" t="n">
        <v>1.22</v>
      </c>
      <c r="W2052" s="119"/>
      <c r="X2052" s="110" t="s">
        <v>2063</v>
      </c>
      <c r="Y2052" s="110" t="s">
        <v>2064</v>
      </c>
      <c r="Z2052" s="110" t="s">
        <v>3016</v>
      </c>
      <c r="AA2052" s="110" t="s">
        <v>537</v>
      </c>
      <c r="AB2052" s="110" t="s">
        <v>244</v>
      </c>
      <c r="AC2052" s="110" t="s">
        <v>538</v>
      </c>
      <c r="AD2052" s="110" t="n">
        <f aca="false">IF(OR(F2052="",Q2052="",R2052=""),"",ROUND(IF(P2052="incl.",F2052/(1+Q2052),F2052)/IF(S2052="per pack",R2052,1),2))</f>
        <v>1.22</v>
      </c>
      <c r="AE2052" s="110" t="str">
        <f aca="false">IF(AND(AC2052="yes",ISNUMBER(F2052),IF(Compare!$H$5="All mapped",TRUE(),IF(Compare!$H$5="EXACT only",J2052="EXACT",OR(J2052="EXACT",J2052="CLOSE")))),"yes","no")</f>
        <v>yes</v>
      </c>
      <c r="AF2052" s="110" t="n">
        <f aca="false">IF(ISNUMBER(H2052),COUNTIFS($B$7:$B$3000,B2052,$C$7:$C$3000,C2052,$H$7:$H$3000,"&lt;"&amp;H2052,$AH$7:$AH$3000,"yes")+COUNTIFS($B$7:B2052,B2052,$C$7:C2052,C2052,$H$7:H2052,H2052,$AH$7:AH2052,"yes"),"")</f>
        <v>1</v>
      </c>
      <c r="AG2052" s="110" t="n">
        <f aca="false">IF(ISNUMBER(I2052),COUNTIFS($B$7:$B$3000,B2052,$C$7:$C$3000,C2052,$I$7:$I$3000,"&lt;"&amp;I2052,$AI$7:$AI$3000,"yes")+COUNTIFS($B$7:B2052,B2052,$C$7:C2052,C2052,$I$7:I2052,I2052,$AI$7:AI2052,"yes"),"")</f>
        <v>1</v>
      </c>
      <c r="AH2052" s="110" t="str">
        <f aca="false">IF(ISNUMBER(H2052),"yes","no")</f>
        <v>yes</v>
      </c>
      <c r="AI2052" s="110" t="str">
        <f aca="false">IF(ISNUMBER(I2052),"yes","no")</f>
        <v>yes</v>
      </c>
      <c r="AJ2052" s="120" t="n">
        <v>46297</v>
      </c>
      <c r="AK2052" s="110"/>
    </row>
    <row r="2053" customFormat="false" ht="35.05" hidden="false" customHeight="false" outlineLevel="0" collapsed="false">
      <c r="B2053" s="36" t="s">
        <v>108</v>
      </c>
      <c r="C2053" s="98" t="s">
        <v>18</v>
      </c>
      <c r="D2053" s="98" t="s">
        <v>369</v>
      </c>
      <c r="E2053" s="110" t="s">
        <v>6293</v>
      </c>
      <c r="F2053" s="99" t="n">
        <v>6.56</v>
      </c>
      <c r="G2053" s="98" t="s">
        <v>244</v>
      </c>
      <c r="H2053" s="112" t="n">
        <f aca="false">IF(AND(AE2053="yes",ISNUMBER(AD2053)),AD2053,"")</f>
        <v>5.33</v>
      </c>
      <c r="I2053" s="95" t="n">
        <f aca="false">IF(AND(AE2053="yes",ISNUMBER(AD2053),ISNUMBER(INDEX(Sources!$G$7:$G$10,MATCH(AB2053,Sources!$B$7:$B$10,0)))),ROUND(AD2053/INDEX(Sources!$G$7:$G$10,MATCH(AB2053,Sources!$B$7:$B$10,0)),6),"")</f>
        <v>5.33</v>
      </c>
      <c r="J2053" s="98" t="s">
        <v>530</v>
      </c>
      <c r="K2053" s="98" t="s">
        <v>2059</v>
      </c>
      <c r="L2053" s="96"/>
      <c r="M2053" s="110" t="s">
        <v>6294</v>
      </c>
      <c r="N2053" s="117" t="s">
        <v>6295</v>
      </c>
      <c r="O2053" s="110" t="s">
        <v>783</v>
      </c>
      <c r="P2053" s="110" t="s">
        <v>265</v>
      </c>
      <c r="Q2053" s="118" t="n">
        <v>0.23</v>
      </c>
      <c r="R2053" s="110" t="n">
        <v>1</v>
      </c>
      <c r="S2053" s="110" t="s">
        <v>632</v>
      </c>
      <c r="T2053" s="110" t="s">
        <v>530</v>
      </c>
      <c r="U2053" s="110" t="s">
        <v>2918</v>
      </c>
      <c r="V2053" s="119" t="n">
        <v>5.33</v>
      </c>
      <c r="W2053" s="119"/>
      <c r="X2053" s="110" t="s">
        <v>2063</v>
      </c>
      <c r="Y2053" s="110" t="s">
        <v>2064</v>
      </c>
      <c r="Z2053" s="110" t="s">
        <v>3831</v>
      </c>
      <c r="AA2053" s="110" t="s">
        <v>537</v>
      </c>
      <c r="AB2053" s="110" t="s">
        <v>244</v>
      </c>
      <c r="AC2053" s="110" t="s">
        <v>538</v>
      </c>
      <c r="AD2053" s="110" t="n">
        <f aca="false">IF(OR(F2053="",Q2053="",R2053=""),"",ROUND(IF(P2053="incl.",F2053/(1+Q2053),F2053)/IF(S2053="per pack",R2053,1),2))</f>
        <v>5.33</v>
      </c>
      <c r="AE2053" s="110" t="str">
        <f aca="false">IF(AND(AC2053="yes",ISNUMBER(F2053),IF(Compare!$H$5="All mapped",TRUE(),IF(Compare!$H$5="EXACT only",J2053="EXACT",OR(J2053="EXACT",J2053="CLOSE")))),"yes","no")</f>
        <v>yes</v>
      </c>
      <c r="AF2053" s="110" t="n">
        <f aca="false">IF(ISNUMBER(H2053),COUNTIFS($B$7:$B$3000,B2053,$C$7:$C$3000,C2053,$H$7:$H$3000,"&lt;"&amp;H2053,$AH$7:$AH$3000,"yes")+COUNTIFS($B$7:B2053,B2053,$C$7:C2053,C2053,$H$7:H2053,H2053,$AH$7:AH2053,"yes"),"")</f>
        <v>5</v>
      </c>
      <c r="AG2053" s="110" t="n">
        <f aca="false">IF(ISNUMBER(I2053),COUNTIFS($B$7:$B$3000,B2053,$C$7:$C$3000,C2053,$I$7:$I$3000,"&lt;"&amp;I2053,$AI$7:$AI$3000,"yes")+COUNTIFS($B$7:B2053,B2053,$C$7:C2053,C2053,$I$7:I2053,I2053,$AI$7:AI2053,"yes"),"")</f>
        <v>5</v>
      </c>
      <c r="AH2053" s="110" t="str">
        <f aca="false">IF(ISNUMBER(H2053),"yes","no")</f>
        <v>yes</v>
      </c>
      <c r="AI2053" s="110" t="str">
        <f aca="false">IF(ISNUMBER(I2053),"yes","no")</f>
        <v>yes</v>
      </c>
      <c r="AJ2053" s="120" t="n">
        <v>46297</v>
      </c>
      <c r="AK2053" s="110"/>
    </row>
    <row r="2054" customFormat="false" ht="23.85" hidden="false" customHeight="false" outlineLevel="0" collapsed="false">
      <c r="B2054" s="36" t="s">
        <v>108</v>
      </c>
      <c r="C2054" s="98" t="s">
        <v>18</v>
      </c>
      <c r="D2054" s="98" t="s">
        <v>4579</v>
      </c>
      <c r="E2054" s="110" t="s">
        <v>6296</v>
      </c>
      <c r="F2054" s="99" t="n">
        <v>2.6</v>
      </c>
      <c r="G2054" s="98" t="s">
        <v>244</v>
      </c>
      <c r="H2054" s="112" t="n">
        <f aca="false">IF(AND(AE2054="yes",ISNUMBER(AD2054)),AD2054,"")</f>
        <v>2.11</v>
      </c>
      <c r="I2054" s="95" t="n">
        <f aca="false">IF(AND(AE2054="yes",ISNUMBER(AD2054),ISNUMBER(INDEX(Sources!$G$7:$G$10,MATCH(AB2054,Sources!$B$7:$B$10,0)))),ROUND(AD2054/INDEX(Sources!$G$7:$G$10,MATCH(AB2054,Sources!$B$7:$B$10,0)),6),"")</f>
        <v>2.11</v>
      </c>
      <c r="J2054" s="98" t="s">
        <v>530</v>
      </c>
      <c r="K2054" s="98" t="s">
        <v>2059</v>
      </c>
      <c r="L2054" s="96"/>
      <c r="M2054" s="110" t="s">
        <v>6297</v>
      </c>
      <c r="N2054" s="117" t="s">
        <v>4582</v>
      </c>
      <c r="O2054" s="110" t="s">
        <v>246</v>
      </c>
      <c r="P2054" s="110" t="s">
        <v>265</v>
      </c>
      <c r="Q2054" s="118" t="n">
        <v>0.23</v>
      </c>
      <c r="R2054" s="110" t="n">
        <v>1</v>
      </c>
      <c r="S2054" s="110" t="s">
        <v>632</v>
      </c>
      <c r="T2054" s="110" t="s">
        <v>530</v>
      </c>
      <c r="U2054" s="110" t="s">
        <v>2918</v>
      </c>
      <c r="V2054" s="119" t="n">
        <v>2.11</v>
      </c>
      <c r="W2054" s="119"/>
      <c r="X2054" s="110" t="s">
        <v>2063</v>
      </c>
      <c r="Y2054" s="110" t="s">
        <v>2064</v>
      </c>
      <c r="Z2054" s="110" t="s">
        <v>4826</v>
      </c>
      <c r="AA2054" s="110" t="s">
        <v>537</v>
      </c>
      <c r="AB2054" s="110" t="s">
        <v>244</v>
      </c>
      <c r="AC2054" s="110" t="s">
        <v>538</v>
      </c>
      <c r="AD2054" s="110" t="n">
        <f aca="false">IF(OR(F2054="",Q2054="",R2054=""),"",ROUND(IF(P2054="incl.",F2054/(1+Q2054),F2054)/IF(S2054="per pack",R2054,1),2))</f>
        <v>2.11</v>
      </c>
      <c r="AE2054" s="110" t="str">
        <f aca="false">IF(AND(AC2054="yes",ISNUMBER(F2054),IF(Compare!$H$5="All mapped",TRUE(),IF(Compare!$H$5="EXACT only",J2054="EXACT",OR(J2054="EXACT",J2054="CLOSE")))),"yes","no")</f>
        <v>yes</v>
      </c>
      <c r="AF2054" s="110" t="n">
        <f aca="false">IF(ISNUMBER(H2054),COUNTIFS($B$7:$B$3000,B2054,$C$7:$C$3000,C2054,$H$7:$H$3000,"&lt;"&amp;H2054,$AH$7:$AH$3000,"yes")+COUNTIFS($B$7:B2054,B2054,$C$7:C2054,C2054,$H$7:H2054,H2054,$AH$7:AH2054,"yes"),"")</f>
        <v>4</v>
      </c>
      <c r="AG2054" s="110" t="n">
        <f aca="false">IF(ISNUMBER(I2054),COUNTIFS($B$7:$B$3000,B2054,$C$7:$C$3000,C2054,$I$7:$I$3000,"&lt;"&amp;I2054,$AI$7:$AI$3000,"yes")+COUNTIFS($B$7:B2054,B2054,$C$7:C2054,C2054,$I$7:I2054,I2054,$AI$7:AI2054,"yes"),"")</f>
        <v>4</v>
      </c>
      <c r="AH2054" s="110" t="str">
        <f aca="false">IF(ISNUMBER(H2054),"yes","no")</f>
        <v>yes</v>
      </c>
      <c r="AI2054" s="110" t="str">
        <f aca="false">IF(ISNUMBER(I2054),"yes","no")</f>
        <v>yes</v>
      </c>
      <c r="AJ2054" s="120" t="n">
        <v>46297</v>
      </c>
      <c r="AK2054" s="110"/>
    </row>
    <row r="2055" customFormat="false" ht="23.85" hidden="false" customHeight="false" outlineLevel="0" collapsed="false">
      <c r="B2055" s="36" t="s">
        <v>108</v>
      </c>
      <c r="C2055" s="98" t="s">
        <v>18</v>
      </c>
      <c r="D2055" s="98" t="s">
        <v>3021</v>
      </c>
      <c r="E2055" s="110" t="s">
        <v>6298</v>
      </c>
      <c r="F2055" s="99" t="n">
        <v>1.98</v>
      </c>
      <c r="G2055" s="98" t="s">
        <v>244</v>
      </c>
      <c r="H2055" s="112" t="n">
        <f aca="false">IF(AND(AE2055="yes",ISNUMBER(AD2055)),AD2055,"")</f>
        <v>1.98</v>
      </c>
      <c r="I2055" s="95" t="n">
        <f aca="false">IF(AND(AE2055="yes",ISNUMBER(AD2055),ISNUMBER(INDEX(Sources!$G$7:$G$10,MATCH(AB2055,Sources!$B$7:$B$10,0)))),ROUND(AD2055/INDEX(Sources!$G$7:$G$10,MATCH(AB2055,Sources!$B$7:$B$10,0)),6),"")</f>
        <v>1.98</v>
      </c>
      <c r="J2055" s="98" t="s">
        <v>530</v>
      </c>
      <c r="K2055" s="98" t="s">
        <v>2059</v>
      </c>
      <c r="L2055" s="96"/>
      <c r="M2055" s="110" t="s">
        <v>6299</v>
      </c>
      <c r="N2055" s="117" t="s">
        <v>4416</v>
      </c>
      <c r="O2055" s="110" t="s">
        <v>3024</v>
      </c>
      <c r="P2055" s="110" t="s">
        <v>590</v>
      </c>
      <c r="Q2055" s="118" t="n">
        <v>0.23</v>
      </c>
      <c r="R2055" s="110" t="n">
        <v>1</v>
      </c>
      <c r="S2055" s="110" t="s">
        <v>632</v>
      </c>
      <c r="T2055" s="110" t="s">
        <v>530</v>
      </c>
      <c r="U2055" s="110" t="s">
        <v>2913</v>
      </c>
      <c r="V2055" s="119" t="n">
        <v>1.98</v>
      </c>
      <c r="W2055" s="119"/>
      <c r="X2055" s="110" t="s">
        <v>2063</v>
      </c>
      <c r="Y2055" s="110" t="s">
        <v>2064</v>
      </c>
      <c r="Z2055" s="110" t="s">
        <v>3109</v>
      </c>
      <c r="AA2055" s="110" t="s">
        <v>537</v>
      </c>
      <c r="AB2055" s="110" t="s">
        <v>244</v>
      </c>
      <c r="AC2055" s="110" t="s">
        <v>538</v>
      </c>
      <c r="AD2055" s="110" t="n">
        <f aca="false">IF(OR(F2055="",Q2055="",R2055=""),"",ROUND(IF(P2055="incl.",F2055/(1+Q2055),F2055)/IF(S2055="per pack",R2055,1),2))</f>
        <v>1.98</v>
      </c>
      <c r="AE2055" s="110" t="str">
        <f aca="false">IF(AND(AC2055="yes",ISNUMBER(F2055),IF(Compare!$H$5="All mapped",TRUE(),IF(Compare!$H$5="EXACT only",J2055="EXACT",OR(J2055="EXACT",J2055="CLOSE")))),"yes","no")</f>
        <v>yes</v>
      </c>
      <c r="AF2055" s="110" t="n">
        <f aca="false">IF(ISNUMBER(H2055),COUNTIFS($B$7:$B$3000,B2055,$C$7:$C$3000,C2055,$H$7:$H$3000,"&lt;"&amp;H2055,$AH$7:$AH$3000,"yes")+COUNTIFS($B$7:B2055,B2055,$C$7:C2055,C2055,$H$7:H2055,H2055,$AH$7:AH2055,"yes"),"")</f>
        <v>3</v>
      </c>
      <c r="AG2055" s="110" t="n">
        <f aca="false">IF(ISNUMBER(I2055),COUNTIFS($B$7:$B$3000,B2055,$C$7:$C$3000,C2055,$I$7:$I$3000,"&lt;"&amp;I2055,$AI$7:$AI$3000,"yes")+COUNTIFS($B$7:B2055,B2055,$C$7:C2055,C2055,$I$7:I2055,I2055,$AI$7:AI2055,"yes"),"")</f>
        <v>3</v>
      </c>
      <c r="AH2055" s="110" t="str">
        <f aca="false">IF(ISNUMBER(H2055),"yes","no")</f>
        <v>yes</v>
      </c>
      <c r="AI2055" s="110" t="str">
        <f aca="false">IF(ISNUMBER(I2055),"yes","no")</f>
        <v>yes</v>
      </c>
      <c r="AJ2055" s="120" t="n">
        <v>46297</v>
      </c>
      <c r="AK2055" s="110"/>
    </row>
    <row r="2056" customFormat="false" ht="23.85" hidden="false" customHeight="false" outlineLevel="0" collapsed="false">
      <c r="B2056" s="36" t="s">
        <v>109</v>
      </c>
      <c r="C2056" s="98" t="s">
        <v>14</v>
      </c>
      <c r="D2056" s="98" t="s">
        <v>373</v>
      </c>
      <c r="E2056" s="110" t="s">
        <v>6300</v>
      </c>
      <c r="F2056" s="99" t="n">
        <v>6.63</v>
      </c>
      <c r="G2056" s="98" t="s">
        <v>374</v>
      </c>
      <c r="H2056" s="112" t="n">
        <f aca="false">IF(AND(AE2056="yes",ISNUMBER(AD2056)),AD2056,"")</f>
        <v>6.63</v>
      </c>
      <c r="I2056" s="95" t="n">
        <f aca="false">IF(AND(AE2056="yes",ISNUMBER(AD2056),ISNUMBER(INDEX(Sources!$G$7:$G$10,MATCH(AB2056,Sources!$B$7:$B$10,0)))),ROUND(AD2056/INDEX(Sources!$G$7:$G$10,MATCH(AB2056,Sources!$B$7:$B$10,0)),6),"")</f>
        <v>1.256243</v>
      </c>
      <c r="J2056" s="98" t="s">
        <v>702</v>
      </c>
      <c r="K2056" s="98" t="s">
        <v>2059</v>
      </c>
      <c r="L2056" s="96"/>
      <c r="M2056" s="110" t="s">
        <v>6301</v>
      </c>
      <c r="N2056" s="117" t="s">
        <v>6302</v>
      </c>
      <c r="O2056" s="110" t="s">
        <v>6138</v>
      </c>
      <c r="P2056" s="110" t="s">
        <v>590</v>
      </c>
      <c r="Q2056" s="118" t="n">
        <v>0.21</v>
      </c>
      <c r="R2056" s="110" t="n">
        <v>1</v>
      </c>
      <c r="S2056" s="110" t="s">
        <v>632</v>
      </c>
      <c r="T2056" s="110" t="s">
        <v>702</v>
      </c>
      <c r="U2056" s="110" t="s">
        <v>2913</v>
      </c>
      <c r="V2056" s="119" t="n">
        <v>6.63</v>
      </c>
      <c r="W2056" s="119"/>
      <c r="X2056" s="110" t="s">
        <v>2063</v>
      </c>
      <c r="Y2056" s="110" t="s">
        <v>2064</v>
      </c>
      <c r="Z2056" s="110"/>
      <c r="AA2056" s="110" t="s">
        <v>537</v>
      </c>
      <c r="AB2056" s="110" t="s">
        <v>374</v>
      </c>
      <c r="AC2056" s="110" t="s">
        <v>538</v>
      </c>
      <c r="AD2056" s="110" t="n">
        <f aca="false">IF(OR(F2056="",Q2056="",R2056=""),"",ROUND(IF(P2056="incl.",F2056/(1+Q2056),F2056)/IF(S2056="per pack",R2056,1),2))</f>
        <v>6.63</v>
      </c>
      <c r="AE2056" s="110" t="str">
        <f aca="false">IF(AND(AC2056="yes",ISNUMBER(F2056),IF(Compare!$H$5="All mapped",TRUE(),IF(Compare!$H$5="EXACT only",J2056="EXACT",OR(J2056="EXACT",J2056="CLOSE")))),"yes","no")</f>
        <v>yes</v>
      </c>
      <c r="AF2056" s="110" t="n">
        <f aca="false">IF(ISNUMBER(H2056),COUNTIFS($B$7:$B$3000,B2056,$C$7:$C$3000,C2056,$H$7:$H$3000,"&lt;"&amp;H2056,$AH$7:$AH$3000,"yes")+COUNTIFS($B$7:B2056,B2056,$C$7:C2056,C2056,$H$7:H2056,H2056,$AH$7:AH2056,"yes"),"")</f>
        <v>2</v>
      </c>
      <c r="AG2056" s="110" t="n">
        <f aca="false">IF(ISNUMBER(I2056),COUNTIFS($B$7:$B$3000,B2056,$C$7:$C$3000,C2056,$I$7:$I$3000,"&lt;"&amp;I2056,$AI$7:$AI$3000,"yes")+COUNTIFS($B$7:B2056,B2056,$C$7:C2056,C2056,$I$7:I2056,I2056,$AI$7:AI2056,"yes"),"")</f>
        <v>2</v>
      </c>
      <c r="AH2056" s="110" t="str">
        <f aca="false">IF(ISNUMBER(H2056),"yes","no")</f>
        <v>yes</v>
      </c>
      <c r="AI2056" s="110" t="str">
        <f aca="false">IF(ISNUMBER(I2056),"yes","no")</f>
        <v>yes</v>
      </c>
      <c r="AJ2056" s="120" t="n">
        <v>46297</v>
      </c>
      <c r="AK2056" s="110"/>
    </row>
    <row r="2057" customFormat="false" ht="23.85" hidden="false" customHeight="false" outlineLevel="0" collapsed="false">
      <c r="B2057" s="36" t="s">
        <v>109</v>
      </c>
      <c r="C2057" s="98" t="s">
        <v>14</v>
      </c>
      <c r="D2057" s="98" t="s">
        <v>378</v>
      </c>
      <c r="E2057" s="110" t="s">
        <v>6303</v>
      </c>
      <c r="F2057" s="99" t="n">
        <v>9.82</v>
      </c>
      <c r="G2057" s="98" t="s">
        <v>374</v>
      </c>
      <c r="H2057" s="112" t="n">
        <f aca="false">IF(AND(AE2057="yes",ISNUMBER(AD2057)),AD2057,"")</f>
        <v>8.12</v>
      </c>
      <c r="I2057" s="95" t="n">
        <f aca="false">IF(AND(AE2057="yes",ISNUMBER(AD2057),ISNUMBER(INDEX(Sources!$G$7:$G$10,MATCH(AB2057,Sources!$B$7:$B$10,0)))),ROUND(AD2057/INDEX(Sources!$G$7:$G$10,MATCH(AB2057,Sources!$B$7:$B$10,0)),6),"")</f>
        <v>1.538566</v>
      </c>
      <c r="J2057" s="98" t="s">
        <v>530</v>
      </c>
      <c r="K2057" s="98" t="s">
        <v>2059</v>
      </c>
      <c r="L2057" s="96"/>
      <c r="M2057" s="110" t="s">
        <v>6304</v>
      </c>
      <c r="N2057" s="117" t="s">
        <v>6305</v>
      </c>
      <c r="O2057" s="110" t="s">
        <v>2917</v>
      </c>
      <c r="P2057" s="110" t="s">
        <v>265</v>
      </c>
      <c r="Q2057" s="118" t="n">
        <v>0.21</v>
      </c>
      <c r="R2057" s="110" t="n">
        <v>1</v>
      </c>
      <c r="S2057" s="110" t="s">
        <v>632</v>
      </c>
      <c r="T2057" s="110" t="s">
        <v>530</v>
      </c>
      <c r="U2057" s="110" t="s">
        <v>2918</v>
      </c>
      <c r="V2057" s="119" t="n">
        <v>8.12</v>
      </c>
      <c r="W2057" s="119"/>
      <c r="X2057" s="110" t="s">
        <v>2063</v>
      </c>
      <c r="Y2057" s="110" t="s">
        <v>2064</v>
      </c>
      <c r="Z2057" s="110"/>
      <c r="AA2057" s="110" t="s">
        <v>537</v>
      </c>
      <c r="AB2057" s="110" t="s">
        <v>374</v>
      </c>
      <c r="AC2057" s="110" t="s">
        <v>538</v>
      </c>
      <c r="AD2057" s="110" t="n">
        <f aca="false">IF(OR(F2057="",Q2057="",R2057=""),"",ROUND(IF(P2057="incl.",F2057/(1+Q2057),F2057)/IF(S2057="per pack",R2057,1),2))</f>
        <v>8.12</v>
      </c>
      <c r="AE2057" s="110" t="str">
        <f aca="false">IF(AND(AC2057="yes",ISNUMBER(F2057),IF(Compare!$H$5="All mapped",TRUE(),IF(Compare!$H$5="EXACT only",J2057="EXACT",OR(J2057="EXACT",J2057="CLOSE")))),"yes","no")</f>
        <v>yes</v>
      </c>
      <c r="AF2057" s="110" t="n">
        <f aca="false">IF(ISNUMBER(H2057),COUNTIFS($B$7:$B$3000,B2057,$C$7:$C$3000,C2057,$H$7:$H$3000,"&lt;"&amp;H2057,$AH$7:$AH$3000,"yes")+COUNTIFS($B$7:B2057,B2057,$C$7:C2057,C2057,$H$7:H2057,H2057,$AH$7:AH2057,"yes"),"")</f>
        <v>4</v>
      </c>
      <c r="AG2057" s="110" t="n">
        <f aca="false">IF(ISNUMBER(I2057),COUNTIFS($B$7:$B$3000,B2057,$C$7:$C$3000,C2057,$I$7:$I$3000,"&lt;"&amp;I2057,$AI$7:$AI$3000,"yes")+COUNTIFS($B$7:B2057,B2057,$C$7:C2057,C2057,$I$7:I2057,I2057,$AI$7:AI2057,"yes"),"")</f>
        <v>4</v>
      </c>
      <c r="AH2057" s="110" t="str">
        <f aca="false">IF(ISNUMBER(H2057),"yes","no")</f>
        <v>yes</v>
      </c>
      <c r="AI2057" s="110" t="str">
        <f aca="false">IF(ISNUMBER(I2057),"yes","no")</f>
        <v>yes</v>
      </c>
      <c r="AJ2057" s="120" t="n">
        <v>46297</v>
      </c>
      <c r="AK2057" s="110"/>
    </row>
    <row r="2058" customFormat="false" ht="35.05" hidden="false" customHeight="false" outlineLevel="0" collapsed="false">
      <c r="B2058" s="36" t="s">
        <v>109</v>
      </c>
      <c r="C2058" s="98" t="s">
        <v>14</v>
      </c>
      <c r="D2058" s="98" t="s">
        <v>346</v>
      </c>
      <c r="E2058" s="110" t="s">
        <v>6306</v>
      </c>
      <c r="F2058" s="99" t="n">
        <v>20.16</v>
      </c>
      <c r="G2058" s="98" t="s">
        <v>374</v>
      </c>
      <c r="H2058" s="112" t="n">
        <f aca="false">IF(AND(AE2058="yes",ISNUMBER(AD2058)),AD2058,"")</f>
        <v>16.66</v>
      </c>
      <c r="I2058" s="95" t="n">
        <f aca="false">IF(AND(AE2058="yes",ISNUMBER(AD2058),ISNUMBER(INDEX(Sources!$G$7:$G$10,MATCH(AB2058,Sources!$B$7:$B$10,0)))),ROUND(AD2058/INDEX(Sources!$G$7:$G$10,MATCH(AB2058,Sources!$B$7:$B$10,0)),6),"")</f>
        <v>3.156713</v>
      </c>
      <c r="J2058" s="98" t="s">
        <v>530</v>
      </c>
      <c r="K2058" s="98" t="s">
        <v>2059</v>
      </c>
      <c r="L2058" s="96"/>
      <c r="M2058" s="110" t="s">
        <v>6307</v>
      </c>
      <c r="N2058" s="117" t="s">
        <v>6308</v>
      </c>
      <c r="O2058" s="110" t="s">
        <v>662</v>
      </c>
      <c r="P2058" s="110" t="s">
        <v>265</v>
      </c>
      <c r="Q2058" s="118" t="n">
        <v>0.21</v>
      </c>
      <c r="R2058" s="110" t="n">
        <v>1</v>
      </c>
      <c r="S2058" s="110" t="s">
        <v>632</v>
      </c>
      <c r="T2058" s="110" t="s">
        <v>530</v>
      </c>
      <c r="U2058" s="110" t="s">
        <v>2918</v>
      </c>
      <c r="V2058" s="119" t="n">
        <v>16.66</v>
      </c>
      <c r="W2058" s="119"/>
      <c r="X2058" s="110" t="s">
        <v>2063</v>
      </c>
      <c r="Y2058" s="110" t="s">
        <v>2064</v>
      </c>
      <c r="Z2058" s="110" t="s">
        <v>6309</v>
      </c>
      <c r="AA2058" s="110" t="s">
        <v>537</v>
      </c>
      <c r="AB2058" s="110" t="s">
        <v>374</v>
      </c>
      <c r="AC2058" s="110" t="s">
        <v>538</v>
      </c>
      <c r="AD2058" s="110" t="n">
        <f aca="false">IF(OR(F2058="",Q2058="",R2058=""),"",ROUND(IF(P2058="incl.",F2058/(1+Q2058),F2058)/IF(S2058="per pack",R2058,1),2))</f>
        <v>16.66</v>
      </c>
      <c r="AE2058" s="110" t="str">
        <f aca="false">IF(AND(AC2058="yes",ISNUMBER(F2058),IF(Compare!$H$5="All mapped",TRUE(),IF(Compare!$H$5="EXACT only",J2058="EXACT",OR(J2058="EXACT",J2058="CLOSE")))),"yes","no")</f>
        <v>yes</v>
      </c>
      <c r="AF2058" s="110" t="n">
        <f aca="false">IF(ISNUMBER(H2058),COUNTIFS($B$7:$B$3000,B2058,$C$7:$C$3000,C2058,$H$7:$H$3000,"&lt;"&amp;H2058,$AH$7:$AH$3000,"yes")+COUNTIFS($B$7:B2058,B2058,$C$7:C2058,C2058,$H$7:H2058,H2058,$AH$7:AH2058,"yes"),"")</f>
        <v>5</v>
      </c>
      <c r="AG2058" s="110" t="n">
        <f aca="false">IF(ISNUMBER(I2058),COUNTIFS($B$7:$B$3000,B2058,$C$7:$C$3000,C2058,$I$7:$I$3000,"&lt;"&amp;I2058,$AI$7:$AI$3000,"yes")+COUNTIFS($B$7:B2058,B2058,$C$7:C2058,C2058,$I$7:I2058,I2058,$AI$7:AI2058,"yes"),"")</f>
        <v>5</v>
      </c>
      <c r="AH2058" s="110" t="str">
        <f aca="false">IF(ISNUMBER(H2058),"yes","no")</f>
        <v>yes</v>
      </c>
      <c r="AI2058" s="110" t="str">
        <f aca="false">IF(ISNUMBER(I2058),"yes","no")</f>
        <v>yes</v>
      </c>
      <c r="AJ2058" s="120" t="n">
        <v>46297</v>
      </c>
      <c r="AK2058" s="110"/>
    </row>
    <row r="2059" customFormat="false" ht="23.85" hidden="false" customHeight="false" outlineLevel="0" collapsed="false">
      <c r="B2059" s="36" t="s">
        <v>109</v>
      </c>
      <c r="C2059" s="98" t="s">
        <v>14</v>
      </c>
      <c r="D2059" s="98" t="s">
        <v>415</v>
      </c>
      <c r="E2059" s="110" t="s">
        <v>6310</v>
      </c>
      <c r="F2059" s="99" t="n">
        <v>1</v>
      </c>
      <c r="G2059" s="98" t="s">
        <v>244</v>
      </c>
      <c r="H2059" s="112" t="n">
        <f aca="false">IF(AND(AE2059="yes",ISNUMBER(AD2059)),AD2059,"")</f>
        <v>1</v>
      </c>
      <c r="I2059" s="95" t="n">
        <f aca="false">IF(AND(AE2059="yes",ISNUMBER(AD2059),ISNUMBER(INDEX(Sources!$G$7:$G$10,MATCH(AB2059,Sources!$B$7:$B$10,0)))),ROUND(AD2059/INDEX(Sources!$G$7:$G$10,MATCH(AB2059,Sources!$B$7:$B$10,0)),6),"")</f>
        <v>1</v>
      </c>
      <c r="J2059" s="98" t="s">
        <v>530</v>
      </c>
      <c r="K2059" s="98" t="s">
        <v>2059</v>
      </c>
      <c r="L2059" s="96"/>
      <c r="M2059" s="110" t="s">
        <v>6311</v>
      </c>
      <c r="N2059" s="117" t="s">
        <v>6312</v>
      </c>
      <c r="O2059" s="110" t="s">
        <v>3841</v>
      </c>
      <c r="P2059" s="110" t="s">
        <v>590</v>
      </c>
      <c r="Q2059" s="118" t="n">
        <v>0.21</v>
      </c>
      <c r="R2059" s="110" t="n">
        <v>1</v>
      </c>
      <c r="S2059" s="110" t="s">
        <v>632</v>
      </c>
      <c r="T2059" s="110" t="s">
        <v>530</v>
      </c>
      <c r="U2059" s="110" t="s">
        <v>2913</v>
      </c>
      <c r="V2059" s="119" t="n">
        <v>1</v>
      </c>
      <c r="W2059" s="119"/>
      <c r="X2059" s="110" t="s">
        <v>2063</v>
      </c>
      <c r="Y2059" s="110" t="s">
        <v>2064</v>
      </c>
      <c r="Z2059" s="110"/>
      <c r="AA2059" s="110" t="s">
        <v>537</v>
      </c>
      <c r="AB2059" s="110" t="s">
        <v>244</v>
      </c>
      <c r="AC2059" s="110" t="s">
        <v>538</v>
      </c>
      <c r="AD2059" s="110" t="n">
        <f aca="false">IF(OR(F2059="",Q2059="",R2059=""),"",ROUND(IF(P2059="incl.",F2059/(1+Q2059),F2059)/IF(S2059="per pack",R2059,1),2))</f>
        <v>1</v>
      </c>
      <c r="AE2059" s="110" t="str">
        <f aca="false">IF(AND(AC2059="yes",ISNUMBER(F2059),IF(Compare!$H$5="All mapped",TRUE(),IF(Compare!$H$5="EXACT only",J2059="EXACT",OR(J2059="EXACT",J2059="CLOSE")))),"yes","no")</f>
        <v>yes</v>
      </c>
      <c r="AF2059" s="110" t="n">
        <f aca="false">IF(ISNUMBER(H2059),COUNTIFS($B$7:$B$3000,B2059,$C$7:$C$3000,C2059,$H$7:$H$3000,"&lt;"&amp;H2059,$AH$7:$AH$3000,"yes")+COUNTIFS($B$7:B2059,B2059,$C$7:C2059,C2059,$H$7:H2059,H2059,$AH$7:AH2059,"yes"),"")</f>
        <v>1</v>
      </c>
      <c r="AG2059" s="110" t="n">
        <f aca="false">IF(ISNUMBER(I2059),COUNTIFS($B$7:$B$3000,B2059,$C$7:$C$3000,C2059,$I$7:$I$3000,"&lt;"&amp;I2059,$AI$7:$AI$3000,"yes")+COUNTIFS($B$7:B2059,B2059,$C$7:C2059,C2059,$I$7:I2059,I2059,$AI$7:AI2059,"yes"),"")</f>
        <v>1</v>
      </c>
      <c r="AH2059" s="110" t="str">
        <f aca="false">IF(ISNUMBER(H2059),"yes","no")</f>
        <v>yes</v>
      </c>
      <c r="AI2059" s="110" t="str">
        <f aca="false">IF(ISNUMBER(I2059),"yes","no")</f>
        <v>yes</v>
      </c>
      <c r="AJ2059" s="120" t="n">
        <v>46297</v>
      </c>
      <c r="AK2059" s="110"/>
    </row>
    <row r="2060" customFormat="false" ht="23.85" hidden="false" customHeight="false" outlineLevel="0" collapsed="false">
      <c r="B2060" s="36" t="s">
        <v>109</v>
      </c>
      <c r="C2060" s="98" t="s">
        <v>14</v>
      </c>
      <c r="D2060" s="98" t="s">
        <v>403</v>
      </c>
      <c r="E2060" s="110" t="s">
        <v>6313</v>
      </c>
      <c r="F2060" s="99" t="n">
        <v>6.81</v>
      </c>
      <c r="G2060" s="98" t="s">
        <v>374</v>
      </c>
      <c r="H2060" s="112" t="n">
        <f aca="false">IF(AND(AE2060="yes",ISNUMBER(AD2060)),AD2060,"")</f>
        <v>6.81</v>
      </c>
      <c r="I2060" s="95" t="n">
        <f aca="false">IF(AND(AE2060="yes",ISNUMBER(AD2060),ISNUMBER(INDEX(Sources!$G$7:$G$10,MATCH(AB2060,Sources!$B$7:$B$10,0)))),ROUND(AD2060/INDEX(Sources!$G$7:$G$10,MATCH(AB2060,Sources!$B$7:$B$10,0)),6),"")</f>
        <v>1.290349</v>
      </c>
      <c r="J2060" s="98" t="s">
        <v>530</v>
      </c>
      <c r="K2060" s="98" t="s">
        <v>2059</v>
      </c>
      <c r="L2060" s="96"/>
      <c r="M2060" s="110" t="s">
        <v>6314</v>
      </c>
      <c r="N2060" s="117" t="s">
        <v>6315</v>
      </c>
      <c r="O2060" s="110" t="s">
        <v>388</v>
      </c>
      <c r="P2060" s="110" t="s">
        <v>590</v>
      </c>
      <c r="Q2060" s="118" t="n">
        <v>0.21</v>
      </c>
      <c r="R2060" s="110" t="n">
        <v>1</v>
      </c>
      <c r="S2060" s="110" t="s">
        <v>632</v>
      </c>
      <c r="T2060" s="110" t="s">
        <v>530</v>
      </c>
      <c r="U2060" s="110" t="s">
        <v>2913</v>
      </c>
      <c r="V2060" s="119" t="n">
        <v>6.81</v>
      </c>
      <c r="W2060" s="119"/>
      <c r="X2060" s="110" t="s">
        <v>2063</v>
      </c>
      <c r="Y2060" s="110" t="s">
        <v>2064</v>
      </c>
      <c r="Z2060" s="110"/>
      <c r="AA2060" s="110" t="s">
        <v>537</v>
      </c>
      <c r="AB2060" s="110" t="s">
        <v>374</v>
      </c>
      <c r="AC2060" s="110" t="s">
        <v>538</v>
      </c>
      <c r="AD2060" s="110" t="n">
        <f aca="false">IF(OR(F2060="",Q2060="",R2060=""),"",ROUND(IF(P2060="incl.",F2060/(1+Q2060),F2060)/IF(S2060="per pack",R2060,1),2))</f>
        <v>6.81</v>
      </c>
      <c r="AE2060" s="110" t="str">
        <f aca="false">IF(AND(AC2060="yes",ISNUMBER(F2060),IF(Compare!$H$5="All mapped",TRUE(),IF(Compare!$H$5="EXACT only",J2060="EXACT",OR(J2060="EXACT",J2060="CLOSE")))),"yes","no")</f>
        <v>yes</v>
      </c>
      <c r="AF2060" s="110" t="n">
        <f aca="false">IF(ISNUMBER(H2060),COUNTIFS($B$7:$B$3000,B2060,$C$7:$C$3000,C2060,$H$7:$H$3000,"&lt;"&amp;H2060,$AH$7:$AH$3000,"yes")+COUNTIFS($B$7:B2060,B2060,$C$7:C2060,C2060,$H$7:H2060,H2060,$AH$7:AH2060,"yes"),"")</f>
        <v>3</v>
      </c>
      <c r="AG2060" s="110" t="n">
        <f aca="false">IF(ISNUMBER(I2060),COUNTIFS($B$7:$B$3000,B2060,$C$7:$C$3000,C2060,$I$7:$I$3000,"&lt;"&amp;I2060,$AI$7:$AI$3000,"yes")+COUNTIFS($B$7:B2060,B2060,$C$7:C2060,C2060,$I$7:I2060,I2060,$AI$7:AI2060,"yes"),"")</f>
        <v>3</v>
      </c>
      <c r="AH2060" s="110" t="str">
        <f aca="false">IF(ISNUMBER(H2060),"yes","no")</f>
        <v>yes</v>
      </c>
      <c r="AI2060" s="110" t="str">
        <f aca="false">IF(ISNUMBER(I2060),"yes","no")</f>
        <v>yes</v>
      </c>
      <c r="AJ2060" s="120" t="n">
        <v>46297</v>
      </c>
      <c r="AK2060" s="110"/>
    </row>
    <row r="2061" customFormat="false" ht="23.85" hidden="false" customHeight="false" outlineLevel="0" collapsed="false">
      <c r="B2061" s="36" t="s">
        <v>109</v>
      </c>
      <c r="C2061" s="98" t="s">
        <v>15</v>
      </c>
      <c r="D2061" s="98" t="s">
        <v>243</v>
      </c>
      <c r="E2061" s="110" t="s">
        <v>6316</v>
      </c>
      <c r="F2061" s="99" t="n">
        <v>1.88</v>
      </c>
      <c r="G2061" s="98" t="s">
        <v>244</v>
      </c>
      <c r="H2061" s="112" t="n">
        <f aca="false">IF(AND(AE2061="yes",ISNUMBER(AD2061)),AD2061,"")</f>
        <v>1.88</v>
      </c>
      <c r="I2061" s="95" t="n">
        <f aca="false">IF(AND(AE2061="yes",ISNUMBER(AD2061),ISNUMBER(INDEX(Sources!$G$7:$G$10,MATCH(AB2061,Sources!$B$7:$B$10,0)))),ROUND(AD2061/INDEX(Sources!$G$7:$G$10,MATCH(AB2061,Sources!$B$7:$B$10,0)),6),"")</f>
        <v>1.88</v>
      </c>
      <c r="J2061" s="98" t="s">
        <v>702</v>
      </c>
      <c r="K2061" s="98" t="s">
        <v>2059</v>
      </c>
      <c r="L2061" s="96"/>
      <c r="M2061" s="110" t="s">
        <v>6317</v>
      </c>
      <c r="N2061" s="117" t="s">
        <v>6318</v>
      </c>
      <c r="O2061" s="110" t="s">
        <v>388</v>
      </c>
      <c r="P2061" s="110" t="s">
        <v>590</v>
      </c>
      <c r="Q2061" s="118" t="n">
        <v>0.2</v>
      </c>
      <c r="R2061" s="110" t="n">
        <v>1</v>
      </c>
      <c r="S2061" s="110" t="s">
        <v>632</v>
      </c>
      <c r="T2061" s="110" t="s">
        <v>702</v>
      </c>
      <c r="U2061" s="110" t="s">
        <v>2913</v>
      </c>
      <c r="V2061" s="119" t="n">
        <v>1.88</v>
      </c>
      <c r="W2061" s="119"/>
      <c r="X2061" s="110" t="s">
        <v>2063</v>
      </c>
      <c r="Y2061" s="110" t="s">
        <v>2064</v>
      </c>
      <c r="Z2061" s="110"/>
      <c r="AA2061" s="110" t="s">
        <v>537</v>
      </c>
      <c r="AB2061" s="110" t="s">
        <v>244</v>
      </c>
      <c r="AC2061" s="110" t="s">
        <v>538</v>
      </c>
      <c r="AD2061" s="110" t="n">
        <f aca="false">IF(OR(F2061="",Q2061="",R2061=""),"",ROUND(IF(P2061="incl.",F2061/(1+Q2061),F2061)/IF(S2061="per pack",R2061,1),2))</f>
        <v>1.88</v>
      </c>
      <c r="AE2061" s="110" t="str">
        <f aca="false">IF(AND(AC2061="yes",ISNUMBER(F2061),IF(Compare!$H$5="All mapped",TRUE(),IF(Compare!$H$5="EXACT only",J2061="EXACT",OR(J2061="EXACT",J2061="CLOSE")))),"yes","no")</f>
        <v>yes</v>
      </c>
      <c r="AF2061" s="110" t="n">
        <f aca="false">IF(ISNUMBER(H2061),COUNTIFS($B$7:$B$3000,B2061,$C$7:$C$3000,C2061,$H$7:$H$3000,"&lt;"&amp;H2061,$AH$7:$AH$3000,"yes")+COUNTIFS($B$7:B2061,B2061,$C$7:C2061,C2061,$H$7:H2061,H2061,$AH$7:AH2061,"yes"),"")</f>
        <v>3</v>
      </c>
      <c r="AG2061" s="110" t="n">
        <f aca="false">IF(ISNUMBER(I2061),COUNTIFS($B$7:$B$3000,B2061,$C$7:$C$3000,C2061,$I$7:$I$3000,"&lt;"&amp;I2061,$AI$7:$AI$3000,"yes")+COUNTIFS($B$7:B2061,B2061,$C$7:C2061,C2061,$I$7:I2061,I2061,$AI$7:AI2061,"yes"),"")</f>
        <v>3</v>
      </c>
      <c r="AH2061" s="110" t="str">
        <f aca="false">IF(ISNUMBER(H2061),"yes","no")</f>
        <v>yes</v>
      </c>
      <c r="AI2061" s="110" t="str">
        <f aca="false">IF(ISNUMBER(I2061),"yes","no")</f>
        <v>yes</v>
      </c>
      <c r="AJ2061" s="120" t="n">
        <v>46297</v>
      </c>
      <c r="AK2061" s="110"/>
    </row>
    <row r="2062" customFormat="false" ht="23.85" hidden="false" customHeight="false" outlineLevel="0" collapsed="false">
      <c r="B2062" s="36" t="s">
        <v>109</v>
      </c>
      <c r="C2062" s="98" t="s">
        <v>15</v>
      </c>
      <c r="D2062" s="98" t="s">
        <v>257</v>
      </c>
      <c r="E2062" s="110" t="s">
        <v>6319</v>
      </c>
      <c r="F2062" s="99" t="n">
        <v>1.3</v>
      </c>
      <c r="G2062" s="98" t="s">
        <v>244</v>
      </c>
      <c r="H2062" s="112" t="n">
        <f aca="false">IF(AND(AE2062="yes",ISNUMBER(AD2062)),AD2062,"")</f>
        <v>1.3</v>
      </c>
      <c r="I2062" s="95" t="n">
        <f aca="false">IF(AND(AE2062="yes",ISNUMBER(AD2062),ISNUMBER(INDEX(Sources!$G$7:$G$10,MATCH(AB2062,Sources!$B$7:$B$10,0)))),ROUND(AD2062/INDEX(Sources!$G$7:$G$10,MATCH(AB2062,Sources!$B$7:$B$10,0)),6),"")</f>
        <v>1.3</v>
      </c>
      <c r="J2062" s="98" t="s">
        <v>530</v>
      </c>
      <c r="K2062" s="98" t="s">
        <v>2059</v>
      </c>
      <c r="L2062" s="96"/>
      <c r="M2062" s="110" t="s">
        <v>6320</v>
      </c>
      <c r="N2062" s="117" t="s">
        <v>6321</v>
      </c>
      <c r="O2062" s="110" t="s">
        <v>2396</v>
      </c>
      <c r="P2062" s="110" t="s">
        <v>590</v>
      </c>
      <c r="Q2062" s="118" t="n">
        <v>0.2</v>
      </c>
      <c r="R2062" s="110" t="n">
        <v>1</v>
      </c>
      <c r="S2062" s="110" t="s">
        <v>632</v>
      </c>
      <c r="T2062" s="110" t="s">
        <v>530</v>
      </c>
      <c r="U2062" s="110" t="s">
        <v>2913</v>
      </c>
      <c r="V2062" s="119" t="n">
        <v>1.3</v>
      </c>
      <c r="W2062" s="119"/>
      <c r="X2062" s="110" t="s">
        <v>2063</v>
      </c>
      <c r="Y2062" s="110" t="s">
        <v>2064</v>
      </c>
      <c r="Z2062" s="110" t="s">
        <v>4341</v>
      </c>
      <c r="AA2062" s="110" t="s">
        <v>537</v>
      </c>
      <c r="AB2062" s="110" t="s">
        <v>244</v>
      </c>
      <c r="AC2062" s="110" t="s">
        <v>538</v>
      </c>
      <c r="AD2062" s="110" t="n">
        <f aca="false">IF(OR(F2062="",Q2062="",R2062=""),"",ROUND(IF(P2062="incl.",F2062/(1+Q2062),F2062)/IF(S2062="per pack",R2062,1),2))</f>
        <v>1.3</v>
      </c>
      <c r="AE2062" s="110" t="str">
        <f aca="false">IF(AND(AC2062="yes",ISNUMBER(F2062),IF(Compare!$H$5="All mapped",TRUE(),IF(Compare!$H$5="EXACT only",J2062="EXACT",OR(J2062="EXACT",J2062="CLOSE")))),"yes","no")</f>
        <v>yes</v>
      </c>
      <c r="AF2062" s="110" t="n">
        <f aca="false">IF(ISNUMBER(H2062),COUNTIFS($B$7:$B$3000,B2062,$C$7:$C$3000,C2062,$H$7:$H$3000,"&lt;"&amp;H2062,$AH$7:$AH$3000,"yes")+COUNTIFS($B$7:B2062,B2062,$C$7:C2062,C2062,$H$7:H2062,H2062,$AH$7:AH2062,"yes"),"")</f>
        <v>1</v>
      </c>
      <c r="AG2062" s="110" t="n">
        <f aca="false">IF(ISNUMBER(I2062),COUNTIFS($B$7:$B$3000,B2062,$C$7:$C$3000,C2062,$I$7:$I$3000,"&lt;"&amp;I2062,$AI$7:$AI$3000,"yes")+COUNTIFS($B$7:B2062,B2062,$C$7:C2062,C2062,$I$7:I2062,I2062,$AI$7:AI2062,"yes"),"")</f>
        <v>1</v>
      </c>
      <c r="AH2062" s="110" t="str">
        <f aca="false">IF(ISNUMBER(H2062),"yes","no")</f>
        <v>yes</v>
      </c>
      <c r="AI2062" s="110" t="str">
        <f aca="false">IF(ISNUMBER(I2062),"yes","no")</f>
        <v>yes</v>
      </c>
      <c r="AJ2062" s="120" t="n">
        <v>46297</v>
      </c>
      <c r="AK2062" s="110"/>
    </row>
    <row r="2063" customFormat="false" ht="23.85" hidden="false" customHeight="false" outlineLevel="0" collapsed="false">
      <c r="B2063" s="36" t="s">
        <v>109</v>
      </c>
      <c r="C2063" s="98" t="s">
        <v>15</v>
      </c>
      <c r="D2063" s="98" t="s">
        <v>269</v>
      </c>
      <c r="E2063" s="110" t="s">
        <v>6322</v>
      </c>
      <c r="F2063" s="99" t="n">
        <v>3.49</v>
      </c>
      <c r="G2063" s="98" t="s">
        <v>244</v>
      </c>
      <c r="H2063" s="112" t="n">
        <f aca="false">IF(AND(AE2063="yes",ISNUMBER(AD2063)),AD2063,"")</f>
        <v>3.49</v>
      </c>
      <c r="I2063" s="95" t="n">
        <f aca="false">IF(AND(AE2063="yes",ISNUMBER(AD2063),ISNUMBER(INDEX(Sources!$G$7:$G$10,MATCH(AB2063,Sources!$B$7:$B$10,0)))),ROUND(AD2063/INDEX(Sources!$G$7:$G$10,MATCH(AB2063,Sources!$B$7:$B$10,0)),6),"")</f>
        <v>3.49</v>
      </c>
      <c r="J2063" s="98" t="s">
        <v>530</v>
      </c>
      <c r="K2063" s="98" t="s">
        <v>2059</v>
      </c>
      <c r="L2063" s="96"/>
      <c r="M2063" s="110" t="s">
        <v>6323</v>
      </c>
      <c r="N2063" s="117" t="s">
        <v>6324</v>
      </c>
      <c r="O2063" s="110" t="s">
        <v>589</v>
      </c>
      <c r="P2063" s="110" t="s">
        <v>590</v>
      </c>
      <c r="Q2063" s="118" t="n">
        <v>0.19</v>
      </c>
      <c r="R2063" s="110" t="n">
        <v>1</v>
      </c>
      <c r="S2063" s="110" t="s">
        <v>632</v>
      </c>
      <c r="T2063" s="110" t="s">
        <v>530</v>
      </c>
      <c r="U2063" s="110" t="s">
        <v>2913</v>
      </c>
      <c r="V2063" s="119" t="n">
        <v>3.49</v>
      </c>
      <c r="W2063" s="119"/>
      <c r="X2063" s="110" t="s">
        <v>2063</v>
      </c>
      <c r="Y2063" s="110" t="s">
        <v>2064</v>
      </c>
      <c r="Z2063" s="110" t="s">
        <v>4345</v>
      </c>
      <c r="AA2063" s="110" t="s">
        <v>537</v>
      </c>
      <c r="AB2063" s="110" t="s">
        <v>244</v>
      </c>
      <c r="AC2063" s="110" t="s">
        <v>538</v>
      </c>
      <c r="AD2063" s="110" t="n">
        <f aca="false">IF(OR(F2063="",Q2063="",R2063=""),"",ROUND(IF(P2063="incl.",F2063/(1+Q2063),F2063)/IF(S2063="per pack",R2063,1),2))</f>
        <v>3.49</v>
      </c>
      <c r="AE2063" s="110" t="str">
        <f aca="false">IF(AND(AC2063="yes",ISNUMBER(F2063),IF(Compare!$H$5="All mapped",TRUE(),IF(Compare!$H$5="EXACT only",J2063="EXACT",OR(J2063="EXACT",J2063="CLOSE")))),"yes","no")</f>
        <v>yes</v>
      </c>
      <c r="AF2063" s="110" t="n">
        <f aca="false">IF(ISNUMBER(H2063),COUNTIFS($B$7:$B$3000,B2063,$C$7:$C$3000,C2063,$H$7:$H$3000,"&lt;"&amp;H2063,$AH$7:$AH$3000,"yes")+COUNTIFS($B$7:B2063,B2063,$C$7:C2063,C2063,$H$7:H2063,H2063,$AH$7:AH2063,"yes"),"")</f>
        <v>5</v>
      </c>
      <c r="AG2063" s="110" t="n">
        <f aca="false">IF(ISNUMBER(I2063),COUNTIFS($B$7:$B$3000,B2063,$C$7:$C$3000,C2063,$I$7:$I$3000,"&lt;"&amp;I2063,$AI$7:$AI$3000,"yes")+COUNTIFS($B$7:B2063,B2063,$C$7:C2063,C2063,$I$7:I2063,I2063,$AI$7:AI2063,"yes"),"")</f>
        <v>5</v>
      </c>
      <c r="AH2063" s="110" t="str">
        <f aca="false">IF(ISNUMBER(H2063),"yes","no")</f>
        <v>yes</v>
      </c>
      <c r="AI2063" s="110" t="str">
        <f aca="false">IF(ISNUMBER(I2063),"yes","no")</f>
        <v>yes</v>
      </c>
      <c r="AJ2063" s="120" t="n">
        <v>46297</v>
      </c>
      <c r="AK2063" s="110"/>
    </row>
    <row r="2064" customFormat="false" ht="35.05" hidden="false" customHeight="false" outlineLevel="0" collapsed="false">
      <c r="B2064" s="36" t="s">
        <v>109</v>
      </c>
      <c r="C2064" s="98" t="s">
        <v>15</v>
      </c>
      <c r="D2064" s="98" t="s">
        <v>264</v>
      </c>
      <c r="E2064" s="110" t="s">
        <v>6325</v>
      </c>
      <c r="F2064" s="99" t="n">
        <v>11.7</v>
      </c>
      <c r="G2064" s="98" t="s">
        <v>244</v>
      </c>
      <c r="H2064" s="112" t="n">
        <f aca="false">IF(AND(AE2064="yes",ISNUMBER(AD2064)),AD2064,"")</f>
        <v>11.7</v>
      </c>
      <c r="I2064" s="95" t="n">
        <f aca="false">IF(AND(AE2064="yes",ISNUMBER(AD2064),ISNUMBER(INDEX(Sources!$G$7:$G$10,MATCH(AB2064,Sources!$B$7:$B$10,0)))),ROUND(AD2064/INDEX(Sources!$G$7:$G$10,MATCH(AB2064,Sources!$B$7:$B$10,0)),6),"")</f>
        <v>11.7</v>
      </c>
      <c r="J2064" s="98" t="s">
        <v>702</v>
      </c>
      <c r="K2064" s="98" t="s">
        <v>2059</v>
      </c>
      <c r="L2064" s="96"/>
      <c r="M2064" s="110" t="s">
        <v>6326</v>
      </c>
      <c r="N2064" s="117" t="s">
        <v>6327</v>
      </c>
      <c r="O2064" s="110" t="s">
        <v>388</v>
      </c>
      <c r="P2064" s="110" t="s">
        <v>590</v>
      </c>
      <c r="Q2064" s="118" t="n">
        <v>0.19</v>
      </c>
      <c r="R2064" s="110" t="n">
        <v>1</v>
      </c>
      <c r="S2064" s="110" t="s">
        <v>632</v>
      </c>
      <c r="T2064" s="110" t="s">
        <v>702</v>
      </c>
      <c r="U2064" s="110" t="s">
        <v>2913</v>
      </c>
      <c r="V2064" s="119" t="n">
        <v>11.7</v>
      </c>
      <c r="W2064" s="119"/>
      <c r="X2064" s="110" t="s">
        <v>2063</v>
      </c>
      <c r="Y2064" s="110" t="s">
        <v>2064</v>
      </c>
      <c r="Z2064" s="110"/>
      <c r="AA2064" s="110" t="s">
        <v>537</v>
      </c>
      <c r="AB2064" s="110" t="s">
        <v>244</v>
      </c>
      <c r="AC2064" s="110" t="s">
        <v>538</v>
      </c>
      <c r="AD2064" s="110" t="n">
        <f aca="false">IF(OR(F2064="",Q2064="",R2064=""),"",ROUND(IF(P2064="incl.",F2064/(1+Q2064),F2064)/IF(S2064="per pack",R2064,1),2))</f>
        <v>11.7</v>
      </c>
      <c r="AE2064" s="110" t="str">
        <f aca="false">IF(AND(AC2064="yes",ISNUMBER(F2064),IF(Compare!$H$5="All mapped",TRUE(),IF(Compare!$H$5="EXACT only",J2064="EXACT",OR(J2064="EXACT",J2064="CLOSE")))),"yes","no")</f>
        <v>yes</v>
      </c>
      <c r="AF2064" s="110" t="n">
        <f aca="false">IF(ISNUMBER(H2064),COUNTIFS($B$7:$B$3000,B2064,$C$7:$C$3000,C2064,$H$7:$H$3000,"&lt;"&amp;H2064,$AH$7:$AH$3000,"yes")+COUNTIFS($B$7:B2064,B2064,$C$7:C2064,C2064,$H$7:H2064,H2064,$AH$7:AH2064,"yes"),"")</f>
        <v>7</v>
      </c>
      <c r="AG2064" s="110" t="n">
        <f aca="false">IF(ISNUMBER(I2064),COUNTIFS($B$7:$B$3000,B2064,$C$7:$C$3000,C2064,$I$7:$I$3000,"&lt;"&amp;I2064,$AI$7:$AI$3000,"yes")+COUNTIFS($B$7:B2064,B2064,$C$7:C2064,C2064,$I$7:I2064,I2064,$AI$7:AI2064,"yes"),"")</f>
        <v>7</v>
      </c>
      <c r="AH2064" s="110" t="str">
        <f aca="false">IF(ISNUMBER(H2064),"yes","no")</f>
        <v>yes</v>
      </c>
      <c r="AI2064" s="110" t="str">
        <f aca="false">IF(ISNUMBER(I2064),"yes","no")</f>
        <v>yes</v>
      </c>
      <c r="AJ2064" s="120" t="n">
        <v>46297</v>
      </c>
      <c r="AK2064" s="110"/>
    </row>
    <row r="2065" customFormat="false" ht="35.05" hidden="false" customHeight="false" outlineLevel="0" collapsed="false">
      <c r="B2065" s="36" t="s">
        <v>109</v>
      </c>
      <c r="C2065" s="98" t="s">
        <v>15</v>
      </c>
      <c r="D2065" s="98" t="s">
        <v>273</v>
      </c>
      <c r="E2065" s="110" t="s">
        <v>6328</v>
      </c>
      <c r="F2065" s="99" t="n">
        <v>5.69</v>
      </c>
      <c r="G2065" s="98" t="s">
        <v>244</v>
      </c>
      <c r="H2065" s="112" t="n">
        <f aca="false">IF(AND(AE2065="yes",ISNUMBER(AD2065)),AD2065,"")</f>
        <v>4.74</v>
      </c>
      <c r="I2065" s="95" t="n">
        <f aca="false">IF(AND(AE2065="yes",ISNUMBER(AD2065),ISNUMBER(INDEX(Sources!$G$7:$G$10,MATCH(AB2065,Sources!$B$7:$B$10,0)))),ROUND(AD2065/INDEX(Sources!$G$7:$G$10,MATCH(AB2065,Sources!$B$7:$B$10,0)),6),"")</f>
        <v>4.74</v>
      </c>
      <c r="J2065" s="98" t="s">
        <v>530</v>
      </c>
      <c r="K2065" s="98" t="s">
        <v>2059</v>
      </c>
      <c r="L2065" s="96"/>
      <c r="M2065" s="110" t="s">
        <v>6329</v>
      </c>
      <c r="N2065" s="117" t="s">
        <v>6330</v>
      </c>
      <c r="O2065" s="110" t="s">
        <v>642</v>
      </c>
      <c r="P2065" s="110" t="s">
        <v>265</v>
      </c>
      <c r="Q2065" s="118" t="n">
        <v>0.2</v>
      </c>
      <c r="R2065" s="110" t="n">
        <v>1</v>
      </c>
      <c r="S2065" s="110" t="s">
        <v>632</v>
      </c>
      <c r="T2065" s="110" t="s">
        <v>530</v>
      </c>
      <c r="U2065" s="110" t="s">
        <v>2918</v>
      </c>
      <c r="V2065" s="119" t="n">
        <v>4.74</v>
      </c>
      <c r="W2065" s="119"/>
      <c r="X2065" s="110" t="s">
        <v>2063</v>
      </c>
      <c r="Y2065" s="110" t="s">
        <v>2064</v>
      </c>
      <c r="Z2065" s="110"/>
      <c r="AA2065" s="110" t="s">
        <v>537</v>
      </c>
      <c r="AB2065" s="110" t="s">
        <v>244</v>
      </c>
      <c r="AC2065" s="110" t="s">
        <v>538</v>
      </c>
      <c r="AD2065" s="110" t="n">
        <f aca="false">IF(OR(F2065="",Q2065="",R2065=""),"",ROUND(IF(P2065="incl.",F2065/(1+Q2065),F2065)/IF(S2065="per pack",R2065,1),2))</f>
        <v>4.74</v>
      </c>
      <c r="AE2065" s="110" t="str">
        <f aca="false">IF(AND(AC2065="yes",ISNUMBER(F2065),IF(Compare!$H$5="All mapped",TRUE(),IF(Compare!$H$5="EXACT only",J2065="EXACT",OR(J2065="EXACT",J2065="CLOSE")))),"yes","no")</f>
        <v>yes</v>
      </c>
      <c r="AF2065" s="110" t="n">
        <f aca="false">IF(ISNUMBER(H2065),COUNTIFS($B$7:$B$3000,B2065,$C$7:$C$3000,C2065,$H$7:$H$3000,"&lt;"&amp;H2065,$AH$7:$AH$3000,"yes")+COUNTIFS($B$7:B2065,B2065,$C$7:C2065,C2065,$H$7:H2065,H2065,$AH$7:AH2065,"yes"),"")</f>
        <v>6</v>
      </c>
      <c r="AG2065" s="110" t="n">
        <f aca="false">IF(ISNUMBER(I2065),COUNTIFS($B$7:$B$3000,B2065,$C$7:$C$3000,C2065,$I$7:$I$3000,"&lt;"&amp;I2065,$AI$7:$AI$3000,"yes")+COUNTIFS($B$7:B2065,B2065,$C$7:C2065,C2065,$I$7:I2065,I2065,$AI$7:AI2065,"yes"),"")</f>
        <v>6</v>
      </c>
      <c r="AH2065" s="110" t="str">
        <f aca="false">IF(ISNUMBER(H2065),"yes","no")</f>
        <v>yes</v>
      </c>
      <c r="AI2065" s="110" t="str">
        <f aca="false">IF(ISNUMBER(I2065),"yes","no")</f>
        <v>yes</v>
      </c>
      <c r="AJ2065" s="120" t="n">
        <v>46297</v>
      </c>
      <c r="AK2065" s="110"/>
    </row>
    <row r="2066" customFormat="false" ht="57.45" hidden="false" customHeight="false" outlineLevel="0" collapsed="false">
      <c r="B2066" s="36" t="s">
        <v>109</v>
      </c>
      <c r="C2066" s="98" t="s">
        <v>15</v>
      </c>
      <c r="D2066" s="98" t="s">
        <v>281</v>
      </c>
      <c r="E2066" s="110" t="s">
        <v>6331</v>
      </c>
      <c r="F2066" s="99" t="n">
        <v>2.02</v>
      </c>
      <c r="G2066" s="98" t="s">
        <v>244</v>
      </c>
      <c r="H2066" s="112" t="n">
        <f aca="false">IF(AND(AE2066="yes",ISNUMBER(AD2066)),AD2066,"")</f>
        <v>2.02</v>
      </c>
      <c r="I2066" s="95" t="n">
        <f aca="false">IF(AND(AE2066="yes",ISNUMBER(AD2066),ISNUMBER(INDEX(Sources!$G$7:$G$10,MATCH(AB2066,Sources!$B$7:$B$10,0)))),ROUND(AD2066/INDEX(Sources!$G$7:$G$10,MATCH(AB2066,Sources!$B$7:$B$10,0)),6),"")</f>
        <v>2.02</v>
      </c>
      <c r="J2066" s="98" t="s">
        <v>702</v>
      </c>
      <c r="K2066" s="98" t="s">
        <v>2059</v>
      </c>
      <c r="L2066" s="96"/>
      <c r="M2066" s="110" t="s">
        <v>6332</v>
      </c>
      <c r="N2066" s="117" t="s">
        <v>6333</v>
      </c>
      <c r="O2066" s="110" t="s">
        <v>603</v>
      </c>
      <c r="P2066" s="110" t="s">
        <v>590</v>
      </c>
      <c r="Q2066" s="118" t="n">
        <v>0.2</v>
      </c>
      <c r="R2066" s="110" t="n">
        <v>1</v>
      </c>
      <c r="S2066" s="110" t="s">
        <v>632</v>
      </c>
      <c r="T2066" s="110" t="s">
        <v>702</v>
      </c>
      <c r="U2066" s="110" t="s">
        <v>2913</v>
      </c>
      <c r="V2066" s="119" t="n">
        <v>2.02</v>
      </c>
      <c r="W2066" s="119"/>
      <c r="X2066" s="110" t="s">
        <v>2063</v>
      </c>
      <c r="Y2066" s="110" t="s">
        <v>2064</v>
      </c>
      <c r="Z2066" s="110" t="s">
        <v>2125</v>
      </c>
      <c r="AA2066" s="110" t="s">
        <v>537</v>
      </c>
      <c r="AB2066" s="110" t="s">
        <v>244</v>
      </c>
      <c r="AC2066" s="110" t="s">
        <v>538</v>
      </c>
      <c r="AD2066" s="110" t="n">
        <f aca="false">IF(OR(F2066="",Q2066="",R2066=""),"",ROUND(IF(P2066="incl.",F2066/(1+Q2066),F2066)/IF(S2066="per pack",R2066,1),2))</f>
        <v>2.02</v>
      </c>
      <c r="AE2066" s="110" t="str">
        <f aca="false">IF(AND(AC2066="yes",ISNUMBER(F2066),IF(Compare!$H$5="All mapped",TRUE(),IF(Compare!$H$5="EXACT only",J2066="EXACT",OR(J2066="EXACT",J2066="CLOSE")))),"yes","no")</f>
        <v>yes</v>
      </c>
      <c r="AF2066" s="110" t="n">
        <f aca="false">IF(ISNUMBER(H2066),COUNTIFS($B$7:$B$3000,B2066,$C$7:$C$3000,C2066,$H$7:$H$3000,"&lt;"&amp;H2066,$AH$7:$AH$3000,"yes")+COUNTIFS($B$7:B2066,B2066,$C$7:C2066,C2066,$H$7:H2066,H2066,$AH$7:AH2066,"yes"),"")</f>
        <v>4</v>
      </c>
      <c r="AG2066" s="110" t="n">
        <f aca="false">IF(ISNUMBER(I2066),COUNTIFS($B$7:$B$3000,B2066,$C$7:$C$3000,C2066,$I$7:$I$3000,"&lt;"&amp;I2066,$AI$7:$AI$3000,"yes")+COUNTIFS($B$7:B2066,B2066,$C$7:C2066,C2066,$I$7:I2066,I2066,$AI$7:AI2066,"yes"),"")</f>
        <v>4</v>
      </c>
      <c r="AH2066" s="110" t="str">
        <f aca="false">IF(ISNUMBER(H2066),"yes","no")</f>
        <v>yes</v>
      </c>
      <c r="AI2066" s="110" t="str">
        <f aca="false">IF(ISNUMBER(I2066),"yes","no")</f>
        <v>yes</v>
      </c>
      <c r="AJ2066" s="120" t="n">
        <v>46297</v>
      </c>
      <c r="AK2066" s="110"/>
    </row>
    <row r="2067" customFormat="false" ht="35.05" hidden="false" customHeight="false" outlineLevel="0" collapsed="false">
      <c r="B2067" s="36" t="s">
        <v>109</v>
      </c>
      <c r="C2067" s="98" t="s">
        <v>15</v>
      </c>
      <c r="D2067" s="98" t="s">
        <v>293</v>
      </c>
      <c r="E2067" s="110" t="s">
        <v>6334</v>
      </c>
      <c r="F2067" s="99" t="n">
        <v>1.8</v>
      </c>
      <c r="G2067" s="98" t="s">
        <v>244</v>
      </c>
      <c r="H2067" s="112" t="n">
        <f aca="false">IF(AND(AE2067="yes",ISNUMBER(AD2067)),AD2067,"")</f>
        <v>1.8</v>
      </c>
      <c r="I2067" s="95" t="n">
        <f aca="false">IF(AND(AE2067="yes",ISNUMBER(AD2067),ISNUMBER(INDEX(Sources!$G$7:$G$10,MATCH(AB2067,Sources!$B$7:$B$10,0)))),ROUND(AD2067/INDEX(Sources!$G$7:$G$10,MATCH(AB2067,Sources!$B$7:$B$10,0)),6),"")</f>
        <v>1.8</v>
      </c>
      <c r="J2067" s="98" t="s">
        <v>530</v>
      </c>
      <c r="K2067" s="98" t="s">
        <v>2059</v>
      </c>
      <c r="L2067" s="96"/>
      <c r="M2067" s="110" t="s">
        <v>6335</v>
      </c>
      <c r="N2067" s="117" t="s">
        <v>6336</v>
      </c>
      <c r="O2067" s="110" t="s">
        <v>4358</v>
      </c>
      <c r="P2067" s="110" t="s">
        <v>590</v>
      </c>
      <c r="Q2067" s="118" t="n">
        <v>0.2</v>
      </c>
      <c r="R2067" s="110" t="n">
        <v>1</v>
      </c>
      <c r="S2067" s="110" t="s">
        <v>632</v>
      </c>
      <c r="T2067" s="110" t="s">
        <v>530</v>
      </c>
      <c r="U2067" s="110" t="s">
        <v>2913</v>
      </c>
      <c r="V2067" s="119" t="n">
        <v>1.8</v>
      </c>
      <c r="W2067" s="119"/>
      <c r="X2067" s="110" t="s">
        <v>2063</v>
      </c>
      <c r="Y2067" s="110" t="s">
        <v>2064</v>
      </c>
      <c r="Z2067" s="110"/>
      <c r="AA2067" s="110" t="s">
        <v>537</v>
      </c>
      <c r="AB2067" s="110" t="s">
        <v>244</v>
      </c>
      <c r="AC2067" s="110" t="s">
        <v>538</v>
      </c>
      <c r="AD2067" s="110" t="n">
        <f aca="false">IF(OR(F2067="",Q2067="",R2067=""),"",ROUND(IF(P2067="incl.",F2067/(1+Q2067),F2067)/IF(S2067="per pack",R2067,1),2))</f>
        <v>1.8</v>
      </c>
      <c r="AE2067" s="110" t="str">
        <f aca="false">IF(AND(AC2067="yes",ISNUMBER(F2067),IF(Compare!$H$5="All mapped",TRUE(),IF(Compare!$H$5="EXACT only",J2067="EXACT",OR(J2067="EXACT",J2067="CLOSE")))),"yes","no")</f>
        <v>yes</v>
      </c>
      <c r="AF2067" s="110" t="n">
        <f aca="false">IF(ISNUMBER(H2067),COUNTIFS($B$7:$B$3000,B2067,$C$7:$C$3000,C2067,$H$7:$H$3000,"&lt;"&amp;H2067,$AH$7:$AH$3000,"yes")+COUNTIFS($B$7:B2067,B2067,$C$7:C2067,C2067,$H$7:H2067,H2067,$AH$7:AH2067,"yes"),"")</f>
        <v>2</v>
      </c>
      <c r="AG2067" s="110" t="n">
        <f aca="false">IF(ISNUMBER(I2067),COUNTIFS($B$7:$B$3000,B2067,$C$7:$C$3000,C2067,$I$7:$I$3000,"&lt;"&amp;I2067,$AI$7:$AI$3000,"yes")+COUNTIFS($B$7:B2067,B2067,$C$7:C2067,C2067,$I$7:I2067,I2067,$AI$7:AI2067,"yes"),"")</f>
        <v>2</v>
      </c>
      <c r="AH2067" s="110" t="str">
        <f aca="false">IF(ISNUMBER(H2067),"yes","no")</f>
        <v>yes</v>
      </c>
      <c r="AI2067" s="110" t="str">
        <f aca="false">IF(ISNUMBER(I2067),"yes","no")</f>
        <v>yes</v>
      </c>
      <c r="AJ2067" s="120" t="n">
        <v>46297</v>
      </c>
      <c r="AK2067" s="110"/>
    </row>
    <row r="2068" customFormat="false" ht="23.85" hidden="false" customHeight="false" outlineLevel="0" collapsed="false">
      <c r="B2068" s="36" t="s">
        <v>109</v>
      </c>
      <c r="C2068" s="98" t="s">
        <v>16</v>
      </c>
      <c r="D2068" s="98" t="s">
        <v>296</v>
      </c>
      <c r="E2068" s="110" t="s">
        <v>6337</v>
      </c>
      <c r="F2068" s="99" t="n">
        <v>2.05</v>
      </c>
      <c r="G2068" s="98" t="s">
        <v>244</v>
      </c>
      <c r="H2068" s="112" t="n">
        <f aca="false">IF(AND(AE2068="yes",ISNUMBER(AD2068)),AD2068,"")</f>
        <v>2.05</v>
      </c>
      <c r="I2068" s="95" t="n">
        <f aca="false">IF(AND(AE2068="yes",ISNUMBER(AD2068),ISNUMBER(INDEX(Sources!$G$7:$G$10,MATCH(AB2068,Sources!$B$7:$B$10,0)))),ROUND(AD2068/INDEX(Sources!$G$7:$G$10,MATCH(AB2068,Sources!$B$7:$B$10,0)),6),"")</f>
        <v>2.05</v>
      </c>
      <c r="J2068" s="98" t="s">
        <v>530</v>
      </c>
      <c r="K2068" s="98" t="s">
        <v>2059</v>
      </c>
      <c r="L2068" s="96"/>
      <c r="M2068" s="110" t="s">
        <v>6338</v>
      </c>
      <c r="N2068" s="117" t="s">
        <v>6339</v>
      </c>
      <c r="O2068" s="110" t="s">
        <v>4362</v>
      </c>
      <c r="P2068" s="110" t="s">
        <v>590</v>
      </c>
      <c r="Q2068" s="118" t="n">
        <v>0.19</v>
      </c>
      <c r="R2068" s="110" t="n">
        <v>1</v>
      </c>
      <c r="S2068" s="110" t="s">
        <v>632</v>
      </c>
      <c r="T2068" s="110" t="s">
        <v>530</v>
      </c>
      <c r="U2068" s="110" t="s">
        <v>2913</v>
      </c>
      <c r="V2068" s="119" t="n">
        <v>2.05</v>
      </c>
      <c r="W2068" s="119"/>
      <c r="X2068" s="110" t="s">
        <v>2063</v>
      </c>
      <c r="Y2068" s="110" t="s">
        <v>2064</v>
      </c>
      <c r="Z2068" s="110" t="s">
        <v>2164</v>
      </c>
      <c r="AA2068" s="110" t="s">
        <v>537</v>
      </c>
      <c r="AB2068" s="110" t="s">
        <v>244</v>
      </c>
      <c r="AC2068" s="110" t="s">
        <v>538</v>
      </c>
      <c r="AD2068" s="110" t="n">
        <f aca="false">IF(OR(F2068="",Q2068="",R2068=""),"",ROUND(IF(P2068="incl.",F2068/(1+Q2068),F2068)/IF(S2068="per pack",R2068,1),2))</f>
        <v>2.05</v>
      </c>
      <c r="AE2068" s="110" t="str">
        <f aca="false">IF(AND(AC2068="yes",ISNUMBER(F2068),IF(Compare!$H$5="All mapped",TRUE(),IF(Compare!$H$5="EXACT only",J2068="EXACT",OR(J2068="EXACT",J2068="CLOSE")))),"yes","no")</f>
        <v>yes</v>
      </c>
      <c r="AF2068" s="110" t="n">
        <f aca="false">IF(ISNUMBER(H2068),COUNTIFS($B$7:$B$3000,B2068,$C$7:$C$3000,C2068,$H$7:$H$3000,"&lt;"&amp;H2068,$AH$7:$AH$3000,"yes")+COUNTIFS($B$7:B2068,B2068,$C$7:C2068,C2068,$H$7:H2068,H2068,$AH$7:AH2068,"yes"),"")</f>
        <v>6</v>
      </c>
      <c r="AG2068" s="110" t="n">
        <f aca="false">IF(ISNUMBER(I2068),COUNTIFS($B$7:$B$3000,B2068,$C$7:$C$3000,C2068,$I$7:$I$3000,"&lt;"&amp;I2068,$AI$7:$AI$3000,"yes")+COUNTIFS($B$7:B2068,B2068,$C$7:C2068,C2068,$I$7:I2068,I2068,$AI$7:AI2068,"yes"),"")</f>
        <v>6</v>
      </c>
      <c r="AH2068" s="110" t="str">
        <f aca="false">IF(ISNUMBER(H2068),"yes","no")</f>
        <v>yes</v>
      </c>
      <c r="AI2068" s="110" t="str">
        <f aca="false">IF(ISNUMBER(I2068),"yes","no")</f>
        <v>yes</v>
      </c>
      <c r="AJ2068" s="120" t="n">
        <v>46297</v>
      </c>
      <c r="AK2068" s="110"/>
    </row>
    <row r="2069" customFormat="false" ht="35.05" hidden="false" customHeight="false" outlineLevel="0" collapsed="false">
      <c r="B2069" s="36" t="s">
        <v>109</v>
      </c>
      <c r="C2069" s="98" t="s">
        <v>16</v>
      </c>
      <c r="D2069" s="98" t="s">
        <v>317</v>
      </c>
      <c r="E2069" s="110" t="s">
        <v>6340</v>
      </c>
      <c r="F2069" s="99" t="n">
        <v>11.99</v>
      </c>
      <c r="G2069" s="98" t="s">
        <v>244</v>
      </c>
      <c r="H2069" s="112" t="n">
        <f aca="false">IF(AND(AE2069="yes",ISNUMBER(AD2069)),AD2069,"")</f>
        <v>2</v>
      </c>
      <c r="I2069" s="95" t="n">
        <f aca="false">IF(AND(AE2069="yes",ISNUMBER(AD2069),ISNUMBER(INDEX(Sources!$G$7:$G$10,MATCH(AB2069,Sources!$B$7:$B$10,0)))),ROUND(AD2069/INDEX(Sources!$G$7:$G$10,MATCH(AB2069,Sources!$B$7:$B$10,0)),6),"")</f>
        <v>2</v>
      </c>
      <c r="J2069" s="98" t="s">
        <v>702</v>
      </c>
      <c r="K2069" s="98" t="s">
        <v>2059</v>
      </c>
      <c r="L2069" s="96"/>
      <c r="M2069" s="110" t="s">
        <v>6341</v>
      </c>
      <c r="N2069" s="117" t="s">
        <v>6342</v>
      </c>
      <c r="O2069" s="110" t="s">
        <v>642</v>
      </c>
      <c r="P2069" s="110" t="s">
        <v>590</v>
      </c>
      <c r="Q2069" s="118" t="n">
        <v>0.19</v>
      </c>
      <c r="R2069" s="110" t="n">
        <v>6</v>
      </c>
      <c r="S2069" s="110" t="s">
        <v>625</v>
      </c>
      <c r="T2069" s="110" t="s">
        <v>702</v>
      </c>
      <c r="U2069" s="110" t="s">
        <v>2913</v>
      </c>
      <c r="V2069" s="119" t="n">
        <v>2</v>
      </c>
      <c r="W2069" s="119"/>
      <c r="X2069" s="110" t="s">
        <v>2063</v>
      </c>
      <c r="Y2069" s="110" t="s">
        <v>2064</v>
      </c>
      <c r="Z2069" s="110" t="s">
        <v>2638</v>
      </c>
      <c r="AA2069" s="110" t="s">
        <v>537</v>
      </c>
      <c r="AB2069" s="110" t="s">
        <v>244</v>
      </c>
      <c r="AC2069" s="110" t="s">
        <v>538</v>
      </c>
      <c r="AD2069" s="110" t="n">
        <f aca="false">IF(OR(F2069="",Q2069="",R2069=""),"",ROUND(IF(P2069="incl.",F2069/(1+Q2069),F2069)/IF(S2069="per pack",R2069,1),2))</f>
        <v>2</v>
      </c>
      <c r="AE2069" s="110" t="str">
        <f aca="false">IF(AND(AC2069="yes",ISNUMBER(F2069),IF(Compare!$H$5="All mapped",TRUE(),IF(Compare!$H$5="EXACT only",J2069="EXACT",OR(J2069="EXACT",J2069="CLOSE")))),"yes","no")</f>
        <v>yes</v>
      </c>
      <c r="AF2069" s="110" t="n">
        <f aca="false">IF(ISNUMBER(H2069),COUNTIFS($B$7:$B$3000,B2069,$C$7:$C$3000,C2069,$H$7:$H$3000,"&lt;"&amp;H2069,$AH$7:$AH$3000,"yes")+COUNTIFS($B$7:B2069,B2069,$C$7:C2069,C2069,$H$7:H2069,H2069,$AH$7:AH2069,"yes"),"")</f>
        <v>4</v>
      </c>
      <c r="AG2069" s="110" t="n">
        <f aca="false">IF(ISNUMBER(I2069),COUNTIFS($B$7:$B$3000,B2069,$C$7:$C$3000,C2069,$I$7:$I$3000,"&lt;"&amp;I2069,$AI$7:$AI$3000,"yes")+COUNTIFS($B$7:B2069,B2069,$C$7:C2069,C2069,$I$7:I2069,I2069,$AI$7:AI2069,"yes"),"")</f>
        <v>4</v>
      </c>
      <c r="AH2069" s="110" t="str">
        <f aca="false">IF(ISNUMBER(H2069),"yes","no")</f>
        <v>yes</v>
      </c>
      <c r="AI2069" s="110" t="str">
        <f aca="false">IF(ISNUMBER(I2069),"yes","no")</f>
        <v>yes</v>
      </c>
      <c r="AJ2069" s="120" t="n">
        <v>46297</v>
      </c>
      <c r="AK2069" s="110"/>
    </row>
    <row r="2070" customFormat="false" ht="23.85" hidden="false" customHeight="false" outlineLevel="0" collapsed="false">
      <c r="B2070" s="36" t="s">
        <v>109</v>
      </c>
      <c r="C2070" s="98" t="s">
        <v>16</v>
      </c>
      <c r="D2070" s="98" t="s">
        <v>305</v>
      </c>
      <c r="E2070" s="110" t="s">
        <v>6343</v>
      </c>
      <c r="F2070" s="99" t="n">
        <v>1.81</v>
      </c>
      <c r="G2070" s="98" t="s">
        <v>244</v>
      </c>
      <c r="H2070" s="112" t="n">
        <f aca="false">IF(AND(AE2070="yes",ISNUMBER(AD2070)),AD2070,"")</f>
        <v>1.81</v>
      </c>
      <c r="I2070" s="95" t="n">
        <f aca="false">IF(AND(AE2070="yes",ISNUMBER(AD2070),ISNUMBER(INDEX(Sources!$G$7:$G$10,MATCH(AB2070,Sources!$B$7:$B$10,0)))),ROUND(AD2070/INDEX(Sources!$G$7:$G$10,MATCH(AB2070,Sources!$B$7:$B$10,0)),6),"")</f>
        <v>1.81</v>
      </c>
      <c r="J2070" s="98" t="s">
        <v>530</v>
      </c>
      <c r="K2070" s="98" t="s">
        <v>2059</v>
      </c>
      <c r="L2070" s="96"/>
      <c r="M2070" s="110" t="s">
        <v>6344</v>
      </c>
      <c r="N2070" s="117" t="s">
        <v>6345</v>
      </c>
      <c r="O2070" s="110" t="s">
        <v>603</v>
      </c>
      <c r="P2070" s="110" t="s">
        <v>590</v>
      </c>
      <c r="Q2070" s="118" t="n">
        <v>0.19</v>
      </c>
      <c r="R2070" s="110" t="n">
        <v>1</v>
      </c>
      <c r="S2070" s="110" t="s">
        <v>632</v>
      </c>
      <c r="T2070" s="110" t="s">
        <v>530</v>
      </c>
      <c r="U2070" s="110" t="s">
        <v>2913</v>
      </c>
      <c r="V2070" s="119" t="n">
        <v>1.81</v>
      </c>
      <c r="W2070" s="119"/>
      <c r="X2070" s="110" t="s">
        <v>2063</v>
      </c>
      <c r="Y2070" s="110" t="s">
        <v>2064</v>
      </c>
      <c r="Z2070" s="110" t="s">
        <v>2142</v>
      </c>
      <c r="AA2070" s="110" t="s">
        <v>537</v>
      </c>
      <c r="AB2070" s="110" t="s">
        <v>244</v>
      </c>
      <c r="AC2070" s="110" t="s">
        <v>538</v>
      </c>
      <c r="AD2070" s="110" t="n">
        <f aca="false">IF(OR(F2070="",Q2070="",R2070=""),"",ROUND(IF(P2070="incl.",F2070/(1+Q2070),F2070)/IF(S2070="per pack",R2070,1),2))</f>
        <v>1.81</v>
      </c>
      <c r="AE2070" s="110" t="str">
        <f aca="false">IF(AND(AC2070="yes",ISNUMBER(F2070),IF(Compare!$H$5="All mapped",TRUE(),IF(Compare!$H$5="EXACT only",J2070="EXACT",OR(J2070="EXACT",J2070="CLOSE")))),"yes","no")</f>
        <v>yes</v>
      </c>
      <c r="AF2070" s="110" t="n">
        <f aca="false">IF(ISNUMBER(H2070),COUNTIFS($B$7:$B$3000,B2070,$C$7:$C$3000,C2070,$H$7:$H$3000,"&lt;"&amp;H2070,$AH$7:$AH$3000,"yes")+COUNTIFS($B$7:B2070,B2070,$C$7:C2070,C2070,$H$7:H2070,H2070,$AH$7:AH2070,"yes"),"")</f>
        <v>2</v>
      </c>
      <c r="AG2070" s="110" t="n">
        <f aca="false">IF(ISNUMBER(I2070),COUNTIFS($B$7:$B$3000,B2070,$C$7:$C$3000,C2070,$I$7:$I$3000,"&lt;"&amp;I2070,$AI$7:$AI$3000,"yes")+COUNTIFS($B$7:B2070,B2070,$C$7:C2070,C2070,$I$7:I2070,I2070,$AI$7:AI2070,"yes"),"")</f>
        <v>2</v>
      </c>
      <c r="AH2070" s="110" t="str">
        <f aca="false">IF(ISNUMBER(H2070),"yes","no")</f>
        <v>yes</v>
      </c>
      <c r="AI2070" s="110" t="str">
        <f aca="false">IF(ISNUMBER(I2070),"yes","no")</f>
        <v>yes</v>
      </c>
      <c r="AJ2070" s="120" t="n">
        <v>46297</v>
      </c>
      <c r="AK2070" s="110"/>
    </row>
    <row r="2071" customFormat="false" ht="23.85" hidden="false" customHeight="false" outlineLevel="0" collapsed="false">
      <c r="B2071" s="36" t="s">
        <v>109</v>
      </c>
      <c r="C2071" s="98" t="s">
        <v>16</v>
      </c>
      <c r="D2071" s="98" t="s">
        <v>311</v>
      </c>
      <c r="E2071" s="110" t="s">
        <v>6322</v>
      </c>
      <c r="F2071" s="99" t="n">
        <v>1.89</v>
      </c>
      <c r="G2071" s="98" t="s">
        <v>244</v>
      </c>
      <c r="H2071" s="112" t="n">
        <f aca="false">IF(AND(AE2071="yes",ISNUMBER(AD2071)),AD2071,"")</f>
        <v>1.89</v>
      </c>
      <c r="I2071" s="95" t="n">
        <f aca="false">IF(AND(AE2071="yes",ISNUMBER(AD2071),ISNUMBER(INDEX(Sources!$G$7:$G$10,MATCH(AB2071,Sources!$B$7:$B$10,0)))),ROUND(AD2071/INDEX(Sources!$G$7:$G$10,MATCH(AB2071,Sources!$B$7:$B$10,0)),6),"")</f>
        <v>1.89</v>
      </c>
      <c r="J2071" s="98" t="s">
        <v>530</v>
      </c>
      <c r="K2071" s="98" t="s">
        <v>2059</v>
      </c>
      <c r="L2071" s="96"/>
      <c r="M2071" s="110" t="s">
        <v>6346</v>
      </c>
      <c r="N2071" s="117" t="s">
        <v>6347</v>
      </c>
      <c r="O2071" s="110" t="s">
        <v>589</v>
      </c>
      <c r="P2071" s="110" t="s">
        <v>590</v>
      </c>
      <c r="Q2071" s="118" t="n">
        <v>0.19</v>
      </c>
      <c r="R2071" s="110" t="n">
        <v>1</v>
      </c>
      <c r="S2071" s="110" t="s">
        <v>632</v>
      </c>
      <c r="T2071" s="110" t="s">
        <v>530</v>
      </c>
      <c r="U2071" s="110" t="s">
        <v>2913</v>
      </c>
      <c r="V2071" s="119" t="n">
        <v>1.89</v>
      </c>
      <c r="W2071" s="119"/>
      <c r="X2071" s="110" t="s">
        <v>2063</v>
      </c>
      <c r="Y2071" s="110" t="s">
        <v>2064</v>
      </c>
      <c r="Z2071" s="110" t="s">
        <v>4369</v>
      </c>
      <c r="AA2071" s="110" t="s">
        <v>537</v>
      </c>
      <c r="AB2071" s="110" t="s">
        <v>244</v>
      </c>
      <c r="AC2071" s="110" t="s">
        <v>538</v>
      </c>
      <c r="AD2071" s="110" t="n">
        <f aca="false">IF(OR(F2071="",Q2071="",R2071=""),"",ROUND(IF(P2071="incl.",F2071/(1+Q2071),F2071)/IF(S2071="per pack",R2071,1),2))</f>
        <v>1.89</v>
      </c>
      <c r="AE2071" s="110" t="str">
        <f aca="false">IF(AND(AC2071="yes",ISNUMBER(F2071),IF(Compare!$H$5="All mapped",TRUE(),IF(Compare!$H$5="EXACT only",J2071="EXACT",OR(J2071="EXACT",J2071="CLOSE")))),"yes","no")</f>
        <v>yes</v>
      </c>
      <c r="AF2071" s="110" t="n">
        <f aca="false">IF(ISNUMBER(H2071),COUNTIFS($B$7:$B$3000,B2071,$C$7:$C$3000,C2071,$H$7:$H$3000,"&lt;"&amp;H2071,$AH$7:$AH$3000,"yes")+COUNTIFS($B$7:B2071,B2071,$C$7:C2071,C2071,$H$7:H2071,H2071,$AH$7:AH2071,"yes"),"")</f>
        <v>3</v>
      </c>
      <c r="AG2071" s="110" t="n">
        <f aca="false">IF(ISNUMBER(I2071),COUNTIFS($B$7:$B$3000,B2071,$C$7:$C$3000,C2071,$I$7:$I$3000,"&lt;"&amp;I2071,$AI$7:$AI$3000,"yes")+COUNTIFS($B$7:B2071,B2071,$C$7:C2071,C2071,$I$7:I2071,I2071,$AI$7:AI2071,"yes"),"")</f>
        <v>3</v>
      </c>
      <c r="AH2071" s="110" t="str">
        <f aca="false">IF(ISNUMBER(H2071),"yes","no")</f>
        <v>yes</v>
      </c>
      <c r="AI2071" s="110" t="str">
        <f aca="false">IF(ISNUMBER(I2071),"yes","no")</f>
        <v>yes</v>
      </c>
      <c r="AJ2071" s="120" t="n">
        <v>46297</v>
      </c>
      <c r="AK2071" s="110"/>
    </row>
    <row r="2072" customFormat="false" ht="35.05" hidden="false" customHeight="false" outlineLevel="0" collapsed="false">
      <c r="B2072" s="36" t="s">
        <v>109</v>
      </c>
      <c r="C2072" s="98" t="s">
        <v>16</v>
      </c>
      <c r="D2072" s="98" t="s">
        <v>313</v>
      </c>
      <c r="E2072" s="110" t="s">
        <v>6348</v>
      </c>
      <c r="F2072" s="99" t="n">
        <v>3.59</v>
      </c>
      <c r="G2072" s="98" t="s">
        <v>244</v>
      </c>
      <c r="H2072" s="112" t="n">
        <f aca="false">IF(AND(AE2072="yes",ISNUMBER(AD2072)),AD2072,"")</f>
        <v>3.02</v>
      </c>
      <c r="I2072" s="95" t="n">
        <f aca="false">IF(AND(AE2072="yes",ISNUMBER(AD2072),ISNUMBER(INDEX(Sources!$G$7:$G$10,MATCH(AB2072,Sources!$B$7:$B$10,0)))),ROUND(AD2072/INDEX(Sources!$G$7:$G$10,MATCH(AB2072,Sources!$B$7:$B$10,0)),6),"")</f>
        <v>3.02</v>
      </c>
      <c r="J2072" s="98" t="s">
        <v>702</v>
      </c>
      <c r="K2072" s="98" t="s">
        <v>2059</v>
      </c>
      <c r="L2072" s="96"/>
      <c r="M2072" s="110" t="s">
        <v>6349</v>
      </c>
      <c r="N2072" s="117" t="s">
        <v>6350</v>
      </c>
      <c r="O2072" s="110" t="s">
        <v>642</v>
      </c>
      <c r="P2072" s="110" t="s">
        <v>265</v>
      </c>
      <c r="Q2072" s="118" t="n">
        <v>0.19</v>
      </c>
      <c r="R2072" s="110" t="n">
        <v>1</v>
      </c>
      <c r="S2072" s="110" t="s">
        <v>632</v>
      </c>
      <c r="T2072" s="110" t="s">
        <v>702</v>
      </c>
      <c r="U2072" s="110" t="s">
        <v>2918</v>
      </c>
      <c r="V2072" s="119" t="n">
        <v>3.02</v>
      </c>
      <c r="W2072" s="119"/>
      <c r="X2072" s="110" t="s">
        <v>2063</v>
      </c>
      <c r="Y2072" s="110" t="s">
        <v>2064</v>
      </c>
      <c r="Z2072" s="110" t="s">
        <v>4376</v>
      </c>
      <c r="AA2072" s="110" t="s">
        <v>537</v>
      </c>
      <c r="AB2072" s="110" t="s">
        <v>244</v>
      </c>
      <c r="AC2072" s="110" t="s">
        <v>538</v>
      </c>
      <c r="AD2072" s="110" t="n">
        <f aca="false">IF(OR(F2072="",Q2072="",R2072=""),"",ROUND(IF(P2072="incl.",F2072/(1+Q2072),F2072)/IF(S2072="per pack",R2072,1),2))</f>
        <v>3.02</v>
      </c>
      <c r="AE2072" s="110" t="str">
        <f aca="false">IF(AND(AC2072="yes",ISNUMBER(F2072),IF(Compare!$H$5="All mapped",TRUE(),IF(Compare!$H$5="EXACT only",J2072="EXACT",OR(J2072="EXACT",J2072="CLOSE")))),"yes","no")</f>
        <v>yes</v>
      </c>
      <c r="AF2072" s="110" t="n">
        <f aca="false">IF(ISNUMBER(H2072),COUNTIFS($B$7:$B$3000,B2072,$C$7:$C$3000,C2072,$H$7:$H$3000,"&lt;"&amp;H2072,$AH$7:$AH$3000,"yes")+COUNTIFS($B$7:B2072,B2072,$C$7:C2072,C2072,$H$7:H2072,H2072,$AH$7:AH2072,"yes"),"")</f>
        <v>7</v>
      </c>
      <c r="AG2072" s="110" t="n">
        <f aca="false">IF(ISNUMBER(I2072),COUNTIFS($B$7:$B$3000,B2072,$C$7:$C$3000,C2072,$I$7:$I$3000,"&lt;"&amp;I2072,$AI$7:$AI$3000,"yes")+COUNTIFS($B$7:B2072,B2072,$C$7:C2072,C2072,$I$7:I2072,I2072,$AI$7:AI2072,"yes"),"")</f>
        <v>7</v>
      </c>
      <c r="AH2072" s="110" t="str">
        <f aca="false">IF(ISNUMBER(H2072),"yes","no")</f>
        <v>yes</v>
      </c>
      <c r="AI2072" s="110" t="str">
        <f aca="false">IF(ISNUMBER(I2072),"yes","no")</f>
        <v>yes</v>
      </c>
      <c r="AJ2072" s="120" t="n">
        <v>46297</v>
      </c>
      <c r="AK2072" s="110"/>
    </row>
    <row r="2073" customFormat="false" ht="35.05" hidden="false" customHeight="false" outlineLevel="0" collapsed="false">
      <c r="B2073" s="36" t="s">
        <v>109</v>
      </c>
      <c r="C2073" s="98" t="s">
        <v>16</v>
      </c>
      <c r="D2073" s="98" t="s">
        <v>321</v>
      </c>
      <c r="E2073" s="110" t="s">
        <v>6331</v>
      </c>
      <c r="F2073" s="99" t="n">
        <v>2.02</v>
      </c>
      <c r="G2073" s="98" t="s">
        <v>244</v>
      </c>
      <c r="H2073" s="112" t="n">
        <f aca="false">IF(AND(AE2073="yes",ISNUMBER(AD2073)),AD2073,"")</f>
        <v>2.02</v>
      </c>
      <c r="I2073" s="95" t="n">
        <f aca="false">IF(AND(AE2073="yes",ISNUMBER(AD2073),ISNUMBER(INDEX(Sources!$G$7:$G$10,MATCH(AB2073,Sources!$B$7:$B$10,0)))),ROUND(AD2073/INDEX(Sources!$G$7:$G$10,MATCH(AB2073,Sources!$B$7:$B$10,0)),6),"")</f>
        <v>2.02</v>
      </c>
      <c r="J2073" s="98" t="s">
        <v>702</v>
      </c>
      <c r="K2073" s="98" t="s">
        <v>2059</v>
      </c>
      <c r="L2073" s="96"/>
      <c r="M2073" s="110" t="s">
        <v>6351</v>
      </c>
      <c r="N2073" s="117" t="s">
        <v>6352</v>
      </c>
      <c r="O2073" s="110" t="s">
        <v>603</v>
      </c>
      <c r="P2073" s="110" t="s">
        <v>590</v>
      </c>
      <c r="Q2073" s="118" t="n">
        <v>0.19</v>
      </c>
      <c r="R2073" s="110" t="n">
        <v>1</v>
      </c>
      <c r="S2073" s="110" t="s">
        <v>632</v>
      </c>
      <c r="T2073" s="110" t="s">
        <v>702</v>
      </c>
      <c r="U2073" s="110" t="s">
        <v>2913</v>
      </c>
      <c r="V2073" s="119" t="n">
        <v>2.02</v>
      </c>
      <c r="W2073" s="119"/>
      <c r="X2073" s="110" t="s">
        <v>2063</v>
      </c>
      <c r="Y2073" s="110" t="s">
        <v>2064</v>
      </c>
      <c r="Z2073" s="110" t="s">
        <v>2857</v>
      </c>
      <c r="AA2073" s="110" t="s">
        <v>537</v>
      </c>
      <c r="AB2073" s="110" t="s">
        <v>244</v>
      </c>
      <c r="AC2073" s="110" t="s">
        <v>538</v>
      </c>
      <c r="AD2073" s="110" t="n">
        <f aca="false">IF(OR(F2073="",Q2073="",R2073=""),"",ROUND(IF(P2073="incl.",F2073/(1+Q2073),F2073)/IF(S2073="per pack",R2073,1),2))</f>
        <v>2.02</v>
      </c>
      <c r="AE2073" s="110" t="str">
        <f aca="false">IF(AND(AC2073="yes",ISNUMBER(F2073),IF(Compare!$H$5="All mapped",TRUE(),IF(Compare!$H$5="EXACT only",J2073="EXACT",OR(J2073="EXACT",J2073="CLOSE")))),"yes","no")</f>
        <v>yes</v>
      </c>
      <c r="AF2073" s="110" t="n">
        <f aca="false">IF(ISNUMBER(H2073),COUNTIFS($B$7:$B$3000,B2073,$C$7:$C$3000,C2073,$H$7:$H$3000,"&lt;"&amp;H2073,$AH$7:$AH$3000,"yes")+COUNTIFS($B$7:B2073,B2073,$C$7:C2073,C2073,$H$7:H2073,H2073,$AH$7:AH2073,"yes"),"")</f>
        <v>5</v>
      </c>
      <c r="AG2073" s="110" t="n">
        <f aca="false">IF(ISNUMBER(I2073),COUNTIFS($B$7:$B$3000,B2073,$C$7:$C$3000,C2073,$I$7:$I$3000,"&lt;"&amp;I2073,$AI$7:$AI$3000,"yes")+COUNTIFS($B$7:B2073,B2073,$C$7:C2073,C2073,$I$7:I2073,I2073,$AI$7:AI2073,"yes"),"")</f>
        <v>5</v>
      </c>
      <c r="AH2073" s="110" t="str">
        <f aca="false">IF(ISNUMBER(H2073),"yes","no")</f>
        <v>yes</v>
      </c>
      <c r="AI2073" s="110" t="str">
        <f aca="false">IF(ISNUMBER(I2073),"yes","no")</f>
        <v>yes</v>
      </c>
      <c r="AJ2073" s="120" t="n">
        <v>46297</v>
      </c>
      <c r="AK2073" s="110"/>
    </row>
    <row r="2074" customFormat="false" ht="23.85" hidden="false" customHeight="false" outlineLevel="0" collapsed="false">
      <c r="B2074" s="36" t="s">
        <v>109</v>
      </c>
      <c r="C2074" s="98" t="s">
        <v>16</v>
      </c>
      <c r="D2074" s="98" t="s">
        <v>329</v>
      </c>
      <c r="E2074" s="110" t="s">
        <v>6353</v>
      </c>
      <c r="F2074" s="99" t="n">
        <v>1.69</v>
      </c>
      <c r="G2074" s="98" t="s">
        <v>244</v>
      </c>
      <c r="H2074" s="112" t="n">
        <f aca="false">IF(AND(AE2074="yes",ISNUMBER(AD2074)),AD2074,"")</f>
        <v>1.69</v>
      </c>
      <c r="I2074" s="95" t="n">
        <f aca="false">IF(AND(AE2074="yes",ISNUMBER(AD2074),ISNUMBER(INDEX(Sources!$G$7:$G$10,MATCH(AB2074,Sources!$B$7:$B$10,0)))),ROUND(AD2074/INDEX(Sources!$G$7:$G$10,MATCH(AB2074,Sources!$B$7:$B$10,0)),6),"")</f>
        <v>1.69</v>
      </c>
      <c r="J2074" s="98" t="s">
        <v>530</v>
      </c>
      <c r="K2074" s="98" t="s">
        <v>2059</v>
      </c>
      <c r="L2074" s="96"/>
      <c r="M2074" s="110" t="s">
        <v>6354</v>
      </c>
      <c r="N2074" s="117" t="s">
        <v>6355</v>
      </c>
      <c r="O2074" s="110" t="s">
        <v>817</v>
      </c>
      <c r="P2074" s="110" t="s">
        <v>590</v>
      </c>
      <c r="Q2074" s="118" t="n">
        <v>0.19</v>
      </c>
      <c r="R2074" s="110" t="n">
        <v>1</v>
      </c>
      <c r="S2074" s="110" t="s">
        <v>632</v>
      </c>
      <c r="T2074" s="110" t="s">
        <v>530</v>
      </c>
      <c r="U2074" s="110" t="s">
        <v>2913</v>
      </c>
      <c r="V2074" s="119" t="n">
        <v>1.69</v>
      </c>
      <c r="W2074" s="119"/>
      <c r="X2074" s="110" t="s">
        <v>2063</v>
      </c>
      <c r="Y2074" s="110" t="s">
        <v>2064</v>
      </c>
      <c r="Z2074" s="110" t="s">
        <v>2624</v>
      </c>
      <c r="AA2074" s="110" t="s">
        <v>537</v>
      </c>
      <c r="AB2074" s="110" t="s">
        <v>244</v>
      </c>
      <c r="AC2074" s="110" t="s">
        <v>538</v>
      </c>
      <c r="AD2074" s="110" t="n">
        <f aca="false">IF(OR(F2074="",Q2074="",R2074=""),"",ROUND(IF(P2074="incl.",F2074/(1+Q2074),F2074)/IF(S2074="per pack",R2074,1),2))</f>
        <v>1.69</v>
      </c>
      <c r="AE2074" s="110" t="str">
        <f aca="false">IF(AND(AC2074="yes",ISNUMBER(F2074),IF(Compare!$H$5="All mapped",TRUE(),IF(Compare!$H$5="EXACT only",J2074="EXACT",OR(J2074="EXACT",J2074="CLOSE")))),"yes","no")</f>
        <v>yes</v>
      </c>
      <c r="AF2074" s="110" t="n">
        <f aca="false">IF(ISNUMBER(H2074),COUNTIFS($B$7:$B$3000,B2074,$C$7:$C$3000,C2074,$H$7:$H$3000,"&lt;"&amp;H2074,$AH$7:$AH$3000,"yes")+COUNTIFS($B$7:B2074,B2074,$C$7:C2074,C2074,$H$7:H2074,H2074,$AH$7:AH2074,"yes"),"")</f>
        <v>1</v>
      </c>
      <c r="AG2074" s="110" t="n">
        <f aca="false">IF(ISNUMBER(I2074),COUNTIFS($B$7:$B$3000,B2074,$C$7:$C$3000,C2074,$I$7:$I$3000,"&lt;"&amp;I2074,$AI$7:$AI$3000,"yes")+COUNTIFS($B$7:B2074,B2074,$C$7:C2074,C2074,$I$7:I2074,I2074,$AI$7:AI2074,"yes"),"")</f>
        <v>1</v>
      </c>
      <c r="AH2074" s="110" t="str">
        <f aca="false">IF(ISNUMBER(H2074),"yes","no")</f>
        <v>yes</v>
      </c>
      <c r="AI2074" s="110" t="str">
        <f aca="false">IF(ISNUMBER(I2074),"yes","no")</f>
        <v>yes</v>
      </c>
      <c r="AJ2074" s="120" t="n">
        <v>46297</v>
      </c>
      <c r="AK2074" s="110"/>
    </row>
    <row r="2075" customFormat="false" ht="23.85" hidden="false" customHeight="false" outlineLevel="0" collapsed="false">
      <c r="B2075" s="36" t="s">
        <v>109</v>
      </c>
      <c r="C2075" s="98" t="s">
        <v>17</v>
      </c>
      <c r="D2075" s="98" t="s">
        <v>338</v>
      </c>
      <c r="E2075" s="110" t="s">
        <v>6356</v>
      </c>
      <c r="F2075" s="99" t="n">
        <v>58</v>
      </c>
      <c r="G2075" s="98" t="s">
        <v>333</v>
      </c>
      <c r="H2075" s="112" t="n">
        <f aca="false">IF(AND(AE2075="yes",ISNUMBER(AD2075)),AD2075,"")</f>
        <v>47.93</v>
      </c>
      <c r="I2075" s="95" t="n">
        <f aca="false">IF(AND(AE2075="yes",ISNUMBER(AD2075),ISNUMBER(INDEX(Sources!$G$7:$G$10,MATCH(AB2075,Sources!$B$7:$B$10,0)))),ROUND(AD2075/INDEX(Sources!$G$7:$G$10,MATCH(AB2075,Sources!$B$7:$B$10,0)),6),"")</f>
        <v>1.962445</v>
      </c>
      <c r="J2075" s="98" t="s">
        <v>530</v>
      </c>
      <c r="K2075" s="98" t="s">
        <v>2059</v>
      </c>
      <c r="L2075" s="96"/>
      <c r="M2075" s="110" t="s">
        <v>6357</v>
      </c>
      <c r="N2075" s="117" t="s">
        <v>6358</v>
      </c>
      <c r="O2075" s="110" t="s">
        <v>388</v>
      </c>
      <c r="P2075" s="110" t="s">
        <v>265</v>
      </c>
      <c r="Q2075" s="118" t="n">
        <v>0.21</v>
      </c>
      <c r="R2075" s="110" t="n">
        <v>1</v>
      </c>
      <c r="S2075" s="110" t="s">
        <v>632</v>
      </c>
      <c r="T2075" s="110" t="s">
        <v>530</v>
      </c>
      <c r="U2075" s="110" t="s">
        <v>2918</v>
      </c>
      <c r="V2075" s="119" t="n">
        <v>47.93</v>
      </c>
      <c r="W2075" s="119"/>
      <c r="X2075" s="110" t="s">
        <v>2063</v>
      </c>
      <c r="Y2075" s="110" t="s">
        <v>2064</v>
      </c>
      <c r="Z2075" s="110" t="s">
        <v>4387</v>
      </c>
      <c r="AA2075" s="110" t="s">
        <v>537</v>
      </c>
      <c r="AB2075" s="110" t="s">
        <v>333</v>
      </c>
      <c r="AC2075" s="110" t="s">
        <v>538</v>
      </c>
      <c r="AD2075" s="110" t="n">
        <f aca="false">IF(OR(F2075="",Q2075="",R2075=""),"",ROUND(IF(P2075="incl.",F2075/(1+Q2075),F2075)/IF(S2075="per pack",R2075,1),2))</f>
        <v>47.93</v>
      </c>
      <c r="AE2075" s="110" t="str">
        <f aca="false">IF(AND(AC2075="yes",ISNUMBER(F2075),IF(Compare!$H$5="All mapped",TRUE(),IF(Compare!$H$5="EXACT only",J2075="EXACT",OR(J2075="EXACT",J2075="CLOSE")))),"yes","no")</f>
        <v>yes</v>
      </c>
      <c r="AF2075" s="110" t="n">
        <f aca="false">IF(ISNUMBER(H2075),COUNTIFS($B$7:$B$3000,B2075,$C$7:$C$3000,C2075,$H$7:$H$3000,"&lt;"&amp;H2075,$AH$7:$AH$3000,"yes")+COUNTIFS($B$7:B2075,B2075,$C$7:C2075,C2075,$H$7:H2075,H2075,$AH$7:AH2075,"yes"),"")</f>
        <v>2</v>
      </c>
      <c r="AG2075" s="110" t="n">
        <f aca="false">IF(ISNUMBER(I2075),COUNTIFS($B$7:$B$3000,B2075,$C$7:$C$3000,C2075,$I$7:$I$3000,"&lt;"&amp;I2075,$AI$7:$AI$3000,"yes")+COUNTIFS($B$7:B2075,B2075,$C$7:C2075,C2075,$I$7:I2075,I2075,$AI$7:AI2075,"yes"),"")</f>
        <v>2</v>
      </c>
      <c r="AH2075" s="110" t="str">
        <f aca="false">IF(ISNUMBER(H2075),"yes","no")</f>
        <v>yes</v>
      </c>
      <c r="AI2075" s="110" t="str">
        <f aca="false">IF(ISNUMBER(I2075),"yes","no")</f>
        <v>yes</v>
      </c>
      <c r="AJ2075" s="120" t="n">
        <v>46297</v>
      </c>
      <c r="AK2075" s="110"/>
    </row>
    <row r="2076" customFormat="false" ht="35.05" hidden="false" customHeight="false" outlineLevel="0" collapsed="false">
      <c r="B2076" s="36" t="s">
        <v>109</v>
      </c>
      <c r="C2076" s="98" t="s">
        <v>17</v>
      </c>
      <c r="D2076" s="98" t="s">
        <v>342</v>
      </c>
      <c r="E2076" s="110" t="s">
        <v>6359</v>
      </c>
      <c r="F2076" s="99" t="n">
        <v>59</v>
      </c>
      <c r="G2076" s="98" t="s">
        <v>333</v>
      </c>
      <c r="H2076" s="112" t="n">
        <f aca="false">IF(AND(AE2076="yes",ISNUMBER(AD2076)),AD2076,"")</f>
        <v>59</v>
      </c>
      <c r="I2076" s="95" t="n">
        <f aca="false">IF(AND(AE2076="yes",ISNUMBER(AD2076),ISNUMBER(INDEX(Sources!$G$7:$G$10,MATCH(AB2076,Sources!$B$7:$B$10,0)))),ROUND(AD2076/INDEX(Sources!$G$7:$G$10,MATCH(AB2076,Sources!$B$7:$B$10,0)),6),"")</f>
        <v>2.415695</v>
      </c>
      <c r="J2076" s="98" t="s">
        <v>530</v>
      </c>
      <c r="K2076" s="98" t="s">
        <v>2059</v>
      </c>
      <c r="L2076" s="96"/>
      <c r="M2076" s="110" t="s">
        <v>6360</v>
      </c>
      <c r="N2076" s="117" t="s">
        <v>6361</v>
      </c>
      <c r="O2076" s="110" t="s">
        <v>388</v>
      </c>
      <c r="P2076" s="110" t="s">
        <v>590</v>
      </c>
      <c r="Q2076" s="118" t="n">
        <v>0.21</v>
      </c>
      <c r="R2076" s="110" t="n">
        <v>1</v>
      </c>
      <c r="S2076" s="110" t="s">
        <v>632</v>
      </c>
      <c r="T2076" s="110" t="s">
        <v>530</v>
      </c>
      <c r="U2076" s="110" t="s">
        <v>2913</v>
      </c>
      <c r="V2076" s="119" t="n">
        <v>59</v>
      </c>
      <c r="W2076" s="119"/>
      <c r="X2076" s="110" t="s">
        <v>2063</v>
      </c>
      <c r="Y2076" s="110" t="s">
        <v>2064</v>
      </c>
      <c r="Z2076" s="110" t="s">
        <v>4391</v>
      </c>
      <c r="AA2076" s="110" t="s">
        <v>537</v>
      </c>
      <c r="AB2076" s="110" t="s">
        <v>333</v>
      </c>
      <c r="AC2076" s="110" t="s">
        <v>538</v>
      </c>
      <c r="AD2076" s="110" t="n">
        <f aca="false">IF(OR(F2076="",Q2076="",R2076=""),"",ROUND(IF(P2076="incl.",F2076/(1+Q2076),F2076)/IF(S2076="per pack",R2076,1),2))</f>
        <v>59</v>
      </c>
      <c r="AE2076" s="110" t="str">
        <f aca="false">IF(AND(AC2076="yes",ISNUMBER(F2076),IF(Compare!$H$5="All mapped",TRUE(),IF(Compare!$H$5="EXACT only",J2076="EXACT",OR(J2076="EXACT",J2076="CLOSE")))),"yes","no")</f>
        <v>yes</v>
      </c>
      <c r="AF2076" s="110" t="n">
        <f aca="false">IF(ISNUMBER(H2076),COUNTIFS($B$7:$B$3000,B2076,$C$7:$C$3000,C2076,$H$7:$H$3000,"&lt;"&amp;H2076,$AH$7:$AH$3000,"yes")+COUNTIFS($B$7:B2076,B2076,$C$7:C2076,C2076,$H$7:H2076,H2076,$AH$7:AH2076,"yes"),"")</f>
        <v>4</v>
      </c>
      <c r="AG2076" s="110" t="n">
        <f aca="false">IF(ISNUMBER(I2076),COUNTIFS($B$7:$B$3000,B2076,$C$7:$C$3000,C2076,$I$7:$I$3000,"&lt;"&amp;I2076,$AI$7:$AI$3000,"yes")+COUNTIFS($B$7:B2076,B2076,$C$7:C2076,C2076,$I$7:I2076,I2076,$AI$7:AI2076,"yes"),"")</f>
        <v>4</v>
      </c>
      <c r="AH2076" s="110" t="str">
        <f aca="false">IF(ISNUMBER(H2076),"yes","no")</f>
        <v>yes</v>
      </c>
      <c r="AI2076" s="110" t="str">
        <f aca="false">IF(ISNUMBER(I2076),"yes","no")</f>
        <v>yes</v>
      </c>
      <c r="AJ2076" s="120" t="n">
        <v>46297</v>
      </c>
      <c r="AK2076" s="110"/>
    </row>
    <row r="2077" customFormat="false" ht="23.85" hidden="false" customHeight="false" outlineLevel="0" collapsed="false">
      <c r="B2077" s="36" t="s">
        <v>109</v>
      </c>
      <c r="C2077" s="98" t="s">
        <v>17</v>
      </c>
      <c r="D2077" s="98" t="s">
        <v>346</v>
      </c>
      <c r="E2077" s="110" t="s">
        <v>6362</v>
      </c>
      <c r="F2077" s="99" t="n">
        <v>122</v>
      </c>
      <c r="G2077" s="98" t="s">
        <v>333</v>
      </c>
      <c r="H2077" s="112" t="n">
        <f aca="false">IF(AND(AE2077="yes",ISNUMBER(AD2077)),AD2077,"")</f>
        <v>122</v>
      </c>
      <c r="I2077" s="95" t="n">
        <f aca="false">IF(AND(AE2077="yes",ISNUMBER(AD2077),ISNUMBER(INDEX(Sources!$G$7:$G$10,MATCH(AB2077,Sources!$B$7:$B$10,0)))),ROUND(AD2077/INDEX(Sources!$G$7:$G$10,MATCH(AB2077,Sources!$B$7:$B$10,0)),6),"")</f>
        <v>4.995165</v>
      </c>
      <c r="J2077" s="98" t="s">
        <v>530</v>
      </c>
      <c r="K2077" s="98" t="s">
        <v>2059</v>
      </c>
      <c r="L2077" s="96"/>
      <c r="M2077" s="110" t="s">
        <v>6363</v>
      </c>
      <c r="N2077" s="117" t="s">
        <v>6364</v>
      </c>
      <c r="O2077" s="110" t="s">
        <v>731</v>
      </c>
      <c r="P2077" s="110" t="s">
        <v>590</v>
      </c>
      <c r="Q2077" s="118" t="n">
        <v>0.21</v>
      </c>
      <c r="R2077" s="110" t="n">
        <v>1</v>
      </c>
      <c r="S2077" s="110" t="s">
        <v>632</v>
      </c>
      <c r="T2077" s="110" t="s">
        <v>530</v>
      </c>
      <c r="U2077" s="110" t="s">
        <v>2913</v>
      </c>
      <c r="V2077" s="119" t="n">
        <v>122</v>
      </c>
      <c r="W2077" s="119"/>
      <c r="X2077" s="110" t="s">
        <v>2063</v>
      </c>
      <c r="Y2077" s="110" t="s">
        <v>2064</v>
      </c>
      <c r="Z2077" s="110" t="s">
        <v>5721</v>
      </c>
      <c r="AA2077" s="110" t="s">
        <v>537</v>
      </c>
      <c r="AB2077" s="110" t="s">
        <v>333</v>
      </c>
      <c r="AC2077" s="110" t="s">
        <v>538</v>
      </c>
      <c r="AD2077" s="110" t="n">
        <f aca="false">IF(OR(F2077="",Q2077="",R2077=""),"",ROUND(IF(P2077="incl.",F2077/(1+Q2077),F2077)/IF(S2077="per pack",R2077,1),2))</f>
        <v>122</v>
      </c>
      <c r="AE2077" s="110" t="str">
        <f aca="false">IF(AND(AC2077="yes",ISNUMBER(F2077),IF(Compare!$H$5="All mapped",TRUE(),IF(Compare!$H$5="EXACT only",J2077="EXACT",OR(J2077="EXACT",J2077="CLOSE")))),"yes","no")</f>
        <v>yes</v>
      </c>
      <c r="AF2077" s="110" t="n">
        <f aca="false">IF(ISNUMBER(H2077),COUNTIFS($B$7:$B$3000,B2077,$C$7:$C$3000,C2077,$H$7:$H$3000,"&lt;"&amp;H2077,$AH$7:$AH$3000,"yes")+COUNTIFS($B$7:B2077,B2077,$C$7:C2077,C2077,$H$7:H2077,H2077,$AH$7:AH2077,"yes"),"")</f>
        <v>5</v>
      </c>
      <c r="AG2077" s="110" t="n">
        <f aca="false">IF(ISNUMBER(I2077),COUNTIFS($B$7:$B$3000,B2077,$C$7:$C$3000,C2077,$I$7:$I$3000,"&lt;"&amp;I2077,$AI$7:$AI$3000,"yes")+COUNTIFS($B$7:B2077,B2077,$C$7:C2077,C2077,$I$7:I2077,I2077,$AI$7:AI2077,"yes"),"")</f>
        <v>5</v>
      </c>
      <c r="AH2077" s="110" t="str">
        <f aca="false">IF(ISNUMBER(H2077),"yes","no")</f>
        <v>yes</v>
      </c>
      <c r="AI2077" s="110" t="str">
        <f aca="false">IF(ISNUMBER(I2077),"yes","no")</f>
        <v>yes</v>
      </c>
      <c r="AJ2077" s="120" t="n">
        <v>46297</v>
      </c>
      <c r="AK2077" s="110"/>
    </row>
    <row r="2078" customFormat="false" ht="35.05" hidden="false" customHeight="false" outlineLevel="0" collapsed="false">
      <c r="B2078" s="36" t="s">
        <v>109</v>
      </c>
      <c r="C2078" s="98" t="s">
        <v>17</v>
      </c>
      <c r="D2078" s="98" t="s">
        <v>350</v>
      </c>
      <c r="E2078" s="110" t="s">
        <v>6365</v>
      </c>
      <c r="F2078" s="99" t="n">
        <v>27</v>
      </c>
      <c r="G2078" s="98" t="s">
        <v>333</v>
      </c>
      <c r="H2078" s="112" t="n">
        <f aca="false">IF(AND(AE2078="yes",ISNUMBER(AD2078)),AD2078,"")</f>
        <v>22.31</v>
      </c>
      <c r="I2078" s="95" t="n">
        <f aca="false">IF(AND(AE2078="yes",ISNUMBER(AD2078),ISNUMBER(INDEX(Sources!$G$7:$G$10,MATCH(AB2078,Sources!$B$7:$B$10,0)))),ROUND(AD2078/INDEX(Sources!$G$7:$G$10,MATCH(AB2078,Sources!$B$7:$B$10,0)),6),"")</f>
        <v>0.91346</v>
      </c>
      <c r="J2078" s="98" t="s">
        <v>530</v>
      </c>
      <c r="K2078" s="98" t="s">
        <v>2059</v>
      </c>
      <c r="L2078" s="96"/>
      <c r="M2078" s="110" t="s">
        <v>6366</v>
      </c>
      <c r="N2078" s="117" t="s">
        <v>6367</v>
      </c>
      <c r="O2078" s="110" t="s">
        <v>2452</v>
      </c>
      <c r="P2078" s="110" t="s">
        <v>265</v>
      </c>
      <c r="Q2078" s="118" t="n">
        <v>0.21</v>
      </c>
      <c r="R2078" s="110" t="n">
        <v>1</v>
      </c>
      <c r="S2078" s="110" t="s">
        <v>632</v>
      </c>
      <c r="T2078" s="110" t="s">
        <v>530</v>
      </c>
      <c r="U2078" s="110" t="s">
        <v>2918</v>
      </c>
      <c r="V2078" s="119" t="n">
        <v>22.31</v>
      </c>
      <c r="W2078" s="119"/>
      <c r="X2078" s="110" t="s">
        <v>2063</v>
      </c>
      <c r="Y2078" s="110" t="s">
        <v>2064</v>
      </c>
      <c r="Z2078" s="110" t="s">
        <v>2349</v>
      </c>
      <c r="AA2078" s="110" t="s">
        <v>537</v>
      </c>
      <c r="AB2078" s="110" t="s">
        <v>333</v>
      </c>
      <c r="AC2078" s="110" t="s">
        <v>538</v>
      </c>
      <c r="AD2078" s="110" t="n">
        <f aca="false">IF(OR(F2078="",Q2078="",R2078=""),"",ROUND(IF(P2078="incl.",F2078/(1+Q2078),F2078)/IF(S2078="per pack",R2078,1),2))</f>
        <v>22.31</v>
      </c>
      <c r="AE2078" s="110" t="str">
        <f aca="false">IF(AND(AC2078="yes",ISNUMBER(F2078),IF(Compare!$H$5="All mapped",TRUE(),IF(Compare!$H$5="EXACT only",J2078="EXACT",OR(J2078="EXACT",J2078="CLOSE")))),"yes","no")</f>
        <v>yes</v>
      </c>
      <c r="AF2078" s="110" t="n">
        <f aca="false">IF(ISNUMBER(H2078),COUNTIFS($B$7:$B$3000,B2078,$C$7:$C$3000,C2078,$H$7:$H$3000,"&lt;"&amp;H2078,$AH$7:$AH$3000,"yes")+COUNTIFS($B$7:B2078,B2078,$C$7:C2078,C2078,$H$7:H2078,H2078,$AH$7:AH2078,"yes"),"")</f>
        <v>1</v>
      </c>
      <c r="AG2078" s="110" t="n">
        <f aca="false">IF(ISNUMBER(I2078),COUNTIFS($B$7:$B$3000,B2078,$C$7:$C$3000,C2078,$I$7:$I$3000,"&lt;"&amp;I2078,$AI$7:$AI$3000,"yes")+COUNTIFS($B$7:B2078,B2078,$C$7:C2078,C2078,$I$7:I2078,I2078,$AI$7:AI2078,"yes"),"")</f>
        <v>1</v>
      </c>
      <c r="AH2078" s="110" t="str">
        <f aca="false">IF(ISNUMBER(H2078),"yes","no")</f>
        <v>yes</v>
      </c>
      <c r="AI2078" s="110" t="str">
        <f aca="false">IF(ISNUMBER(I2078),"yes","no")</f>
        <v>yes</v>
      </c>
      <c r="AJ2078" s="120" t="n">
        <v>46297</v>
      </c>
      <c r="AK2078" s="110"/>
    </row>
    <row r="2079" customFormat="false" ht="35.05" hidden="false" customHeight="false" outlineLevel="0" collapsed="false">
      <c r="B2079" s="36" t="s">
        <v>109</v>
      </c>
      <c r="C2079" s="98" t="s">
        <v>17</v>
      </c>
      <c r="D2079" s="98" t="s">
        <v>361</v>
      </c>
      <c r="E2079" s="110" t="s">
        <v>6368</v>
      </c>
      <c r="F2079" s="99" t="n">
        <v>65</v>
      </c>
      <c r="G2079" s="98" t="s">
        <v>333</v>
      </c>
      <c r="H2079" s="112" t="n">
        <f aca="false">IF(AND(AE2079="yes",ISNUMBER(AD2079)),AD2079,"")</f>
        <v>53.72</v>
      </c>
      <c r="I2079" s="95" t="n">
        <f aca="false">IF(AND(AE2079="yes",ISNUMBER(AD2079),ISNUMBER(INDEX(Sources!$G$7:$G$10,MATCH(AB2079,Sources!$B$7:$B$10,0)))),ROUND(AD2079/INDEX(Sources!$G$7:$G$10,MATCH(AB2079,Sources!$B$7:$B$10,0)),6),"")</f>
        <v>2.199511</v>
      </c>
      <c r="J2079" s="98" t="s">
        <v>702</v>
      </c>
      <c r="K2079" s="98" t="s">
        <v>2059</v>
      </c>
      <c r="L2079" s="96"/>
      <c r="M2079" s="110" t="s">
        <v>6369</v>
      </c>
      <c r="N2079" s="117" t="s">
        <v>6370</v>
      </c>
      <c r="O2079" s="110" t="s">
        <v>642</v>
      </c>
      <c r="P2079" s="110" t="s">
        <v>265</v>
      </c>
      <c r="Q2079" s="118" t="n">
        <v>0.21</v>
      </c>
      <c r="R2079" s="110" t="n">
        <v>1</v>
      </c>
      <c r="S2079" s="110" t="s">
        <v>632</v>
      </c>
      <c r="T2079" s="110" t="s">
        <v>702</v>
      </c>
      <c r="U2079" s="110" t="s">
        <v>2918</v>
      </c>
      <c r="V2079" s="119" t="n">
        <v>53.72</v>
      </c>
      <c r="W2079" s="119"/>
      <c r="X2079" s="110" t="s">
        <v>2063</v>
      </c>
      <c r="Y2079" s="110" t="s">
        <v>2064</v>
      </c>
      <c r="Z2079" s="110" t="s">
        <v>2400</v>
      </c>
      <c r="AA2079" s="110" t="s">
        <v>537</v>
      </c>
      <c r="AB2079" s="110" t="s">
        <v>333</v>
      </c>
      <c r="AC2079" s="110" t="s">
        <v>538</v>
      </c>
      <c r="AD2079" s="110" t="n">
        <f aca="false">IF(OR(F2079="",Q2079="",R2079=""),"",ROUND(IF(P2079="incl.",F2079/(1+Q2079),F2079)/IF(S2079="per pack",R2079,1),2))</f>
        <v>53.72</v>
      </c>
      <c r="AE2079" s="110" t="str">
        <f aca="false">IF(AND(AC2079="yes",ISNUMBER(F2079),IF(Compare!$H$5="All mapped",TRUE(),IF(Compare!$H$5="EXACT only",J2079="EXACT",OR(J2079="EXACT",J2079="CLOSE")))),"yes","no")</f>
        <v>yes</v>
      </c>
      <c r="AF2079" s="110" t="n">
        <f aca="false">IF(ISNUMBER(H2079),COUNTIFS($B$7:$B$3000,B2079,$C$7:$C$3000,C2079,$H$7:$H$3000,"&lt;"&amp;H2079,$AH$7:$AH$3000,"yes")+COUNTIFS($B$7:B2079,B2079,$C$7:C2079,C2079,$H$7:H2079,H2079,$AH$7:AH2079,"yes"),"")</f>
        <v>3</v>
      </c>
      <c r="AG2079" s="110" t="n">
        <f aca="false">IF(ISNUMBER(I2079),COUNTIFS($B$7:$B$3000,B2079,$C$7:$C$3000,C2079,$I$7:$I$3000,"&lt;"&amp;I2079,$AI$7:$AI$3000,"yes")+COUNTIFS($B$7:B2079,B2079,$C$7:C2079,C2079,$I$7:I2079,I2079,$AI$7:AI2079,"yes"),"")</f>
        <v>3</v>
      </c>
      <c r="AH2079" s="110" t="str">
        <f aca="false">IF(ISNUMBER(H2079),"yes","no")</f>
        <v>yes</v>
      </c>
      <c r="AI2079" s="110" t="str">
        <f aca="false">IF(ISNUMBER(I2079),"yes","no")</f>
        <v>yes</v>
      </c>
      <c r="AJ2079" s="120" t="n">
        <v>46297</v>
      </c>
      <c r="AK2079" s="110"/>
    </row>
    <row r="2080" customFormat="false" ht="35.05" hidden="false" customHeight="false" outlineLevel="0" collapsed="false">
      <c r="B2080" s="36" t="s">
        <v>109</v>
      </c>
      <c r="C2080" s="98" t="s">
        <v>18</v>
      </c>
      <c r="D2080" s="98" t="s">
        <v>3002</v>
      </c>
      <c r="E2080" s="110" t="s">
        <v>6371</v>
      </c>
      <c r="F2080" s="99" t="n">
        <v>1.65</v>
      </c>
      <c r="G2080" s="98" t="s">
        <v>244</v>
      </c>
      <c r="H2080" s="112" t="n">
        <f aca="false">IF(AND(AE2080="yes",ISNUMBER(AD2080)),AD2080,"")</f>
        <v>1.65</v>
      </c>
      <c r="I2080" s="95" t="n">
        <f aca="false">IF(AND(AE2080="yes",ISNUMBER(AD2080),ISNUMBER(INDEX(Sources!$G$7:$G$10,MATCH(AB2080,Sources!$B$7:$B$10,0)))),ROUND(AD2080/INDEX(Sources!$G$7:$G$10,MATCH(AB2080,Sources!$B$7:$B$10,0)),6),"")</f>
        <v>1.65</v>
      </c>
      <c r="J2080" s="98" t="s">
        <v>530</v>
      </c>
      <c r="K2080" s="98" t="s">
        <v>2059</v>
      </c>
      <c r="L2080" s="96"/>
      <c r="M2080" s="110" t="s">
        <v>6372</v>
      </c>
      <c r="N2080" s="117" t="s">
        <v>5588</v>
      </c>
      <c r="O2080" s="110" t="s">
        <v>2396</v>
      </c>
      <c r="P2080" s="110" t="s">
        <v>590</v>
      </c>
      <c r="Q2080" s="118" t="n">
        <v>0.23</v>
      </c>
      <c r="R2080" s="110" t="n">
        <v>1</v>
      </c>
      <c r="S2080" s="110" t="s">
        <v>632</v>
      </c>
      <c r="T2080" s="110" t="s">
        <v>530</v>
      </c>
      <c r="U2080" s="110" t="s">
        <v>2913</v>
      </c>
      <c r="V2080" s="119" t="n">
        <v>1.65</v>
      </c>
      <c r="W2080" s="119"/>
      <c r="X2080" s="110" t="s">
        <v>2063</v>
      </c>
      <c r="Y2080" s="110" t="s">
        <v>2064</v>
      </c>
      <c r="Z2080" s="110" t="s">
        <v>3346</v>
      </c>
      <c r="AA2080" s="110" t="s">
        <v>537</v>
      </c>
      <c r="AB2080" s="110" t="s">
        <v>244</v>
      </c>
      <c r="AC2080" s="110" t="s">
        <v>538</v>
      </c>
      <c r="AD2080" s="110" t="n">
        <f aca="false">IF(OR(F2080="",Q2080="",R2080=""),"",ROUND(IF(P2080="incl.",F2080/(1+Q2080),F2080)/IF(S2080="per pack",R2080,1),2))</f>
        <v>1.65</v>
      </c>
      <c r="AE2080" s="110" t="str">
        <f aca="false">IF(AND(AC2080="yes",ISNUMBER(F2080),IF(Compare!$H$5="All mapped",TRUE(),IF(Compare!$H$5="EXACT only",J2080="EXACT",OR(J2080="EXACT",J2080="CLOSE")))),"yes","no")</f>
        <v>yes</v>
      </c>
      <c r="AF2080" s="110" t="n">
        <f aca="false">IF(ISNUMBER(H2080),COUNTIFS($B$7:$B$3000,B2080,$C$7:$C$3000,C2080,$H$7:$H$3000,"&lt;"&amp;H2080,$AH$7:$AH$3000,"yes")+COUNTIFS($B$7:B2080,B2080,$C$7:C2080,C2080,$H$7:H2080,H2080,$AH$7:AH2080,"yes"),"")</f>
        <v>3</v>
      </c>
      <c r="AG2080" s="110" t="n">
        <f aca="false">IF(ISNUMBER(I2080),COUNTIFS($B$7:$B$3000,B2080,$C$7:$C$3000,C2080,$I$7:$I$3000,"&lt;"&amp;I2080,$AI$7:$AI$3000,"yes")+COUNTIFS($B$7:B2080,B2080,$C$7:C2080,C2080,$I$7:I2080,I2080,$AI$7:AI2080,"yes"),"")</f>
        <v>3</v>
      </c>
      <c r="AH2080" s="110" t="str">
        <f aca="false">IF(ISNUMBER(H2080),"yes","no")</f>
        <v>yes</v>
      </c>
      <c r="AI2080" s="110" t="str">
        <f aca="false">IF(ISNUMBER(I2080),"yes","no")</f>
        <v>yes</v>
      </c>
      <c r="AJ2080" s="120" t="n">
        <v>46297</v>
      </c>
      <c r="AK2080" s="110"/>
    </row>
    <row r="2081" customFormat="false" ht="35.05" hidden="false" customHeight="false" outlineLevel="0" collapsed="false">
      <c r="B2081" s="36" t="s">
        <v>109</v>
      </c>
      <c r="C2081" s="98" t="s">
        <v>18</v>
      </c>
      <c r="D2081" s="98" t="s">
        <v>365</v>
      </c>
      <c r="E2081" s="110" t="s">
        <v>6373</v>
      </c>
      <c r="F2081" s="99" t="n">
        <v>1.9</v>
      </c>
      <c r="G2081" s="98" t="s">
        <v>244</v>
      </c>
      <c r="H2081" s="112" t="n">
        <f aca="false">IF(AND(AE2081="yes",ISNUMBER(AD2081)),AD2081,"")</f>
        <v>1.54</v>
      </c>
      <c r="I2081" s="95" t="n">
        <f aca="false">IF(AND(AE2081="yes",ISNUMBER(AD2081),ISNUMBER(INDEX(Sources!$G$7:$G$10,MATCH(AB2081,Sources!$B$7:$B$10,0)))),ROUND(AD2081/INDEX(Sources!$G$7:$G$10,MATCH(AB2081,Sources!$B$7:$B$10,0)),6),"")</f>
        <v>1.54</v>
      </c>
      <c r="J2081" s="98" t="s">
        <v>530</v>
      </c>
      <c r="K2081" s="98" t="s">
        <v>2059</v>
      </c>
      <c r="L2081" s="96"/>
      <c r="M2081" s="110" t="s">
        <v>6374</v>
      </c>
      <c r="N2081" s="117" t="s">
        <v>6375</v>
      </c>
      <c r="O2081" s="110" t="s">
        <v>3076</v>
      </c>
      <c r="P2081" s="110" t="s">
        <v>265</v>
      </c>
      <c r="Q2081" s="118" t="n">
        <v>0.23</v>
      </c>
      <c r="R2081" s="110" t="n">
        <v>1</v>
      </c>
      <c r="S2081" s="110" t="s">
        <v>632</v>
      </c>
      <c r="T2081" s="110" t="s">
        <v>530</v>
      </c>
      <c r="U2081" s="110" t="s">
        <v>2918</v>
      </c>
      <c r="V2081" s="119" t="n">
        <v>1.54</v>
      </c>
      <c r="W2081" s="119"/>
      <c r="X2081" s="110" t="s">
        <v>2063</v>
      </c>
      <c r="Y2081" s="110" t="s">
        <v>2064</v>
      </c>
      <c r="Z2081" s="110" t="s">
        <v>3016</v>
      </c>
      <c r="AA2081" s="110" t="s">
        <v>537</v>
      </c>
      <c r="AB2081" s="110" t="s">
        <v>244</v>
      </c>
      <c r="AC2081" s="110" t="s">
        <v>538</v>
      </c>
      <c r="AD2081" s="110" t="n">
        <f aca="false">IF(OR(F2081="",Q2081="",R2081=""),"",ROUND(IF(P2081="incl.",F2081/(1+Q2081),F2081)/IF(S2081="per pack",R2081,1),2))</f>
        <v>1.54</v>
      </c>
      <c r="AE2081" s="110" t="str">
        <f aca="false">IF(AND(AC2081="yes",ISNUMBER(F2081),IF(Compare!$H$5="All mapped",TRUE(),IF(Compare!$H$5="EXACT only",J2081="EXACT",OR(J2081="EXACT",J2081="CLOSE")))),"yes","no")</f>
        <v>yes</v>
      </c>
      <c r="AF2081" s="110" t="n">
        <f aca="false">IF(ISNUMBER(H2081),COUNTIFS($B$7:$B$3000,B2081,$C$7:$C$3000,C2081,$H$7:$H$3000,"&lt;"&amp;H2081,$AH$7:$AH$3000,"yes")+COUNTIFS($B$7:B2081,B2081,$C$7:C2081,C2081,$H$7:H2081,H2081,$AH$7:AH2081,"yes"),"")</f>
        <v>2</v>
      </c>
      <c r="AG2081" s="110" t="n">
        <f aca="false">IF(ISNUMBER(I2081),COUNTIFS($B$7:$B$3000,B2081,$C$7:$C$3000,C2081,$I$7:$I$3000,"&lt;"&amp;I2081,$AI$7:$AI$3000,"yes")+COUNTIFS($B$7:B2081,B2081,$C$7:C2081,C2081,$I$7:I2081,I2081,$AI$7:AI2081,"yes"),"")</f>
        <v>2</v>
      </c>
      <c r="AH2081" s="110" t="str">
        <f aca="false">IF(ISNUMBER(H2081),"yes","no")</f>
        <v>yes</v>
      </c>
      <c r="AI2081" s="110" t="str">
        <f aca="false">IF(ISNUMBER(I2081),"yes","no")</f>
        <v>yes</v>
      </c>
      <c r="AJ2081" s="120" t="n">
        <v>46297</v>
      </c>
      <c r="AK2081" s="110"/>
    </row>
    <row r="2082" customFormat="false" ht="35.05" hidden="false" customHeight="false" outlineLevel="0" collapsed="false">
      <c r="B2082" s="36" t="s">
        <v>109</v>
      </c>
      <c r="C2082" s="98" t="s">
        <v>18</v>
      </c>
      <c r="D2082" s="98" t="s">
        <v>369</v>
      </c>
      <c r="E2082" s="110" t="s">
        <v>6376</v>
      </c>
      <c r="F2082" s="99" t="n">
        <v>5.64</v>
      </c>
      <c r="G2082" s="98" t="s">
        <v>244</v>
      </c>
      <c r="H2082" s="112" t="n">
        <f aca="false">IF(AND(AE2082="yes",ISNUMBER(AD2082)),AD2082,"")</f>
        <v>4.59</v>
      </c>
      <c r="I2082" s="95" t="n">
        <f aca="false">IF(AND(AE2082="yes",ISNUMBER(AD2082),ISNUMBER(INDEX(Sources!$G$7:$G$10,MATCH(AB2082,Sources!$B$7:$B$10,0)))),ROUND(AD2082/INDEX(Sources!$G$7:$G$10,MATCH(AB2082,Sources!$B$7:$B$10,0)),6),"")</f>
        <v>4.59</v>
      </c>
      <c r="J2082" s="98" t="s">
        <v>530</v>
      </c>
      <c r="K2082" s="98" t="s">
        <v>2059</v>
      </c>
      <c r="L2082" s="96"/>
      <c r="M2082" s="110" t="s">
        <v>6377</v>
      </c>
      <c r="N2082" s="117" t="s">
        <v>6378</v>
      </c>
      <c r="O2082" s="110" t="s">
        <v>783</v>
      </c>
      <c r="P2082" s="110" t="s">
        <v>265</v>
      </c>
      <c r="Q2082" s="118" t="n">
        <v>0.23</v>
      </c>
      <c r="R2082" s="110" t="n">
        <v>1</v>
      </c>
      <c r="S2082" s="110" t="s">
        <v>632</v>
      </c>
      <c r="T2082" s="110" t="s">
        <v>530</v>
      </c>
      <c r="U2082" s="110" t="s">
        <v>2918</v>
      </c>
      <c r="V2082" s="119" t="n">
        <v>4.59</v>
      </c>
      <c r="W2082" s="119"/>
      <c r="X2082" s="110" t="s">
        <v>2063</v>
      </c>
      <c r="Y2082" s="110" t="s">
        <v>2064</v>
      </c>
      <c r="Z2082" s="110" t="s">
        <v>4300</v>
      </c>
      <c r="AA2082" s="110" t="s">
        <v>537</v>
      </c>
      <c r="AB2082" s="110" t="s">
        <v>244</v>
      </c>
      <c r="AC2082" s="110" t="s">
        <v>538</v>
      </c>
      <c r="AD2082" s="110" t="n">
        <f aca="false">IF(OR(F2082="",Q2082="",R2082=""),"",ROUND(IF(P2082="incl.",F2082/(1+Q2082),F2082)/IF(S2082="per pack",R2082,1),2))</f>
        <v>4.59</v>
      </c>
      <c r="AE2082" s="110" t="str">
        <f aca="false">IF(AND(AC2082="yes",ISNUMBER(F2082),IF(Compare!$H$5="All mapped",TRUE(),IF(Compare!$H$5="EXACT only",J2082="EXACT",OR(J2082="EXACT",J2082="CLOSE")))),"yes","no")</f>
        <v>yes</v>
      </c>
      <c r="AF2082" s="110" t="n">
        <f aca="false">IF(ISNUMBER(H2082),COUNTIFS($B$7:$B$3000,B2082,$C$7:$C$3000,C2082,$H$7:$H$3000,"&lt;"&amp;H2082,$AH$7:$AH$3000,"yes")+COUNTIFS($B$7:B2082,B2082,$C$7:C2082,C2082,$H$7:H2082,H2082,$AH$7:AH2082,"yes"),"")</f>
        <v>5</v>
      </c>
      <c r="AG2082" s="110" t="n">
        <f aca="false">IF(ISNUMBER(I2082),COUNTIFS($B$7:$B$3000,B2082,$C$7:$C$3000,C2082,$I$7:$I$3000,"&lt;"&amp;I2082,$AI$7:$AI$3000,"yes")+COUNTIFS($B$7:B2082,B2082,$C$7:C2082,C2082,$I$7:I2082,I2082,$AI$7:AI2082,"yes"),"")</f>
        <v>5</v>
      </c>
      <c r="AH2082" s="110" t="str">
        <f aca="false">IF(ISNUMBER(H2082),"yes","no")</f>
        <v>yes</v>
      </c>
      <c r="AI2082" s="110" t="str">
        <f aca="false">IF(ISNUMBER(I2082),"yes","no")</f>
        <v>yes</v>
      </c>
      <c r="AJ2082" s="120" t="n">
        <v>46297</v>
      </c>
      <c r="AK2082" s="110"/>
    </row>
    <row r="2083" customFormat="false" ht="23.85" hidden="false" customHeight="false" outlineLevel="0" collapsed="false">
      <c r="B2083" s="36" t="s">
        <v>109</v>
      </c>
      <c r="C2083" s="98" t="s">
        <v>18</v>
      </c>
      <c r="D2083" s="98" t="s">
        <v>4579</v>
      </c>
      <c r="E2083" s="110" t="s">
        <v>6379</v>
      </c>
      <c r="F2083" s="99" t="n">
        <v>2.77</v>
      </c>
      <c r="G2083" s="98" t="s">
        <v>244</v>
      </c>
      <c r="H2083" s="112" t="n">
        <f aca="false">IF(AND(AE2083="yes",ISNUMBER(AD2083)),AD2083,"")</f>
        <v>2.25</v>
      </c>
      <c r="I2083" s="95" t="n">
        <f aca="false">IF(AND(AE2083="yes",ISNUMBER(AD2083),ISNUMBER(INDEX(Sources!$G$7:$G$10,MATCH(AB2083,Sources!$B$7:$B$10,0)))),ROUND(AD2083/INDEX(Sources!$G$7:$G$10,MATCH(AB2083,Sources!$B$7:$B$10,0)),6),"")</f>
        <v>2.25</v>
      </c>
      <c r="J2083" s="98" t="s">
        <v>530</v>
      </c>
      <c r="K2083" s="98" t="s">
        <v>2059</v>
      </c>
      <c r="L2083" s="96"/>
      <c r="M2083" s="110" t="s">
        <v>6380</v>
      </c>
      <c r="N2083" s="117" t="s">
        <v>4582</v>
      </c>
      <c r="O2083" s="110" t="s">
        <v>246</v>
      </c>
      <c r="P2083" s="110" t="s">
        <v>265</v>
      </c>
      <c r="Q2083" s="118" t="n">
        <v>0.23</v>
      </c>
      <c r="R2083" s="110" t="n">
        <v>1</v>
      </c>
      <c r="S2083" s="110" t="s">
        <v>632</v>
      </c>
      <c r="T2083" s="110" t="s">
        <v>530</v>
      </c>
      <c r="U2083" s="110" t="s">
        <v>2918</v>
      </c>
      <c r="V2083" s="119" t="n">
        <v>2.25</v>
      </c>
      <c r="W2083" s="119"/>
      <c r="X2083" s="110" t="s">
        <v>2063</v>
      </c>
      <c r="Y2083" s="110" t="s">
        <v>2064</v>
      </c>
      <c r="Z2083" s="110" t="s">
        <v>4826</v>
      </c>
      <c r="AA2083" s="110" t="s">
        <v>537</v>
      </c>
      <c r="AB2083" s="110" t="s">
        <v>244</v>
      </c>
      <c r="AC2083" s="110" t="s">
        <v>538</v>
      </c>
      <c r="AD2083" s="110" t="n">
        <f aca="false">IF(OR(F2083="",Q2083="",R2083=""),"",ROUND(IF(P2083="incl.",F2083/(1+Q2083),F2083)/IF(S2083="per pack",R2083,1),2))</f>
        <v>2.25</v>
      </c>
      <c r="AE2083" s="110" t="str">
        <f aca="false">IF(AND(AC2083="yes",ISNUMBER(F2083),IF(Compare!$H$5="All mapped",TRUE(),IF(Compare!$H$5="EXACT only",J2083="EXACT",OR(J2083="EXACT",J2083="CLOSE")))),"yes","no")</f>
        <v>yes</v>
      </c>
      <c r="AF2083" s="110" t="n">
        <f aca="false">IF(ISNUMBER(H2083),COUNTIFS($B$7:$B$3000,B2083,$C$7:$C$3000,C2083,$H$7:$H$3000,"&lt;"&amp;H2083,$AH$7:$AH$3000,"yes")+COUNTIFS($B$7:B2083,B2083,$C$7:C2083,C2083,$H$7:H2083,H2083,$AH$7:AH2083,"yes"),"")</f>
        <v>4</v>
      </c>
      <c r="AG2083" s="110" t="n">
        <f aca="false">IF(ISNUMBER(I2083),COUNTIFS($B$7:$B$3000,B2083,$C$7:$C$3000,C2083,$I$7:$I$3000,"&lt;"&amp;I2083,$AI$7:$AI$3000,"yes")+COUNTIFS($B$7:B2083,B2083,$C$7:C2083,C2083,$I$7:I2083,I2083,$AI$7:AI2083,"yes"),"")</f>
        <v>4</v>
      </c>
      <c r="AH2083" s="110" t="str">
        <f aca="false">IF(ISNUMBER(H2083),"yes","no")</f>
        <v>yes</v>
      </c>
      <c r="AI2083" s="110" t="str">
        <f aca="false">IF(ISNUMBER(I2083),"yes","no")</f>
        <v>yes</v>
      </c>
      <c r="AJ2083" s="120" t="n">
        <v>46297</v>
      </c>
      <c r="AK2083" s="110"/>
    </row>
    <row r="2084" customFormat="false" ht="23.85" hidden="false" customHeight="false" outlineLevel="0" collapsed="false">
      <c r="B2084" s="36" t="s">
        <v>109</v>
      </c>
      <c r="C2084" s="98" t="s">
        <v>18</v>
      </c>
      <c r="D2084" s="98" t="s">
        <v>3021</v>
      </c>
      <c r="E2084" s="110" t="s">
        <v>6381</v>
      </c>
      <c r="F2084" s="99" t="n">
        <v>1.17</v>
      </c>
      <c r="G2084" s="98" t="s">
        <v>244</v>
      </c>
      <c r="H2084" s="112" t="n">
        <f aca="false">IF(AND(AE2084="yes",ISNUMBER(AD2084)),AD2084,"")</f>
        <v>1.17</v>
      </c>
      <c r="I2084" s="95" t="n">
        <f aca="false">IF(AND(AE2084="yes",ISNUMBER(AD2084),ISNUMBER(INDEX(Sources!$G$7:$G$10,MATCH(AB2084,Sources!$B$7:$B$10,0)))),ROUND(AD2084/INDEX(Sources!$G$7:$G$10,MATCH(AB2084,Sources!$B$7:$B$10,0)),6),"")</f>
        <v>1.17</v>
      </c>
      <c r="J2084" s="98" t="s">
        <v>530</v>
      </c>
      <c r="K2084" s="98" t="s">
        <v>2059</v>
      </c>
      <c r="L2084" s="96"/>
      <c r="M2084" s="110" t="s">
        <v>6382</v>
      </c>
      <c r="N2084" s="117" t="s">
        <v>4416</v>
      </c>
      <c r="O2084" s="110" t="s">
        <v>3024</v>
      </c>
      <c r="P2084" s="110" t="s">
        <v>590</v>
      </c>
      <c r="Q2084" s="118" t="n">
        <v>0.23</v>
      </c>
      <c r="R2084" s="110" t="n">
        <v>1</v>
      </c>
      <c r="S2084" s="110" t="s">
        <v>632</v>
      </c>
      <c r="T2084" s="110" t="s">
        <v>530</v>
      </c>
      <c r="U2084" s="110" t="s">
        <v>2913</v>
      </c>
      <c r="V2084" s="119" t="n">
        <v>1.17</v>
      </c>
      <c r="W2084" s="119"/>
      <c r="X2084" s="110" t="s">
        <v>2063</v>
      </c>
      <c r="Y2084" s="110" t="s">
        <v>2064</v>
      </c>
      <c r="Z2084" s="110" t="s">
        <v>3109</v>
      </c>
      <c r="AA2084" s="110" t="s">
        <v>537</v>
      </c>
      <c r="AB2084" s="110" t="s">
        <v>244</v>
      </c>
      <c r="AC2084" s="110" t="s">
        <v>538</v>
      </c>
      <c r="AD2084" s="110" t="n">
        <f aca="false">IF(OR(F2084="",Q2084="",R2084=""),"",ROUND(IF(P2084="incl.",F2084/(1+Q2084),F2084)/IF(S2084="per pack",R2084,1),2))</f>
        <v>1.17</v>
      </c>
      <c r="AE2084" s="110" t="str">
        <f aca="false">IF(AND(AC2084="yes",ISNUMBER(F2084),IF(Compare!$H$5="All mapped",TRUE(),IF(Compare!$H$5="EXACT only",J2084="EXACT",OR(J2084="EXACT",J2084="CLOSE")))),"yes","no")</f>
        <v>yes</v>
      </c>
      <c r="AF2084" s="110" t="n">
        <f aca="false">IF(ISNUMBER(H2084),COUNTIFS($B$7:$B$3000,B2084,$C$7:$C$3000,C2084,$H$7:$H$3000,"&lt;"&amp;H2084,$AH$7:$AH$3000,"yes")+COUNTIFS($B$7:B2084,B2084,$C$7:C2084,C2084,$H$7:H2084,H2084,$AH$7:AH2084,"yes"),"")</f>
        <v>1</v>
      </c>
      <c r="AG2084" s="110" t="n">
        <f aca="false">IF(ISNUMBER(I2084),COUNTIFS($B$7:$B$3000,B2084,$C$7:$C$3000,C2084,$I$7:$I$3000,"&lt;"&amp;I2084,$AI$7:$AI$3000,"yes")+COUNTIFS($B$7:B2084,B2084,$C$7:C2084,C2084,$I$7:I2084,I2084,$AI$7:AI2084,"yes"),"")</f>
        <v>1</v>
      </c>
      <c r="AH2084" s="110" t="str">
        <f aca="false">IF(ISNUMBER(H2084),"yes","no")</f>
        <v>yes</v>
      </c>
      <c r="AI2084" s="110" t="str">
        <f aca="false">IF(ISNUMBER(I2084),"yes","no")</f>
        <v>yes</v>
      </c>
      <c r="AJ2084" s="120" t="n">
        <v>46297</v>
      </c>
      <c r="AK2084" s="110"/>
    </row>
    <row r="2085" customFormat="false" ht="23.85" hidden="false" customHeight="false" outlineLevel="0" collapsed="false">
      <c r="B2085" s="36" t="s">
        <v>110</v>
      </c>
      <c r="C2085" s="98" t="s">
        <v>14</v>
      </c>
      <c r="D2085" s="98" t="s">
        <v>373</v>
      </c>
      <c r="E2085" s="110" t="s">
        <v>6383</v>
      </c>
      <c r="F2085" s="99" t="n">
        <v>4.17</v>
      </c>
      <c r="G2085" s="98" t="s">
        <v>374</v>
      </c>
      <c r="H2085" s="112" t="n">
        <f aca="false">IF(AND(AE2085="yes",ISNUMBER(AD2085)),AD2085,"")</f>
        <v>4.17</v>
      </c>
      <c r="I2085" s="95" t="n">
        <f aca="false">IF(AND(AE2085="yes",ISNUMBER(AD2085),ISNUMBER(INDEX(Sources!$G$7:$G$10,MATCH(AB2085,Sources!$B$7:$B$10,0)))),ROUND(AD2085/INDEX(Sources!$G$7:$G$10,MATCH(AB2085,Sources!$B$7:$B$10,0)),6),"")</f>
        <v>0.790126</v>
      </c>
      <c r="J2085" s="98" t="s">
        <v>702</v>
      </c>
      <c r="K2085" s="98" t="s">
        <v>2059</v>
      </c>
      <c r="L2085" s="96"/>
      <c r="M2085" s="110" t="s">
        <v>6384</v>
      </c>
      <c r="N2085" s="117" t="s">
        <v>6385</v>
      </c>
      <c r="O2085" s="110" t="s">
        <v>6138</v>
      </c>
      <c r="P2085" s="110" t="s">
        <v>590</v>
      </c>
      <c r="Q2085" s="118" t="n">
        <v>0.21</v>
      </c>
      <c r="R2085" s="110" t="n">
        <v>1</v>
      </c>
      <c r="S2085" s="110" t="s">
        <v>632</v>
      </c>
      <c r="T2085" s="110" t="s">
        <v>702</v>
      </c>
      <c r="U2085" s="110" t="s">
        <v>2913</v>
      </c>
      <c r="V2085" s="119" t="n">
        <v>4.17</v>
      </c>
      <c r="W2085" s="119"/>
      <c r="X2085" s="110" t="s">
        <v>2063</v>
      </c>
      <c r="Y2085" s="110" t="s">
        <v>2064</v>
      </c>
      <c r="Z2085" s="110"/>
      <c r="AA2085" s="110" t="s">
        <v>537</v>
      </c>
      <c r="AB2085" s="110" t="s">
        <v>374</v>
      </c>
      <c r="AC2085" s="110" t="s">
        <v>538</v>
      </c>
      <c r="AD2085" s="110" t="n">
        <f aca="false">IF(OR(F2085="",Q2085="",R2085=""),"",ROUND(IF(P2085="incl.",F2085/(1+Q2085),F2085)/IF(S2085="per pack",R2085,1),2))</f>
        <v>4.17</v>
      </c>
      <c r="AE2085" s="110" t="str">
        <f aca="false">IF(AND(AC2085="yes",ISNUMBER(F2085),IF(Compare!$H$5="All mapped",TRUE(),IF(Compare!$H$5="EXACT only",J2085="EXACT",OR(J2085="EXACT",J2085="CLOSE")))),"yes","no")</f>
        <v>yes</v>
      </c>
      <c r="AF2085" s="110" t="n">
        <f aca="false">IF(ISNUMBER(H2085),COUNTIFS($B$7:$B$3000,B2085,$C$7:$C$3000,C2085,$H$7:$H$3000,"&lt;"&amp;H2085,$AH$7:$AH$3000,"yes")+COUNTIFS($B$7:B2085,B2085,$C$7:C2085,C2085,$H$7:H2085,H2085,$AH$7:AH2085,"yes"),"")</f>
        <v>1</v>
      </c>
      <c r="AG2085" s="110" t="n">
        <f aca="false">IF(ISNUMBER(I2085),COUNTIFS($B$7:$B$3000,B2085,$C$7:$C$3000,C2085,$I$7:$I$3000,"&lt;"&amp;I2085,$AI$7:$AI$3000,"yes")+COUNTIFS($B$7:B2085,B2085,$C$7:C2085,C2085,$I$7:I2085,I2085,$AI$7:AI2085,"yes"),"")</f>
        <v>1</v>
      </c>
      <c r="AH2085" s="110" t="str">
        <f aca="false">IF(ISNUMBER(H2085),"yes","no")</f>
        <v>yes</v>
      </c>
      <c r="AI2085" s="110" t="str">
        <f aca="false">IF(ISNUMBER(I2085),"yes","no")</f>
        <v>yes</v>
      </c>
      <c r="AJ2085" s="120" t="n">
        <v>46297</v>
      </c>
      <c r="AK2085" s="110"/>
    </row>
    <row r="2086" customFormat="false" ht="46.25" hidden="false" customHeight="false" outlineLevel="0" collapsed="false">
      <c r="B2086" s="36" t="s">
        <v>110</v>
      </c>
      <c r="C2086" s="98" t="s">
        <v>14</v>
      </c>
      <c r="D2086" s="98" t="s">
        <v>4143</v>
      </c>
      <c r="E2086" s="110" t="s">
        <v>6386</v>
      </c>
      <c r="F2086" s="99" t="n">
        <v>173.68</v>
      </c>
      <c r="G2086" s="98" t="s">
        <v>374</v>
      </c>
      <c r="H2086" s="112" t="n">
        <f aca="false">IF(AND(AE2086="yes",ISNUMBER(AD2086)),AD2086,"")</f>
        <v>14.47</v>
      </c>
      <c r="I2086" s="95" t="n">
        <f aca="false">IF(AND(AE2086="yes",ISNUMBER(AD2086),ISNUMBER(INDEX(Sources!$G$7:$G$10,MATCH(AB2086,Sources!$B$7:$B$10,0)))),ROUND(AD2086/INDEX(Sources!$G$7:$G$10,MATCH(AB2086,Sources!$B$7:$B$10,0)),6),"")</f>
        <v>2.741755</v>
      </c>
      <c r="J2086" s="98" t="s">
        <v>702</v>
      </c>
      <c r="K2086" s="98" t="s">
        <v>2059</v>
      </c>
      <c r="L2086" s="96"/>
      <c r="M2086" s="110" t="s">
        <v>6387</v>
      </c>
      <c r="N2086" s="117" t="s">
        <v>6388</v>
      </c>
      <c r="O2086" s="110" t="s">
        <v>317</v>
      </c>
      <c r="P2086" s="110" t="s">
        <v>590</v>
      </c>
      <c r="Q2086" s="118" t="n">
        <v>0.21</v>
      </c>
      <c r="R2086" s="110" t="n">
        <v>12</v>
      </c>
      <c r="S2086" s="110" t="s">
        <v>625</v>
      </c>
      <c r="T2086" s="110" t="s">
        <v>702</v>
      </c>
      <c r="U2086" s="110" t="s">
        <v>2913</v>
      </c>
      <c r="V2086" s="119" t="n">
        <v>14.47</v>
      </c>
      <c r="W2086" s="119"/>
      <c r="X2086" s="110" t="s">
        <v>2063</v>
      </c>
      <c r="Y2086" s="110" t="s">
        <v>2064</v>
      </c>
      <c r="Z2086" s="110"/>
      <c r="AA2086" s="110" t="s">
        <v>537</v>
      </c>
      <c r="AB2086" s="110" t="s">
        <v>374</v>
      </c>
      <c r="AC2086" s="110" t="s">
        <v>538</v>
      </c>
      <c r="AD2086" s="110" t="n">
        <f aca="false">IF(OR(F2086="",Q2086="",R2086=""),"",ROUND(IF(P2086="incl.",F2086/(1+Q2086),F2086)/IF(S2086="per pack",R2086,1),2))</f>
        <v>14.47</v>
      </c>
      <c r="AE2086" s="110" t="str">
        <f aca="false">IF(AND(AC2086="yes",ISNUMBER(F2086),IF(Compare!$H$5="All mapped",TRUE(),IF(Compare!$H$5="EXACT only",J2086="EXACT",OR(J2086="EXACT",J2086="CLOSE")))),"yes","no")</f>
        <v>yes</v>
      </c>
      <c r="AF2086" s="110" t="n">
        <f aca="false">IF(ISNUMBER(H2086),COUNTIFS($B$7:$B$3000,B2086,$C$7:$C$3000,C2086,$H$7:$H$3000,"&lt;"&amp;H2086,$AH$7:$AH$3000,"yes")+COUNTIFS($B$7:B2086,B2086,$C$7:C2086,C2086,$H$7:H2086,H2086,$AH$7:AH2086,"yes"),"")</f>
        <v>4</v>
      </c>
      <c r="AG2086" s="110" t="n">
        <f aca="false">IF(ISNUMBER(I2086),COUNTIFS($B$7:$B$3000,B2086,$C$7:$C$3000,C2086,$I$7:$I$3000,"&lt;"&amp;I2086,$AI$7:$AI$3000,"yes")+COUNTIFS($B$7:B2086,B2086,$C$7:C2086,C2086,$I$7:I2086,I2086,$AI$7:AI2086,"yes"),"")</f>
        <v>4</v>
      </c>
      <c r="AH2086" s="110" t="str">
        <f aca="false">IF(ISNUMBER(H2086),"yes","no")</f>
        <v>yes</v>
      </c>
      <c r="AI2086" s="110" t="str">
        <f aca="false">IF(ISNUMBER(I2086),"yes","no")</f>
        <v>yes</v>
      </c>
      <c r="AJ2086" s="120" t="n">
        <v>46297</v>
      </c>
      <c r="AK2086" s="110"/>
    </row>
    <row r="2087" customFormat="false" ht="35.05" hidden="false" customHeight="false" outlineLevel="0" collapsed="false">
      <c r="B2087" s="36" t="s">
        <v>110</v>
      </c>
      <c r="C2087" s="98" t="s">
        <v>14</v>
      </c>
      <c r="D2087" s="98" t="s">
        <v>346</v>
      </c>
      <c r="E2087" s="110" t="s">
        <v>6389</v>
      </c>
      <c r="F2087" s="99" t="n">
        <v>19.45</v>
      </c>
      <c r="G2087" s="98" t="s">
        <v>374</v>
      </c>
      <c r="H2087" s="112" t="n">
        <f aca="false">IF(AND(AE2087="yes",ISNUMBER(AD2087)),AD2087,"")</f>
        <v>16.07</v>
      </c>
      <c r="I2087" s="95" t="n">
        <f aca="false">IF(AND(AE2087="yes",ISNUMBER(AD2087),ISNUMBER(INDEX(Sources!$G$7:$G$10,MATCH(AB2087,Sources!$B$7:$B$10,0)))),ROUND(AD2087/INDEX(Sources!$G$7:$G$10,MATCH(AB2087,Sources!$B$7:$B$10,0)),6),"")</f>
        <v>3.044921</v>
      </c>
      <c r="J2087" s="98" t="s">
        <v>530</v>
      </c>
      <c r="K2087" s="98" t="s">
        <v>2059</v>
      </c>
      <c r="L2087" s="96"/>
      <c r="M2087" s="110" t="s">
        <v>6390</v>
      </c>
      <c r="N2087" s="117" t="s">
        <v>6391</v>
      </c>
      <c r="O2087" s="110" t="s">
        <v>662</v>
      </c>
      <c r="P2087" s="110" t="s">
        <v>265</v>
      </c>
      <c r="Q2087" s="118" t="n">
        <v>0.21</v>
      </c>
      <c r="R2087" s="110" t="n">
        <v>1</v>
      </c>
      <c r="S2087" s="110" t="s">
        <v>632</v>
      </c>
      <c r="T2087" s="110" t="s">
        <v>530</v>
      </c>
      <c r="U2087" s="110" t="s">
        <v>2918</v>
      </c>
      <c r="V2087" s="119" t="n">
        <v>16.07</v>
      </c>
      <c r="W2087" s="119"/>
      <c r="X2087" s="110" t="s">
        <v>2063</v>
      </c>
      <c r="Y2087" s="110" t="s">
        <v>2064</v>
      </c>
      <c r="Z2087" s="110" t="s">
        <v>6309</v>
      </c>
      <c r="AA2087" s="110" t="s">
        <v>537</v>
      </c>
      <c r="AB2087" s="110" t="s">
        <v>374</v>
      </c>
      <c r="AC2087" s="110" t="s">
        <v>538</v>
      </c>
      <c r="AD2087" s="110" t="n">
        <f aca="false">IF(OR(F2087="",Q2087="",R2087=""),"",ROUND(IF(P2087="incl.",F2087/(1+Q2087),F2087)/IF(S2087="per pack",R2087,1),2))</f>
        <v>16.07</v>
      </c>
      <c r="AE2087" s="110" t="str">
        <f aca="false">IF(AND(AC2087="yes",ISNUMBER(F2087),IF(Compare!$H$5="All mapped",TRUE(),IF(Compare!$H$5="EXACT only",J2087="EXACT",OR(J2087="EXACT",J2087="CLOSE")))),"yes","no")</f>
        <v>yes</v>
      </c>
      <c r="AF2087" s="110" t="n">
        <f aca="false">IF(ISNUMBER(H2087),COUNTIFS($B$7:$B$3000,B2087,$C$7:$C$3000,C2087,$H$7:$H$3000,"&lt;"&amp;H2087,$AH$7:$AH$3000,"yes")+COUNTIFS($B$7:B2087,B2087,$C$7:C2087,C2087,$H$7:H2087,H2087,$AH$7:AH2087,"yes"),"")</f>
        <v>5</v>
      </c>
      <c r="AG2087" s="110" t="n">
        <f aca="false">IF(ISNUMBER(I2087),COUNTIFS($B$7:$B$3000,B2087,$C$7:$C$3000,C2087,$I$7:$I$3000,"&lt;"&amp;I2087,$AI$7:$AI$3000,"yes")+COUNTIFS($B$7:B2087,B2087,$C$7:C2087,C2087,$I$7:I2087,I2087,$AI$7:AI2087,"yes"),"")</f>
        <v>5</v>
      </c>
      <c r="AH2087" s="110" t="str">
        <f aca="false">IF(ISNUMBER(H2087),"yes","no")</f>
        <v>yes</v>
      </c>
      <c r="AI2087" s="110" t="str">
        <f aca="false">IF(ISNUMBER(I2087),"yes","no")</f>
        <v>yes</v>
      </c>
      <c r="AJ2087" s="120" t="n">
        <v>46297</v>
      </c>
      <c r="AK2087" s="110"/>
    </row>
    <row r="2088" customFormat="false" ht="23.85" hidden="false" customHeight="false" outlineLevel="0" collapsed="false">
      <c r="B2088" s="36" t="s">
        <v>110</v>
      </c>
      <c r="C2088" s="98" t="s">
        <v>14</v>
      </c>
      <c r="D2088" s="98" t="s">
        <v>403</v>
      </c>
      <c r="E2088" s="110" t="s">
        <v>6392</v>
      </c>
      <c r="F2088" s="99" t="n">
        <v>5.84</v>
      </c>
      <c r="G2088" s="98" t="s">
        <v>374</v>
      </c>
      <c r="H2088" s="112" t="n">
        <f aca="false">IF(AND(AE2088="yes",ISNUMBER(AD2088)),AD2088,"")</f>
        <v>5.84</v>
      </c>
      <c r="I2088" s="95" t="n">
        <f aca="false">IF(AND(AE2088="yes",ISNUMBER(AD2088),ISNUMBER(INDEX(Sources!$G$7:$G$10,MATCH(AB2088,Sources!$B$7:$B$10,0)))),ROUND(AD2088/INDEX(Sources!$G$7:$G$10,MATCH(AB2088,Sources!$B$7:$B$10,0)),6),"")</f>
        <v>1.106555</v>
      </c>
      <c r="J2088" s="98" t="s">
        <v>530</v>
      </c>
      <c r="K2088" s="98" t="s">
        <v>2059</v>
      </c>
      <c r="L2088" s="96"/>
      <c r="M2088" s="110" t="s">
        <v>6393</v>
      </c>
      <c r="N2088" s="117" t="s">
        <v>6394</v>
      </c>
      <c r="O2088" s="110" t="s">
        <v>388</v>
      </c>
      <c r="P2088" s="110" t="s">
        <v>590</v>
      </c>
      <c r="Q2088" s="118" t="n">
        <v>0.21</v>
      </c>
      <c r="R2088" s="110" t="n">
        <v>1</v>
      </c>
      <c r="S2088" s="110" t="s">
        <v>632</v>
      </c>
      <c r="T2088" s="110" t="s">
        <v>530</v>
      </c>
      <c r="U2088" s="110" t="s">
        <v>2913</v>
      </c>
      <c r="V2088" s="119" t="n">
        <v>5.84</v>
      </c>
      <c r="W2088" s="119"/>
      <c r="X2088" s="110" t="s">
        <v>2063</v>
      </c>
      <c r="Y2088" s="110" t="s">
        <v>2064</v>
      </c>
      <c r="Z2088" s="110"/>
      <c r="AA2088" s="110" t="s">
        <v>537</v>
      </c>
      <c r="AB2088" s="110" t="s">
        <v>374</v>
      </c>
      <c r="AC2088" s="110" t="s">
        <v>538</v>
      </c>
      <c r="AD2088" s="110" t="n">
        <f aca="false">IF(OR(F2088="",Q2088="",R2088=""),"",ROUND(IF(P2088="incl.",F2088/(1+Q2088),F2088)/IF(S2088="per pack",R2088,1),2))</f>
        <v>5.84</v>
      </c>
      <c r="AE2088" s="110" t="str">
        <f aca="false">IF(AND(AC2088="yes",ISNUMBER(F2088),IF(Compare!$H$5="All mapped",TRUE(),IF(Compare!$H$5="EXACT only",J2088="EXACT",OR(J2088="EXACT",J2088="CLOSE")))),"yes","no")</f>
        <v>yes</v>
      </c>
      <c r="AF2088" s="110" t="n">
        <f aca="false">IF(ISNUMBER(H2088),COUNTIFS($B$7:$B$3000,B2088,$C$7:$C$3000,C2088,$H$7:$H$3000,"&lt;"&amp;H2088,$AH$7:$AH$3000,"yes")+COUNTIFS($B$7:B2088,B2088,$C$7:C2088,C2088,$H$7:H2088,H2088,$AH$7:AH2088,"yes"),"")</f>
        <v>2</v>
      </c>
      <c r="AG2088" s="110" t="n">
        <f aca="false">IF(ISNUMBER(I2088),COUNTIFS($B$7:$B$3000,B2088,$C$7:$C$3000,C2088,$I$7:$I$3000,"&lt;"&amp;I2088,$AI$7:$AI$3000,"yes")+COUNTIFS($B$7:B2088,B2088,$C$7:C2088,C2088,$I$7:I2088,I2088,$AI$7:AI2088,"yes"),"")</f>
        <v>2</v>
      </c>
      <c r="AH2088" s="110" t="str">
        <f aca="false">IF(ISNUMBER(H2088),"yes","no")</f>
        <v>yes</v>
      </c>
      <c r="AI2088" s="110" t="str">
        <f aca="false">IF(ISNUMBER(I2088),"yes","no")</f>
        <v>yes</v>
      </c>
      <c r="AJ2088" s="120" t="n">
        <v>46297</v>
      </c>
      <c r="AK2088" s="110"/>
    </row>
    <row r="2089" customFormat="false" ht="23.85" hidden="false" customHeight="false" outlineLevel="0" collapsed="false">
      <c r="B2089" s="36" t="s">
        <v>110</v>
      </c>
      <c r="C2089" s="98" t="s">
        <v>14</v>
      </c>
      <c r="D2089" s="98" t="s">
        <v>403</v>
      </c>
      <c r="E2089" s="110" t="s">
        <v>6395</v>
      </c>
      <c r="F2089" s="99" t="n">
        <v>12.14</v>
      </c>
      <c r="G2089" s="98" t="s">
        <v>374</v>
      </c>
      <c r="H2089" s="112" t="n">
        <f aca="false">IF(AND(AE2089="yes",ISNUMBER(AD2089)),AD2089,"")</f>
        <v>12.14</v>
      </c>
      <c r="I2089" s="95" t="n">
        <f aca="false">IF(AND(AE2089="yes",ISNUMBER(AD2089),ISNUMBER(INDEX(Sources!$G$7:$G$10,MATCH(AB2089,Sources!$B$7:$B$10,0)))),ROUND(AD2089/INDEX(Sources!$G$7:$G$10,MATCH(AB2089,Sources!$B$7:$B$10,0)),6),"")</f>
        <v>2.30027</v>
      </c>
      <c r="J2089" s="98" t="s">
        <v>530</v>
      </c>
      <c r="K2089" s="98" t="s">
        <v>2059</v>
      </c>
      <c r="L2089" s="96"/>
      <c r="M2089" s="110" t="s">
        <v>6396</v>
      </c>
      <c r="N2089" s="117" t="s">
        <v>6397</v>
      </c>
      <c r="O2089" s="110" t="s">
        <v>662</v>
      </c>
      <c r="P2089" s="110" t="s">
        <v>590</v>
      </c>
      <c r="Q2089" s="118" t="n">
        <v>0.21</v>
      </c>
      <c r="R2089" s="110" t="n">
        <v>1</v>
      </c>
      <c r="S2089" s="110" t="s">
        <v>632</v>
      </c>
      <c r="T2089" s="110" t="s">
        <v>530</v>
      </c>
      <c r="U2089" s="110" t="s">
        <v>2913</v>
      </c>
      <c r="V2089" s="119" t="n">
        <v>12.14</v>
      </c>
      <c r="W2089" s="119"/>
      <c r="X2089" s="110" t="s">
        <v>2063</v>
      </c>
      <c r="Y2089" s="110" t="s">
        <v>2064</v>
      </c>
      <c r="Z2089" s="110"/>
      <c r="AA2089" s="110" t="s">
        <v>537</v>
      </c>
      <c r="AB2089" s="110" t="s">
        <v>374</v>
      </c>
      <c r="AC2089" s="110" t="s">
        <v>538</v>
      </c>
      <c r="AD2089" s="110" t="n">
        <f aca="false">IF(OR(F2089="",Q2089="",R2089=""),"",ROUND(IF(P2089="incl.",F2089/(1+Q2089),F2089)/IF(S2089="per pack",R2089,1),2))</f>
        <v>12.14</v>
      </c>
      <c r="AE2089" s="110" t="str">
        <f aca="false">IF(AND(AC2089="yes",ISNUMBER(F2089),IF(Compare!$H$5="All mapped",TRUE(),IF(Compare!$H$5="EXACT only",J2089="EXACT",OR(J2089="EXACT",J2089="CLOSE")))),"yes","no")</f>
        <v>yes</v>
      </c>
      <c r="AF2089" s="110" t="n">
        <f aca="false">IF(ISNUMBER(H2089),COUNTIFS($B$7:$B$3000,B2089,$C$7:$C$3000,C2089,$H$7:$H$3000,"&lt;"&amp;H2089,$AH$7:$AH$3000,"yes")+COUNTIFS($B$7:B2089,B2089,$C$7:C2089,C2089,$H$7:H2089,H2089,$AH$7:AH2089,"yes"),"")</f>
        <v>3</v>
      </c>
      <c r="AG2089" s="110" t="n">
        <f aca="false">IF(ISNUMBER(I2089),COUNTIFS($B$7:$B$3000,B2089,$C$7:$C$3000,C2089,$I$7:$I$3000,"&lt;"&amp;I2089,$AI$7:$AI$3000,"yes")+COUNTIFS($B$7:B2089,B2089,$C$7:C2089,C2089,$I$7:I2089,I2089,$AI$7:AI2089,"yes"),"")</f>
        <v>3</v>
      </c>
      <c r="AH2089" s="110" t="str">
        <f aca="false">IF(ISNUMBER(H2089),"yes","no")</f>
        <v>yes</v>
      </c>
      <c r="AI2089" s="110" t="str">
        <f aca="false">IF(ISNUMBER(I2089),"yes","no")</f>
        <v>yes</v>
      </c>
      <c r="AJ2089" s="120" t="n">
        <v>46297</v>
      </c>
      <c r="AK2089" s="110"/>
    </row>
    <row r="2090" customFormat="false" ht="35.05" hidden="false" customHeight="false" outlineLevel="0" collapsed="false">
      <c r="B2090" s="36" t="s">
        <v>110</v>
      </c>
      <c r="C2090" s="98" t="s">
        <v>15</v>
      </c>
      <c r="D2090" s="98" t="s">
        <v>277</v>
      </c>
      <c r="E2090" s="110" t="s">
        <v>6398</v>
      </c>
      <c r="F2090" s="99" t="n">
        <v>29.49</v>
      </c>
      <c r="G2090" s="98" t="s">
        <v>244</v>
      </c>
      <c r="H2090" s="112" t="n">
        <f aca="false">IF(AND(AE2090="yes",ISNUMBER(AD2090)),AD2090,"")</f>
        <v>2.46</v>
      </c>
      <c r="I2090" s="95" t="n">
        <f aca="false">IF(AND(AE2090="yes",ISNUMBER(AD2090),ISNUMBER(INDEX(Sources!$G$7:$G$10,MATCH(AB2090,Sources!$B$7:$B$10,0)))),ROUND(AD2090/INDEX(Sources!$G$7:$G$10,MATCH(AB2090,Sources!$B$7:$B$10,0)),6),"")</f>
        <v>2.46</v>
      </c>
      <c r="J2090" s="98" t="s">
        <v>530</v>
      </c>
      <c r="K2090" s="98" t="s">
        <v>2059</v>
      </c>
      <c r="L2090" s="96"/>
      <c r="M2090" s="110" t="s">
        <v>6399</v>
      </c>
      <c r="N2090" s="117" t="s">
        <v>6400</v>
      </c>
      <c r="O2090" s="110" t="s">
        <v>317</v>
      </c>
      <c r="P2090" s="110" t="s">
        <v>590</v>
      </c>
      <c r="Q2090" s="118" t="n">
        <v>0.19</v>
      </c>
      <c r="R2090" s="110" t="n">
        <v>12</v>
      </c>
      <c r="S2090" s="110" t="s">
        <v>625</v>
      </c>
      <c r="T2090" s="110" t="s">
        <v>530</v>
      </c>
      <c r="U2090" s="110" t="s">
        <v>2913</v>
      </c>
      <c r="V2090" s="119" t="n">
        <v>2.46</v>
      </c>
      <c r="W2090" s="119"/>
      <c r="X2090" s="110" t="s">
        <v>2063</v>
      </c>
      <c r="Y2090" s="110" t="s">
        <v>2064</v>
      </c>
      <c r="Z2090" s="110" t="s">
        <v>4521</v>
      </c>
      <c r="AA2090" s="110" t="s">
        <v>537</v>
      </c>
      <c r="AB2090" s="110" t="s">
        <v>244</v>
      </c>
      <c r="AC2090" s="110" t="s">
        <v>538</v>
      </c>
      <c r="AD2090" s="110" t="n">
        <f aca="false">IF(OR(F2090="",Q2090="",R2090=""),"",ROUND(IF(P2090="incl.",F2090/(1+Q2090),F2090)/IF(S2090="per pack",R2090,1),2))</f>
        <v>2.46</v>
      </c>
      <c r="AE2090" s="110" t="str">
        <f aca="false">IF(AND(AC2090="yes",ISNUMBER(F2090),IF(Compare!$H$5="All mapped",TRUE(),IF(Compare!$H$5="EXACT only",J2090="EXACT",OR(J2090="EXACT",J2090="CLOSE")))),"yes","no")</f>
        <v>yes</v>
      </c>
      <c r="AF2090" s="110" t="n">
        <f aca="false">IF(ISNUMBER(H2090),COUNTIFS($B$7:$B$3000,B2090,$C$7:$C$3000,C2090,$H$7:$H$3000,"&lt;"&amp;H2090,$AH$7:$AH$3000,"yes")+COUNTIFS($B$7:B2090,B2090,$C$7:C2090,C2090,$H$7:H2090,H2090,$AH$7:AH2090,"yes"),"")</f>
        <v>4</v>
      </c>
      <c r="AG2090" s="110" t="n">
        <f aca="false">IF(ISNUMBER(I2090),COUNTIFS($B$7:$B$3000,B2090,$C$7:$C$3000,C2090,$I$7:$I$3000,"&lt;"&amp;I2090,$AI$7:$AI$3000,"yes")+COUNTIFS($B$7:B2090,B2090,$C$7:C2090,C2090,$I$7:I2090,I2090,$AI$7:AI2090,"yes"),"")</f>
        <v>4</v>
      </c>
      <c r="AH2090" s="110" t="str">
        <f aca="false">IF(ISNUMBER(H2090),"yes","no")</f>
        <v>yes</v>
      </c>
      <c r="AI2090" s="110" t="str">
        <f aca="false">IF(ISNUMBER(I2090),"yes","no")</f>
        <v>yes</v>
      </c>
      <c r="AJ2090" s="120" t="n">
        <v>46297</v>
      </c>
      <c r="AK2090" s="110"/>
    </row>
    <row r="2091" customFormat="false" ht="23.85" hidden="false" customHeight="false" outlineLevel="0" collapsed="false">
      <c r="B2091" s="36" t="s">
        <v>110</v>
      </c>
      <c r="C2091" s="98" t="s">
        <v>15</v>
      </c>
      <c r="D2091" s="98" t="s">
        <v>257</v>
      </c>
      <c r="E2091" s="110" t="s">
        <v>6401</v>
      </c>
      <c r="F2091" s="99" t="n">
        <v>1.15</v>
      </c>
      <c r="G2091" s="98" t="s">
        <v>244</v>
      </c>
      <c r="H2091" s="112" t="n">
        <f aca="false">IF(AND(AE2091="yes",ISNUMBER(AD2091)),AD2091,"")</f>
        <v>1.15</v>
      </c>
      <c r="I2091" s="95" t="n">
        <f aca="false">IF(AND(AE2091="yes",ISNUMBER(AD2091),ISNUMBER(INDEX(Sources!$G$7:$G$10,MATCH(AB2091,Sources!$B$7:$B$10,0)))),ROUND(AD2091/INDEX(Sources!$G$7:$G$10,MATCH(AB2091,Sources!$B$7:$B$10,0)),6),"")</f>
        <v>1.15</v>
      </c>
      <c r="J2091" s="98" t="s">
        <v>530</v>
      </c>
      <c r="K2091" s="98" t="s">
        <v>2059</v>
      </c>
      <c r="L2091" s="96"/>
      <c r="M2091" s="110" t="s">
        <v>6402</v>
      </c>
      <c r="N2091" s="117" t="s">
        <v>6403</v>
      </c>
      <c r="O2091" s="110" t="s">
        <v>2396</v>
      </c>
      <c r="P2091" s="110" t="s">
        <v>590</v>
      </c>
      <c r="Q2091" s="118" t="n">
        <v>0.2</v>
      </c>
      <c r="R2091" s="110" t="n">
        <v>1</v>
      </c>
      <c r="S2091" s="110" t="s">
        <v>632</v>
      </c>
      <c r="T2091" s="110" t="s">
        <v>530</v>
      </c>
      <c r="U2091" s="110" t="s">
        <v>2913</v>
      </c>
      <c r="V2091" s="119" t="n">
        <v>1.15</v>
      </c>
      <c r="W2091" s="119"/>
      <c r="X2091" s="110" t="s">
        <v>2063</v>
      </c>
      <c r="Y2091" s="110" t="s">
        <v>2064</v>
      </c>
      <c r="Z2091" s="110" t="s">
        <v>4341</v>
      </c>
      <c r="AA2091" s="110" t="s">
        <v>537</v>
      </c>
      <c r="AB2091" s="110" t="s">
        <v>244</v>
      </c>
      <c r="AC2091" s="110" t="s">
        <v>538</v>
      </c>
      <c r="AD2091" s="110" t="n">
        <f aca="false">IF(OR(F2091="",Q2091="",R2091=""),"",ROUND(IF(P2091="incl.",F2091/(1+Q2091),F2091)/IF(S2091="per pack",R2091,1),2))</f>
        <v>1.15</v>
      </c>
      <c r="AE2091" s="110" t="str">
        <f aca="false">IF(AND(AC2091="yes",ISNUMBER(F2091),IF(Compare!$H$5="All mapped",TRUE(),IF(Compare!$H$5="EXACT only",J2091="EXACT",OR(J2091="EXACT",J2091="CLOSE")))),"yes","no")</f>
        <v>yes</v>
      </c>
      <c r="AF2091" s="110" t="n">
        <f aca="false">IF(ISNUMBER(H2091),COUNTIFS($B$7:$B$3000,B2091,$C$7:$C$3000,C2091,$H$7:$H$3000,"&lt;"&amp;H2091,$AH$7:$AH$3000,"yes")+COUNTIFS($B$7:B2091,B2091,$C$7:C2091,C2091,$H$7:H2091,H2091,$AH$7:AH2091,"yes"),"")</f>
        <v>1</v>
      </c>
      <c r="AG2091" s="110" t="n">
        <f aca="false">IF(ISNUMBER(I2091),COUNTIFS($B$7:$B$3000,B2091,$C$7:$C$3000,C2091,$I$7:$I$3000,"&lt;"&amp;I2091,$AI$7:$AI$3000,"yes")+COUNTIFS($B$7:B2091,B2091,$C$7:C2091,C2091,$I$7:I2091,I2091,$AI$7:AI2091,"yes"),"")</f>
        <v>1</v>
      </c>
      <c r="AH2091" s="110" t="str">
        <f aca="false">IF(ISNUMBER(H2091),"yes","no")</f>
        <v>yes</v>
      </c>
      <c r="AI2091" s="110" t="str">
        <f aca="false">IF(ISNUMBER(I2091),"yes","no")</f>
        <v>yes</v>
      </c>
      <c r="AJ2091" s="120" t="n">
        <v>46297</v>
      </c>
      <c r="AK2091" s="110"/>
    </row>
    <row r="2092" customFormat="false" ht="35.05" hidden="false" customHeight="false" outlineLevel="0" collapsed="false">
      <c r="B2092" s="36" t="s">
        <v>110</v>
      </c>
      <c r="C2092" s="98" t="s">
        <v>15</v>
      </c>
      <c r="D2092" s="98" t="s">
        <v>264</v>
      </c>
      <c r="E2092" s="110" t="s">
        <v>6404</v>
      </c>
      <c r="F2092" s="99" t="n">
        <v>10.38</v>
      </c>
      <c r="G2092" s="98" t="s">
        <v>244</v>
      </c>
      <c r="H2092" s="112" t="n">
        <f aca="false">IF(AND(AE2092="yes",ISNUMBER(AD2092)),AD2092,"")</f>
        <v>10.38</v>
      </c>
      <c r="I2092" s="95" t="n">
        <f aca="false">IF(AND(AE2092="yes",ISNUMBER(AD2092),ISNUMBER(INDEX(Sources!$G$7:$G$10,MATCH(AB2092,Sources!$B$7:$B$10,0)))),ROUND(AD2092/INDEX(Sources!$G$7:$G$10,MATCH(AB2092,Sources!$B$7:$B$10,0)),6),"")</f>
        <v>10.38</v>
      </c>
      <c r="J2092" s="98" t="s">
        <v>702</v>
      </c>
      <c r="K2092" s="98" t="s">
        <v>2059</v>
      </c>
      <c r="L2092" s="96"/>
      <c r="M2092" s="110" t="s">
        <v>6405</v>
      </c>
      <c r="N2092" s="117" t="s">
        <v>6406</v>
      </c>
      <c r="O2092" s="110" t="s">
        <v>388</v>
      </c>
      <c r="P2092" s="110" t="s">
        <v>590</v>
      </c>
      <c r="Q2092" s="118" t="n">
        <v>0.19</v>
      </c>
      <c r="R2092" s="110" t="n">
        <v>1</v>
      </c>
      <c r="S2092" s="110" t="s">
        <v>632</v>
      </c>
      <c r="T2092" s="110" t="s">
        <v>702</v>
      </c>
      <c r="U2092" s="110" t="s">
        <v>2913</v>
      </c>
      <c r="V2092" s="119" t="n">
        <v>10.38</v>
      </c>
      <c r="W2092" s="119"/>
      <c r="X2092" s="110" t="s">
        <v>2063</v>
      </c>
      <c r="Y2092" s="110" t="s">
        <v>2064</v>
      </c>
      <c r="Z2092" s="110"/>
      <c r="AA2092" s="110" t="s">
        <v>537</v>
      </c>
      <c r="AB2092" s="110" t="s">
        <v>244</v>
      </c>
      <c r="AC2092" s="110" t="s">
        <v>538</v>
      </c>
      <c r="AD2092" s="110" t="n">
        <f aca="false">IF(OR(F2092="",Q2092="",R2092=""),"",ROUND(IF(P2092="incl.",F2092/(1+Q2092),F2092)/IF(S2092="per pack",R2092,1),2))</f>
        <v>10.38</v>
      </c>
      <c r="AE2092" s="110" t="str">
        <f aca="false">IF(AND(AC2092="yes",ISNUMBER(F2092),IF(Compare!$H$5="All mapped",TRUE(),IF(Compare!$H$5="EXACT only",J2092="EXACT",OR(J2092="EXACT",J2092="CLOSE")))),"yes","no")</f>
        <v>yes</v>
      </c>
      <c r="AF2092" s="110" t="n">
        <f aca="false">IF(ISNUMBER(H2092),COUNTIFS($B$7:$B$3000,B2092,$C$7:$C$3000,C2092,$H$7:$H$3000,"&lt;"&amp;H2092,$AH$7:$AH$3000,"yes")+COUNTIFS($B$7:B2092,B2092,$C$7:C2092,C2092,$H$7:H2092,H2092,$AH$7:AH2092,"yes"),"")</f>
        <v>6</v>
      </c>
      <c r="AG2092" s="110" t="n">
        <f aca="false">IF(ISNUMBER(I2092),COUNTIFS($B$7:$B$3000,B2092,$C$7:$C$3000,C2092,$I$7:$I$3000,"&lt;"&amp;I2092,$AI$7:$AI$3000,"yes")+COUNTIFS($B$7:B2092,B2092,$C$7:C2092,C2092,$I$7:I2092,I2092,$AI$7:AI2092,"yes"),"")</f>
        <v>6</v>
      </c>
      <c r="AH2092" s="110" t="str">
        <f aca="false">IF(ISNUMBER(H2092),"yes","no")</f>
        <v>yes</v>
      </c>
      <c r="AI2092" s="110" t="str">
        <f aca="false">IF(ISNUMBER(I2092),"yes","no")</f>
        <v>yes</v>
      </c>
      <c r="AJ2092" s="120" t="n">
        <v>46297</v>
      </c>
      <c r="AK2092" s="110"/>
    </row>
    <row r="2093" customFormat="false" ht="23.85" hidden="false" customHeight="false" outlineLevel="0" collapsed="false">
      <c r="B2093" s="36" t="s">
        <v>110</v>
      </c>
      <c r="C2093" s="98" t="s">
        <v>15</v>
      </c>
      <c r="D2093" s="98" t="s">
        <v>273</v>
      </c>
      <c r="E2093" s="110" t="s">
        <v>6407</v>
      </c>
      <c r="F2093" s="99" t="n">
        <v>3.69</v>
      </c>
      <c r="G2093" s="98" t="s">
        <v>244</v>
      </c>
      <c r="H2093" s="112" t="n">
        <f aca="false">IF(AND(AE2093="yes",ISNUMBER(AD2093)),AD2093,"")</f>
        <v>3.08</v>
      </c>
      <c r="I2093" s="95" t="n">
        <f aca="false">IF(AND(AE2093="yes",ISNUMBER(AD2093),ISNUMBER(INDEX(Sources!$G$7:$G$10,MATCH(AB2093,Sources!$B$7:$B$10,0)))),ROUND(AD2093/INDEX(Sources!$G$7:$G$10,MATCH(AB2093,Sources!$B$7:$B$10,0)),6),"")</f>
        <v>3.08</v>
      </c>
      <c r="J2093" s="98" t="s">
        <v>702</v>
      </c>
      <c r="K2093" s="98" t="s">
        <v>2059</v>
      </c>
      <c r="L2093" s="96"/>
      <c r="M2093" s="110" t="s">
        <v>6408</v>
      </c>
      <c r="N2093" s="117" t="s">
        <v>6409</v>
      </c>
      <c r="O2093" s="110" t="s">
        <v>642</v>
      </c>
      <c r="P2093" s="110" t="s">
        <v>265</v>
      </c>
      <c r="Q2093" s="118" t="n">
        <v>0.2</v>
      </c>
      <c r="R2093" s="110" t="n">
        <v>1</v>
      </c>
      <c r="S2093" s="110" t="s">
        <v>632</v>
      </c>
      <c r="T2093" s="110" t="s">
        <v>702</v>
      </c>
      <c r="U2093" s="110" t="s">
        <v>2918</v>
      </c>
      <c r="V2093" s="119" t="n">
        <v>3.08</v>
      </c>
      <c r="W2093" s="119"/>
      <c r="X2093" s="110" t="s">
        <v>2063</v>
      </c>
      <c r="Y2093" s="110" t="s">
        <v>2064</v>
      </c>
      <c r="Z2093" s="110"/>
      <c r="AA2093" s="110" t="s">
        <v>537</v>
      </c>
      <c r="AB2093" s="110" t="s">
        <v>244</v>
      </c>
      <c r="AC2093" s="110" t="s">
        <v>538</v>
      </c>
      <c r="AD2093" s="110" t="n">
        <f aca="false">IF(OR(F2093="",Q2093="",R2093=""),"",ROUND(IF(P2093="incl.",F2093/(1+Q2093),F2093)/IF(S2093="per pack",R2093,1),2))</f>
        <v>3.08</v>
      </c>
      <c r="AE2093" s="110" t="str">
        <f aca="false">IF(AND(AC2093="yes",ISNUMBER(F2093),IF(Compare!$H$5="All mapped",TRUE(),IF(Compare!$H$5="EXACT only",J2093="EXACT",OR(J2093="EXACT",J2093="CLOSE")))),"yes","no")</f>
        <v>yes</v>
      </c>
      <c r="AF2093" s="110" t="n">
        <f aca="false">IF(ISNUMBER(H2093),COUNTIFS($B$7:$B$3000,B2093,$C$7:$C$3000,C2093,$H$7:$H$3000,"&lt;"&amp;H2093,$AH$7:$AH$3000,"yes")+COUNTIFS($B$7:B2093,B2093,$C$7:C2093,C2093,$H$7:H2093,H2093,$AH$7:AH2093,"yes"),"")</f>
        <v>5</v>
      </c>
      <c r="AG2093" s="110" t="n">
        <f aca="false">IF(ISNUMBER(I2093),COUNTIFS($B$7:$B$3000,B2093,$C$7:$C$3000,C2093,$I$7:$I$3000,"&lt;"&amp;I2093,$AI$7:$AI$3000,"yes")+COUNTIFS($B$7:B2093,B2093,$C$7:C2093,C2093,$I$7:I2093,I2093,$AI$7:AI2093,"yes"),"")</f>
        <v>5</v>
      </c>
      <c r="AH2093" s="110" t="str">
        <f aca="false">IF(ISNUMBER(H2093),"yes","no")</f>
        <v>yes</v>
      </c>
      <c r="AI2093" s="110" t="str">
        <f aca="false">IF(ISNUMBER(I2093),"yes","no")</f>
        <v>yes</v>
      </c>
      <c r="AJ2093" s="120" t="n">
        <v>46297</v>
      </c>
      <c r="AK2093" s="110"/>
    </row>
    <row r="2094" customFormat="false" ht="46.25" hidden="false" customHeight="false" outlineLevel="0" collapsed="false">
      <c r="B2094" s="36" t="s">
        <v>110</v>
      </c>
      <c r="C2094" s="98" t="s">
        <v>15</v>
      </c>
      <c r="D2094" s="98" t="s">
        <v>281</v>
      </c>
      <c r="E2094" s="110" t="s">
        <v>6410</v>
      </c>
      <c r="F2094" s="99" t="n">
        <v>1.79</v>
      </c>
      <c r="G2094" s="98" t="s">
        <v>244</v>
      </c>
      <c r="H2094" s="112" t="n">
        <f aca="false">IF(AND(AE2094="yes",ISNUMBER(AD2094)),AD2094,"")</f>
        <v>1.79</v>
      </c>
      <c r="I2094" s="95" t="n">
        <f aca="false">IF(AND(AE2094="yes",ISNUMBER(AD2094),ISNUMBER(INDEX(Sources!$G$7:$G$10,MATCH(AB2094,Sources!$B$7:$B$10,0)))),ROUND(AD2094/INDEX(Sources!$G$7:$G$10,MATCH(AB2094,Sources!$B$7:$B$10,0)),6),"")</f>
        <v>1.79</v>
      </c>
      <c r="J2094" s="98" t="s">
        <v>702</v>
      </c>
      <c r="K2094" s="98" t="s">
        <v>2059</v>
      </c>
      <c r="L2094" s="96"/>
      <c r="M2094" s="110" t="s">
        <v>6411</v>
      </c>
      <c r="N2094" s="117" t="s">
        <v>6412</v>
      </c>
      <c r="O2094" s="110" t="s">
        <v>603</v>
      </c>
      <c r="P2094" s="110" t="s">
        <v>590</v>
      </c>
      <c r="Q2094" s="118" t="n">
        <v>0.2</v>
      </c>
      <c r="R2094" s="110" t="n">
        <v>1</v>
      </c>
      <c r="S2094" s="110" t="s">
        <v>632</v>
      </c>
      <c r="T2094" s="110" t="s">
        <v>702</v>
      </c>
      <c r="U2094" s="110" t="s">
        <v>2913</v>
      </c>
      <c r="V2094" s="119" t="n">
        <v>1.79</v>
      </c>
      <c r="W2094" s="119"/>
      <c r="X2094" s="110" t="s">
        <v>2063</v>
      </c>
      <c r="Y2094" s="110" t="s">
        <v>2064</v>
      </c>
      <c r="Z2094" s="110" t="s">
        <v>2125</v>
      </c>
      <c r="AA2094" s="110" t="s">
        <v>537</v>
      </c>
      <c r="AB2094" s="110" t="s">
        <v>244</v>
      </c>
      <c r="AC2094" s="110" t="s">
        <v>538</v>
      </c>
      <c r="AD2094" s="110" t="n">
        <f aca="false">IF(OR(F2094="",Q2094="",R2094=""),"",ROUND(IF(P2094="incl.",F2094/(1+Q2094),F2094)/IF(S2094="per pack",R2094,1),2))</f>
        <v>1.79</v>
      </c>
      <c r="AE2094" s="110" t="str">
        <f aca="false">IF(AND(AC2094="yes",ISNUMBER(F2094),IF(Compare!$H$5="All mapped",TRUE(),IF(Compare!$H$5="EXACT only",J2094="EXACT",OR(J2094="EXACT",J2094="CLOSE")))),"yes","no")</f>
        <v>yes</v>
      </c>
      <c r="AF2094" s="110" t="n">
        <f aca="false">IF(ISNUMBER(H2094),COUNTIFS($B$7:$B$3000,B2094,$C$7:$C$3000,C2094,$H$7:$H$3000,"&lt;"&amp;H2094,$AH$7:$AH$3000,"yes")+COUNTIFS($B$7:B2094,B2094,$C$7:C2094,C2094,$H$7:H2094,H2094,$AH$7:AH2094,"yes"),"")</f>
        <v>3</v>
      </c>
      <c r="AG2094" s="110" t="n">
        <f aca="false">IF(ISNUMBER(I2094),COUNTIFS($B$7:$B$3000,B2094,$C$7:$C$3000,C2094,$I$7:$I$3000,"&lt;"&amp;I2094,$AI$7:$AI$3000,"yes")+COUNTIFS($B$7:B2094,B2094,$C$7:C2094,C2094,$I$7:I2094,I2094,$AI$7:AI2094,"yes"),"")</f>
        <v>3</v>
      </c>
      <c r="AH2094" s="110" t="str">
        <f aca="false">IF(ISNUMBER(H2094),"yes","no")</f>
        <v>yes</v>
      </c>
      <c r="AI2094" s="110" t="str">
        <f aca="false">IF(ISNUMBER(I2094),"yes","no")</f>
        <v>yes</v>
      </c>
      <c r="AJ2094" s="120" t="n">
        <v>46297</v>
      </c>
      <c r="AK2094" s="110"/>
    </row>
    <row r="2095" customFormat="false" ht="35.05" hidden="false" customHeight="false" outlineLevel="0" collapsed="false">
      <c r="B2095" s="36" t="s">
        <v>110</v>
      </c>
      <c r="C2095" s="98" t="s">
        <v>15</v>
      </c>
      <c r="D2095" s="98" t="s">
        <v>293</v>
      </c>
      <c r="E2095" s="110" t="s">
        <v>6413</v>
      </c>
      <c r="F2095" s="99" t="n">
        <v>1.6</v>
      </c>
      <c r="G2095" s="98" t="s">
        <v>244</v>
      </c>
      <c r="H2095" s="112" t="n">
        <f aca="false">IF(AND(AE2095="yes",ISNUMBER(AD2095)),AD2095,"")</f>
        <v>1.6</v>
      </c>
      <c r="I2095" s="95" t="n">
        <f aca="false">IF(AND(AE2095="yes",ISNUMBER(AD2095),ISNUMBER(INDEX(Sources!$G$7:$G$10,MATCH(AB2095,Sources!$B$7:$B$10,0)))),ROUND(AD2095/INDEX(Sources!$G$7:$G$10,MATCH(AB2095,Sources!$B$7:$B$10,0)),6),"")</f>
        <v>1.6</v>
      </c>
      <c r="J2095" s="98" t="s">
        <v>530</v>
      </c>
      <c r="K2095" s="98" t="s">
        <v>2059</v>
      </c>
      <c r="L2095" s="96"/>
      <c r="M2095" s="110" t="s">
        <v>6414</v>
      </c>
      <c r="N2095" s="117" t="s">
        <v>6415</v>
      </c>
      <c r="O2095" s="110" t="s">
        <v>6416</v>
      </c>
      <c r="P2095" s="110" t="s">
        <v>590</v>
      </c>
      <c r="Q2095" s="118" t="n">
        <v>0.2</v>
      </c>
      <c r="R2095" s="110" t="n">
        <v>1</v>
      </c>
      <c r="S2095" s="110" t="s">
        <v>632</v>
      </c>
      <c r="T2095" s="110" t="s">
        <v>530</v>
      </c>
      <c r="U2095" s="110" t="s">
        <v>2913</v>
      </c>
      <c r="V2095" s="119" t="n">
        <v>1.6</v>
      </c>
      <c r="W2095" s="119"/>
      <c r="X2095" s="110" t="s">
        <v>2063</v>
      </c>
      <c r="Y2095" s="110" t="s">
        <v>2064</v>
      </c>
      <c r="Z2095" s="110"/>
      <c r="AA2095" s="110" t="s">
        <v>537</v>
      </c>
      <c r="AB2095" s="110" t="s">
        <v>244</v>
      </c>
      <c r="AC2095" s="110" t="s">
        <v>538</v>
      </c>
      <c r="AD2095" s="110" t="n">
        <f aca="false">IF(OR(F2095="",Q2095="",R2095=""),"",ROUND(IF(P2095="incl.",F2095/(1+Q2095),F2095)/IF(S2095="per pack",R2095,1),2))</f>
        <v>1.6</v>
      </c>
      <c r="AE2095" s="110" t="str">
        <f aca="false">IF(AND(AC2095="yes",ISNUMBER(F2095),IF(Compare!$H$5="All mapped",TRUE(),IF(Compare!$H$5="EXACT only",J2095="EXACT",OR(J2095="EXACT",J2095="CLOSE")))),"yes","no")</f>
        <v>yes</v>
      </c>
      <c r="AF2095" s="110" t="n">
        <f aca="false">IF(ISNUMBER(H2095),COUNTIFS($B$7:$B$3000,B2095,$C$7:$C$3000,C2095,$H$7:$H$3000,"&lt;"&amp;H2095,$AH$7:$AH$3000,"yes")+COUNTIFS($B$7:B2095,B2095,$C$7:C2095,C2095,$H$7:H2095,H2095,$AH$7:AH2095,"yes"),"")</f>
        <v>2</v>
      </c>
      <c r="AG2095" s="110" t="n">
        <f aca="false">IF(ISNUMBER(I2095),COUNTIFS($B$7:$B$3000,B2095,$C$7:$C$3000,C2095,$I$7:$I$3000,"&lt;"&amp;I2095,$AI$7:$AI$3000,"yes")+COUNTIFS($B$7:B2095,B2095,$C$7:C2095,C2095,$I$7:I2095,I2095,$AI$7:AI2095,"yes"),"")</f>
        <v>2</v>
      </c>
      <c r="AH2095" s="110" t="str">
        <f aca="false">IF(ISNUMBER(H2095),"yes","no")</f>
        <v>yes</v>
      </c>
      <c r="AI2095" s="110" t="str">
        <f aca="false">IF(ISNUMBER(I2095),"yes","no")</f>
        <v>yes</v>
      </c>
      <c r="AJ2095" s="120" t="n">
        <v>46297</v>
      </c>
      <c r="AK2095" s="110"/>
    </row>
    <row r="2096" customFormat="false" ht="35.05" hidden="false" customHeight="false" outlineLevel="0" collapsed="false">
      <c r="B2096" s="36" t="s">
        <v>110</v>
      </c>
      <c r="C2096" s="98" t="s">
        <v>16</v>
      </c>
      <c r="D2096" s="98" t="s">
        <v>317</v>
      </c>
      <c r="E2096" s="110" t="s">
        <v>6398</v>
      </c>
      <c r="F2096" s="99" t="n">
        <v>27.99</v>
      </c>
      <c r="G2096" s="98" t="s">
        <v>244</v>
      </c>
      <c r="H2096" s="112" t="n">
        <f aca="false">IF(AND(AE2096="yes",ISNUMBER(AD2096)),AD2096,"")</f>
        <v>2.33</v>
      </c>
      <c r="I2096" s="95" t="n">
        <f aca="false">IF(AND(AE2096="yes",ISNUMBER(AD2096),ISNUMBER(INDEX(Sources!$G$7:$G$10,MATCH(AB2096,Sources!$B$7:$B$10,0)))),ROUND(AD2096/INDEX(Sources!$G$7:$G$10,MATCH(AB2096,Sources!$B$7:$B$10,0)),6),"")</f>
        <v>2.33</v>
      </c>
      <c r="J2096" s="98" t="s">
        <v>530</v>
      </c>
      <c r="K2096" s="98" t="s">
        <v>2059</v>
      </c>
      <c r="L2096" s="96"/>
      <c r="M2096" s="110" t="s">
        <v>6417</v>
      </c>
      <c r="N2096" s="117" t="s">
        <v>6418</v>
      </c>
      <c r="O2096" s="110" t="s">
        <v>317</v>
      </c>
      <c r="P2096" s="110" t="s">
        <v>590</v>
      </c>
      <c r="Q2096" s="118" t="n">
        <v>0.19</v>
      </c>
      <c r="R2096" s="110" t="n">
        <v>12</v>
      </c>
      <c r="S2096" s="110" t="s">
        <v>625</v>
      </c>
      <c r="T2096" s="110" t="s">
        <v>530</v>
      </c>
      <c r="U2096" s="110" t="s">
        <v>2913</v>
      </c>
      <c r="V2096" s="119" t="n">
        <v>2.33</v>
      </c>
      <c r="W2096" s="119"/>
      <c r="X2096" s="110" t="s">
        <v>2063</v>
      </c>
      <c r="Y2096" s="110" t="s">
        <v>2064</v>
      </c>
      <c r="Z2096" s="110" t="s">
        <v>4521</v>
      </c>
      <c r="AA2096" s="110" t="s">
        <v>537</v>
      </c>
      <c r="AB2096" s="110" t="s">
        <v>244</v>
      </c>
      <c r="AC2096" s="110" t="s">
        <v>538</v>
      </c>
      <c r="AD2096" s="110" t="n">
        <f aca="false">IF(OR(F2096="",Q2096="",R2096=""),"",ROUND(IF(P2096="incl.",F2096/(1+Q2096),F2096)/IF(S2096="per pack",R2096,1),2))</f>
        <v>2.33</v>
      </c>
      <c r="AE2096" s="110" t="str">
        <f aca="false">IF(AND(AC2096="yes",ISNUMBER(F2096),IF(Compare!$H$5="All mapped",TRUE(),IF(Compare!$H$5="EXACT only",J2096="EXACT",OR(J2096="EXACT",J2096="CLOSE")))),"yes","no")</f>
        <v>yes</v>
      </c>
      <c r="AF2096" s="110" t="n">
        <f aca="false">IF(ISNUMBER(H2096),COUNTIFS($B$7:$B$3000,B2096,$C$7:$C$3000,C2096,$H$7:$H$3000,"&lt;"&amp;H2096,$AH$7:$AH$3000,"yes")+COUNTIFS($B$7:B2096,B2096,$C$7:C2096,C2096,$H$7:H2096,H2096,$AH$7:AH2096,"yes"),"")</f>
        <v>4</v>
      </c>
      <c r="AG2096" s="110" t="n">
        <f aca="false">IF(ISNUMBER(I2096),COUNTIFS($B$7:$B$3000,B2096,$C$7:$C$3000,C2096,$I$7:$I$3000,"&lt;"&amp;I2096,$AI$7:$AI$3000,"yes")+COUNTIFS($B$7:B2096,B2096,$C$7:C2096,C2096,$I$7:I2096,I2096,$AI$7:AI2096,"yes"),"")</f>
        <v>4</v>
      </c>
      <c r="AH2096" s="110" t="str">
        <f aca="false">IF(ISNUMBER(H2096),"yes","no")</f>
        <v>yes</v>
      </c>
      <c r="AI2096" s="110" t="str">
        <f aca="false">IF(ISNUMBER(I2096),"yes","no")</f>
        <v>yes</v>
      </c>
      <c r="AJ2096" s="120" t="n">
        <v>46297</v>
      </c>
      <c r="AK2096" s="110"/>
    </row>
    <row r="2097" customFormat="false" ht="23.85" hidden="false" customHeight="false" outlineLevel="0" collapsed="false">
      <c r="B2097" s="36" t="s">
        <v>110</v>
      </c>
      <c r="C2097" s="98" t="s">
        <v>16</v>
      </c>
      <c r="D2097" s="98" t="s">
        <v>305</v>
      </c>
      <c r="E2097" s="110" t="s">
        <v>6419</v>
      </c>
      <c r="F2097" s="99" t="n">
        <v>1.59</v>
      </c>
      <c r="G2097" s="98" t="s">
        <v>244</v>
      </c>
      <c r="H2097" s="112" t="n">
        <f aca="false">IF(AND(AE2097="yes",ISNUMBER(AD2097)),AD2097,"")</f>
        <v>1.59</v>
      </c>
      <c r="I2097" s="95" t="n">
        <f aca="false">IF(AND(AE2097="yes",ISNUMBER(AD2097),ISNUMBER(INDEX(Sources!$G$7:$G$10,MATCH(AB2097,Sources!$B$7:$B$10,0)))),ROUND(AD2097/INDEX(Sources!$G$7:$G$10,MATCH(AB2097,Sources!$B$7:$B$10,0)),6),"")</f>
        <v>1.59</v>
      </c>
      <c r="J2097" s="98" t="s">
        <v>530</v>
      </c>
      <c r="K2097" s="98" t="s">
        <v>2059</v>
      </c>
      <c r="L2097" s="96"/>
      <c r="M2097" s="110" t="s">
        <v>6420</v>
      </c>
      <c r="N2097" s="117" t="s">
        <v>6421</v>
      </c>
      <c r="O2097" s="110" t="s">
        <v>603</v>
      </c>
      <c r="P2097" s="110" t="s">
        <v>590</v>
      </c>
      <c r="Q2097" s="118" t="n">
        <v>0.19</v>
      </c>
      <c r="R2097" s="110" t="n">
        <v>1</v>
      </c>
      <c r="S2097" s="110" t="s">
        <v>632</v>
      </c>
      <c r="T2097" s="110" t="s">
        <v>530</v>
      </c>
      <c r="U2097" s="110" t="s">
        <v>2913</v>
      </c>
      <c r="V2097" s="119" t="n">
        <v>1.59</v>
      </c>
      <c r="W2097" s="119"/>
      <c r="X2097" s="110" t="s">
        <v>2063</v>
      </c>
      <c r="Y2097" s="110" t="s">
        <v>2064</v>
      </c>
      <c r="Z2097" s="110" t="s">
        <v>2142</v>
      </c>
      <c r="AA2097" s="110" t="s">
        <v>537</v>
      </c>
      <c r="AB2097" s="110" t="s">
        <v>244</v>
      </c>
      <c r="AC2097" s="110" t="s">
        <v>538</v>
      </c>
      <c r="AD2097" s="110" t="n">
        <f aca="false">IF(OR(F2097="",Q2097="",R2097=""),"",ROUND(IF(P2097="incl.",F2097/(1+Q2097),F2097)/IF(S2097="per pack",R2097,1),2))</f>
        <v>1.59</v>
      </c>
      <c r="AE2097" s="110" t="str">
        <f aca="false">IF(AND(AC2097="yes",ISNUMBER(F2097),IF(Compare!$H$5="All mapped",TRUE(),IF(Compare!$H$5="EXACT only",J2097="EXACT",OR(J2097="EXACT",J2097="CLOSE")))),"yes","no")</f>
        <v>yes</v>
      </c>
      <c r="AF2097" s="110" t="n">
        <f aca="false">IF(ISNUMBER(H2097),COUNTIFS($B$7:$B$3000,B2097,$C$7:$C$3000,C2097,$H$7:$H$3000,"&lt;"&amp;H2097,$AH$7:$AH$3000,"yes")+COUNTIFS($B$7:B2097,B2097,$C$7:C2097,C2097,$H$7:H2097,H2097,$AH$7:AH2097,"yes"),"")</f>
        <v>2</v>
      </c>
      <c r="AG2097" s="110" t="n">
        <f aca="false">IF(ISNUMBER(I2097),COUNTIFS($B$7:$B$3000,B2097,$C$7:$C$3000,C2097,$I$7:$I$3000,"&lt;"&amp;I2097,$AI$7:$AI$3000,"yes")+COUNTIFS($B$7:B2097,B2097,$C$7:C2097,C2097,$I$7:I2097,I2097,$AI$7:AI2097,"yes"),"")</f>
        <v>2</v>
      </c>
      <c r="AH2097" s="110" t="str">
        <f aca="false">IF(ISNUMBER(H2097),"yes","no")</f>
        <v>yes</v>
      </c>
      <c r="AI2097" s="110" t="str">
        <f aca="false">IF(ISNUMBER(I2097),"yes","no")</f>
        <v>yes</v>
      </c>
      <c r="AJ2097" s="120" t="n">
        <v>46297</v>
      </c>
      <c r="AK2097" s="110"/>
    </row>
    <row r="2098" customFormat="false" ht="35.05" hidden="false" customHeight="false" outlineLevel="0" collapsed="false">
      <c r="B2098" s="36" t="s">
        <v>110</v>
      </c>
      <c r="C2098" s="98" t="s">
        <v>16</v>
      </c>
      <c r="D2098" s="98" t="s">
        <v>313</v>
      </c>
      <c r="E2098" s="110" t="s">
        <v>6407</v>
      </c>
      <c r="F2098" s="99" t="n">
        <v>3.59</v>
      </c>
      <c r="G2098" s="98" t="s">
        <v>244</v>
      </c>
      <c r="H2098" s="112" t="n">
        <f aca="false">IF(AND(AE2098="yes",ISNUMBER(AD2098)),AD2098,"")</f>
        <v>3.02</v>
      </c>
      <c r="I2098" s="95" t="n">
        <f aca="false">IF(AND(AE2098="yes",ISNUMBER(AD2098),ISNUMBER(INDEX(Sources!$G$7:$G$10,MATCH(AB2098,Sources!$B$7:$B$10,0)))),ROUND(AD2098/INDEX(Sources!$G$7:$G$10,MATCH(AB2098,Sources!$B$7:$B$10,0)),6),"")</f>
        <v>3.02</v>
      </c>
      <c r="J2098" s="98" t="s">
        <v>702</v>
      </c>
      <c r="K2098" s="98" t="s">
        <v>2059</v>
      </c>
      <c r="L2098" s="96"/>
      <c r="M2098" s="110" t="s">
        <v>6422</v>
      </c>
      <c r="N2098" s="117" t="s">
        <v>6423</v>
      </c>
      <c r="O2098" s="110" t="s">
        <v>642</v>
      </c>
      <c r="P2098" s="110" t="s">
        <v>265</v>
      </c>
      <c r="Q2098" s="118" t="n">
        <v>0.19</v>
      </c>
      <c r="R2098" s="110" t="n">
        <v>1</v>
      </c>
      <c r="S2098" s="110" t="s">
        <v>632</v>
      </c>
      <c r="T2098" s="110" t="s">
        <v>702</v>
      </c>
      <c r="U2098" s="110" t="s">
        <v>2918</v>
      </c>
      <c r="V2098" s="119" t="n">
        <v>3.02</v>
      </c>
      <c r="W2098" s="119"/>
      <c r="X2098" s="110" t="s">
        <v>2063</v>
      </c>
      <c r="Y2098" s="110" t="s">
        <v>2064</v>
      </c>
      <c r="Z2098" s="110" t="s">
        <v>6424</v>
      </c>
      <c r="AA2098" s="110" t="s">
        <v>537</v>
      </c>
      <c r="AB2098" s="110" t="s">
        <v>244</v>
      </c>
      <c r="AC2098" s="110" t="s">
        <v>538</v>
      </c>
      <c r="AD2098" s="110" t="n">
        <f aca="false">IF(OR(F2098="",Q2098="",R2098=""),"",ROUND(IF(P2098="incl.",F2098/(1+Q2098),F2098)/IF(S2098="per pack",R2098,1),2))</f>
        <v>3.02</v>
      </c>
      <c r="AE2098" s="110" t="str">
        <f aca="false">IF(AND(AC2098="yes",ISNUMBER(F2098),IF(Compare!$H$5="All mapped",TRUE(),IF(Compare!$H$5="EXACT only",J2098="EXACT",OR(J2098="EXACT",J2098="CLOSE")))),"yes","no")</f>
        <v>yes</v>
      </c>
      <c r="AF2098" s="110" t="n">
        <f aca="false">IF(ISNUMBER(H2098),COUNTIFS($B$7:$B$3000,B2098,$C$7:$C$3000,C2098,$H$7:$H$3000,"&lt;"&amp;H2098,$AH$7:$AH$3000,"yes")+COUNTIFS($B$7:B2098,B2098,$C$7:C2098,C2098,$H$7:H2098,H2098,$AH$7:AH2098,"yes"),"")</f>
        <v>5</v>
      </c>
      <c r="AG2098" s="110" t="n">
        <f aca="false">IF(ISNUMBER(I2098),COUNTIFS($B$7:$B$3000,B2098,$C$7:$C$3000,C2098,$I$7:$I$3000,"&lt;"&amp;I2098,$AI$7:$AI$3000,"yes")+COUNTIFS($B$7:B2098,B2098,$C$7:C2098,C2098,$I$7:I2098,I2098,$AI$7:AI2098,"yes"),"")</f>
        <v>5</v>
      </c>
      <c r="AH2098" s="110" t="str">
        <f aca="false">IF(ISNUMBER(H2098),"yes","no")</f>
        <v>yes</v>
      </c>
      <c r="AI2098" s="110" t="str">
        <f aca="false">IF(ISNUMBER(I2098),"yes","no")</f>
        <v>yes</v>
      </c>
      <c r="AJ2098" s="120" t="n">
        <v>46297</v>
      </c>
      <c r="AK2098" s="110"/>
    </row>
    <row r="2099" customFormat="false" ht="35.05" hidden="false" customHeight="false" outlineLevel="0" collapsed="false">
      <c r="B2099" s="36" t="s">
        <v>110</v>
      </c>
      <c r="C2099" s="98" t="s">
        <v>16</v>
      </c>
      <c r="D2099" s="98" t="s">
        <v>321</v>
      </c>
      <c r="E2099" s="110" t="s">
        <v>6410</v>
      </c>
      <c r="F2099" s="99" t="n">
        <v>1.79</v>
      </c>
      <c r="G2099" s="98" t="s">
        <v>244</v>
      </c>
      <c r="H2099" s="112" t="n">
        <f aca="false">IF(AND(AE2099="yes",ISNUMBER(AD2099)),AD2099,"")</f>
        <v>1.79</v>
      </c>
      <c r="I2099" s="95" t="n">
        <f aca="false">IF(AND(AE2099="yes",ISNUMBER(AD2099),ISNUMBER(INDEX(Sources!$G$7:$G$10,MATCH(AB2099,Sources!$B$7:$B$10,0)))),ROUND(AD2099/INDEX(Sources!$G$7:$G$10,MATCH(AB2099,Sources!$B$7:$B$10,0)),6),"")</f>
        <v>1.79</v>
      </c>
      <c r="J2099" s="98" t="s">
        <v>530</v>
      </c>
      <c r="K2099" s="98" t="s">
        <v>2059</v>
      </c>
      <c r="L2099" s="96"/>
      <c r="M2099" s="110" t="s">
        <v>6425</v>
      </c>
      <c r="N2099" s="117" t="s">
        <v>6426</v>
      </c>
      <c r="O2099" s="110" t="s">
        <v>603</v>
      </c>
      <c r="P2099" s="110" t="s">
        <v>590</v>
      </c>
      <c r="Q2099" s="118" t="n">
        <v>0.19</v>
      </c>
      <c r="R2099" s="110" t="n">
        <v>1</v>
      </c>
      <c r="S2099" s="110" t="s">
        <v>632</v>
      </c>
      <c r="T2099" s="110" t="s">
        <v>530</v>
      </c>
      <c r="U2099" s="110" t="s">
        <v>2913</v>
      </c>
      <c r="V2099" s="119" t="n">
        <v>1.79</v>
      </c>
      <c r="W2099" s="119"/>
      <c r="X2099" s="110" t="s">
        <v>2063</v>
      </c>
      <c r="Y2099" s="110" t="s">
        <v>2064</v>
      </c>
      <c r="Z2099" s="110" t="s">
        <v>2857</v>
      </c>
      <c r="AA2099" s="110" t="s">
        <v>537</v>
      </c>
      <c r="AB2099" s="110" t="s">
        <v>244</v>
      </c>
      <c r="AC2099" s="110" t="s">
        <v>538</v>
      </c>
      <c r="AD2099" s="110" t="n">
        <f aca="false">IF(OR(F2099="",Q2099="",R2099=""),"",ROUND(IF(P2099="incl.",F2099/(1+Q2099),F2099)/IF(S2099="per pack",R2099,1),2))</f>
        <v>1.79</v>
      </c>
      <c r="AE2099" s="110" t="str">
        <f aca="false">IF(AND(AC2099="yes",ISNUMBER(F2099),IF(Compare!$H$5="All mapped",TRUE(),IF(Compare!$H$5="EXACT only",J2099="EXACT",OR(J2099="EXACT",J2099="CLOSE")))),"yes","no")</f>
        <v>yes</v>
      </c>
      <c r="AF2099" s="110" t="n">
        <f aca="false">IF(ISNUMBER(H2099),COUNTIFS($B$7:$B$3000,B2099,$C$7:$C$3000,C2099,$H$7:$H$3000,"&lt;"&amp;H2099,$AH$7:$AH$3000,"yes")+COUNTIFS($B$7:B2099,B2099,$C$7:C2099,C2099,$H$7:H2099,H2099,$AH$7:AH2099,"yes"),"")</f>
        <v>3</v>
      </c>
      <c r="AG2099" s="110" t="n">
        <f aca="false">IF(ISNUMBER(I2099),COUNTIFS($B$7:$B$3000,B2099,$C$7:$C$3000,C2099,$I$7:$I$3000,"&lt;"&amp;I2099,$AI$7:$AI$3000,"yes")+COUNTIFS($B$7:B2099,B2099,$C$7:C2099,C2099,$I$7:I2099,I2099,$AI$7:AI2099,"yes"),"")</f>
        <v>3</v>
      </c>
      <c r="AH2099" s="110" t="str">
        <f aca="false">IF(ISNUMBER(H2099),"yes","no")</f>
        <v>yes</v>
      </c>
      <c r="AI2099" s="110" t="str">
        <f aca="false">IF(ISNUMBER(I2099),"yes","no")</f>
        <v>yes</v>
      </c>
      <c r="AJ2099" s="120" t="n">
        <v>46297</v>
      </c>
      <c r="AK2099" s="110"/>
    </row>
    <row r="2100" customFormat="false" ht="23.85" hidden="false" customHeight="false" outlineLevel="0" collapsed="false">
      <c r="B2100" s="36" t="s">
        <v>110</v>
      </c>
      <c r="C2100" s="98" t="s">
        <v>16</v>
      </c>
      <c r="D2100" s="98" t="s">
        <v>329</v>
      </c>
      <c r="E2100" s="110" t="s">
        <v>6427</v>
      </c>
      <c r="F2100" s="99" t="n">
        <v>1.39</v>
      </c>
      <c r="G2100" s="98" t="s">
        <v>244</v>
      </c>
      <c r="H2100" s="112" t="n">
        <f aca="false">IF(AND(AE2100="yes",ISNUMBER(AD2100)),AD2100,"")</f>
        <v>1.39</v>
      </c>
      <c r="I2100" s="95" t="n">
        <f aca="false">IF(AND(AE2100="yes",ISNUMBER(AD2100),ISNUMBER(INDEX(Sources!$G$7:$G$10,MATCH(AB2100,Sources!$B$7:$B$10,0)))),ROUND(AD2100/INDEX(Sources!$G$7:$G$10,MATCH(AB2100,Sources!$B$7:$B$10,0)),6),"")</f>
        <v>1.39</v>
      </c>
      <c r="J2100" s="98" t="s">
        <v>530</v>
      </c>
      <c r="K2100" s="98" t="s">
        <v>2059</v>
      </c>
      <c r="L2100" s="96"/>
      <c r="M2100" s="110" t="s">
        <v>6428</v>
      </c>
      <c r="N2100" s="117" t="s">
        <v>6429</v>
      </c>
      <c r="O2100" s="110" t="s">
        <v>817</v>
      </c>
      <c r="P2100" s="110" t="s">
        <v>590</v>
      </c>
      <c r="Q2100" s="118" t="n">
        <v>0.19</v>
      </c>
      <c r="R2100" s="110" t="n">
        <v>1</v>
      </c>
      <c r="S2100" s="110" t="s">
        <v>632</v>
      </c>
      <c r="T2100" s="110" t="s">
        <v>530</v>
      </c>
      <c r="U2100" s="110" t="s">
        <v>2913</v>
      </c>
      <c r="V2100" s="119" t="n">
        <v>1.39</v>
      </c>
      <c r="W2100" s="119"/>
      <c r="X2100" s="110" t="s">
        <v>2063</v>
      </c>
      <c r="Y2100" s="110" t="s">
        <v>2064</v>
      </c>
      <c r="Z2100" s="110" t="s">
        <v>2777</v>
      </c>
      <c r="AA2100" s="110" t="s">
        <v>537</v>
      </c>
      <c r="AB2100" s="110" t="s">
        <v>244</v>
      </c>
      <c r="AC2100" s="110" t="s">
        <v>538</v>
      </c>
      <c r="AD2100" s="110" t="n">
        <f aca="false">IF(OR(F2100="",Q2100="",R2100=""),"",ROUND(IF(P2100="incl.",F2100/(1+Q2100),F2100)/IF(S2100="per pack",R2100,1),2))</f>
        <v>1.39</v>
      </c>
      <c r="AE2100" s="110" t="str">
        <f aca="false">IF(AND(AC2100="yes",ISNUMBER(F2100),IF(Compare!$H$5="All mapped",TRUE(),IF(Compare!$H$5="EXACT only",J2100="EXACT",OR(J2100="EXACT",J2100="CLOSE")))),"yes","no")</f>
        <v>yes</v>
      </c>
      <c r="AF2100" s="110" t="n">
        <f aca="false">IF(ISNUMBER(H2100),COUNTIFS($B$7:$B$3000,B2100,$C$7:$C$3000,C2100,$H$7:$H$3000,"&lt;"&amp;H2100,$AH$7:$AH$3000,"yes")+COUNTIFS($B$7:B2100,B2100,$C$7:C2100,C2100,$H$7:H2100,H2100,$AH$7:AH2100,"yes"),"")</f>
        <v>1</v>
      </c>
      <c r="AG2100" s="110" t="n">
        <f aca="false">IF(ISNUMBER(I2100),COUNTIFS($B$7:$B$3000,B2100,$C$7:$C$3000,C2100,$I$7:$I$3000,"&lt;"&amp;I2100,$AI$7:$AI$3000,"yes")+COUNTIFS($B$7:B2100,B2100,$C$7:C2100,C2100,$I$7:I2100,I2100,$AI$7:AI2100,"yes"),"")</f>
        <v>1</v>
      </c>
      <c r="AH2100" s="110" t="str">
        <f aca="false">IF(ISNUMBER(H2100),"yes","no")</f>
        <v>yes</v>
      </c>
      <c r="AI2100" s="110" t="str">
        <f aca="false">IF(ISNUMBER(I2100),"yes","no")</f>
        <v>yes</v>
      </c>
      <c r="AJ2100" s="120" t="n">
        <v>46297</v>
      </c>
      <c r="AK2100" s="110"/>
    </row>
    <row r="2101" customFormat="false" ht="23.85" hidden="false" customHeight="false" outlineLevel="0" collapsed="false">
      <c r="B2101" s="36" t="s">
        <v>110</v>
      </c>
      <c r="C2101" s="98" t="s">
        <v>17</v>
      </c>
      <c r="D2101" s="98" t="s">
        <v>338</v>
      </c>
      <c r="E2101" s="110" t="s">
        <v>6430</v>
      </c>
      <c r="F2101" s="99" t="n">
        <v>58</v>
      </c>
      <c r="G2101" s="98" t="s">
        <v>333</v>
      </c>
      <c r="H2101" s="112" t="n">
        <f aca="false">IF(AND(AE2101="yes",ISNUMBER(AD2101)),AD2101,"")</f>
        <v>47.93</v>
      </c>
      <c r="I2101" s="95" t="n">
        <f aca="false">IF(AND(AE2101="yes",ISNUMBER(AD2101),ISNUMBER(INDEX(Sources!$G$7:$G$10,MATCH(AB2101,Sources!$B$7:$B$10,0)))),ROUND(AD2101/INDEX(Sources!$G$7:$G$10,MATCH(AB2101,Sources!$B$7:$B$10,0)),6),"")</f>
        <v>1.962445</v>
      </c>
      <c r="J2101" s="98" t="s">
        <v>530</v>
      </c>
      <c r="K2101" s="98" t="s">
        <v>2059</v>
      </c>
      <c r="L2101" s="96"/>
      <c r="M2101" s="110" t="s">
        <v>6431</v>
      </c>
      <c r="N2101" s="117" t="s">
        <v>6432</v>
      </c>
      <c r="O2101" s="110" t="s">
        <v>388</v>
      </c>
      <c r="P2101" s="110" t="s">
        <v>265</v>
      </c>
      <c r="Q2101" s="118" t="n">
        <v>0.21</v>
      </c>
      <c r="R2101" s="110" t="n">
        <v>1</v>
      </c>
      <c r="S2101" s="110" t="s">
        <v>632</v>
      </c>
      <c r="T2101" s="110" t="s">
        <v>530</v>
      </c>
      <c r="U2101" s="110" t="s">
        <v>2918</v>
      </c>
      <c r="V2101" s="119" t="n">
        <v>47.93</v>
      </c>
      <c r="W2101" s="119"/>
      <c r="X2101" s="110" t="s">
        <v>2063</v>
      </c>
      <c r="Y2101" s="110" t="s">
        <v>2064</v>
      </c>
      <c r="Z2101" s="110" t="s">
        <v>4387</v>
      </c>
      <c r="AA2101" s="110" t="s">
        <v>537</v>
      </c>
      <c r="AB2101" s="110" t="s">
        <v>333</v>
      </c>
      <c r="AC2101" s="110" t="s">
        <v>538</v>
      </c>
      <c r="AD2101" s="110" t="n">
        <f aca="false">IF(OR(F2101="",Q2101="",R2101=""),"",ROUND(IF(P2101="incl.",F2101/(1+Q2101),F2101)/IF(S2101="per pack",R2101,1),2))</f>
        <v>47.93</v>
      </c>
      <c r="AE2101" s="110" t="str">
        <f aca="false">IF(AND(AC2101="yes",ISNUMBER(F2101),IF(Compare!$H$5="All mapped",TRUE(),IF(Compare!$H$5="EXACT only",J2101="EXACT",OR(J2101="EXACT",J2101="CLOSE")))),"yes","no")</f>
        <v>yes</v>
      </c>
      <c r="AF2101" s="110" t="n">
        <f aca="false">IF(ISNUMBER(H2101),COUNTIFS($B$7:$B$3000,B2101,$C$7:$C$3000,C2101,$H$7:$H$3000,"&lt;"&amp;H2101,$AH$7:$AH$3000,"yes")+COUNTIFS($B$7:B2101,B2101,$C$7:C2101,C2101,$H$7:H2101,H2101,$AH$7:AH2101,"yes"),"")</f>
        <v>3</v>
      </c>
      <c r="AG2101" s="110" t="n">
        <f aca="false">IF(ISNUMBER(I2101),COUNTIFS($B$7:$B$3000,B2101,$C$7:$C$3000,C2101,$I$7:$I$3000,"&lt;"&amp;I2101,$AI$7:$AI$3000,"yes")+COUNTIFS($B$7:B2101,B2101,$C$7:C2101,C2101,$I$7:I2101,I2101,$AI$7:AI2101,"yes"),"")</f>
        <v>3</v>
      </c>
      <c r="AH2101" s="110" t="str">
        <f aca="false">IF(ISNUMBER(H2101),"yes","no")</f>
        <v>yes</v>
      </c>
      <c r="AI2101" s="110" t="str">
        <f aca="false">IF(ISNUMBER(I2101),"yes","no")</f>
        <v>yes</v>
      </c>
      <c r="AJ2101" s="120" t="n">
        <v>46297</v>
      </c>
      <c r="AK2101" s="110"/>
    </row>
    <row r="2102" customFormat="false" ht="35.05" hidden="false" customHeight="false" outlineLevel="0" collapsed="false">
      <c r="B2102" s="36" t="s">
        <v>110</v>
      </c>
      <c r="C2102" s="98" t="s">
        <v>17</v>
      </c>
      <c r="D2102" s="98" t="s">
        <v>342</v>
      </c>
      <c r="E2102" s="110" t="s">
        <v>6433</v>
      </c>
      <c r="F2102" s="99" t="n">
        <v>50</v>
      </c>
      <c r="G2102" s="98" t="s">
        <v>333</v>
      </c>
      <c r="H2102" s="112" t="n">
        <f aca="false">IF(AND(AE2102="yes",ISNUMBER(AD2102)),AD2102,"")</f>
        <v>50</v>
      </c>
      <c r="I2102" s="95" t="n">
        <f aca="false">IF(AND(AE2102="yes",ISNUMBER(AD2102),ISNUMBER(INDEX(Sources!$G$7:$G$10,MATCH(AB2102,Sources!$B$7:$B$10,0)))),ROUND(AD2102/INDEX(Sources!$G$7:$G$10,MATCH(AB2102,Sources!$B$7:$B$10,0)),6),"")</f>
        <v>2.047199</v>
      </c>
      <c r="J2102" s="98" t="s">
        <v>530</v>
      </c>
      <c r="K2102" s="98" t="s">
        <v>2059</v>
      </c>
      <c r="L2102" s="96"/>
      <c r="M2102" s="110" t="s">
        <v>6434</v>
      </c>
      <c r="N2102" s="117" t="s">
        <v>6435</v>
      </c>
      <c r="O2102" s="110" t="s">
        <v>388</v>
      </c>
      <c r="P2102" s="110" t="s">
        <v>590</v>
      </c>
      <c r="Q2102" s="118" t="n">
        <v>0.21</v>
      </c>
      <c r="R2102" s="110" t="n">
        <v>1</v>
      </c>
      <c r="S2102" s="110" t="s">
        <v>632</v>
      </c>
      <c r="T2102" s="110" t="s">
        <v>530</v>
      </c>
      <c r="U2102" s="110" t="s">
        <v>2913</v>
      </c>
      <c r="V2102" s="119" t="n">
        <v>50</v>
      </c>
      <c r="W2102" s="119"/>
      <c r="X2102" s="110" t="s">
        <v>2063</v>
      </c>
      <c r="Y2102" s="110" t="s">
        <v>2064</v>
      </c>
      <c r="Z2102" s="110" t="s">
        <v>4638</v>
      </c>
      <c r="AA2102" s="110" t="s">
        <v>537</v>
      </c>
      <c r="AB2102" s="110" t="s">
        <v>333</v>
      </c>
      <c r="AC2102" s="110" t="s">
        <v>538</v>
      </c>
      <c r="AD2102" s="110" t="n">
        <f aca="false">IF(OR(F2102="",Q2102="",R2102=""),"",ROUND(IF(P2102="incl.",F2102/(1+Q2102),F2102)/IF(S2102="per pack",R2102,1),2))</f>
        <v>50</v>
      </c>
      <c r="AE2102" s="110" t="str">
        <f aca="false">IF(AND(AC2102="yes",ISNUMBER(F2102),IF(Compare!$H$5="All mapped",TRUE(),IF(Compare!$H$5="EXACT only",J2102="EXACT",OR(J2102="EXACT",J2102="CLOSE")))),"yes","no")</f>
        <v>yes</v>
      </c>
      <c r="AF2102" s="110" t="n">
        <f aca="false">IF(ISNUMBER(H2102),COUNTIFS($B$7:$B$3000,B2102,$C$7:$C$3000,C2102,$H$7:$H$3000,"&lt;"&amp;H2102,$AH$7:$AH$3000,"yes")+COUNTIFS($B$7:B2102,B2102,$C$7:C2102,C2102,$H$7:H2102,H2102,$AH$7:AH2102,"yes"),"")</f>
        <v>4</v>
      </c>
      <c r="AG2102" s="110" t="n">
        <f aca="false">IF(ISNUMBER(I2102),COUNTIFS($B$7:$B$3000,B2102,$C$7:$C$3000,C2102,$I$7:$I$3000,"&lt;"&amp;I2102,$AI$7:$AI$3000,"yes")+COUNTIFS($B$7:B2102,B2102,$C$7:C2102,C2102,$I$7:I2102,I2102,$AI$7:AI2102,"yes"),"")</f>
        <v>4</v>
      </c>
      <c r="AH2102" s="110" t="str">
        <f aca="false">IF(ISNUMBER(H2102),"yes","no")</f>
        <v>yes</v>
      </c>
      <c r="AI2102" s="110" t="str">
        <f aca="false">IF(ISNUMBER(I2102),"yes","no")</f>
        <v>yes</v>
      </c>
      <c r="AJ2102" s="120" t="n">
        <v>46297</v>
      </c>
      <c r="AK2102" s="110"/>
    </row>
    <row r="2103" customFormat="false" ht="35.05" hidden="false" customHeight="false" outlineLevel="0" collapsed="false">
      <c r="B2103" s="36" t="s">
        <v>110</v>
      </c>
      <c r="C2103" s="98" t="s">
        <v>17</v>
      </c>
      <c r="D2103" s="98" t="s">
        <v>350</v>
      </c>
      <c r="E2103" s="110" t="s">
        <v>6436</v>
      </c>
      <c r="F2103" s="99" t="n">
        <v>27</v>
      </c>
      <c r="G2103" s="98" t="s">
        <v>333</v>
      </c>
      <c r="H2103" s="112" t="n">
        <f aca="false">IF(AND(AE2103="yes",ISNUMBER(AD2103)),AD2103,"")</f>
        <v>22.31</v>
      </c>
      <c r="I2103" s="95" t="n">
        <f aca="false">IF(AND(AE2103="yes",ISNUMBER(AD2103),ISNUMBER(INDEX(Sources!$G$7:$G$10,MATCH(AB2103,Sources!$B$7:$B$10,0)))),ROUND(AD2103/INDEX(Sources!$G$7:$G$10,MATCH(AB2103,Sources!$B$7:$B$10,0)),6),"")</f>
        <v>0.91346</v>
      </c>
      <c r="J2103" s="98" t="s">
        <v>530</v>
      </c>
      <c r="K2103" s="98" t="s">
        <v>2059</v>
      </c>
      <c r="L2103" s="96"/>
      <c r="M2103" s="110" t="s">
        <v>6437</v>
      </c>
      <c r="N2103" s="117" t="s">
        <v>6438</v>
      </c>
      <c r="O2103" s="110" t="s">
        <v>2452</v>
      </c>
      <c r="P2103" s="110" t="s">
        <v>265</v>
      </c>
      <c r="Q2103" s="118" t="n">
        <v>0.21</v>
      </c>
      <c r="R2103" s="110" t="n">
        <v>1</v>
      </c>
      <c r="S2103" s="110" t="s">
        <v>632</v>
      </c>
      <c r="T2103" s="110" t="s">
        <v>530</v>
      </c>
      <c r="U2103" s="110" t="s">
        <v>2918</v>
      </c>
      <c r="V2103" s="119" t="n">
        <v>22.31</v>
      </c>
      <c r="W2103" s="119"/>
      <c r="X2103" s="110" t="s">
        <v>2063</v>
      </c>
      <c r="Y2103" s="110" t="s">
        <v>2064</v>
      </c>
      <c r="Z2103" s="110" t="s">
        <v>2349</v>
      </c>
      <c r="AA2103" s="110" t="s">
        <v>537</v>
      </c>
      <c r="AB2103" s="110" t="s">
        <v>333</v>
      </c>
      <c r="AC2103" s="110" t="s">
        <v>538</v>
      </c>
      <c r="AD2103" s="110" t="n">
        <f aca="false">IF(OR(F2103="",Q2103="",R2103=""),"",ROUND(IF(P2103="incl.",F2103/(1+Q2103),F2103)/IF(S2103="per pack",R2103,1),2))</f>
        <v>22.31</v>
      </c>
      <c r="AE2103" s="110" t="str">
        <f aca="false">IF(AND(AC2103="yes",ISNUMBER(F2103),IF(Compare!$H$5="All mapped",TRUE(),IF(Compare!$H$5="EXACT only",J2103="EXACT",OR(J2103="EXACT",J2103="CLOSE")))),"yes","no")</f>
        <v>yes</v>
      </c>
      <c r="AF2103" s="110" t="n">
        <f aca="false">IF(ISNUMBER(H2103),COUNTIFS($B$7:$B$3000,B2103,$C$7:$C$3000,C2103,$H$7:$H$3000,"&lt;"&amp;H2103,$AH$7:$AH$3000,"yes")+COUNTIFS($B$7:B2103,B2103,$C$7:C2103,C2103,$H$7:H2103,H2103,$AH$7:AH2103,"yes"),"")</f>
        <v>1</v>
      </c>
      <c r="AG2103" s="110" t="n">
        <f aca="false">IF(ISNUMBER(I2103),COUNTIFS($B$7:$B$3000,B2103,$C$7:$C$3000,C2103,$I$7:$I$3000,"&lt;"&amp;I2103,$AI$7:$AI$3000,"yes")+COUNTIFS($B$7:B2103,B2103,$C$7:C2103,C2103,$I$7:I2103,I2103,$AI$7:AI2103,"yes"),"")</f>
        <v>1</v>
      </c>
      <c r="AH2103" s="110" t="str">
        <f aca="false">IF(ISNUMBER(H2103),"yes","no")</f>
        <v>yes</v>
      </c>
      <c r="AI2103" s="110" t="str">
        <f aca="false">IF(ISNUMBER(I2103),"yes","no")</f>
        <v>yes</v>
      </c>
      <c r="AJ2103" s="120" t="n">
        <v>46297</v>
      </c>
      <c r="AK2103" s="110"/>
    </row>
    <row r="2104" customFormat="false" ht="35.05" hidden="false" customHeight="false" outlineLevel="0" collapsed="false">
      <c r="B2104" s="36" t="s">
        <v>110</v>
      </c>
      <c r="C2104" s="98" t="s">
        <v>17</v>
      </c>
      <c r="D2104" s="98" t="s">
        <v>357</v>
      </c>
      <c r="E2104" s="110" t="s">
        <v>6439</v>
      </c>
      <c r="F2104" s="99" t="n">
        <v>40</v>
      </c>
      <c r="G2104" s="98" t="s">
        <v>333</v>
      </c>
      <c r="H2104" s="112" t="n">
        <f aca="false">IF(AND(AE2104="yes",ISNUMBER(AD2104)),AD2104,"")</f>
        <v>33.06</v>
      </c>
      <c r="I2104" s="95" t="n">
        <f aca="false">IF(AND(AE2104="yes",ISNUMBER(AD2104),ISNUMBER(INDEX(Sources!$G$7:$G$10,MATCH(AB2104,Sources!$B$7:$B$10,0)))),ROUND(AD2104/INDEX(Sources!$G$7:$G$10,MATCH(AB2104,Sources!$B$7:$B$10,0)),6),"")</f>
        <v>1.353608</v>
      </c>
      <c r="J2104" s="98" t="s">
        <v>530</v>
      </c>
      <c r="K2104" s="98" t="s">
        <v>2059</v>
      </c>
      <c r="L2104" s="96"/>
      <c r="M2104" s="110" t="s">
        <v>6440</v>
      </c>
      <c r="N2104" s="117" t="s">
        <v>6441</v>
      </c>
      <c r="O2104" s="110" t="s">
        <v>388</v>
      </c>
      <c r="P2104" s="110" t="s">
        <v>265</v>
      </c>
      <c r="Q2104" s="118" t="n">
        <v>0.21</v>
      </c>
      <c r="R2104" s="110" t="n">
        <v>1</v>
      </c>
      <c r="S2104" s="110" t="s">
        <v>632</v>
      </c>
      <c r="T2104" s="110" t="s">
        <v>530</v>
      </c>
      <c r="U2104" s="110" t="s">
        <v>2918</v>
      </c>
      <c r="V2104" s="119" t="n">
        <v>33.06</v>
      </c>
      <c r="W2104" s="119"/>
      <c r="X2104" s="110" t="s">
        <v>2063</v>
      </c>
      <c r="Y2104" s="110" t="s">
        <v>2064</v>
      </c>
      <c r="Z2104" s="110"/>
      <c r="AA2104" s="110" t="s">
        <v>537</v>
      </c>
      <c r="AB2104" s="110" t="s">
        <v>333</v>
      </c>
      <c r="AC2104" s="110" t="s">
        <v>538</v>
      </c>
      <c r="AD2104" s="110" t="n">
        <f aca="false">IF(OR(F2104="",Q2104="",R2104=""),"",ROUND(IF(P2104="incl.",F2104/(1+Q2104),F2104)/IF(S2104="per pack",R2104,1),2))</f>
        <v>33.06</v>
      </c>
      <c r="AE2104" s="110" t="str">
        <f aca="false">IF(AND(AC2104="yes",ISNUMBER(F2104),IF(Compare!$H$5="All mapped",TRUE(),IF(Compare!$H$5="EXACT only",J2104="EXACT",OR(J2104="EXACT",J2104="CLOSE")))),"yes","no")</f>
        <v>yes</v>
      </c>
      <c r="AF2104" s="110" t="n">
        <f aca="false">IF(ISNUMBER(H2104),COUNTIFS($B$7:$B$3000,B2104,$C$7:$C$3000,C2104,$H$7:$H$3000,"&lt;"&amp;H2104,$AH$7:$AH$3000,"yes")+COUNTIFS($B$7:B2104,B2104,$C$7:C2104,C2104,$H$7:H2104,H2104,$AH$7:AH2104,"yes"),"")</f>
        <v>2</v>
      </c>
      <c r="AG2104" s="110" t="n">
        <f aca="false">IF(ISNUMBER(I2104),COUNTIFS($B$7:$B$3000,B2104,$C$7:$C$3000,C2104,$I$7:$I$3000,"&lt;"&amp;I2104,$AI$7:$AI$3000,"yes")+COUNTIFS($B$7:B2104,B2104,$C$7:C2104,C2104,$I$7:I2104,I2104,$AI$7:AI2104,"yes"),"")</f>
        <v>2</v>
      </c>
      <c r="AH2104" s="110" t="str">
        <f aca="false">IF(ISNUMBER(H2104),"yes","no")</f>
        <v>yes</v>
      </c>
      <c r="AI2104" s="110" t="str">
        <f aca="false">IF(ISNUMBER(I2104),"yes","no")</f>
        <v>yes</v>
      </c>
      <c r="AJ2104" s="120" t="n">
        <v>46297</v>
      </c>
      <c r="AK2104" s="110"/>
    </row>
    <row r="2105" customFormat="false" ht="35.05" hidden="false" customHeight="false" outlineLevel="0" collapsed="false">
      <c r="B2105" s="36" t="s">
        <v>110</v>
      </c>
      <c r="C2105" s="98" t="s">
        <v>17</v>
      </c>
      <c r="D2105" s="98" t="s">
        <v>361</v>
      </c>
      <c r="E2105" s="110" t="s">
        <v>6442</v>
      </c>
      <c r="F2105" s="99" t="n">
        <v>61</v>
      </c>
      <c r="G2105" s="98" t="s">
        <v>333</v>
      </c>
      <c r="H2105" s="112" t="str">
        <f aca="false">IF(AND(AE2105="yes",ISNUMBER(AD2105)),AD2105,"")</f>
        <v/>
      </c>
      <c r="I2105" s="95" t="str">
        <f aca="false">IF(AND(AE2105="yes",ISNUMBER(AD2105),ISNUMBER(INDEX(Sources!$G$7:$G$10,MATCH(AB2105,Sources!$B$7:$B$10,0)))),ROUND(AD2105/INDEX(Sources!$G$7:$G$10,MATCH(AB2105,Sources!$B$7:$B$10,0)),6),"")</f>
        <v/>
      </c>
      <c r="J2105" s="98" t="s">
        <v>629</v>
      </c>
      <c r="K2105" s="98" t="s">
        <v>2059</v>
      </c>
      <c r="L2105" s="96"/>
      <c r="M2105" s="110" t="s">
        <v>6443</v>
      </c>
      <c r="N2105" s="117" t="s">
        <v>6444</v>
      </c>
      <c r="O2105" s="110" t="s">
        <v>642</v>
      </c>
      <c r="P2105" s="110" t="s">
        <v>265</v>
      </c>
      <c r="Q2105" s="118" t="n">
        <v>0.21</v>
      </c>
      <c r="R2105" s="110" t="n">
        <v>1</v>
      </c>
      <c r="S2105" s="110" t="s">
        <v>632</v>
      </c>
      <c r="T2105" s="110" t="s">
        <v>629</v>
      </c>
      <c r="U2105" s="110" t="s">
        <v>2918</v>
      </c>
      <c r="V2105" s="119" t="n">
        <v>50.41</v>
      </c>
      <c r="W2105" s="119"/>
      <c r="X2105" s="110" t="s">
        <v>2063</v>
      </c>
      <c r="Y2105" s="110" t="s">
        <v>2064</v>
      </c>
      <c r="Z2105" s="110" t="s">
        <v>2400</v>
      </c>
      <c r="AA2105" s="110" t="s">
        <v>537</v>
      </c>
      <c r="AB2105" s="110" t="s">
        <v>333</v>
      </c>
      <c r="AC2105" s="110" t="s">
        <v>538</v>
      </c>
      <c r="AD2105" s="110" t="n">
        <f aca="false">IF(OR(F2105="",Q2105="",R2105=""),"",ROUND(IF(P2105="incl.",F2105/(1+Q2105),F2105)/IF(S2105="per pack",R2105,1),2))</f>
        <v>50.41</v>
      </c>
      <c r="AE2105" s="110" t="str">
        <f aca="false">IF(AND(AC2105="yes",ISNUMBER(F2105),IF(Compare!$H$5="All mapped",TRUE(),IF(Compare!$H$5="EXACT only",J2105="EXACT",OR(J2105="EXACT",J2105="CLOSE")))),"yes","no")</f>
        <v>no</v>
      </c>
      <c r="AF2105" s="110" t="str">
        <f aca="false">IF(ISNUMBER(H2105),COUNTIFS($B$7:$B$3000,B2105,$C$7:$C$3000,C2105,$H$7:$H$3000,"&lt;"&amp;H2105,$AH$7:$AH$3000,"yes")+COUNTIFS($B$7:B2105,B2105,$C$7:C2105,C2105,$H$7:H2105,H2105,$AH$7:AH2105,"yes"),"")</f>
        <v/>
      </c>
      <c r="AG2105" s="110" t="str">
        <f aca="false">IF(ISNUMBER(I2105),COUNTIFS($B$7:$B$3000,B2105,$C$7:$C$3000,C2105,$I$7:$I$3000,"&lt;"&amp;I2105,$AI$7:$AI$3000,"yes")+COUNTIFS($B$7:B2105,B2105,$C$7:C2105,C2105,$I$7:I2105,I2105,$AI$7:AI2105,"yes"),"")</f>
        <v/>
      </c>
      <c r="AH2105" s="110" t="str">
        <f aca="false">IF(ISNUMBER(H2105),"yes","no")</f>
        <v>no</v>
      </c>
      <c r="AI2105" s="110" t="str">
        <f aca="false">IF(ISNUMBER(I2105),"yes","no")</f>
        <v>no</v>
      </c>
      <c r="AJ2105" s="120" t="n">
        <v>46297</v>
      </c>
      <c r="AK2105" s="110"/>
    </row>
    <row r="2106" customFormat="false" ht="35.05" hidden="false" customHeight="false" outlineLevel="0" collapsed="false">
      <c r="B2106" s="36" t="s">
        <v>110</v>
      </c>
      <c r="C2106" s="98" t="s">
        <v>18</v>
      </c>
      <c r="D2106" s="98" t="s">
        <v>3002</v>
      </c>
      <c r="E2106" s="110" t="s">
        <v>6445</v>
      </c>
      <c r="F2106" s="99" t="n">
        <v>1.65</v>
      </c>
      <c r="G2106" s="98" t="s">
        <v>244</v>
      </c>
      <c r="H2106" s="112" t="n">
        <f aca="false">IF(AND(AE2106="yes",ISNUMBER(AD2106)),AD2106,"")</f>
        <v>1.65</v>
      </c>
      <c r="I2106" s="95" t="n">
        <f aca="false">IF(AND(AE2106="yes",ISNUMBER(AD2106),ISNUMBER(INDEX(Sources!$G$7:$G$10,MATCH(AB2106,Sources!$B$7:$B$10,0)))),ROUND(AD2106/INDEX(Sources!$G$7:$G$10,MATCH(AB2106,Sources!$B$7:$B$10,0)),6),"")</f>
        <v>1.65</v>
      </c>
      <c r="J2106" s="98" t="s">
        <v>530</v>
      </c>
      <c r="K2106" s="98" t="s">
        <v>2059</v>
      </c>
      <c r="L2106" s="96"/>
      <c r="M2106" s="110" t="s">
        <v>6446</v>
      </c>
      <c r="N2106" s="117" t="s">
        <v>5588</v>
      </c>
      <c r="O2106" s="110" t="s">
        <v>2396</v>
      </c>
      <c r="P2106" s="110" t="s">
        <v>590</v>
      </c>
      <c r="Q2106" s="118" t="n">
        <v>0.23</v>
      </c>
      <c r="R2106" s="110" t="n">
        <v>1</v>
      </c>
      <c r="S2106" s="110" t="s">
        <v>632</v>
      </c>
      <c r="T2106" s="110" t="s">
        <v>530</v>
      </c>
      <c r="U2106" s="110" t="s">
        <v>2913</v>
      </c>
      <c r="V2106" s="119" t="n">
        <v>1.65</v>
      </c>
      <c r="W2106" s="119"/>
      <c r="X2106" s="110" t="s">
        <v>2063</v>
      </c>
      <c r="Y2106" s="110" t="s">
        <v>2064</v>
      </c>
      <c r="Z2106" s="110" t="s">
        <v>3346</v>
      </c>
      <c r="AA2106" s="110" t="s">
        <v>537</v>
      </c>
      <c r="AB2106" s="110" t="s">
        <v>244</v>
      </c>
      <c r="AC2106" s="110" t="s">
        <v>538</v>
      </c>
      <c r="AD2106" s="110" t="n">
        <f aca="false">IF(OR(F2106="",Q2106="",R2106=""),"",ROUND(IF(P2106="incl.",F2106/(1+Q2106),F2106)/IF(S2106="per pack",R2106,1),2))</f>
        <v>1.65</v>
      </c>
      <c r="AE2106" s="110" t="str">
        <f aca="false">IF(AND(AC2106="yes",ISNUMBER(F2106),IF(Compare!$H$5="All mapped",TRUE(),IF(Compare!$H$5="EXACT only",J2106="EXACT",OR(J2106="EXACT",J2106="CLOSE")))),"yes","no")</f>
        <v>yes</v>
      </c>
      <c r="AF2106" s="110" t="n">
        <f aca="false">IF(ISNUMBER(H2106),COUNTIFS($B$7:$B$3000,B2106,$C$7:$C$3000,C2106,$H$7:$H$3000,"&lt;"&amp;H2106,$AH$7:$AH$3000,"yes")+COUNTIFS($B$7:B2106,B2106,$C$7:C2106,C2106,$H$7:H2106,H2106,$AH$7:AH2106,"yes"),"")</f>
        <v>3</v>
      </c>
      <c r="AG2106" s="110" t="n">
        <f aca="false">IF(ISNUMBER(I2106),COUNTIFS($B$7:$B$3000,B2106,$C$7:$C$3000,C2106,$I$7:$I$3000,"&lt;"&amp;I2106,$AI$7:$AI$3000,"yes")+COUNTIFS($B$7:B2106,B2106,$C$7:C2106,C2106,$I$7:I2106,I2106,$AI$7:AI2106,"yes"),"")</f>
        <v>3</v>
      </c>
      <c r="AH2106" s="110" t="str">
        <f aca="false">IF(ISNUMBER(H2106),"yes","no")</f>
        <v>yes</v>
      </c>
      <c r="AI2106" s="110" t="str">
        <f aca="false">IF(ISNUMBER(I2106),"yes","no")</f>
        <v>yes</v>
      </c>
      <c r="AJ2106" s="120" t="n">
        <v>46297</v>
      </c>
      <c r="AK2106" s="110"/>
    </row>
    <row r="2107" customFormat="false" ht="23.85" hidden="false" customHeight="false" outlineLevel="0" collapsed="false">
      <c r="B2107" s="36" t="s">
        <v>110</v>
      </c>
      <c r="C2107" s="98" t="s">
        <v>18</v>
      </c>
      <c r="D2107" s="98" t="s">
        <v>365</v>
      </c>
      <c r="E2107" s="110" t="s">
        <v>6447</v>
      </c>
      <c r="F2107" s="99" t="n">
        <v>1.87</v>
      </c>
      <c r="G2107" s="98" t="s">
        <v>244</v>
      </c>
      <c r="H2107" s="112" t="n">
        <f aca="false">IF(AND(AE2107="yes",ISNUMBER(AD2107)),AD2107,"")</f>
        <v>1.52</v>
      </c>
      <c r="I2107" s="95" t="n">
        <f aca="false">IF(AND(AE2107="yes",ISNUMBER(AD2107),ISNUMBER(INDEX(Sources!$G$7:$G$10,MATCH(AB2107,Sources!$B$7:$B$10,0)))),ROUND(AD2107/INDEX(Sources!$G$7:$G$10,MATCH(AB2107,Sources!$B$7:$B$10,0)),6),"")</f>
        <v>1.52</v>
      </c>
      <c r="J2107" s="98" t="s">
        <v>530</v>
      </c>
      <c r="K2107" s="98" t="s">
        <v>2059</v>
      </c>
      <c r="L2107" s="96"/>
      <c r="M2107" s="110" t="s">
        <v>6448</v>
      </c>
      <c r="N2107" s="117" t="s">
        <v>6449</v>
      </c>
      <c r="O2107" s="110" t="s">
        <v>6210</v>
      </c>
      <c r="P2107" s="110" t="s">
        <v>265</v>
      </c>
      <c r="Q2107" s="118" t="n">
        <v>0.23</v>
      </c>
      <c r="R2107" s="110" t="n">
        <v>1</v>
      </c>
      <c r="S2107" s="110" t="s">
        <v>632</v>
      </c>
      <c r="T2107" s="110" t="s">
        <v>530</v>
      </c>
      <c r="U2107" s="110" t="s">
        <v>2918</v>
      </c>
      <c r="V2107" s="119" t="n">
        <v>1.52</v>
      </c>
      <c r="W2107" s="119"/>
      <c r="X2107" s="110" t="s">
        <v>2063</v>
      </c>
      <c r="Y2107" s="110" t="s">
        <v>2064</v>
      </c>
      <c r="Z2107" s="110" t="s">
        <v>3016</v>
      </c>
      <c r="AA2107" s="110" t="s">
        <v>537</v>
      </c>
      <c r="AB2107" s="110" t="s">
        <v>244</v>
      </c>
      <c r="AC2107" s="110" t="s">
        <v>538</v>
      </c>
      <c r="AD2107" s="110" t="n">
        <f aca="false">IF(OR(F2107="",Q2107="",R2107=""),"",ROUND(IF(P2107="incl.",F2107/(1+Q2107),F2107)/IF(S2107="per pack",R2107,1),2))</f>
        <v>1.52</v>
      </c>
      <c r="AE2107" s="110" t="str">
        <f aca="false">IF(AND(AC2107="yes",ISNUMBER(F2107),IF(Compare!$H$5="All mapped",TRUE(),IF(Compare!$H$5="EXACT only",J2107="EXACT",OR(J2107="EXACT",J2107="CLOSE")))),"yes","no")</f>
        <v>yes</v>
      </c>
      <c r="AF2107" s="110" t="n">
        <f aca="false">IF(ISNUMBER(H2107),COUNTIFS($B$7:$B$3000,B2107,$C$7:$C$3000,C2107,$H$7:$H$3000,"&lt;"&amp;H2107,$AH$7:$AH$3000,"yes")+COUNTIFS($B$7:B2107,B2107,$C$7:C2107,C2107,$H$7:H2107,H2107,$AH$7:AH2107,"yes"),"")</f>
        <v>2</v>
      </c>
      <c r="AG2107" s="110" t="n">
        <f aca="false">IF(ISNUMBER(I2107),COUNTIFS($B$7:$B$3000,B2107,$C$7:$C$3000,C2107,$I$7:$I$3000,"&lt;"&amp;I2107,$AI$7:$AI$3000,"yes")+COUNTIFS($B$7:B2107,B2107,$C$7:C2107,C2107,$I$7:I2107,I2107,$AI$7:AI2107,"yes"),"")</f>
        <v>2</v>
      </c>
      <c r="AH2107" s="110" t="str">
        <f aca="false">IF(ISNUMBER(H2107),"yes","no")</f>
        <v>yes</v>
      </c>
      <c r="AI2107" s="110" t="str">
        <f aca="false">IF(ISNUMBER(I2107),"yes","no")</f>
        <v>yes</v>
      </c>
      <c r="AJ2107" s="120" t="n">
        <v>46297</v>
      </c>
      <c r="AK2107" s="110"/>
    </row>
    <row r="2108" customFormat="false" ht="35.05" hidden="false" customHeight="false" outlineLevel="0" collapsed="false">
      <c r="B2108" s="36" t="s">
        <v>110</v>
      </c>
      <c r="C2108" s="98" t="s">
        <v>18</v>
      </c>
      <c r="D2108" s="98" t="s">
        <v>369</v>
      </c>
      <c r="E2108" s="110" t="s">
        <v>6450</v>
      </c>
      <c r="F2108" s="99" t="n">
        <v>5.16</v>
      </c>
      <c r="G2108" s="98" t="s">
        <v>244</v>
      </c>
      <c r="H2108" s="112" t="n">
        <f aca="false">IF(AND(AE2108="yes",ISNUMBER(AD2108)),AD2108,"")</f>
        <v>4.2</v>
      </c>
      <c r="I2108" s="95" t="n">
        <f aca="false">IF(AND(AE2108="yes",ISNUMBER(AD2108),ISNUMBER(INDEX(Sources!$G$7:$G$10,MATCH(AB2108,Sources!$B$7:$B$10,0)))),ROUND(AD2108/INDEX(Sources!$G$7:$G$10,MATCH(AB2108,Sources!$B$7:$B$10,0)),6),"")</f>
        <v>4.2</v>
      </c>
      <c r="J2108" s="98" t="s">
        <v>702</v>
      </c>
      <c r="K2108" s="98" t="s">
        <v>2059</v>
      </c>
      <c r="L2108" s="96"/>
      <c r="M2108" s="110" t="s">
        <v>6451</v>
      </c>
      <c r="N2108" s="117" t="s">
        <v>6452</v>
      </c>
      <c r="O2108" s="110" t="s">
        <v>565</v>
      </c>
      <c r="P2108" s="110" t="s">
        <v>265</v>
      </c>
      <c r="Q2108" s="118" t="n">
        <v>0.23</v>
      </c>
      <c r="R2108" s="110" t="n">
        <v>1</v>
      </c>
      <c r="S2108" s="110" t="s">
        <v>632</v>
      </c>
      <c r="T2108" s="110" t="s">
        <v>702</v>
      </c>
      <c r="U2108" s="110" t="s">
        <v>2918</v>
      </c>
      <c r="V2108" s="119" t="n">
        <v>4.2</v>
      </c>
      <c r="W2108" s="119"/>
      <c r="X2108" s="110" t="s">
        <v>2063</v>
      </c>
      <c r="Y2108" s="110" t="s">
        <v>2064</v>
      </c>
      <c r="Z2108" s="110" t="s">
        <v>3354</v>
      </c>
      <c r="AA2108" s="110" t="s">
        <v>537</v>
      </c>
      <c r="AB2108" s="110" t="s">
        <v>244</v>
      </c>
      <c r="AC2108" s="110" t="s">
        <v>538</v>
      </c>
      <c r="AD2108" s="110" t="n">
        <f aca="false">IF(OR(F2108="",Q2108="",R2108=""),"",ROUND(IF(P2108="incl.",F2108/(1+Q2108),F2108)/IF(S2108="per pack",R2108,1),2))</f>
        <v>4.2</v>
      </c>
      <c r="AE2108" s="110" t="str">
        <f aca="false">IF(AND(AC2108="yes",ISNUMBER(F2108),IF(Compare!$H$5="All mapped",TRUE(),IF(Compare!$H$5="EXACT only",J2108="EXACT",OR(J2108="EXACT",J2108="CLOSE")))),"yes","no")</f>
        <v>yes</v>
      </c>
      <c r="AF2108" s="110" t="n">
        <f aca="false">IF(ISNUMBER(H2108),COUNTIFS($B$7:$B$3000,B2108,$C$7:$C$3000,C2108,$H$7:$H$3000,"&lt;"&amp;H2108,$AH$7:$AH$3000,"yes")+COUNTIFS($B$7:B2108,B2108,$C$7:C2108,C2108,$H$7:H2108,H2108,$AH$7:AH2108,"yes"),"")</f>
        <v>4</v>
      </c>
      <c r="AG2108" s="110" t="n">
        <f aca="false">IF(ISNUMBER(I2108),COUNTIFS($B$7:$B$3000,B2108,$C$7:$C$3000,C2108,$I$7:$I$3000,"&lt;"&amp;I2108,$AI$7:$AI$3000,"yes")+COUNTIFS($B$7:B2108,B2108,$C$7:C2108,C2108,$I$7:I2108,I2108,$AI$7:AI2108,"yes"),"")</f>
        <v>4</v>
      </c>
      <c r="AH2108" s="110" t="str">
        <f aca="false">IF(ISNUMBER(H2108),"yes","no")</f>
        <v>yes</v>
      </c>
      <c r="AI2108" s="110" t="str">
        <f aca="false">IF(ISNUMBER(I2108),"yes","no")</f>
        <v>yes</v>
      </c>
      <c r="AJ2108" s="120" t="n">
        <v>46297</v>
      </c>
      <c r="AK2108" s="110"/>
    </row>
    <row r="2109" customFormat="false" ht="23.85" hidden="false" customHeight="false" outlineLevel="0" collapsed="false">
      <c r="B2109" s="36" t="s">
        <v>110</v>
      </c>
      <c r="C2109" s="98" t="s">
        <v>18</v>
      </c>
      <c r="D2109" s="98" t="s">
        <v>3021</v>
      </c>
      <c r="E2109" s="110" t="s">
        <v>6453</v>
      </c>
      <c r="F2109" s="99" t="n">
        <v>1.09</v>
      </c>
      <c r="G2109" s="98" t="s">
        <v>244</v>
      </c>
      <c r="H2109" s="112" t="n">
        <f aca="false">IF(AND(AE2109="yes",ISNUMBER(AD2109)),AD2109,"")</f>
        <v>1.09</v>
      </c>
      <c r="I2109" s="95" t="n">
        <f aca="false">IF(AND(AE2109="yes",ISNUMBER(AD2109),ISNUMBER(INDEX(Sources!$G$7:$G$10,MATCH(AB2109,Sources!$B$7:$B$10,0)))),ROUND(AD2109/INDEX(Sources!$G$7:$G$10,MATCH(AB2109,Sources!$B$7:$B$10,0)),6),"")</f>
        <v>1.09</v>
      </c>
      <c r="J2109" s="98" t="s">
        <v>530</v>
      </c>
      <c r="K2109" s="98" t="s">
        <v>2059</v>
      </c>
      <c r="L2109" s="96"/>
      <c r="M2109" s="110" t="s">
        <v>6454</v>
      </c>
      <c r="N2109" s="117" t="s">
        <v>4416</v>
      </c>
      <c r="O2109" s="110" t="s">
        <v>2396</v>
      </c>
      <c r="P2109" s="110" t="s">
        <v>590</v>
      </c>
      <c r="Q2109" s="118" t="n">
        <v>0.23</v>
      </c>
      <c r="R2109" s="110" t="n">
        <v>1</v>
      </c>
      <c r="S2109" s="110" t="s">
        <v>632</v>
      </c>
      <c r="T2109" s="110" t="s">
        <v>530</v>
      </c>
      <c r="U2109" s="110" t="s">
        <v>2913</v>
      </c>
      <c r="V2109" s="119" t="n">
        <v>1.09</v>
      </c>
      <c r="W2109" s="119"/>
      <c r="X2109" s="110" t="s">
        <v>2063</v>
      </c>
      <c r="Y2109" s="110" t="s">
        <v>2064</v>
      </c>
      <c r="Z2109" s="110" t="s">
        <v>3900</v>
      </c>
      <c r="AA2109" s="110" t="s">
        <v>537</v>
      </c>
      <c r="AB2109" s="110" t="s">
        <v>244</v>
      </c>
      <c r="AC2109" s="110" t="s">
        <v>538</v>
      </c>
      <c r="AD2109" s="110" t="n">
        <f aca="false">IF(OR(F2109="",Q2109="",R2109=""),"",ROUND(IF(P2109="incl.",F2109/(1+Q2109),F2109)/IF(S2109="per pack",R2109,1),2))</f>
        <v>1.09</v>
      </c>
      <c r="AE2109" s="110" t="str">
        <f aca="false">IF(AND(AC2109="yes",ISNUMBER(F2109),IF(Compare!$H$5="All mapped",TRUE(),IF(Compare!$H$5="EXACT only",J2109="EXACT",OR(J2109="EXACT",J2109="CLOSE")))),"yes","no")</f>
        <v>yes</v>
      </c>
      <c r="AF2109" s="110" t="n">
        <f aca="false">IF(ISNUMBER(H2109),COUNTIFS($B$7:$B$3000,B2109,$C$7:$C$3000,C2109,$H$7:$H$3000,"&lt;"&amp;H2109,$AH$7:$AH$3000,"yes")+COUNTIFS($B$7:B2109,B2109,$C$7:C2109,C2109,$H$7:H2109,H2109,$AH$7:AH2109,"yes"),"")</f>
        <v>1</v>
      </c>
      <c r="AG2109" s="110" t="n">
        <f aca="false">IF(ISNUMBER(I2109),COUNTIFS($B$7:$B$3000,B2109,$C$7:$C$3000,C2109,$I$7:$I$3000,"&lt;"&amp;I2109,$AI$7:$AI$3000,"yes")+COUNTIFS($B$7:B2109,B2109,$C$7:C2109,C2109,$I$7:I2109,I2109,$AI$7:AI2109,"yes"),"")</f>
        <v>1</v>
      </c>
      <c r="AH2109" s="110" t="str">
        <f aca="false">IF(ISNUMBER(H2109),"yes","no")</f>
        <v>yes</v>
      </c>
      <c r="AI2109" s="110" t="str">
        <f aca="false">IF(ISNUMBER(I2109),"yes","no")</f>
        <v>yes</v>
      </c>
      <c r="AJ2109" s="120" t="n">
        <v>46297</v>
      </c>
      <c r="AK2109" s="110"/>
    </row>
  </sheetData>
  <conditionalFormatting sqref="J7:J3000">
    <cfRule type="expression" priority="2" aboveAverage="0" equalAverage="0" bottom="0" percent="0" rank="0" text="" dxfId="22">
      <formula>J7="INCOMPLETE"</formula>
    </cfRule>
    <cfRule type="expression" priority="3" aboveAverage="0" equalAverage="0" bottom="0" percent="0" rank="0" text="" dxfId="23">
      <formula>J7="APPROX"</formula>
    </cfRule>
    <cfRule type="expression" priority="4" aboveAverage="0" equalAverage="0" bottom="0" percent="0" rank="0" text="" dxfId="24">
      <formula>J7="EXACT"</formula>
    </cfRule>
  </conditionalFormatting>
  <conditionalFormatting sqref="K7:K3000">
    <cfRule type="expression" priority="5" aboveAverage="0" equalAverage="0" bottom="0" percent="0" rank="0" text="" dxfId="1">
      <formula>$AJ7&gt;DATE(2026,9,30)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609A"/>
    <pageSetUpPr fitToPage="false"/>
  </sheetPr>
  <dimension ref="A1:E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48"/>
    <col collapsed="false" customWidth="true" hidden="false" outlineLevel="0" max="3" min="3" style="1" width="68"/>
    <col collapsed="false" customWidth="true" hidden="false" outlineLevel="0" max="4" min="4" style="1" width="86"/>
  </cols>
  <sheetData>
    <row r="1" customFormat="false" ht="21.75" hidden="false" customHeight="true" outlineLevel="0" collapsed="false">
      <c r="A1" s="3"/>
      <c r="B1" s="3"/>
      <c r="C1" s="3"/>
      <c r="D1" s="3"/>
      <c r="E1" s="3"/>
    </row>
    <row r="2" customFormat="false" ht="28.5" hidden="false" customHeight="true" outlineLevel="0" collapsed="false">
      <c r="A2" s="3"/>
      <c r="B2" s="5" t="s">
        <v>6455</v>
      </c>
      <c r="C2" s="7"/>
      <c r="D2" s="7"/>
      <c r="E2" s="3"/>
    </row>
    <row r="3" customFormat="false" ht="22.5" hidden="false" customHeight="true" outlineLevel="0" collapsed="false">
      <c r="A3" s="3"/>
      <c r="B3" s="8" t="s">
        <v>6456</v>
      </c>
      <c r="C3" s="7"/>
      <c r="D3" s="7"/>
      <c r="E3" s="3"/>
    </row>
    <row r="4" customFormat="false" ht="21.75" hidden="false" customHeight="true" outlineLevel="0" collapsed="false">
      <c r="A4" s="3"/>
      <c r="B4" s="9"/>
      <c r="C4" s="9"/>
      <c r="D4" s="9"/>
      <c r="E4" s="3"/>
    </row>
    <row r="5" customFormat="false" ht="21.75" hidden="false" customHeight="true" outlineLevel="0" collapsed="false">
      <c r="A5" s="3"/>
      <c r="B5" s="9"/>
      <c r="C5" s="9"/>
      <c r="D5" s="9"/>
      <c r="E5" s="3"/>
    </row>
    <row r="6" customFormat="false" ht="36" hidden="false" customHeight="true" outlineLevel="0" collapsed="false">
      <c r="A6" s="3"/>
      <c r="B6" s="121" t="s">
        <v>12</v>
      </c>
      <c r="C6" s="26" t="s">
        <v>6457</v>
      </c>
      <c r="D6" s="26" t="s">
        <v>6458</v>
      </c>
      <c r="E6" s="3"/>
    </row>
    <row r="7" customFormat="false" ht="51" hidden="false" customHeight="true" outlineLevel="0" collapsed="false">
      <c r="A7" s="3"/>
      <c r="B7" s="122" t="s">
        <v>9</v>
      </c>
      <c r="C7" s="109" t="s">
        <v>6459</v>
      </c>
      <c r="D7" s="109" t="s">
        <v>6460</v>
      </c>
      <c r="E7" s="3"/>
    </row>
    <row r="8" customFormat="false" ht="51" hidden="false" customHeight="true" outlineLevel="0" collapsed="false">
      <c r="A8" s="3"/>
      <c r="B8" s="122" t="s">
        <v>22</v>
      </c>
      <c r="C8" s="110" t="s">
        <v>6461</v>
      </c>
      <c r="D8" s="110" t="s">
        <v>6460</v>
      </c>
      <c r="E8" s="3"/>
    </row>
    <row r="9" customFormat="false" ht="51" hidden="false" customHeight="true" outlineLevel="0" collapsed="false">
      <c r="A9" s="3"/>
      <c r="B9" s="122" t="s">
        <v>23</v>
      </c>
      <c r="C9" s="109" t="s">
        <v>6462</v>
      </c>
      <c r="D9" s="109" t="s">
        <v>6460</v>
      </c>
      <c r="E9" s="3"/>
    </row>
    <row r="10" customFormat="false" ht="51" hidden="false" customHeight="true" outlineLevel="0" collapsed="false">
      <c r="A10" s="3"/>
      <c r="B10" s="122" t="s">
        <v>24</v>
      </c>
      <c r="C10" s="110" t="s">
        <v>6463</v>
      </c>
      <c r="D10" s="110" t="s">
        <v>6464</v>
      </c>
      <c r="E10" s="3"/>
    </row>
    <row r="11" customFormat="false" ht="51" hidden="false" customHeight="true" outlineLevel="0" collapsed="false">
      <c r="A11" s="3"/>
      <c r="B11" s="122" t="s">
        <v>25</v>
      </c>
      <c r="C11" s="109" t="s">
        <v>25</v>
      </c>
      <c r="D11" s="109" t="s">
        <v>6464</v>
      </c>
      <c r="E11" s="3"/>
    </row>
    <row r="12" customFormat="false" ht="51" hidden="false" customHeight="true" outlineLevel="0" collapsed="false">
      <c r="A12" s="3"/>
      <c r="B12" s="122" t="s">
        <v>26</v>
      </c>
      <c r="C12" s="110" t="s">
        <v>6465</v>
      </c>
      <c r="D12" s="110" t="s">
        <v>6464</v>
      </c>
      <c r="E12" s="3"/>
    </row>
    <row r="13" customFormat="false" ht="51" hidden="false" customHeight="true" outlineLevel="0" collapsed="false">
      <c r="A13" s="3"/>
      <c r="B13" s="122" t="s">
        <v>27</v>
      </c>
      <c r="C13" s="109" t="s">
        <v>27</v>
      </c>
      <c r="D13" s="109" t="s">
        <v>6464</v>
      </c>
      <c r="E13" s="3"/>
    </row>
    <row r="14" customFormat="false" ht="51" hidden="false" customHeight="true" outlineLevel="0" collapsed="false">
      <c r="A14" s="3"/>
      <c r="B14" s="122" t="s">
        <v>28</v>
      </c>
      <c r="C14" s="110" t="s">
        <v>6466</v>
      </c>
      <c r="D14" s="110" t="s">
        <v>6464</v>
      </c>
      <c r="E14" s="3"/>
    </row>
    <row r="15" customFormat="false" ht="51" hidden="false" customHeight="true" outlineLevel="0" collapsed="false">
      <c r="A15" s="3"/>
      <c r="B15" s="122" t="s">
        <v>29</v>
      </c>
      <c r="C15" s="109" t="s">
        <v>6467</v>
      </c>
      <c r="D15" s="109" t="s">
        <v>6468</v>
      </c>
      <c r="E15" s="3"/>
    </row>
    <row r="16" customFormat="false" ht="51" hidden="false" customHeight="true" outlineLevel="0" collapsed="false">
      <c r="A16" s="3"/>
      <c r="B16" s="122" t="s">
        <v>31</v>
      </c>
      <c r="C16" s="110" t="s">
        <v>6469</v>
      </c>
      <c r="D16" s="110" t="s">
        <v>6468</v>
      </c>
      <c r="E16" s="3"/>
    </row>
    <row r="17" customFormat="false" ht="51" hidden="false" customHeight="true" outlineLevel="0" collapsed="false">
      <c r="A17" s="3"/>
      <c r="B17" s="122" t="s">
        <v>33</v>
      </c>
      <c r="C17" s="109" t="s">
        <v>6470</v>
      </c>
      <c r="D17" s="109" t="s">
        <v>6468</v>
      </c>
      <c r="E17" s="3"/>
    </row>
    <row r="18" customFormat="false" ht="51" hidden="false" customHeight="true" outlineLevel="0" collapsed="false">
      <c r="A18" s="3"/>
      <c r="B18" s="122" t="s">
        <v>34</v>
      </c>
      <c r="C18" s="110" t="s">
        <v>6471</v>
      </c>
      <c r="D18" s="110" t="s">
        <v>6464</v>
      </c>
      <c r="E18" s="3"/>
    </row>
    <row r="19" customFormat="false" ht="51" hidden="false" customHeight="true" outlineLevel="0" collapsed="false">
      <c r="A19" s="3"/>
      <c r="B19" s="122" t="s">
        <v>35</v>
      </c>
      <c r="C19" s="109" t="s">
        <v>6472</v>
      </c>
      <c r="D19" s="109" t="s">
        <v>6473</v>
      </c>
      <c r="E19" s="3"/>
    </row>
    <row r="20" customFormat="false" ht="51" hidden="false" customHeight="true" outlineLevel="0" collapsed="false">
      <c r="A20" s="3"/>
      <c r="B20" s="122" t="s">
        <v>37</v>
      </c>
      <c r="C20" s="110" t="s">
        <v>6474</v>
      </c>
      <c r="D20" s="110" t="s">
        <v>6464</v>
      </c>
      <c r="E20" s="3"/>
    </row>
    <row r="21" customFormat="false" ht="51" hidden="false" customHeight="true" outlineLevel="0" collapsed="false">
      <c r="A21" s="3"/>
      <c r="B21" s="122" t="s">
        <v>39</v>
      </c>
      <c r="C21" s="109" t="s">
        <v>6475</v>
      </c>
      <c r="D21" s="109" t="s">
        <v>6476</v>
      </c>
      <c r="E21" s="3"/>
    </row>
    <row r="22" customFormat="false" ht="51" hidden="false" customHeight="true" outlineLevel="0" collapsed="false">
      <c r="A22" s="3"/>
      <c r="B22" s="122" t="s">
        <v>40</v>
      </c>
      <c r="C22" s="110" t="s">
        <v>6477</v>
      </c>
      <c r="D22" s="110" t="s">
        <v>6464</v>
      </c>
      <c r="E22" s="3"/>
    </row>
    <row r="23" customFormat="false" ht="51" hidden="false" customHeight="true" outlineLevel="0" collapsed="false">
      <c r="A23" s="3"/>
      <c r="B23" s="122" t="s">
        <v>41</v>
      </c>
      <c r="C23" s="109" t="s">
        <v>6478</v>
      </c>
      <c r="D23" s="109" t="s">
        <v>6464</v>
      </c>
      <c r="E23" s="3"/>
    </row>
    <row r="24" customFormat="false" ht="51" hidden="false" customHeight="true" outlineLevel="0" collapsed="false">
      <c r="A24" s="3"/>
      <c r="B24" s="122" t="s">
        <v>43</v>
      </c>
      <c r="C24" s="110" t="s">
        <v>6479</v>
      </c>
      <c r="D24" s="110" t="s">
        <v>6480</v>
      </c>
      <c r="E24" s="3"/>
    </row>
    <row r="25" customFormat="false" ht="51" hidden="false" customHeight="true" outlineLevel="0" collapsed="false">
      <c r="A25" s="3"/>
      <c r="B25" s="122" t="s">
        <v>45</v>
      </c>
      <c r="C25" s="109" t="s">
        <v>6481</v>
      </c>
      <c r="D25" s="109" t="s">
        <v>6480</v>
      </c>
      <c r="E25" s="3"/>
    </row>
    <row r="26" customFormat="false" ht="51" hidden="false" customHeight="true" outlineLevel="0" collapsed="false">
      <c r="A26" s="3"/>
      <c r="B26" s="122" t="s">
        <v>46</v>
      </c>
      <c r="C26" s="110" t="s">
        <v>6482</v>
      </c>
      <c r="D26" s="110" t="s">
        <v>6480</v>
      </c>
      <c r="E26" s="3"/>
    </row>
    <row r="27" customFormat="false" ht="51" hidden="false" customHeight="true" outlineLevel="0" collapsed="false">
      <c r="A27" s="3"/>
      <c r="B27" s="122" t="s">
        <v>47</v>
      </c>
      <c r="C27" s="109" t="s">
        <v>6483</v>
      </c>
      <c r="D27" s="109" t="s">
        <v>6480</v>
      </c>
      <c r="E27" s="3"/>
    </row>
    <row r="28" customFormat="false" ht="51" hidden="false" customHeight="true" outlineLevel="0" collapsed="false">
      <c r="A28" s="3"/>
      <c r="B28" s="122" t="s">
        <v>49</v>
      </c>
      <c r="C28" s="110" t="s">
        <v>6484</v>
      </c>
      <c r="D28" s="110" t="s">
        <v>6480</v>
      </c>
      <c r="E28" s="3"/>
    </row>
    <row r="29" customFormat="false" ht="51" hidden="false" customHeight="true" outlineLevel="0" collapsed="false">
      <c r="A29" s="3"/>
      <c r="B29" s="122" t="s">
        <v>51</v>
      </c>
      <c r="C29" s="109" t="s">
        <v>6485</v>
      </c>
      <c r="D29" s="109" t="s">
        <v>6480</v>
      </c>
      <c r="E29" s="3"/>
    </row>
    <row r="30" customFormat="false" ht="51" hidden="false" customHeight="true" outlineLevel="0" collapsed="false">
      <c r="A30" s="3"/>
      <c r="B30" s="122" t="s">
        <v>52</v>
      </c>
      <c r="C30" s="110" t="s">
        <v>52</v>
      </c>
      <c r="D30" s="110" t="s">
        <v>6480</v>
      </c>
      <c r="E30" s="3"/>
    </row>
    <row r="31" customFormat="false" ht="51" hidden="false" customHeight="true" outlineLevel="0" collapsed="false">
      <c r="A31" s="3"/>
      <c r="B31" s="122" t="s">
        <v>53</v>
      </c>
      <c r="C31" s="109" t="s">
        <v>53</v>
      </c>
      <c r="D31" s="109" t="s">
        <v>6480</v>
      </c>
      <c r="E31" s="3"/>
    </row>
    <row r="32" customFormat="false" ht="51" hidden="false" customHeight="true" outlineLevel="0" collapsed="false">
      <c r="A32" s="3"/>
      <c r="B32" s="122" t="s">
        <v>55</v>
      </c>
      <c r="C32" s="110" t="s">
        <v>6486</v>
      </c>
      <c r="D32" s="110" t="s">
        <v>6487</v>
      </c>
      <c r="E32" s="3"/>
    </row>
    <row r="33" customFormat="false" ht="51" hidden="false" customHeight="true" outlineLevel="0" collapsed="false">
      <c r="A33" s="3"/>
      <c r="B33" s="122" t="s">
        <v>57</v>
      </c>
      <c r="C33" s="109" t="s">
        <v>6488</v>
      </c>
      <c r="D33" s="109" t="s">
        <v>6489</v>
      </c>
      <c r="E33" s="3"/>
    </row>
    <row r="34" customFormat="false" ht="51" hidden="false" customHeight="true" outlineLevel="0" collapsed="false">
      <c r="A34" s="3"/>
      <c r="B34" s="122" t="s">
        <v>58</v>
      </c>
      <c r="C34" s="110" t="s">
        <v>6490</v>
      </c>
      <c r="D34" s="110" t="s">
        <v>6480</v>
      </c>
      <c r="E34" s="3"/>
    </row>
    <row r="35" customFormat="false" ht="51" hidden="false" customHeight="true" outlineLevel="0" collapsed="false">
      <c r="A35" s="3"/>
      <c r="B35" s="122" t="s">
        <v>59</v>
      </c>
      <c r="C35" s="109" t="s">
        <v>6491</v>
      </c>
      <c r="D35" s="109" t="s">
        <v>6480</v>
      </c>
      <c r="E35" s="3"/>
    </row>
    <row r="36" customFormat="false" ht="51" hidden="false" customHeight="true" outlineLevel="0" collapsed="false">
      <c r="A36" s="3"/>
      <c r="B36" s="122" t="s">
        <v>60</v>
      </c>
      <c r="C36" s="110" t="s">
        <v>6492</v>
      </c>
      <c r="D36" s="110" t="s">
        <v>6487</v>
      </c>
      <c r="E36" s="3"/>
    </row>
    <row r="37" customFormat="false" ht="51" hidden="false" customHeight="true" outlineLevel="0" collapsed="false">
      <c r="A37" s="3"/>
      <c r="B37" s="122" t="s">
        <v>61</v>
      </c>
      <c r="C37" s="109" t="s">
        <v>6493</v>
      </c>
      <c r="D37" s="109" t="s">
        <v>6480</v>
      </c>
      <c r="E37" s="3"/>
    </row>
    <row r="38" customFormat="false" ht="51" hidden="false" customHeight="true" outlineLevel="0" collapsed="false">
      <c r="A38" s="3"/>
      <c r="B38" s="122" t="s">
        <v>62</v>
      </c>
      <c r="C38" s="110" t="s">
        <v>62</v>
      </c>
      <c r="D38" s="110" t="s">
        <v>6494</v>
      </c>
      <c r="E38" s="3"/>
    </row>
    <row r="39" customFormat="false" ht="51" hidden="false" customHeight="true" outlineLevel="0" collapsed="false">
      <c r="A39" s="3"/>
      <c r="B39" s="122" t="s">
        <v>63</v>
      </c>
      <c r="C39" s="109" t="s">
        <v>6495</v>
      </c>
      <c r="D39" s="109" t="s">
        <v>6487</v>
      </c>
      <c r="E39" s="3"/>
    </row>
    <row r="40" customFormat="false" ht="51" hidden="false" customHeight="true" outlineLevel="0" collapsed="false">
      <c r="A40" s="3"/>
      <c r="B40" s="122" t="s">
        <v>64</v>
      </c>
      <c r="C40" s="110" t="s">
        <v>6496</v>
      </c>
      <c r="D40" s="110" t="s">
        <v>6489</v>
      </c>
      <c r="E40" s="3"/>
    </row>
    <row r="41" customFormat="false" ht="21.75" hidden="false" customHeight="true" outlineLevel="0" collapsed="false">
      <c r="A41" s="3"/>
      <c r="B41" s="122" t="s">
        <v>65</v>
      </c>
      <c r="C41" s="110" t="s">
        <v>6497</v>
      </c>
      <c r="D41" s="110" t="s">
        <v>6498</v>
      </c>
      <c r="E41" s="3"/>
    </row>
    <row r="42" customFormat="false" ht="21.75" hidden="false" customHeight="true" outlineLevel="0" collapsed="false">
      <c r="A42" s="3"/>
      <c r="B42" s="122" t="s">
        <v>66</v>
      </c>
      <c r="C42" s="110" t="s">
        <v>6499</v>
      </c>
      <c r="D42" s="110" t="s">
        <v>6500</v>
      </c>
      <c r="E42" s="3"/>
    </row>
    <row r="43" customFormat="false" ht="21.75" hidden="false" customHeight="true" outlineLevel="0" collapsed="false">
      <c r="A43" s="3"/>
      <c r="B43" s="122" t="s">
        <v>67</v>
      </c>
      <c r="C43" s="110" t="s">
        <v>6501</v>
      </c>
      <c r="D43" s="110" t="s">
        <v>6500</v>
      </c>
      <c r="E43" s="3"/>
    </row>
    <row r="44" customFormat="false" ht="23.85" hidden="false" customHeight="false" outlineLevel="0" collapsed="false">
      <c r="B44" s="122" t="s">
        <v>68</v>
      </c>
      <c r="C44" s="110" t="s">
        <v>6502</v>
      </c>
      <c r="D44" s="110" t="s">
        <v>6500</v>
      </c>
    </row>
    <row r="45" customFormat="false" ht="23.85" hidden="false" customHeight="false" outlineLevel="0" collapsed="false">
      <c r="B45" s="122" t="s">
        <v>69</v>
      </c>
      <c r="C45" s="110" t="s">
        <v>6503</v>
      </c>
      <c r="D45" s="110" t="s">
        <v>6500</v>
      </c>
    </row>
    <row r="46" customFormat="false" ht="23.85" hidden="false" customHeight="false" outlineLevel="0" collapsed="false">
      <c r="B46" s="122" t="s">
        <v>70</v>
      </c>
      <c r="C46" s="110" t="s">
        <v>6504</v>
      </c>
      <c r="D46" s="110" t="s">
        <v>6500</v>
      </c>
    </row>
    <row r="47" customFormat="false" ht="23.85" hidden="false" customHeight="false" outlineLevel="0" collapsed="false">
      <c r="B47" s="122" t="s">
        <v>71</v>
      </c>
      <c r="C47" s="110" t="s">
        <v>6505</v>
      </c>
      <c r="D47" s="110" t="s">
        <v>6500</v>
      </c>
    </row>
    <row r="48" customFormat="false" ht="23.85" hidden="false" customHeight="false" outlineLevel="0" collapsed="false">
      <c r="B48" s="122" t="s">
        <v>72</v>
      </c>
      <c r="C48" s="110" t="s">
        <v>6506</v>
      </c>
      <c r="D48" s="110" t="s">
        <v>6500</v>
      </c>
    </row>
    <row r="49" customFormat="false" ht="23.85" hidden="false" customHeight="false" outlineLevel="0" collapsed="false">
      <c r="B49" s="122" t="s">
        <v>73</v>
      </c>
      <c r="C49" s="110" t="s">
        <v>6507</v>
      </c>
      <c r="D49" s="110" t="s">
        <v>6500</v>
      </c>
    </row>
    <row r="50" customFormat="false" ht="23.85" hidden="false" customHeight="false" outlineLevel="0" collapsed="false">
      <c r="B50" s="122" t="s">
        <v>74</v>
      </c>
      <c r="C50" s="110" t="s">
        <v>6508</v>
      </c>
      <c r="D50" s="110" t="s">
        <v>6500</v>
      </c>
    </row>
    <row r="51" customFormat="false" ht="23.85" hidden="false" customHeight="false" outlineLevel="0" collapsed="false">
      <c r="B51" s="122" t="s">
        <v>75</v>
      </c>
      <c r="C51" s="110" t="s">
        <v>6509</v>
      </c>
      <c r="D51" s="110" t="s">
        <v>6500</v>
      </c>
    </row>
    <row r="52" customFormat="false" ht="23.85" hidden="false" customHeight="false" outlineLevel="0" collapsed="false">
      <c r="B52" s="122" t="s">
        <v>76</v>
      </c>
      <c r="C52" s="110" t="s">
        <v>6510</v>
      </c>
      <c r="D52" s="110" t="s">
        <v>6500</v>
      </c>
    </row>
    <row r="53" customFormat="false" ht="23.85" hidden="false" customHeight="false" outlineLevel="0" collapsed="false">
      <c r="B53" s="122" t="s">
        <v>77</v>
      </c>
      <c r="C53" s="110" t="s">
        <v>6511</v>
      </c>
      <c r="D53" s="110" t="s">
        <v>6500</v>
      </c>
    </row>
    <row r="54" customFormat="false" ht="23.85" hidden="false" customHeight="false" outlineLevel="0" collapsed="false">
      <c r="B54" s="122" t="s">
        <v>78</v>
      </c>
      <c r="C54" s="110" t="s">
        <v>6512</v>
      </c>
      <c r="D54" s="110" t="s">
        <v>6500</v>
      </c>
    </row>
    <row r="55" customFormat="false" ht="23.85" hidden="false" customHeight="false" outlineLevel="0" collapsed="false">
      <c r="B55" s="122" t="s">
        <v>79</v>
      </c>
      <c r="C55" s="110" t="s">
        <v>6513</v>
      </c>
      <c r="D55" s="110" t="s">
        <v>6500</v>
      </c>
    </row>
    <row r="56" customFormat="false" ht="23.85" hidden="false" customHeight="false" outlineLevel="0" collapsed="false">
      <c r="B56" s="122" t="s">
        <v>80</v>
      </c>
      <c r="C56" s="110" t="s">
        <v>6514</v>
      </c>
      <c r="D56" s="110" t="s">
        <v>6500</v>
      </c>
    </row>
    <row r="57" customFormat="false" ht="23.85" hidden="false" customHeight="false" outlineLevel="0" collapsed="false">
      <c r="B57" s="122" t="s">
        <v>81</v>
      </c>
      <c r="C57" s="110" t="s">
        <v>6515</v>
      </c>
      <c r="D57" s="110" t="s">
        <v>6500</v>
      </c>
    </row>
    <row r="58" customFormat="false" ht="23.85" hidden="false" customHeight="false" outlineLevel="0" collapsed="false">
      <c r="B58" s="122" t="s">
        <v>82</v>
      </c>
      <c r="C58" s="110" t="s">
        <v>6516</v>
      </c>
      <c r="D58" s="110" t="s">
        <v>6500</v>
      </c>
    </row>
    <row r="59" customFormat="false" ht="23.85" hidden="false" customHeight="false" outlineLevel="0" collapsed="false">
      <c r="B59" s="122" t="s">
        <v>83</v>
      </c>
      <c r="C59" s="110" t="s">
        <v>6517</v>
      </c>
      <c r="D59" s="110" t="s">
        <v>6500</v>
      </c>
    </row>
    <row r="60" customFormat="false" ht="23.85" hidden="false" customHeight="false" outlineLevel="0" collapsed="false">
      <c r="B60" s="122" t="s">
        <v>84</v>
      </c>
      <c r="C60" s="110" t="s">
        <v>6518</v>
      </c>
      <c r="D60" s="110" t="s">
        <v>6500</v>
      </c>
    </row>
    <row r="61" customFormat="false" ht="23.85" hidden="false" customHeight="false" outlineLevel="0" collapsed="false">
      <c r="B61" s="122" t="s">
        <v>85</v>
      </c>
      <c r="C61" s="110" t="s">
        <v>6519</v>
      </c>
      <c r="D61" s="110" t="s">
        <v>6500</v>
      </c>
    </row>
    <row r="62" customFormat="false" ht="23.85" hidden="false" customHeight="false" outlineLevel="0" collapsed="false">
      <c r="B62" s="122" t="s">
        <v>86</v>
      </c>
      <c r="C62" s="110" t="s">
        <v>6520</v>
      </c>
      <c r="D62" s="110" t="s">
        <v>6500</v>
      </c>
    </row>
    <row r="63" customFormat="false" ht="23.85" hidden="false" customHeight="false" outlineLevel="0" collapsed="false">
      <c r="B63" s="122" t="s">
        <v>87</v>
      </c>
      <c r="C63" s="110" t="s">
        <v>6521</v>
      </c>
      <c r="D63" s="110" t="s">
        <v>6500</v>
      </c>
    </row>
    <row r="64" customFormat="false" ht="23.85" hidden="false" customHeight="false" outlineLevel="0" collapsed="false">
      <c r="B64" s="122" t="s">
        <v>88</v>
      </c>
      <c r="C64" s="110" t="s">
        <v>6522</v>
      </c>
      <c r="D64" s="110" t="s">
        <v>6500</v>
      </c>
    </row>
    <row r="65" customFormat="false" ht="23.85" hidden="false" customHeight="false" outlineLevel="0" collapsed="false">
      <c r="B65" s="122" t="s">
        <v>89</v>
      </c>
      <c r="C65" s="110" t="s">
        <v>6523</v>
      </c>
      <c r="D65" s="110" t="s">
        <v>6500</v>
      </c>
    </row>
    <row r="66" customFormat="false" ht="23.85" hidden="false" customHeight="false" outlineLevel="0" collapsed="false">
      <c r="B66" s="122" t="s">
        <v>90</v>
      </c>
      <c r="C66" s="110" t="s">
        <v>6524</v>
      </c>
      <c r="D66" s="110" t="s">
        <v>6500</v>
      </c>
    </row>
    <row r="67" customFormat="false" ht="23.85" hidden="false" customHeight="false" outlineLevel="0" collapsed="false">
      <c r="B67" s="122" t="s">
        <v>91</v>
      </c>
      <c r="C67" s="110" t="s">
        <v>6525</v>
      </c>
      <c r="D67" s="110" t="s">
        <v>6500</v>
      </c>
    </row>
    <row r="68" customFormat="false" ht="23.85" hidden="false" customHeight="false" outlineLevel="0" collapsed="false">
      <c r="B68" s="122" t="s">
        <v>92</v>
      </c>
      <c r="C68" s="110" t="s">
        <v>6526</v>
      </c>
      <c r="D68" s="110" t="s">
        <v>6500</v>
      </c>
    </row>
    <row r="69" customFormat="false" ht="23.85" hidden="false" customHeight="false" outlineLevel="0" collapsed="false">
      <c r="B69" s="122" t="s">
        <v>93</v>
      </c>
      <c r="C69" s="110" t="s">
        <v>6527</v>
      </c>
      <c r="D69" s="110" t="s">
        <v>6500</v>
      </c>
    </row>
    <row r="70" customFormat="false" ht="23.85" hidden="false" customHeight="false" outlineLevel="0" collapsed="false">
      <c r="B70" s="122" t="s">
        <v>94</v>
      </c>
      <c r="C70" s="110" t="s">
        <v>6528</v>
      </c>
      <c r="D70" s="110" t="s">
        <v>6500</v>
      </c>
    </row>
    <row r="71" customFormat="false" ht="23.85" hidden="false" customHeight="false" outlineLevel="0" collapsed="false">
      <c r="B71" s="122" t="s">
        <v>95</v>
      </c>
      <c r="C71" s="110" t="s">
        <v>6529</v>
      </c>
      <c r="D71" s="110" t="s">
        <v>6500</v>
      </c>
    </row>
    <row r="72" customFormat="false" ht="23.85" hidden="false" customHeight="false" outlineLevel="0" collapsed="false">
      <c r="B72" s="122" t="s">
        <v>96</v>
      </c>
      <c r="C72" s="110" t="s">
        <v>6530</v>
      </c>
      <c r="D72" s="110" t="s">
        <v>6500</v>
      </c>
    </row>
    <row r="73" customFormat="false" ht="23.85" hidden="false" customHeight="false" outlineLevel="0" collapsed="false">
      <c r="B73" s="122" t="s">
        <v>97</v>
      </c>
      <c r="C73" s="110" t="s">
        <v>6531</v>
      </c>
      <c r="D73" s="110" t="s">
        <v>6500</v>
      </c>
    </row>
    <row r="74" customFormat="false" ht="23.85" hidden="false" customHeight="false" outlineLevel="0" collapsed="false">
      <c r="B74" s="122" t="s">
        <v>98</v>
      </c>
      <c r="C74" s="110" t="s">
        <v>6532</v>
      </c>
      <c r="D74" s="110" t="s">
        <v>6500</v>
      </c>
    </row>
    <row r="75" customFormat="false" ht="23.85" hidden="false" customHeight="false" outlineLevel="0" collapsed="false">
      <c r="B75" s="122" t="s">
        <v>99</v>
      </c>
      <c r="C75" s="110" t="s">
        <v>6533</v>
      </c>
      <c r="D75" s="110" t="s">
        <v>6500</v>
      </c>
    </row>
    <row r="76" customFormat="false" ht="23.85" hidden="false" customHeight="false" outlineLevel="0" collapsed="false">
      <c r="B76" s="122" t="s">
        <v>100</v>
      </c>
      <c r="C76" s="110" t="s">
        <v>6534</v>
      </c>
      <c r="D76" s="110" t="s">
        <v>6500</v>
      </c>
    </row>
    <row r="77" customFormat="false" ht="23.85" hidden="false" customHeight="false" outlineLevel="0" collapsed="false">
      <c r="B77" s="122" t="s">
        <v>101</v>
      </c>
      <c r="C77" s="110" t="s">
        <v>6535</v>
      </c>
      <c r="D77" s="110" t="s">
        <v>6500</v>
      </c>
    </row>
    <row r="78" customFormat="false" ht="23.85" hidden="false" customHeight="false" outlineLevel="0" collapsed="false">
      <c r="B78" s="122" t="s">
        <v>102</v>
      </c>
      <c r="C78" s="110" t="s">
        <v>6536</v>
      </c>
      <c r="D78" s="110" t="s">
        <v>6537</v>
      </c>
    </row>
    <row r="79" customFormat="false" ht="23.85" hidden="false" customHeight="false" outlineLevel="0" collapsed="false">
      <c r="B79" s="122" t="s">
        <v>103</v>
      </c>
      <c r="C79" s="110" t="s">
        <v>6538</v>
      </c>
      <c r="D79" s="110" t="s">
        <v>6537</v>
      </c>
    </row>
    <row r="80" customFormat="false" ht="23.85" hidden="false" customHeight="false" outlineLevel="0" collapsed="false">
      <c r="B80" s="122" t="s">
        <v>104</v>
      </c>
      <c r="C80" s="110" t="s">
        <v>6539</v>
      </c>
      <c r="D80" s="110" t="s">
        <v>6537</v>
      </c>
    </row>
    <row r="81" customFormat="false" ht="23.85" hidden="false" customHeight="false" outlineLevel="0" collapsed="false">
      <c r="B81" s="122" t="s">
        <v>105</v>
      </c>
      <c r="C81" s="110" t="s">
        <v>6540</v>
      </c>
      <c r="D81" s="110" t="s">
        <v>6537</v>
      </c>
    </row>
    <row r="82" customFormat="false" ht="23.85" hidden="false" customHeight="false" outlineLevel="0" collapsed="false">
      <c r="B82" s="122" t="s">
        <v>106</v>
      </c>
      <c r="C82" s="110" t="s">
        <v>6541</v>
      </c>
      <c r="D82" s="110" t="s">
        <v>6537</v>
      </c>
    </row>
    <row r="83" customFormat="false" ht="23.85" hidden="false" customHeight="false" outlineLevel="0" collapsed="false">
      <c r="B83" s="122" t="s">
        <v>107</v>
      </c>
      <c r="C83" s="110" t="s">
        <v>6542</v>
      </c>
      <c r="D83" s="110" t="s">
        <v>6537</v>
      </c>
    </row>
    <row r="84" customFormat="false" ht="23.85" hidden="false" customHeight="false" outlineLevel="0" collapsed="false">
      <c r="B84" s="122" t="s">
        <v>108</v>
      </c>
      <c r="C84" s="110" t="s">
        <v>6543</v>
      </c>
      <c r="D84" s="110" t="s">
        <v>6537</v>
      </c>
    </row>
    <row r="85" customFormat="false" ht="23.85" hidden="false" customHeight="false" outlineLevel="0" collapsed="false">
      <c r="B85" s="122" t="s">
        <v>109</v>
      </c>
      <c r="C85" s="110" t="s">
        <v>6544</v>
      </c>
      <c r="D85" s="110" t="s">
        <v>6537</v>
      </c>
    </row>
    <row r="86" customFormat="false" ht="23.85" hidden="false" customHeight="false" outlineLevel="0" collapsed="false">
      <c r="B86" s="122" t="s">
        <v>110</v>
      </c>
      <c r="C86" s="110" t="s">
        <v>6545</v>
      </c>
      <c r="D86" s="110" t="s">
        <v>6537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849A"/>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20"/>
    <col collapsed="false" customWidth="true" hidden="false" outlineLevel="0" max="5" min="4" style="1" width="18"/>
    <col collapsed="false" customWidth="true" hidden="false" outlineLevel="0" max="6" min="6" style="1" width="25"/>
    <col collapsed="false" customWidth="true" hidden="false" outlineLevel="0" max="7" min="7" style="1" width="23"/>
    <col collapsed="false" customWidth="true" hidden="false" outlineLevel="0" max="8" min="8" style="1" width="3"/>
    <col collapsed="false" customWidth="true" hidden="false" outlineLevel="0" max="9" min="9" style="1" width="16"/>
    <col collapsed="false" customWidth="true" hidden="false" outlineLevel="0" max="10" min="10" style="1" width="65"/>
    <col collapsed="false" customWidth="true" hidden="false" outlineLevel="0" max="12" min="11" style="1" width="3"/>
  </cols>
  <sheetData>
    <row r="1" customFormat="false" ht="21.75" hidden="false" customHeight="true" outlineLevel="0" collapsed="false">
      <c r="A1" s="3"/>
      <c r="B1" s="3"/>
      <c r="C1" s="3"/>
      <c r="D1" s="3"/>
      <c r="E1" s="3"/>
      <c r="F1" s="3"/>
      <c r="G1" s="3"/>
      <c r="H1" s="3"/>
      <c r="I1" s="3"/>
      <c r="J1" s="3"/>
      <c r="K1" s="3"/>
      <c r="L1" s="3"/>
    </row>
    <row r="2" customFormat="false" ht="28.5" hidden="false" customHeight="true" outlineLevel="0" collapsed="false">
      <c r="A2" s="3"/>
      <c r="B2" s="5" t="s">
        <v>6546</v>
      </c>
      <c r="C2" s="7"/>
      <c r="D2" s="7"/>
      <c r="E2" s="7"/>
      <c r="F2" s="7"/>
      <c r="G2" s="7"/>
      <c r="H2" s="7"/>
      <c r="I2" s="7"/>
      <c r="J2" s="7"/>
      <c r="K2" s="3"/>
      <c r="L2" s="3"/>
    </row>
    <row r="3" customFormat="false" ht="22.5" hidden="false" customHeight="true" outlineLevel="0" collapsed="false">
      <c r="A3" s="3"/>
      <c r="B3" s="8" t="s">
        <v>6547</v>
      </c>
      <c r="C3" s="7"/>
      <c r="D3" s="7"/>
      <c r="E3" s="7"/>
      <c r="F3" s="7"/>
      <c r="G3" s="7"/>
      <c r="H3" s="7"/>
      <c r="I3" s="7"/>
      <c r="J3" s="7"/>
      <c r="K3" s="3"/>
      <c r="L3" s="3"/>
    </row>
    <row r="4" customFormat="false" ht="21.75" hidden="false" customHeight="true" outlineLevel="0" collapsed="false">
      <c r="A4" s="3"/>
      <c r="B4" s="9"/>
      <c r="C4" s="9"/>
      <c r="D4" s="9"/>
      <c r="E4" s="9"/>
      <c r="F4" s="9"/>
      <c r="G4" s="9"/>
      <c r="H4" s="9"/>
      <c r="I4" s="9"/>
      <c r="J4" s="9"/>
      <c r="K4" s="11"/>
      <c r="L4" s="3"/>
    </row>
    <row r="5" customFormat="false" ht="21.75" hidden="false" customHeight="true" outlineLevel="0" collapsed="false">
      <c r="A5" s="3"/>
      <c r="B5" s="9"/>
      <c r="C5" s="9"/>
      <c r="D5" s="9"/>
      <c r="E5" s="9"/>
      <c r="F5" s="9"/>
      <c r="G5" s="9"/>
      <c r="H5" s="9"/>
      <c r="I5" s="9"/>
      <c r="J5" s="9"/>
      <c r="K5" s="3"/>
      <c r="L5" s="3"/>
    </row>
    <row r="6" customFormat="false" ht="36" hidden="false" customHeight="true" outlineLevel="0" collapsed="false">
      <c r="A6" s="3"/>
      <c r="B6" s="123" t="s">
        <v>232</v>
      </c>
      <c r="C6" s="22" t="s">
        <v>6548</v>
      </c>
      <c r="D6" s="22" t="s">
        <v>6549</v>
      </c>
      <c r="E6" s="22" t="s">
        <v>6550</v>
      </c>
      <c r="F6" s="22" t="s">
        <v>6551</v>
      </c>
      <c r="G6" s="22" t="s">
        <v>6552</v>
      </c>
      <c r="H6" s="9"/>
      <c r="I6" s="21" t="s">
        <v>19</v>
      </c>
      <c r="J6" s="30" t="s">
        <v>514</v>
      </c>
      <c r="K6" s="3"/>
      <c r="L6" s="3"/>
    </row>
    <row r="7" customFormat="false" ht="33" hidden="false" customHeight="true" outlineLevel="0" collapsed="false">
      <c r="A7" s="3"/>
      <c r="B7" s="7" t="s">
        <v>244</v>
      </c>
      <c r="C7" s="124" t="n">
        <v>366.11</v>
      </c>
      <c r="D7" s="125" t="n">
        <v>351.47</v>
      </c>
      <c r="E7" s="125" t="n">
        <v>380.75</v>
      </c>
      <c r="F7" s="126" t="n">
        <v>46295.75</v>
      </c>
      <c r="G7" s="127" t="n">
        <f aca="false">IF(AND(ISNUMBER($C$7),$C$7&gt;0,ISNUMBER(C7),C7&gt;0),$C$7/C7,"")</f>
        <v>1</v>
      </c>
      <c r="H7" s="9"/>
      <c r="I7" s="7" t="s">
        <v>13</v>
      </c>
      <c r="J7" s="109" t="s">
        <v>535</v>
      </c>
      <c r="K7" s="3"/>
      <c r="L7" s="3"/>
    </row>
    <row r="8" customFormat="false" ht="33" hidden="false" customHeight="true" outlineLevel="0" collapsed="false">
      <c r="A8" s="3"/>
      <c r="B8" s="47" t="s">
        <v>490</v>
      </c>
      <c r="C8" s="124" t="n">
        <v>1</v>
      </c>
      <c r="D8" s="128"/>
      <c r="E8" s="128"/>
      <c r="F8" s="129"/>
      <c r="G8" s="127" t="n">
        <f aca="false">IF(AND(ISNUMBER($C$7),$C$7&gt;0,ISNUMBER(C8),C8&gt;0),$C$7/C8,"")</f>
        <v>366.11</v>
      </c>
      <c r="H8" s="9"/>
      <c r="I8" s="47" t="s">
        <v>14</v>
      </c>
      <c r="J8" s="110" t="s">
        <v>556</v>
      </c>
      <c r="K8" s="3"/>
      <c r="L8" s="3"/>
    </row>
    <row r="9" customFormat="false" ht="33" hidden="false" customHeight="true" outlineLevel="0" collapsed="false">
      <c r="A9" s="3"/>
      <c r="B9" s="7" t="s">
        <v>374</v>
      </c>
      <c r="C9" s="124" t="n">
        <v>69.37</v>
      </c>
      <c r="D9" s="125" t="n">
        <v>66.6</v>
      </c>
      <c r="E9" s="125" t="n">
        <v>72.14</v>
      </c>
      <c r="F9" s="126" t="n">
        <v>46295.75</v>
      </c>
      <c r="G9" s="127" t="n">
        <f aca="false">IF(AND(ISNUMBER($C$7),$C$7&gt;0,ISNUMBER(C9),C9&gt;0),$C$7/C9,"")</f>
        <v>5.27764163182932</v>
      </c>
      <c r="H9" s="9"/>
      <c r="I9" s="7" t="s">
        <v>15</v>
      </c>
      <c r="J9" s="109" t="s">
        <v>592</v>
      </c>
      <c r="K9" s="3"/>
      <c r="L9" s="3"/>
    </row>
    <row r="10" customFormat="false" ht="33" hidden="false" customHeight="true" outlineLevel="0" collapsed="false">
      <c r="A10" s="3"/>
      <c r="B10" s="47" t="s">
        <v>333</v>
      </c>
      <c r="C10" s="124" t="n">
        <v>14.99</v>
      </c>
      <c r="D10" s="128" t="n">
        <v>14.39</v>
      </c>
      <c r="E10" s="128" t="n">
        <v>15.59</v>
      </c>
      <c r="F10" s="129" t="n">
        <v>46295.75</v>
      </c>
      <c r="G10" s="127" t="n">
        <f aca="false">IF(AND(ISNUMBER($C$7),$C$7&gt;0,ISNUMBER(C10),C10&gt;0),$C$7/C10,"")</f>
        <v>24.4236157438292</v>
      </c>
      <c r="H10" s="9"/>
      <c r="I10" s="47" t="s">
        <v>16</v>
      </c>
      <c r="J10" s="110" t="s">
        <v>612</v>
      </c>
      <c r="K10" s="3"/>
      <c r="L10" s="3"/>
    </row>
    <row r="11" customFormat="false" ht="33" hidden="false" customHeight="true" outlineLevel="0" collapsed="false">
      <c r="A11" s="3"/>
      <c r="B11" s="9"/>
      <c r="C11" s="9"/>
      <c r="D11" s="9"/>
      <c r="E11" s="9"/>
      <c r="F11" s="9"/>
      <c r="G11" s="9"/>
      <c r="H11" s="9"/>
      <c r="I11" s="7" t="s">
        <v>17</v>
      </c>
      <c r="J11" s="109" t="s">
        <v>626</v>
      </c>
      <c r="K11" s="3"/>
      <c r="L11" s="3"/>
    </row>
    <row r="12" customFormat="false" ht="33" hidden="false" customHeight="true" outlineLevel="0" collapsed="false">
      <c r="A12" s="3"/>
      <c r="B12" s="130" t="s">
        <v>6553</v>
      </c>
      <c r="C12" s="130"/>
      <c r="D12" s="130"/>
      <c r="E12" s="130"/>
      <c r="F12" s="130"/>
      <c r="G12" s="130"/>
      <c r="H12" s="9"/>
      <c r="I12" s="47" t="s">
        <v>18</v>
      </c>
      <c r="J12" s="110" t="s">
        <v>648</v>
      </c>
      <c r="K12" s="3"/>
      <c r="L12" s="3"/>
    </row>
    <row r="13" customFormat="false" ht="33" hidden="false" customHeight="true" outlineLevel="0" collapsed="false">
      <c r="A13" s="3"/>
      <c r="B13" s="130"/>
      <c r="C13" s="130"/>
      <c r="D13" s="130"/>
      <c r="E13" s="130"/>
      <c r="F13" s="130"/>
      <c r="G13" s="130"/>
      <c r="H13" s="9"/>
      <c r="I13" s="7" t="s">
        <v>15</v>
      </c>
      <c r="J13" s="109" t="s">
        <v>1536</v>
      </c>
      <c r="K13" s="3"/>
      <c r="L13" s="3"/>
    </row>
    <row r="14" customFormat="false" ht="33" hidden="false" customHeight="true" outlineLevel="0" collapsed="false">
      <c r="A14" s="3"/>
      <c r="B14" s="131" t="s">
        <v>6554</v>
      </c>
      <c r="C14" s="131"/>
      <c r="D14" s="131"/>
      <c r="E14" s="131"/>
      <c r="F14" s="131"/>
      <c r="G14" s="131"/>
      <c r="H14" s="9"/>
      <c r="I14" s="47" t="s">
        <v>17</v>
      </c>
      <c r="J14" s="110" t="s">
        <v>1555</v>
      </c>
      <c r="K14" s="3"/>
      <c r="L14" s="3"/>
    </row>
    <row r="15" customFormat="false" ht="21.75" hidden="false" customHeight="true" outlineLevel="0" collapsed="false">
      <c r="A15" s="3"/>
      <c r="B15" s="9"/>
      <c r="C15" s="9"/>
      <c r="D15" s="9"/>
      <c r="E15" s="9"/>
      <c r="F15" s="9"/>
      <c r="G15" s="9"/>
      <c r="H15" s="9"/>
      <c r="I15" s="7" t="s">
        <v>6555</v>
      </c>
      <c r="J15" s="109" t="s">
        <v>6556</v>
      </c>
      <c r="K15" s="3"/>
      <c r="L15" s="3"/>
    </row>
    <row r="16" customFormat="false" ht="21.75" hidden="false" customHeight="true" outlineLevel="0" collapsed="false">
      <c r="A16" s="3"/>
      <c r="B16" s="9"/>
      <c r="C16" s="9"/>
      <c r="D16" s="9"/>
      <c r="E16" s="9"/>
      <c r="F16" s="9"/>
      <c r="G16" s="9"/>
      <c r="H16" s="9"/>
      <c r="I16" s="44" t="s">
        <v>6557</v>
      </c>
      <c r="J16" s="44"/>
      <c r="K16" s="3"/>
      <c r="L16" s="3"/>
    </row>
    <row r="17" customFormat="false" ht="27.75" hidden="false" customHeight="true" outlineLevel="0" collapsed="false">
      <c r="A17" s="3"/>
      <c r="B17" s="132" t="s">
        <v>6558</v>
      </c>
      <c r="C17" s="132"/>
      <c r="D17" s="132"/>
      <c r="E17" s="132"/>
      <c r="F17" s="132"/>
      <c r="G17" s="132"/>
      <c r="H17" s="9"/>
      <c r="I17" s="9"/>
      <c r="J17" s="9"/>
      <c r="K17" s="3"/>
      <c r="L17" s="3"/>
    </row>
    <row r="18" customFormat="false" ht="54.75" hidden="false" customHeight="true" outlineLevel="0" collapsed="false">
      <c r="A18" s="3"/>
      <c r="B18" s="133" t="s">
        <v>6559</v>
      </c>
      <c r="C18" s="134" t="s">
        <v>6560</v>
      </c>
      <c r="D18" s="134"/>
      <c r="E18" s="134"/>
      <c r="F18" s="134"/>
      <c r="G18" s="134"/>
      <c r="H18" s="9"/>
      <c r="I18" s="9" t="s">
        <v>244</v>
      </c>
      <c r="J18" s="135" t="s">
        <v>6561</v>
      </c>
      <c r="K18" s="3"/>
      <c r="L18" s="3"/>
    </row>
    <row r="19" customFormat="false" ht="42.75" hidden="false" customHeight="true" outlineLevel="0" collapsed="false">
      <c r="A19" s="3"/>
      <c r="B19" s="133" t="s">
        <v>6562</v>
      </c>
      <c r="C19" s="136" t="s">
        <v>6563</v>
      </c>
      <c r="D19" s="136"/>
      <c r="E19" s="136"/>
      <c r="F19" s="136"/>
      <c r="G19" s="136"/>
      <c r="H19" s="9"/>
      <c r="I19" s="9"/>
      <c r="J19" s="135"/>
      <c r="K19" s="3"/>
      <c r="L19" s="3"/>
    </row>
    <row r="20" customFormat="false" ht="42.75" hidden="false" customHeight="true" outlineLevel="0" collapsed="false">
      <c r="A20" s="3"/>
      <c r="B20" s="133" t="s">
        <v>6564</v>
      </c>
      <c r="C20" s="134" t="s">
        <v>6565</v>
      </c>
      <c r="D20" s="134"/>
      <c r="E20" s="134"/>
      <c r="F20" s="134"/>
      <c r="G20" s="134"/>
      <c r="H20" s="9"/>
      <c r="I20" s="9"/>
      <c r="J20" s="9"/>
      <c r="K20" s="3"/>
      <c r="L20" s="3"/>
    </row>
    <row r="21" customFormat="false" ht="42.75" hidden="false" customHeight="true" outlineLevel="0" collapsed="false">
      <c r="A21" s="3"/>
      <c r="B21" s="133" t="s">
        <v>127</v>
      </c>
      <c r="C21" s="136" t="s">
        <v>6566</v>
      </c>
      <c r="D21" s="136"/>
      <c r="E21" s="136"/>
      <c r="F21" s="136"/>
      <c r="G21" s="136"/>
      <c r="H21" s="9"/>
      <c r="I21" s="9" t="s">
        <v>374</v>
      </c>
      <c r="J21" s="135" t="s">
        <v>6567</v>
      </c>
      <c r="K21" s="3"/>
      <c r="L21" s="3"/>
    </row>
    <row r="22" customFormat="false" ht="54.75" hidden="false" customHeight="true" outlineLevel="0" collapsed="false">
      <c r="A22" s="3"/>
      <c r="B22" s="133" t="s">
        <v>6568</v>
      </c>
      <c r="C22" s="134" t="s">
        <v>6569</v>
      </c>
      <c r="D22" s="134"/>
      <c r="E22" s="134"/>
      <c r="F22" s="134"/>
      <c r="G22" s="134"/>
      <c r="H22" s="9"/>
      <c r="I22" s="9"/>
      <c r="J22" s="135"/>
      <c r="K22" s="3"/>
      <c r="L22" s="3"/>
    </row>
    <row r="23" customFormat="false" ht="42.75" hidden="false" customHeight="true" outlineLevel="0" collapsed="false">
      <c r="A23" s="3"/>
      <c r="B23" s="133" t="s">
        <v>6570</v>
      </c>
      <c r="C23" s="136" t="s">
        <v>6571</v>
      </c>
      <c r="D23" s="136"/>
      <c r="E23" s="136"/>
      <c r="F23" s="136"/>
      <c r="G23" s="136"/>
      <c r="H23" s="9"/>
      <c r="I23" s="9"/>
      <c r="J23" s="9"/>
      <c r="K23" s="3"/>
      <c r="L23" s="3"/>
    </row>
    <row r="24" customFormat="false" ht="42.75" hidden="false" customHeight="true" outlineLevel="0" collapsed="false">
      <c r="A24" s="3"/>
      <c r="B24" s="133" t="s">
        <v>6572</v>
      </c>
      <c r="C24" s="134" t="s">
        <v>6573</v>
      </c>
      <c r="D24" s="134"/>
      <c r="E24" s="134"/>
      <c r="F24" s="134"/>
      <c r="G24" s="134"/>
      <c r="H24" s="9"/>
      <c r="I24" s="9" t="s">
        <v>333</v>
      </c>
      <c r="J24" s="135" t="s">
        <v>6574</v>
      </c>
      <c r="K24" s="3"/>
      <c r="L24" s="3"/>
    </row>
    <row r="25" customFormat="false" ht="42.75" hidden="false" customHeight="true" outlineLevel="0" collapsed="false">
      <c r="A25" s="3"/>
      <c r="B25" s="133" t="s">
        <v>6575</v>
      </c>
      <c r="C25" s="136" t="s">
        <v>6576</v>
      </c>
      <c r="D25" s="136"/>
      <c r="E25" s="136"/>
      <c r="F25" s="136"/>
      <c r="G25" s="136"/>
      <c r="H25" s="9"/>
      <c r="I25" s="9"/>
      <c r="J25" s="135"/>
      <c r="K25" s="3"/>
      <c r="L25" s="3"/>
    </row>
    <row r="26" customFormat="false" ht="42.75" hidden="false" customHeight="true" outlineLevel="0" collapsed="false">
      <c r="A26" s="3"/>
      <c r="B26" s="133" t="s">
        <v>6577</v>
      </c>
      <c r="C26" s="134" t="s">
        <v>6578</v>
      </c>
      <c r="D26" s="134"/>
      <c r="E26" s="134"/>
      <c r="F26" s="134"/>
      <c r="G26" s="134"/>
      <c r="H26" s="9"/>
      <c r="I26" s="9"/>
      <c r="J26" s="9"/>
      <c r="K26" s="3"/>
      <c r="L26" s="3"/>
    </row>
    <row r="27" customFormat="false" ht="42.75" hidden="false" customHeight="true" outlineLevel="0" collapsed="false">
      <c r="A27" s="3"/>
      <c r="B27" s="133" t="s">
        <v>111</v>
      </c>
      <c r="C27" s="136" t="s">
        <v>6579</v>
      </c>
      <c r="D27" s="136"/>
      <c r="E27" s="136"/>
      <c r="F27" s="136"/>
      <c r="G27" s="136"/>
      <c r="H27" s="9"/>
      <c r="I27" s="9"/>
      <c r="J27" s="9"/>
      <c r="K27" s="3"/>
      <c r="L27" s="3"/>
    </row>
    <row r="28" customFormat="false" ht="42.75" hidden="false" customHeight="true" outlineLevel="0" collapsed="false">
      <c r="A28" s="3"/>
      <c r="B28" s="133" t="s">
        <v>6580</v>
      </c>
      <c r="C28" s="134" t="s">
        <v>6581</v>
      </c>
      <c r="D28" s="134"/>
      <c r="E28" s="134"/>
      <c r="F28" s="134"/>
      <c r="G28" s="134"/>
      <c r="H28" s="9"/>
      <c r="I28" s="9"/>
      <c r="J28" s="9"/>
      <c r="K28" s="3"/>
      <c r="L28" s="3"/>
    </row>
    <row r="29" customFormat="false" ht="42.75" hidden="false" customHeight="true" outlineLevel="0" collapsed="false">
      <c r="A29" s="3"/>
      <c r="B29" s="133" t="s">
        <v>6582</v>
      </c>
      <c r="C29" s="136" t="s">
        <v>6583</v>
      </c>
      <c r="D29" s="136"/>
      <c r="E29" s="136"/>
      <c r="F29" s="136"/>
      <c r="G29" s="136"/>
      <c r="H29" s="9"/>
      <c r="I29" s="9"/>
      <c r="J29" s="9"/>
      <c r="K29" s="3"/>
      <c r="L29" s="3"/>
    </row>
    <row r="30" customFormat="false" ht="42.75" hidden="false" customHeight="true" outlineLevel="0" collapsed="false">
      <c r="A30" s="3"/>
      <c r="B30" s="133" t="s">
        <v>6584</v>
      </c>
      <c r="C30" s="134" t="s">
        <v>6585</v>
      </c>
      <c r="D30" s="134"/>
      <c r="E30" s="134"/>
      <c r="F30" s="134"/>
      <c r="G30" s="134"/>
      <c r="H30" s="9"/>
      <c r="I30" s="9"/>
      <c r="J30" s="9"/>
      <c r="K30" s="3"/>
      <c r="L30" s="3"/>
    </row>
    <row r="31" customFormat="false" ht="21.75" hidden="false" customHeight="true" outlineLevel="0" collapsed="false">
      <c r="A31" s="3"/>
      <c r="B31" s="3"/>
      <c r="C31" s="3"/>
      <c r="D31" s="3"/>
      <c r="E31" s="3"/>
      <c r="F31" s="3"/>
      <c r="G31" s="3"/>
      <c r="H31" s="3"/>
      <c r="I31" s="3"/>
      <c r="J31" s="3"/>
      <c r="K31" s="3"/>
      <c r="L31" s="3"/>
    </row>
    <row r="32" customFormat="false" ht="21.75" hidden="false" customHeight="true" outlineLevel="0" collapsed="false">
      <c r="A32" s="3"/>
      <c r="B32" s="3"/>
      <c r="C32" s="3"/>
      <c r="D32" s="3"/>
      <c r="E32" s="3"/>
      <c r="F32" s="3"/>
      <c r="G32" s="3"/>
      <c r="H32" s="3"/>
      <c r="I32" s="3"/>
      <c r="J32" s="3"/>
      <c r="K32" s="3"/>
      <c r="L32" s="3"/>
    </row>
    <row r="33" customFormat="false" ht="21.75" hidden="false" customHeight="true" outlineLevel="0" collapsed="false">
      <c r="A33" s="3"/>
      <c r="B33" s="3"/>
      <c r="C33" s="3"/>
      <c r="D33" s="3"/>
      <c r="E33" s="3"/>
      <c r="F33" s="3"/>
      <c r="G33" s="3"/>
      <c r="H33" s="3"/>
      <c r="I33" s="3"/>
      <c r="J33" s="3"/>
      <c r="K33" s="3"/>
      <c r="L33" s="3"/>
    </row>
    <row r="34" customFormat="false" ht="21.75" hidden="false" customHeight="true" outlineLevel="0" collapsed="false">
      <c r="A34" s="3"/>
      <c r="B34" s="3"/>
      <c r="C34" s="3"/>
      <c r="D34" s="3"/>
      <c r="E34" s="3"/>
      <c r="F34" s="3"/>
      <c r="G34" s="3"/>
      <c r="H34" s="3"/>
      <c r="I34" s="3"/>
      <c r="J34" s="3"/>
      <c r="K34" s="3"/>
      <c r="L34" s="3"/>
    </row>
    <row r="35" customFormat="false" ht="21.75" hidden="false" customHeight="true" outlineLevel="0" collapsed="false">
      <c r="A35" s="3"/>
      <c r="B35" s="3"/>
      <c r="C35" s="3"/>
      <c r="D35" s="3"/>
      <c r="E35" s="3"/>
      <c r="F35" s="3"/>
      <c r="G35" s="3"/>
      <c r="H35" s="3"/>
      <c r="I35" s="3"/>
      <c r="J35" s="3"/>
      <c r="K35" s="3"/>
      <c r="L35" s="3"/>
    </row>
    <row r="36" customFormat="false" ht="21.75" hidden="false" customHeight="true" outlineLevel="0" collapsed="false">
      <c r="A36" s="3"/>
      <c r="B36" s="3"/>
      <c r="C36" s="3"/>
      <c r="D36" s="3"/>
      <c r="E36" s="3"/>
      <c r="F36" s="3"/>
      <c r="G36" s="3"/>
      <c r="H36" s="3"/>
      <c r="I36" s="3"/>
      <c r="J36" s="3"/>
      <c r="K36" s="3"/>
      <c r="L36" s="3"/>
    </row>
    <row r="37" customFormat="false" ht="21.75" hidden="false" customHeight="true" outlineLevel="0" collapsed="false">
      <c r="A37" s="3"/>
      <c r="B37" s="3"/>
      <c r="C37" s="3"/>
      <c r="D37" s="3"/>
      <c r="E37" s="3"/>
      <c r="F37" s="3"/>
      <c r="G37" s="3"/>
      <c r="H37" s="3"/>
      <c r="I37" s="3"/>
      <c r="J37" s="3"/>
      <c r="K37" s="3"/>
      <c r="L37" s="3"/>
    </row>
    <row r="38" customFormat="false" ht="21.75" hidden="false" customHeight="true" outlineLevel="0" collapsed="false">
      <c r="A38" s="3"/>
      <c r="B38" s="3"/>
      <c r="C38" s="3"/>
      <c r="D38" s="3"/>
      <c r="E38" s="3"/>
      <c r="F38" s="3"/>
      <c r="G38" s="3"/>
      <c r="H38" s="3"/>
      <c r="I38" s="3"/>
      <c r="J38" s="3"/>
      <c r="K38" s="3"/>
      <c r="L38" s="3"/>
    </row>
    <row r="39" customFormat="false" ht="21.75" hidden="false" customHeight="true" outlineLevel="0" collapsed="false">
      <c r="A39" s="3"/>
      <c r="B39" s="3"/>
      <c r="C39" s="3"/>
      <c r="D39" s="3"/>
      <c r="E39" s="3"/>
      <c r="F39" s="3"/>
      <c r="G39" s="3"/>
      <c r="H39" s="3"/>
      <c r="I39" s="3"/>
      <c r="J39" s="3"/>
      <c r="K39" s="3"/>
      <c r="L39" s="3"/>
    </row>
    <row r="40" customFormat="false" ht="21.75" hidden="false" customHeight="true" outlineLevel="0" collapsed="false">
      <c r="A40" s="3"/>
      <c r="B40" s="3"/>
      <c r="C40" s="3"/>
      <c r="D40" s="3"/>
      <c r="E40" s="3"/>
      <c r="F40" s="3"/>
      <c r="G40" s="3"/>
      <c r="H40" s="3"/>
      <c r="I40" s="3"/>
      <c r="J40" s="3"/>
      <c r="K40" s="3"/>
      <c r="L40" s="3"/>
    </row>
  </sheetData>
  <mergeCells count="18">
    <mergeCell ref="B12:G13"/>
    <mergeCell ref="B14:G14"/>
    <mergeCell ref="C18:G18"/>
    <mergeCell ref="J18:J19"/>
    <mergeCell ref="C19:G19"/>
    <mergeCell ref="C20:G20"/>
    <mergeCell ref="C21:G21"/>
    <mergeCell ref="J21:J22"/>
    <mergeCell ref="C22:G22"/>
    <mergeCell ref="C23:G23"/>
    <mergeCell ref="C24:G24"/>
    <mergeCell ref="J24:J25"/>
    <mergeCell ref="C25:G25"/>
    <mergeCell ref="C26:G26"/>
    <mergeCell ref="C27:G27"/>
    <mergeCell ref="C28:G28"/>
    <mergeCell ref="C29:G29"/>
    <mergeCell ref="C30:G3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9A35"/>
    <pageSetUpPr fitToPage="false"/>
  </sheetPr>
  <dimension ref="B2:L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7" activePane="bottomRight" state="frozen"/>
      <selection pane="topLeft" activeCell="A1" activeCellId="0" sqref="A1"/>
      <selection pane="topRight" activeCell="B1" activeCellId="0" sqref="B1"/>
      <selection pane="bottomLeft" activeCell="A7" activeCellId="0" sqref="A7"/>
      <selection pane="bottomRight" activeCell="H12" activeCellId="0" sqref="H12"/>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17"/>
    <col collapsed="false" customWidth="true" hidden="false" outlineLevel="0" max="3" min="3" style="1" width="14"/>
    <col collapsed="false" customWidth="true" hidden="false" outlineLevel="0" max="4" min="4" style="1" width="9"/>
    <col collapsed="false" customWidth="true" hidden="false" outlineLevel="0" max="5" min="5" style="1" width="15"/>
    <col collapsed="false" customWidth="true" hidden="false" outlineLevel="0" max="6" min="6" style="1" width="27"/>
    <col collapsed="false" customWidth="true" hidden="false" outlineLevel="0" max="7" min="7" style="1" width="46"/>
    <col collapsed="false" customWidth="true" hidden="false" outlineLevel="0" max="8" min="8" style="1" width="31"/>
    <col collapsed="false" customWidth="true" hidden="false" outlineLevel="0" max="10" min="9" style="1" width="48"/>
    <col collapsed="false" customWidth="true" hidden="false" outlineLevel="0" max="11" min="11" style="1" width="74"/>
    <col collapsed="false" customWidth="true" hidden="false" outlineLevel="0" max="12" min="12" style="1" width="88"/>
  </cols>
  <sheetData>
    <row r="2" customFormat="false" ht="28.5" hidden="false" customHeight="true" outlineLevel="0" collapsed="false">
      <c r="B2" s="5" t="s">
        <v>6586</v>
      </c>
      <c r="C2" s="7"/>
      <c r="D2" s="7"/>
      <c r="E2" s="7"/>
      <c r="F2" s="7"/>
      <c r="G2" s="7"/>
      <c r="H2" s="7"/>
      <c r="I2" s="7"/>
      <c r="J2" s="7"/>
      <c r="K2" s="7"/>
      <c r="L2" s="7"/>
    </row>
    <row r="3" customFormat="false" ht="22.5" hidden="false" customHeight="true" outlineLevel="0" collapsed="false">
      <c r="B3" s="8" t="s">
        <v>6587</v>
      </c>
      <c r="C3" s="7"/>
      <c r="D3" s="7"/>
      <c r="E3" s="7"/>
      <c r="F3" s="7"/>
      <c r="G3" s="7"/>
      <c r="H3" s="7"/>
      <c r="I3" s="7"/>
      <c r="J3" s="7"/>
      <c r="K3" s="7"/>
      <c r="L3" s="7"/>
    </row>
    <row r="4" customFormat="false" ht="13.5" hidden="false" customHeight="true" outlineLevel="0" collapsed="false">
      <c r="B4" s="9"/>
      <c r="C4" s="9"/>
      <c r="D4" s="9"/>
      <c r="E4" s="9"/>
      <c r="F4" s="9"/>
      <c r="G4" s="9"/>
      <c r="H4" s="9"/>
      <c r="I4" s="9"/>
      <c r="J4" s="9"/>
      <c r="K4" s="9"/>
      <c r="L4" s="9"/>
    </row>
    <row r="5" customFormat="false" ht="36" hidden="false" customHeight="true" outlineLevel="0" collapsed="false">
      <c r="B5" s="21" t="s">
        <v>6588</v>
      </c>
      <c r="C5" s="30" t="s">
        <v>6589</v>
      </c>
      <c r="D5" s="30" t="s">
        <v>6590</v>
      </c>
      <c r="E5" s="30" t="s">
        <v>19</v>
      </c>
      <c r="F5" s="30" t="s">
        <v>230</v>
      </c>
      <c r="G5" s="30" t="s">
        <v>12</v>
      </c>
      <c r="H5" s="30" t="s">
        <v>6591</v>
      </c>
      <c r="I5" s="26" t="s">
        <v>6592</v>
      </c>
      <c r="J5" s="23" t="s">
        <v>6593</v>
      </c>
      <c r="K5" s="22" t="s">
        <v>6594</v>
      </c>
      <c r="L5" s="22" t="s">
        <v>6595</v>
      </c>
    </row>
    <row r="6" customFormat="false" ht="66" hidden="false" customHeight="true" outlineLevel="0" collapsed="false">
      <c r="B6" s="109" t="s">
        <v>251</v>
      </c>
      <c r="C6" s="109" t="s">
        <v>127</v>
      </c>
      <c r="D6" s="109" t="n">
        <v>15</v>
      </c>
      <c r="E6" s="109" t="s">
        <v>14</v>
      </c>
      <c r="F6" s="109" t="s">
        <v>346</v>
      </c>
      <c r="G6" s="31" t="s">
        <v>9</v>
      </c>
      <c r="H6" s="109" t="s">
        <v>6596</v>
      </c>
      <c r="I6" s="137" t="s">
        <v>6597</v>
      </c>
      <c r="J6" s="138" t="s">
        <v>6598</v>
      </c>
      <c r="K6" s="113" t="s">
        <v>564</v>
      </c>
      <c r="L6" s="109" t="s">
        <v>6599</v>
      </c>
    </row>
    <row r="7" customFormat="false" ht="66" hidden="false" customHeight="true" outlineLevel="0" collapsed="false">
      <c r="B7" s="110" t="s">
        <v>251</v>
      </c>
      <c r="C7" s="110" t="s">
        <v>127</v>
      </c>
      <c r="D7" s="110" t="n">
        <v>18</v>
      </c>
      <c r="E7" s="110" t="s">
        <v>14</v>
      </c>
      <c r="F7" s="110" t="s">
        <v>395</v>
      </c>
      <c r="G7" s="36" t="s">
        <v>9</v>
      </c>
      <c r="H7" s="110" t="s">
        <v>6600</v>
      </c>
      <c r="I7" s="137" t="s">
        <v>6601</v>
      </c>
      <c r="J7" s="138" t="s">
        <v>6602</v>
      </c>
      <c r="K7" s="117" t="s">
        <v>571</v>
      </c>
      <c r="L7" s="110" t="s">
        <v>6603</v>
      </c>
    </row>
    <row r="8" customFormat="false" ht="66" hidden="false" customHeight="true" outlineLevel="0" collapsed="false">
      <c r="B8" s="109" t="s">
        <v>251</v>
      </c>
      <c r="C8" s="109" t="s">
        <v>127</v>
      </c>
      <c r="D8" s="109" t="n">
        <v>19</v>
      </c>
      <c r="E8" s="109" t="s">
        <v>14</v>
      </c>
      <c r="F8" s="109" t="s">
        <v>395</v>
      </c>
      <c r="G8" s="31" t="s">
        <v>9</v>
      </c>
      <c r="H8" s="109" t="s">
        <v>6600</v>
      </c>
      <c r="I8" s="137" t="s">
        <v>6601</v>
      </c>
      <c r="J8" s="138" t="s">
        <v>6602</v>
      </c>
      <c r="K8" s="113" t="s">
        <v>574</v>
      </c>
      <c r="L8" s="109" t="s">
        <v>6603</v>
      </c>
    </row>
    <row r="9" customFormat="false" ht="66" hidden="false" customHeight="true" outlineLevel="0" collapsed="false">
      <c r="B9" s="110" t="s">
        <v>251</v>
      </c>
      <c r="C9" s="110" t="s">
        <v>127</v>
      </c>
      <c r="D9" s="110" t="n">
        <v>55</v>
      </c>
      <c r="E9" s="110" t="s">
        <v>14</v>
      </c>
      <c r="F9" s="110" t="s">
        <v>395</v>
      </c>
      <c r="G9" s="36" t="s">
        <v>22</v>
      </c>
      <c r="H9" s="110" t="s">
        <v>6600</v>
      </c>
      <c r="I9" s="137" t="s">
        <v>6604</v>
      </c>
      <c r="J9" s="138" t="s">
        <v>6605</v>
      </c>
      <c r="K9" s="117" t="s">
        <v>666</v>
      </c>
      <c r="L9" s="110" t="s">
        <v>6606</v>
      </c>
    </row>
    <row r="10" customFormat="false" ht="66" hidden="false" customHeight="true" outlineLevel="0" collapsed="false">
      <c r="B10" s="109" t="s">
        <v>251</v>
      </c>
      <c r="C10" s="109" t="s">
        <v>127</v>
      </c>
      <c r="D10" s="109" t="n">
        <v>51</v>
      </c>
      <c r="E10" s="109" t="s">
        <v>14</v>
      </c>
      <c r="F10" s="109" t="s">
        <v>346</v>
      </c>
      <c r="G10" s="31" t="s">
        <v>22</v>
      </c>
      <c r="H10" s="109" t="s">
        <v>6607</v>
      </c>
      <c r="I10" s="137" t="s">
        <v>6608</v>
      </c>
      <c r="J10" s="138" t="s">
        <v>6609</v>
      </c>
      <c r="K10" s="113" t="s">
        <v>660</v>
      </c>
      <c r="L10" s="109" t="s">
        <v>6610</v>
      </c>
    </row>
    <row r="11" customFormat="false" ht="66" hidden="false" customHeight="true" outlineLevel="0" collapsed="false">
      <c r="B11" s="110" t="s">
        <v>251</v>
      </c>
      <c r="C11" s="110" t="s">
        <v>127</v>
      </c>
      <c r="D11" s="110" t="n">
        <v>591</v>
      </c>
      <c r="E11" s="110" t="s">
        <v>15</v>
      </c>
      <c r="F11" s="110" t="s">
        <v>277</v>
      </c>
      <c r="G11" s="36" t="s">
        <v>9</v>
      </c>
      <c r="H11" s="110" t="s">
        <v>6611</v>
      </c>
      <c r="I11" s="137" t="s">
        <v>6612</v>
      </c>
      <c r="J11" s="138" t="s">
        <v>6613</v>
      </c>
      <c r="K11" s="117" t="s">
        <v>2025</v>
      </c>
      <c r="L11" s="110" t="s">
        <v>6614</v>
      </c>
    </row>
    <row r="12" customFormat="false" ht="66" hidden="false" customHeight="true" outlineLevel="0" collapsed="false">
      <c r="B12" s="109" t="s">
        <v>251</v>
      </c>
      <c r="C12" s="109" t="s">
        <v>127</v>
      </c>
      <c r="D12" s="109" t="n">
        <v>592</v>
      </c>
      <c r="E12" s="109" t="s">
        <v>15</v>
      </c>
      <c r="F12" s="109" t="s">
        <v>257</v>
      </c>
      <c r="G12" s="31" t="s">
        <v>9</v>
      </c>
      <c r="H12" s="109" t="s">
        <v>6611</v>
      </c>
      <c r="I12" s="137" t="s">
        <v>6612</v>
      </c>
      <c r="J12" s="138" t="s">
        <v>6615</v>
      </c>
      <c r="K12" s="113" t="s">
        <v>2029</v>
      </c>
      <c r="L12" s="109" t="s">
        <v>6614</v>
      </c>
    </row>
    <row r="13" customFormat="false" ht="66" hidden="false" customHeight="true" outlineLevel="0" collapsed="false">
      <c r="B13" s="110" t="s">
        <v>251</v>
      </c>
      <c r="C13" s="110" t="s">
        <v>127</v>
      </c>
      <c r="D13" s="110" t="n">
        <v>593</v>
      </c>
      <c r="E13" s="110" t="s">
        <v>15</v>
      </c>
      <c r="F13" s="110" t="s">
        <v>277</v>
      </c>
      <c r="G13" s="36" t="s">
        <v>22</v>
      </c>
      <c r="H13" s="110" t="s">
        <v>6611</v>
      </c>
      <c r="I13" s="137" t="s">
        <v>6612</v>
      </c>
      <c r="J13" s="138" t="s">
        <v>6616</v>
      </c>
      <c r="K13" s="117" t="s">
        <v>2030</v>
      </c>
      <c r="L13" s="110" t="s">
        <v>6614</v>
      </c>
    </row>
    <row r="14" customFormat="false" ht="66" hidden="false" customHeight="true" outlineLevel="0" collapsed="false">
      <c r="B14" s="109" t="s">
        <v>251</v>
      </c>
      <c r="C14" s="109" t="s">
        <v>127</v>
      </c>
      <c r="D14" s="109" t="n">
        <v>594</v>
      </c>
      <c r="E14" s="109" t="s">
        <v>15</v>
      </c>
      <c r="F14" s="109" t="s">
        <v>257</v>
      </c>
      <c r="G14" s="31" t="s">
        <v>22</v>
      </c>
      <c r="H14" s="109" t="s">
        <v>6611</v>
      </c>
      <c r="I14" s="137" t="s">
        <v>6612</v>
      </c>
      <c r="J14" s="138" t="s">
        <v>6617</v>
      </c>
      <c r="K14" s="113" t="s">
        <v>2033</v>
      </c>
      <c r="L14" s="109" t="s">
        <v>6614</v>
      </c>
    </row>
    <row r="15" customFormat="false" ht="66" hidden="false" customHeight="true" outlineLevel="0" collapsed="false">
      <c r="B15" s="110" t="s">
        <v>251</v>
      </c>
      <c r="C15" s="110" t="s">
        <v>127</v>
      </c>
      <c r="D15" s="110" t="n">
        <v>595</v>
      </c>
      <c r="E15" s="110" t="s">
        <v>15</v>
      </c>
      <c r="F15" s="110" t="s">
        <v>277</v>
      </c>
      <c r="G15" s="36" t="s">
        <v>23</v>
      </c>
      <c r="H15" s="110" t="s">
        <v>6611</v>
      </c>
      <c r="I15" s="137" t="s">
        <v>6612</v>
      </c>
      <c r="J15" s="138" t="s">
        <v>6618</v>
      </c>
      <c r="K15" s="117" t="s">
        <v>2035</v>
      </c>
      <c r="L15" s="110" t="s">
        <v>6614</v>
      </c>
    </row>
    <row r="16" customFormat="false" ht="66" hidden="false" customHeight="true" outlineLevel="0" collapsed="false">
      <c r="B16" s="109" t="s">
        <v>251</v>
      </c>
      <c r="C16" s="109" t="s">
        <v>127</v>
      </c>
      <c r="D16" s="109" t="n">
        <v>596</v>
      </c>
      <c r="E16" s="109" t="s">
        <v>15</v>
      </c>
      <c r="F16" s="109" t="s">
        <v>257</v>
      </c>
      <c r="G16" s="31" t="s">
        <v>23</v>
      </c>
      <c r="H16" s="109" t="s">
        <v>6611</v>
      </c>
      <c r="I16" s="137" t="s">
        <v>6612</v>
      </c>
      <c r="J16" s="138" t="s">
        <v>6619</v>
      </c>
      <c r="K16" s="113" t="s">
        <v>2038</v>
      </c>
      <c r="L16" s="109" t="s">
        <v>6614</v>
      </c>
    </row>
    <row r="17" customFormat="false" ht="66" hidden="false" customHeight="true" outlineLevel="0" collapsed="false">
      <c r="B17" s="110" t="s">
        <v>251</v>
      </c>
      <c r="C17" s="110" t="s">
        <v>127</v>
      </c>
      <c r="D17" s="110" t="n">
        <v>597</v>
      </c>
      <c r="E17" s="110" t="s">
        <v>15</v>
      </c>
      <c r="F17" s="110" t="s">
        <v>277</v>
      </c>
      <c r="G17" s="36" t="s">
        <v>24</v>
      </c>
      <c r="H17" s="110" t="s">
        <v>6611</v>
      </c>
      <c r="I17" s="137" t="s">
        <v>6612</v>
      </c>
      <c r="J17" s="138" t="s">
        <v>6620</v>
      </c>
      <c r="K17" s="117" t="s">
        <v>2040</v>
      </c>
      <c r="L17" s="110" t="s">
        <v>6614</v>
      </c>
    </row>
    <row r="18" customFormat="false" ht="66" hidden="false" customHeight="true" outlineLevel="0" collapsed="false">
      <c r="B18" s="109" t="s">
        <v>251</v>
      </c>
      <c r="C18" s="109" t="s">
        <v>127</v>
      </c>
      <c r="D18" s="109" t="n">
        <v>598</v>
      </c>
      <c r="E18" s="109" t="s">
        <v>15</v>
      </c>
      <c r="F18" s="109" t="s">
        <v>257</v>
      </c>
      <c r="G18" s="31" t="s">
        <v>24</v>
      </c>
      <c r="H18" s="109" t="s">
        <v>6611</v>
      </c>
      <c r="I18" s="137" t="s">
        <v>6612</v>
      </c>
      <c r="J18" s="138" t="s">
        <v>6621</v>
      </c>
      <c r="K18" s="113" t="s">
        <v>2043</v>
      </c>
      <c r="L18" s="109" t="s">
        <v>6614</v>
      </c>
    </row>
    <row r="19" customFormat="false" ht="66" hidden="false" customHeight="true" outlineLevel="0" collapsed="false">
      <c r="B19" s="110" t="s">
        <v>251</v>
      </c>
      <c r="C19" s="110" t="s">
        <v>127</v>
      </c>
      <c r="D19" s="110" t="n">
        <v>599</v>
      </c>
      <c r="E19" s="110" t="s">
        <v>15</v>
      </c>
      <c r="F19" s="110" t="s">
        <v>277</v>
      </c>
      <c r="G19" s="36" t="s">
        <v>25</v>
      </c>
      <c r="H19" s="110" t="s">
        <v>6611</v>
      </c>
      <c r="I19" s="137" t="s">
        <v>6612</v>
      </c>
      <c r="J19" s="138" t="s">
        <v>6622</v>
      </c>
      <c r="K19" s="117" t="s">
        <v>2044</v>
      </c>
      <c r="L19" s="110" t="s">
        <v>6614</v>
      </c>
    </row>
    <row r="20" customFormat="false" ht="66" hidden="false" customHeight="true" outlineLevel="0" collapsed="false">
      <c r="B20" s="109" t="s">
        <v>251</v>
      </c>
      <c r="C20" s="109" t="s">
        <v>127</v>
      </c>
      <c r="D20" s="109" t="n">
        <v>600</v>
      </c>
      <c r="E20" s="109" t="s">
        <v>15</v>
      </c>
      <c r="F20" s="109" t="s">
        <v>277</v>
      </c>
      <c r="G20" s="31" t="s">
        <v>26</v>
      </c>
      <c r="H20" s="109" t="s">
        <v>6611</v>
      </c>
      <c r="I20" s="137" t="s">
        <v>6612</v>
      </c>
      <c r="J20" s="138" t="s">
        <v>6623</v>
      </c>
      <c r="K20" s="113" t="s">
        <v>2045</v>
      </c>
      <c r="L20" s="109" t="s">
        <v>6614</v>
      </c>
    </row>
    <row r="21" customFormat="false" ht="66" hidden="false" customHeight="true" outlineLevel="0" collapsed="false">
      <c r="B21" s="110" t="s">
        <v>251</v>
      </c>
      <c r="C21" s="110" t="s">
        <v>127</v>
      </c>
      <c r="D21" s="110" t="n">
        <v>601</v>
      </c>
      <c r="E21" s="110" t="s">
        <v>15</v>
      </c>
      <c r="F21" s="110" t="s">
        <v>277</v>
      </c>
      <c r="G21" s="36" t="s">
        <v>28</v>
      </c>
      <c r="H21" s="110" t="s">
        <v>6611</v>
      </c>
      <c r="I21" s="137" t="s">
        <v>6612</v>
      </c>
      <c r="J21" s="138" t="s">
        <v>6624</v>
      </c>
      <c r="K21" s="117" t="s">
        <v>2046</v>
      </c>
      <c r="L21" s="110" t="s">
        <v>6614</v>
      </c>
    </row>
    <row r="22" customFormat="false" ht="66" hidden="false" customHeight="true" outlineLevel="0" collapsed="false">
      <c r="B22" s="109" t="s">
        <v>251</v>
      </c>
      <c r="C22" s="109" t="s">
        <v>127</v>
      </c>
      <c r="D22" s="109" t="n">
        <v>602</v>
      </c>
      <c r="E22" s="109" t="s">
        <v>15</v>
      </c>
      <c r="F22" s="109" t="s">
        <v>277</v>
      </c>
      <c r="G22" s="31" t="s">
        <v>29</v>
      </c>
      <c r="H22" s="109" t="s">
        <v>6611</v>
      </c>
      <c r="I22" s="137" t="s">
        <v>6612</v>
      </c>
      <c r="J22" s="138" t="s">
        <v>6625</v>
      </c>
      <c r="K22" s="113" t="s">
        <v>2047</v>
      </c>
      <c r="L22" s="109" t="s">
        <v>6614</v>
      </c>
    </row>
    <row r="23" customFormat="false" ht="66" hidden="false" customHeight="true" outlineLevel="0" collapsed="false">
      <c r="B23" s="110" t="s">
        <v>251</v>
      </c>
      <c r="C23" s="110" t="s">
        <v>127</v>
      </c>
      <c r="D23" s="110" t="n">
        <v>603</v>
      </c>
      <c r="E23" s="110" t="s">
        <v>15</v>
      </c>
      <c r="F23" s="110" t="s">
        <v>277</v>
      </c>
      <c r="G23" s="36" t="s">
        <v>31</v>
      </c>
      <c r="H23" s="110" t="s">
        <v>6611</v>
      </c>
      <c r="I23" s="137" t="s">
        <v>6612</v>
      </c>
      <c r="J23" s="138" t="s">
        <v>6626</v>
      </c>
      <c r="K23" s="117" t="s">
        <v>2048</v>
      </c>
      <c r="L23" s="110" t="s">
        <v>6614</v>
      </c>
    </row>
    <row r="24" customFormat="false" ht="66" hidden="false" customHeight="true" outlineLevel="0" collapsed="false">
      <c r="B24" s="109" t="s">
        <v>251</v>
      </c>
      <c r="C24" s="109" t="s">
        <v>127</v>
      </c>
      <c r="D24" s="109" t="n">
        <v>604</v>
      </c>
      <c r="E24" s="109" t="s">
        <v>15</v>
      </c>
      <c r="F24" s="109" t="s">
        <v>277</v>
      </c>
      <c r="G24" s="31" t="s">
        <v>34</v>
      </c>
      <c r="H24" s="109" t="s">
        <v>6611</v>
      </c>
      <c r="I24" s="137" t="s">
        <v>6612</v>
      </c>
      <c r="J24" s="138" t="s">
        <v>6627</v>
      </c>
      <c r="K24" s="113" t="s">
        <v>2049</v>
      </c>
      <c r="L24" s="109" t="s">
        <v>6614</v>
      </c>
    </row>
    <row r="25" customFormat="false" ht="66" hidden="false" customHeight="true" outlineLevel="0" collapsed="false">
      <c r="B25" s="110" t="s">
        <v>251</v>
      </c>
      <c r="C25" s="110" t="s">
        <v>127</v>
      </c>
      <c r="D25" s="110" t="n">
        <v>605</v>
      </c>
      <c r="E25" s="110" t="s">
        <v>15</v>
      </c>
      <c r="F25" s="110" t="s">
        <v>277</v>
      </c>
      <c r="G25" s="36" t="s">
        <v>37</v>
      </c>
      <c r="H25" s="110" t="s">
        <v>6611</v>
      </c>
      <c r="I25" s="137" t="s">
        <v>6612</v>
      </c>
      <c r="J25" s="138" t="s">
        <v>6628</v>
      </c>
      <c r="K25" s="117" t="s">
        <v>2050</v>
      </c>
      <c r="L25" s="110" t="s">
        <v>6614</v>
      </c>
    </row>
    <row r="26" customFormat="false" ht="66" hidden="false" customHeight="true" outlineLevel="0" collapsed="false">
      <c r="B26" s="109" t="s">
        <v>251</v>
      </c>
      <c r="C26" s="109" t="s">
        <v>127</v>
      </c>
      <c r="D26" s="109" t="n">
        <v>606</v>
      </c>
      <c r="E26" s="109" t="s">
        <v>15</v>
      </c>
      <c r="F26" s="109" t="s">
        <v>277</v>
      </c>
      <c r="G26" s="31" t="s">
        <v>39</v>
      </c>
      <c r="H26" s="109" t="s">
        <v>6611</v>
      </c>
      <c r="I26" s="137" t="s">
        <v>6612</v>
      </c>
      <c r="J26" s="138" t="s">
        <v>6629</v>
      </c>
      <c r="K26" s="113" t="s">
        <v>2052</v>
      </c>
      <c r="L26" s="109" t="s">
        <v>6614</v>
      </c>
    </row>
    <row r="27" customFormat="false" ht="66" hidden="false" customHeight="true" outlineLevel="0" collapsed="false">
      <c r="B27" s="110" t="s">
        <v>251</v>
      </c>
      <c r="C27" s="110" t="s">
        <v>127</v>
      </c>
      <c r="D27" s="110" t="n">
        <v>607</v>
      </c>
      <c r="E27" s="110" t="s">
        <v>15</v>
      </c>
      <c r="F27" s="110" t="s">
        <v>257</v>
      </c>
      <c r="G27" s="36" t="s">
        <v>39</v>
      </c>
      <c r="H27" s="110" t="s">
        <v>6611</v>
      </c>
      <c r="I27" s="137" t="s">
        <v>6612</v>
      </c>
      <c r="J27" s="138" t="s">
        <v>6630</v>
      </c>
      <c r="K27" s="117" t="s">
        <v>2055</v>
      </c>
      <c r="L27" s="110" t="s">
        <v>6614</v>
      </c>
    </row>
    <row r="28" customFormat="false" ht="66" hidden="false" customHeight="true" outlineLevel="0" collapsed="false">
      <c r="B28" s="109" t="s">
        <v>251</v>
      </c>
      <c r="C28" s="109" t="s">
        <v>127</v>
      </c>
      <c r="D28" s="109" t="n">
        <v>608</v>
      </c>
      <c r="E28" s="109" t="s">
        <v>15</v>
      </c>
      <c r="F28" s="109" t="s">
        <v>277</v>
      </c>
      <c r="G28" s="31" t="s">
        <v>40</v>
      </c>
      <c r="H28" s="109" t="s">
        <v>6611</v>
      </c>
      <c r="I28" s="137" t="s">
        <v>6612</v>
      </c>
      <c r="J28" s="138" t="s">
        <v>6631</v>
      </c>
      <c r="K28" s="113" t="s">
        <v>2057</v>
      </c>
      <c r="L28" s="109" t="s">
        <v>6614</v>
      </c>
    </row>
    <row r="29" customFormat="false" ht="23.25" hidden="false" customHeight="true" outlineLevel="0" collapsed="false">
      <c r="B29" s="109" t="s">
        <v>256</v>
      </c>
      <c r="C29" s="109" t="s">
        <v>127</v>
      </c>
      <c r="D29" s="109" t="n">
        <v>9</v>
      </c>
      <c r="E29" s="109" t="s">
        <v>13</v>
      </c>
      <c r="F29" s="109" t="s">
        <v>541</v>
      </c>
      <c r="G29" s="31" t="s">
        <v>9</v>
      </c>
      <c r="H29" s="109" t="s">
        <v>6632</v>
      </c>
      <c r="I29" s="137" t="s">
        <v>6633</v>
      </c>
      <c r="J29" s="138" t="s">
        <v>6634</v>
      </c>
      <c r="K29" s="113" t="s">
        <v>6635</v>
      </c>
      <c r="L29" s="109" t="s">
        <v>6636</v>
      </c>
    </row>
    <row r="30" customFormat="false" ht="23.25" hidden="false" customHeight="true" outlineLevel="0" collapsed="false">
      <c r="B30" s="109" t="s">
        <v>256</v>
      </c>
      <c r="C30" s="109" t="s">
        <v>127</v>
      </c>
      <c r="D30" s="109" t="n">
        <v>220</v>
      </c>
      <c r="E30" s="109" t="s">
        <v>13</v>
      </c>
      <c r="F30" s="109" t="s">
        <v>541</v>
      </c>
      <c r="G30" s="31" t="s">
        <v>31</v>
      </c>
      <c r="H30" s="109" t="s">
        <v>6632</v>
      </c>
      <c r="I30" s="137" t="s">
        <v>6637</v>
      </c>
      <c r="J30" s="138" t="s">
        <v>6638</v>
      </c>
      <c r="K30" s="113" t="s">
        <v>6639</v>
      </c>
      <c r="L30" s="109" t="s">
        <v>6640</v>
      </c>
    </row>
    <row r="31" customFormat="false" ht="13.5" hidden="false" customHeight="true" outlineLevel="0" collapsed="false">
      <c r="B31" s="109" t="s">
        <v>256</v>
      </c>
      <c r="C31" s="109" t="s">
        <v>127</v>
      </c>
      <c r="D31" s="109" t="n">
        <v>220</v>
      </c>
      <c r="E31" s="109" t="s">
        <v>13</v>
      </c>
      <c r="F31" s="109" t="s">
        <v>541</v>
      </c>
      <c r="G31" s="31" t="s">
        <v>31</v>
      </c>
      <c r="H31" s="109" t="s">
        <v>500</v>
      </c>
      <c r="I31" s="137" t="s">
        <v>956</v>
      </c>
      <c r="J31" s="138" t="s">
        <v>629</v>
      </c>
      <c r="K31" s="113" t="s">
        <v>1085</v>
      </c>
      <c r="L31" s="109" t="s">
        <v>6641</v>
      </c>
    </row>
    <row r="32" customFormat="false" ht="23.25" hidden="false" customHeight="true" outlineLevel="0" collapsed="false">
      <c r="B32" s="109" t="s">
        <v>256</v>
      </c>
      <c r="C32" s="109" t="s">
        <v>127</v>
      </c>
      <c r="D32" s="109" t="n">
        <v>196</v>
      </c>
      <c r="E32" s="109" t="s">
        <v>13</v>
      </c>
      <c r="F32" s="109" t="s">
        <v>541</v>
      </c>
      <c r="G32" s="31" t="s">
        <v>29</v>
      </c>
      <c r="H32" s="109" t="s">
        <v>500</v>
      </c>
      <c r="I32" s="137" t="s">
        <v>956</v>
      </c>
      <c r="J32" s="138" t="s">
        <v>629</v>
      </c>
      <c r="K32" s="113" t="s">
        <v>6642</v>
      </c>
      <c r="L32" s="109" t="s">
        <v>6643</v>
      </c>
    </row>
    <row r="33" customFormat="false" ht="23.25" hidden="false" customHeight="true" outlineLevel="0" collapsed="false">
      <c r="B33" s="109" t="s">
        <v>256</v>
      </c>
      <c r="C33" s="109" t="s">
        <v>127</v>
      </c>
      <c r="D33" s="109" t="n">
        <v>396</v>
      </c>
      <c r="E33" s="109" t="s">
        <v>13</v>
      </c>
      <c r="F33" s="109" t="s">
        <v>548</v>
      </c>
      <c r="G33" s="31" t="s">
        <v>41</v>
      </c>
      <c r="H33" s="109" t="s">
        <v>500</v>
      </c>
      <c r="I33" s="137" t="s">
        <v>956</v>
      </c>
      <c r="J33" s="138" t="s">
        <v>629</v>
      </c>
      <c r="K33" s="113" t="s">
        <v>6644</v>
      </c>
      <c r="L33" s="109" t="s">
        <v>6645</v>
      </c>
    </row>
    <row r="34" customFormat="false" ht="23.25" hidden="false" customHeight="true" outlineLevel="0" collapsed="false">
      <c r="B34" s="109" t="s">
        <v>256</v>
      </c>
      <c r="C34" s="109" t="s">
        <v>127</v>
      </c>
      <c r="D34" s="109" t="n">
        <v>175</v>
      </c>
      <c r="E34" s="109" t="s">
        <v>14</v>
      </c>
      <c r="F34" s="109" t="s">
        <v>411</v>
      </c>
      <c r="G34" s="31" t="s">
        <v>28</v>
      </c>
      <c r="H34" s="109" t="s">
        <v>6632</v>
      </c>
      <c r="I34" s="137" t="s">
        <v>6646</v>
      </c>
      <c r="J34" s="138" t="s">
        <v>6647</v>
      </c>
      <c r="K34" s="113" t="s">
        <v>6648</v>
      </c>
      <c r="L34" s="109" t="s">
        <v>6649</v>
      </c>
    </row>
    <row r="35" customFormat="false" ht="23.25" hidden="false" customHeight="true" outlineLevel="0" collapsed="false">
      <c r="B35" s="109" t="s">
        <v>256</v>
      </c>
      <c r="C35" s="109" t="s">
        <v>127</v>
      </c>
      <c r="D35" s="109" t="n">
        <v>175</v>
      </c>
      <c r="E35" s="109" t="s">
        <v>14</v>
      </c>
      <c r="F35" s="109" t="s">
        <v>411</v>
      </c>
      <c r="G35" s="31" t="s">
        <v>28</v>
      </c>
      <c r="H35" s="109" t="s">
        <v>500</v>
      </c>
      <c r="I35" s="137" t="s">
        <v>956</v>
      </c>
      <c r="J35" s="138" t="s">
        <v>702</v>
      </c>
      <c r="K35" s="113" t="s">
        <v>962</v>
      </c>
      <c r="L35" s="109" t="s">
        <v>6650</v>
      </c>
    </row>
    <row r="36" customFormat="false" ht="23.25" hidden="false" customHeight="true" outlineLevel="0" collapsed="false">
      <c r="B36" s="109" t="s">
        <v>256</v>
      </c>
      <c r="C36" s="109" t="s">
        <v>127</v>
      </c>
      <c r="D36" s="109" t="n">
        <v>307</v>
      </c>
      <c r="E36" s="109" t="s">
        <v>14</v>
      </c>
      <c r="F36" s="109" t="s">
        <v>407</v>
      </c>
      <c r="G36" s="31" t="s">
        <v>35</v>
      </c>
      <c r="H36" s="109" t="s">
        <v>6632</v>
      </c>
      <c r="I36" s="137" t="s">
        <v>6651</v>
      </c>
      <c r="J36" s="138" t="s">
        <v>6652</v>
      </c>
      <c r="K36" s="113" t="s">
        <v>6653</v>
      </c>
      <c r="L36" s="109" t="s">
        <v>6654</v>
      </c>
    </row>
    <row r="37" customFormat="false" ht="23.25" hidden="false" customHeight="true" outlineLevel="0" collapsed="false">
      <c r="B37" s="109" t="s">
        <v>256</v>
      </c>
      <c r="C37" s="109" t="s">
        <v>127</v>
      </c>
      <c r="D37" s="109" t="n">
        <v>308</v>
      </c>
      <c r="E37" s="109" t="s">
        <v>14</v>
      </c>
      <c r="F37" s="109" t="s">
        <v>381</v>
      </c>
      <c r="G37" s="31" t="s">
        <v>35</v>
      </c>
      <c r="H37" s="109" t="s">
        <v>6632</v>
      </c>
      <c r="I37" s="137" t="s">
        <v>6655</v>
      </c>
      <c r="J37" s="138" t="s">
        <v>6656</v>
      </c>
      <c r="K37" s="113" t="s">
        <v>6657</v>
      </c>
      <c r="L37" s="109" t="s">
        <v>6658</v>
      </c>
    </row>
    <row r="38" customFormat="false" ht="13.5" hidden="false" customHeight="true" outlineLevel="0" collapsed="false">
      <c r="B38" s="109" t="s">
        <v>256</v>
      </c>
      <c r="C38" s="109" t="s">
        <v>127</v>
      </c>
      <c r="D38" s="109" t="n">
        <v>16</v>
      </c>
      <c r="E38" s="109" t="s">
        <v>14</v>
      </c>
      <c r="F38" s="109" t="s">
        <v>388</v>
      </c>
      <c r="G38" s="31" t="s">
        <v>9</v>
      </c>
      <c r="H38" s="109" t="s">
        <v>242</v>
      </c>
      <c r="I38" s="137" t="s">
        <v>6659</v>
      </c>
      <c r="J38" s="138" t="s">
        <v>566</v>
      </c>
      <c r="K38" s="113" t="s">
        <v>6660</v>
      </c>
      <c r="L38" s="109" t="s">
        <v>6661</v>
      </c>
    </row>
    <row r="39" customFormat="false" ht="23.25" hidden="false" customHeight="true" outlineLevel="0" collapsed="false">
      <c r="B39" s="109" t="s">
        <v>256</v>
      </c>
      <c r="C39" s="109" t="s">
        <v>127</v>
      </c>
      <c r="D39" s="109" t="n">
        <v>20</v>
      </c>
      <c r="E39" s="109" t="s">
        <v>14</v>
      </c>
      <c r="F39" s="109" t="s">
        <v>415</v>
      </c>
      <c r="G39" s="31" t="s">
        <v>9</v>
      </c>
      <c r="H39" s="109" t="s">
        <v>519</v>
      </c>
      <c r="I39" s="137" t="s">
        <v>538</v>
      </c>
      <c r="J39" s="138" t="s">
        <v>577</v>
      </c>
      <c r="K39" s="113" t="s">
        <v>6662</v>
      </c>
      <c r="L39" s="109" t="s">
        <v>6663</v>
      </c>
    </row>
    <row r="40" customFormat="false" ht="23.25" hidden="false" customHeight="true" outlineLevel="0" collapsed="false">
      <c r="B40" s="109" t="s">
        <v>256</v>
      </c>
      <c r="C40" s="109" t="s">
        <v>127</v>
      </c>
      <c r="D40" s="109" t="n">
        <v>279</v>
      </c>
      <c r="E40" s="109" t="s">
        <v>15</v>
      </c>
      <c r="F40" s="109" t="s">
        <v>285</v>
      </c>
      <c r="G40" s="31" t="s">
        <v>34</v>
      </c>
      <c r="H40" s="109" t="s">
        <v>500</v>
      </c>
      <c r="I40" s="137" t="s">
        <v>530</v>
      </c>
      <c r="J40" s="138" t="s">
        <v>702</v>
      </c>
      <c r="K40" s="113" t="s">
        <v>1231</v>
      </c>
      <c r="L40" s="109" t="s">
        <v>6664</v>
      </c>
    </row>
    <row r="41" customFormat="false" ht="23.25" hidden="false" customHeight="true" outlineLevel="0" collapsed="false">
      <c r="B41" s="109" t="s">
        <v>256</v>
      </c>
      <c r="C41" s="109" t="s">
        <v>127</v>
      </c>
      <c r="D41" s="109" t="n">
        <v>404</v>
      </c>
      <c r="E41" s="109" t="s">
        <v>16</v>
      </c>
      <c r="F41" s="109" t="s">
        <v>309</v>
      </c>
      <c r="G41" s="31" t="s">
        <v>41</v>
      </c>
      <c r="H41" s="109" t="s">
        <v>500</v>
      </c>
      <c r="I41" s="137" t="s">
        <v>702</v>
      </c>
      <c r="J41" s="138" t="s">
        <v>629</v>
      </c>
      <c r="K41" s="113" t="s">
        <v>1510</v>
      </c>
      <c r="L41" s="109" t="s">
        <v>6665</v>
      </c>
    </row>
    <row r="42" customFormat="false" ht="68.25" hidden="false" customHeight="true" outlineLevel="0" collapsed="false">
      <c r="B42" s="109" t="s">
        <v>256</v>
      </c>
      <c r="C42" s="109" t="s">
        <v>127</v>
      </c>
      <c r="D42" s="109" t="s">
        <v>6666</v>
      </c>
      <c r="E42" s="109" t="s">
        <v>6667</v>
      </c>
      <c r="F42" s="109" t="s">
        <v>6668</v>
      </c>
      <c r="G42" s="31" t="s">
        <v>6669</v>
      </c>
      <c r="H42" s="109" t="s">
        <v>6670</v>
      </c>
      <c r="I42" s="137" t="s">
        <v>6612</v>
      </c>
      <c r="J42" s="138" t="s">
        <v>6671</v>
      </c>
      <c r="K42" s="113" t="s">
        <v>6672</v>
      </c>
      <c r="L42" s="109" t="s">
        <v>6673</v>
      </c>
    </row>
    <row r="43" customFormat="false" ht="34.5" hidden="false" customHeight="true" outlineLevel="0" collapsed="false">
      <c r="B43" s="109" t="s">
        <v>256</v>
      </c>
      <c r="C43" s="109" t="s">
        <v>6674</v>
      </c>
      <c r="D43" s="109" t="s">
        <v>6675</v>
      </c>
      <c r="E43" s="109" t="s">
        <v>6676</v>
      </c>
      <c r="F43" s="109" t="s">
        <v>247</v>
      </c>
      <c r="G43" s="31" t="s">
        <v>65</v>
      </c>
      <c r="H43" s="109" t="s">
        <v>6670</v>
      </c>
      <c r="I43" s="137" t="s">
        <v>6612</v>
      </c>
      <c r="J43" s="138" t="s">
        <v>6677</v>
      </c>
      <c r="K43" s="113" t="s">
        <v>247</v>
      </c>
      <c r="L43" s="109" t="s">
        <v>6678</v>
      </c>
    </row>
    <row r="44" customFormat="false" ht="23.25" hidden="false" customHeight="true" outlineLevel="0" collapsed="false">
      <c r="B44" s="109" t="s">
        <v>256</v>
      </c>
      <c r="C44" s="109" t="s">
        <v>6679</v>
      </c>
      <c r="D44" s="109" t="s">
        <v>247</v>
      </c>
      <c r="E44" s="109" t="s">
        <v>6676</v>
      </c>
      <c r="F44" s="109" t="s">
        <v>247</v>
      </c>
      <c r="G44" s="31" t="s">
        <v>247</v>
      </c>
      <c r="H44" s="109" t="s">
        <v>6680</v>
      </c>
      <c r="I44" s="137" t="s">
        <v>6681</v>
      </c>
      <c r="J44" s="138" t="s">
        <v>6682</v>
      </c>
      <c r="K44" s="113" t="s">
        <v>247</v>
      </c>
      <c r="L44" s="109" t="s">
        <v>6683</v>
      </c>
    </row>
    <row r="45" customFormat="false" ht="45.75" hidden="false" customHeight="true" outlineLevel="0" collapsed="false">
      <c r="B45" s="109" t="s">
        <v>256</v>
      </c>
      <c r="C45" s="109" t="s">
        <v>127</v>
      </c>
      <c r="D45" s="109" t="s">
        <v>6684</v>
      </c>
      <c r="E45" s="109" t="s">
        <v>6676</v>
      </c>
      <c r="F45" s="109" t="s">
        <v>247</v>
      </c>
      <c r="G45" s="31" t="s">
        <v>247</v>
      </c>
      <c r="H45" s="109" t="s">
        <v>6685</v>
      </c>
      <c r="I45" s="137" t="s">
        <v>6686</v>
      </c>
      <c r="J45" s="138" t="s">
        <v>6687</v>
      </c>
      <c r="K45" s="113" t="s">
        <v>247</v>
      </c>
      <c r="L45" s="109" t="s">
        <v>6688</v>
      </c>
    </row>
    <row r="46" customFormat="false" ht="57" hidden="false" customHeight="true" outlineLevel="0" collapsed="false">
      <c r="B46" s="109" t="s">
        <v>256</v>
      </c>
      <c r="C46" s="109" t="s">
        <v>6689</v>
      </c>
      <c r="D46" s="109" t="s">
        <v>6690</v>
      </c>
      <c r="E46" s="109" t="s">
        <v>17</v>
      </c>
      <c r="F46" s="109" t="s">
        <v>247</v>
      </c>
      <c r="G46" s="31" t="s">
        <v>6676</v>
      </c>
      <c r="H46" s="109" t="s">
        <v>6691</v>
      </c>
      <c r="I46" s="137" t="s">
        <v>6692</v>
      </c>
      <c r="J46" s="138" t="s">
        <v>6693</v>
      </c>
      <c r="K46" s="113" t="s">
        <v>247</v>
      </c>
      <c r="L46" s="109" t="s">
        <v>6694</v>
      </c>
    </row>
    <row r="47" customFormat="false" ht="57" hidden="false" customHeight="true" outlineLevel="0" collapsed="false">
      <c r="B47" s="109" t="s">
        <v>256</v>
      </c>
      <c r="C47" s="109" t="s">
        <v>6695</v>
      </c>
      <c r="D47" s="109" t="s">
        <v>6690</v>
      </c>
      <c r="E47" s="109" t="s">
        <v>18</v>
      </c>
      <c r="F47" s="109" t="s">
        <v>247</v>
      </c>
      <c r="G47" s="31" t="s">
        <v>6676</v>
      </c>
      <c r="H47" s="109" t="s">
        <v>6696</v>
      </c>
      <c r="I47" s="137" t="s">
        <v>6697</v>
      </c>
      <c r="J47" s="138" t="s">
        <v>6698</v>
      </c>
      <c r="K47" s="113" t="s">
        <v>247</v>
      </c>
      <c r="L47" s="109" t="s">
        <v>6699</v>
      </c>
    </row>
    <row r="48" customFormat="false" ht="34.5" hidden="false" customHeight="true" outlineLevel="0" collapsed="false">
      <c r="B48" s="109" t="s">
        <v>256</v>
      </c>
      <c r="C48" s="109" t="s">
        <v>6700</v>
      </c>
      <c r="D48" s="109" t="s">
        <v>247</v>
      </c>
      <c r="E48" s="109" t="s">
        <v>6555</v>
      </c>
      <c r="F48" s="109" t="s">
        <v>6701</v>
      </c>
      <c r="G48" s="31" t="s">
        <v>247</v>
      </c>
      <c r="H48" s="109" t="s">
        <v>6702</v>
      </c>
      <c r="I48" s="137" t="s">
        <v>247</v>
      </c>
      <c r="J48" s="138" t="s">
        <v>6703</v>
      </c>
      <c r="K48" s="113" t="s">
        <v>6704</v>
      </c>
      <c r="L48" s="109" t="s">
        <v>6705</v>
      </c>
    </row>
    <row r="49" customFormat="false" ht="45.75" hidden="false" customHeight="true" outlineLevel="0" collapsed="false">
      <c r="B49" s="109" t="s">
        <v>256</v>
      </c>
      <c r="C49" s="109" t="s">
        <v>6706</v>
      </c>
      <c r="D49" s="109" t="s">
        <v>247</v>
      </c>
      <c r="E49" s="109" t="s">
        <v>6555</v>
      </c>
      <c r="F49" s="109" t="s">
        <v>6707</v>
      </c>
      <c r="G49" s="31" t="s">
        <v>6708</v>
      </c>
      <c r="H49" s="109" t="s">
        <v>6702</v>
      </c>
      <c r="I49" s="137" t="s">
        <v>247</v>
      </c>
      <c r="J49" s="138" t="s">
        <v>6709</v>
      </c>
      <c r="K49" s="113" t="s">
        <v>6710</v>
      </c>
      <c r="L49" s="109" t="s">
        <v>6711</v>
      </c>
    </row>
    <row r="50" customFormat="false" ht="45.75" hidden="false" customHeight="true" outlineLevel="0" collapsed="false">
      <c r="B50" s="109" t="s">
        <v>256</v>
      </c>
      <c r="C50" s="109" t="s">
        <v>6712</v>
      </c>
      <c r="D50" s="109" t="s">
        <v>247</v>
      </c>
      <c r="E50" s="109" t="s">
        <v>6676</v>
      </c>
      <c r="F50" s="109" t="s">
        <v>247</v>
      </c>
      <c r="G50" s="31" t="s">
        <v>6708</v>
      </c>
      <c r="H50" s="109" t="s">
        <v>6702</v>
      </c>
      <c r="I50" s="137" t="s">
        <v>247</v>
      </c>
      <c r="J50" s="138" t="s">
        <v>6713</v>
      </c>
      <c r="K50" s="113" t="s">
        <v>247</v>
      </c>
      <c r="L50" s="109" t="s">
        <v>6714</v>
      </c>
    </row>
    <row r="51" customFormat="false" ht="23.85" hidden="false" customHeight="false" outlineLevel="0" collapsed="false">
      <c r="B51" s="109" t="s">
        <v>256</v>
      </c>
      <c r="C51" s="109" t="s">
        <v>6715</v>
      </c>
      <c r="D51" s="109" t="s">
        <v>6716</v>
      </c>
      <c r="E51" s="109" t="s">
        <v>6676</v>
      </c>
      <c r="F51" s="109" t="s">
        <v>247</v>
      </c>
      <c r="G51" s="31" t="s">
        <v>6708</v>
      </c>
      <c r="H51" s="109" t="s">
        <v>6717</v>
      </c>
      <c r="I51" s="137" t="s">
        <v>6718</v>
      </c>
      <c r="J51" s="138" t="s">
        <v>6719</v>
      </c>
      <c r="K51" s="113" t="s">
        <v>247</v>
      </c>
      <c r="L51" s="109" t="s">
        <v>6720</v>
      </c>
    </row>
    <row r="52" customFormat="false" ht="23.85" hidden="false" customHeight="false" outlineLevel="0" collapsed="false">
      <c r="B52" s="109" t="s">
        <v>256</v>
      </c>
      <c r="C52" s="109" t="s">
        <v>6721</v>
      </c>
      <c r="D52" s="109" t="s">
        <v>6722</v>
      </c>
      <c r="E52" s="109" t="s">
        <v>6555</v>
      </c>
      <c r="F52" s="109" t="s">
        <v>247</v>
      </c>
      <c r="G52" s="31" t="s">
        <v>6723</v>
      </c>
      <c r="H52" s="109" t="s">
        <v>6670</v>
      </c>
      <c r="I52" s="137" t="s">
        <v>247</v>
      </c>
      <c r="J52" s="138" t="s">
        <v>6724</v>
      </c>
      <c r="K52" s="113" t="s">
        <v>6725</v>
      </c>
      <c r="L52" s="109" t="s">
        <v>6726</v>
      </c>
    </row>
    <row r="53" customFormat="false" ht="13.5" hidden="false" customHeight="false" outlineLevel="0" collapsed="false">
      <c r="B53" s="109" t="s">
        <v>256</v>
      </c>
      <c r="C53" s="109" t="s">
        <v>6564</v>
      </c>
      <c r="D53" s="109" t="s">
        <v>6727</v>
      </c>
      <c r="E53" s="109" t="s">
        <v>6676</v>
      </c>
      <c r="F53" s="109" t="s">
        <v>247</v>
      </c>
      <c r="G53" s="31" t="s">
        <v>6723</v>
      </c>
      <c r="H53" s="109" t="s">
        <v>6670</v>
      </c>
      <c r="I53" s="137" t="s">
        <v>247</v>
      </c>
      <c r="J53" s="138" t="s">
        <v>6728</v>
      </c>
      <c r="K53" s="113" t="s">
        <v>247</v>
      </c>
      <c r="L53" s="109" t="s">
        <v>6729</v>
      </c>
    </row>
    <row r="54" customFormat="false" ht="13.5" hidden="false" customHeight="false" outlineLevel="0" collapsed="false">
      <c r="B54" s="109" t="s">
        <v>256</v>
      </c>
      <c r="C54" s="109" t="s">
        <v>6562</v>
      </c>
      <c r="D54" s="109" t="s">
        <v>6730</v>
      </c>
      <c r="E54" s="109" t="s">
        <v>6676</v>
      </c>
      <c r="F54" s="109" t="s">
        <v>247</v>
      </c>
      <c r="G54" s="31" t="s">
        <v>6723</v>
      </c>
      <c r="H54" s="109" t="s">
        <v>6731</v>
      </c>
      <c r="I54" s="137" t="s">
        <v>6732</v>
      </c>
      <c r="J54" s="138" t="s">
        <v>6733</v>
      </c>
      <c r="K54" s="113" t="s">
        <v>247</v>
      </c>
      <c r="L54" s="109" t="s">
        <v>6734</v>
      </c>
    </row>
    <row r="55" customFormat="false" ht="13.5" hidden="false" customHeight="false" outlineLevel="0" collapsed="false">
      <c r="B55" s="109" t="s">
        <v>256</v>
      </c>
      <c r="C55" s="109" t="s">
        <v>6712</v>
      </c>
      <c r="D55" s="109" t="s">
        <v>6735</v>
      </c>
      <c r="E55" s="109" t="s">
        <v>6676</v>
      </c>
      <c r="F55" s="109" t="s">
        <v>247</v>
      </c>
      <c r="G55" s="31" t="s">
        <v>6723</v>
      </c>
      <c r="H55" s="109" t="s">
        <v>6736</v>
      </c>
      <c r="I55" s="137" t="s">
        <v>6737</v>
      </c>
      <c r="J55" s="138" t="s">
        <v>6738</v>
      </c>
      <c r="K55" s="113" t="s">
        <v>247</v>
      </c>
      <c r="L55" s="109" t="s">
        <v>6739</v>
      </c>
    </row>
    <row r="56" customFormat="false" ht="23.85" hidden="false" customHeight="false" outlineLevel="0" collapsed="false">
      <c r="B56" s="109" t="s">
        <v>256</v>
      </c>
      <c r="C56" s="109" t="s">
        <v>127</v>
      </c>
      <c r="D56" s="109" t="s">
        <v>6740</v>
      </c>
      <c r="E56" s="109" t="s">
        <v>6555</v>
      </c>
      <c r="F56" s="109" t="s">
        <v>6741</v>
      </c>
      <c r="G56" s="31" t="s">
        <v>66</v>
      </c>
      <c r="H56" s="109" t="s">
        <v>6742</v>
      </c>
      <c r="I56" s="137" t="s">
        <v>247</v>
      </c>
      <c r="J56" s="138" t="s">
        <v>6743</v>
      </c>
      <c r="K56" s="113" t="s">
        <v>6744</v>
      </c>
      <c r="L56" s="109" t="s">
        <v>6745</v>
      </c>
    </row>
    <row r="57" customFormat="false" ht="23.85" hidden="false" customHeight="false" outlineLevel="0" collapsed="false">
      <c r="B57" s="109" t="s">
        <v>256</v>
      </c>
      <c r="C57" s="109" t="s">
        <v>127</v>
      </c>
      <c r="D57" s="109" t="s">
        <v>6740</v>
      </c>
      <c r="E57" s="109" t="s">
        <v>6555</v>
      </c>
      <c r="F57" s="109" t="s">
        <v>6741</v>
      </c>
      <c r="G57" s="31" t="s">
        <v>67</v>
      </c>
      <c r="H57" s="109" t="s">
        <v>6742</v>
      </c>
      <c r="I57" s="137" t="s">
        <v>247</v>
      </c>
      <c r="J57" s="138" t="s">
        <v>6743</v>
      </c>
      <c r="K57" s="113" t="s">
        <v>6744</v>
      </c>
      <c r="L57" s="109" t="s">
        <v>6746</v>
      </c>
    </row>
    <row r="58" customFormat="false" ht="23.85" hidden="false" customHeight="false" outlineLevel="0" collapsed="false">
      <c r="B58" s="109" t="s">
        <v>256</v>
      </c>
      <c r="C58" s="109" t="s">
        <v>127</v>
      </c>
      <c r="D58" s="109" t="s">
        <v>6740</v>
      </c>
      <c r="E58" s="109" t="s">
        <v>6555</v>
      </c>
      <c r="F58" s="109" t="s">
        <v>6741</v>
      </c>
      <c r="G58" s="31" t="s">
        <v>68</v>
      </c>
      <c r="H58" s="109" t="s">
        <v>6742</v>
      </c>
      <c r="I58" s="137" t="s">
        <v>247</v>
      </c>
      <c r="J58" s="138" t="s">
        <v>6743</v>
      </c>
      <c r="K58" s="113" t="s">
        <v>6744</v>
      </c>
      <c r="L58" s="109" t="s">
        <v>6747</v>
      </c>
    </row>
    <row r="59" customFormat="false" ht="23.85" hidden="false" customHeight="false" outlineLevel="0" collapsed="false">
      <c r="B59" s="109" t="s">
        <v>256</v>
      </c>
      <c r="C59" s="109" t="s">
        <v>127</v>
      </c>
      <c r="D59" s="109" t="s">
        <v>6740</v>
      </c>
      <c r="E59" s="109" t="s">
        <v>6555</v>
      </c>
      <c r="F59" s="109" t="s">
        <v>6741</v>
      </c>
      <c r="G59" s="31" t="s">
        <v>69</v>
      </c>
      <c r="H59" s="109" t="s">
        <v>6742</v>
      </c>
      <c r="I59" s="137" t="s">
        <v>247</v>
      </c>
      <c r="J59" s="138" t="s">
        <v>6743</v>
      </c>
      <c r="K59" s="113" t="s">
        <v>6744</v>
      </c>
      <c r="L59" s="109" t="s">
        <v>6748</v>
      </c>
    </row>
    <row r="60" customFormat="false" ht="23.85" hidden="false" customHeight="false" outlineLevel="0" collapsed="false">
      <c r="B60" s="109" t="s">
        <v>256</v>
      </c>
      <c r="C60" s="109" t="s">
        <v>127</v>
      </c>
      <c r="D60" s="109" t="s">
        <v>6740</v>
      </c>
      <c r="E60" s="109" t="s">
        <v>6555</v>
      </c>
      <c r="F60" s="109" t="s">
        <v>6741</v>
      </c>
      <c r="G60" s="31" t="s">
        <v>70</v>
      </c>
      <c r="H60" s="109" t="s">
        <v>6742</v>
      </c>
      <c r="I60" s="137" t="s">
        <v>247</v>
      </c>
      <c r="J60" s="138" t="s">
        <v>6743</v>
      </c>
      <c r="K60" s="113" t="s">
        <v>6744</v>
      </c>
      <c r="L60" s="109" t="s">
        <v>6749</v>
      </c>
    </row>
    <row r="61" customFormat="false" ht="23.85" hidden="false" customHeight="false" outlineLevel="0" collapsed="false">
      <c r="B61" s="109" t="s">
        <v>256</v>
      </c>
      <c r="C61" s="109" t="s">
        <v>127</v>
      </c>
      <c r="D61" s="109" t="s">
        <v>6740</v>
      </c>
      <c r="E61" s="109" t="s">
        <v>6555</v>
      </c>
      <c r="F61" s="109" t="s">
        <v>6741</v>
      </c>
      <c r="G61" s="31" t="s">
        <v>71</v>
      </c>
      <c r="H61" s="109" t="s">
        <v>6742</v>
      </c>
      <c r="I61" s="137" t="s">
        <v>247</v>
      </c>
      <c r="J61" s="138" t="s">
        <v>6743</v>
      </c>
      <c r="K61" s="113" t="s">
        <v>6744</v>
      </c>
      <c r="L61" s="109" t="s">
        <v>6750</v>
      </c>
    </row>
    <row r="62" customFormat="false" ht="23.85" hidden="false" customHeight="false" outlineLevel="0" collapsed="false">
      <c r="B62" s="109" t="s">
        <v>256</v>
      </c>
      <c r="C62" s="109" t="s">
        <v>127</v>
      </c>
      <c r="D62" s="109" t="s">
        <v>6740</v>
      </c>
      <c r="E62" s="109" t="s">
        <v>6555</v>
      </c>
      <c r="F62" s="109" t="s">
        <v>6741</v>
      </c>
      <c r="G62" s="31" t="s">
        <v>72</v>
      </c>
      <c r="H62" s="109" t="s">
        <v>6742</v>
      </c>
      <c r="I62" s="137" t="s">
        <v>247</v>
      </c>
      <c r="J62" s="138" t="s">
        <v>6743</v>
      </c>
      <c r="K62" s="113" t="s">
        <v>6744</v>
      </c>
      <c r="L62" s="109" t="s">
        <v>6751</v>
      </c>
    </row>
    <row r="63" customFormat="false" ht="23.85" hidden="false" customHeight="false" outlineLevel="0" collapsed="false">
      <c r="B63" s="109" t="s">
        <v>256</v>
      </c>
      <c r="C63" s="109" t="s">
        <v>127</v>
      </c>
      <c r="D63" s="109" t="s">
        <v>6740</v>
      </c>
      <c r="E63" s="109" t="s">
        <v>6555</v>
      </c>
      <c r="F63" s="109" t="s">
        <v>6741</v>
      </c>
      <c r="G63" s="31" t="s">
        <v>73</v>
      </c>
      <c r="H63" s="109" t="s">
        <v>6742</v>
      </c>
      <c r="I63" s="137" t="s">
        <v>247</v>
      </c>
      <c r="J63" s="138" t="s">
        <v>6743</v>
      </c>
      <c r="K63" s="113" t="s">
        <v>6744</v>
      </c>
      <c r="L63" s="109" t="s">
        <v>6752</v>
      </c>
    </row>
    <row r="64" customFormat="false" ht="23.85" hidden="false" customHeight="false" outlineLevel="0" collapsed="false">
      <c r="B64" s="109" t="s">
        <v>256</v>
      </c>
      <c r="C64" s="109" t="s">
        <v>127</v>
      </c>
      <c r="D64" s="109" t="s">
        <v>6740</v>
      </c>
      <c r="E64" s="109" t="s">
        <v>6555</v>
      </c>
      <c r="F64" s="109" t="s">
        <v>6741</v>
      </c>
      <c r="G64" s="31" t="s">
        <v>74</v>
      </c>
      <c r="H64" s="109" t="s">
        <v>6742</v>
      </c>
      <c r="I64" s="137" t="s">
        <v>247</v>
      </c>
      <c r="J64" s="138" t="s">
        <v>6743</v>
      </c>
      <c r="K64" s="113" t="s">
        <v>6744</v>
      </c>
      <c r="L64" s="109" t="s">
        <v>6753</v>
      </c>
    </row>
    <row r="65" customFormat="false" ht="23.85" hidden="false" customHeight="false" outlineLevel="0" collapsed="false">
      <c r="B65" s="109" t="s">
        <v>256</v>
      </c>
      <c r="C65" s="109" t="s">
        <v>127</v>
      </c>
      <c r="D65" s="109" t="s">
        <v>6740</v>
      </c>
      <c r="E65" s="109" t="s">
        <v>6555</v>
      </c>
      <c r="F65" s="109" t="s">
        <v>6741</v>
      </c>
      <c r="G65" s="31" t="s">
        <v>75</v>
      </c>
      <c r="H65" s="109" t="s">
        <v>6742</v>
      </c>
      <c r="I65" s="137" t="s">
        <v>247</v>
      </c>
      <c r="J65" s="138" t="s">
        <v>6743</v>
      </c>
      <c r="K65" s="113" t="s">
        <v>6744</v>
      </c>
      <c r="L65" s="109" t="s">
        <v>6754</v>
      </c>
    </row>
    <row r="66" customFormat="false" ht="23.85" hidden="false" customHeight="false" outlineLevel="0" collapsed="false">
      <c r="B66" s="109" t="s">
        <v>256</v>
      </c>
      <c r="C66" s="109" t="s">
        <v>127</v>
      </c>
      <c r="D66" s="109" t="s">
        <v>6740</v>
      </c>
      <c r="E66" s="109" t="s">
        <v>6555</v>
      </c>
      <c r="F66" s="109" t="s">
        <v>6741</v>
      </c>
      <c r="G66" s="31" t="s">
        <v>76</v>
      </c>
      <c r="H66" s="109" t="s">
        <v>6742</v>
      </c>
      <c r="I66" s="137" t="s">
        <v>247</v>
      </c>
      <c r="J66" s="138" t="s">
        <v>6743</v>
      </c>
      <c r="K66" s="113" t="s">
        <v>6744</v>
      </c>
      <c r="L66" s="109" t="s">
        <v>6755</v>
      </c>
    </row>
    <row r="67" customFormat="false" ht="23.85" hidden="false" customHeight="false" outlineLevel="0" collapsed="false">
      <c r="B67" s="109" t="s">
        <v>256</v>
      </c>
      <c r="C67" s="109" t="s">
        <v>127</v>
      </c>
      <c r="D67" s="109" t="s">
        <v>6740</v>
      </c>
      <c r="E67" s="109" t="s">
        <v>6555</v>
      </c>
      <c r="F67" s="109" t="s">
        <v>6741</v>
      </c>
      <c r="G67" s="31" t="s">
        <v>77</v>
      </c>
      <c r="H67" s="109" t="s">
        <v>6742</v>
      </c>
      <c r="I67" s="137" t="s">
        <v>247</v>
      </c>
      <c r="J67" s="138" t="s">
        <v>6756</v>
      </c>
      <c r="K67" s="113" t="s">
        <v>6744</v>
      </c>
      <c r="L67" s="109" t="s">
        <v>6757</v>
      </c>
    </row>
    <row r="68" customFormat="false" ht="23.85" hidden="false" customHeight="false" outlineLevel="0" collapsed="false">
      <c r="B68" s="109" t="s">
        <v>256</v>
      </c>
      <c r="C68" s="109" t="s">
        <v>127</v>
      </c>
      <c r="D68" s="109" t="s">
        <v>6740</v>
      </c>
      <c r="E68" s="109" t="s">
        <v>6555</v>
      </c>
      <c r="F68" s="109" t="s">
        <v>6741</v>
      </c>
      <c r="G68" s="31" t="s">
        <v>78</v>
      </c>
      <c r="H68" s="109" t="s">
        <v>6742</v>
      </c>
      <c r="I68" s="137" t="s">
        <v>247</v>
      </c>
      <c r="J68" s="138" t="s">
        <v>6743</v>
      </c>
      <c r="K68" s="113" t="s">
        <v>6744</v>
      </c>
      <c r="L68" s="109" t="s">
        <v>6758</v>
      </c>
    </row>
    <row r="69" customFormat="false" ht="23.85" hidden="false" customHeight="false" outlineLevel="0" collapsed="false">
      <c r="B69" s="109" t="s">
        <v>256</v>
      </c>
      <c r="C69" s="109" t="s">
        <v>127</v>
      </c>
      <c r="D69" s="109" t="s">
        <v>6740</v>
      </c>
      <c r="E69" s="109" t="s">
        <v>6555</v>
      </c>
      <c r="F69" s="109" t="s">
        <v>6741</v>
      </c>
      <c r="G69" s="31" t="s">
        <v>79</v>
      </c>
      <c r="H69" s="109" t="s">
        <v>6742</v>
      </c>
      <c r="I69" s="137" t="s">
        <v>247</v>
      </c>
      <c r="J69" s="138" t="s">
        <v>6743</v>
      </c>
      <c r="K69" s="113" t="s">
        <v>6744</v>
      </c>
      <c r="L69" s="109" t="s">
        <v>6759</v>
      </c>
    </row>
    <row r="70" customFormat="false" ht="23.85" hidden="false" customHeight="false" outlineLevel="0" collapsed="false">
      <c r="B70" s="109" t="s">
        <v>256</v>
      </c>
      <c r="C70" s="109" t="s">
        <v>127</v>
      </c>
      <c r="D70" s="109" t="s">
        <v>6740</v>
      </c>
      <c r="E70" s="109" t="s">
        <v>6555</v>
      </c>
      <c r="F70" s="109" t="s">
        <v>6741</v>
      </c>
      <c r="G70" s="31" t="s">
        <v>80</v>
      </c>
      <c r="H70" s="109" t="s">
        <v>6742</v>
      </c>
      <c r="I70" s="137" t="s">
        <v>247</v>
      </c>
      <c r="J70" s="138" t="s">
        <v>6743</v>
      </c>
      <c r="K70" s="113" t="s">
        <v>6744</v>
      </c>
      <c r="L70" s="109" t="s">
        <v>6760</v>
      </c>
    </row>
    <row r="71" customFormat="false" ht="23.85" hidden="false" customHeight="false" outlineLevel="0" collapsed="false">
      <c r="B71" s="109" t="s">
        <v>256</v>
      </c>
      <c r="C71" s="109" t="s">
        <v>127</v>
      </c>
      <c r="D71" s="109" t="s">
        <v>6740</v>
      </c>
      <c r="E71" s="109" t="s">
        <v>6555</v>
      </c>
      <c r="F71" s="109" t="s">
        <v>6741</v>
      </c>
      <c r="G71" s="31" t="s">
        <v>81</v>
      </c>
      <c r="H71" s="109" t="s">
        <v>6742</v>
      </c>
      <c r="I71" s="137" t="s">
        <v>247</v>
      </c>
      <c r="J71" s="138" t="s">
        <v>6743</v>
      </c>
      <c r="K71" s="113" t="s">
        <v>6744</v>
      </c>
      <c r="L71" s="109" t="s">
        <v>6761</v>
      </c>
    </row>
    <row r="72" customFormat="false" ht="23.85" hidden="false" customHeight="false" outlineLevel="0" collapsed="false">
      <c r="B72" s="109" t="s">
        <v>256</v>
      </c>
      <c r="C72" s="109" t="s">
        <v>127</v>
      </c>
      <c r="D72" s="109" t="s">
        <v>6740</v>
      </c>
      <c r="E72" s="109" t="s">
        <v>6555</v>
      </c>
      <c r="F72" s="109" t="s">
        <v>6741</v>
      </c>
      <c r="G72" s="31" t="s">
        <v>82</v>
      </c>
      <c r="H72" s="109" t="s">
        <v>6742</v>
      </c>
      <c r="I72" s="137" t="s">
        <v>247</v>
      </c>
      <c r="J72" s="138" t="s">
        <v>6743</v>
      </c>
      <c r="K72" s="113" t="s">
        <v>6744</v>
      </c>
      <c r="L72" s="109" t="s">
        <v>6762</v>
      </c>
    </row>
    <row r="73" customFormat="false" ht="23.85" hidden="false" customHeight="false" outlineLevel="0" collapsed="false">
      <c r="B73" s="109" t="s">
        <v>256</v>
      </c>
      <c r="C73" s="109" t="s">
        <v>127</v>
      </c>
      <c r="D73" s="109" t="s">
        <v>6740</v>
      </c>
      <c r="E73" s="109" t="s">
        <v>6555</v>
      </c>
      <c r="F73" s="109" t="s">
        <v>6741</v>
      </c>
      <c r="G73" s="31" t="s">
        <v>83</v>
      </c>
      <c r="H73" s="109" t="s">
        <v>6742</v>
      </c>
      <c r="I73" s="137" t="s">
        <v>247</v>
      </c>
      <c r="J73" s="138" t="s">
        <v>6763</v>
      </c>
      <c r="K73" s="113" t="s">
        <v>6744</v>
      </c>
      <c r="L73" s="109" t="s">
        <v>6764</v>
      </c>
    </row>
    <row r="74" customFormat="false" ht="23.85" hidden="false" customHeight="false" outlineLevel="0" collapsed="false">
      <c r="B74" s="109" t="s">
        <v>256</v>
      </c>
      <c r="C74" s="109" t="s">
        <v>127</v>
      </c>
      <c r="D74" s="109" t="s">
        <v>6740</v>
      </c>
      <c r="E74" s="109" t="s">
        <v>6555</v>
      </c>
      <c r="F74" s="109" t="s">
        <v>6741</v>
      </c>
      <c r="G74" s="31" t="s">
        <v>84</v>
      </c>
      <c r="H74" s="109" t="s">
        <v>6742</v>
      </c>
      <c r="I74" s="137" t="s">
        <v>247</v>
      </c>
      <c r="J74" s="138" t="s">
        <v>6743</v>
      </c>
      <c r="K74" s="113" t="s">
        <v>6744</v>
      </c>
      <c r="L74" s="109" t="s">
        <v>6765</v>
      </c>
    </row>
    <row r="75" customFormat="false" ht="23.85" hidden="false" customHeight="false" outlineLevel="0" collapsed="false">
      <c r="B75" s="109" t="s">
        <v>256</v>
      </c>
      <c r="C75" s="109" t="s">
        <v>127</v>
      </c>
      <c r="D75" s="109" t="s">
        <v>6740</v>
      </c>
      <c r="E75" s="109" t="s">
        <v>6555</v>
      </c>
      <c r="F75" s="109" t="s">
        <v>6741</v>
      </c>
      <c r="G75" s="31" t="s">
        <v>85</v>
      </c>
      <c r="H75" s="109" t="s">
        <v>6742</v>
      </c>
      <c r="I75" s="137" t="s">
        <v>247</v>
      </c>
      <c r="J75" s="138" t="s">
        <v>6743</v>
      </c>
      <c r="K75" s="113" t="s">
        <v>6744</v>
      </c>
      <c r="L75" s="109" t="s">
        <v>6766</v>
      </c>
    </row>
    <row r="76" customFormat="false" ht="23.85" hidden="false" customHeight="false" outlineLevel="0" collapsed="false">
      <c r="B76" s="109" t="s">
        <v>256</v>
      </c>
      <c r="C76" s="109" t="s">
        <v>127</v>
      </c>
      <c r="D76" s="109" t="s">
        <v>6740</v>
      </c>
      <c r="E76" s="109" t="s">
        <v>6555</v>
      </c>
      <c r="F76" s="109" t="s">
        <v>6741</v>
      </c>
      <c r="G76" s="31" t="s">
        <v>86</v>
      </c>
      <c r="H76" s="109" t="s">
        <v>6742</v>
      </c>
      <c r="I76" s="137" t="s">
        <v>247</v>
      </c>
      <c r="J76" s="138" t="s">
        <v>6743</v>
      </c>
      <c r="K76" s="113" t="s">
        <v>6744</v>
      </c>
      <c r="L76" s="109" t="s">
        <v>6767</v>
      </c>
    </row>
    <row r="77" customFormat="false" ht="23.85" hidden="false" customHeight="false" outlineLevel="0" collapsed="false">
      <c r="B77" s="109" t="s">
        <v>256</v>
      </c>
      <c r="C77" s="109" t="s">
        <v>127</v>
      </c>
      <c r="D77" s="109" t="s">
        <v>6740</v>
      </c>
      <c r="E77" s="109" t="s">
        <v>6555</v>
      </c>
      <c r="F77" s="109" t="s">
        <v>6741</v>
      </c>
      <c r="G77" s="31" t="s">
        <v>87</v>
      </c>
      <c r="H77" s="109" t="s">
        <v>6742</v>
      </c>
      <c r="I77" s="137" t="s">
        <v>247</v>
      </c>
      <c r="J77" s="138" t="s">
        <v>6768</v>
      </c>
      <c r="K77" s="113" t="s">
        <v>6744</v>
      </c>
      <c r="L77" s="109" t="s">
        <v>6769</v>
      </c>
    </row>
    <row r="78" customFormat="false" ht="23.85" hidden="false" customHeight="false" outlineLevel="0" collapsed="false">
      <c r="B78" s="109" t="s">
        <v>256</v>
      </c>
      <c r="C78" s="109" t="s">
        <v>127</v>
      </c>
      <c r="D78" s="109" t="s">
        <v>6740</v>
      </c>
      <c r="E78" s="109" t="s">
        <v>6555</v>
      </c>
      <c r="F78" s="109" t="s">
        <v>6741</v>
      </c>
      <c r="G78" s="31" t="s">
        <v>88</v>
      </c>
      <c r="H78" s="109" t="s">
        <v>6742</v>
      </c>
      <c r="I78" s="137" t="s">
        <v>247</v>
      </c>
      <c r="J78" s="138" t="s">
        <v>6743</v>
      </c>
      <c r="K78" s="113" t="s">
        <v>6744</v>
      </c>
      <c r="L78" s="109" t="s">
        <v>6770</v>
      </c>
    </row>
    <row r="79" customFormat="false" ht="23.85" hidden="false" customHeight="false" outlineLevel="0" collapsed="false">
      <c r="B79" s="109" t="s">
        <v>256</v>
      </c>
      <c r="C79" s="109" t="s">
        <v>127</v>
      </c>
      <c r="D79" s="109" t="s">
        <v>6740</v>
      </c>
      <c r="E79" s="109" t="s">
        <v>6555</v>
      </c>
      <c r="F79" s="109" t="s">
        <v>6741</v>
      </c>
      <c r="G79" s="31" t="s">
        <v>89</v>
      </c>
      <c r="H79" s="109" t="s">
        <v>6742</v>
      </c>
      <c r="I79" s="137" t="s">
        <v>247</v>
      </c>
      <c r="J79" s="138" t="s">
        <v>6743</v>
      </c>
      <c r="K79" s="113" t="s">
        <v>6744</v>
      </c>
      <c r="L79" s="109" t="s">
        <v>6771</v>
      </c>
    </row>
    <row r="80" customFormat="false" ht="23.85" hidden="false" customHeight="false" outlineLevel="0" collapsed="false">
      <c r="B80" s="109" t="s">
        <v>256</v>
      </c>
      <c r="C80" s="109" t="s">
        <v>127</v>
      </c>
      <c r="D80" s="109" t="s">
        <v>6740</v>
      </c>
      <c r="E80" s="109" t="s">
        <v>6555</v>
      </c>
      <c r="F80" s="109" t="s">
        <v>6741</v>
      </c>
      <c r="G80" s="31" t="s">
        <v>90</v>
      </c>
      <c r="H80" s="109" t="s">
        <v>6742</v>
      </c>
      <c r="I80" s="137" t="s">
        <v>247</v>
      </c>
      <c r="J80" s="138" t="s">
        <v>6772</v>
      </c>
      <c r="K80" s="113" t="s">
        <v>6744</v>
      </c>
      <c r="L80" s="109" t="s">
        <v>6773</v>
      </c>
    </row>
    <row r="81" customFormat="false" ht="23.85" hidden="false" customHeight="false" outlineLevel="0" collapsed="false">
      <c r="B81" s="109" t="s">
        <v>256</v>
      </c>
      <c r="C81" s="109" t="s">
        <v>127</v>
      </c>
      <c r="D81" s="109" t="s">
        <v>6740</v>
      </c>
      <c r="E81" s="109" t="s">
        <v>6555</v>
      </c>
      <c r="F81" s="109" t="s">
        <v>6741</v>
      </c>
      <c r="G81" s="31" t="s">
        <v>91</v>
      </c>
      <c r="H81" s="109" t="s">
        <v>6742</v>
      </c>
      <c r="I81" s="137" t="s">
        <v>247</v>
      </c>
      <c r="J81" s="138" t="s">
        <v>6743</v>
      </c>
      <c r="K81" s="113" t="s">
        <v>6744</v>
      </c>
      <c r="L81" s="109" t="s">
        <v>6774</v>
      </c>
    </row>
    <row r="82" customFormat="false" ht="23.85" hidden="false" customHeight="false" outlineLevel="0" collapsed="false">
      <c r="B82" s="109" t="s">
        <v>256</v>
      </c>
      <c r="C82" s="109" t="s">
        <v>127</v>
      </c>
      <c r="D82" s="109" t="s">
        <v>6740</v>
      </c>
      <c r="E82" s="109" t="s">
        <v>6555</v>
      </c>
      <c r="F82" s="109" t="s">
        <v>6741</v>
      </c>
      <c r="G82" s="31" t="s">
        <v>92</v>
      </c>
      <c r="H82" s="109" t="s">
        <v>6742</v>
      </c>
      <c r="I82" s="137" t="s">
        <v>247</v>
      </c>
      <c r="J82" s="138" t="s">
        <v>6775</v>
      </c>
      <c r="K82" s="113" t="s">
        <v>6744</v>
      </c>
      <c r="L82" s="109" t="s">
        <v>6776</v>
      </c>
    </row>
    <row r="83" customFormat="false" ht="23.85" hidden="false" customHeight="false" outlineLevel="0" collapsed="false">
      <c r="B83" s="109" t="s">
        <v>256</v>
      </c>
      <c r="C83" s="109" t="s">
        <v>127</v>
      </c>
      <c r="D83" s="109" t="s">
        <v>6740</v>
      </c>
      <c r="E83" s="109" t="s">
        <v>6555</v>
      </c>
      <c r="F83" s="109" t="s">
        <v>6741</v>
      </c>
      <c r="G83" s="31" t="s">
        <v>93</v>
      </c>
      <c r="H83" s="109" t="s">
        <v>6742</v>
      </c>
      <c r="I83" s="137" t="s">
        <v>247</v>
      </c>
      <c r="J83" s="138" t="s">
        <v>6777</v>
      </c>
      <c r="K83" s="113" t="s">
        <v>6744</v>
      </c>
      <c r="L83" s="109" t="s">
        <v>6778</v>
      </c>
    </row>
    <row r="84" customFormat="false" ht="23.85" hidden="false" customHeight="false" outlineLevel="0" collapsed="false">
      <c r="B84" s="109" t="s">
        <v>256</v>
      </c>
      <c r="C84" s="109" t="s">
        <v>127</v>
      </c>
      <c r="D84" s="109" t="s">
        <v>6740</v>
      </c>
      <c r="E84" s="109" t="s">
        <v>6555</v>
      </c>
      <c r="F84" s="109" t="s">
        <v>6741</v>
      </c>
      <c r="G84" s="31" t="s">
        <v>94</v>
      </c>
      <c r="H84" s="109" t="s">
        <v>6742</v>
      </c>
      <c r="I84" s="137" t="s">
        <v>247</v>
      </c>
      <c r="J84" s="138" t="s">
        <v>6743</v>
      </c>
      <c r="K84" s="113" t="s">
        <v>6744</v>
      </c>
      <c r="L84" s="109" t="s">
        <v>6779</v>
      </c>
    </row>
    <row r="85" customFormat="false" ht="23.85" hidden="false" customHeight="false" outlineLevel="0" collapsed="false">
      <c r="B85" s="109" t="s">
        <v>256</v>
      </c>
      <c r="C85" s="109" t="s">
        <v>127</v>
      </c>
      <c r="D85" s="109" t="s">
        <v>6740</v>
      </c>
      <c r="E85" s="109" t="s">
        <v>6555</v>
      </c>
      <c r="F85" s="109" t="s">
        <v>6741</v>
      </c>
      <c r="G85" s="31" t="s">
        <v>95</v>
      </c>
      <c r="H85" s="109" t="s">
        <v>6742</v>
      </c>
      <c r="I85" s="137" t="s">
        <v>247</v>
      </c>
      <c r="J85" s="138" t="s">
        <v>6743</v>
      </c>
      <c r="K85" s="113" t="s">
        <v>6744</v>
      </c>
      <c r="L85" s="109" t="s">
        <v>6780</v>
      </c>
    </row>
    <row r="86" customFormat="false" ht="23.85" hidden="false" customHeight="false" outlineLevel="0" collapsed="false">
      <c r="B86" s="109" t="s">
        <v>256</v>
      </c>
      <c r="C86" s="109" t="s">
        <v>127</v>
      </c>
      <c r="D86" s="109" t="s">
        <v>6740</v>
      </c>
      <c r="E86" s="109" t="s">
        <v>6555</v>
      </c>
      <c r="F86" s="109" t="s">
        <v>6741</v>
      </c>
      <c r="G86" s="31" t="s">
        <v>96</v>
      </c>
      <c r="H86" s="109" t="s">
        <v>6742</v>
      </c>
      <c r="I86" s="137" t="s">
        <v>247</v>
      </c>
      <c r="J86" s="138" t="s">
        <v>6781</v>
      </c>
      <c r="K86" s="113" t="s">
        <v>6744</v>
      </c>
      <c r="L86" s="109" t="s">
        <v>6782</v>
      </c>
    </row>
    <row r="87" customFormat="false" ht="23.85" hidden="false" customHeight="false" outlineLevel="0" collapsed="false">
      <c r="B87" s="109" t="s">
        <v>256</v>
      </c>
      <c r="C87" s="109" t="s">
        <v>127</v>
      </c>
      <c r="D87" s="109" t="s">
        <v>6740</v>
      </c>
      <c r="E87" s="109" t="s">
        <v>6555</v>
      </c>
      <c r="F87" s="109" t="s">
        <v>6741</v>
      </c>
      <c r="G87" s="31" t="s">
        <v>97</v>
      </c>
      <c r="H87" s="109" t="s">
        <v>6742</v>
      </c>
      <c r="I87" s="137" t="s">
        <v>247</v>
      </c>
      <c r="J87" s="138" t="s">
        <v>6772</v>
      </c>
      <c r="K87" s="113" t="s">
        <v>6744</v>
      </c>
      <c r="L87" s="109" t="s">
        <v>6783</v>
      </c>
    </row>
    <row r="88" customFormat="false" ht="23.85" hidden="false" customHeight="false" outlineLevel="0" collapsed="false">
      <c r="B88" s="109" t="s">
        <v>256</v>
      </c>
      <c r="C88" s="109" t="s">
        <v>127</v>
      </c>
      <c r="D88" s="109" t="s">
        <v>6740</v>
      </c>
      <c r="E88" s="109" t="s">
        <v>6555</v>
      </c>
      <c r="F88" s="109" t="s">
        <v>6741</v>
      </c>
      <c r="G88" s="31" t="s">
        <v>98</v>
      </c>
      <c r="H88" s="109" t="s">
        <v>6742</v>
      </c>
      <c r="I88" s="137" t="s">
        <v>247</v>
      </c>
      <c r="J88" s="138" t="s">
        <v>6743</v>
      </c>
      <c r="K88" s="113" t="s">
        <v>6744</v>
      </c>
      <c r="L88" s="109" t="s">
        <v>6784</v>
      </c>
    </row>
    <row r="89" customFormat="false" ht="23.85" hidden="false" customHeight="false" outlineLevel="0" collapsed="false">
      <c r="B89" s="109" t="s">
        <v>256</v>
      </c>
      <c r="C89" s="109" t="s">
        <v>127</v>
      </c>
      <c r="D89" s="109" t="s">
        <v>6740</v>
      </c>
      <c r="E89" s="109" t="s">
        <v>6555</v>
      </c>
      <c r="F89" s="109" t="s">
        <v>6741</v>
      </c>
      <c r="G89" s="31" t="s">
        <v>99</v>
      </c>
      <c r="H89" s="109" t="s">
        <v>6742</v>
      </c>
      <c r="I89" s="137" t="s">
        <v>247</v>
      </c>
      <c r="J89" s="138" t="s">
        <v>6785</v>
      </c>
      <c r="K89" s="113" t="s">
        <v>6744</v>
      </c>
      <c r="L89" s="109" t="s">
        <v>6786</v>
      </c>
    </row>
    <row r="90" customFormat="false" ht="23.85" hidden="false" customHeight="false" outlineLevel="0" collapsed="false">
      <c r="B90" s="109" t="s">
        <v>256</v>
      </c>
      <c r="C90" s="109" t="s">
        <v>127</v>
      </c>
      <c r="D90" s="109" t="s">
        <v>6740</v>
      </c>
      <c r="E90" s="109" t="s">
        <v>6555</v>
      </c>
      <c r="F90" s="109" t="s">
        <v>6741</v>
      </c>
      <c r="G90" s="31" t="s">
        <v>100</v>
      </c>
      <c r="H90" s="109" t="s">
        <v>6742</v>
      </c>
      <c r="I90" s="137" t="s">
        <v>247</v>
      </c>
      <c r="J90" s="138" t="s">
        <v>6787</v>
      </c>
      <c r="K90" s="113" t="s">
        <v>6744</v>
      </c>
      <c r="L90" s="109" t="s">
        <v>6788</v>
      </c>
    </row>
    <row r="91" customFormat="false" ht="23.85" hidden="false" customHeight="false" outlineLevel="0" collapsed="false">
      <c r="B91" s="109" t="s">
        <v>256</v>
      </c>
      <c r="C91" s="109" t="s">
        <v>127</v>
      </c>
      <c r="D91" s="109" t="s">
        <v>6740</v>
      </c>
      <c r="E91" s="109" t="s">
        <v>6555</v>
      </c>
      <c r="F91" s="109" t="s">
        <v>6741</v>
      </c>
      <c r="G91" s="31" t="s">
        <v>101</v>
      </c>
      <c r="H91" s="109" t="s">
        <v>6742</v>
      </c>
      <c r="I91" s="137" t="s">
        <v>247</v>
      </c>
      <c r="J91" s="138" t="s">
        <v>6789</v>
      </c>
      <c r="K91" s="113" t="s">
        <v>6744</v>
      </c>
      <c r="L91" s="109" t="s">
        <v>6790</v>
      </c>
    </row>
    <row r="92" customFormat="false" ht="23.85" hidden="false" customHeight="false" outlineLevel="0" collapsed="false">
      <c r="B92" s="109" t="s">
        <v>256</v>
      </c>
      <c r="C92" s="109" t="s">
        <v>127</v>
      </c>
      <c r="D92" s="109" t="s">
        <v>6740</v>
      </c>
      <c r="E92" s="109" t="s">
        <v>6555</v>
      </c>
      <c r="F92" s="109" t="s">
        <v>6741</v>
      </c>
      <c r="G92" s="31" t="s">
        <v>102</v>
      </c>
      <c r="H92" s="109" t="s">
        <v>6742</v>
      </c>
      <c r="I92" s="137" t="s">
        <v>247</v>
      </c>
      <c r="J92" s="138" t="s">
        <v>6743</v>
      </c>
      <c r="K92" s="113" t="s">
        <v>6744</v>
      </c>
      <c r="L92" s="109" t="s">
        <v>6791</v>
      </c>
    </row>
    <row r="93" customFormat="false" ht="23.85" hidden="false" customHeight="false" outlineLevel="0" collapsed="false">
      <c r="B93" s="109" t="s">
        <v>256</v>
      </c>
      <c r="C93" s="109" t="s">
        <v>127</v>
      </c>
      <c r="D93" s="109" t="s">
        <v>6740</v>
      </c>
      <c r="E93" s="109" t="s">
        <v>6555</v>
      </c>
      <c r="F93" s="109" t="s">
        <v>6741</v>
      </c>
      <c r="G93" s="31" t="s">
        <v>103</v>
      </c>
      <c r="H93" s="109" t="s">
        <v>6742</v>
      </c>
      <c r="I93" s="137" t="s">
        <v>247</v>
      </c>
      <c r="J93" s="138" t="s">
        <v>6743</v>
      </c>
      <c r="K93" s="113" t="s">
        <v>6744</v>
      </c>
      <c r="L93" s="109" t="s">
        <v>6792</v>
      </c>
    </row>
    <row r="94" customFormat="false" ht="23.85" hidden="false" customHeight="false" outlineLevel="0" collapsed="false">
      <c r="B94" s="109" t="s">
        <v>256</v>
      </c>
      <c r="C94" s="109" t="s">
        <v>127</v>
      </c>
      <c r="D94" s="109" t="s">
        <v>6740</v>
      </c>
      <c r="E94" s="109" t="s">
        <v>6555</v>
      </c>
      <c r="F94" s="109" t="s">
        <v>6741</v>
      </c>
      <c r="G94" s="31" t="s">
        <v>104</v>
      </c>
      <c r="H94" s="109" t="s">
        <v>6742</v>
      </c>
      <c r="I94" s="137" t="s">
        <v>247</v>
      </c>
      <c r="J94" s="138" t="s">
        <v>6743</v>
      </c>
      <c r="K94" s="113" t="s">
        <v>6744</v>
      </c>
      <c r="L94" s="109" t="s">
        <v>6793</v>
      </c>
    </row>
    <row r="95" customFormat="false" ht="23.85" hidden="false" customHeight="false" outlineLevel="0" collapsed="false">
      <c r="B95" s="109" t="s">
        <v>256</v>
      </c>
      <c r="C95" s="109" t="s">
        <v>127</v>
      </c>
      <c r="D95" s="109" t="s">
        <v>6740</v>
      </c>
      <c r="E95" s="109" t="s">
        <v>6555</v>
      </c>
      <c r="F95" s="109" t="s">
        <v>6741</v>
      </c>
      <c r="G95" s="31" t="s">
        <v>105</v>
      </c>
      <c r="H95" s="109" t="s">
        <v>6742</v>
      </c>
      <c r="I95" s="137" t="s">
        <v>247</v>
      </c>
      <c r="J95" s="138" t="s">
        <v>6743</v>
      </c>
      <c r="K95" s="113" t="s">
        <v>6744</v>
      </c>
      <c r="L95" s="109" t="s">
        <v>6794</v>
      </c>
    </row>
    <row r="96" customFormat="false" ht="23.85" hidden="false" customHeight="false" outlineLevel="0" collapsed="false">
      <c r="B96" s="109" t="s">
        <v>256</v>
      </c>
      <c r="C96" s="109" t="s">
        <v>127</v>
      </c>
      <c r="D96" s="109" t="s">
        <v>6740</v>
      </c>
      <c r="E96" s="109" t="s">
        <v>6555</v>
      </c>
      <c r="F96" s="109" t="s">
        <v>6741</v>
      </c>
      <c r="G96" s="31" t="s">
        <v>106</v>
      </c>
      <c r="H96" s="109" t="s">
        <v>6742</v>
      </c>
      <c r="I96" s="137" t="s">
        <v>247</v>
      </c>
      <c r="J96" s="138" t="s">
        <v>6743</v>
      </c>
      <c r="K96" s="113" t="s">
        <v>6744</v>
      </c>
      <c r="L96" s="109" t="s">
        <v>6795</v>
      </c>
    </row>
    <row r="97" customFormat="false" ht="23.85" hidden="false" customHeight="false" outlineLevel="0" collapsed="false">
      <c r="B97" s="109" t="s">
        <v>256</v>
      </c>
      <c r="C97" s="109" t="s">
        <v>127</v>
      </c>
      <c r="D97" s="109" t="s">
        <v>6740</v>
      </c>
      <c r="E97" s="109" t="s">
        <v>6555</v>
      </c>
      <c r="F97" s="109" t="s">
        <v>6741</v>
      </c>
      <c r="G97" s="31" t="s">
        <v>107</v>
      </c>
      <c r="H97" s="109" t="s">
        <v>6742</v>
      </c>
      <c r="I97" s="137" t="s">
        <v>247</v>
      </c>
      <c r="J97" s="138" t="s">
        <v>6743</v>
      </c>
      <c r="K97" s="113" t="s">
        <v>6744</v>
      </c>
      <c r="L97" s="109" t="s">
        <v>6796</v>
      </c>
    </row>
    <row r="98" customFormat="false" ht="23.85" hidden="false" customHeight="false" outlineLevel="0" collapsed="false">
      <c r="B98" s="109" t="s">
        <v>256</v>
      </c>
      <c r="C98" s="109" t="s">
        <v>127</v>
      </c>
      <c r="D98" s="109" t="s">
        <v>6740</v>
      </c>
      <c r="E98" s="109" t="s">
        <v>6555</v>
      </c>
      <c r="F98" s="109" t="s">
        <v>6741</v>
      </c>
      <c r="G98" s="31" t="s">
        <v>108</v>
      </c>
      <c r="H98" s="109" t="s">
        <v>6742</v>
      </c>
      <c r="I98" s="137" t="s">
        <v>247</v>
      </c>
      <c r="J98" s="138" t="s">
        <v>6743</v>
      </c>
      <c r="K98" s="113" t="s">
        <v>6744</v>
      </c>
      <c r="L98" s="109" t="s">
        <v>6797</v>
      </c>
    </row>
    <row r="99" customFormat="false" ht="23.85" hidden="false" customHeight="false" outlineLevel="0" collapsed="false">
      <c r="B99" s="109" t="s">
        <v>256</v>
      </c>
      <c r="C99" s="109" t="s">
        <v>127</v>
      </c>
      <c r="D99" s="109" t="s">
        <v>6740</v>
      </c>
      <c r="E99" s="109" t="s">
        <v>6555</v>
      </c>
      <c r="F99" s="109" t="s">
        <v>6741</v>
      </c>
      <c r="G99" s="31" t="s">
        <v>109</v>
      </c>
      <c r="H99" s="109" t="s">
        <v>6742</v>
      </c>
      <c r="I99" s="137" t="s">
        <v>247</v>
      </c>
      <c r="J99" s="138" t="s">
        <v>6743</v>
      </c>
      <c r="K99" s="113" t="s">
        <v>6744</v>
      </c>
      <c r="L99" s="109" t="s">
        <v>6798</v>
      </c>
    </row>
    <row r="100" customFormat="false" ht="23.85" hidden="false" customHeight="false" outlineLevel="0" collapsed="false">
      <c r="B100" s="109" t="s">
        <v>256</v>
      </c>
      <c r="C100" s="109" t="s">
        <v>127</v>
      </c>
      <c r="D100" s="109" t="s">
        <v>6740</v>
      </c>
      <c r="E100" s="109" t="s">
        <v>6555</v>
      </c>
      <c r="F100" s="109" t="s">
        <v>6741</v>
      </c>
      <c r="G100" s="31" t="s">
        <v>110</v>
      </c>
      <c r="H100" s="109" t="s">
        <v>6742</v>
      </c>
      <c r="I100" s="137" t="s">
        <v>247</v>
      </c>
      <c r="J100" s="138" t="s">
        <v>6799</v>
      </c>
      <c r="K100" s="113" t="s">
        <v>6744</v>
      </c>
      <c r="L100" s="109" t="s">
        <v>6800</v>
      </c>
    </row>
    <row r="101" customFormat="false" ht="23.85" hidden="false" customHeight="false" outlineLevel="0" collapsed="false">
      <c r="B101" s="109" t="s">
        <v>256</v>
      </c>
      <c r="C101" s="109" t="s">
        <v>127</v>
      </c>
      <c r="D101" s="109" t="s">
        <v>6740</v>
      </c>
      <c r="E101" s="109" t="s">
        <v>15</v>
      </c>
      <c r="F101" s="109" t="s">
        <v>293</v>
      </c>
      <c r="G101" s="31" t="s">
        <v>81</v>
      </c>
      <c r="H101" s="109" t="s">
        <v>6</v>
      </c>
      <c r="I101" s="137" t="s">
        <v>6801</v>
      </c>
      <c r="J101" s="138" t="s">
        <v>702</v>
      </c>
      <c r="K101" s="113" t="s">
        <v>6802</v>
      </c>
      <c r="L101" s="109" t="s">
        <v>6803</v>
      </c>
    </row>
    <row r="102" customFormat="false" ht="23.85" hidden="false" customHeight="false" outlineLevel="0" collapsed="false">
      <c r="B102" s="109" t="s">
        <v>256</v>
      </c>
      <c r="C102" s="109" t="s">
        <v>127</v>
      </c>
      <c r="D102" s="109" t="s">
        <v>6740</v>
      </c>
      <c r="E102" s="109" t="s">
        <v>15</v>
      </c>
      <c r="F102" s="109" t="s">
        <v>293</v>
      </c>
      <c r="G102" s="31" t="s">
        <v>66</v>
      </c>
      <c r="H102" s="109" t="s">
        <v>6</v>
      </c>
      <c r="I102" s="137" t="s">
        <v>6801</v>
      </c>
      <c r="J102" s="138" t="s">
        <v>702</v>
      </c>
      <c r="K102" s="113" t="s">
        <v>6804</v>
      </c>
      <c r="L102" s="109" t="s">
        <v>6803</v>
      </c>
    </row>
    <row r="103" customFormat="false" ht="23.85" hidden="false" customHeight="false" outlineLevel="0" collapsed="false">
      <c r="B103" s="109" t="s">
        <v>256</v>
      </c>
      <c r="C103" s="109" t="s">
        <v>127</v>
      </c>
      <c r="D103" s="109" t="s">
        <v>6740</v>
      </c>
      <c r="E103" s="109" t="s">
        <v>15</v>
      </c>
      <c r="F103" s="109" t="s">
        <v>293</v>
      </c>
      <c r="G103" s="31" t="s">
        <v>67</v>
      </c>
      <c r="H103" s="109" t="s">
        <v>6</v>
      </c>
      <c r="I103" s="137" t="s">
        <v>6801</v>
      </c>
      <c r="J103" s="138" t="s">
        <v>702</v>
      </c>
      <c r="K103" s="113" t="s">
        <v>6805</v>
      </c>
      <c r="L103" s="109" t="s">
        <v>6803</v>
      </c>
    </row>
    <row r="104" customFormat="false" ht="23.85" hidden="false" customHeight="false" outlineLevel="0" collapsed="false">
      <c r="B104" s="109" t="s">
        <v>256</v>
      </c>
      <c r="C104" s="109" t="s">
        <v>127</v>
      </c>
      <c r="D104" s="109" t="s">
        <v>6740</v>
      </c>
      <c r="E104" s="109" t="s">
        <v>15</v>
      </c>
      <c r="F104" s="109" t="s">
        <v>293</v>
      </c>
      <c r="G104" s="31" t="s">
        <v>68</v>
      </c>
      <c r="H104" s="109" t="s">
        <v>6</v>
      </c>
      <c r="I104" s="137" t="s">
        <v>6801</v>
      </c>
      <c r="J104" s="138" t="s">
        <v>702</v>
      </c>
      <c r="K104" s="113" t="s">
        <v>6806</v>
      </c>
      <c r="L104" s="109" t="s">
        <v>6803</v>
      </c>
    </row>
    <row r="105" customFormat="false" ht="23.85" hidden="false" customHeight="false" outlineLevel="0" collapsed="false">
      <c r="B105" s="109" t="s">
        <v>256</v>
      </c>
      <c r="C105" s="109" t="s">
        <v>127</v>
      </c>
      <c r="D105" s="109" t="s">
        <v>6740</v>
      </c>
      <c r="E105" s="109" t="s">
        <v>15</v>
      </c>
      <c r="F105" s="109" t="s">
        <v>293</v>
      </c>
      <c r="G105" s="31" t="s">
        <v>69</v>
      </c>
      <c r="H105" s="109" t="s">
        <v>6</v>
      </c>
      <c r="I105" s="137" t="s">
        <v>6801</v>
      </c>
      <c r="J105" s="138" t="s">
        <v>702</v>
      </c>
      <c r="K105" s="113" t="s">
        <v>6807</v>
      </c>
      <c r="L105" s="109" t="s">
        <v>6803</v>
      </c>
    </row>
    <row r="106" customFormat="false" ht="23.85" hidden="false" customHeight="false" outlineLevel="0" collapsed="false">
      <c r="B106" s="109" t="s">
        <v>256</v>
      </c>
      <c r="C106" s="109" t="s">
        <v>127</v>
      </c>
      <c r="D106" s="109" t="s">
        <v>6740</v>
      </c>
      <c r="E106" s="109" t="s">
        <v>15</v>
      </c>
      <c r="F106" s="109" t="s">
        <v>293</v>
      </c>
      <c r="G106" s="31" t="s">
        <v>70</v>
      </c>
      <c r="H106" s="109" t="s">
        <v>6</v>
      </c>
      <c r="I106" s="137" t="s">
        <v>6801</v>
      </c>
      <c r="J106" s="138" t="s">
        <v>702</v>
      </c>
      <c r="K106" s="113" t="s">
        <v>6808</v>
      </c>
      <c r="L106" s="109" t="s">
        <v>6803</v>
      </c>
    </row>
    <row r="107" customFormat="false" ht="23.85" hidden="false" customHeight="false" outlineLevel="0" collapsed="false">
      <c r="B107" s="109" t="s">
        <v>256</v>
      </c>
      <c r="C107" s="109" t="s">
        <v>127</v>
      </c>
      <c r="D107" s="109" t="s">
        <v>6740</v>
      </c>
      <c r="E107" s="109" t="s">
        <v>15</v>
      </c>
      <c r="F107" s="109" t="s">
        <v>293</v>
      </c>
      <c r="G107" s="31" t="s">
        <v>71</v>
      </c>
      <c r="H107" s="109" t="s">
        <v>6</v>
      </c>
      <c r="I107" s="137" t="s">
        <v>6801</v>
      </c>
      <c r="J107" s="138" t="s">
        <v>702</v>
      </c>
      <c r="K107" s="113" t="s">
        <v>6809</v>
      </c>
      <c r="L107" s="109" t="s">
        <v>6803</v>
      </c>
    </row>
    <row r="108" customFormat="false" ht="23.85" hidden="false" customHeight="false" outlineLevel="0" collapsed="false">
      <c r="B108" s="109" t="s">
        <v>256</v>
      </c>
      <c r="C108" s="109" t="s">
        <v>127</v>
      </c>
      <c r="D108" s="109" t="s">
        <v>6740</v>
      </c>
      <c r="E108" s="109" t="s">
        <v>15</v>
      </c>
      <c r="F108" s="109" t="s">
        <v>293</v>
      </c>
      <c r="G108" s="31" t="s">
        <v>72</v>
      </c>
      <c r="H108" s="109" t="s">
        <v>6</v>
      </c>
      <c r="I108" s="137" t="s">
        <v>6801</v>
      </c>
      <c r="J108" s="138" t="s">
        <v>702</v>
      </c>
      <c r="K108" s="113" t="s">
        <v>6810</v>
      </c>
      <c r="L108" s="109" t="s">
        <v>6803</v>
      </c>
    </row>
    <row r="109" customFormat="false" ht="23.85" hidden="false" customHeight="false" outlineLevel="0" collapsed="false">
      <c r="B109" s="109" t="s">
        <v>256</v>
      </c>
      <c r="C109" s="109" t="s">
        <v>127</v>
      </c>
      <c r="D109" s="109" t="s">
        <v>6740</v>
      </c>
      <c r="E109" s="109" t="s">
        <v>15</v>
      </c>
      <c r="F109" s="109" t="s">
        <v>293</v>
      </c>
      <c r="G109" s="31" t="s">
        <v>73</v>
      </c>
      <c r="H109" s="109" t="s">
        <v>6</v>
      </c>
      <c r="I109" s="137" t="s">
        <v>6801</v>
      </c>
      <c r="J109" s="138" t="s">
        <v>702</v>
      </c>
      <c r="K109" s="113" t="s">
        <v>6811</v>
      </c>
      <c r="L109" s="109" t="s">
        <v>6803</v>
      </c>
    </row>
    <row r="110" customFormat="false" ht="23.85" hidden="false" customHeight="false" outlineLevel="0" collapsed="false">
      <c r="B110" s="109" t="s">
        <v>256</v>
      </c>
      <c r="C110" s="109" t="s">
        <v>127</v>
      </c>
      <c r="D110" s="109" t="s">
        <v>6740</v>
      </c>
      <c r="E110" s="109" t="s">
        <v>15</v>
      </c>
      <c r="F110" s="109" t="s">
        <v>293</v>
      </c>
      <c r="G110" s="31" t="s">
        <v>74</v>
      </c>
      <c r="H110" s="109" t="s">
        <v>6</v>
      </c>
      <c r="I110" s="137" t="s">
        <v>6801</v>
      </c>
      <c r="J110" s="138" t="s">
        <v>702</v>
      </c>
      <c r="K110" s="113" t="s">
        <v>6812</v>
      </c>
      <c r="L110" s="109" t="s">
        <v>6803</v>
      </c>
    </row>
    <row r="111" customFormat="false" ht="23.85" hidden="false" customHeight="false" outlineLevel="0" collapsed="false">
      <c r="B111" s="109" t="s">
        <v>256</v>
      </c>
      <c r="C111" s="109" t="s">
        <v>127</v>
      </c>
      <c r="D111" s="109" t="s">
        <v>6740</v>
      </c>
      <c r="E111" s="109" t="s">
        <v>15</v>
      </c>
      <c r="F111" s="109" t="s">
        <v>293</v>
      </c>
      <c r="G111" s="31" t="s">
        <v>75</v>
      </c>
      <c r="H111" s="109" t="s">
        <v>6</v>
      </c>
      <c r="I111" s="137" t="s">
        <v>6801</v>
      </c>
      <c r="J111" s="138" t="s">
        <v>702</v>
      </c>
      <c r="K111" s="113" t="s">
        <v>6813</v>
      </c>
      <c r="L111" s="109" t="s">
        <v>6803</v>
      </c>
    </row>
    <row r="112" customFormat="false" ht="23.85" hidden="false" customHeight="false" outlineLevel="0" collapsed="false">
      <c r="B112" s="109" t="s">
        <v>256</v>
      </c>
      <c r="C112" s="109" t="s">
        <v>127</v>
      </c>
      <c r="D112" s="109" t="s">
        <v>6740</v>
      </c>
      <c r="E112" s="109" t="s">
        <v>15</v>
      </c>
      <c r="F112" s="109" t="s">
        <v>293</v>
      </c>
      <c r="G112" s="31" t="s">
        <v>76</v>
      </c>
      <c r="H112" s="109" t="s">
        <v>6</v>
      </c>
      <c r="I112" s="137" t="s">
        <v>6801</v>
      </c>
      <c r="J112" s="138" t="s">
        <v>702</v>
      </c>
      <c r="K112" s="113" t="s">
        <v>6814</v>
      </c>
      <c r="L112" s="109" t="s">
        <v>6803</v>
      </c>
    </row>
    <row r="113" customFormat="false" ht="23.85" hidden="false" customHeight="false" outlineLevel="0" collapsed="false">
      <c r="B113" s="109" t="s">
        <v>256</v>
      </c>
      <c r="C113" s="109" t="s">
        <v>127</v>
      </c>
      <c r="D113" s="109" t="s">
        <v>6740</v>
      </c>
      <c r="E113" s="109" t="s">
        <v>15</v>
      </c>
      <c r="F113" s="109" t="s">
        <v>293</v>
      </c>
      <c r="G113" s="31" t="s">
        <v>77</v>
      </c>
      <c r="H113" s="109" t="s">
        <v>6</v>
      </c>
      <c r="I113" s="137" t="s">
        <v>6801</v>
      </c>
      <c r="J113" s="138" t="s">
        <v>702</v>
      </c>
      <c r="K113" s="113" t="s">
        <v>6815</v>
      </c>
      <c r="L113" s="109" t="s">
        <v>6803</v>
      </c>
    </row>
    <row r="114" customFormat="false" ht="23.85" hidden="false" customHeight="false" outlineLevel="0" collapsed="false">
      <c r="B114" s="109" t="s">
        <v>256</v>
      </c>
      <c r="C114" s="109" t="s">
        <v>127</v>
      </c>
      <c r="D114" s="109" t="s">
        <v>6740</v>
      </c>
      <c r="E114" s="109" t="s">
        <v>15</v>
      </c>
      <c r="F114" s="109" t="s">
        <v>293</v>
      </c>
      <c r="G114" s="31" t="s">
        <v>78</v>
      </c>
      <c r="H114" s="109" t="s">
        <v>6</v>
      </c>
      <c r="I114" s="137" t="s">
        <v>6801</v>
      </c>
      <c r="J114" s="138" t="s">
        <v>702</v>
      </c>
      <c r="K114" s="113" t="s">
        <v>6816</v>
      </c>
      <c r="L114" s="109" t="s">
        <v>6803</v>
      </c>
    </row>
    <row r="115" customFormat="false" ht="23.85" hidden="false" customHeight="false" outlineLevel="0" collapsed="false">
      <c r="B115" s="109" t="s">
        <v>256</v>
      </c>
      <c r="C115" s="109" t="s">
        <v>127</v>
      </c>
      <c r="D115" s="109" t="s">
        <v>6740</v>
      </c>
      <c r="E115" s="109" t="s">
        <v>15</v>
      </c>
      <c r="F115" s="109" t="s">
        <v>293</v>
      </c>
      <c r="G115" s="31" t="s">
        <v>79</v>
      </c>
      <c r="H115" s="109" t="s">
        <v>6</v>
      </c>
      <c r="I115" s="137" t="s">
        <v>6801</v>
      </c>
      <c r="J115" s="138" t="s">
        <v>702</v>
      </c>
      <c r="K115" s="113" t="s">
        <v>6817</v>
      </c>
      <c r="L115" s="109" t="s">
        <v>6803</v>
      </c>
    </row>
    <row r="116" customFormat="false" ht="23.85" hidden="false" customHeight="false" outlineLevel="0" collapsed="false">
      <c r="B116" s="109" t="s">
        <v>256</v>
      </c>
      <c r="C116" s="109" t="s">
        <v>127</v>
      </c>
      <c r="D116" s="109" t="s">
        <v>6740</v>
      </c>
      <c r="E116" s="109" t="s">
        <v>15</v>
      </c>
      <c r="F116" s="109" t="s">
        <v>293</v>
      </c>
      <c r="G116" s="31" t="s">
        <v>80</v>
      </c>
      <c r="H116" s="109" t="s">
        <v>6</v>
      </c>
      <c r="I116" s="137" t="s">
        <v>6801</v>
      </c>
      <c r="J116" s="138" t="s">
        <v>702</v>
      </c>
      <c r="K116" s="113" t="s">
        <v>6818</v>
      </c>
      <c r="L116" s="109" t="s">
        <v>6803</v>
      </c>
    </row>
    <row r="117" customFormat="false" ht="23.85" hidden="false" customHeight="false" outlineLevel="0" collapsed="false">
      <c r="B117" s="109" t="s">
        <v>256</v>
      </c>
      <c r="C117" s="109" t="s">
        <v>127</v>
      </c>
      <c r="D117" s="109" t="s">
        <v>6740</v>
      </c>
      <c r="E117" s="109" t="s">
        <v>15</v>
      </c>
      <c r="F117" s="109" t="s">
        <v>293</v>
      </c>
      <c r="G117" s="31" t="s">
        <v>82</v>
      </c>
      <c r="H117" s="109" t="s">
        <v>6</v>
      </c>
      <c r="I117" s="137" t="s">
        <v>6801</v>
      </c>
      <c r="J117" s="138" t="s">
        <v>702</v>
      </c>
      <c r="K117" s="113" t="s">
        <v>6819</v>
      </c>
      <c r="L117" s="109" t="s">
        <v>6803</v>
      </c>
    </row>
    <row r="118" customFormat="false" ht="13.5" hidden="false" customHeight="false" outlineLevel="0" collapsed="false">
      <c r="B118" s="109" t="s">
        <v>256</v>
      </c>
      <c r="C118" s="109" t="s">
        <v>127</v>
      </c>
      <c r="D118" s="109" t="s">
        <v>6740</v>
      </c>
      <c r="E118" s="109" t="s">
        <v>15</v>
      </c>
      <c r="F118" s="109" t="s">
        <v>281</v>
      </c>
      <c r="G118" s="31" t="s">
        <v>107</v>
      </c>
      <c r="H118" s="109" t="s">
        <v>6</v>
      </c>
      <c r="I118" s="137" t="s">
        <v>6801</v>
      </c>
      <c r="J118" s="138" t="s">
        <v>702</v>
      </c>
      <c r="K118" s="113" t="s">
        <v>6168</v>
      </c>
      <c r="L118" s="109" t="s">
        <v>6820</v>
      </c>
    </row>
    <row r="119" customFormat="false" ht="13.5" hidden="false" customHeight="false" outlineLevel="0" collapsed="false">
      <c r="B119" s="109" t="s">
        <v>256</v>
      </c>
      <c r="C119" s="109" t="s">
        <v>127</v>
      </c>
      <c r="D119" s="109" t="s">
        <v>6740</v>
      </c>
      <c r="E119" s="109" t="s">
        <v>15</v>
      </c>
      <c r="F119" s="109" t="s">
        <v>281</v>
      </c>
      <c r="G119" s="31" t="s">
        <v>108</v>
      </c>
      <c r="H119" s="109" t="s">
        <v>6</v>
      </c>
      <c r="I119" s="137" t="s">
        <v>6801</v>
      </c>
      <c r="J119" s="138" t="s">
        <v>702</v>
      </c>
      <c r="K119" s="113" t="s">
        <v>6250</v>
      </c>
      <c r="L119" s="109" t="s">
        <v>6820</v>
      </c>
    </row>
    <row r="120" customFormat="false" ht="13.5" hidden="false" customHeight="false" outlineLevel="0" collapsed="false">
      <c r="B120" s="109" t="s">
        <v>256</v>
      </c>
      <c r="C120" s="109" t="s">
        <v>127</v>
      </c>
      <c r="D120" s="109" t="s">
        <v>6740</v>
      </c>
      <c r="E120" s="109" t="s">
        <v>15</v>
      </c>
      <c r="F120" s="109" t="s">
        <v>281</v>
      </c>
      <c r="G120" s="31" t="s">
        <v>109</v>
      </c>
      <c r="H120" s="109" t="s">
        <v>6</v>
      </c>
      <c r="I120" s="137" t="s">
        <v>6801</v>
      </c>
      <c r="J120" s="138" t="s">
        <v>702</v>
      </c>
      <c r="K120" s="113" t="s">
        <v>6333</v>
      </c>
      <c r="L120" s="109" t="s">
        <v>6820</v>
      </c>
    </row>
    <row r="121" customFormat="false" ht="13.5" hidden="false" customHeight="false" outlineLevel="0" collapsed="false">
      <c r="B121" s="109" t="s">
        <v>256</v>
      </c>
      <c r="C121" s="109" t="s">
        <v>127</v>
      </c>
      <c r="D121" s="109" t="s">
        <v>6740</v>
      </c>
      <c r="E121" s="109" t="s">
        <v>15</v>
      </c>
      <c r="F121" s="109" t="s">
        <v>281</v>
      </c>
      <c r="G121" s="31" t="s">
        <v>110</v>
      </c>
      <c r="H121" s="109" t="s">
        <v>6</v>
      </c>
      <c r="I121" s="137" t="s">
        <v>6801</v>
      </c>
      <c r="J121" s="138" t="s">
        <v>702</v>
      </c>
      <c r="K121" s="113" t="s">
        <v>6412</v>
      </c>
      <c r="L121" s="109" t="s">
        <v>6820</v>
      </c>
    </row>
    <row r="122" customFormat="false" ht="13.5" hidden="false" customHeight="false" outlineLevel="0" collapsed="false">
      <c r="B122" s="109" t="s">
        <v>256</v>
      </c>
      <c r="C122" s="109" t="s">
        <v>127</v>
      </c>
      <c r="D122" s="109" t="s">
        <v>6740</v>
      </c>
      <c r="E122" s="109" t="s">
        <v>17</v>
      </c>
      <c r="F122" s="109" t="s">
        <v>354</v>
      </c>
      <c r="G122" s="31" t="s">
        <v>74</v>
      </c>
      <c r="H122" s="109" t="s">
        <v>6</v>
      </c>
      <c r="I122" s="137" t="s">
        <v>6801</v>
      </c>
      <c r="J122" s="138" t="s">
        <v>702</v>
      </c>
      <c r="K122" s="113" t="s">
        <v>6821</v>
      </c>
      <c r="L122" s="109" t="s">
        <v>6822</v>
      </c>
    </row>
    <row r="123" customFormat="false" ht="13.5" hidden="false" customHeight="false" outlineLevel="0" collapsed="false">
      <c r="B123" s="109" t="s">
        <v>256</v>
      </c>
      <c r="C123" s="109" t="s">
        <v>127</v>
      </c>
      <c r="D123" s="109" t="s">
        <v>6740</v>
      </c>
      <c r="E123" s="109" t="s">
        <v>17</v>
      </c>
      <c r="F123" s="109" t="s">
        <v>354</v>
      </c>
      <c r="G123" s="31" t="s">
        <v>78</v>
      </c>
      <c r="H123" s="109" t="s">
        <v>6</v>
      </c>
      <c r="I123" s="137" t="s">
        <v>6801</v>
      </c>
      <c r="J123" s="138" t="s">
        <v>702</v>
      </c>
      <c r="K123" s="113" t="s">
        <v>6823</v>
      </c>
      <c r="L123" s="109" t="s">
        <v>6822</v>
      </c>
    </row>
    <row r="124" customFormat="false" ht="23.85" hidden="false" customHeight="false" outlineLevel="0" collapsed="false">
      <c r="B124" s="109" t="s">
        <v>256</v>
      </c>
      <c r="C124" s="109" t="s">
        <v>127</v>
      </c>
      <c r="D124" s="109" t="s">
        <v>6740</v>
      </c>
      <c r="E124" s="109" t="s">
        <v>17</v>
      </c>
      <c r="F124" s="109" t="s">
        <v>354</v>
      </c>
      <c r="G124" s="31" t="s">
        <v>81</v>
      </c>
      <c r="H124" s="109" t="s">
        <v>6</v>
      </c>
      <c r="I124" s="137" t="s">
        <v>6801</v>
      </c>
      <c r="J124" s="138" t="s">
        <v>702</v>
      </c>
      <c r="K124" s="113" t="s">
        <v>6824</v>
      </c>
      <c r="L124" s="109" t="s">
        <v>6822</v>
      </c>
    </row>
    <row r="125" customFormat="false" ht="13.5" hidden="false" customHeight="false" outlineLevel="0" collapsed="false">
      <c r="B125" s="109" t="s">
        <v>256</v>
      </c>
      <c r="C125" s="109" t="s">
        <v>127</v>
      </c>
      <c r="D125" s="109" t="s">
        <v>6825</v>
      </c>
      <c r="E125" s="109" t="s">
        <v>17</v>
      </c>
      <c r="F125" s="109" t="s">
        <v>354</v>
      </c>
      <c r="G125" s="31" t="s">
        <v>105</v>
      </c>
      <c r="H125" s="109" t="s">
        <v>6590</v>
      </c>
      <c r="I125" s="137" t="s">
        <v>6826</v>
      </c>
      <c r="J125" s="138" t="s">
        <v>6827</v>
      </c>
      <c r="K125" s="113" t="s">
        <v>6828</v>
      </c>
      <c r="L125" s="109" t="s">
        <v>6829</v>
      </c>
    </row>
    <row r="126" customFormat="false" ht="13.5" hidden="false" customHeight="false" outlineLevel="0" collapsed="false">
      <c r="B126" s="109" t="s">
        <v>256</v>
      </c>
      <c r="C126" s="109" t="s">
        <v>127</v>
      </c>
      <c r="D126" s="109" t="s">
        <v>6740</v>
      </c>
      <c r="E126" s="109" t="s">
        <v>17</v>
      </c>
      <c r="F126" s="109" t="s">
        <v>338</v>
      </c>
      <c r="G126" s="31" t="s">
        <v>96</v>
      </c>
      <c r="H126" s="109" t="s">
        <v>6</v>
      </c>
      <c r="I126" s="137" t="s">
        <v>6801</v>
      </c>
      <c r="J126" s="138" t="s">
        <v>702</v>
      </c>
      <c r="K126" s="113" t="s">
        <v>5347</v>
      </c>
      <c r="L126" s="109" t="s">
        <v>6830</v>
      </c>
    </row>
    <row r="127" customFormat="false" ht="13.5" hidden="false" customHeight="false" outlineLevel="0" collapsed="false">
      <c r="B127" s="109" t="s">
        <v>256</v>
      </c>
      <c r="C127" s="109" t="s">
        <v>127</v>
      </c>
      <c r="D127" s="109" t="s">
        <v>6740</v>
      </c>
      <c r="E127" s="109" t="s">
        <v>16</v>
      </c>
      <c r="F127" s="109" t="s">
        <v>321</v>
      </c>
      <c r="G127" s="31" t="s">
        <v>107</v>
      </c>
      <c r="H127" s="109" t="s">
        <v>6</v>
      </c>
      <c r="I127" s="137" t="s">
        <v>6801</v>
      </c>
      <c r="J127" s="138" t="s">
        <v>702</v>
      </c>
      <c r="K127" s="113" t="s">
        <v>6186</v>
      </c>
      <c r="L127" s="109" t="s">
        <v>6820</v>
      </c>
    </row>
    <row r="128" customFormat="false" ht="13.5" hidden="false" customHeight="false" outlineLevel="0" collapsed="false">
      <c r="B128" s="109" t="s">
        <v>256</v>
      </c>
      <c r="C128" s="109" t="s">
        <v>127</v>
      </c>
      <c r="D128" s="109" t="s">
        <v>6740</v>
      </c>
      <c r="E128" s="109" t="s">
        <v>16</v>
      </c>
      <c r="F128" s="109" t="s">
        <v>321</v>
      </c>
      <c r="G128" s="31" t="s">
        <v>108</v>
      </c>
      <c r="H128" s="109" t="s">
        <v>6</v>
      </c>
      <c r="I128" s="137" t="s">
        <v>6801</v>
      </c>
      <c r="J128" s="138" t="s">
        <v>702</v>
      </c>
      <c r="K128" s="113" t="s">
        <v>6831</v>
      </c>
      <c r="L128" s="109" t="s">
        <v>6820</v>
      </c>
    </row>
    <row r="129" customFormat="false" ht="13.5" hidden="false" customHeight="false" outlineLevel="0" collapsed="false">
      <c r="B129" s="109" t="s">
        <v>256</v>
      </c>
      <c r="C129" s="109" t="s">
        <v>127</v>
      </c>
      <c r="D129" s="109" t="s">
        <v>6740</v>
      </c>
      <c r="E129" s="109" t="s">
        <v>16</v>
      </c>
      <c r="F129" s="109" t="s">
        <v>321</v>
      </c>
      <c r="G129" s="31" t="s">
        <v>109</v>
      </c>
      <c r="H129" s="109" t="s">
        <v>6</v>
      </c>
      <c r="I129" s="137" t="s">
        <v>6801</v>
      </c>
      <c r="J129" s="138" t="s">
        <v>702</v>
      </c>
      <c r="K129" s="113" t="s">
        <v>6352</v>
      </c>
      <c r="L129" s="109" t="s">
        <v>6820</v>
      </c>
    </row>
    <row r="130" customFormat="false" ht="35.05" hidden="false" customHeight="false" outlineLevel="0" collapsed="false">
      <c r="B130" s="109" t="s">
        <v>256</v>
      </c>
      <c r="C130" s="109" t="s">
        <v>127</v>
      </c>
      <c r="D130" s="109" t="s">
        <v>6825</v>
      </c>
      <c r="E130" s="109" t="s">
        <v>6555</v>
      </c>
      <c r="F130" s="109" t="s">
        <v>6832</v>
      </c>
      <c r="G130" s="31" t="s">
        <v>6723</v>
      </c>
      <c r="H130" s="109" t="s">
        <v>6833</v>
      </c>
      <c r="I130" s="137" t="s">
        <v>6834</v>
      </c>
      <c r="J130" s="138" t="s">
        <v>6835</v>
      </c>
      <c r="K130" s="113" t="s">
        <v>247</v>
      </c>
      <c r="L130" s="109" t="s">
        <v>6836</v>
      </c>
    </row>
    <row r="131" customFormat="false" ht="23.85" hidden="false" customHeight="false" outlineLevel="0" collapsed="false">
      <c r="B131" s="109" t="s">
        <v>256</v>
      </c>
      <c r="C131" s="109" t="s">
        <v>127</v>
      </c>
      <c r="D131" s="109" t="s">
        <v>6825</v>
      </c>
      <c r="E131" s="109" t="s">
        <v>6837</v>
      </c>
      <c r="F131" s="109" t="s">
        <v>6838</v>
      </c>
      <c r="G131" s="31" t="s">
        <v>6723</v>
      </c>
      <c r="H131" s="109" t="s">
        <v>6839</v>
      </c>
      <c r="I131" s="137" t="s">
        <v>247</v>
      </c>
      <c r="J131" s="138" t="s">
        <v>6840</v>
      </c>
      <c r="K131" s="113" t="s">
        <v>6841</v>
      </c>
      <c r="L131" s="109" t="s">
        <v>6842</v>
      </c>
    </row>
    <row r="132" customFormat="false" ht="23.85" hidden="false" customHeight="false" outlineLevel="0" collapsed="false">
      <c r="B132" s="109" t="s">
        <v>256</v>
      </c>
      <c r="C132" s="109" t="s">
        <v>127</v>
      </c>
      <c r="D132" s="109" t="s">
        <v>6825</v>
      </c>
      <c r="E132" s="109" t="s">
        <v>16</v>
      </c>
      <c r="F132" s="109" t="s">
        <v>300</v>
      </c>
      <c r="G132" s="31" t="s">
        <v>6723</v>
      </c>
      <c r="H132" s="109" t="s">
        <v>6839</v>
      </c>
      <c r="I132" s="137" t="s">
        <v>247</v>
      </c>
      <c r="J132" s="138" t="s">
        <v>6840</v>
      </c>
      <c r="K132" s="113" t="s">
        <v>6843</v>
      </c>
      <c r="L132" s="109" t="s">
        <v>6844</v>
      </c>
    </row>
    <row r="133" customFormat="false" ht="23.85" hidden="false" customHeight="false" outlineLevel="0" collapsed="false">
      <c r="B133" s="109" t="s">
        <v>256</v>
      </c>
      <c r="C133" s="109" t="s">
        <v>127</v>
      </c>
      <c r="D133" s="109" t="s">
        <v>6825</v>
      </c>
      <c r="E133" s="109" t="s">
        <v>14</v>
      </c>
      <c r="F133" s="109" t="s">
        <v>6845</v>
      </c>
      <c r="G133" s="31" t="s">
        <v>6723</v>
      </c>
      <c r="H133" s="109" t="s">
        <v>6846</v>
      </c>
      <c r="I133" s="137" t="s">
        <v>247</v>
      </c>
      <c r="J133" s="138" t="s">
        <v>6840</v>
      </c>
      <c r="K133" s="113" t="s">
        <v>6847</v>
      </c>
      <c r="L133" s="109" t="s">
        <v>6848</v>
      </c>
    </row>
    <row r="134" customFormat="false" ht="23.85" hidden="false" customHeight="false" outlineLevel="0" collapsed="false">
      <c r="B134" s="109" t="s">
        <v>256</v>
      </c>
      <c r="C134" s="109" t="s">
        <v>127</v>
      </c>
      <c r="D134" s="109" t="s">
        <v>6825</v>
      </c>
      <c r="E134" s="109" t="s">
        <v>14</v>
      </c>
      <c r="F134" s="109" t="s">
        <v>6849</v>
      </c>
      <c r="G134" s="31" t="s">
        <v>6723</v>
      </c>
      <c r="H134" s="109" t="s">
        <v>6850</v>
      </c>
      <c r="I134" s="137" t="s">
        <v>247</v>
      </c>
      <c r="J134" s="138" t="s">
        <v>6840</v>
      </c>
      <c r="K134" s="113" t="s">
        <v>6851</v>
      </c>
      <c r="L134" s="109" t="s">
        <v>6852</v>
      </c>
    </row>
    <row r="135" customFormat="false" ht="13.5" hidden="false" customHeight="false" outlineLevel="0" collapsed="false">
      <c r="B135" s="109" t="s">
        <v>256</v>
      </c>
      <c r="C135" s="109" t="s">
        <v>127</v>
      </c>
      <c r="D135" s="109" t="s">
        <v>6825</v>
      </c>
      <c r="E135" s="109" t="s">
        <v>15</v>
      </c>
      <c r="F135" s="109" t="s">
        <v>252</v>
      </c>
      <c r="G135" s="31" t="s">
        <v>6723</v>
      </c>
      <c r="H135" s="109" t="s">
        <v>6853</v>
      </c>
      <c r="I135" s="137" t="s">
        <v>247</v>
      </c>
      <c r="J135" s="138" t="s">
        <v>6840</v>
      </c>
      <c r="K135" s="113" t="s">
        <v>6854</v>
      </c>
      <c r="L135" s="109" t="s">
        <v>6855</v>
      </c>
    </row>
    <row r="136" customFormat="false" ht="46.25" hidden="false" customHeight="false" outlineLevel="0" collapsed="false">
      <c r="B136" s="109" t="s">
        <v>256</v>
      </c>
      <c r="C136" s="109" t="s">
        <v>127</v>
      </c>
      <c r="D136" s="109" t="s">
        <v>6825</v>
      </c>
      <c r="E136" s="109" t="s">
        <v>18</v>
      </c>
      <c r="F136" s="109" t="s">
        <v>6856</v>
      </c>
      <c r="G136" s="31" t="s">
        <v>6723</v>
      </c>
      <c r="H136" s="109" t="s">
        <v>6857</v>
      </c>
      <c r="I136" s="137" t="s">
        <v>247</v>
      </c>
      <c r="J136" s="138" t="s">
        <v>6840</v>
      </c>
      <c r="K136" s="113" t="s">
        <v>6858</v>
      </c>
      <c r="L136" s="109" t="s">
        <v>6859</v>
      </c>
    </row>
    <row r="137" customFormat="false" ht="23.85" hidden="false" customHeight="false" outlineLevel="0" collapsed="false">
      <c r="B137" s="109" t="s">
        <v>256</v>
      </c>
      <c r="C137" s="109" t="s">
        <v>127</v>
      </c>
      <c r="D137" s="109" t="s">
        <v>6740</v>
      </c>
      <c r="E137" s="109" t="s">
        <v>6860</v>
      </c>
      <c r="F137" s="109" t="s">
        <v>6861</v>
      </c>
      <c r="G137" s="31" t="s">
        <v>6862</v>
      </c>
      <c r="H137" s="109" t="s">
        <v>6863</v>
      </c>
      <c r="I137" s="137" t="s">
        <v>247</v>
      </c>
      <c r="J137" s="138" t="s">
        <v>6864</v>
      </c>
      <c r="K137" s="113" t="s">
        <v>6865</v>
      </c>
      <c r="L137" s="109" t="s">
        <v>6866</v>
      </c>
    </row>
    <row r="138" customFormat="false" ht="35.05" hidden="false" customHeight="false" outlineLevel="0" collapsed="false">
      <c r="B138" s="109" t="s">
        <v>256</v>
      </c>
      <c r="C138" s="109" t="s">
        <v>127</v>
      </c>
      <c r="D138" s="109" t="s">
        <v>6740</v>
      </c>
      <c r="E138" s="109" t="s">
        <v>15</v>
      </c>
      <c r="F138" s="109" t="s">
        <v>6867</v>
      </c>
      <c r="G138" s="31" t="s">
        <v>6862</v>
      </c>
      <c r="H138" s="109" t="s">
        <v>507</v>
      </c>
      <c r="I138" s="137" t="s">
        <v>247</v>
      </c>
      <c r="J138" s="138" t="s">
        <v>6868</v>
      </c>
      <c r="K138" s="113" t="s">
        <v>6869</v>
      </c>
      <c r="L138" s="109" t="s">
        <v>6870</v>
      </c>
    </row>
    <row r="139" customFormat="false" ht="23.85" hidden="false" customHeight="false" outlineLevel="0" collapsed="false">
      <c r="B139" s="109" t="s">
        <v>256</v>
      </c>
      <c r="C139" s="109" t="s">
        <v>127</v>
      </c>
      <c r="D139" s="109" t="s">
        <v>6740</v>
      </c>
      <c r="E139" s="109" t="s">
        <v>6871</v>
      </c>
      <c r="F139" s="109" t="s">
        <v>6872</v>
      </c>
      <c r="G139" s="31" t="s">
        <v>6862</v>
      </c>
      <c r="H139" s="109" t="s">
        <v>6873</v>
      </c>
      <c r="I139" s="137" t="s">
        <v>247</v>
      </c>
      <c r="J139" s="138" t="s">
        <v>6874</v>
      </c>
      <c r="K139" s="113" t="s">
        <v>6875</v>
      </c>
      <c r="L139" s="109" t="s">
        <v>6876</v>
      </c>
    </row>
    <row r="140" customFormat="false" ht="13.5" hidden="false" customHeight="false" outlineLevel="0" collapsed="false">
      <c r="B140" s="109" t="s">
        <v>256</v>
      </c>
      <c r="C140" s="109" t="s">
        <v>6712</v>
      </c>
      <c r="D140" s="109" t="s">
        <v>6735</v>
      </c>
      <c r="E140" s="109" t="s">
        <v>6676</v>
      </c>
      <c r="F140" s="109" t="s">
        <v>247</v>
      </c>
      <c r="G140" s="31" t="s">
        <v>6723</v>
      </c>
      <c r="H140" s="109" t="s">
        <v>6877</v>
      </c>
      <c r="I140" s="137" t="s">
        <v>247</v>
      </c>
      <c r="J140" s="138" t="s">
        <v>6878</v>
      </c>
      <c r="K140" s="113" t="s">
        <v>6879</v>
      </c>
      <c r="L140" s="109" t="s">
        <v>6880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A8BB"/>
    <pageSetUpPr fitToPage="false"/>
  </sheetPr>
  <dimension ref="A1:AC2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23"/>
    <col collapsed="false" customWidth="true" hidden="false" outlineLevel="0" max="4" min="4" style="1" width="56"/>
    <col collapsed="false" customWidth="true" hidden="false" outlineLevel="0" max="5" min="5" style="2" width="27"/>
    <col collapsed="false" customWidth="true" hidden="false" outlineLevel="0" max="6" min="6" style="1" width="70"/>
    <col collapsed="false" customWidth="true" hidden="false" outlineLevel="0" max="10" min="7" style="2" width="24"/>
    <col collapsed="false" customWidth="true" hidden="false" outlineLevel="0" max="11" min="11" style="1" width="80"/>
    <col collapsed="false" customWidth="true" hidden="false" outlineLevel="0" max="29" min="12" style="1" width="24"/>
  </cols>
  <sheetData>
    <row r="1" customFormat="false" ht="21.75" hidden="false" customHeight="true" outlineLevel="0" collapsed="false">
      <c r="A1" s="3"/>
      <c r="B1" s="3"/>
      <c r="C1" s="3"/>
      <c r="D1" s="3"/>
      <c r="E1" s="4"/>
      <c r="F1" s="3"/>
      <c r="G1" s="4"/>
      <c r="H1" s="4"/>
      <c r="I1" s="4"/>
      <c r="J1" s="4"/>
      <c r="K1" s="3"/>
      <c r="L1" s="3"/>
      <c r="M1" s="3"/>
      <c r="N1" s="3"/>
      <c r="O1" s="3"/>
      <c r="P1" s="3"/>
      <c r="Q1" s="3"/>
      <c r="R1" s="3"/>
      <c r="S1" s="3"/>
      <c r="T1" s="3"/>
      <c r="U1" s="3"/>
      <c r="V1" s="3"/>
      <c r="W1" s="3"/>
      <c r="X1" s="3"/>
      <c r="Y1" s="3"/>
      <c r="Z1" s="3"/>
      <c r="AA1" s="3"/>
      <c r="AB1" s="3"/>
      <c r="AC1" s="3"/>
    </row>
    <row r="2" customFormat="false" ht="28.5" hidden="false" customHeight="true" outlineLevel="0" collapsed="false">
      <c r="A2" s="3"/>
      <c r="B2" s="5" t="s">
        <v>6881</v>
      </c>
      <c r="C2" s="7"/>
      <c r="D2" s="7"/>
      <c r="E2" s="6"/>
      <c r="F2" s="7"/>
      <c r="G2" s="6"/>
      <c r="H2" s="6"/>
      <c r="I2" s="6"/>
      <c r="J2" s="6"/>
      <c r="K2" s="7"/>
      <c r="L2" s="7"/>
      <c r="M2" s="7"/>
      <c r="N2" s="3"/>
      <c r="O2" s="3"/>
      <c r="P2" s="3"/>
      <c r="Q2" s="3"/>
      <c r="R2" s="3"/>
      <c r="S2" s="3"/>
      <c r="T2" s="3"/>
      <c r="U2" s="3"/>
      <c r="V2" s="3"/>
      <c r="W2" s="3"/>
      <c r="X2" s="3"/>
      <c r="Y2" s="3"/>
      <c r="Z2" s="3"/>
      <c r="AA2" s="3"/>
      <c r="AB2" s="3"/>
      <c r="AC2" s="3"/>
    </row>
    <row r="3" customFormat="false" ht="22.5" hidden="false" customHeight="true" outlineLevel="0" collapsed="false">
      <c r="A3" s="3"/>
      <c r="B3" s="8" t="s">
        <v>535</v>
      </c>
      <c r="C3" s="7"/>
      <c r="D3" s="7"/>
      <c r="E3" s="6"/>
      <c r="F3" s="7"/>
      <c r="G3" s="6"/>
      <c r="H3" s="6"/>
      <c r="I3" s="6"/>
      <c r="J3" s="6"/>
      <c r="K3" s="7"/>
      <c r="L3" s="7"/>
      <c r="M3" s="7"/>
      <c r="N3" s="3"/>
      <c r="O3" s="3"/>
      <c r="P3" s="3"/>
      <c r="Q3" s="3"/>
      <c r="R3" s="3"/>
      <c r="S3" s="3"/>
      <c r="T3" s="3"/>
      <c r="U3" s="3"/>
      <c r="V3" s="3"/>
      <c r="W3" s="3"/>
      <c r="X3" s="3"/>
      <c r="Y3" s="3"/>
      <c r="Z3" s="3"/>
      <c r="AA3" s="3"/>
      <c r="AB3" s="3"/>
      <c r="AC3" s="3"/>
    </row>
    <row r="4" customFormat="false" ht="21.75" hidden="false" customHeight="true" outlineLevel="0" collapsed="false">
      <c r="A4" s="3"/>
      <c r="B4" s="9"/>
      <c r="C4" s="9"/>
      <c r="D4" s="9"/>
      <c r="E4" s="10"/>
      <c r="F4" s="9"/>
      <c r="G4" s="10"/>
      <c r="H4" s="10"/>
      <c r="I4" s="10"/>
      <c r="J4" s="10"/>
      <c r="K4" s="9"/>
      <c r="L4" s="9"/>
      <c r="M4" s="9"/>
      <c r="N4" s="11"/>
      <c r="O4" s="3"/>
      <c r="P4" s="3"/>
      <c r="Q4" s="3"/>
      <c r="R4" s="3"/>
      <c r="S4" s="3"/>
      <c r="T4" s="3"/>
      <c r="U4" s="3"/>
      <c r="V4" s="3"/>
      <c r="W4" s="3"/>
      <c r="X4" s="3"/>
      <c r="Y4" s="3"/>
      <c r="Z4" s="3"/>
      <c r="AA4" s="3"/>
      <c r="AB4" s="3"/>
      <c r="AC4" s="3"/>
    </row>
    <row r="5" customFormat="false" ht="21.75" hidden="false" customHeight="true" outlineLevel="0" collapsed="false">
      <c r="A5" s="3"/>
      <c r="B5" s="17" t="s">
        <v>6882</v>
      </c>
      <c r="C5" s="9"/>
      <c r="D5" s="9"/>
      <c r="E5" s="10"/>
      <c r="F5" s="9"/>
      <c r="G5" s="10"/>
      <c r="H5" s="10"/>
      <c r="I5" s="10"/>
      <c r="J5" s="10"/>
      <c r="K5" s="9"/>
      <c r="L5" s="9"/>
      <c r="M5" s="9"/>
      <c r="N5" s="3"/>
      <c r="O5" s="3"/>
      <c r="P5" s="3"/>
      <c r="Q5" s="3"/>
      <c r="R5" s="3"/>
      <c r="S5" s="3"/>
      <c r="T5" s="3"/>
      <c r="U5" s="3"/>
      <c r="V5" s="3"/>
      <c r="W5" s="3"/>
      <c r="X5" s="3"/>
      <c r="Y5" s="3"/>
      <c r="Z5" s="3"/>
      <c r="AA5" s="3"/>
      <c r="AB5" s="3"/>
      <c r="AC5" s="3"/>
    </row>
    <row r="6" customFormat="false" ht="21.75" hidden="false" customHeight="true" outlineLevel="0" collapsed="false">
      <c r="A6" s="3"/>
      <c r="B6" s="9"/>
      <c r="C6" s="9"/>
      <c r="D6" s="9"/>
      <c r="E6" s="10"/>
      <c r="F6" s="9"/>
      <c r="G6" s="10"/>
      <c r="H6" s="10"/>
      <c r="I6" s="10"/>
      <c r="J6" s="10"/>
      <c r="K6" s="9"/>
      <c r="L6" s="9"/>
      <c r="M6" s="9"/>
      <c r="N6" s="3"/>
      <c r="O6" s="3"/>
      <c r="P6" s="3"/>
      <c r="Q6" s="3"/>
      <c r="R6" s="3"/>
      <c r="S6" s="3"/>
      <c r="T6" s="3"/>
      <c r="U6" s="3"/>
      <c r="V6" s="3"/>
      <c r="W6" s="3"/>
      <c r="X6" s="3"/>
      <c r="Y6" s="3"/>
      <c r="Z6" s="3"/>
      <c r="AA6" s="3"/>
      <c r="AB6" s="3"/>
      <c r="AC6" s="3"/>
    </row>
    <row r="7" customFormat="false" ht="25.5" hidden="false" customHeight="true" outlineLevel="0" collapsed="false">
      <c r="A7" s="3"/>
      <c r="B7" s="133" t="s">
        <v>6883</v>
      </c>
      <c r="C7" s="133"/>
      <c r="D7" s="133"/>
      <c r="E7" s="40"/>
      <c r="F7" s="133"/>
      <c r="G7" s="40"/>
      <c r="H7" s="40"/>
      <c r="I7" s="10"/>
      <c r="J7" s="10"/>
      <c r="K7" s="9"/>
      <c r="L7" s="9"/>
      <c r="M7" s="9"/>
      <c r="N7" s="3"/>
      <c r="O7" s="3"/>
      <c r="P7" s="3"/>
      <c r="Q7" s="3"/>
      <c r="R7" s="3"/>
      <c r="S7" s="3"/>
      <c r="T7" s="3"/>
      <c r="U7" s="3"/>
      <c r="V7" s="3"/>
      <c r="W7" s="3"/>
      <c r="X7" s="3"/>
      <c r="Y7" s="3"/>
      <c r="Z7" s="3"/>
      <c r="AA7" s="3"/>
      <c r="AB7" s="3"/>
      <c r="AC7" s="3"/>
    </row>
    <row r="8" customFormat="false" ht="36" hidden="false" customHeight="true" outlineLevel="0" collapsed="false">
      <c r="A8" s="3"/>
      <c r="B8" s="21" t="s">
        <v>481</v>
      </c>
      <c r="C8" s="30" t="s">
        <v>6884</v>
      </c>
      <c r="D8" s="30" t="s">
        <v>6885</v>
      </c>
      <c r="E8" s="30" t="s">
        <v>6886</v>
      </c>
      <c r="F8" s="30" t="s">
        <v>6887</v>
      </c>
      <c r="G8" s="30" t="s">
        <v>6888</v>
      </c>
      <c r="H8" s="30" t="s">
        <v>232</v>
      </c>
      <c r="I8" s="30" t="s">
        <v>6889</v>
      </c>
      <c r="J8" s="30" t="s">
        <v>6890</v>
      </c>
      <c r="K8" s="30" t="s">
        <v>6891</v>
      </c>
      <c r="L8" s="30" t="s">
        <v>6892</v>
      </c>
      <c r="M8" s="30" t="s">
        <v>6893</v>
      </c>
      <c r="N8" s="3"/>
      <c r="O8" s="3"/>
      <c r="P8" s="3"/>
      <c r="Q8" s="3"/>
      <c r="R8" s="3"/>
      <c r="S8" s="3"/>
      <c r="T8" s="3"/>
      <c r="U8" s="3"/>
      <c r="V8" s="3"/>
      <c r="W8" s="3"/>
      <c r="X8" s="3"/>
      <c r="Y8" s="3"/>
      <c r="Z8" s="3"/>
      <c r="AA8" s="3"/>
      <c r="AB8" s="3"/>
      <c r="AC8" s="3"/>
    </row>
    <row r="9" customFormat="false" ht="36" hidden="false" customHeight="true" outlineLevel="0" collapsed="false">
      <c r="A9" s="3"/>
      <c r="B9" s="139" t="s">
        <v>13</v>
      </c>
      <c r="C9" s="109" t="s">
        <v>6894</v>
      </c>
      <c r="D9" s="109" t="s">
        <v>529</v>
      </c>
      <c r="E9" s="91" t="s">
        <v>528</v>
      </c>
      <c r="F9" s="113" t="s">
        <v>533</v>
      </c>
      <c r="G9" s="140" t="n">
        <v>3990</v>
      </c>
      <c r="H9" s="91" t="s">
        <v>490</v>
      </c>
      <c r="I9" s="140" t="n">
        <v>3990</v>
      </c>
      <c r="J9" s="91" t="s">
        <v>531</v>
      </c>
      <c r="K9" s="109" t="s">
        <v>532</v>
      </c>
      <c r="L9" s="109"/>
      <c r="M9" s="109" t="s">
        <v>537</v>
      </c>
      <c r="N9" s="3"/>
      <c r="O9" s="3"/>
      <c r="P9" s="3"/>
      <c r="Q9" s="3"/>
      <c r="R9" s="3"/>
      <c r="S9" s="3"/>
      <c r="T9" s="3"/>
      <c r="U9" s="3"/>
      <c r="V9" s="3"/>
      <c r="W9" s="3"/>
      <c r="X9" s="3"/>
      <c r="Y9" s="3"/>
      <c r="Z9" s="3"/>
      <c r="AA9" s="3"/>
      <c r="AB9" s="3"/>
      <c r="AC9" s="3"/>
    </row>
    <row r="10" customFormat="false" ht="33" hidden="false" customHeight="true" outlineLevel="0" collapsed="false">
      <c r="A10" s="3"/>
      <c r="B10" s="141" t="s">
        <v>13</v>
      </c>
      <c r="C10" s="110" t="s">
        <v>6894</v>
      </c>
      <c r="D10" s="110" t="s">
        <v>529</v>
      </c>
      <c r="E10" s="98" t="s">
        <v>550</v>
      </c>
      <c r="F10" s="117" t="s">
        <v>551</v>
      </c>
      <c r="G10" s="142" t="n">
        <v>3700</v>
      </c>
      <c r="H10" s="98" t="s">
        <v>490</v>
      </c>
      <c r="I10" s="142" t="n">
        <v>3700</v>
      </c>
      <c r="J10" s="98" t="s">
        <v>531</v>
      </c>
      <c r="K10" s="110" t="s">
        <v>532</v>
      </c>
      <c r="L10" s="110"/>
      <c r="M10" s="110" t="s">
        <v>537</v>
      </c>
      <c r="N10" s="3"/>
      <c r="O10" s="3"/>
      <c r="P10" s="3"/>
      <c r="Q10" s="3"/>
      <c r="R10" s="3"/>
      <c r="S10" s="3"/>
      <c r="T10" s="3"/>
      <c r="U10" s="3"/>
      <c r="V10" s="3"/>
      <c r="W10" s="3"/>
      <c r="X10" s="3"/>
      <c r="Y10" s="3"/>
      <c r="Z10" s="3"/>
      <c r="AA10" s="3"/>
      <c r="AB10" s="3"/>
      <c r="AC10" s="3"/>
    </row>
    <row r="11" customFormat="false" ht="48.75" hidden="false" customHeight="true" outlineLevel="0" collapsed="false">
      <c r="A11" s="3"/>
      <c r="B11" s="139" t="s">
        <v>13</v>
      </c>
      <c r="C11" s="109" t="s">
        <v>6894</v>
      </c>
      <c r="D11" s="109" t="s">
        <v>529</v>
      </c>
      <c r="E11" s="91" t="s">
        <v>548</v>
      </c>
      <c r="F11" s="113" t="s">
        <v>549</v>
      </c>
      <c r="G11" s="140" t="n">
        <v>6872</v>
      </c>
      <c r="H11" s="91" t="s">
        <v>490</v>
      </c>
      <c r="I11" s="140" t="n">
        <v>6872</v>
      </c>
      <c r="J11" s="91" t="s">
        <v>531</v>
      </c>
      <c r="K11" s="109" t="s">
        <v>532</v>
      </c>
      <c r="L11" s="109"/>
      <c r="M11" s="109" t="s">
        <v>537</v>
      </c>
      <c r="N11" s="3"/>
      <c r="O11" s="3"/>
      <c r="P11" s="3"/>
      <c r="Q11" s="3"/>
      <c r="R11" s="3"/>
      <c r="S11" s="3"/>
      <c r="T11" s="3"/>
      <c r="U11" s="3"/>
      <c r="V11" s="3"/>
      <c r="W11" s="3"/>
      <c r="X11" s="3"/>
      <c r="Y11" s="3"/>
      <c r="Z11" s="3"/>
      <c r="AA11" s="3"/>
      <c r="AB11" s="3"/>
      <c r="AC11" s="3"/>
    </row>
    <row r="12" customFormat="false" ht="33" hidden="false" customHeight="true" outlineLevel="0" collapsed="false">
      <c r="A12" s="3"/>
      <c r="B12" s="141" t="s">
        <v>13</v>
      </c>
      <c r="C12" s="110" t="s">
        <v>6894</v>
      </c>
      <c r="D12" s="110" t="s">
        <v>529</v>
      </c>
      <c r="E12" s="98" t="s">
        <v>546</v>
      </c>
      <c r="F12" s="117" t="s">
        <v>547</v>
      </c>
      <c r="G12" s="142" t="n">
        <v>4000</v>
      </c>
      <c r="H12" s="98" t="s">
        <v>490</v>
      </c>
      <c r="I12" s="142" t="n">
        <v>4000</v>
      </c>
      <c r="J12" s="98" t="s">
        <v>531</v>
      </c>
      <c r="K12" s="110" t="s">
        <v>532</v>
      </c>
      <c r="L12" s="110"/>
      <c r="M12" s="110" t="s">
        <v>537</v>
      </c>
      <c r="N12" s="3"/>
      <c r="O12" s="3"/>
      <c r="P12" s="3"/>
      <c r="Q12" s="3"/>
      <c r="R12" s="3"/>
      <c r="S12" s="3"/>
      <c r="T12" s="3"/>
      <c r="U12" s="3"/>
      <c r="V12" s="3"/>
      <c r="W12" s="3"/>
      <c r="X12" s="3"/>
      <c r="Y12" s="3"/>
      <c r="Z12" s="3"/>
      <c r="AA12" s="3"/>
      <c r="AB12" s="3"/>
      <c r="AC12" s="3"/>
    </row>
    <row r="13" customFormat="false" ht="33" hidden="false" customHeight="true" outlineLevel="0" collapsed="false">
      <c r="A13" s="3"/>
      <c r="B13" s="139" t="s">
        <v>13</v>
      </c>
      <c r="C13" s="109" t="s">
        <v>6894</v>
      </c>
      <c r="D13" s="109" t="s">
        <v>529</v>
      </c>
      <c r="E13" s="91" t="s">
        <v>541</v>
      </c>
      <c r="F13" s="113" t="s">
        <v>654</v>
      </c>
      <c r="G13" s="140" t="n">
        <v>3543</v>
      </c>
      <c r="H13" s="91" t="s">
        <v>490</v>
      </c>
      <c r="I13" s="140" t="n">
        <v>3543</v>
      </c>
      <c r="J13" s="91" t="s">
        <v>531</v>
      </c>
      <c r="K13" s="109" t="s">
        <v>532</v>
      </c>
      <c r="L13" s="109"/>
      <c r="M13" s="109" t="s">
        <v>537</v>
      </c>
      <c r="N13" s="3"/>
      <c r="O13" s="3"/>
      <c r="P13" s="3"/>
      <c r="Q13" s="3"/>
      <c r="R13" s="3"/>
      <c r="S13" s="3"/>
      <c r="T13" s="3"/>
      <c r="U13" s="3"/>
      <c r="V13" s="3"/>
      <c r="W13" s="3"/>
      <c r="X13" s="3"/>
      <c r="Y13" s="3"/>
      <c r="Z13" s="3"/>
      <c r="AA13" s="3"/>
      <c r="AB13" s="3"/>
      <c r="AC13" s="3"/>
    </row>
    <row r="14" customFormat="false" ht="33" hidden="false" customHeight="true" outlineLevel="0" collapsed="false">
      <c r="A14" s="3"/>
      <c r="B14" s="141" t="s">
        <v>13</v>
      </c>
      <c r="C14" s="110" t="s">
        <v>6894</v>
      </c>
      <c r="D14" s="110" t="s">
        <v>529</v>
      </c>
      <c r="E14" s="98" t="s">
        <v>539</v>
      </c>
      <c r="F14" s="117" t="s">
        <v>540</v>
      </c>
      <c r="G14" s="142" t="n">
        <v>2520</v>
      </c>
      <c r="H14" s="98" t="s">
        <v>490</v>
      </c>
      <c r="I14" s="142" t="n">
        <v>2520</v>
      </c>
      <c r="J14" s="98" t="s">
        <v>531</v>
      </c>
      <c r="K14" s="110" t="s">
        <v>532</v>
      </c>
      <c r="L14" s="110"/>
      <c r="M14" s="110" t="s">
        <v>537</v>
      </c>
      <c r="N14" s="3"/>
      <c r="O14" s="3"/>
      <c r="P14" s="3"/>
      <c r="Q14" s="3"/>
      <c r="R14" s="3"/>
      <c r="S14" s="3"/>
      <c r="T14" s="3"/>
      <c r="U14" s="3"/>
      <c r="V14" s="3"/>
      <c r="W14" s="3"/>
      <c r="X14" s="3"/>
      <c r="Y14" s="3"/>
      <c r="Z14" s="3"/>
      <c r="AA14" s="3"/>
      <c r="AB14" s="3"/>
      <c r="AC14" s="3"/>
    </row>
    <row r="15" customFormat="false" ht="36" hidden="false" customHeight="true" outlineLevel="0" collapsed="false">
      <c r="A15" s="3"/>
      <c r="B15" s="139" t="s">
        <v>13</v>
      </c>
      <c r="C15" s="109" t="s">
        <v>6894</v>
      </c>
      <c r="D15" s="109" t="s">
        <v>652</v>
      </c>
      <c r="E15" s="91" t="s">
        <v>528</v>
      </c>
      <c r="F15" s="113" t="s">
        <v>533</v>
      </c>
      <c r="G15" s="140" t="n">
        <v>3129</v>
      </c>
      <c r="H15" s="91" t="s">
        <v>490</v>
      </c>
      <c r="I15" s="140" t="n">
        <v>3129</v>
      </c>
      <c r="J15" s="91" t="s">
        <v>531</v>
      </c>
      <c r="K15" s="109" t="s">
        <v>653</v>
      </c>
      <c r="L15" s="109"/>
      <c r="M15" s="109" t="s">
        <v>537</v>
      </c>
      <c r="N15" s="3"/>
      <c r="O15" s="3"/>
      <c r="P15" s="3"/>
      <c r="Q15" s="3"/>
      <c r="R15" s="3"/>
      <c r="S15" s="3"/>
      <c r="T15" s="3"/>
      <c r="U15" s="3"/>
      <c r="V15" s="3"/>
      <c r="W15" s="3"/>
      <c r="X15" s="3"/>
      <c r="Y15" s="3"/>
      <c r="Z15" s="3"/>
      <c r="AA15" s="3"/>
      <c r="AB15" s="3"/>
      <c r="AC15" s="3"/>
    </row>
    <row r="16" customFormat="false" ht="33" hidden="false" customHeight="true" outlineLevel="0" collapsed="false">
      <c r="A16" s="3"/>
      <c r="B16" s="141" t="s">
        <v>13</v>
      </c>
      <c r="C16" s="110" t="s">
        <v>6894</v>
      </c>
      <c r="D16" s="110" t="s">
        <v>652</v>
      </c>
      <c r="E16" s="98" t="s">
        <v>550</v>
      </c>
      <c r="F16" s="117" t="s">
        <v>551</v>
      </c>
      <c r="G16" s="142" t="n">
        <v>3500</v>
      </c>
      <c r="H16" s="98" t="s">
        <v>490</v>
      </c>
      <c r="I16" s="142" t="n">
        <v>3500</v>
      </c>
      <c r="J16" s="98" t="s">
        <v>531</v>
      </c>
      <c r="K16" s="110" t="s">
        <v>653</v>
      </c>
      <c r="L16" s="110"/>
      <c r="M16" s="110" t="s">
        <v>537</v>
      </c>
      <c r="N16" s="3"/>
      <c r="O16" s="3"/>
      <c r="P16" s="3"/>
      <c r="Q16" s="3"/>
      <c r="R16" s="3"/>
      <c r="S16" s="3"/>
      <c r="T16" s="3"/>
      <c r="U16" s="3"/>
      <c r="V16" s="3"/>
      <c r="W16" s="3"/>
      <c r="X16" s="3"/>
      <c r="Y16" s="3"/>
      <c r="Z16" s="3"/>
      <c r="AA16" s="3"/>
      <c r="AB16" s="3"/>
      <c r="AC16" s="3"/>
    </row>
    <row r="17" customFormat="false" ht="48.75" hidden="false" customHeight="true" outlineLevel="0" collapsed="false">
      <c r="A17" s="3"/>
      <c r="B17" s="139" t="s">
        <v>13</v>
      </c>
      <c r="C17" s="109" t="s">
        <v>6894</v>
      </c>
      <c r="D17" s="109" t="s">
        <v>652</v>
      </c>
      <c r="E17" s="91" t="s">
        <v>548</v>
      </c>
      <c r="F17" s="113" t="s">
        <v>549</v>
      </c>
      <c r="G17" s="140" t="n">
        <v>5419</v>
      </c>
      <c r="H17" s="91" t="s">
        <v>490</v>
      </c>
      <c r="I17" s="140" t="n">
        <v>5419</v>
      </c>
      <c r="J17" s="91" t="s">
        <v>531</v>
      </c>
      <c r="K17" s="109" t="s">
        <v>653</v>
      </c>
      <c r="L17" s="109"/>
      <c r="M17" s="109" t="s">
        <v>537</v>
      </c>
      <c r="N17" s="3"/>
      <c r="O17" s="3"/>
      <c r="P17" s="3"/>
      <c r="Q17" s="3"/>
      <c r="R17" s="3"/>
      <c r="S17" s="3"/>
      <c r="T17" s="3"/>
      <c r="U17" s="3"/>
      <c r="V17" s="3"/>
      <c r="W17" s="3"/>
      <c r="X17" s="3"/>
      <c r="Y17" s="3"/>
      <c r="Z17" s="3"/>
      <c r="AA17" s="3"/>
      <c r="AB17" s="3"/>
      <c r="AC17" s="3"/>
    </row>
    <row r="18" customFormat="false" ht="33" hidden="false" customHeight="true" outlineLevel="0" collapsed="false">
      <c r="A18" s="3"/>
      <c r="B18" s="141" t="s">
        <v>13</v>
      </c>
      <c r="C18" s="110" t="s">
        <v>6894</v>
      </c>
      <c r="D18" s="110" t="s">
        <v>652</v>
      </c>
      <c r="E18" s="98" t="s">
        <v>546</v>
      </c>
      <c r="F18" s="117" t="s">
        <v>547</v>
      </c>
      <c r="G18" s="142" t="n">
        <v>3535</v>
      </c>
      <c r="H18" s="98" t="s">
        <v>490</v>
      </c>
      <c r="I18" s="142" t="n">
        <v>3535</v>
      </c>
      <c r="J18" s="98" t="s">
        <v>531</v>
      </c>
      <c r="K18" s="110" t="s">
        <v>653</v>
      </c>
      <c r="L18" s="110"/>
      <c r="M18" s="110" t="s">
        <v>537</v>
      </c>
      <c r="N18" s="3"/>
      <c r="O18" s="3"/>
      <c r="P18" s="3"/>
      <c r="Q18" s="3"/>
      <c r="R18" s="3"/>
      <c r="S18" s="3"/>
      <c r="T18" s="3"/>
      <c r="U18" s="3"/>
      <c r="V18" s="3"/>
      <c r="W18" s="3"/>
      <c r="X18" s="3"/>
      <c r="Y18" s="3"/>
      <c r="Z18" s="3"/>
      <c r="AA18" s="3"/>
      <c r="AB18" s="3"/>
      <c r="AC18" s="3"/>
    </row>
    <row r="19" customFormat="false" ht="33" hidden="false" customHeight="true" outlineLevel="0" collapsed="false">
      <c r="A19" s="3"/>
      <c r="B19" s="139" t="s">
        <v>13</v>
      </c>
      <c r="C19" s="109" t="s">
        <v>6894</v>
      </c>
      <c r="D19" s="109" t="s">
        <v>652</v>
      </c>
      <c r="E19" s="91" t="s">
        <v>541</v>
      </c>
      <c r="F19" s="113" t="s">
        <v>654</v>
      </c>
      <c r="G19" s="140" t="n">
        <v>5740</v>
      </c>
      <c r="H19" s="91" t="s">
        <v>490</v>
      </c>
      <c r="I19" s="140" t="n">
        <v>5740</v>
      </c>
      <c r="J19" s="91" t="s">
        <v>531</v>
      </c>
      <c r="K19" s="109" t="s">
        <v>653</v>
      </c>
      <c r="L19" s="109"/>
      <c r="M19" s="109" t="s">
        <v>537</v>
      </c>
      <c r="N19" s="3"/>
      <c r="O19" s="3"/>
      <c r="P19" s="3"/>
      <c r="Q19" s="3"/>
      <c r="R19" s="3"/>
      <c r="S19" s="3"/>
      <c r="T19" s="3"/>
      <c r="U19" s="3"/>
      <c r="V19" s="3"/>
      <c r="W19" s="3"/>
      <c r="X19" s="3"/>
      <c r="Y19" s="3"/>
      <c r="Z19" s="3"/>
      <c r="AA19" s="3"/>
      <c r="AB19" s="3"/>
      <c r="AC19" s="3"/>
    </row>
    <row r="20" customFormat="false" ht="33" hidden="false" customHeight="true" outlineLevel="0" collapsed="false">
      <c r="A20" s="3"/>
      <c r="B20" s="141" t="s">
        <v>13</v>
      </c>
      <c r="C20" s="110" t="s">
        <v>6894</v>
      </c>
      <c r="D20" s="110" t="s">
        <v>652</v>
      </c>
      <c r="E20" s="98" t="s">
        <v>539</v>
      </c>
      <c r="F20" s="117" t="s">
        <v>540</v>
      </c>
      <c r="G20" s="142" t="n">
        <v>2340</v>
      </c>
      <c r="H20" s="98" t="s">
        <v>490</v>
      </c>
      <c r="I20" s="142" t="n">
        <v>2340</v>
      </c>
      <c r="J20" s="98" t="s">
        <v>531</v>
      </c>
      <c r="K20" s="110" t="s">
        <v>653</v>
      </c>
      <c r="L20" s="110"/>
      <c r="M20" s="110" t="s">
        <v>537</v>
      </c>
      <c r="N20" s="3"/>
      <c r="O20" s="3"/>
      <c r="P20" s="3"/>
      <c r="Q20" s="3"/>
      <c r="R20" s="3"/>
      <c r="S20" s="3"/>
      <c r="T20" s="3"/>
      <c r="U20" s="3"/>
      <c r="V20" s="3"/>
      <c r="W20" s="3"/>
      <c r="X20" s="3"/>
      <c r="Y20" s="3"/>
      <c r="Z20" s="3"/>
      <c r="AA20" s="3"/>
      <c r="AB20" s="3"/>
      <c r="AC20" s="3"/>
    </row>
    <row r="21" customFormat="false" ht="36" hidden="false" customHeight="true" outlineLevel="0" collapsed="false">
      <c r="A21" s="3"/>
      <c r="B21" s="139" t="s">
        <v>13</v>
      </c>
      <c r="C21" s="109" t="s">
        <v>6894</v>
      </c>
      <c r="D21" s="109" t="s">
        <v>724</v>
      </c>
      <c r="E21" s="91" t="s">
        <v>528</v>
      </c>
      <c r="F21" s="113" t="s">
        <v>726</v>
      </c>
      <c r="G21" s="140" t="n">
        <v>840</v>
      </c>
      <c r="H21" s="91" t="s">
        <v>490</v>
      </c>
      <c r="I21" s="140" t="n">
        <v>840</v>
      </c>
      <c r="J21" s="91" t="s">
        <v>531</v>
      </c>
      <c r="K21" s="109" t="s">
        <v>725</v>
      </c>
      <c r="L21" s="109"/>
      <c r="M21" s="109" t="s">
        <v>537</v>
      </c>
      <c r="N21" s="3"/>
      <c r="O21" s="3"/>
      <c r="P21" s="3"/>
      <c r="Q21" s="3"/>
      <c r="R21" s="3"/>
      <c r="S21" s="3"/>
      <c r="T21" s="3"/>
      <c r="U21" s="3"/>
      <c r="V21" s="3"/>
      <c r="W21" s="3"/>
      <c r="X21" s="3"/>
      <c r="Y21" s="3"/>
      <c r="Z21" s="3"/>
      <c r="AA21" s="3"/>
      <c r="AB21" s="3"/>
      <c r="AC21" s="3"/>
    </row>
    <row r="22" customFormat="false" ht="33" hidden="false" customHeight="true" outlineLevel="0" collapsed="false">
      <c r="A22" s="3"/>
      <c r="B22" s="141" t="s">
        <v>13</v>
      </c>
      <c r="C22" s="110" t="s">
        <v>6894</v>
      </c>
      <c r="D22" s="110" t="s">
        <v>724</v>
      </c>
      <c r="E22" s="98" t="s">
        <v>550</v>
      </c>
      <c r="F22" s="117" t="s">
        <v>551</v>
      </c>
      <c r="G22" s="142" t="n">
        <v>1700</v>
      </c>
      <c r="H22" s="98" t="s">
        <v>490</v>
      </c>
      <c r="I22" s="142" t="n">
        <v>1700</v>
      </c>
      <c r="J22" s="98" t="s">
        <v>531</v>
      </c>
      <c r="K22" s="110" t="s">
        <v>725</v>
      </c>
      <c r="L22" s="110"/>
      <c r="M22" s="110" t="s">
        <v>537</v>
      </c>
      <c r="N22" s="3"/>
      <c r="O22" s="3"/>
      <c r="P22" s="3"/>
      <c r="Q22" s="3"/>
      <c r="R22" s="3"/>
      <c r="S22" s="3"/>
      <c r="T22" s="3"/>
      <c r="U22" s="3"/>
      <c r="V22" s="3"/>
      <c r="W22" s="3"/>
      <c r="X22" s="3"/>
      <c r="Y22" s="3"/>
      <c r="Z22" s="3"/>
      <c r="AA22" s="3"/>
      <c r="AB22" s="3"/>
      <c r="AC22" s="3"/>
    </row>
    <row r="23" customFormat="false" ht="36" hidden="false" customHeight="true" outlineLevel="0" collapsed="false">
      <c r="A23" s="3"/>
      <c r="B23" s="139" t="s">
        <v>13</v>
      </c>
      <c r="C23" s="109" t="s">
        <v>6894</v>
      </c>
      <c r="D23" s="109" t="s">
        <v>724</v>
      </c>
      <c r="E23" s="91" t="s">
        <v>548</v>
      </c>
      <c r="F23" s="113" t="s">
        <v>727</v>
      </c>
      <c r="G23" s="140" t="n">
        <v>2023</v>
      </c>
      <c r="H23" s="91" t="s">
        <v>490</v>
      </c>
      <c r="I23" s="140" t="n">
        <v>2023</v>
      </c>
      <c r="J23" s="91" t="s">
        <v>531</v>
      </c>
      <c r="K23" s="109" t="s">
        <v>725</v>
      </c>
      <c r="L23" s="109"/>
      <c r="M23" s="109" t="s">
        <v>537</v>
      </c>
      <c r="N23" s="3"/>
      <c r="O23" s="3"/>
      <c r="P23" s="3"/>
      <c r="Q23" s="3"/>
      <c r="R23" s="3"/>
      <c r="S23" s="3"/>
      <c r="T23" s="3"/>
      <c r="U23" s="3"/>
      <c r="V23" s="3"/>
      <c r="W23" s="3"/>
      <c r="X23" s="3"/>
      <c r="Y23" s="3"/>
      <c r="Z23" s="3"/>
      <c r="AA23" s="3"/>
      <c r="AB23" s="3"/>
      <c r="AC23" s="3"/>
    </row>
    <row r="24" customFormat="false" ht="33" hidden="false" customHeight="true" outlineLevel="0" collapsed="false">
      <c r="A24" s="3"/>
      <c r="B24" s="141" t="s">
        <v>13</v>
      </c>
      <c r="C24" s="110" t="s">
        <v>6894</v>
      </c>
      <c r="D24" s="110" t="s">
        <v>724</v>
      </c>
      <c r="E24" s="98" t="s">
        <v>546</v>
      </c>
      <c r="F24" s="117" t="s">
        <v>547</v>
      </c>
      <c r="G24" s="142" t="n">
        <v>1370</v>
      </c>
      <c r="H24" s="98" t="s">
        <v>490</v>
      </c>
      <c r="I24" s="142" t="n">
        <v>1370</v>
      </c>
      <c r="J24" s="98" t="s">
        <v>531</v>
      </c>
      <c r="K24" s="110" t="s">
        <v>725</v>
      </c>
      <c r="L24" s="110"/>
      <c r="M24" s="110" t="s">
        <v>537</v>
      </c>
      <c r="N24" s="3"/>
      <c r="O24" s="3"/>
      <c r="P24" s="3"/>
      <c r="Q24" s="3"/>
      <c r="R24" s="3"/>
      <c r="S24" s="3"/>
      <c r="T24" s="3"/>
      <c r="U24" s="3"/>
      <c r="V24" s="3"/>
      <c r="W24" s="3"/>
      <c r="X24" s="3"/>
      <c r="Y24" s="3"/>
      <c r="Z24" s="3"/>
      <c r="AA24" s="3"/>
      <c r="AB24" s="3"/>
      <c r="AC24" s="3"/>
    </row>
    <row r="25" customFormat="false" ht="33" hidden="false" customHeight="true" outlineLevel="0" collapsed="false">
      <c r="A25" s="3"/>
      <c r="B25" s="139" t="s">
        <v>13</v>
      </c>
      <c r="C25" s="109" t="s">
        <v>6894</v>
      </c>
      <c r="D25" s="109" t="s">
        <v>724</v>
      </c>
      <c r="E25" s="91" t="s">
        <v>541</v>
      </c>
      <c r="F25" s="113" t="s">
        <v>654</v>
      </c>
      <c r="G25" s="140" t="n">
        <v>1555</v>
      </c>
      <c r="H25" s="91" t="s">
        <v>490</v>
      </c>
      <c r="I25" s="140" t="n">
        <v>1555</v>
      </c>
      <c r="J25" s="91" t="s">
        <v>531</v>
      </c>
      <c r="K25" s="109" t="s">
        <v>725</v>
      </c>
      <c r="L25" s="109"/>
      <c r="M25" s="109" t="s">
        <v>537</v>
      </c>
      <c r="N25" s="3"/>
      <c r="O25" s="3"/>
      <c r="P25" s="3"/>
      <c r="Q25" s="3"/>
      <c r="R25" s="3"/>
      <c r="S25" s="3"/>
      <c r="T25" s="3"/>
      <c r="U25" s="3"/>
      <c r="V25" s="3"/>
      <c r="W25" s="3"/>
      <c r="X25" s="3"/>
      <c r="Y25" s="3"/>
      <c r="Z25" s="3"/>
      <c r="AA25" s="3"/>
      <c r="AB25" s="3"/>
      <c r="AC25" s="3"/>
    </row>
    <row r="26" customFormat="false" ht="36" hidden="false" customHeight="true" outlineLevel="0" collapsed="false">
      <c r="A26" s="3"/>
      <c r="B26" s="141" t="s">
        <v>13</v>
      </c>
      <c r="C26" s="110" t="s">
        <v>6895</v>
      </c>
      <c r="D26" s="110" t="s">
        <v>1013</v>
      </c>
      <c r="E26" s="98" t="s">
        <v>528</v>
      </c>
      <c r="F26" s="117" t="s">
        <v>1016</v>
      </c>
      <c r="G26" s="142" t="n">
        <v>5772</v>
      </c>
      <c r="H26" s="98" t="s">
        <v>490</v>
      </c>
      <c r="I26" s="142" t="n">
        <v>5772</v>
      </c>
      <c r="J26" s="98" t="s">
        <v>1014</v>
      </c>
      <c r="K26" s="110" t="s">
        <v>1015</v>
      </c>
      <c r="L26" s="110" t="s">
        <v>1018</v>
      </c>
      <c r="M26" s="110" t="s">
        <v>537</v>
      </c>
      <c r="N26" s="3"/>
      <c r="O26" s="3"/>
      <c r="P26" s="3"/>
      <c r="Q26" s="3"/>
      <c r="R26" s="3"/>
      <c r="S26" s="3"/>
      <c r="T26" s="3"/>
      <c r="U26" s="3"/>
      <c r="V26" s="3"/>
      <c r="W26" s="3"/>
      <c r="X26" s="3"/>
      <c r="Y26" s="3"/>
      <c r="Z26" s="3"/>
      <c r="AA26" s="3"/>
      <c r="AB26" s="3"/>
      <c r="AC26" s="3"/>
    </row>
    <row r="27" customFormat="false" ht="48.75" hidden="false" customHeight="true" outlineLevel="0" collapsed="false">
      <c r="A27" s="3"/>
      <c r="B27" s="139" t="s">
        <v>13</v>
      </c>
      <c r="C27" s="109" t="s">
        <v>6895</v>
      </c>
      <c r="D27" s="109" t="s">
        <v>1013</v>
      </c>
      <c r="E27" s="91" t="s">
        <v>548</v>
      </c>
      <c r="F27" s="113" t="s">
        <v>1021</v>
      </c>
      <c r="G27" s="140" t="n">
        <v>6881</v>
      </c>
      <c r="H27" s="91" t="s">
        <v>490</v>
      </c>
      <c r="I27" s="140" t="n">
        <v>6881</v>
      </c>
      <c r="J27" s="91" t="s">
        <v>1014</v>
      </c>
      <c r="K27" s="109" t="s">
        <v>1015</v>
      </c>
      <c r="L27" s="109" t="s">
        <v>1018</v>
      </c>
      <c r="M27" s="109" t="s">
        <v>537</v>
      </c>
      <c r="N27" s="3"/>
      <c r="O27" s="3"/>
      <c r="P27" s="3"/>
      <c r="Q27" s="3"/>
      <c r="R27" s="3"/>
      <c r="S27" s="3"/>
      <c r="T27" s="3"/>
      <c r="U27" s="3"/>
      <c r="V27" s="3"/>
      <c r="W27" s="3"/>
      <c r="X27" s="3"/>
      <c r="Y27" s="3"/>
      <c r="Z27" s="3"/>
      <c r="AA27" s="3"/>
      <c r="AB27" s="3"/>
      <c r="AC27" s="3"/>
    </row>
    <row r="28" customFormat="false" ht="33" hidden="false" customHeight="true" outlineLevel="0" collapsed="false">
      <c r="A28" s="3"/>
      <c r="B28" s="141" t="s">
        <v>13</v>
      </c>
      <c r="C28" s="110" t="s">
        <v>6895</v>
      </c>
      <c r="D28" s="110" t="s">
        <v>1013</v>
      </c>
      <c r="E28" s="98" t="s">
        <v>541</v>
      </c>
      <c r="F28" s="117" t="s">
        <v>1019</v>
      </c>
      <c r="G28" s="142" t="n">
        <v>7850</v>
      </c>
      <c r="H28" s="98" t="s">
        <v>490</v>
      </c>
      <c r="I28" s="142" t="n">
        <v>7850</v>
      </c>
      <c r="J28" s="98" t="s">
        <v>1014</v>
      </c>
      <c r="K28" s="110" t="s">
        <v>1015</v>
      </c>
      <c r="L28" s="110" t="s">
        <v>1018</v>
      </c>
      <c r="M28" s="110" t="s">
        <v>537</v>
      </c>
      <c r="N28" s="3"/>
      <c r="O28" s="3"/>
      <c r="P28" s="3"/>
      <c r="Q28" s="3"/>
      <c r="R28" s="3"/>
      <c r="S28" s="3"/>
      <c r="T28" s="3"/>
      <c r="U28" s="3"/>
      <c r="V28" s="3"/>
      <c r="W28" s="3"/>
      <c r="X28" s="3"/>
      <c r="Y28" s="3"/>
      <c r="Z28" s="3"/>
      <c r="AA28" s="3"/>
      <c r="AB28" s="3"/>
      <c r="AC28" s="3"/>
    </row>
    <row r="29" customFormat="false" ht="33" hidden="false" customHeight="true" outlineLevel="0" collapsed="false">
      <c r="A29" s="3"/>
      <c r="B29" s="139" t="s">
        <v>13</v>
      </c>
      <c r="C29" s="109" t="s">
        <v>6895</v>
      </c>
      <c r="D29" s="109" t="s">
        <v>1084</v>
      </c>
      <c r="E29" s="91" t="s">
        <v>1087</v>
      </c>
      <c r="F29" s="113" t="s">
        <v>1088</v>
      </c>
      <c r="G29" s="140" t="n">
        <v>6990</v>
      </c>
      <c r="H29" s="91" t="s">
        <v>490</v>
      </c>
      <c r="I29" s="140" t="n">
        <v>6990</v>
      </c>
      <c r="J29" s="91" t="s">
        <v>1014</v>
      </c>
      <c r="K29" s="109" t="s">
        <v>1015</v>
      </c>
      <c r="L29" s="109" t="s">
        <v>1018</v>
      </c>
      <c r="M29" s="109" t="s">
        <v>537</v>
      </c>
      <c r="N29" s="3"/>
      <c r="O29" s="3"/>
      <c r="P29" s="3"/>
      <c r="Q29" s="3"/>
      <c r="R29" s="3"/>
      <c r="S29" s="3"/>
      <c r="T29" s="3"/>
      <c r="U29" s="3"/>
      <c r="V29" s="3"/>
      <c r="W29" s="3"/>
      <c r="X29" s="3"/>
      <c r="Y29" s="3"/>
      <c r="Z29" s="3"/>
      <c r="AA29" s="3"/>
      <c r="AB29" s="3"/>
      <c r="AC29" s="3"/>
    </row>
    <row r="30" customFormat="false" ht="36" hidden="false" customHeight="true" outlineLevel="0" collapsed="false">
      <c r="A30" s="3"/>
      <c r="B30" s="141" t="s">
        <v>13</v>
      </c>
      <c r="C30" s="110" t="s">
        <v>6895</v>
      </c>
      <c r="D30" s="110" t="s">
        <v>1084</v>
      </c>
      <c r="E30" s="98" t="s">
        <v>550</v>
      </c>
      <c r="F30" s="117" t="s">
        <v>1089</v>
      </c>
      <c r="G30" s="142" t="n">
        <v>12200</v>
      </c>
      <c r="H30" s="98" t="s">
        <v>490</v>
      </c>
      <c r="I30" s="142" t="n">
        <v>12200</v>
      </c>
      <c r="J30" s="98" t="s">
        <v>1014</v>
      </c>
      <c r="K30" s="110" t="s">
        <v>1015</v>
      </c>
      <c r="L30" s="110" t="s">
        <v>1018</v>
      </c>
      <c r="M30" s="110" t="s">
        <v>537</v>
      </c>
      <c r="N30" s="3"/>
      <c r="O30" s="3"/>
      <c r="P30" s="3"/>
      <c r="Q30" s="3"/>
      <c r="R30" s="3"/>
      <c r="S30" s="3"/>
      <c r="T30" s="3"/>
      <c r="U30" s="3"/>
      <c r="V30" s="3"/>
      <c r="W30" s="3"/>
      <c r="X30" s="3"/>
      <c r="Y30" s="3"/>
      <c r="Z30" s="3"/>
      <c r="AA30" s="3"/>
      <c r="AB30" s="3"/>
      <c r="AC30" s="3"/>
    </row>
    <row r="31" customFormat="false" ht="48.75" hidden="false" customHeight="true" outlineLevel="0" collapsed="false">
      <c r="A31" s="3"/>
      <c r="B31" s="139" t="s">
        <v>13</v>
      </c>
      <c r="C31" s="109" t="s">
        <v>6895</v>
      </c>
      <c r="D31" s="109" t="s">
        <v>1084</v>
      </c>
      <c r="E31" s="91" t="s">
        <v>548</v>
      </c>
      <c r="F31" s="113" t="s">
        <v>1021</v>
      </c>
      <c r="G31" s="140" t="n">
        <v>9569</v>
      </c>
      <c r="H31" s="91" t="s">
        <v>490</v>
      </c>
      <c r="I31" s="140" t="n">
        <v>9569</v>
      </c>
      <c r="J31" s="91" t="s">
        <v>1014</v>
      </c>
      <c r="K31" s="109" t="s">
        <v>1015</v>
      </c>
      <c r="L31" s="109" t="s">
        <v>1018</v>
      </c>
      <c r="M31" s="109" t="s">
        <v>537</v>
      </c>
      <c r="N31" s="3"/>
      <c r="O31" s="3"/>
      <c r="P31" s="3"/>
      <c r="Q31" s="3"/>
      <c r="R31" s="3"/>
      <c r="S31" s="3"/>
      <c r="T31" s="3"/>
      <c r="U31" s="3"/>
      <c r="V31" s="3"/>
      <c r="W31" s="3"/>
      <c r="X31" s="3"/>
      <c r="Y31" s="3"/>
      <c r="Z31" s="3"/>
      <c r="AA31" s="3"/>
      <c r="AB31" s="3"/>
      <c r="AC31" s="3"/>
    </row>
    <row r="32" customFormat="false" ht="33" hidden="false" customHeight="true" outlineLevel="0" collapsed="false">
      <c r="A32" s="3"/>
      <c r="B32" s="141" t="s">
        <v>13</v>
      </c>
      <c r="C32" s="110" t="s">
        <v>6895</v>
      </c>
      <c r="D32" s="110" t="s">
        <v>1084</v>
      </c>
      <c r="E32" s="98" t="s">
        <v>541</v>
      </c>
      <c r="F32" s="117" t="s">
        <v>1019</v>
      </c>
      <c r="G32" s="142" t="n">
        <v>12519</v>
      </c>
      <c r="H32" s="98" t="s">
        <v>490</v>
      </c>
      <c r="I32" s="142" t="n">
        <v>12519</v>
      </c>
      <c r="J32" s="98" t="s">
        <v>1014</v>
      </c>
      <c r="K32" s="110" t="s">
        <v>1015</v>
      </c>
      <c r="L32" s="110" t="s">
        <v>1018</v>
      </c>
      <c r="M32" s="110" t="s">
        <v>537</v>
      </c>
      <c r="N32" s="3"/>
      <c r="O32" s="3"/>
      <c r="P32" s="3"/>
      <c r="Q32" s="3"/>
      <c r="R32" s="3"/>
      <c r="S32" s="3"/>
      <c r="T32" s="3"/>
      <c r="U32" s="3"/>
      <c r="V32" s="3"/>
      <c r="W32" s="3"/>
      <c r="X32" s="3"/>
      <c r="Y32" s="3"/>
      <c r="Z32" s="3"/>
      <c r="AA32" s="3"/>
      <c r="AB32" s="3"/>
      <c r="AC32" s="3"/>
    </row>
    <row r="33" customFormat="false" ht="36" hidden="false" customHeight="true" outlineLevel="0" collapsed="false">
      <c r="A33" s="3"/>
      <c r="B33" s="139" t="s">
        <v>13</v>
      </c>
      <c r="C33" s="109" t="s">
        <v>6896</v>
      </c>
      <c r="D33" s="109" t="s">
        <v>1270</v>
      </c>
      <c r="E33" s="91" t="s">
        <v>541</v>
      </c>
      <c r="F33" s="113" t="s">
        <v>1206</v>
      </c>
      <c r="G33" s="140" t="n">
        <v>2826</v>
      </c>
      <c r="H33" s="91" t="s">
        <v>490</v>
      </c>
      <c r="I33" s="140" t="n">
        <v>2826</v>
      </c>
      <c r="J33" s="91" t="s">
        <v>1202</v>
      </c>
      <c r="K33" s="109" t="s">
        <v>1203</v>
      </c>
      <c r="L33" s="109" t="s">
        <v>1018</v>
      </c>
      <c r="M33" s="109" t="s">
        <v>537</v>
      </c>
      <c r="N33" s="3"/>
      <c r="O33" s="3"/>
      <c r="P33" s="3"/>
      <c r="Q33" s="3"/>
      <c r="R33" s="3"/>
      <c r="S33" s="3"/>
      <c r="T33" s="3"/>
      <c r="U33" s="3"/>
      <c r="V33" s="3"/>
      <c r="W33" s="3"/>
      <c r="X33" s="3"/>
      <c r="Y33" s="3"/>
      <c r="Z33" s="3"/>
      <c r="AA33" s="3"/>
      <c r="AB33" s="3"/>
      <c r="AC33" s="3"/>
    </row>
    <row r="34" customFormat="false" ht="33" hidden="false" customHeight="true" outlineLevel="0" collapsed="false">
      <c r="A34" s="3"/>
      <c r="B34" s="141" t="s">
        <v>13</v>
      </c>
      <c r="C34" s="110" t="s">
        <v>6896</v>
      </c>
      <c r="D34" s="110" t="s">
        <v>1268</v>
      </c>
      <c r="E34" s="98" t="s">
        <v>528</v>
      </c>
      <c r="F34" s="117" t="s">
        <v>1204</v>
      </c>
      <c r="G34" s="142" t="n">
        <v>1522</v>
      </c>
      <c r="H34" s="98" t="s">
        <v>490</v>
      </c>
      <c r="I34" s="142" t="n">
        <v>1522</v>
      </c>
      <c r="J34" s="98" t="s">
        <v>1202</v>
      </c>
      <c r="K34" s="110" t="s">
        <v>1203</v>
      </c>
      <c r="L34" s="110" t="s">
        <v>1018</v>
      </c>
      <c r="M34" s="110" t="s">
        <v>537</v>
      </c>
      <c r="N34" s="3"/>
      <c r="O34" s="3"/>
      <c r="P34" s="3"/>
      <c r="Q34" s="3"/>
      <c r="R34" s="3"/>
      <c r="S34" s="3"/>
      <c r="T34" s="3"/>
      <c r="U34" s="3"/>
      <c r="V34" s="3"/>
      <c r="W34" s="3"/>
      <c r="X34" s="3"/>
      <c r="Y34" s="3"/>
      <c r="Z34" s="3"/>
      <c r="AA34" s="3"/>
      <c r="AB34" s="3"/>
      <c r="AC34" s="3"/>
    </row>
    <row r="35" customFormat="false" ht="33" hidden="false" customHeight="true" outlineLevel="0" collapsed="false">
      <c r="A35" s="3"/>
      <c r="B35" s="139" t="s">
        <v>13</v>
      </c>
      <c r="C35" s="109" t="s">
        <v>6896</v>
      </c>
      <c r="D35" s="109" t="s">
        <v>1268</v>
      </c>
      <c r="E35" s="91" t="s">
        <v>1087</v>
      </c>
      <c r="F35" s="113" t="s">
        <v>1207</v>
      </c>
      <c r="G35" s="140" t="n">
        <v>2290</v>
      </c>
      <c r="H35" s="91" t="s">
        <v>490</v>
      </c>
      <c r="I35" s="140" t="n">
        <v>2290</v>
      </c>
      <c r="J35" s="91" t="s">
        <v>1202</v>
      </c>
      <c r="K35" s="109" t="s">
        <v>1203</v>
      </c>
      <c r="L35" s="109" t="s">
        <v>1018</v>
      </c>
      <c r="M35" s="109" t="s">
        <v>537</v>
      </c>
      <c r="N35" s="3"/>
      <c r="O35" s="3"/>
      <c r="P35" s="3"/>
      <c r="Q35" s="3"/>
      <c r="R35" s="3"/>
      <c r="S35" s="3"/>
      <c r="T35" s="3"/>
      <c r="U35" s="3"/>
      <c r="V35" s="3"/>
      <c r="W35" s="3"/>
      <c r="X35" s="3"/>
      <c r="Y35" s="3"/>
      <c r="Z35" s="3"/>
      <c r="AA35" s="3"/>
      <c r="AB35" s="3"/>
      <c r="AC35" s="3"/>
    </row>
    <row r="36" customFormat="false" ht="36" hidden="false" customHeight="true" outlineLevel="0" collapsed="false">
      <c r="A36" s="3"/>
      <c r="B36" s="141" t="s">
        <v>13</v>
      </c>
      <c r="C36" s="110" t="s">
        <v>6896</v>
      </c>
      <c r="D36" s="110" t="s">
        <v>1268</v>
      </c>
      <c r="E36" s="98" t="s">
        <v>550</v>
      </c>
      <c r="F36" s="117" t="s">
        <v>1275</v>
      </c>
      <c r="G36" s="142" t="n">
        <v>3400</v>
      </c>
      <c r="H36" s="98" t="s">
        <v>490</v>
      </c>
      <c r="I36" s="142" t="n">
        <v>3400</v>
      </c>
      <c r="J36" s="98" t="s">
        <v>1202</v>
      </c>
      <c r="K36" s="110" t="s">
        <v>1203</v>
      </c>
      <c r="L36" s="110" t="s">
        <v>1018</v>
      </c>
      <c r="M36" s="110" t="s">
        <v>537</v>
      </c>
      <c r="N36" s="3"/>
      <c r="O36" s="3"/>
      <c r="P36" s="3"/>
      <c r="Q36" s="3"/>
      <c r="R36" s="3"/>
      <c r="S36" s="3"/>
      <c r="T36" s="3"/>
      <c r="U36" s="3"/>
      <c r="V36" s="3"/>
      <c r="W36" s="3"/>
      <c r="X36" s="3"/>
      <c r="Y36" s="3"/>
      <c r="Z36" s="3"/>
      <c r="AA36" s="3"/>
      <c r="AB36" s="3"/>
      <c r="AC36" s="3"/>
    </row>
    <row r="37" customFormat="false" ht="36" hidden="false" customHeight="true" outlineLevel="0" collapsed="false">
      <c r="A37" s="3"/>
      <c r="B37" s="139" t="s">
        <v>13</v>
      </c>
      <c r="C37" s="109" t="s">
        <v>6896</v>
      </c>
      <c r="D37" s="109" t="s">
        <v>1268</v>
      </c>
      <c r="E37" s="91" t="s">
        <v>548</v>
      </c>
      <c r="F37" s="113" t="s">
        <v>1272</v>
      </c>
      <c r="G37" s="140" t="n">
        <v>2536</v>
      </c>
      <c r="H37" s="91" t="s">
        <v>490</v>
      </c>
      <c r="I37" s="140" t="n">
        <v>2536</v>
      </c>
      <c r="J37" s="91" t="s">
        <v>1202</v>
      </c>
      <c r="K37" s="109" t="s">
        <v>1203</v>
      </c>
      <c r="L37" s="109" t="s">
        <v>1018</v>
      </c>
      <c r="M37" s="109" t="s">
        <v>537</v>
      </c>
      <c r="N37" s="3"/>
      <c r="O37" s="3"/>
      <c r="P37" s="3"/>
      <c r="Q37" s="3"/>
      <c r="R37" s="3"/>
      <c r="S37" s="3"/>
      <c r="T37" s="3"/>
      <c r="U37" s="3"/>
      <c r="V37" s="3"/>
      <c r="W37" s="3"/>
      <c r="X37" s="3"/>
      <c r="Y37" s="3"/>
      <c r="Z37" s="3"/>
      <c r="AA37" s="3"/>
      <c r="AB37" s="3"/>
      <c r="AC37" s="3"/>
    </row>
    <row r="38" customFormat="false" ht="36" hidden="false" customHeight="true" outlineLevel="0" collapsed="false">
      <c r="A38" s="3"/>
      <c r="B38" s="141" t="s">
        <v>13</v>
      </c>
      <c r="C38" s="110" t="s">
        <v>6896</v>
      </c>
      <c r="D38" s="110" t="s">
        <v>1268</v>
      </c>
      <c r="E38" s="98" t="s">
        <v>546</v>
      </c>
      <c r="F38" s="117" t="s">
        <v>1271</v>
      </c>
      <c r="G38" s="142" t="n">
        <v>3087</v>
      </c>
      <c r="H38" s="98" t="s">
        <v>490</v>
      </c>
      <c r="I38" s="142" t="n">
        <v>3087</v>
      </c>
      <c r="J38" s="98" t="s">
        <v>1202</v>
      </c>
      <c r="K38" s="110" t="s">
        <v>1203</v>
      </c>
      <c r="L38" s="110" t="s">
        <v>1018</v>
      </c>
      <c r="M38" s="110" t="s">
        <v>537</v>
      </c>
      <c r="N38" s="3"/>
      <c r="O38" s="3"/>
      <c r="P38" s="3"/>
      <c r="Q38" s="3"/>
      <c r="R38" s="3"/>
      <c r="S38" s="3"/>
      <c r="T38" s="3"/>
      <c r="U38" s="3"/>
      <c r="V38" s="3"/>
      <c r="W38" s="3"/>
      <c r="X38" s="3"/>
      <c r="Y38" s="3"/>
      <c r="Z38" s="3"/>
      <c r="AA38" s="3"/>
      <c r="AB38" s="3"/>
      <c r="AC38" s="3"/>
    </row>
    <row r="39" customFormat="false" ht="36" hidden="false" customHeight="true" outlineLevel="0" collapsed="false">
      <c r="A39" s="3"/>
      <c r="B39" s="139" t="s">
        <v>13</v>
      </c>
      <c r="C39" s="109" t="s">
        <v>6896</v>
      </c>
      <c r="D39" s="109" t="s">
        <v>1274</v>
      </c>
      <c r="E39" s="91" t="s">
        <v>548</v>
      </c>
      <c r="F39" s="113" t="s">
        <v>1272</v>
      </c>
      <c r="G39" s="140" t="n">
        <v>7147</v>
      </c>
      <c r="H39" s="91" t="s">
        <v>490</v>
      </c>
      <c r="I39" s="140" t="n">
        <v>7147</v>
      </c>
      <c r="J39" s="91" t="s">
        <v>1202</v>
      </c>
      <c r="K39" s="109" t="s">
        <v>1203</v>
      </c>
      <c r="L39" s="109" t="s">
        <v>1018</v>
      </c>
      <c r="M39" s="109" t="s">
        <v>537</v>
      </c>
      <c r="N39" s="3"/>
      <c r="O39" s="3"/>
      <c r="P39" s="3"/>
      <c r="Q39" s="3"/>
      <c r="R39" s="3"/>
      <c r="S39" s="3"/>
      <c r="T39" s="3"/>
      <c r="U39" s="3"/>
      <c r="V39" s="3"/>
      <c r="W39" s="3"/>
      <c r="X39" s="3"/>
      <c r="Y39" s="3"/>
      <c r="Z39" s="3"/>
      <c r="AA39" s="3"/>
      <c r="AB39" s="3"/>
      <c r="AC39" s="3"/>
    </row>
    <row r="40" customFormat="false" ht="33" hidden="false" customHeight="true" outlineLevel="0" collapsed="false">
      <c r="A40" s="3"/>
      <c r="B40" s="141" t="s">
        <v>13</v>
      </c>
      <c r="C40" s="110" t="s">
        <v>6896</v>
      </c>
      <c r="D40" s="110" t="s">
        <v>1270</v>
      </c>
      <c r="E40" s="98" t="s">
        <v>528</v>
      </c>
      <c r="F40" s="117" t="s">
        <v>1204</v>
      </c>
      <c r="G40" s="142" t="n">
        <v>1910</v>
      </c>
      <c r="H40" s="98" t="s">
        <v>490</v>
      </c>
      <c r="I40" s="142" t="n">
        <v>1910</v>
      </c>
      <c r="J40" s="98" t="s">
        <v>1202</v>
      </c>
      <c r="K40" s="110" t="s">
        <v>1203</v>
      </c>
      <c r="L40" s="110" t="s">
        <v>1018</v>
      </c>
      <c r="M40" s="110" t="s">
        <v>537</v>
      </c>
      <c r="N40" s="3"/>
      <c r="O40" s="3"/>
      <c r="P40" s="3"/>
      <c r="Q40" s="3"/>
      <c r="R40" s="3"/>
      <c r="S40" s="3"/>
      <c r="T40" s="3"/>
      <c r="U40" s="3"/>
      <c r="V40" s="3"/>
      <c r="W40" s="3"/>
      <c r="X40" s="3"/>
      <c r="Y40" s="3"/>
      <c r="Z40" s="3"/>
      <c r="AA40" s="3"/>
      <c r="AB40" s="3"/>
      <c r="AC40" s="3"/>
    </row>
    <row r="41" customFormat="false" ht="36" hidden="false" customHeight="true" outlineLevel="0" collapsed="false">
      <c r="A41" s="3"/>
      <c r="B41" s="139" t="s">
        <v>13</v>
      </c>
      <c r="C41" s="109" t="s">
        <v>6896</v>
      </c>
      <c r="D41" s="109" t="s">
        <v>1330</v>
      </c>
      <c r="E41" s="91" t="s">
        <v>548</v>
      </c>
      <c r="F41" s="113" t="s">
        <v>1272</v>
      </c>
      <c r="G41" s="140" t="n">
        <v>5105</v>
      </c>
      <c r="H41" s="91" t="s">
        <v>490</v>
      </c>
      <c r="I41" s="140" t="n">
        <v>5105</v>
      </c>
      <c r="J41" s="91" t="s">
        <v>1202</v>
      </c>
      <c r="K41" s="109" t="s">
        <v>1203</v>
      </c>
      <c r="L41" s="109" t="s">
        <v>1018</v>
      </c>
      <c r="M41" s="109" t="s">
        <v>537</v>
      </c>
      <c r="N41" s="3"/>
      <c r="O41" s="3"/>
      <c r="P41" s="3"/>
      <c r="Q41" s="3"/>
      <c r="R41" s="3"/>
      <c r="S41" s="3"/>
      <c r="T41" s="3"/>
      <c r="U41" s="3"/>
      <c r="V41" s="3"/>
      <c r="W41" s="3"/>
      <c r="X41" s="3"/>
      <c r="Y41" s="3"/>
      <c r="Z41" s="3"/>
      <c r="AA41" s="3"/>
      <c r="AB41" s="3"/>
      <c r="AC41" s="3"/>
    </row>
    <row r="42" customFormat="false" ht="33" hidden="false" customHeight="true" outlineLevel="0" collapsed="false">
      <c r="A42" s="3"/>
      <c r="B42" s="141" t="s">
        <v>13</v>
      </c>
      <c r="C42" s="110" t="s">
        <v>6896</v>
      </c>
      <c r="D42" s="110" t="s">
        <v>1328</v>
      </c>
      <c r="E42" s="98" t="s">
        <v>528</v>
      </c>
      <c r="F42" s="117" t="s">
        <v>1204</v>
      </c>
      <c r="G42" s="142" t="n">
        <v>2480</v>
      </c>
      <c r="H42" s="98" t="s">
        <v>490</v>
      </c>
      <c r="I42" s="142" t="n">
        <v>2480</v>
      </c>
      <c r="J42" s="98" t="s">
        <v>1202</v>
      </c>
      <c r="K42" s="110" t="s">
        <v>1203</v>
      </c>
      <c r="L42" s="110" t="s">
        <v>1018</v>
      </c>
      <c r="M42" s="110" t="s">
        <v>537</v>
      </c>
      <c r="N42" s="3"/>
      <c r="O42" s="3"/>
      <c r="P42" s="3"/>
      <c r="Q42" s="3"/>
      <c r="R42" s="3"/>
      <c r="S42" s="3"/>
      <c r="T42" s="3"/>
      <c r="U42" s="3"/>
      <c r="V42" s="3"/>
      <c r="W42" s="3"/>
      <c r="X42" s="3"/>
      <c r="Y42" s="3"/>
      <c r="Z42" s="3"/>
      <c r="AA42" s="3"/>
      <c r="AB42" s="3"/>
      <c r="AC42" s="3"/>
    </row>
    <row r="43" customFormat="false" ht="36" hidden="false" customHeight="true" outlineLevel="0" collapsed="false">
      <c r="A43" s="3"/>
      <c r="B43" s="139" t="s">
        <v>13</v>
      </c>
      <c r="C43" s="109" t="s">
        <v>6896</v>
      </c>
      <c r="D43" s="109" t="s">
        <v>1328</v>
      </c>
      <c r="E43" s="91" t="s">
        <v>550</v>
      </c>
      <c r="F43" s="113" t="s">
        <v>1275</v>
      </c>
      <c r="G43" s="140" t="n">
        <v>4000</v>
      </c>
      <c r="H43" s="91" t="s">
        <v>490</v>
      </c>
      <c r="I43" s="140" t="n">
        <v>4000</v>
      </c>
      <c r="J43" s="91" t="s">
        <v>1202</v>
      </c>
      <c r="K43" s="109" t="s">
        <v>1203</v>
      </c>
      <c r="L43" s="109" t="s">
        <v>1018</v>
      </c>
      <c r="M43" s="109" t="s">
        <v>537</v>
      </c>
      <c r="N43" s="3"/>
      <c r="O43" s="3"/>
      <c r="P43" s="3"/>
      <c r="Q43" s="3"/>
      <c r="R43" s="3"/>
      <c r="S43" s="3"/>
      <c r="T43" s="3"/>
      <c r="U43" s="3"/>
      <c r="V43" s="3"/>
      <c r="W43" s="3"/>
      <c r="X43" s="3"/>
      <c r="Y43" s="3"/>
      <c r="Z43" s="3"/>
      <c r="AA43" s="3"/>
      <c r="AB43" s="3"/>
      <c r="AC43" s="3"/>
    </row>
    <row r="44" customFormat="false" ht="36" hidden="false" customHeight="true" outlineLevel="0" collapsed="false">
      <c r="A44" s="3"/>
      <c r="B44" s="141" t="s">
        <v>13</v>
      </c>
      <c r="C44" s="110" t="s">
        <v>6896</v>
      </c>
      <c r="D44" s="110" t="s">
        <v>1328</v>
      </c>
      <c r="E44" s="98" t="s">
        <v>548</v>
      </c>
      <c r="F44" s="117" t="s">
        <v>1272</v>
      </c>
      <c r="G44" s="142" t="n">
        <v>4518</v>
      </c>
      <c r="H44" s="98" t="s">
        <v>490</v>
      </c>
      <c r="I44" s="142" t="n">
        <v>4518</v>
      </c>
      <c r="J44" s="98" t="s">
        <v>1202</v>
      </c>
      <c r="K44" s="110" t="s">
        <v>1203</v>
      </c>
      <c r="L44" s="110" t="s">
        <v>1018</v>
      </c>
      <c r="M44" s="110" t="s">
        <v>537</v>
      </c>
      <c r="N44" s="3"/>
      <c r="O44" s="3"/>
      <c r="P44" s="3"/>
      <c r="Q44" s="3"/>
      <c r="R44" s="3"/>
      <c r="S44" s="3"/>
      <c r="T44" s="3"/>
      <c r="U44" s="3"/>
      <c r="V44" s="3"/>
      <c r="W44" s="3"/>
      <c r="X44" s="3"/>
      <c r="Y44" s="3"/>
      <c r="Z44" s="3"/>
      <c r="AA44" s="3"/>
      <c r="AB44" s="3"/>
      <c r="AC44" s="3"/>
    </row>
    <row r="45" customFormat="false" ht="36" hidden="false" customHeight="true" outlineLevel="0" collapsed="false">
      <c r="A45" s="3"/>
      <c r="B45" s="139" t="s">
        <v>13</v>
      </c>
      <c r="C45" s="109" t="s">
        <v>6896</v>
      </c>
      <c r="D45" s="109" t="s">
        <v>1328</v>
      </c>
      <c r="E45" s="91" t="s">
        <v>546</v>
      </c>
      <c r="F45" s="113" t="s">
        <v>1271</v>
      </c>
      <c r="G45" s="140" t="n">
        <v>3614</v>
      </c>
      <c r="H45" s="91" t="s">
        <v>490</v>
      </c>
      <c r="I45" s="140" t="n">
        <v>3614</v>
      </c>
      <c r="J45" s="91" t="s">
        <v>1202</v>
      </c>
      <c r="K45" s="109" t="s">
        <v>1203</v>
      </c>
      <c r="L45" s="109" t="s">
        <v>1018</v>
      </c>
      <c r="M45" s="109" t="s">
        <v>537</v>
      </c>
      <c r="N45" s="3"/>
      <c r="O45" s="3"/>
      <c r="P45" s="3"/>
      <c r="Q45" s="3"/>
      <c r="R45" s="3"/>
      <c r="S45" s="3"/>
      <c r="T45" s="3"/>
      <c r="U45" s="3"/>
      <c r="V45" s="3"/>
      <c r="W45" s="3"/>
      <c r="X45" s="3"/>
      <c r="Y45" s="3"/>
      <c r="Z45" s="3"/>
      <c r="AA45" s="3"/>
      <c r="AB45" s="3"/>
      <c r="AC45" s="3"/>
    </row>
    <row r="46" customFormat="false" ht="33" hidden="false" customHeight="true" outlineLevel="0" collapsed="false">
      <c r="A46" s="3"/>
      <c r="B46" s="141" t="s">
        <v>13</v>
      </c>
      <c r="C46" s="110" t="s">
        <v>6896</v>
      </c>
      <c r="D46" s="110" t="s">
        <v>1201</v>
      </c>
      <c r="E46" s="98" t="s">
        <v>528</v>
      </c>
      <c r="F46" s="117" t="s">
        <v>1204</v>
      </c>
      <c r="G46" s="142" t="n">
        <v>3560</v>
      </c>
      <c r="H46" s="98" t="s">
        <v>490</v>
      </c>
      <c r="I46" s="142" t="n">
        <v>3560</v>
      </c>
      <c r="J46" s="98" t="s">
        <v>1202</v>
      </c>
      <c r="K46" s="110" t="s">
        <v>1203</v>
      </c>
      <c r="L46" s="110" t="s">
        <v>1018</v>
      </c>
      <c r="M46" s="110" t="s">
        <v>537</v>
      </c>
      <c r="N46" s="3"/>
      <c r="O46" s="3"/>
      <c r="P46" s="3"/>
      <c r="Q46" s="3"/>
      <c r="R46" s="3"/>
      <c r="S46" s="3"/>
      <c r="T46" s="3"/>
      <c r="U46" s="3"/>
      <c r="V46" s="3"/>
      <c r="W46" s="3"/>
      <c r="X46" s="3"/>
      <c r="Y46" s="3"/>
      <c r="Z46" s="3"/>
      <c r="AA46" s="3"/>
      <c r="AB46" s="3"/>
      <c r="AC46" s="3"/>
    </row>
    <row r="47" customFormat="false" ht="33" hidden="false" customHeight="true" outlineLevel="0" collapsed="false">
      <c r="A47" s="3"/>
      <c r="B47" s="139" t="s">
        <v>13</v>
      </c>
      <c r="C47" s="109" t="s">
        <v>6896</v>
      </c>
      <c r="D47" s="109" t="s">
        <v>1201</v>
      </c>
      <c r="E47" s="91" t="s">
        <v>1087</v>
      </c>
      <c r="F47" s="113" t="s">
        <v>1207</v>
      </c>
      <c r="G47" s="140" t="n">
        <v>3990</v>
      </c>
      <c r="H47" s="91" t="s">
        <v>490</v>
      </c>
      <c r="I47" s="140" t="n">
        <v>3990</v>
      </c>
      <c r="J47" s="91" t="s">
        <v>1202</v>
      </c>
      <c r="K47" s="109" t="s">
        <v>1203</v>
      </c>
      <c r="L47" s="109" t="s">
        <v>1018</v>
      </c>
      <c r="M47" s="109" t="s">
        <v>537</v>
      </c>
      <c r="N47" s="3"/>
      <c r="O47" s="3"/>
      <c r="P47" s="3"/>
      <c r="Q47" s="3"/>
      <c r="R47" s="3"/>
      <c r="S47" s="3"/>
      <c r="T47" s="3"/>
      <c r="U47" s="3"/>
      <c r="V47" s="3"/>
      <c r="W47" s="3"/>
      <c r="X47" s="3"/>
      <c r="Y47" s="3"/>
      <c r="Z47" s="3"/>
      <c r="AA47" s="3"/>
      <c r="AB47" s="3"/>
      <c r="AC47" s="3"/>
    </row>
    <row r="48" customFormat="false" ht="36" hidden="false" customHeight="true" outlineLevel="0" collapsed="false">
      <c r="A48" s="3"/>
      <c r="B48" s="141" t="s">
        <v>13</v>
      </c>
      <c r="C48" s="110" t="s">
        <v>6896</v>
      </c>
      <c r="D48" s="110" t="s">
        <v>1201</v>
      </c>
      <c r="E48" s="98" t="s">
        <v>541</v>
      </c>
      <c r="F48" s="117" t="s">
        <v>1206</v>
      </c>
      <c r="G48" s="142" t="n">
        <v>5897</v>
      </c>
      <c r="H48" s="98" t="s">
        <v>490</v>
      </c>
      <c r="I48" s="142" t="n">
        <v>5897</v>
      </c>
      <c r="J48" s="98" t="s">
        <v>1202</v>
      </c>
      <c r="K48" s="110" t="s">
        <v>1203</v>
      </c>
      <c r="L48" s="110" t="s">
        <v>1018</v>
      </c>
      <c r="M48" s="110" t="s">
        <v>537</v>
      </c>
      <c r="N48" s="3"/>
      <c r="O48" s="3"/>
      <c r="P48" s="3"/>
      <c r="Q48" s="3"/>
      <c r="R48" s="3"/>
      <c r="S48" s="3"/>
      <c r="T48" s="3"/>
      <c r="U48" s="3"/>
      <c r="V48" s="3"/>
      <c r="W48" s="3"/>
      <c r="X48" s="3"/>
      <c r="Y48" s="3"/>
      <c r="Z48" s="3"/>
      <c r="AA48" s="3"/>
      <c r="AB48" s="3"/>
      <c r="AC48" s="3"/>
    </row>
    <row r="49" customFormat="false" ht="36" hidden="false" customHeight="true" outlineLevel="0" collapsed="false">
      <c r="A49" s="3"/>
      <c r="B49" s="139" t="s">
        <v>13</v>
      </c>
      <c r="C49" s="109" t="s">
        <v>6897</v>
      </c>
      <c r="D49" s="109" t="s">
        <v>1436</v>
      </c>
      <c r="E49" s="91" t="s">
        <v>548</v>
      </c>
      <c r="F49" s="113" t="s">
        <v>1439</v>
      </c>
      <c r="G49" s="140" t="n">
        <v>2020</v>
      </c>
      <c r="H49" s="91" t="s">
        <v>490</v>
      </c>
      <c r="I49" s="140" t="n">
        <v>2020</v>
      </c>
      <c r="J49" s="91" t="s">
        <v>1437</v>
      </c>
      <c r="K49" s="109" t="s">
        <v>1438</v>
      </c>
      <c r="L49" s="109" t="s">
        <v>1018</v>
      </c>
      <c r="M49" s="109" t="s">
        <v>537</v>
      </c>
      <c r="N49" s="3"/>
      <c r="O49" s="3"/>
      <c r="P49" s="3"/>
      <c r="Q49" s="3"/>
      <c r="R49" s="3"/>
      <c r="S49" s="3"/>
      <c r="T49" s="3"/>
      <c r="U49" s="3"/>
      <c r="V49" s="3"/>
      <c r="W49" s="3"/>
      <c r="X49" s="3"/>
      <c r="Y49" s="3"/>
      <c r="Z49" s="3"/>
      <c r="AA49" s="3"/>
      <c r="AB49" s="3"/>
      <c r="AC49" s="3"/>
    </row>
    <row r="50" customFormat="false" ht="36" hidden="false" customHeight="true" outlineLevel="0" collapsed="false">
      <c r="A50" s="3"/>
      <c r="B50" s="141" t="s">
        <v>13</v>
      </c>
      <c r="C50" s="110" t="s">
        <v>6898</v>
      </c>
      <c r="D50" s="110" t="s">
        <v>1493</v>
      </c>
      <c r="E50" s="98" t="s">
        <v>528</v>
      </c>
      <c r="F50" s="117" t="s">
        <v>1496</v>
      </c>
      <c r="G50" s="142" t="n">
        <v>17250</v>
      </c>
      <c r="H50" s="98" t="s">
        <v>490</v>
      </c>
      <c r="I50" s="142" t="n">
        <v>17250</v>
      </c>
      <c r="J50" s="98" t="s">
        <v>1494</v>
      </c>
      <c r="K50" s="110" t="s">
        <v>1495</v>
      </c>
      <c r="L50" s="110" t="s">
        <v>1018</v>
      </c>
      <c r="M50" s="110" t="s">
        <v>537</v>
      </c>
      <c r="N50" s="3"/>
      <c r="O50" s="3"/>
      <c r="P50" s="3"/>
      <c r="Q50" s="3"/>
      <c r="R50" s="3"/>
      <c r="S50" s="3"/>
      <c r="T50" s="3"/>
      <c r="U50" s="3"/>
      <c r="V50" s="3"/>
      <c r="W50" s="3"/>
      <c r="X50" s="3"/>
      <c r="Y50" s="3"/>
      <c r="Z50" s="3"/>
      <c r="AA50" s="3"/>
      <c r="AB50" s="3"/>
      <c r="AC50" s="3"/>
    </row>
    <row r="51" customFormat="false" ht="36" hidden="false" customHeight="true" outlineLevel="0" collapsed="false">
      <c r="A51" s="3"/>
      <c r="B51" s="139" t="s">
        <v>13</v>
      </c>
      <c r="C51" s="109" t="s">
        <v>6898</v>
      </c>
      <c r="D51" s="109" t="s">
        <v>1493</v>
      </c>
      <c r="E51" s="91" t="s">
        <v>548</v>
      </c>
      <c r="F51" s="113" t="s">
        <v>1500</v>
      </c>
      <c r="G51" s="140" t="n">
        <v>30494</v>
      </c>
      <c r="H51" s="91" t="s">
        <v>490</v>
      </c>
      <c r="I51" s="140" t="n">
        <v>30494</v>
      </c>
      <c r="J51" s="91" t="s">
        <v>1494</v>
      </c>
      <c r="K51" s="109" t="s">
        <v>1495</v>
      </c>
      <c r="L51" s="109" t="s">
        <v>1018</v>
      </c>
      <c r="M51" s="109" t="s">
        <v>537</v>
      </c>
      <c r="N51" s="3"/>
      <c r="O51" s="3"/>
      <c r="P51" s="3"/>
      <c r="Q51" s="3"/>
      <c r="R51" s="3"/>
      <c r="S51" s="3"/>
      <c r="T51" s="3"/>
      <c r="U51" s="3"/>
      <c r="V51" s="3"/>
      <c r="W51" s="3"/>
      <c r="X51" s="3"/>
      <c r="Y51" s="3"/>
      <c r="Z51" s="3"/>
      <c r="AA51" s="3"/>
      <c r="AB51" s="3"/>
      <c r="AC51" s="3"/>
    </row>
    <row r="52" customFormat="false" ht="36" hidden="false" customHeight="true" outlineLevel="0" collapsed="false">
      <c r="A52" s="3"/>
      <c r="B52" s="141" t="s">
        <v>13</v>
      </c>
      <c r="C52" s="110" t="s">
        <v>6898</v>
      </c>
      <c r="D52" s="110" t="s">
        <v>1493</v>
      </c>
      <c r="E52" s="98" t="s">
        <v>541</v>
      </c>
      <c r="F52" s="117" t="s">
        <v>1499</v>
      </c>
      <c r="G52" s="142" t="n">
        <v>59685</v>
      </c>
      <c r="H52" s="98" t="s">
        <v>490</v>
      </c>
      <c r="I52" s="142" t="n">
        <v>59685</v>
      </c>
      <c r="J52" s="98" t="s">
        <v>1494</v>
      </c>
      <c r="K52" s="110" t="s">
        <v>1495</v>
      </c>
      <c r="L52" s="110" t="s">
        <v>1018</v>
      </c>
      <c r="M52" s="110" t="s">
        <v>537</v>
      </c>
      <c r="N52" s="3"/>
      <c r="O52" s="3"/>
      <c r="P52" s="3"/>
      <c r="Q52" s="3"/>
      <c r="R52" s="3"/>
      <c r="S52" s="3"/>
      <c r="T52" s="3"/>
      <c r="U52" s="3"/>
      <c r="V52" s="3"/>
      <c r="W52" s="3"/>
      <c r="X52" s="3"/>
      <c r="Y52" s="3"/>
      <c r="Z52" s="3"/>
      <c r="AA52" s="3"/>
      <c r="AB52" s="3"/>
      <c r="AC52" s="3"/>
    </row>
    <row r="53" customFormat="false" ht="36" hidden="false" customHeight="true" outlineLevel="0" collapsed="false">
      <c r="A53" s="3"/>
      <c r="B53" s="139" t="s">
        <v>13</v>
      </c>
      <c r="C53" s="109" t="s">
        <v>6898</v>
      </c>
      <c r="D53" s="109" t="s">
        <v>1498</v>
      </c>
      <c r="E53" s="91" t="s">
        <v>528</v>
      </c>
      <c r="F53" s="113" t="s">
        <v>1496</v>
      </c>
      <c r="G53" s="140" t="n">
        <v>16100</v>
      </c>
      <c r="H53" s="91" t="s">
        <v>490</v>
      </c>
      <c r="I53" s="140" t="n">
        <v>16100</v>
      </c>
      <c r="J53" s="91" t="s">
        <v>1494</v>
      </c>
      <c r="K53" s="109" t="s">
        <v>1495</v>
      </c>
      <c r="L53" s="109" t="s">
        <v>1018</v>
      </c>
      <c r="M53" s="109" t="s">
        <v>537</v>
      </c>
      <c r="N53" s="3"/>
      <c r="O53" s="3"/>
      <c r="P53" s="3"/>
      <c r="Q53" s="3"/>
      <c r="R53" s="3"/>
      <c r="S53" s="3"/>
      <c r="T53" s="3"/>
      <c r="U53" s="3"/>
      <c r="V53" s="3"/>
      <c r="W53" s="3"/>
      <c r="X53" s="3"/>
      <c r="Y53" s="3"/>
      <c r="Z53" s="3"/>
      <c r="AA53" s="3"/>
      <c r="AB53" s="3"/>
      <c r="AC53" s="3"/>
    </row>
    <row r="54" customFormat="false" ht="30.75" hidden="false" customHeight="true" outlineLevel="0" collapsed="false">
      <c r="A54" s="3"/>
      <c r="B54" s="9"/>
      <c r="C54" s="9"/>
      <c r="D54" s="9"/>
      <c r="E54" s="10"/>
      <c r="F54" s="9"/>
      <c r="G54" s="10"/>
      <c r="H54" s="10"/>
      <c r="I54" s="10"/>
      <c r="J54" s="10"/>
      <c r="K54" s="9"/>
      <c r="L54" s="9"/>
      <c r="M54" s="9"/>
      <c r="N54" s="3"/>
      <c r="O54" s="3"/>
      <c r="P54" s="3"/>
      <c r="Q54" s="3"/>
      <c r="R54" s="3"/>
      <c r="S54" s="3"/>
      <c r="T54" s="3"/>
      <c r="U54" s="3"/>
      <c r="V54" s="3"/>
      <c r="W54" s="3"/>
      <c r="X54" s="3"/>
      <c r="Y54" s="3"/>
      <c r="Z54" s="3"/>
      <c r="AA54" s="3"/>
      <c r="AB54" s="3"/>
      <c r="AC54" s="3"/>
    </row>
    <row r="55" customFormat="false" ht="30.75" hidden="false" customHeight="true" outlineLevel="0" collapsed="false">
      <c r="A55" s="3"/>
      <c r="B55" s="9"/>
      <c r="C55" s="9"/>
      <c r="D55" s="9"/>
      <c r="E55" s="10"/>
      <c r="F55" s="9"/>
      <c r="G55" s="10"/>
      <c r="H55" s="10"/>
      <c r="I55" s="10"/>
      <c r="J55" s="10"/>
      <c r="K55" s="9"/>
      <c r="L55" s="9"/>
      <c r="M55" s="9"/>
      <c r="N55" s="3"/>
      <c r="O55" s="3"/>
      <c r="P55" s="3"/>
      <c r="Q55" s="3"/>
      <c r="R55" s="3"/>
      <c r="S55" s="3"/>
      <c r="T55" s="3"/>
      <c r="U55" s="3"/>
      <c r="V55" s="3"/>
      <c r="W55" s="3"/>
      <c r="X55" s="3"/>
      <c r="Y55" s="3"/>
      <c r="Z55" s="3"/>
      <c r="AA55" s="3"/>
      <c r="AB55" s="3"/>
      <c r="AC55" s="3"/>
    </row>
    <row r="56" customFormat="false" ht="30.75" hidden="false" customHeight="true" outlineLevel="0" collapsed="false">
      <c r="A56" s="3"/>
      <c r="B56" s="9"/>
      <c r="C56" s="9"/>
      <c r="D56" s="9"/>
      <c r="E56" s="10"/>
      <c r="F56" s="9"/>
      <c r="G56" s="10"/>
      <c r="H56" s="10"/>
      <c r="I56" s="10"/>
      <c r="J56" s="10"/>
      <c r="K56" s="9"/>
      <c r="L56" s="9"/>
      <c r="M56" s="9"/>
      <c r="N56" s="3"/>
      <c r="O56" s="3"/>
      <c r="P56" s="3"/>
      <c r="Q56" s="3"/>
      <c r="R56" s="3"/>
      <c r="S56" s="3"/>
      <c r="T56" s="3"/>
      <c r="U56" s="3"/>
      <c r="V56" s="3"/>
      <c r="W56" s="3"/>
      <c r="X56" s="3"/>
      <c r="Y56" s="3"/>
      <c r="Z56" s="3"/>
      <c r="AA56" s="3"/>
      <c r="AB56" s="3"/>
      <c r="AC56" s="3"/>
    </row>
    <row r="57" customFormat="false" ht="21.75" hidden="false" customHeight="true" outlineLevel="0" collapsed="false">
      <c r="A57" s="3"/>
      <c r="B57" s="143" t="s">
        <v>30</v>
      </c>
      <c r="C57" s="9"/>
      <c r="D57" s="9"/>
      <c r="E57" s="10"/>
      <c r="F57" s="9"/>
      <c r="G57" s="10"/>
      <c r="H57" s="10"/>
      <c r="I57" s="10"/>
      <c r="J57" s="10"/>
      <c r="K57" s="9"/>
      <c r="L57" s="9"/>
      <c r="M57" s="9"/>
      <c r="N57" s="3"/>
      <c r="O57" s="3"/>
      <c r="P57" s="3"/>
      <c r="Q57" s="3"/>
      <c r="R57" s="3"/>
      <c r="S57" s="3"/>
      <c r="T57" s="3"/>
      <c r="U57" s="3"/>
      <c r="V57" s="3"/>
      <c r="W57" s="3"/>
      <c r="X57" s="3"/>
      <c r="Y57" s="3"/>
      <c r="Z57" s="3"/>
      <c r="AA57" s="3"/>
      <c r="AB57" s="3"/>
      <c r="AC57" s="3"/>
    </row>
    <row r="58" customFormat="false" ht="21.75" hidden="false" customHeight="true" outlineLevel="0" collapsed="false">
      <c r="A58" s="3"/>
      <c r="B58" s="9" t="s">
        <v>6899</v>
      </c>
      <c r="C58" s="9"/>
      <c r="D58" s="9"/>
      <c r="E58" s="10"/>
      <c r="F58" s="9"/>
      <c r="G58" s="10"/>
      <c r="H58" s="10"/>
      <c r="I58" s="10"/>
      <c r="J58" s="10"/>
      <c r="K58" s="9"/>
      <c r="L58" s="9"/>
      <c r="M58" s="9"/>
      <c r="N58" s="3"/>
      <c r="O58" s="3"/>
      <c r="P58" s="3"/>
      <c r="Q58" s="3"/>
      <c r="R58" s="3"/>
      <c r="S58" s="3"/>
      <c r="T58" s="3"/>
      <c r="U58" s="3"/>
      <c r="V58" s="3"/>
      <c r="W58" s="3"/>
      <c r="X58" s="3"/>
      <c r="Y58" s="3"/>
      <c r="Z58" s="3"/>
      <c r="AA58" s="3"/>
      <c r="AB58" s="3"/>
      <c r="AC58" s="3"/>
    </row>
    <row r="59" customFormat="false" ht="21.75" hidden="false" customHeight="true" outlineLevel="0" collapsed="false">
      <c r="A59" s="3"/>
      <c r="B59" s="3"/>
      <c r="C59" s="3"/>
      <c r="D59" s="3"/>
      <c r="E59" s="4"/>
      <c r="F59" s="3"/>
      <c r="G59" s="4"/>
      <c r="H59" s="4"/>
      <c r="I59" s="4"/>
      <c r="J59" s="4"/>
      <c r="K59" s="3"/>
      <c r="L59" s="3"/>
      <c r="M59" s="3"/>
      <c r="N59" s="3"/>
      <c r="O59" s="3"/>
      <c r="P59" s="3"/>
      <c r="Q59" s="3"/>
      <c r="R59" s="3"/>
      <c r="S59" s="3"/>
      <c r="T59" s="3"/>
      <c r="U59" s="3"/>
      <c r="V59" s="3"/>
      <c r="W59" s="3"/>
      <c r="X59" s="3"/>
      <c r="Y59" s="3"/>
      <c r="Z59" s="3"/>
      <c r="AA59" s="3"/>
      <c r="AB59" s="3"/>
      <c r="AC59" s="3"/>
    </row>
    <row r="60" customFormat="false" ht="21.75" hidden="false" customHeight="true" outlineLevel="0" collapsed="false">
      <c r="A60" s="3"/>
      <c r="B60" s="3"/>
      <c r="C60" s="3"/>
      <c r="D60" s="3"/>
      <c r="E60" s="4"/>
      <c r="F60" s="3"/>
      <c r="G60" s="4"/>
      <c r="H60" s="4"/>
      <c r="I60" s="4"/>
      <c r="J60" s="4"/>
      <c r="K60" s="3"/>
      <c r="L60" s="3"/>
      <c r="M60" s="3"/>
      <c r="N60" s="3"/>
      <c r="O60" s="3"/>
      <c r="P60" s="3"/>
      <c r="Q60" s="3"/>
      <c r="R60" s="3"/>
      <c r="S60" s="3"/>
      <c r="T60" s="3"/>
      <c r="U60" s="3"/>
      <c r="V60" s="3"/>
      <c r="W60" s="3"/>
      <c r="X60" s="3"/>
      <c r="Y60" s="3"/>
      <c r="Z60" s="3"/>
      <c r="AA60" s="3"/>
      <c r="AB60" s="3"/>
      <c r="AC60" s="3"/>
    </row>
    <row r="61" customFormat="false" ht="21.75" hidden="false" customHeight="true" outlineLevel="0" collapsed="false">
      <c r="A61" s="3"/>
      <c r="B61" s="3"/>
      <c r="C61" s="3"/>
      <c r="D61" s="3"/>
      <c r="E61" s="4"/>
      <c r="F61" s="3"/>
      <c r="G61" s="4"/>
      <c r="H61" s="4"/>
      <c r="I61" s="4"/>
      <c r="J61" s="4"/>
      <c r="K61" s="3"/>
      <c r="L61" s="3"/>
      <c r="M61" s="3"/>
      <c r="N61" s="3"/>
      <c r="O61" s="3"/>
      <c r="P61" s="3"/>
      <c r="Q61" s="3"/>
      <c r="R61" s="3"/>
      <c r="S61" s="3"/>
      <c r="T61" s="3"/>
      <c r="U61" s="3"/>
      <c r="V61" s="3"/>
      <c r="W61" s="3"/>
      <c r="X61" s="3"/>
      <c r="Y61" s="3"/>
      <c r="Z61" s="3"/>
      <c r="AA61" s="3"/>
      <c r="AB61" s="3"/>
      <c r="AC61" s="3"/>
    </row>
    <row r="62" customFormat="false" ht="21.75" hidden="false" customHeight="true" outlineLevel="0" collapsed="false">
      <c r="A62" s="3"/>
      <c r="B62" s="3"/>
      <c r="C62" s="3"/>
      <c r="D62" s="3"/>
      <c r="E62" s="4"/>
      <c r="F62" s="3"/>
      <c r="G62" s="4"/>
      <c r="H62" s="4"/>
      <c r="I62" s="4"/>
      <c r="J62" s="4"/>
      <c r="K62" s="3"/>
      <c r="L62" s="3"/>
      <c r="M62" s="3"/>
      <c r="N62" s="3"/>
      <c r="O62" s="3"/>
      <c r="P62" s="3"/>
      <c r="Q62" s="3"/>
      <c r="R62" s="3"/>
      <c r="S62" s="3"/>
      <c r="T62" s="3"/>
      <c r="U62" s="3"/>
      <c r="V62" s="3"/>
      <c r="W62" s="3"/>
      <c r="X62" s="3"/>
      <c r="Y62" s="3"/>
      <c r="Z62" s="3"/>
      <c r="AA62" s="3"/>
      <c r="AB62" s="3"/>
      <c r="AC62" s="3"/>
    </row>
    <row r="63" customFormat="false" ht="21.75" hidden="false" customHeight="true" outlineLevel="0" collapsed="false">
      <c r="A63" s="3"/>
      <c r="B63" s="3"/>
      <c r="C63" s="3"/>
      <c r="D63" s="3"/>
      <c r="E63" s="4"/>
      <c r="F63" s="3"/>
      <c r="G63" s="4"/>
      <c r="H63" s="4"/>
      <c r="I63" s="4"/>
      <c r="J63" s="4"/>
      <c r="K63" s="3"/>
      <c r="L63" s="3"/>
      <c r="M63" s="3"/>
      <c r="N63" s="3"/>
      <c r="O63" s="3"/>
      <c r="P63" s="3"/>
      <c r="Q63" s="3"/>
      <c r="R63" s="3"/>
      <c r="S63" s="3"/>
      <c r="T63" s="3"/>
      <c r="U63" s="3"/>
      <c r="V63" s="3"/>
      <c r="W63" s="3"/>
      <c r="X63" s="3"/>
      <c r="Y63" s="3"/>
      <c r="Z63" s="3"/>
      <c r="AA63" s="3"/>
      <c r="AB63" s="3"/>
      <c r="AC63" s="3"/>
    </row>
    <row r="64" customFormat="false" ht="21.75" hidden="false" customHeight="true" outlineLevel="0" collapsed="false">
      <c r="A64" s="3"/>
      <c r="B64" s="3"/>
      <c r="C64" s="3"/>
      <c r="D64" s="3"/>
      <c r="E64" s="4"/>
      <c r="F64" s="3"/>
      <c r="G64" s="4"/>
      <c r="H64" s="4"/>
      <c r="I64" s="4"/>
      <c r="J64" s="4"/>
      <c r="K64" s="3"/>
      <c r="L64" s="3"/>
      <c r="M64" s="3"/>
      <c r="N64" s="3"/>
      <c r="O64" s="3"/>
      <c r="P64" s="3"/>
      <c r="Q64" s="3"/>
      <c r="R64" s="3"/>
      <c r="S64" s="3"/>
      <c r="T64" s="3"/>
      <c r="U64" s="3"/>
      <c r="V64" s="3"/>
      <c r="W64" s="3"/>
      <c r="X64" s="3"/>
      <c r="Y64" s="3"/>
      <c r="Z64" s="3"/>
      <c r="AA64" s="3"/>
      <c r="AB64" s="3"/>
      <c r="AC64" s="3"/>
    </row>
    <row r="65" customFormat="false" ht="21.75" hidden="false" customHeight="true" outlineLevel="0" collapsed="false">
      <c r="A65" s="3"/>
      <c r="B65" s="3"/>
      <c r="C65" s="3"/>
      <c r="D65" s="3"/>
      <c r="E65" s="4"/>
      <c r="F65" s="3"/>
      <c r="G65" s="4"/>
      <c r="H65" s="4"/>
      <c r="I65" s="4"/>
      <c r="J65" s="4"/>
      <c r="K65" s="3"/>
      <c r="L65" s="3"/>
      <c r="M65" s="3"/>
      <c r="N65" s="3"/>
      <c r="O65" s="3"/>
      <c r="P65" s="3"/>
      <c r="Q65" s="3"/>
      <c r="R65" s="3"/>
      <c r="S65" s="3"/>
      <c r="T65" s="3"/>
      <c r="U65" s="3"/>
      <c r="V65" s="3"/>
      <c r="W65" s="3"/>
      <c r="X65" s="3"/>
      <c r="Y65" s="3"/>
      <c r="Z65" s="3"/>
      <c r="AA65" s="3"/>
      <c r="AB65" s="3"/>
      <c r="AC65" s="3"/>
    </row>
    <row r="66" customFormat="false" ht="21.75" hidden="false" customHeight="true" outlineLevel="0" collapsed="false">
      <c r="A66" s="3"/>
      <c r="B66" s="3"/>
      <c r="C66" s="3"/>
      <c r="D66" s="3"/>
      <c r="E66" s="4"/>
      <c r="F66" s="3"/>
      <c r="G66" s="4"/>
      <c r="H66" s="4"/>
      <c r="I66" s="4"/>
      <c r="J66" s="4"/>
      <c r="K66" s="3"/>
      <c r="L66" s="3"/>
      <c r="M66" s="3"/>
      <c r="N66" s="3"/>
      <c r="O66" s="3"/>
      <c r="P66" s="3"/>
      <c r="Q66" s="3"/>
      <c r="R66" s="3"/>
      <c r="S66" s="3"/>
      <c r="T66" s="3"/>
      <c r="U66" s="3"/>
      <c r="V66" s="3"/>
      <c r="W66" s="3"/>
      <c r="X66" s="3"/>
      <c r="Y66" s="3"/>
      <c r="Z66" s="3"/>
      <c r="AA66" s="3"/>
      <c r="AB66" s="3"/>
      <c r="AC66" s="3"/>
    </row>
    <row r="67" customFormat="false" ht="21.75" hidden="false" customHeight="true" outlineLevel="0" collapsed="false">
      <c r="A67" s="3"/>
      <c r="B67" s="3"/>
      <c r="C67" s="3"/>
      <c r="D67" s="3"/>
      <c r="E67" s="4"/>
      <c r="F67" s="3"/>
      <c r="G67" s="4"/>
      <c r="H67" s="4"/>
      <c r="I67" s="4"/>
      <c r="J67" s="4"/>
      <c r="K67" s="3"/>
      <c r="L67" s="3"/>
      <c r="M67" s="3"/>
      <c r="N67" s="3"/>
      <c r="O67" s="3"/>
      <c r="P67" s="3"/>
      <c r="Q67" s="3"/>
      <c r="R67" s="3"/>
      <c r="S67" s="3"/>
      <c r="T67" s="3"/>
      <c r="U67" s="3"/>
      <c r="V67" s="3"/>
      <c r="W67" s="3"/>
      <c r="X67" s="3"/>
      <c r="Y67" s="3"/>
      <c r="Z67" s="3"/>
      <c r="AA67" s="3"/>
      <c r="AB67" s="3"/>
      <c r="AC67" s="3"/>
    </row>
    <row r="68" customFormat="false" ht="21.75" hidden="false" customHeight="true" outlineLevel="0" collapsed="false">
      <c r="A68" s="3"/>
      <c r="B68" s="3"/>
      <c r="C68" s="3"/>
      <c r="D68" s="3"/>
      <c r="E68" s="4"/>
      <c r="F68" s="3"/>
      <c r="G68" s="4"/>
      <c r="H68" s="4"/>
      <c r="I68" s="4"/>
      <c r="J68" s="4"/>
      <c r="K68" s="3"/>
      <c r="L68" s="3"/>
      <c r="M68" s="3"/>
      <c r="N68" s="3"/>
      <c r="O68" s="3"/>
      <c r="P68" s="3"/>
      <c r="Q68" s="3"/>
      <c r="R68" s="3"/>
      <c r="S68" s="3"/>
      <c r="T68" s="3"/>
      <c r="U68" s="3"/>
      <c r="V68" s="3"/>
      <c r="W68" s="3"/>
      <c r="X68" s="3"/>
      <c r="Y68" s="3"/>
      <c r="Z68" s="3"/>
      <c r="AA68" s="3"/>
      <c r="AB68" s="3"/>
      <c r="AC68" s="3"/>
    </row>
    <row r="69" customFormat="false" ht="21.75" hidden="false" customHeight="true" outlineLevel="0" collapsed="false">
      <c r="A69" s="3"/>
      <c r="B69" s="3"/>
      <c r="C69" s="3"/>
      <c r="D69" s="3"/>
      <c r="E69" s="4"/>
      <c r="F69" s="3"/>
      <c r="G69" s="4"/>
      <c r="H69" s="4"/>
      <c r="I69" s="4"/>
      <c r="J69" s="4"/>
      <c r="K69" s="3"/>
      <c r="L69" s="3"/>
      <c r="M69" s="3"/>
      <c r="N69" s="3"/>
      <c r="O69" s="3"/>
      <c r="P69" s="3"/>
      <c r="Q69" s="3"/>
      <c r="R69" s="3"/>
      <c r="S69" s="3"/>
      <c r="T69" s="3"/>
      <c r="U69" s="3"/>
      <c r="V69" s="3"/>
      <c r="W69" s="3"/>
      <c r="X69" s="3"/>
      <c r="Y69" s="3"/>
      <c r="Z69" s="3"/>
      <c r="AA69" s="3"/>
      <c r="AB69" s="3"/>
      <c r="AC69" s="3"/>
    </row>
    <row r="70" customFormat="false" ht="21.75" hidden="false" customHeight="true" outlineLevel="0" collapsed="false">
      <c r="A70" s="3"/>
      <c r="B70" s="3"/>
      <c r="C70" s="3"/>
      <c r="D70" s="3"/>
      <c r="E70" s="4"/>
      <c r="F70" s="3"/>
      <c r="G70" s="4"/>
      <c r="H70" s="4"/>
      <c r="I70" s="4"/>
      <c r="J70" s="4"/>
      <c r="K70" s="3"/>
      <c r="L70" s="3"/>
      <c r="M70" s="3"/>
      <c r="N70" s="3"/>
      <c r="O70" s="3"/>
      <c r="P70" s="3"/>
      <c r="Q70" s="3"/>
      <c r="R70" s="3"/>
      <c r="S70" s="3"/>
      <c r="T70" s="3"/>
      <c r="U70" s="3"/>
      <c r="V70" s="3"/>
      <c r="W70" s="3"/>
      <c r="X70" s="3"/>
      <c r="Y70" s="3"/>
      <c r="Z70" s="3"/>
      <c r="AA70" s="3"/>
      <c r="AB70" s="3"/>
      <c r="AC70" s="3"/>
    </row>
    <row r="71" customFormat="false" ht="21.75" hidden="false" customHeight="true" outlineLevel="0" collapsed="false">
      <c r="A71" s="3"/>
      <c r="B71" s="3"/>
      <c r="C71" s="3"/>
      <c r="D71" s="3"/>
      <c r="E71" s="4"/>
      <c r="F71" s="3"/>
      <c r="G71" s="4"/>
      <c r="H71" s="4"/>
      <c r="I71" s="4"/>
      <c r="J71" s="4"/>
      <c r="K71" s="3"/>
      <c r="L71" s="3"/>
      <c r="M71" s="3"/>
      <c r="N71" s="3"/>
      <c r="O71" s="3"/>
      <c r="P71" s="3"/>
      <c r="Q71" s="3"/>
      <c r="R71" s="3"/>
      <c r="S71" s="3"/>
      <c r="T71" s="3"/>
      <c r="U71" s="3"/>
      <c r="V71" s="3"/>
      <c r="W71" s="3"/>
      <c r="X71" s="3"/>
      <c r="Y71" s="3"/>
      <c r="Z71" s="3"/>
      <c r="AA71" s="3"/>
      <c r="AB71" s="3"/>
      <c r="AC71" s="3"/>
    </row>
    <row r="72" customFormat="false" ht="21.75" hidden="false" customHeight="true" outlineLevel="0" collapsed="false">
      <c r="A72" s="3"/>
      <c r="B72" s="3"/>
      <c r="C72" s="3"/>
      <c r="D72" s="3"/>
      <c r="E72" s="4"/>
      <c r="F72" s="3"/>
      <c r="G72" s="4"/>
      <c r="H72" s="4"/>
      <c r="I72" s="4"/>
      <c r="J72" s="4"/>
      <c r="K72" s="3"/>
      <c r="L72" s="3"/>
      <c r="M72" s="3"/>
      <c r="N72" s="3"/>
      <c r="O72" s="3"/>
      <c r="P72" s="3"/>
      <c r="Q72" s="3"/>
      <c r="R72" s="3"/>
      <c r="S72" s="3"/>
      <c r="T72" s="3"/>
      <c r="U72" s="3"/>
      <c r="V72" s="3"/>
      <c r="W72" s="3"/>
      <c r="X72" s="3"/>
      <c r="Y72" s="3"/>
      <c r="Z72" s="3"/>
      <c r="AA72" s="3"/>
      <c r="AB72" s="3"/>
      <c r="AC72" s="3"/>
    </row>
    <row r="73" customFormat="false" ht="21.75" hidden="false" customHeight="true" outlineLevel="0" collapsed="false">
      <c r="A73" s="3"/>
      <c r="B73" s="3"/>
      <c r="C73" s="3"/>
      <c r="D73" s="3"/>
      <c r="E73" s="4"/>
      <c r="F73" s="3"/>
      <c r="G73" s="4"/>
      <c r="H73" s="4"/>
      <c r="I73" s="4"/>
      <c r="J73" s="4"/>
      <c r="K73" s="3"/>
      <c r="L73" s="3"/>
      <c r="M73" s="3"/>
      <c r="N73" s="3"/>
      <c r="O73" s="3"/>
      <c r="P73" s="3"/>
      <c r="Q73" s="3"/>
      <c r="R73" s="3"/>
      <c r="S73" s="3"/>
      <c r="T73" s="3"/>
      <c r="U73" s="3"/>
      <c r="V73" s="3"/>
      <c r="W73" s="3"/>
      <c r="X73" s="3"/>
      <c r="Y73" s="3"/>
      <c r="Z73" s="3"/>
      <c r="AA73" s="3"/>
      <c r="AB73" s="3"/>
      <c r="AC73" s="3"/>
    </row>
    <row r="74" customFormat="false" ht="21.75" hidden="false" customHeight="true" outlineLevel="0" collapsed="false">
      <c r="A74" s="3"/>
      <c r="B74" s="3"/>
      <c r="C74" s="3"/>
      <c r="D74" s="3"/>
      <c r="E74" s="4"/>
      <c r="F74" s="3"/>
      <c r="G74" s="4"/>
      <c r="H74" s="4"/>
      <c r="I74" s="4"/>
      <c r="J74" s="4"/>
      <c r="K74" s="3"/>
      <c r="L74" s="3"/>
      <c r="M74" s="3"/>
      <c r="N74" s="3"/>
      <c r="O74" s="3"/>
      <c r="P74" s="3"/>
      <c r="Q74" s="3"/>
      <c r="R74" s="3"/>
      <c r="S74" s="3"/>
      <c r="T74" s="3"/>
      <c r="U74" s="3"/>
      <c r="V74" s="3"/>
      <c r="W74" s="3"/>
      <c r="X74" s="3"/>
      <c r="Y74" s="3"/>
      <c r="Z74" s="3"/>
      <c r="AA74" s="3"/>
      <c r="AB74" s="3"/>
      <c r="AC74" s="3"/>
    </row>
    <row r="75" customFormat="false" ht="21.75" hidden="false" customHeight="true" outlineLevel="0" collapsed="false">
      <c r="A75" s="3"/>
      <c r="B75" s="3"/>
      <c r="C75" s="3"/>
      <c r="D75" s="3"/>
      <c r="E75" s="4"/>
      <c r="F75" s="3"/>
      <c r="G75" s="4"/>
      <c r="H75" s="4"/>
      <c r="I75" s="4"/>
      <c r="J75" s="4"/>
      <c r="K75" s="3"/>
      <c r="L75" s="3"/>
      <c r="M75" s="3"/>
      <c r="N75" s="3"/>
      <c r="O75" s="3"/>
      <c r="P75" s="3"/>
      <c r="Q75" s="3"/>
      <c r="R75" s="3"/>
      <c r="S75" s="3"/>
      <c r="T75" s="3"/>
      <c r="U75" s="3"/>
      <c r="V75" s="3"/>
      <c r="W75" s="3"/>
      <c r="X75" s="3"/>
      <c r="Y75" s="3"/>
      <c r="Z75" s="3"/>
      <c r="AA75" s="3"/>
      <c r="AB75" s="3"/>
      <c r="AC75" s="3"/>
    </row>
    <row r="76" customFormat="false" ht="21.75" hidden="false" customHeight="true" outlineLevel="0" collapsed="false">
      <c r="A76" s="3"/>
      <c r="B76" s="3"/>
      <c r="C76" s="3"/>
      <c r="D76" s="3"/>
      <c r="E76" s="4"/>
      <c r="F76" s="3"/>
      <c r="G76" s="4"/>
      <c r="H76" s="4"/>
      <c r="I76" s="4"/>
      <c r="J76" s="4"/>
      <c r="K76" s="3"/>
      <c r="L76" s="3"/>
      <c r="M76" s="3"/>
      <c r="N76" s="3"/>
      <c r="O76" s="3"/>
      <c r="P76" s="3"/>
      <c r="Q76" s="3"/>
      <c r="R76" s="3"/>
      <c r="S76" s="3"/>
      <c r="T76" s="3"/>
      <c r="U76" s="3"/>
      <c r="V76" s="3"/>
      <c r="W76" s="3"/>
      <c r="X76" s="3"/>
      <c r="Y76" s="3"/>
      <c r="Z76" s="3"/>
      <c r="AA76" s="3"/>
      <c r="AB76" s="3"/>
      <c r="AC76" s="3"/>
    </row>
    <row r="77" customFormat="false" ht="21.75" hidden="false" customHeight="true" outlineLevel="0" collapsed="false">
      <c r="A77" s="3"/>
      <c r="B77" s="3"/>
      <c r="C77" s="3"/>
      <c r="D77" s="3"/>
      <c r="E77" s="4"/>
      <c r="F77" s="3"/>
      <c r="G77" s="4"/>
      <c r="H77" s="4"/>
      <c r="I77" s="4"/>
      <c r="J77" s="4"/>
      <c r="K77" s="3"/>
      <c r="L77" s="3"/>
      <c r="M77" s="3"/>
      <c r="N77" s="3"/>
      <c r="O77" s="3"/>
      <c r="P77" s="3"/>
      <c r="Q77" s="3"/>
      <c r="R77" s="3"/>
      <c r="S77" s="3"/>
      <c r="T77" s="3"/>
      <c r="U77" s="3"/>
      <c r="V77" s="3"/>
      <c r="W77" s="3"/>
      <c r="X77" s="3"/>
      <c r="Y77" s="3"/>
      <c r="Z77" s="3"/>
      <c r="AA77" s="3"/>
      <c r="AB77" s="3"/>
      <c r="AC77" s="3"/>
    </row>
    <row r="78" customFormat="false" ht="21.75" hidden="false" customHeight="true" outlineLevel="0" collapsed="false">
      <c r="A78" s="3"/>
      <c r="B78" s="3"/>
      <c r="C78" s="3"/>
      <c r="D78" s="3"/>
      <c r="E78" s="4"/>
      <c r="F78" s="3"/>
      <c r="G78" s="4"/>
      <c r="H78" s="4"/>
      <c r="I78" s="4"/>
      <c r="J78" s="4"/>
      <c r="K78" s="3"/>
      <c r="L78" s="3"/>
      <c r="M78" s="3"/>
      <c r="N78" s="3"/>
      <c r="O78" s="3"/>
      <c r="P78" s="3"/>
      <c r="Q78" s="3"/>
      <c r="R78" s="3"/>
      <c r="S78" s="3"/>
      <c r="T78" s="3"/>
      <c r="U78" s="3"/>
      <c r="V78" s="3"/>
      <c r="W78" s="3"/>
      <c r="X78" s="3"/>
      <c r="Y78" s="3"/>
      <c r="Z78" s="3"/>
      <c r="AA78" s="3"/>
      <c r="AB78" s="3"/>
      <c r="AC78" s="3"/>
    </row>
    <row r="79" customFormat="false" ht="21.75" hidden="false" customHeight="true" outlineLevel="0" collapsed="false">
      <c r="A79" s="3"/>
      <c r="B79" s="3"/>
      <c r="C79" s="3"/>
      <c r="D79" s="3"/>
      <c r="E79" s="4"/>
      <c r="F79" s="3"/>
      <c r="G79" s="4"/>
      <c r="H79" s="4"/>
      <c r="I79" s="4"/>
      <c r="J79" s="4"/>
      <c r="K79" s="3"/>
      <c r="L79" s="3"/>
      <c r="M79" s="3"/>
      <c r="N79" s="3"/>
      <c r="O79" s="3"/>
      <c r="P79" s="3"/>
      <c r="Q79" s="3"/>
      <c r="R79" s="3"/>
      <c r="S79" s="3"/>
      <c r="T79" s="3"/>
      <c r="U79" s="3"/>
      <c r="V79" s="3"/>
      <c r="W79" s="3"/>
      <c r="X79" s="3"/>
      <c r="Y79" s="3"/>
      <c r="Z79" s="3"/>
      <c r="AA79" s="3"/>
      <c r="AB79" s="3"/>
      <c r="AC79" s="3"/>
    </row>
    <row r="80" customFormat="false" ht="21.75" hidden="false" customHeight="true" outlineLevel="0" collapsed="false">
      <c r="A80" s="3"/>
      <c r="B80" s="3"/>
      <c r="C80" s="3"/>
      <c r="D80" s="3"/>
      <c r="E80" s="4"/>
      <c r="F80" s="3"/>
      <c r="G80" s="4"/>
      <c r="H80" s="4"/>
      <c r="I80" s="4"/>
      <c r="J80" s="4"/>
      <c r="K80" s="3"/>
      <c r="L80" s="3"/>
      <c r="M80" s="3"/>
      <c r="N80" s="3"/>
      <c r="O80" s="3"/>
      <c r="P80" s="3"/>
      <c r="Q80" s="3"/>
      <c r="R80" s="3"/>
      <c r="S80" s="3"/>
      <c r="T80" s="3"/>
      <c r="U80" s="3"/>
      <c r="V80" s="3"/>
      <c r="W80" s="3"/>
      <c r="X80" s="3"/>
      <c r="Y80" s="3"/>
      <c r="Z80" s="3"/>
      <c r="AA80" s="3"/>
      <c r="AB80" s="3"/>
      <c r="AC80" s="3"/>
    </row>
    <row r="81" customFormat="false" ht="21.75" hidden="false" customHeight="true" outlineLevel="0" collapsed="false">
      <c r="A81" s="3"/>
      <c r="B81" s="3"/>
      <c r="C81" s="3"/>
      <c r="D81" s="3"/>
      <c r="E81" s="4"/>
      <c r="F81" s="3"/>
      <c r="G81" s="4"/>
      <c r="H81" s="4"/>
      <c r="I81" s="4"/>
      <c r="J81" s="4"/>
      <c r="K81" s="3"/>
      <c r="L81" s="3"/>
      <c r="M81" s="3"/>
      <c r="N81" s="3"/>
      <c r="O81" s="3"/>
      <c r="P81" s="3"/>
      <c r="Q81" s="3"/>
      <c r="R81" s="3"/>
      <c r="S81" s="3"/>
      <c r="T81" s="3"/>
      <c r="U81" s="3"/>
      <c r="V81" s="3"/>
      <c r="W81" s="3"/>
      <c r="X81" s="3"/>
      <c r="Y81" s="3"/>
      <c r="Z81" s="3"/>
      <c r="AA81" s="3"/>
      <c r="AB81" s="3"/>
      <c r="AC81" s="3"/>
    </row>
    <row r="82" customFormat="false" ht="21.75" hidden="false" customHeight="true" outlineLevel="0" collapsed="false">
      <c r="A82" s="3"/>
      <c r="B82" s="3"/>
      <c r="C82" s="3"/>
      <c r="D82" s="3"/>
      <c r="E82" s="4"/>
      <c r="F82" s="3"/>
      <c r="G82" s="4"/>
      <c r="H82" s="4"/>
      <c r="I82" s="4"/>
      <c r="J82" s="4"/>
      <c r="K82" s="3"/>
      <c r="L82" s="3"/>
      <c r="M82" s="3"/>
      <c r="N82" s="3"/>
      <c r="O82" s="3"/>
      <c r="P82" s="3"/>
      <c r="Q82" s="3"/>
      <c r="R82" s="3"/>
      <c r="S82" s="3"/>
      <c r="T82" s="3"/>
      <c r="U82" s="3"/>
      <c r="V82" s="3"/>
      <c r="W82" s="3"/>
      <c r="X82" s="3"/>
      <c r="Y82" s="3"/>
      <c r="Z82" s="3"/>
      <c r="AA82" s="3"/>
      <c r="AB82" s="3"/>
      <c r="AC82" s="3"/>
    </row>
    <row r="83" customFormat="false" ht="21.75" hidden="false" customHeight="true" outlineLevel="0" collapsed="false">
      <c r="A83" s="3"/>
      <c r="B83" s="3"/>
      <c r="C83" s="3"/>
      <c r="D83" s="3"/>
      <c r="E83" s="4"/>
      <c r="F83" s="3"/>
      <c r="G83" s="4"/>
      <c r="H83" s="4"/>
      <c r="I83" s="4"/>
      <c r="J83" s="4"/>
      <c r="K83" s="3"/>
      <c r="L83" s="3"/>
      <c r="M83" s="3"/>
      <c r="N83" s="3"/>
      <c r="O83" s="3"/>
      <c r="P83" s="3"/>
      <c r="Q83" s="3"/>
      <c r="R83" s="3"/>
      <c r="S83" s="3"/>
      <c r="T83" s="3"/>
      <c r="U83" s="3"/>
      <c r="V83" s="3"/>
      <c r="W83" s="3"/>
      <c r="X83" s="3"/>
      <c r="Y83" s="3"/>
      <c r="Z83" s="3"/>
      <c r="AA83" s="3"/>
      <c r="AB83" s="3"/>
      <c r="AC83" s="3"/>
    </row>
    <row r="84" customFormat="false" ht="21.75" hidden="false" customHeight="true" outlineLevel="0" collapsed="false">
      <c r="A84" s="3"/>
      <c r="B84" s="3"/>
      <c r="C84" s="3"/>
      <c r="D84" s="3"/>
      <c r="E84" s="4"/>
      <c r="F84" s="3"/>
      <c r="G84" s="4"/>
      <c r="H84" s="4"/>
      <c r="I84" s="4"/>
      <c r="J84" s="4"/>
      <c r="K84" s="3"/>
      <c r="L84" s="3"/>
      <c r="M84" s="3"/>
      <c r="N84" s="3"/>
      <c r="O84" s="3"/>
      <c r="P84" s="3"/>
      <c r="Q84" s="3"/>
      <c r="R84" s="3"/>
      <c r="S84" s="3"/>
      <c r="T84" s="3"/>
      <c r="U84" s="3"/>
      <c r="V84" s="3"/>
      <c r="W84" s="3"/>
      <c r="X84" s="3"/>
      <c r="Y84" s="3"/>
      <c r="Z84" s="3"/>
      <c r="AA84" s="3"/>
      <c r="AB84" s="3"/>
      <c r="AC84" s="3"/>
    </row>
    <row r="85" customFormat="false" ht="21.75" hidden="false" customHeight="true" outlineLevel="0" collapsed="false">
      <c r="A85" s="3"/>
      <c r="B85" s="3"/>
      <c r="C85" s="3"/>
      <c r="D85" s="3"/>
      <c r="E85" s="4"/>
      <c r="F85" s="3"/>
      <c r="G85" s="4"/>
      <c r="H85" s="4"/>
      <c r="I85" s="4"/>
      <c r="J85" s="4"/>
      <c r="K85" s="3"/>
      <c r="L85" s="3"/>
      <c r="M85" s="3"/>
      <c r="N85" s="3"/>
      <c r="O85" s="3"/>
      <c r="P85" s="3"/>
      <c r="Q85" s="3"/>
      <c r="R85" s="3"/>
      <c r="S85" s="3"/>
      <c r="T85" s="3"/>
      <c r="U85" s="3"/>
      <c r="V85" s="3"/>
      <c r="W85" s="3"/>
      <c r="X85" s="3"/>
      <c r="Y85" s="3"/>
      <c r="Z85" s="3"/>
      <c r="AA85" s="3"/>
      <c r="AB85" s="3"/>
      <c r="AC85" s="3"/>
    </row>
    <row r="86" customFormat="false" ht="21.75" hidden="false" customHeight="true" outlineLevel="0" collapsed="false">
      <c r="A86" s="3"/>
      <c r="B86" s="3"/>
      <c r="C86" s="3"/>
      <c r="D86" s="3"/>
      <c r="E86" s="4"/>
      <c r="F86" s="3"/>
      <c r="G86" s="4"/>
      <c r="H86" s="4"/>
      <c r="I86" s="4"/>
      <c r="J86" s="4"/>
      <c r="K86" s="3"/>
      <c r="L86" s="3"/>
      <c r="M86" s="3"/>
      <c r="N86" s="3"/>
      <c r="O86" s="3"/>
      <c r="P86" s="3"/>
      <c r="Q86" s="3"/>
      <c r="R86" s="3"/>
      <c r="S86" s="3"/>
      <c r="T86" s="3"/>
      <c r="U86" s="3"/>
      <c r="V86" s="3"/>
      <c r="W86" s="3"/>
      <c r="X86" s="3"/>
      <c r="Y86" s="3"/>
      <c r="Z86" s="3"/>
      <c r="AA86" s="3"/>
      <c r="AB86" s="3"/>
      <c r="AC86" s="3"/>
    </row>
    <row r="87" customFormat="false" ht="21.75" hidden="false" customHeight="true" outlineLevel="0" collapsed="false">
      <c r="A87" s="3"/>
      <c r="B87" s="3"/>
      <c r="C87" s="3"/>
      <c r="D87" s="3"/>
      <c r="E87" s="4"/>
      <c r="F87" s="3"/>
      <c r="G87" s="4"/>
      <c r="H87" s="4"/>
      <c r="I87" s="4"/>
      <c r="J87" s="4"/>
      <c r="K87" s="3"/>
      <c r="L87" s="3"/>
      <c r="M87" s="3"/>
      <c r="N87" s="3"/>
      <c r="O87" s="3"/>
      <c r="P87" s="3"/>
      <c r="Q87" s="3"/>
      <c r="R87" s="3"/>
      <c r="S87" s="3"/>
      <c r="T87" s="3"/>
      <c r="U87" s="3"/>
      <c r="V87" s="3"/>
      <c r="W87" s="3"/>
      <c r="X87" s="3"/>
      <c r="Y87" s="3"/>
      <c r="Z87" s="3"/>
      <c r="AA87" s="3"/>
      <c r="AB87" s="3"/>
      <c r="AC87" s="3"/>
    </row>
    <row r="88" customFormat="false" ht="21.75" hidden="false" customHeight="true" outlineLevel="0" collapsed="false">
      <c r="A88" s="3"/>
      <c r="B88" s="3"/>
      <c r="C88" s="3"/>
      <c r="D88" s="3"/>
      <c r="E88" s="4"/>
      <c r="F88" s="3"/>
      <c r="G88" s="4"/>
      <c r="H88" s="4"/>
      <c r="I88" s="4"/>
      <c r="J88" s="4"/>
      <c r="K88" s="3"/>
      <c r="L88" s="3"/>
      <c r="M88" s="3"/>
      <c r="N88" s="3"/>
      <c r="O88" s="3"/>
      <c r="P88" s="3"/>
      <c r="Q88" s="3"/>
      <c r="R88" s="3"/>
      <c r="S88" s="3"/>
      <c r="T88" s="3"/>
      <c r="U88" s="3"/>
      <c r="V88" s="3"/>
      <c r="W88" s="3"/>
      <c r="X88" s="3"/>
      <c r="Y88" s="3"/>
      <c r="Z88" s="3"/>
      <c r="AA88" s="3"/>
      <c r="AB88" s="3"/>
      <c r="AC88" s="3"/>
    </row>
    <row r="89" customFormat="false" ht="21.75" hidden="false" customHeight="true" outlineLevel="0" collapsed="false">
      <c r="A89" s="3"/>
      <c r="B89" s="3"/>
      <c r="C89" s="3"/>
      <c r="D89" s="3"/>
      <c r="E89" s="4"/>
      <c r="F89" s="3"/>
      <c r="G89" s="4"/>
      <c r="H89" s="4"/>
      <c r="I89" s="4"/>
      <c r="J89" s="4"/>
      <c r="K89" s="3"/>
      <c r="L89" s="3"/>
      <c r="M89" s="3"/>
      <c r="N89" s="3"/>
      <c r="O89" s="3"/>
      <c r="P89" s="3"/>
      <c r="Q89" s="3"/>
      <c r="R89" s="3"/>
      <c r="S89" s="3"/>
      <c r="T89" s="3"/>
      <c r="U89" s="3"/>
      <c r="V89" s="3"/>
      <c r="W89" s="3"/>
      <c r="X89" s="3"/>
      <c r="Y89" s="3"/>
      <c r="Z89" s="3"/>
      <c r="AA89" s="3"/>
      <c r="AB89" s="3"/>
      <c r="AC89" s="3"/>
    </row>
    <row r="90" customFormat="false" ht="21.75" hidden="false" customHeight="true" outlineLevel="0" collapsed="false">
      <c r="A90" s="3"/>
      <c r="B90" s="3"/>
      <c r="C90" s="3"/>
      <c r="D90" s="3"/>
      <c r="E90" s="4"/>
      <c r="F90" s="3"/>
      <c r="G90" s="4"/>
      <c r="H90" s="4"/>
      <c r="I90" s="4"/>
      <c r="J90" s="4"/>
      <c r="K90" s="3"/>
      <c r="L90" s="3"/>
      <c r="M90" s="3"/>
      <c r="N90" s="3"/>
      <c r="O90" s="3"/>
      <c r="P90" s="3"/>
      <c r="Q90" s="3"/>
      <c r="R90" s="3"/>
      <c r="S90" s="3"/>
      <c r="T90" s="3"/>
      <c r="U90" s="3"/>
      <c r="V90" s="3"/>
      <c r="W90" s="3"/>
      <c r="X90" s="3"/>
      <c r="Y90" s="3"/>
      <c r="Z90" s="3"/>
      <c r="AA90" s="3"/>
      <c r="AB90" s="3"/>
      <c r="AC90" s="3"/>
    </row>
    <row r="91" customFormat="false" ht="21.75" hidden="false" customHeight="true" outlineLevel="0" collapsed="false">
      <c r="A91" s="3"/>
      <c r="B91" s="3"/>
      <c r="C91" s="3"/>
      <c r="D91" s="3"/>
      <c r="E91" s="4"/>
      <c r="F91" s="3"/>
      <c r="G91" s="4"/>
      <c r="H91" s="4"/>
      <c r="I91" s="4"/>
      <c r="J91" s="4"/>
      <c r="K91" s="3"/>
      <c r="L91" s="3"/>
      <c r="M91" s="3"/>
      <c r="N91" s="3"/>
      <c r="O91" s="3"/>
      <c r="P91" s="3"/>
      <c r="Q91" s="3"/>
      <c r="R91" s="3"/>
      <c r="S91" s="3"/>
      <c r="T91" s="3"/>
      <c r="U91" s="3"/>
      <c r="V91" s="3"/>
      <c r="W91" s="3"/>
      <c r="X91" s="3"/>
      <c r="Y91" s="3"/>
      <c r="Z91" s="3"/>
      <c r="AA91" s="3"/>
      <c r="AB91" s="3"/>
      <c r="AC91" s="3"/>
    </row>
    <row r="92" customFormat="false" ht="21.75" hidden="false" customHeight="true" outlineLevel="0" collapsed="false">
      <c r="A92" s="3"/>
      <c r="B92" s="3"/>
      <c r="C92" s="3"/>
      <c r="D92" s="3"/>
      <c r="E92" s="4"/>
      <c r="F92" s="3"/>
      <c r="G92" s="4"/>
      <c r="H92" s="4"/>
      <c r="I92" s="4"/>
      <c r="J92" s="4"/>
      <c r="K92" s="3"/>
      <c r="L92" s="3"/>
      <c r="M92" s="3"/>
      <c r="N92" s="3"/>
      <c r="O92" s="3"/>
      <c r="P92" s="3"/>
      <c r="Q92" s="3"/>
      <c r="R92" s="3"/>
      <c r="S92" s="3"/>
      <c r="T92" s="3"/>
      <c r="U92" s="3"/>
      <c r="V92" s="3"/>
      <c r="W92" s="3"/>
      <c r="X92" s="3"/>
      <c r="Y92" s="3"/>
      <c r="Z92" s="3"/>
      <c r="AA92" s="3"/>
      <c r="AB92" s="3"/>
      <c r="AC92" s="3"/>
    </row>
    <row r="93" customFormat="false" ht="21.75" hidden="false" customHeight="true" outlineLevel="0" collapsed="false">
      <c r="A93" s="3"/>
      <c r="B93" s="3"/>
      <c r="C93" s="3"/>
      <c r="D93" s="3"/>
      <c r="E93" s="4"/>
      <c r="F93" s="3"/>
      <c r="G93" s="4"/>
      <c r="H93" s="4"/>
      <c r="I93" s="4"/>
      <c r="J93" s="4"/>
      <c r="K93" s="3"/>
      <c r="L93" s="3"/>
      <c r="M93" s="3"/>
      <c r="N93" s="3"/>
      <c r="O93" s="3"/>
      <c r="P93" s="3"/>
      <c r="Q93" s="3"/>
      <c r="R93" s="3"/>
      <c r="S93" s="3"/>
      <c r="T93" s="3"/>
      <c r="U93" s="3"/>
      <c r="V93" s="3"/>
      <c r="W93" s="3"/>
      <c r="X93" s="3"/>
      <c r="Y93" s="3"/>
      <c r="Z93" s="3"/>
      <c r="AA93" s="3"/>
      <c r="AB93" s="3"/>
      <c r="AC93" s="3"/>
    </row>
    <row r="94" customFormat="false" ht="21.75" hidden="false" customHeight="true" outlineLevel="0" collapsed="false">
      <c r="A94" s="3"/>
      <c r="B94" s="3"/>
      <c r="C94" s="3"/>
      <c r="D94" s="3"/>
      <c r="E94" s="4"/>
      <c r="F94" s="3"/>
      <c r="G94" s="4"/>
      <c r="H94" s="4"/>
      <c r="I94" s="4"/>
      <c r="J94" s="4"/>
      <c r="K94" s="3"/>
      <c r="L94" s="3"/>
      <c r="M94" s="3"/>
      <c r="N94" s="3"/>
      <c r="O94" s="3"/>
      <c r="P94" s="3"/>
      <c r="Q94" s="3"/>
      <c r="R94" s="3"/>
      <c r="S94" s="3"/>
      <c r="T94" s="3"/>
      <c r="U94" s="3"/>
      <c r="V94" s="3"/>
      <c r="W94" s="3"/>
      <c r="X94" s="3"/>
      <c r="Y94" s="3"/>
      <c r="Z94" s="3"/>
      <c r="AA94" s="3"/>
      <c r="AB94" s="3"/>
      <c r="AC94" s="3"/>
    </row>
    <row r="95" customFormat="false" ht="21.75" hidden="false" customHeight="true" outlineLevel="0" collapsed="false">
      <c r="A95" s="3"/>
      <c r="B95" s="3"/>
      <c r="C95" s="3"/>
      <c r="D95" s="3"/>
      <c r="E95" s="4"/>
      <c r="F95" s="3"/>
      <c r="G95" s="4"/>
      <c r="H95" s="4"/>
      <c r="I95" s="4"/>
      <c r="J95" s="4"/>
      <c r="K95" s="3"/>
      <c r="L95" s="3"/>
      <c r="M95" s="3"/>
      <c r="N95" s="3"/>
      <c r="O95" s="3"/>
      <c r="P95" s="3"/>
      <c r="Q95" s="3"/>
      <c r="R95" s="3"/>
      <c r="S95" s="3"/>
      <c r="T95" s="3"/>
      <c r="U95" s="3"/>
      <c r="V95" s="3"/>
      <c r="W95" s="3"/>
      <c r="X95" s="3"/>
      <c r="Y95" s="3"/>
      <c r="Z95" s="3"/>
      <c r="AA95" s="3"/>
      <c r="AB95" s="3"/>
      <c r="AC95" s="3"/>
    </row>
    <row r="96" customFormat="false" ht="21.75" hidden="false" customHeight="true" outlineLevel="0" collapsed="false">
      <c r="A96" s="3"/>
      <c r="B96" s="3"/>
      <c r="C96" s="3"/>
      <c r="D96" s="3"/>
      <c r="E96" s="4"/>
      <c r="F96" s="3"/>
      <c r="G96" s="4"/>
      <c r="H96" s="4"/>
      <c r="I96" s="4"/>
      <c r="J96" s="4"/>
      <c r="K96" s="3"/>
      <c r="L96" s="3"/>
      <c r="M96" s="3"/>
      <c r="N96" s="3"/>
      <c r="O96" s="3"/>
      <c r="P96" s="3"/>
      <c r="Q96" s="3"/>
      <c r="R96" s="3"/>
      <c r="S96" s="3"/>
      <c r="T96" s="3"/>
      <c r="U96" s="3"/>
      <c r="V96" s="3"/>
      <c r="W96" s="3"/>
      <c r="X96" s="3"/>
      <c r="Y96" s="3"/>
      <c r="Z96" s="3"/>
      <c r="AA96" s="3"/>
      <c r="AB96" s="3"/>
      <c r="AC96" s="3"/>
    </row>
    <row r="97" customFormat="false" ht="21.75" hidden="false" customHeight="true" outlineLevel="0" collapsed="false">
      <c r="A97" s="3"/>
      <c r="B97" s="3"/>
      <c r="C97" s="3"/>
      <c r="D97" s="3"/>
      <c r="E97" s="4"/>
      <c r="F97" s="3"/>
      <c r="G97" s="4"/>
      <c r="H97" s="4"/>
      <c r="I97" s="4"/>
      <c r="J97" s="4"/>
      <c r="K97" s="3"/>
      <c r="L97" s="3"/>
      <c r="M97" s="3"/>
      <c r="N97" s="3"/>
      <c r="O97" s="3"/>
      <c r="P97" s="3"/>
      <c r="Q97" s="3"/>
      <c r="R97" s="3"/>
      <c r="S97" s="3"/>
      <c r="T97" s="3"/>
      <c r="U97" s="3"/>
      <c r="V97" s="3"/>
      <c r="W97" s="3"/>
      <c r="X97" s="3"/>
      <c r="Y97" s="3"/>
      <c r="Z97" s="3"/>
      <c r="AA97" s="3"/>
      <c r="AB97" s="3"/>
      <c r="AC97" s="3"/>
    </row>
    <row r="98" customFormat="false" ht="21.75" hidden="false" customHeight="true" outlineLevel="0" collapsed="false">
      <c r="A98" s="3"/>
      <c r="B98" s="3"/>
      <c r="C98" s="3"/>
      <c r="D98" s="3"/>
      <c r="E98" s="4"/>
      <c r="F98" s="3"/>
      <c r="G98" s="4"/>
      <c r="H98" s="4"/>
      <c r="I98" s="4"/>
      <c r="J98" s="4"/>
      <c r="K98" s="3"/>
      <c r="L98" s="3"/>
      <c r="M98" s="3"/>
      <c r="N98" s="3"/>
      <c r="O98" s="3"/>
      <c r="P98" s="3"/>
      <c r="Q98" s="3"/>
      <c r="R98" s="3"/>
      <c r="S98" s="3"/>
      <c r="T98" s="3"/>
      <c r="U98" s="3"/>
      <c r="V98" s="3"/>
      <c r="W98" s="3"/>
      <c r="X98" s="3"/>
      <c r="Y98" s="3"/>
      <c r="Z98" s="3"/>
      <c r="AA98" s="3"/>
      <c r="AB98" s="3"/>
      <c r="AC98" s="3"/>
    </row>
    <row r="99" customFormat="false" ht="21.75" hidden="false" customHeight="true" outlineLevel="0" collapsed="false">
      <c r="A99" s="3"/>
      <c r="B99" s="3"/>
      <c r="C99" s="3"/>
      <c r="D99" s="3"/>
      <c r="E99" s="4"/>
      <c r="F99" s="3"/>
      <c r="G99" s="4"/>
      <c r="H99" s="4"/>
      <c r="I99" s="4"/>
      <c r="J99" s="4"/>
      <c r="K99" s="3"/>
      <c r="L99" s="3"/>
      <c r="M99" s="3"/>
      <c r="N99" s="3"/>
      <c r="O99" s="3"/>
      <c r="P99" s="3"/>
      <c r="Q99" s="3"/>
      <c r="R99" s="3"/>
      <c r="S99" s="3"/>
      <c r="T99" s="3"/>
      <c r="U99" s="3"/>
      <c r="V99" s="3"/>
      <c r="W99" s="3"/>
      <c r="X99" s="3"/>
      <c r="Y99" s="3"/>
      <c r="Z99" s="3"/>
      <c r="AA99" s="3"/>
      <c r="AB99" s="3"/>
      <c r="AC99" s="3"/>
    </row>
    <row r="100" customFormat="false" ht="21.75" hidden="false" customHeight="true" outlineLevel="0" collapsed="false">
      <c r="A100" s="3"/>
      <c r="B100" s="3"/>
      <c r="C100" s="3"/>
      <c r="D100" s="3"/>
      <c r="E100" s="4"/>
      <c r="F100" s="3"/>
      <c r="G100" s="4"/>
      <c r="H100" s="4"/>
      <c r="I100" s="4"/>
      <c r="J100" s="4"/>
      <c r="K100" s="3"/>
      <c r="L100" s="3"/>
      <c r="M100" s="3"/>
      <c r="N100" s="3"/>
      <c r="O100" s="3"/>
      <c r="P100" s="3"/>
      <c r="Q100" s="3"/>
      <c r="R100" s="3"/>
      <c r="S100" s="3"/>
      <c r="T100" s="3"/>
      <c r="U100" s="3"/>
      <c r="V100" s="3"/>
      <c r="W100" s="3"/>
      <c r="X100" s="3"/>
      <c r="Y100" s="3"/>
      <c r="Z100" s="3"/>
      <c r="AA100" s="3"/>
      <c r="AB100" s="3"/>
      <c r="AC100" s="3"/>
    </row>
    <row r="101" customFormat="false" ht="21.75" hidden="false" customHeight="true" outlineLevel="0" collapsed="false">
      <c r="A101" s="3"/>
      <c r="B101" s="3"/>
      <c r="C101" s="3"/>
      <c r="D101" s="3"/>
      <c r="E101" s="4"/>
      <c r="F101" s="3"/>
      <c r="G101" s="4"/>
      <c r="H101" s="4"/>
      <c r="I101" s="4"/>
      <c r="J101" s="4"/>
      <c r="K101" s="3"/>
      <c r="L101" s="3"/>
      <c r="M101" s="3"/>
      <c r="N101" s="3"/>
      <c r="O101" s="3"/>
      <c r="P101" s="3"/>
      <c r="Q101" s="3"/>
      <c r="R101" s="3"/>
      <c r="S101" s="3"/>
      <c r="T101" s="3"/>
      <c r="U101" s="3"/>
      <c r="V101" s="3"/>
      <c r="W101" s="3"/>
      <c r="X101" s="3"/>
      <c r="Y101" s="3"/>
      <c r="Z101" s="3"/>
      <c r="AA101" s="3"/>
      <c r="AB101" s="3"/>
      <c r="AC101" s="3"/>
    </row>
    <row r="102" customFormat="false" ht="21.75" hidden="false" customHeight="true" outlineLevel="0" collapsed="false">
      <c r="A102" s="3"/>
      <c r="B102" s="3"/>
      <c r="C102" s="3"/>
      <c r="D102" s="3"/>
      <c r="E102" s="4"/>
      <c r="F102" s="3"/>
      <c r="G102" s="4"/>
      <c r="H102" s="4"/>
      <c r="I102" s="4"/>
      <c r="J102" s="4"/>
      <c r="K102" s="3"/>
      <c r="L102" s="3"/>
      <c r="M102" s="3"/>
      <c r="N102" s="3"/>
      <c r="O102" s="3"/>
      <c r="P102" s="3"/>
      <c r="Q102" s="3"/>
      <c r="R102" s="3"/>
      <c r="S102" s="3"/>
      <c r="T102" s="3"/>
      <c r="U102" s="3"/>
      <c r="V102" s="3"/>
      <c r="W102" s="3"/>
      <c r="X102" s="3"/>
      <c r="Y102" s="3"/>
      <c r="Z102" s="3"/>
      <c r="AA102" s="3"/>
      <c r="AB102" s="3"/>
      <c r="AC102" s="3"/>
    </row>
    <row r="103" customFormat="false" ht="21.75" hidden="false" customHeight="true" outlineLevel="0" collapsed="false">
      <c r="A103" s="3"/>
      <c r="B103" s="3"/>
      <c r="C103" s="3"/>
      <c r="D103" s="3"/>
      <c r="E103" s="4"/>
      <c r="F103" s="3"/>
      <c r="G103" s="4"/>
      <c r="H103" s="4"/>
      <c r="I103" s="4"/>
      <c r="J103" s="4"/>
      <c r="K103" s="3"/>
      <c r="L103" s="3"/>
      <c r="M103" s="3"/>
      <c r="N103" s="3"/>
      <c r="O103" s="3"/>
      <c r="P103" s="3"/>
      <c r="Q103" s="3"/>
      <c r="R103" s="3"/>
      <c r="S103" s="3"/>
      <c r="T103" s="3"/>
      <c r="U103" s="3"/>
      <c r="V103" s="3"/>
      <c r="W103" s="3"/>
      <c r="X103" s="3"/>
      <c r="Y103" s="3"/>
      <c r="Z103" s="3"/>
      <c r="AA103" s="3"/>
      <c r="AB103" s="3"/>
      <c r="AC103" s="3"/>
    </row>
    <row r="104" customFormat="false" ht="21.75" hidden="false" customHeight="true" outlineLevel="0" collapsed="false">
      <c r="A104" s="3"/>
      <c r="B104" s="3"/>
      <c r="C104" s="3"/>
      <c r="D104" s="3"/>
      <c r="E104" s="4"/>
      <c r="F104" s="3"/>
      <c r="G104" s="4"/>
      <c r="H104" s="4"/>
      <c r="I104" s="4"/>
      <c r="J104" s="4"/>
      <c r="K104" s="3"/>
      <c r="L104" s="3"/>
      <c r="M104" s="3"/>
      <c r="N104" s="3"/>
      <c r="O104" s="3"/>
      <c r="P104" s="3"/>
      <c r="Q104" s="3"/>
      <c r="R104" s="3"/>
      <c r="S104" s="3"/>
      <c r="T104" s="3"/>
      <c r="U104" s="3"/>
      <c r="V104" s="3"/>
      <c r="W104" s="3"/>
      <c r="X104" s="3"/>
      <c r="Y104" s="3"/>
      <c r="Z104" s="3"/>
      <c r="AA104" s="3"/>
      <c r="AB104" s="3"/>
      <c r="AC104" s="3"/>
    </row>
    <row r="105" customFormat="false" ht="21.75" hidden="false" customHeight="true" outlineLevel="0" collapsed="false">
      <c r="A105" s="3"/>
      <c r="B105" s="3"/>
      <c r="C105" s="3"/>
      <c r="D105" s="3"/>
      <c r="E105" s="4"/>
      <c r="F105" s="3"/>
      <c r="G105" s="4"/>
      <c r="H105" s="4"/>
      <c r="I105" s="4"/>
      <c r="J105" s="4"/>
      <c r="K105" s="3"/>
      <c r="L105" s="3"/>
      <c r="M105" s="3"/>
      <c r="N105" s="3"/>
      <c r="O105" s="3"/>
      <c r="P105" s="3"/>
      <c r="Q105" s="3"/>
      <c r="R105" s="3"/>
      <c r="S105" s="3"/>
      <c r="T105" s="3"/>
      <c r="U105" s="3"/>
      <c r="V105" s="3"/>
      <c r="W105" s="3"/>
      <c r="X105" s="3"/>
      <c r="Y105" s="3"/>
      <c r="Z105" s="3"/>
      <c r="AA105" s="3"/>
      <c r="AB105" s="3"/>
      <c r="AC105" s="3"/>
    </row>
    <row r="106" customFormat="false" ht="21.75" hidden="false" customHeight="true" outlineLevel="0" collapsed="false">
      <c r="A106" s="3"/>
      <c r="B106" s="3"/>
      <c r="C106" s="3"/>
      <c r="D106" s="3"/>
      <c r="E106" s="4"/>
      <c r="F106" s="3"/>
      <c r="G106" s="4"/>
      <c r="H106" s="4"/>
      <c r="I106" s="4"/>
      <c r="J106" s="4"/>
      <c r="K106" s="3"/>
      <c r="L106" s="3"/>
      <c r="M106" s="3"/>
      <c r="N106" s="3"/>
      <c r="O106" s="3"/>
      <c r="P106" s="3"/>
      <c r="Q106" s="3"/>
      <c r="R106" s="3"/>
      <c r="S106" s="3"/>
      <c r="T106" s="3"/>
      <c r="U106" s="3"/>
      <c r="V106" s="3"/>
      <c r="W106" s="3"/>
      <c r="X106" s="3"/>
      <c r="Y106" s="3"/>
      <c r="Z106" s="3"/>
      <c r="AA106" s="3"/>
      <c r="AB106" s="3"/>
      <c r="AC106" s="3"/>
    </row>
    <row r="107" customFormat="false" ht="21.75" hidden="false" customHeight="true" outlineLevel="0" collapsed="false">
      <c r="A107" s="3"/>
      <c r="B107" s="3"/>
      <c r="C107" s="3"/>
      <c r="D107" s="3"/>
      <c r="E107" s="4"/>
      <c r="F107" s="3"/>
      <c r="G107" s="4"/>
      <c r="H107" s="4"/>
      <c r="I107" s="4"/>
      <c r="J107" s="4"/>
      <c r="K107" s="3"/>
      <c r="L107" s="3"/>
      <c r="M107" s="3"/>
      <c r="N107" s="3"/>
      <c r="O107" s="3"/>
      <c r="P107" s="3"/>
      <c r="Q107" s="3"/>
      <c r="R107" s="3"/>
      <c r="S107" s="3"/>
      <c r="T107" s="3"/>
      <c r="U107" s="3"/>
      <c r="V107" s="3"/>
      <c r="W107" s="3"/>
      <c r="X107" s="3"/>
      <c r="Y107" s="3"/>
      <c r="Z107" s="3"/>
      <c r="AA107" s="3"/>
      <c r="AB107" s="3"/>
      <c r="AC107" s="3"/>
    </row>
    <row r="108" customFormat="false" ht="21.75" hidden="false" customHeight="true" outlineLevel="0" collapsed="false">
      <c r="A108" s="3"/>
      <c r="B108" s="3"/>
      <c r="C108" s="3"/>
      <c r="D108" s="3"/>
      <c r="E108" s="4"/>
      <c r="F108" s="3"/>
      <c r="G108" s="4"/>
      <c r="H108" s="4"/>
      <c r="I108" s="4"/>
      <c r="J108" s="4"/>
      <c r="K108" s="3"/>
      <c r="L108" s="3"/>
      <c r="M108" s="3"/>
      <c r="N108" s="3"/>
      <c r="O108" s="3"/>
      <c r="P108" s="3"/>
      <c r="Q108" s="3"/>
      <c r="R108" s="3"/>
      <c r="S108" s="3"/>
      <c r="T108" s="3"/>
      <c r="U108" s="3"/>
      <c r="V108" s="3"/>
      <c r="W108" s="3"/>
      <c r="X108" s="3"/>
      <c r="Y108" s="3"/>
      <c r="Z108" s="3"/>
      <c r="AA108" s="3"/>
      <c r="AB108" s="3"/>
      <c r="AC108" s="3"/>
    </row>
    <row r="109" customFormat="false" ht="21.75" hidden="false" customHeight="true" outlineLevel="0" collapsed="false">
      <c r="A109" s="3"/>
      <c r="B109" s="3"/>
      <c r="C109" s="3"/>
      <c r="D109" s="3"/>
      <c r="E109" s="4"/>
      <c r="F109" s="3"/>
      <c r="G109" s="4"/>
      <c r="H109" s="4"/>
      <c r="I109" s="4"/>
      <c r="J109" s="4"/>
      <c r="K109" s="3"/>
      <c r="L109" s="3"/>
      <c r="M109" s="3"/>
      <c r="N109" s="3"/>
      <c r="O109" s="3"/>
      <c r="P109" s="3"/>
      <c r="Q109" s="3"/>
      <c r="R109" s="3"/>
      <c r="S109" s="3"/>
      <c r="T109" s="3"/>
      <c r="U109" s="3"/>
      <c r="V109" s="3"/>
      <c r="W109" s="3"/>
      <c r="X109" s="3"/>
      <c r="Y109" s="3"/>
      <c r="Z109" s="3"/>
      <c r="AA109" s="3"/>
      <c r="AB109" s="3"/>
      <c r="AC109" s="3"/>
    </row>
    <row r="110" customFormat="false" ht="21.75" hidden="false" customHeight="true" outlineLevel="0" collapsed="false">
      <c r="A110" s="3"/>
      <c r="B110" s="3"/>
      <c r="C110" s="3"/>
      <c r="D110" s="3"/>
      <c r="E110" s="4"/>
      <c r="F110" s="3"/>
      <c r="G110" s="4"/>
      <c r="H110" s="4"/>
      <c r="I110" s="4"/>
      <c r="J110" s="4"/>
      <c r="K110" s="3"/>
      <c r="L110" s="3"/>
      <c r="M110" s="3"/>
      <c r="N110" s="3"/>
      <c r="O110" s="3"/>
      <c r="P110" s="3"/>
      <c r="Q110" s="3"/>
      <c r="R110" s="3"/>
      <c r="S110" s="3"/>
      <c r="T110" s="3"/>
      <c r="U110" s="3"/>
      <c r="V110" s="3"/>
      <c r="W110" s="3"/>
      <c r="X110" s="3"/>
      <c r="Y110" s="3"/>
      <c r="Z110" s="3"/>
      <c r="AA110" s="3"/>
      <c r="AB110" s="3"/>
      <c r="AC110" s="3"/>
    </row>
    <row r="111" customFormat="false" ht="21.75" hidden="false" customHeight="true" outlineLevel="0" collapsed="false">
      <c r="A111" s="3"/>
      <c r="B111" s="3"/>
      <c r="C111" s="3"/>
      <c r="D111" s="3"/>
      <c r="E111" s="4"/>
      <c r="F111" s="3"/>
      <c r="G111" s="4"/>
      <c r="H111" s="4"/>
      <c r="I111" s="4"/>
      <c r="J111" s="4"/>
      <c r="K111" s="3"/>
      <c r="L111" s="3"/>
      <c r="M111" s="3"/>
      <c r="N111" s="3"/>
      <c r="O111" s="3"/>
      <c r="P111" s="3"/>
      <c r="Q111" s="3"/>
      <c r="R111" s="3"/>
      <c r="S111" s="3"/>
      <c r="T111" s="3"/>
      <c r="U111" s="3"/>
      <c r="V111" s="3"/>
      <c r="W111" s="3"/>
      <c r="X111" s="3"/>
      <c r="Y111" s="3"/>
      <c r="Z111" s="3"/>
      <c r="AA111" s="3"/>
      <c r="AB111" s="3"/>
      <c r="AC111" s="3"/>
    </row>
    <row r="112" customFormat="false" ht="21.75" hidden="false" customHeight="true" outlineLevel="0" collapsed="false">
      <c r="A112" s="3"/>
      <c r="B112" s="3"/>
      <c r="C112" s="3"/>
      <c r="D112" s="3"/>
      <c r="E112" s="4"/>
      <c r="F112" s="3"/>
      <c r="G112" s="4"/>
      <c r="H112" s="4"/>
      <c r="I112" s="4"/>
      <c r="J112" s="4"/>
      <c r="K112" s="3"/>
      <c r="L112" s="3"/>
      <c r="M112" s="3"/>
      <c r="N112" s="3"/>
      <c r="O112" s="3"/>
      <c r="P112" s="3"/>
      <c r="Q112" s="3"/>
      <c r="R112" s="3"/>
      <c r="S112" s="3"/>
      <c r="T112" s="3"/>
      <c r="U112" s="3"/>
      <c r="V112" s="3"/>
      <c r="W112" s="3"/>
      <c r="X112" s="3"/>
      <c r="Y112" s="3"/>
      <c r="Z112" s="3"/>
      <c r="AA112" s="3"/>
      <c r="AB112" s="3"/>
      <c r="AC112" s="3"/>
    </row>
    <row r="113" customFormat="false" ht="21.75" hidden="false" customHeight="true" outlineLevel="0" collapsed="false">
      <c r="A113" s="3"/>
      <c r="B113" s="3"/>
      <c r="C113" s="3"/>
      <c r="D113" s="3"/>
      <c r="E113" s="4"/>
      <c r="F113" s="3"/>
      <c r="G113" s="4"/>
      <c r="H113" s="4"/>
      <c r="I113" s="4"/>
      <c r="J113" s="4"/>
      <c r="K113" s="3"/>
      <c r="L113" s="3"/>
      <c r="M113" s="3"/>
      <c r="N113" s="3"/>
      <c r="O113" s="3"/>
      <c r="P113" s="3"/>
      <c r="Q113" s="3"/>
      <c r="R113" s="3"/>
      <c r="S113" s="3"/>
      <c r="T113" s="3"/>
      <c r="U113" s="3"/>
      <c r="V113" s="3"/>
      <c r="W113" s="3"/>
      <c r="X113" s="3"/>
      <c r="Y113" s="3"/>
      <c r="Z113" s="3"/>
      <c r="AA113" s="3"/>
      <c r="AB113" s="3"/>
      <c r="AC113" s="3"/>
    </row>
    <row r="114" customFormat="false" ht="21.75" hidden="false" customHeight="true" outlineLevel="0" collapsed="false">
      <c r="A114" s="3"/>
      <c r="B114" s="3"/>
      <c r="C114" s="3"/>
      <c r="D114" s="3"/>
      <c r="E114" s="4"/>
      <c r="F114" s="3"/>
      <c r="G114" s="4"/>
      <c r="H114" s="4"/>
      <c r="I114" s="4"/>
      <c r="J114" s="4"/>
      <c r="K114" s="3"/>
      <c r="L114" s="3"/>
      <c r="M114" s="3"/>
      <c r="N114" s="3"/>
      <c r="O114" s="3"/>
      <c r="P114" s="3"/>
      <c r="Q114" s="3"/>
      <c r="R114" s="3"/>
      <c r="S114" s="3"/>
      <c r="T114" s="3"/>
      <c r="U114" s="3"/>
      <c r="V114" s="3"/>
      <c r="W114" s="3"/>
      <c r="X114" s="3"/>
      <c r="Y114" s="3"/>
      <c r="Z114" s="3"/>
      <c r="AA114" s="3"/>
      <c r="AB114" s="3"/>
      <c r="AC114" s="3"/>
    </row>
    <row r="115" customFormat="false" ht="21.75" hidden="false" customHeight="true" outlineLevel="0" collapsed="false">
      <c r="A115" s="3"/>
      <c r="B115" s="3"/>
      <c r="C115" s="3"/>
      <c r="D115" s="3"/>
      <c r="E115" s="4"/>
      <c r="F115" s="3"/>
      <c r="G115" s="4"/>
      <c r="H115" s="4"/>
      <c r="I115" s="4"/>
      <c r="J115" s="4"/>
      <c r="K115" s="3"/>
      <c r="L115" s="3"/>
      <c r="M115" s="3"/>
      <c r="N115" s="3"/>
      <c r="O115" s="3"/>
      <c r="P115" s="3"/>
      <c r="Q115" s="3"/>
      <c r="R115" s="3"/>
      <c r="S115" s="3"/>
      <c r="T115" s="3"/>
      <c r="U115" s="3"/>
      <c r="V115" s="3"/>
      <c r="W115" s="3"/>
      <c r="X115" s="3"/>
      <c r="Y115" s="3"/>
      <c r="Z115" s="3"/>
      <c r="AA115" s="3"/>
      <c r="AB115" s="3"/>
      <c r="AC115" s="3"/>
    </row>
    <row r="116" customFormat="false" ht="21.75" hidden="false" customHeight="true" outlineLevel="0" collapsed="false">
      <c r="A116" s="3"/>
      <c r="B116" s="3"/>
      <c r="C116" s="3"/>
      <c r="D116" s="3"/>
      <c r="E116" s="4"/>
      <c r="F116" s="3"/>
      <c r="G116" s="4"/>
      <c r="H116" s="4"/>
      <c r="I116" s="4"/>
      <c r="J116" s="4"/>
      <c r="K116" s="3"/>
      <c r="L116" s="3"/>
      <c r="M116" s="3"/>
      <c r="N116" s="3"/>
      <c r="O116" s="3"/>
      <c r="P116" s="3"/>
      <c r="Q116" s="3"/>
      <c r="R116" s="3"/>
      <c r="S116" s="3"/>
      <c r="T116" s="3"/>
      <c r="U116" s="3"/>
      <c r="V116" s="3"/>
      <c r="W116" s="3"/>
      <c r="X116" s="3"/>
      <c r="Y116" s="3"/>
      <c r="Z116" s="3"/>
      <c r="AA116" s="3"/>
      <c r="AB116" s="3"/>
      <c r="AC116" s="3"/>
    </row>
    <row r="117" customFormat="false" ht="21.75" hidden="false" customHeight="true" outlineLevel="0" collapsed="false">
      <c r="A117" s="3"/>
      <c r="B117" s="3"/>
      <c r="C117" s="3"/>
      <c r="D117" s="3"/>
      <c r="E117" s="4"/>
      <c r="F117" s="3"/>
      <c r="G117" s="4"/>
      <c r="H117" s="4"/>
      <c r="I117" s="4"/>
      <c r="J117" s="4"/>
      <c r="K117" s="3"/>
      <c r="L117" s="3"/>
      <c r="M117" s="3"/>
      <c r="N117" s="3"/>
      <c r="O117" s="3"/>
      <c r="P117" s="3"/>
      <c r="Q117" s="3"/>
      <c r="R117" s="3"/>
      <c r="S117" s="3"/>
      <c r="T117" s="3"/>
      <c r="U117" s="3"/>
      <c r="V117" s="3"/>
      <c r="W117" s="3"/>
      <c r="X117" s="3"/>
      <c r="Y117" s="3"/>
      <c r="Z117" s="3"/>
      <c r="AA117" s="3"/>
      <c r="AB117" s="3"/>
      <c r="AC117" s="3"/>
    </row>
    <row r="118" customFormat="false" ht="21.75" hidden="false" customHeight="true" outlineLevel="0" collapsed="false">
      <c r="A118" s="3"/>
      <c r="B118" s="3"/>
      <c r="C118" s="3"/>
      <c r="D118" s="3"/>
      <c r="E118" s="4"/>
      <c r="F118" s="3"/>
      <c r="G118" s="4"/>
      <c r="H118" s="4"/>
      <c r="I118" s="4"/>
      <c r="J118" s="4"/>
      <c r="K118" s="3"/>
      <c r="L118" s="3"/>
      <c r="M118" s="3"/>
      <c r="N118" s="3"/>
      <c r="O118" s="3"/>
      <c r="P118" s="3"/>
      <c r="Q118" s="3"/>
      <c r="R118" s="3"/>
      <c r="S118" s="3"/>
      <c r="T118" s="3"/>
      <c r="U118" s="3"/>
      <c r="V118" s="3"/>
      <c r="W118" s="3"/>
      <c r="X118" s="3"/>
      <c r="Y118" s="3"/>
      <c r="Z118" s="3"/>
      <c r="AA118" s="3"/>
      <c r="AB118" s="3"/>
      <c r="AC118" s="3"/>
    </row>
    <row r="119" customFormat="false" ht="21.75" hidden="false" customHeight="true" outlineLevel="0" collapsed="false">
      <c r="A119" s="3"/>
      <c r="B119" s="3"/>
      <c r="C119" s="3"/>
      <c r="D119" s="3"/>
      <c r="E119" s="4"/>
      <c r="F119" s="3"/>
      <c r="G119" s="4"/>
      <c r="H119" s="4"/>
      <c r="I119" s="4"/>
      <c r="J119" s="4"/>
      <c r="K119" s="3"/>
      <c r="L119" s="3"/>
      <c r="M119" s="3"/>
      <c r="N119" s="3"/>
      <c r="O119" s="3"/>
      <c r="P119" s="3"/>
      <c r="Q119" s="3"/>
      <c r="R119" s="3"/>
      <c r="S119" s="3"/>
      <c r="T119" s="3"/>
      <c r="U119" s="3"/>
      <c r="V119" s="3"/>
      <c r="W119" s="3"/>
      <c r="X119" s="3"/>
      <c r="Y119" s="3"/>
      <c r="Z119" s="3"/>
      <c r="AA119" s="3"/>
      <c r="AB119" s="3"/>
      <c r="AC119" s="3"/>
    </row>
    <row r="120" customFormat="false" ht="21.75" hidden="false" customHeight="true" outlineLevel="0" collapsed="false">
      <c r="A120" s="3"/>
      <c r="B120" s="3"/>
      <c r="C120" s="3"/>
      <c r="D120" s="3"/>
      <c r="E120" s="4"/>
      <c r="F120" s="3"/>
      <c r="G120" s="4"/>
      <c r="H120" s="4"/>
      <c r="I120" s="4"/>
      <c r="J120" s="4"/>
      <c r="K120" s="3"/>
      <c r="L120" s="3"/>
      <c r="M120" s="3"/>
      <c r="N120" s="3"/>
      <c r="O120" s="3"/>
      <c r="P120" s="3"/>
      <c r="Q120" s="3"/>
      <c r="R120" s="3"/>
      <c r="S120" s="3"/>
      <c r="T120" s="3"/>
      <c r="U120" s="3"/>
      <c r="V120" s="3"/>
      <c r="W120" s="3"/>
      <c r="X120" s="3"/>
      <c r="Y120" s="3"/>
      <c r="Z120" s="3"/>
      <c r="AA120" s="3"/>
      <c r="AB120" s="3"/>
      <c r="AC120" s="3"/>
    </row>
    <row r="121" customFormat="false" ht="21.75" hidden="false" customHeight="true" outlineLevel="0" collapsed="false">
      <c r="A121" s="3"/>
      <c r="B121" s="3"/>
      <c r="C121" s="3"/>
      <c r="D121" s="3"/>
      <c r="E121" s="4"/>
      <c r="F121" s="3"/>
      <c r="G121" s="4"/>
      <c r="H121" s="4"/>
      <c r="I121" s="4"/>
      <c r="J121" s="4"/>
      <c r="K121" s="3"/>
      <c r="L121" s="3"/>
      <c r="M121" s="3"/>
      <c r="N121" s="3"/>
      <c r="O121" s="3"/>
      <c r="P121" s="3"/>
      <c r="Q121" s="3"/>
      <c r="R121" s="3"/>
      <c r="S121" s="3"/>
      <c r="T121" s="3"/>
      <c r="U121" s="3"/>
      <c r="V121" s="3"/>
      <c r="W121" s="3"/>
      <c r="X121" s="3"/>
      <c r="Y121" s="3"/>
      <c r="Z121" s="3"/>
      <c r="AA121" s="3"/>
      <c r="AB121" s="3"/>
      <c r="AC121" s="3"/>
    </row>
    <row r="122" customFormat="false" ht="21.75" hidden="false" customHeight="true" outlineLevel="0" collapsed="false">
      <c r="A122" s="3"/>
      <c r="B122" s="3"/>
      <c r="C122" s="3"/>
      <c r="D122" s="3"/>
      <c r="E122" s="4"/>
      <c r="F122" s="3"/>
      <c r="G122" s="4"/>
      <c r="H122" s="4"/>
      <c r="I122" s="4"/>
      <c r="J122" s="4"/>
      <c r="K122" s="3"/>
      <c r="L122" s="3"/>
      <c r="M122" s="3"/>
      <c r="N122" s="3"/>
      <c r="O122" s="3"/>
      <c r="P122" s="3"/>
      <c r="Q122" s="3"/>
      <c r="R122" s="3"/>
      <c r="S122" s="3"/>
      <c r="T122" s="3"/>
      <c r="U122" s="3"/>
      <c r="V122" s="3"/>
      <c r="W122" s="3"/>
      <c r="X122" s="3"/>
      <c r="Y122" s="3"/>
      <c r="Z122" s="3"/>
      <c r="AA122" s="3"/>
      <c r="AB122" s="3"/>
      <c r="AC122" s="3"/>
    </row>
    <row r="123" customFormat="false" ht="21.75" hidden="false" customHeight="true" outlineLevel="0" collapsed="false">
      <c r="A123" s="3"/>
      <c r="B123" s="3"/>
      <c r="C123" s="3"/>
      <c r="D123" s="3"/>
      <c r="E123" s="4"/>
      <c r="F123" s="3"/>
      <c r="G123" s="4"/>
      <c r="H123" s="4"/>
      <c r="I123" s="4"/>
      <c r="J123" s="4"/>
      <c r="K123" s="3"/>
      <c r="L123" s="3"/>
      <c r="M123" s="3"/>
      <c r="N123" s="3"/>
      <c r="O123" s="3"/>
      <c r="P123" s="3"/>
      <c r="Q123" s="3"/>
      <c r="R123" s="3"/>
      <c r="S123" s="3"/>
      <c r="T123" s="3"/>
      <c r="U123" s="3"/>
      <c r="V123" s="3"/>
      <c r="W123" s="3"/>
      <c r="X123" s="3"/>
      <c r="Y123" s="3"/>
      <c r="Z123" s="3"/>
      <c r="AA123" s="3"/>
      <c r="AB123" s="3"/>
      <c r="AC123" s="3"/>
    </row>
    <row r="124" customFormat="false" ht="21.75" hidden="false" customHeight="true" outlineLevel="0" collapsed="false">
      <c r="A124" s="3"/>
      <c r="B124" s="3"/>
      <c r="C124" s="3"/>
      <c r="D124" s="3"/>
      <c r="E124" s="4"/>
      <c r="F124" s="3"/>
      <c r="G124" s="4"/>
      <c r="H124" s="4"/>
      <c r="I124" s="4"/>
      <c r="J124" s="4"/>
      <c r="K124" s="3"/>
      <c r="L124" s="3"/>
      <c r="M124" s="3"/>
      <c r="N124" s="3"/>
      <c r="O124" s="3"/>
      <c r="P124" s="3"/>
      <c r="Q124" s="3"/>
      <c r="R124" s="3"/>
      <c r="S124" s="3"/>
      <c r="T124" s="3"/>
      <c r="U124" s="3"/>
      <c r="V124" s="3"/>
      <c r="W124" s="3"/>
      <c r="X124" s="3"/>
      <c r="Y124" s="3"/>
      <c r="Z124" s="3"/>
      <c r="AA124" s="3"/>
      <c r="AB124" s="3"/>
      <c r="AC124" s="3"/>
    </row>
    <row r="125" customFormat="false" ht="21.75" hidden="false" customHeight="true" outlineLevel="0" collapsed="false">
      <c r="A125" s="3"/>
      <c r="B125" s="3"/>
      <c r="C125" s="3"/>
      <c r="D125" s="3"/>
      <c r="E125" s="4"/>
      <c r="F125" s="3"/>
      <c r="G125" s="4"/>
      <c r="H125" s="4"/>
      <c r="I125" s="4"/>
      <c r="J125" s="4"/>
      <c r="K125" s="3"/>
      <c r="L125" s="3"/>
      <c r="M125" s="3"/>
      <c r="N125" s="3"/>
      <c r="O125" s="3"/>
      <c r="P125" s="3"/>
      <c r="Q125" s="3"/>
      <c r="R125" s="3"/>
      <c r="S125" s="3"/>
      <c r="T125" s="3"/>
      <c r="U125" s="3"/>
      <c r="V125" s="3"/>
      <c r="W125" s="3"/>
      <c r="X125" s="3"/>
      <c r="Y125" s="3"/>
      <c r="Z125" s="3"/>
      <c r="AA125" s="3"/>
      <c r="AB125" s="3"/>
      <c r="AC125" s="3"/>
    </row>
    <row r="126" customFormat="false" ht="21.75" hidden="false" customHeight="true" outlineLevel="0" collapsed="false">
      <c r="A126" s="3"/>
      <c r="B126" s="3"/>
      <c r="C126" s="3"/>
      <c r="D126" s="3"/>
      <c r="E126" s="4"/>
      <c r="F126" s="3"/>
      <c r="G126" s="4"/>
      <c r="H126" s="4"/>
      <c r="I126" s="4"/>
      <c r="J126" s="4"/>
      <c r="K126" s="3"/>
      <c r="L126" s="3"/>
      <c r="M126" s="3"/>
      <c r="N126" s="3"/>
      <c r="O126" s="3"/>
      <c r="P126" s="3"/>
      <c r="Q126" s="3"/>
      <c r="R126" s="3"/>
      <c r="S126" s="3"/>
      <c r="T126" s="3"/>
      <c r="U126" s="3"/>
      <c r="V126" s="3"/>
      <c r="W126" s="3"/>
      <c r="X126" s="3"/>
      <c r="Y126" s="3"/>
      <c r="Z126" s="3"/>
      <c r="AA126" s="3"/>
      <c r="AB126" s="3"/>
      <c r="AC126" s="3"/>
    </row>
    <row r="127" customFormat="false" ht="21.75" hidden="false" customHeight="true" outlineLevel="0" collapsed="false">
      <c r="A127" s="3"/>
      <c r="B127" s="3"/>
      <c r="C127" s="3"/>
      <c r="D127" s="3"/>
      <c r="E127" s="4"/>
      <c r="F127" s="3"/>
      <c r="G127" s="4"/>
      <c r="H127" s="4"/>
      <c r="I127" s="4"/>
      <c r="J127" s="4"/>
      <c r="K127" s="3"/>
      <c r="L127" s="3"/>
      <c r="M127" s="3"/>
      <c r="N127" s="3"/>
      <c r="O127" s="3"/>
      <c r="P127" s="3"/>
      <c r="Q127" s="3"/>
      <c r="R127" s="3"/>
      <c r="S127" s="3"/>
      <c r="T127" s="3"/>
      <c r="U127" s="3"/>
      <c r="V127" s="3"/>
      <c r="W127" s="3"/>
      <c r="X127" s="3"/>
      <c r="Y127" s="3"/>
      <c r="Z127" s="3"/>
      <c r="AA127" s="3"/>
      <c r="AB127" s="3"/>
      <c r="AC127" s="3"/>
    </row>
    <row r="128" customFormat="false" ht="21.75" hidden="false" customHeight="true" outlineLevel="0" collapsed="false">
      <c r="A128" s="3"/>
      <c r="B128" s="3"/>
      <c r="C128" s="3"/>
      <c r="D128" s="3"/>
      <c r="E128" s="4"/>
      <c r="F128" s="3"/>
      <c r="G128" s="4"/>
      <c r="H128" s="4"/>
      <c r="I128" s="4"/>
      <c r="J128" s="4"/>
      <c r="K128" s="3"/>
      <c r="L128" s="3"/>
      <c r="M128" s="3"/>
      <c r="N128" s="3"/>
      <c r="O128" s="3"/>
      <c r="P128" s="3"/>
      <c r="Q128" s="3"/>
      <c r="R128" s="3"/>
      <c r="S128" s="3"/>
      <c r="T128" s="3"/>
      <c r="U128" s="3"/>
      <c r="V128" s="3"/>
      <c r="W128" s="3"/>
      <c r="X128" s="3"/>
      <c r="Y128" s="3"/>
      <c r="Z128" s="3"/>
      <c r="AA128" s="3"/>
      <c r="AB128" s="3"/>
      <c r="AC128" s="3"/>
    </row>
    <row r="129" customFormat="false" ht="21.75" hidden="false" customHeight="true" outlineLevel="0" collapsed="false">
      <c r="A129" s="3"/>
      <c r="B129" s="3"/>
      <c r="C129" s="3"/>
      <c r="D129" s="3"/>
      <c r="E129" s="4"/>
      <c r="F129" s="3"/>
      <c r="G129" s="4"/>
      <c r="H129" s="4"/>
      <c r="I129" s="4"/>
      <c r="J129" s="4"/>
      <c r="K129" s="3"/>
      <c r="L129" s="3"/>
      <c r="M129" s="3"/>
      <c r="N129" s="3"/>
      <c r="O129" s="3"/>
      <c r="P129" s="3"/>
      <c r="Q129" s="3"/>
      <c r="R129" s="3"/>
      <c r="S129" s="3"/>
      <c r="T129" s="3"/>
      <c r="U129" s="3"/>
      <c r="V129" s="3"/>
      <c r="W129" s="3"/>
      <c r="X129" s="3"/>
      <c r="Y129" s="3"/>
      <c r="Z129" s="3"/>
      <c r="AA129" s="3"/>
      <c r="AB129" s="3"/>
      <c r="AC129" s="3"/>
    </row>
    <row r="130" customFormat="false" ht="21.75" hidden="false" customHeight="true" outlineLevel="0" collapsed="false">
      <c r="A130" s="3"/>
      <c r="B130" s="3"/>
      <c r="C130" s="3"/>
      <c r="D130" s="3"/>
      <c r="E130" s="4"/>
      <c r="F130" s="3"/>
      <c r="G130" s="4"/>
      <c r="H130" s="4"/>
      <c r="I130" s="4"/>
      <c r="J130" s="4"/>
      <c r="K130" s="3"/>
      <c r="L130" s="3"/>
      <c r="M130" s="3"/>
      <c r="N130" s="3"/>
      <c r="O130" s="3"/>
      <c r="P130" s="3"/>
      <c r="Q130" s="3"/>
      <c r="R130" s="3"/>
      <c r="S130" s="3"/>
      <c r="T130" s="3"/>
      <c r="U130" s="3"/>
      <c r="V130" s="3"/>
      <c r="W130" s="3"/>
      <c r="X130" s="3"/>
      <c r="Y130" s="3"/>
      <c r="Z130" s="3"/>
      <c r="AA130" s="3"/>
      <c r="AB130" s="3"/>
      <c r="AC130" s="3"/>
    </row>
    <row r="131" customFormat="false" ht="21.75" hidden="false" customHeight="true" outlineLevel="0" collapsed="false">
      <c r="A131" s="3"/>
      <c r="B131" s="3"/>
      <c r="C131" s="3"/>
      <c r="D131" s="3"/>
      <c r="E131" s="4"/>
      <c r="F131" s="3"/>
      <c r="G131" s="4"/>
      <c r="H131" s="4"/>
      <c r="I131" s="4"/>
      <c r="J131" s="4"/>
      <c r="K131" s="3"/>
      <c r="L131" s="3"/>
      <c r="M131" s="3"/>
      <c r="N131" s="3"/>
      <c r="O131" s="3"/>
      <c r="P131" s="3"/>
      <c r="Q131" s="3"/>
      <c r="R131" s="3"/>
      <c r="S131" s="3"/>
      <c r="T131" s="3"/>
      <c r="U131" s="3"/>
      <c r="V131" s="3"/>
      <c r="W131" s="3"/>
      <c r="X131" s="3"/>
      <c r="Y131" s="3"/>
      <c r="Z131" s="3"/>
      <c r="AA131" s="3"/>
      <c r="AB131" s="3"/>
      <c r="AC131" s="3"/>
    </row>
    <row r="132" customFormat="false" ht="21.75" hidden="false" customHeight="true" outlineLevel="0" collapsed="false">
      <c r="A132" s="3"/>
      <c r="B132" s="3"/>
      <c r="C132" s="3"/>
      <c r="D132" s="3"/>
      <c r="E132" s="4"/>
      <c r="F132" s="3"/>
      <c r="G132" s="4"/>
      <c r="H132" s="4"/>
      <c r="I132" s="4"/>
      <c r="J132" s="4"/>
      <c r="K132" s="3"/>
      <c r="L132" s="3"/>
      <c r="M132" s="3"/>
      <c r="N132" s="3"/>
      <c r="O132" s="3"/>
      <c r="P132" s="3"/>
      <c r="Q132" s="3"/>
      <c r="R132" s="3"/>
      <c r="S132" s="3"/>
      <c r="T132" s="3"/>
      <c r="U132" s="3"/>
      <c r="V132" s="3"/>
      <c r="W132" s="3"/>
      <c r="X132" s="3"/>
      <c r="Y132" s="3"/>
      <c r="Z132" s="3"/>
      <c r="AA132" s="3"/>
      <c r="AB132" s="3"/>
      <c r="AC132" s="3"/>
    </row>
    <row r="133" customFormat="false" ht="21.75" hidden="false" customHeight="true" outlineLevel="0" collapsed="false">
      <c r="A133" s="3"/>
      <c r="B133" s="3"/>
      <c r="C133" s="3"/>
      <c r="D133" s="3"/>
      <c r="E133" s="4"/>
      <c r="F133" s="3"/>
      <c r="G133" s="4"/>
      <c r="H133" s="4"/>
      <c r="I133" s="4"/>
      <c r="J133" s="4"/>
      <c r="K133" s="3"/>
      <c r="L133" s="3"/>
      <c r="M133" s="3"/>
      <c r="N133" s="3"/>
      <c r="O133" s="3"/>
      <c r="P133" s="3"/>
      <c r="Q133" s="3"/>
      <c r="R133" s="3"/>
      <c r="S133" s="3"/>
      <c r="T133" s="3"/>
      <c r="U133" s="3"/>
      <c r="V133" s="3"/>
      <c r="W133" s="3"/>
      <c r="X133" s="3"/>
      <c r="Y133" s="3"/>
      <c r="Z133" s="3"/>
      <c r="AA133" s="3"/>
      <c r="AB133" s="3"/>
      <c r="AC133" s="3"/>
    </row>
    <row r="134" customFormat="false" ht="21.75" hidden="false" customHeight="true" outlineLevel="0" collapsed="false">
      <c r="A134" s="3"/>
      <c r="B134" s="3"/>
      <c r="C134" s="3"/>
      <c r="D134" s="3"/>
      <c r="E134" s="4"/>
      <c r="F134" s="3"/>
      <c r="G134" s="4"/>
      <c r="H134" s="4"/>
      <c r="I134" s="4"/>
      <c r="J134" s="4"/>
      <c r="K134" s="3"/>
      <c r="L134" s="3"/>
      <c r="M134" s="3"/>
      <c r="N134" s="3"/>
      <c r="O134" s="3"/>
      <c r="P134" s="3"/>
      <c r="Q134" s="3"/>
      <c r="R134" s="3"/>
      <c r="S134" s="3"/>
      <c r="T134" s="3"/>
      <c r="U134" s="3"/>
      <c r="V134" s="3"/>
      <c r="W134" s="3"/>
      <c r="X134" s="3"/>
      <c r="Y134" s="3"/>
      <c r="Z134" s="3"/>
      <c r="AA134" s="3"/>
      <c r="AB134" s="3"/>
      <c r="AC134" s="3"/>
    </row>
    <row r="135" customFormat="false" ht="21.75" hidden="false" customHeight="true" outlineLevel="0" collapsed="false">
      <c r="A135" s="3"/>
      <c r="B135" s="3"/>
      <c r="C135" s="3"/>
      <c r="D135" s="3"/>
      <c r="E135" s="4"/>
      <c r="F135" s="3"/>
      <c r="G135" s="4"/>
      <c r="H135" s="4"/>
      <c r="I135" s="4"/>
      <c r="J135" s="4"/>
      <c r="K135" s="3"/>
      <c r="L135" s="3"/>
      <c r="M135" s="3"/>
      <c r="N135" s="3"/>
      <c r="O135" s="3"/>
      <c r="P135" s="3"/>
      <c r="Q135" s="3"/>
      <c r="R135" s="3"/>
      <c r="S135" s="3"/>
      <c r="T135" s="3"/>
      <c r="U135" s="3"/>
      <c r="V135" s="3"/>
      <c r="W135" s="3"/>
      <c r="X135" s="3"/>
      <c r="Y135" s="3"/>
      <c r="Z135" s="3"/>
      <c r="AA135" s="3"/>
      <c r="AB135" s="3"/>
      <c r="AC135" s="3"/>
    </row>
    <row r="136" customFormat="false" ht="21.75" hidden="false" customHeight="true" outlineLevel="0" collapsed="false">
      <c r="A136" s="3"/>
      <c r="B136" s="3"/>
      <c r="C136" s="3"/>
      <c r="D136" s="3"/>
      <c r="E136" s="4"/>
      <c r="F136" s="3"/>
      <c r="G136" s="4"/>
      <c r="H136" s="4"/>
      <c r="I136" s="4"/>
      <c r="J136" s="4"/>
      <c r="K136" s="3"/>
      <c r="L136" s="3"/>
      <c r="M136" s="3"/>
      <c r="N136" s="3"/>
      <c r="O136" s="3"/>
      <c r="P136" s="3"/>
      <c r="Q136" s="3"/>
      <c r="R136" s="3"/>
      <c r="S136" s="3"/>
      <c r="T136" s="3"/>
      <c r="U136" s="3"/>
      <c r="V136" s="3"/>
      <c r="W136" s="3"/>
      <c r="X136" s="3"/>
      <c r="Y136" s="3"/>
      <c r="Z136" s="3"/>
      <c r="AA136" s="3"/>
      <c r="AB136" s="3"/>
      <c r="AC136" s="3"/>
    </row>
    <row r="137" customFormat="false" ht="21.75" hidden="false" customHeight="true" outlineLevel="0" collapsed="false">
      <c r="A137" s="3"/>
      <c r="B137" s="3"/>
      <c r="C137" s="3"/>
      <c r="D137" s="3"/>
      <c r="E137" s="4"/>
      <c r="F137" s="3"/>
      <c r="G137" s="4"/>
      <c r="H137" s="4"/>
      <c r="I137" s="4"/>
      <c r="J137" s="4"/>
      <c r="K137" s="3"/>
      <c r="L137" s="3"/>
      <c r="M137" s="3"/>
      <c r="N137" s="3"/>
      <c r="O137" s="3"/>
      <c r="P137" s="3"/>
      <c r="Q137" s="3"/>
      <c r="R137" s="3"/>
      <c r="S137" s="3"/>
      <c r="T137" s="3"/>
      <c r="U137" s="3"/>
      <c r="V137" s="3"/>
      <c r="W137" s="3"/>
      <c r="X137" s="3"/>
      <c r="Y137" s="3"/>
      <c r="Z137" s="3"/>
      <c r="AA137" s="3"/>
      <c r="AB137" s="3"/>
      <c r="AC137" s="3"/>
    </row>
    <row r="138" customFormat="false" ht="21.75" hidden="false" customHeight="true" outlineLevel="0" collapsed="false">
      <c r="A138" s="3"/>
      <c r="B138" s="3"/>
      <c r="C138" s="3"/>
      <c r="D138" s="3"/>
      <c r="E138" s="4"/>
      <c r="F138" s="3"/>
      <c r="G138" s="4"/>
      <c r="H138" s="4"/>
      <c r="I138" s="4"/>
      <c r="J138" s="4"/>
      <c r="K138" s="3"/>
      <c r="L138" s="3"/>
      <c r="M138" s="3"/>
      <c r="N138" s="3"/>
      <c r="O138" s="3"/>
      <c r="P138" s="3"/>
      <c r="Q138" s="3"/>
      <c r="R138" s="3"/>
      <c r="S138" s="3"/>
      <c r="T138" s="3"/>
      <c r="U138" s="3"/>
      <c r="V138" s="3"/>
      <c r="W138" s="3"/>
      <c r="X138" s="3"/>
      <c r="Y138" s="3"/>
      <c r="Z138" s="3"/>
      <c r="AA138" s="3"/>
      <c r="AB138" s="3"/>
      <c r="AC138" s="3"/>
    </row>
    <row r="139" customFormat="false" ht="21.75" hidden="false" customHeight="true" outlineLevel="0" collapsed="false">
      <c r="A139" s="3"/>
      <c r="B139" s="3"/>
      <c r="C139" s="3"/>
      <c r="D139" s="3"/>
      <c r="E139" s="4"/>
      <c r="F139" s="3"/>
      <c r="G139" s="4"/>
      <c r="H139" s="4"/>
      <c r="I139" s="4"/>
      <c r="J139" s="4"/>
      <c r="K139" s="3"/>
      <c r="L139" s="3"/>
      <c r="M139" s="3"/>
      <c r="N139" s="3"/>
      <c r="O139" s="3"/>
      <c r="P139" s="3"/>
      <c r="Q139" s="3"/>
      <c r="R139" s="3"/>
      <c r="S139" s="3"/>
      <c r="T139" s="3"/>
      <c r="U139" s="3"/>
      <c r="V139" s="3"/>
      <c r="W139" s="3"/>
      <c r="X139" s="3"/>
      <c r="Y139" s="3"/>
      <c r="Z139" s="3"/>
      <c r="AA139" s="3"/>
      <c r="AB139" s="3"/>
      <c r="AC139" s="3"/>
    </row>
    <row r="140" customFormat="false" ht="21.75" hidden="false" customHeight="true" outlineLevel="0" collapsed="false">
      <c r="A140" s="3"/>
      <c r="B140" s="3"/>
      <c r="C140" s="3"/>
      <c r="D140" s="3"/>
      <c r="E140" s="4"/>
      <c r="F140" s="3"/>
      <c r="G140" s="4"/>
      <c r="H140" s="4"/>
      <c r="I140" s="4"/>
      <c r="J140" s="4"/>
      <c r="K140" s="3"/>
      <c r="L140" s="3"/>
      <c r="M140" s="3"/>
      <c r="N140" s="3"/>
      <c r="O140" s="3"/>
      <c r="P140" s="3"/>
      <c r="Q140" s="3"/>
      <c r="R140" s="3"/>
      <c r="S140" s="3"/>
      <c r="T140" s="3"/>
      <c r="U140" s="3"/>
      <c r="V140" s="3"/>
      <c r="W140" s="3"/>
      <c r="X140" s="3"/>
      <c r="Y140" s="3"/>
      <c r="Z140" s="3"/>
      <c r="AA140" s="3"/>
      <c r="AB140" s="3"/>
      <c r="AC140" s="3"/>
    </row>
    <row r="141" customFormat="false" ht="21.75" hidden="false" customHeight="true" outlineLevel="0" collapsed="false">
      <c r="A141" s="3"/>
      <c r="B141" s="3"/>
      <c r="C141" s="3"/>
      <c r="D141" s="3"/>
      <c r="E141" s="4"/>
      <c r="F141" s="3"/>
      <c r="G141" s="4"/>
      <c r="H141" s="4"/>
      <c r="I141" s="4"/>
      <c r="J141" s="4"/>
      <c r="K141" s="3"/>
      <c r="L141" s="3"/>
      <c r="M141" s="3"/>
      <c r="N141" s="3"/>
      <c r="O141" s="3"/>
      <c r="P141" s="3"/>
      <c r="Q141" s="3"/>
      <c r="R141" s="3"/>
      <c r="S141" s="3"/>
      <c r="T141" s="3"/>
      <c r="U141" s="3"/>
      <c r="V141" s="3"/>
      <c r="W141" s="3"/>
      <c r="X141" s="3"/>
      <c r="Y141" s="3"/>
      <c r="Z141" s="3"/>
      <c r="AA141" s="3"/>
      <c r="AB141" s="3"/>
      <c r="AC141" s="3"/>
    </row>
    <row r="142" customFormat="false" ht="21.75" hidden="false" customHeight="true" outlineLevel="0" collapsed="false">
      <c r="A142" s="3"/>
      <c r="B142" s="3"/>
      <c r="C142" s="3"/>
      <c r="D142" s="3"/>
      <c r="E142" s="4"/>
      <c r="F142" s="3"/>
      <c r="G142" s="4"/>
      <c r="H142" s="4"/>
      <c r="I142" s="4"/>
      <c r="J142" s="4"/>
      <c r="K142" s="3"/>
      <c r="L142" s="3"/>
      <c r="M142" s="3"/>
      <c r="N142" s="3"/>
      <c r="O142" s="3"/>
      <c r="P142" s="3"/>
      <c r="Q142" s="3"/>
      <c r="R142" s="3"/>
      <c r="S142" s="3"/>
      <c r="T142" s="3"/>
      <c r="U142" s="3"/>
      <c r="V142" s="3"/>
      <c r="W142" s="3"/>
      <c r="X142" s="3"/>
      <c r="Y142" s="3"/>
      <c r="Z142" s="3"/>
      <c r="AA142" s="3"/>
      <c r="AB142" s="3"/>
      <c r="AC142" s="3"/>
    </row>
    <row r="143" customFormat="false" ht="21.75" hidden="false" customHeight="true" outlineLevel="0" collapsed="false">
      <c r="A143" s="3"/>
      <c r="B143" s="3"/>
      <c r="C143" s="3"/>
      <c r="D143" s="3"/>
      <c r="E143" s="4"/>
      <c r="F143" s="3"/>
      <c r="G143" s="4"/>
      <c r="H143" s="4"/>
      <c r="I143" s="4"/>
      <c r="J143" s="4"/>
      <c r="K143" s="3"/>
      <c r="L143" s="3"/>
      <c r="M143" s="3"/>
      <c r="N143" s="3"/>
      <c r="O143" s="3"/>
      <c r="P143" s="3"/>
      <c r="Q143" s="3"/>
      <c r="R143" s="3"/>
      <c r="S143" s="3"/>
      <c r="T143" s="3"/>
      <c r="U143" s="3"/>
      <c r="V143" s="3"/>
      <c r="W143" s="3"/>
      <c r="X143" s="3"/>
      <c r="Y143" s="3"/>
      <c r="Z143" s="3"/>
      <c r="AA143" s="3"/>
      <c r="AB143" s="3"/>
      <c r="AC143" s="3"/>
    </row>
    <row r="144" customFormat="false" ht="21.75" hidden="false" customHeight="true" outlineLevel="0" collapsed="false">
      <c r="A144" s="3"/>
      <c r="B144" s="3"/>
      <c r="C144" s="3"/>
      <c r="D144" s="3"/>
      <c r="E144" s="4"/>
      <c r="F144" s="3"/>
      <c r="G144" s="4"/>
      <c r="H144" s="4"/>
      <c r="I144" s="4"/>
      <c r="J144" s="4"/>
      <c r="K144" s="3"/>
      <c r="L144" s="3"/>
      <c r="M144" s="3"/>
      <c r="N144" s="3"/>
      <c r="O144" s="3"/>
      <c r="P144" s="3"/>
      <c r="Q144" s="3"/>
      <c r="R144" s="3"/>
      <c r="S144" s="3"/>
      <c r="T144" s="3"/>
      <c r="U144" s="3"/>
      <c r="V144" s="3"/>
      <c r="W144" s="3"/>
      <c r="X144" s="3"/>
      <c r="Y144" s="3"/>
      <c r="Z144" s="3"/>
      <c r="AA144" s="3"/>
      <c r="AB144" s="3"/>
      <c r="AC144" s="3"/>
    </row>
    <row r="145" customFormat="false" ht="21.75" hidden="false" customHeight="true" outlineLevel="0" collapsed="false">
      <c r="A145" s="3"/>
      <c r="B145" s="3"/>
      <c r="C145" s="3"/>
      <c r="D145" s="3"/>
      <c r="E145" s="4"/>
      <c r="F145" s="3"/>
      <c r="G145" s="4"/>
      <c r="H145" s="4"/>
      <c r="I145" s="4"/>
      <c r="J145" s="4"/>
      <c r="K145" s="3"/>
      <c r="L145" s="3"/>
      <c r="M145" s="3"/>
      <c r="N145" s="3"/>
      <c r="O145" s="3"/>
      <c r="P145" s="3"/>
      <c r="Q145" s="3"/>
      <c r="R145" s="3"/>
      <c r="S145" s="3"/>
      <c r="T145" s="3"/>
      <c r="U145" s="3"/>
      <c r="V145" s="3"/>
      <c r="W145" s="3"/>
      <c r="X145" s="3"/>
      <c r="Y145" s="3"/>
      <c r="Z145" s="3"/>
      <c r="AA145" s="3"/>
      <c r="AB145" s="3"/>
      <c r="AC145" s="3"/>
    </row>
    <row r="146" customFormat="false" ht="21.75" hidden="false" customHeight="true" outlineLevel="0" collapsed="false">
      <c r="A146" s="3"/>
      <c r="B146" s="3"/>
      <c r="C146" s="3"/>
      <c r="D146" s="3"/>
      <c r="E146" s="4"/>
      <c r="F146" s="3"/>
      <c r="G146" s="4"/>
      <c r="H146" s="4"/>
      <c r="I146" s="4"/>
      <c r="J146" s="4"/>
      <c r="K146" s="3"/>
      <c r="L146" s="3"/>
      <c r="M146" s="3"/>
      <c r="N146" s="3"/>
      <c r="O146" s="3"/>
      <c r="P146" s="3"/>
      <c r="Q146" s="3"/>
      <c r="R146" s="3"/>
      <c r="S146" s="3"/>
      <c r="T146" s="3"/>
      <c r="U146" s="3"/>
      <c r="V146" s="3"/>
      <c r="W146" s="3"/>
      <c r="X146" s="3"/>
      <c r="Y146" s="3"/>
      <c r="Z146" s="3"/>
      <c r="AA146" s="3"/>
      <c r="AB146" s="3"/>
      <c r="AC146" s="3"/>
    </row>
    <row r="147" customFormat="false" ht="21.75" hidden="false" customHeight="true" outlineLevel="0" collapsed="false">
      <c r="A147" s="3"/>
      <c r="B147" s="3"/>
      <c r="C147" s="3"/>
      <c r="D147" s="3"/>
      <c r="E147" s="4"/>
      <c r="F147" s="3"/>
      <c r="G147" s="4"/>
      <c r="H147" s="4"/>
      <c r="I147" s="4"/>
      <c r="J147" s="4"/>
      <c r="K147" s="3"/>
      <c r="L147" s="3"/>
      <c r="M147" s="3"/>
      <c r="N147" s="3"/>
      <c r="O147" s="3"/>
      <c r="P147" s="3"/>
      <c r="Q147" s="3"/>
      <c r="R147" s="3"/>
      <c r="S147" s="3"/>
      <c r="T147" s="3"/>
      <c r="U147" s="3"/>
      <c r="V147" s="3"/>
      <c r="W147" s="3"/>
      <c r="X147" s="3"/>
      <c r="Y147" s="3"/>
      <c r="Z147" s="3"/>
      <c r="AA147" s="3"/>
      <c r="AB147" s="3"/>
      <c r="AC147" s="3"/>
    </row>
    <row r="148" customFormat="false" ht="21.75" hidden="false" customHeight="true" outlineLevel="0" collapsed="false">
      <c r="A148" s="3"/>
      <c r="B148" s="3"/>
      <c r="C148" s="3"/>
      <c r="D148" s="3"/>
      <c r="E148" s="4"/>
      <c r="F148" s="3"/>
      <c r="G148" s="4"/>
      <c r="H148" s="4"/>
      <c r="I148" s="4"/>
      <c r="J148" s="4"/>
      <c r="K148" s="3"/>
      <c r="L148" s="3"/>
      <c r="M148" s="3"/>
      <c r="N148" s="3"/>
      <c r="O148" s="3"/>
      <c r="P148" s="3"/>
      <c r="Q148" s="3"/>
      <c r="R148" s="3"/>
      <c r="S148" s="3"/>
      <c r="T148" s="3"/>
      <c r="U148" s="3"/>
      <c r="V148" s="3"/>
      <c r="W148" s="3"/>
      <c r="X148" s="3"/>
      <c r="Y148" s="3"/>
      <c r="Z148" s="3"/>
      <c r="AA148" s="3"/>
      <c r="AB148" s="3"/>
      <c r="AC148" s="3"/>
    </row>
    <row r="149" customFormat="false" ht="21.75" hidden="false" customHeight="true" outlineLevel="0" collapsed="false">
      <c r="A149" s="3"/>
      <c r="B149" s="3"/>
      <c r="C149" s="3"/>
      <c r="D149" s="3"/>
      <c r="E149" s="4"/>
      <c r="F149" s="3"/>
      <c r="G149" s="4"/>
      <c r="H149" s="4"/>
      <c r="I149" s="4"/>
      <c r="J149" s="4"/>
      <c r="K149" s="3"/>
      <c r="L149" s="3"/>
      <c r="M149" s="3"/>
      <c r="N149" s="3"/>
      <c r="O149" s="3"/>
      <c r="P149" s="3"/>
      <c r="Q149" s="3"/>
      <c r="R149" s="3"/>
      <c r="S149" s="3"/>
      <c r="T149" s="3"/>
      <c r="U149" s="3"/>
      <c r="V149" s="3"/>
      <c r="W149" s="3"/>
      <c r="X149" s="3"/>
      <c r="Y149" s="3"/>
      <c r="Z149" s="3"/>
      <c r="AA149" s="3"/>
      <c r="AB149" s="3"/>
      <c r="AC149" s="3"/>
    </row>
    <row r="150" customFormat="false" ht="21.75" hidden="false" customHeight="true" outlineLevel="0" collapsed="false">
      <c r="A150" s="3"/>
      <c r="B150" s="3"/>
      <c r="C150" s="3"/>
      <c r="D150" s="3"/>
      <c r="E150" s="4"/>
      <c r="F150" s="3"/>
      <c r="G150" s="4"/>
      <c r="H150" s="4"/>
      <c r="I150" s="4"/>
      <c r="J150" s="4"/>
      <c r="K150" s="3"/>
      <c r="L150" s="3"/>
      <c r="M150" s="3"/>
      <c r="N150" s="3"/>
      <c r="O150" s="3"/>
      <c r="P150" s="3"/>
      <c r="Q150" s="3"/>
      <c r="R150" s="3"/>
      <c r="S150" s="3"/>
      <c r="T150" s="3"/>
      <c r="U150" s="3"/>
      <c r="V150" s="3"/>
      <c r="W150" s="3"/>
      <c r="X150" s="3"/>
      <c r="Y150" s="3"/>
      <c r="Z150" s="3"/>
      <c r="AA150" s="3"/>
      <c r="AB150" s="3"/>
      <c r="AC150" s="3"/>
    </row>
    <row r="151" customFormat="false" ht="21.75" hidden="false" customHeight="true" outlineLevel="0" collapsed="false">
      <c r="A151" s="3"/>
      <c r="B151" s="3"/>
      <c r="C151" s="3"/>
      <c r="D151" s="3"/>
      <c r="E151" s="4"/>
      <c r="F151" s="3"/>
      <c r="G151" s="4"/>
      <c r="H151" s="4"/>
      <c r="I151" s="4"/>
      <c r="J151" s="4"/>
      <c r="K151" s="3"/>
      <c r="L151" s="3"/>
      <c r="M151" s="3"/>
      <c r="N151" s="3"/>
      <c r="O151" s="3"/>
      <c r="P151" s="3"/>
      <c r="Q151" s="3"/>
      <c r="R151" s="3"/>
      <c r="S151" s="3"/>
      <c r="T151" s="3"/>
      <c r="U151" s="3"/>
      <c r="V151" s="3"/>
      <c r="W151" s="3"/>
      <c r="X151" s="3"/>
      <c r="Y151" s="3"/>
      <c r="Z151" s="3"/>
      <c r="AA151" s="3"/>
      <c r="AB151" s="3"/>
      <c r="AC151" s="3"/>
    </row>
    <row r="152" customFormat="false" ht="21.75" hidden="false" customHeight="true" outlineLevel="0" collapsed="false">
      <c r="A152" s="3"/>
      <c r="B152" s="3"/>
      <c r="C152" s="3"/>
      <c r="D152" s="3"/>
      <c r="E152" s="4"/>
      <c r="F152" s="3"/>
      <c r="G152" s="4"/>
      <c r="H152" s="4"/>
      <c r="I152" s="4"/>
      <c r="J152" s="4"/>
      <c r="K152" s="3"/>
      <c r="L152" s="3"/>
      <c r="M152" s="3"/>
      <c r="N152" s="3"/>
      <c r="O152" s="3"/>
      <c r="P152" s="3"/>
      <c r="Q152" s="3"/>
      <c r="R152" s="3"/>
      <c r="S152" s="3"/>
      <c r="T152" s="3"/>
      <c r="U152" s="3"/>
      <c r="V152" s="3"/>
      <c r="W152" s="3"/>
      <c r="X152" s="3"/>
      <c r="Y152" s="3"/>
      <c r="Z152" s="3"/>
      <c r="AA152" s="3"/>
      <c r="AB152" s="3"/>
      <c r="AC152" s="3"/>
    </row>
    <row r="153" customFormat="false" ht="21.75" hidden="false" customHeight="true" outlineLevel="0" collapsed="false">
      <c r="A153" s="3"/>
      <c r="B153" s="3"/>
      <c r="C153" s="3"/>
      <c r="D153" s="3"/>
      <c r="E153" s="4"/>
      <c r="F153" s="3"/>
      <c r="G153" s="4"/>
      <c r="H153" s="4"/>
      <c r="I153" s="4"/>
      <c r="J153" s="4"/>
      <c r="K153" s="3"/>
      <c r="L153" s="3"/>
      <c r="M153" s="3"/>
      <c r="N153" s="3"/>
      <c r="O153" s="3"/>
      <c r="P153" s="3"/>
      <c r="Q153" s="3"/>
      <c r="R153" s="3"/>
      <c r="S153" s="3"/>
      <c r="T153" s="3"/>
      <c r="U153" s="3"/>
      <c r="V153" s="3"/>
      <c r="W153" s="3"/>
      <c r="X153" s="3"/>
      <c r="Y153" s="3"/>
      <c r="Z153" s="3"/>
      <c r="AA153" s="3"/>
      <c r="AB153" s="3"/>
      <c r="AC153" s="3"/>
    </row>
    <row r="154" customFormat="false" ht="21.75" hidden="false" customHeight="true" outlineLevel="0" collapsed="false">
      <c r="A154" s="3"/>
      <c r="B154" s="3"/>
      <c r="C154" s="3"/>
      <c r="D154" s="3"/>
      <c r="E154" s="4"/>
      <c r="F154" s="3"/>
      <c r="G154" s="4"/>
      <c r="H154" s="4"/>
      <c r="I154" s="4"/>
      <c r="J154" s="4"/>
      <c r="K154" s="3"/>
      <c r="L154" s="3"/>
      <c r="M154" s="3"/>
      <c r="N154" s="3"/>
      <c r="O154" s="3"/>
      <c r="P154" s="3"/>
      <c r="Q154" s="3"/>
      <c r="R154" s="3"/>
      <c r="S154" s="3"/>
      <c r="T154" s="3"/>
      <c r="U154" s="3"/>
      <c r="V154" s="3"/>
      <c r="W154" s="3"/>
      <c r="X154" s="3"/>
      <c r="Y154" s="3"/>
      <c r="Z154" s="3"/>
      <c r="AA154" s="3"/>
      <c r="AB154" s="3"/>
      <c r="AC154" s="3"/>
    </row>
    <row r="155" customFormat="false" ht="21.75" hidden="false" customHeight="true" outlineLevel="0" collapsed="false">
      <c r="A155" s="3"/>
      <c r="B155" s="3"/>
      <c r="C155" s="3"/>
      <c r="D155" s="3"/>
      <c r="E155" s="4"/>
      <c r="F155" s="3"/>
      <c r="G155" s="4"/>
      <c r="H155" s="4"/>
      <c r="I155" s="4"/>
      <c r="J155" s="4"/>
      <c r="K155" s="3"/>
      <c r="L155" s="3"/>
      <c r="M155" s="3"/>
      <c r="N155" s="3"/>
      <c r="O155" s="3"/>
      <c r="P155" s="3"/>
      <c r="Q155" s="3"/>
      <c r="R155" s="3"/>
      <c r="S155" s="3"/>
      <c r="T155" s="3"/>
      <c r="U155" s="3"/>
      <c r="V155" s="3"/>
      <c r="W155" s="3"/>
      <c r="X155" s="3"/>
      <c r="Y155" s="3"/>
      <c r="Z155" s="3"/>
      <c r="AA155" s="3"/>
      <c r="AB155" s="3"/>
      <c r="AC155" s="3"/>
    </row>
    <row r="156" customFormat="false" ht="21.75" hidden="false" customHeight="true" outlineLevel="0" collapsed="false">
      <c r="A156" s="3"/>
      <c r="B156" s="3"/>
      <c r="C156" s="3"/>
      <c r="D156" s="3"/>
      <c r="E156" s="4"/>
      <c r="F156" s="3"/>
      <c r="G156" s="4"/>
      <c r="H156" s="4"/>
      <c r="I156" s="4"/>
      <c r="J156" s="4"/>
      <c r="K156" s="3"/>
      <c r="L156" s="3"/>
      <c r="M156" s="3"/>
      <c r="N156" s="3"/>
      <c r="O156" s="3"/>
      <c r="P156" s="3"/>
      <c r="Q156" s="3"/>
      <c r="R156" s="3"/>
      <c r="S156" s="3"/>
      <c r="T156" s="3"/>
      <c r="U156" s="3"/>
      <c r="V156" s="3"/>
      <c r="W156" s="3"/>
      <c r="X156" s="3"/>
      <c r="Y156" s="3"/>
      <c r="Z156" s="3"/>
      <c r="AA156" s="3"/>
      <c r="AB156" s="3"/>
      <c r="AC156" s="3"/>
    </row>
    <row r="157" customFormat="false" ht="21.75" hidden="false" customHeight="true" outlineLevel="0" collapsed="false">
      <c r="A157" s="3"/>
      <c r="B157" s="3"/>
      <c r="C157" s="3"/>
      <c r="D157" s="3"/>
      <c r="E157" s="4"/>
      <c r="F157" s="3"/>
      <c r="G157" s="4"/>
      <c r="H157" s="4"/>
      <c r="I157" s="4"/>
      <c r="J157" s="4"/>
      <c r="K157" s="3"/>
      <c r="L157" s="3"/>
      <c r="M157" s="3"/>
      <c r="N157" s="3"/>
      <c r="O157" s="3"/>
      <c r="P157" s="3"/>
      <c r="Q157" s="3"/>
      <c r="R157" s="3"/>
      <c r="S157" s="3"/>
      <c r="T157" s="3"/>
      <c r="U157" s="3"/>
      <c r="V157" s="3"/>
      <c r="W157" s="3"/>
      <c r="X157" s="3"/>
      <c r="Y157" s="3"/>
      <c r="Z157" s="3"/>
      <c r="AA157" s="3"/>
      <c r="AB157" s="3"/>
      <c r="AC157" s="3"/>
    </row>
    <row r="158" customFormat="false" ht="21.75" hidden="false" customHeight="true" outlineLevel="0" collapsed="false">
      <c r="A158" s="3"/>
      <c r="B158" s="3"/>
      <c r="C158" s="3"/>
      <c r="D158" s="3"/>
      <c r="E158" s="4"/>
      <c r="F158" s="3"/>
      <c r="G158" s="4"/>
      <c r="H158" s="4"/>
      <c r="I158" s="4"/>
      <c r="J158" s="4"/>
      <c r="K158" s="3"/>
      <c r="L158" s="3"/>
      <c r="M158" s="3"/>
      <c r="N158" s="3"/>
      <c r="O158" s="3"/>
      <c r="P158" s="3"/>
      <c r="Q158" s="3"/>
      <c r="R158" s="3"/>
      <c r="S158" s="3"/>
      <c r="T158" s="3"/>
      <c r="U158" s="3"/>
      <c r="V158" s="3"/>
      <c r="W158" s="3"/>
      <c r="X158" s="3"/>
      <c r="Y158" s="3"/>
      <c r="Z158" s="3"/>
      <c r="AA158" s="3"/>
      <c r="AB158" s="3"/>
      <c r="AC158" s="3"/>
    </row>
    <row r="159" customFormat="false" ht="21.75" hidden="false" customHeight="true" outlineLevel="0" collapsed="false">
      <c r="A159" s="3"/>
      <c r="B159" s="3"/>
      <c r="C159" s="3"/>
      <c r="D159" s="3"/>
      <c r="E159" s="4"/>
      <c r="F159" s="3"/>
      <c r="G159" s="4"/>
      <c r="H159" s="4"/>
      <c r="I159" s="4"/>
      <c r="J159" s="4"/>
      <c r="K159" s="3"/>
      <c r="L159" s="3"/>
      <c r="M159" s="3"/>
      <c r="N159" s="3"/>
      <c r="O159" s="3"/>
      <c r="P159" s="3"/>
      <c r="Q159" s="3"/>
      <c r="R159" s="3"/>
      <c r="S159" s="3"/>
      <c r="T159" s="3"/>
      <c r="U159" s="3"/>
      <c r="V159" s="3"/>
      <c r="W159" s="3"/>
      <c r="X159" s="3"/>
      <c r="Y159" s="3"/>
      <c r="Z159" s="3"/>
      <c r="AA159" s="3"/>
      <c r="AB159" s="3"/>
      <c r="AC159" s="3"/>
    </row>
    <row r="160" customFormat="false" ht="21.75" hidden="false" customHeight="true" outlineLevel="0" collapsed="false">
      <c r="A160" s="3"/>
      <c r="B160" s="3"/>
      <c r="C160" s="3"/>
      <c r="D160" s="3"/>
      <c r="E160" s="4"/>
      <c r="F160" s="3"/>
      <c r="G160" s="4"/>
      <c r="H160" s="4"/>
      <c r="I160" s="4"/>
      <c r="J160" s="4"/>
      <c r="K160" s="3"/>
      <c r="L160" s="3"/>
      <c r="M160" s="3"/>
      <c r="N160" s="3"/>
      <c r="O160" s="3"/>
      <c r="P160" s="3"/>
      <c r="Q160" s="3"/>
      <c r="R160" s="3"/>
      <c r="S160" s="3"/>
      <c r="T160" s="3"/>
      <c r="U160" s="3"/>
      <c r="V160" s="3"/>
      <c r="W160" s="3"/>
      <c r="X160" s="3"/>
      <c r="Y160" s="3"/>
      <c r="Z160" s="3"/>
      <c r="AA160" s="3"/>
      <c r="AB160" s="3"/>
      <c r="AC160" s="3"/>
    </row>
    <row r="161" customFormat="false" ht="21.75" hidden="false" customHeight="true" outlineLevel="0" collapsed="false">
      <c r="A161" s="3"/>
      <c r="B161" s="3"/>
      <c r="C161" s="3"/>
      <c r="D161" s="3"/>
      <c r="E161" s="4"/>
      <c r="F161" s="3"/>
      <c r="G161" s="4"/>
      <c r="H161" s="4"/>
      <c r="I161" s="4"/>
      <c r="J161" s="4"/>
      <c r="K161" s="3"/>
      <c r="L161" s="3"/>
      <c r="M161" s="3"/>
      <c r="N161" s="3"/>
      <c r="O161" s="3"/>
      <c r="P161" s="3"/>
      <c r="Q161" s="3"/>
      <c r="R161" s="3"/>
      <c r="S161" s="3"/>
      <c r="T161" s="3"/>
      <c r="U161" s="3"/>
      <c r="V161" s="3"/>
      <c r="W161" s="3"/>
      <c r="X161" s="3"/>
      <c r="Y161" s="3"/>
      <c r="Z161" s="3"/>
      <c r="AA161" s="3"/>
      <c r="AB161" s="3"/>
      <c r="AC161" s="3"/>
    </row>
    <row r="162" customFormat="false" ht="21.75" hidden="false" customHeight="true" outlineLevel="0" collapsed="false">
      <c r="A162" s="3"/>
      <c r="B162" s="3"/>
      <c r="C162" s="3"/>
      <c r="D162" s="3"/>
      <c r="E162" s="4"/>
      <c r="F162" s="3"/>
      <c r="G162" s="4"/>
      <c r="H162" s="4"/>
      <c r="I162" s="4"/>
      <c r="J162" s="4"/>
      <c r="K162" s="3"/>
      <c r="L162" s="3"/>
      <c r="M162" s="3"/>
      <c r="N162" s="3"/>
      <c r="O162" s="3"/>
      <c r="P162" s="3"/>
      <c r="Q162" s="3"/>
      <c r="R162" s="3"/>
      <c r="S162" s="3"/>
      <c r="T162" s="3"/>
      <c r="U162" s="3"/>
      <c r="V162" s="3"/>
      <c r="W162" s="3"/>
      <c r="X162" s="3"/>
      <c r="Y162" s="3"/>
      <c r="Z162" s="3"/>
      <c r="AA162" s="3"/>
      <c r="AB162" s="3"/>
      <c r="AC162" s="3"/>
    </row>
    <row r="163" customFormat="false" ht="21.75" hidden="false" customHeight="true" outlineLevel="0" collapsed="false">
      <c r="A163" s="3"/>
      <c r="B163" s="3"/>
      <c r="C163" s="3"/>
      <c r="D163" s="3"/>
      <c r="E163" s="4"/>
      <c r="F163" s="3"/>
      <c r="G163" s="4"/>
      <c r="H163" s="4"/>
      <c r="I163" s="4"/>
      <c r="J163" s="4"/>
      <c r="K163" s="3"/>
      <c r="L163" s="3"/>
      <c r="M163" s="3"/>
      <c r="N163" s="3"/>
      <c r="O163" s="3"/>
      <c r="P163" s="3"/>
      <c r="Q163" s="3"/>
      <c r="R163" s="3"/>
      <c r="S163" s="3"/>
      <c r="T163" s="3"/>
      <c r="U163" s="3"/>
      <c r="V163" s="3"/>
      <c r="W163" s="3"/>
      <c r="X163" s="3"/>
      <c r="Y163" s="3"/>
      <c r="Z163" s="3"/>
      <c r="AA163" s="3"/>
      <c r="AB163" s="3"/>
      <c r="AC163" s="3"/>
    </row>
    <row r="164" customFormat="false" ht="21.75" hidden="false" customHeight="true" outlineLevel="0" collapsed="false">
      <c r="A164" s="3"/>
      <c r="B164" s="3"/>
      <c r="C164" s="3"/>
      <c r="D164" s="3"/>
      <c r="E164" s="4"/>
      <c r="F164" s="3"/>
      <c r="G164" s="4"/>
      <c r="H164" s="4"/>
      <c r="I164" s="4"/>
      <c r="J164" s="4"/>
      <c r="K164" s="3"/>
      <c r="L164" s="3"/>
      <c r="M164" s="3"/>
      <c r="N164" s="3"/>
      <c r="O164" s="3"/>
      <c r="P164" s="3"/>
      <c r="Q164" s="3"/>
      <c r="R164" s="3"/>
      <c r="S164" s="3"/>
      <c r="T164" s="3"/>
      <c r="U164" s="3"/>
      <c r="V164" s="3"/>
      <c r="W164" s="3"/>
      <c r="X164" s="3"/>
      <c r="Y164" s="3"/>
      <c r="Z164" s="3"/>
      <c r="AA164" s="3"/>
      <c r="AB164" s="3"/>
      <c r="AC164" s="3"/>
    </row>
    <row r="165" customFormat="false" ht="21.75" hidden="false" customHeight="true" outlineLevel="0" collapsed="false">
      <c r="A165" s="3"/>
      <c r="B165" s="3"/>
      <c r="C165" s="3"/>
      <c r="D165" s="3"/>
      <c r="E165" s="4"/>
      <c r="F165" s="3"/>
      <c r="G165" s="4"/>
      <c r="H165" s="4"/>
      <c r="I165" s="4"/>
      <c r="J165" s="4"/>
      <c r="K165" s="3"/>
      <c r="L165" s="3"/>
      <c r="M165" s="3"/>
      <c r="N165" s="3"/>
      <c r="O165" s="3"/>
      <c r="P165" s="3"/>
      <c r="Q165" s="3"/>
      <c r="R165" s="3"/>
      <c r="S165" s="3"/>
      <c r="T165" s="3"/>
      <c r="U165" s="3"/>
      <c r="V165" s="3"/>
      <c r="W165" s="3"/>
      <c r="X165" s="3"/>
      <c r="Y165" s="3"/>
      <c r="Z165" s="3"/>
      <c r="AA165" s="3"/>
      <c r="AB165" s="3"/>
      <c r="AC165" s="3"/>
    </row>
    <row r="166" customFormat="false" ht="21.75" hidden="false" customHeight="true" outlineLevel="0" collapsed="false">
      <c r="A166" s="3"/>
      <c r="B166" s="3"/>
      <c r="C166" s="3"/>
      <c r="D166" s="3"/>
      <c r="E166" s="4"/>
      <c r="F166" s="3"/>
      <c r="G166" s="4"/>
      <c r="H166" s="4"/>
      <c r="I166" s="4"/>
      <c r="J166" s="4"/>
      <c r="K166" s="3"/>
      <c r="L166" s="3"/>
      <c r="M166" s="3"/>
      <c r="N166" s="3"/>
      <c r="O166" s="3"/>
      <c r="P166" s="3"/>
      <c r="Q166" s="3"/>
      <c r="R166" s="3"/>
      <c r="S166" s="3"/>
      <c r="T166" s="3"/>
      <c r="U166" s="3"/>
      <c r="V166" s="3"/>
      <c r="W166" s="3"/>
      <c r="X166" s="3"/>
      <c r="Y166" s="3"/>
      <c r="Z166" s="3"/>
      <c r="AA166" s="3"/>
      <c r="AB166" s="3"/>
      <c r="AC166" s="3"/>
    </row>
    <row r="167" customFormat="false" ht="21.75" hidden="false" customHeight="true" outlineLevel="0" collapsed="false">
      <c r="A167" s="3"/>
      <c r="B167" s="3"/>
      <c r="C167" s="3"/>
      <c r="D167" s="3"/>
      <c r="E167" s="4"/>
      <c r="F167" s="3"/>
      <c r="G167" s="4"/>
      <c r="H167" s="4"/>
      <c r="I167" s="4"/>
      <c r="J167" s="4"/>
      <c r="K167" s="3"/>
      <c r="L167" s="3"/>
      <c r="M167" s="3"/>
      <c r="N167" s="3"/>
      <c r="O167" s="3"/>
      <c r="P167" s="3"/>
      <c r="Q167" s="3"/>
      <c r="R167" s="3"/>
      <c r="S167" s="3"/>
      <c r="T167" s="3"/>
      <c r="U167" s="3"/>
      <c r="V167" s="3"/>
      <c r="W167" s="3"/>
      <c r="X167" s="3"/>
      <c r="Y167" s="3"/>
      <c r="Z167" s="3"/>
      <c r="AA167" s="3"/>
      <c r="AB167" s="3"/>
      <c r="AC167" s="3"/>
    </row>
    <row r="168" customFormat="false" ht="21.75" hidden="false" customHeight="true" outlineLevel="0" collapsed="false">
      <c r="A168" s="3"/>
      <c r="B168" s="3"/>
      <c r="C168" s="3"/>
      <c r="D168" s="3"/>
      <c r="E168" s="4"/>
      <c r="F168" s="3"/>
      <c r="G168" s="4"/>
      <c r="H168" s="4"/>
      <c r="I168" s="4"/>
      <c r="J168" s="4"/>
      <c r="K168" s="3"/>
      <c r="L168" s="3"/>
      <c r="M168" s="3"/>
      <c r="N168" s="3"/>
      <c r="O168" s="3"/>
      <c r="P168" s="3"/>
      <c r="Q168" s="3"/>
      <c r="R168" s="3"/>
      <c r="S168" s="3"/>
      <c r="T168" s="3"/>
      <c r="U168" s="3"/>
      <c r="V168" s="3"/>
      <c r="W168" s="3"/>
      <c r="X168" s="3"/>
      <c r="Y168" s="3"/>
      <c r="Z168" s="3"/>
      <c r="AA168" s="3"/>
      <c r="AB168" s="3"/>
      <c r="AC168" s="3"/>
    </row>
    <row r="169" customFormat="false" ht="21.75" hidden="false" customHeight="true" outlineLevel="0" collapsed="false">
      <c r="A169" s="3"/>
      <c r="B169" s="3"/>
      <c r="C169" s="3"/>
      <c r="D169" s="3"/>
      <c r="E169" s="4"/>
      <c r="F169" s="3"/>
      <c r="G169" s="4"/>
      <c r="H169" s="4"/>
      <c r="I169" s="4"/>
      <c r="J169" s="4"/>
      <c r="K169" s="3"/>
      <c r="L169" s="3"/>
      <c r="M169" s="3"/>
      <c r="N169" s="3"/>
      <c r="O169" s="3"/>
      <c r="P169" s="3"/>
      <c r="Q169" s="3"/>
      <c r="R169" s="3"/>
      <c r="S169" s="3"/>
      <c r="T169" s="3"/>
      <c r="U169" s="3"/>
      <c r="V169" s="3"/>
      <c r="W169" s="3"/>
      <c r="X169" s="3"/>
      <c r="Y169" s="3"/>
      <c r="Z169" s="3"/>
      <c r="AA169" s="3"/>
      <c r="AB169" s="3"/>
      <c r="AC169" s="3"/>
    </row>
    <row r="170" customFormat="false" ht="21.75" hidden="false" customHeight="true" outlineLevel="0" collapsed="false">
      <c r="A170" s="3"/>
      <c r="B170" s="3"/>
      <c r="C170" s="3"/>
      <c r="D170" s="3"/>
      <c r="E170" s="4"/>
      <c r="F170" s="3"/>
      <c r="G170" s="4"/>
      <c r="H170" s="4"/>
      <c r="I170" s="4"/>
      <c r="J170" s="4"/>
      <c r="K170" s="3"/>
      <c r="L170" s="3"/>
      <c r="M170" s="3"/>
      <c r="N170" s="3"/>
      <c r="O170" s="3"/>
      <c r="P170" s="3"/>
      <c r="Q170" s="3"/>
      <c r="R170" s="3"/>
      <c r="S170" s="3"/>
      <c r="T170" s="3"/>
      <c r="U170" s="3"/>
      <c r="V170" s="3"/>
      <c r="W170" s="3"/>
      <c r="X170" s="3"/>
      <c r="Y170" s="3"/>
      <c r="Z170" s="3"/>
      <c r="AA170" s="3"/>
      <c r="AB170" s="3"/>
      <c r="AC170" s="3"/>
    </row>
    <row r="171" customFormat="false" ht="21.75" hidden="false" customHeight="true" outlineLevel="0" collapsed="false">
      <c r="A171" s="3"/>
      <c r="B171" s="3"/>
      <c r="C171" s="3"/>
      <c r="D171" s="3"/>
      <c r="E171" s="4"/>
      <c r="F171" s="3"/>
      <c r="G171" s="4"/>
      <c r="H171" s="4"/>
      <c r="I171" s="4"/>
      <c r="J171" s="4"/>
      <c r="K171" s="3"/>
      <c r="L171" s="3"/>
      <c r="M171" s="3"/>
      <c r="N171" s="3"/>
      <c r="O171" s="3"/>
      <c r="P171" s="3"/>
      <c r="Q171" s="3"/>
      <c r="R171" s="3"/>
      <c r="S171" s="3"/>
      <c r="T171" s="3"/>
      <c r="U171" s="3"/>
      <c r="V171" s="3"/>
      <c r="W171" s="3"/>
      <c r="X171" s="3"/>
      <c r="Y171" s="3"/>
      <c r="Z171" s="3"/>
      <c r="AA171" s="3"/>
      <c r="AB171" s="3"/>
      <c r="AC171" s="3"/>
    </row>
    <row r="172" customFormat="false" ht="21.75" hidden="false" customHeight="true" outlineLevel="0" collapsed="false">
      <c r="A172" s="3"/>
      <c r="B172" s="3"/>
      <c r="C172" s="3"/>
      <c r="D172" s="3"/>
      <c r="E172" s="4"/>
      <c r="F172" s="3"/>
      <c r="G172" s="4"/>
      <c r="H172" s="4"/>
      <c r="I172" s="4"/>
      <c r="J172" s="4"/>
      <c r="K172" s="3"/>
      <c r="L172" s="3"/>
      <c r="M172" s="3"/>
      <c r="N172" s="3"/>
      <c r="O172" s="3"/>
      <c r="P172" s="3"/>
      <c r="Q172" s="3"/>
      <c r="R172" s="3"/>
      <c r="S172" s="3"/>
      <c r="T172" s="3"/>
      <c r="U172" s="3"/>
      <c r="V172" s="3"/>
      <c r="W172" s="3"/>
      <c r="X172" s="3"/>
      <c r="Y172" s="3"/>
      <c r="Z172" s="3"/>
      <c r="AA172" s="3"/>
      <c r="AB172" s="3"/>
      <c r="AC172" s="3"/>
    </row>
    <row r="173" customFormat="false" ht="21.75" hidden="false" customHeight="true" outlineLevel="0" collapsed="false">
      <c r="A173" s="3"/>
      <c r="B173" s="3"/>
      <c r="C173" s="3"/>
      <c r="D173" s="3"/>
      <c r="E173" s="4"/>
      <c r="F173" s="3"/>
      <c r="G173" s="4"/>
      <c r="H173" s="4"/>
      <c r="I173" s="4"/>
      <c r="J173" s="4"/>
      <c r="K173" s="3"/>
      <c r="L173" s="3"/>
      <c r="M173" s="3"/>
      <c r="N173" s="3"/>
      <c r="O173" s="3"/>
      <c r="P173" s="3"/>
      <c r="Q173" s="3"/>
      <c r="R173" s="3"/>
      <c r="S173" s="3"/>
      <c r="T173" s="3"/>
      <c r="U173" s="3"/>
      <c r="V173" s="3"/>
      <c r="W173" s="3"/>
      <c r="X173" s="3"/>
      <c r="Y173" s="3"/>
      <c r="Z173" s="3"/>
      <c r="AA173" s="3"/>
      <c r="AB173" s="3"/>
      <c r="AC173" s="3"/>
    </row>
    <row r="174" customFormat="false" ht="21.75" hidden="false" customHeight="true" outlineLevel="0" collapsed="false">
      <c r="A174" s="3"/>
      <c r="B174" s="3"/>
      <c r="C174" s="3"/>
      <c r="D174" s="3"/>
      <c r="E174" s="4"/>
      <c r="F174" s="3"/>
      <c r="G174" s="4"/>
      <c r="H174" s="4"/>
      <c r="I174" s="4"/>
      <c r="J174" s="4"/>
      <c r="K174" s="3"/>
      <c r="L174" s="3"/>
      <c r="M174" s="3"/>
      <c r="N174" s="3"/>
      <c r="O174" s="3"/>
      <c r="P174" s="3"/>
      <c r="Q174" s="3"/>
      <c r="R174" s="3"/>
      <c r="S174" s="3"/>
      <c r="T174" s="3"/>
      <c r="U174" s="3"/>
      <c r="V174" s="3"/>
      <c r="W174" s="3"/>
      <c r="X174" s="3"/>
      <c r="Y174" s="3"/>
      <c r="Z174" s="3"/>
      <c r="AA174" s="3"/>
      <c r="AB174" s="3"/>
      <c r="AC174" s="3"/>
    </row>
    <row r="175" customFormat="false" ht="21.75" hidden="false" customHeight="true" outlineLevel="0" collapsed="false">
      <c r="A175" s="3"/>
      <c r="B175" s="3"/>
      <c r="C175" s="3"/>
      <c r="D175" s="3"/>
      <c r="E175" s="4"/>
      <c r="F175" s="3"/>
      <c r="G175" s="4"/>
      <c r="H175" s="4"/>
      <c r="I175" s="4"/>
      <c r="J175" s="4"/>
      <c r="K175" s="3"/>
      <c r="L175" s="3"/>
      <c r="M175" s="3"/>
      <c r="N175" s="3"/>
      <c r="O175" s="3"/>
      <c r="P175" s="3"/>
      <c r="Q175" s="3"/>
      <c r="R175" s="3"/>
      <c r="S175" s="3"/>
      <c r="T175" s="3"/>
      <c r="U175" s="3"/>
      <c r="V175" s="3"/>
      <c r="W175" s="3"/>
      <c r="X175" s="3"/>
      <c r="Y175" s="3"/>
      <c r="Z175" s="3"/>
      <c r="AA175" s="3"/>
      <c r="AB175" s="3"/>
      <c r="AC175" s="3"/>
    </row>
    <row r="176" customFormat="false" ht="21.75" hidden="false" customHeight="true" outlineLevel="0" collapsed="false">
      <c r="A176" s="3"/>
      <c r="B176" s="3"/>
      <c r="C176" s="3"/>
      <c r="D176" s="3"/>
      <c r="E176" s="4"/>
      <c r="F176" s="3"/>
      <c r="G176" s="4"/>
      <c r="H176" s="4"/>
      <c r="I176" s="4"/>
      <c r="J176" s="4"/>
      <c r="K176" s="3"/>
      <c r="L176" s="3"/>
      <c r="M176" s="3"/>
      <c r="N176" s="3"/>
      <c r="O176" s="3"/>
      <c r="P176" s="3"/>
      <c r="Q176" s="3"/>
      <c r="R176" s="3"/>
      <c r="S176" s="3"/>
      <c r="T176" s="3"/>
      <c r="U176" s="3"/>
      <c r="V176" s="3"/>
      <c r="W176" s="3"/>
      <c r="X176" s="3"/>
      <c r="Y176" s="3"/>
      <c r="Z176" s="3"/>
      <c r="AA176" s="3"/>
      <c r="AB176" s="3"/>
      <c r="AC176" s="3"/>
    </row>
    <row r="177" customFormat="false" ht="21.75" hidden="false" customHeight="true" outlineLevel="0" collapsed="false">
      <c r="A177" s="3"/>
      <c r="B177" s="3"/>
      <c r="C177" s="3"/>
      <c r="D177" s="3"/>
      <c r="E177" s="4"/>
      <c r="F177" s="3"/>
      <c r="G177" s="4"/>
      <c r="H177" s="4"/>
      <c r="I177" s="4"/>
      <c r="J177" s="4"/>
      <c r="K177" s="3"/>
      <c r="L177" s="3"/>
      <c r="M177" s="3"/>
      <c r="N177" s="3"/>
      <c r="O177" s="3"/>
      <c r="P177" s="3"/>
      <c r="Q177" s="3"/>
      <c r="R177" s="3"/>
      <c r="S177" s="3"/>
      <c r="T177" s="3"/>
      <c r="U177" s="3"/>
      <c r="V177" s="3"/>
      <c r="W177" s="3"/>
      <c r="X177" s="3"/>
      <c r="Y177" s="3"/>
      <c r="Z177" s="3"/>
      <c r="AA177" s="3"/>
      <c r="AB177" s="3"/>
      <c r="AC177" s="3"/>
    </row>
    <row r="178" customFormat="false" ht="21.75" hidden="false" customHeight="true" outlineLevel="0" collapsed="false">
      <c r="A178" s="3"/>
      <c r="B178" s="3"/>
      <c r="C178" s="3"/>
      <c r="D178" s="3"/>
      <c r="E178" s="4"/>
      <c r="F178" s="3"/>
      <c r="G178" s="4"/>
      <c r="H178" s="4"/>
      <c r="I178" s="4"/>
      <c r="J178" s="4"/>
      <c r="K178" s="3"/>
      <c r="L178" s="3"/>
      <c r="M178" s="3"/>
      <c r="N178" s="3"/>
      <c r="O178" s="3"/>
      <c r="P178" s="3"/>
      <c r="Q178" s="3"/>
      <c r="R178" s="3"/>
      <c r="S178" s="3"/>
      <c r="T178" s="3"/>
      <c r="U178" s="3"/>
      <c r="V178" s="3"/>
      <c r="W178" s="3"/>
      <c r="X178" s="3"/>
      <c r="Y178" s="3"/>
      <c r="Z178" s="3"/>
      <c r="AA178" s="3"/>
      <c r="AB178" s="3"/>
      <c r="AC178" s="3"/>
    </row>
    <row r="179" customFormat="false" ht="21.75" hidden="false" customHeight="true" outlineLevel="0" collapsed="false">
      <c r="A179" s="3"/>
      <c r="B179" s="3"/>
      <c r="C179" s="3"/>
      <c r="D179" s="3"/>
      <c r="E179" s="4"/>
      <c r="F179" s="3"/>
      <c r="G179" s="4"/>
      <c r="H179" s="4"/>
      <c r="I179" s="4"/>
      <c r="J179" s="4"/>
      <c r="K179" s="3"/>
      <c r="L179" s="3"/>
      <c r="M179" s="3"/>
      <c r="N179" s="3"/>
      <c r="O179" s="3"/>
      <c r="P179" s="3"/>
      <c r="Q179" s="3"/>
      <c r="R179" s="3"/>
      <c r="S179" s="3"/>
      <c r="T179" s="3"/>
      <c r="U179" s="3"/>
      <c r="V179" s="3"/>
      <c r="W179" s="3"/>
      <c r="X179" s="3"/>
      <c r="Y179" s="3"/>
      <c r="Z179" s="3"/>
      <c r="AA179" s="3"/>
      <c r="AB179" s="3"/>
      <c r="AC179" s="3"/>
    </row>
    <row r="180" customFormat="false" ht="21.75" hidden="false" customHeight="true" outlineLevel="0" collapsed="false">
      <c r="A180" s="3"/>
      <c r="B180" s="3"/>
      <c r="C180" s="3"/>
      <c r="D180" s="3"/>
      <c r="E180" s="4"/>
      <c r="F180" s="3"/>
      <c r="G180" s="4"/>
      <c r="H180" s="4"/>
      <c r="I180" s="4"/>
      <c r="J180" s="4"/>
      <c r="K180" s="3"/>
      <c r="L180" s="3"/>
      <c r="M180" s="3"/>
      <c r="N180" s="3"/>
      <c r="O180" s="3"/>
      <c r="P180" s="3"/>
      <c r="Q180" s="3"/>
      <c r="R180" s="3"/>
      <c r="S180" s="3"/>
      <c r="T180" s="3"/>
      <c r="U180" s="3"/>
      <c r="V180" s="3"/>
      <c r="W180" s="3"/>
      <c r="X180" s="3"/>
      <c r="Y180" s="3"/>
      <c r="Z180" s="3"/>
      <c r="AA180" s="3"/>
      <c r="AB180" s="3"/>
      <c r="AC180" s="3"/>
    </row>
    <row r="181" customFormat="false" ht="21.75" hidden="false" customHeight="true" outlineLevel="0" collapsed="false">
      <c r="A181" s="3"/>
      <c r="B181" s="3"/>
      <c r="C181" s="3"/>
      <c r="D181" s="3"/>
      <c r="E181" s="4"/>
      <c r="F181" s="3"/>
      <c r="G181" s="4"/>
      <c r="H181" s="4"/>
      <c r="I181" s="4"/>
      <c r="J181" s="4"/>
      <c r="K181" s="3"/>
      <c r="L181" s="3"/>
      <c r="M181" s="3"/>
      <c r="N181" s="3"/>
      <c r="O181" s="3"/>
      <c r="P181" s="3"/>
      <c r="Q181" s="3"/>
      <c r="R181" s="3"/>
      <c r="S181" s="3"/>
      <c r="T181" s="3"/>
      <c r="U181" s="3"/>
      <c r="V181" s="3"/>
      <c r="W181" s="3"/>
      <c r="X181" s="3"/>
      <c r="Y181" s="3"/>
      <c r="Z181" s="3"/>
      <c r="AA181" s="3"/>
      <c r="AB181" s="3"/>
      <c r="AC181" s="3"/>
    </row>
    <row r="182" customFormat="false" ht="21.75" hidden="false" customHeight="true" outlineLevel="0" collapsed="false">
      <c r="A182" s="3"/>
      <c r="B182" s="3"/>
      <c r="C182" s="3"/>
      <c r="D182" s="3"/>
      <c r="E182" s="4"/>
      <c r="F182" s="3"/>
      <c r="G182" s="4"/>
      <c r="H182" s="4"/>
      <c r="I182" s="4"/>
      <c r="J182" s="4"/>
      <c r="K182" s="3"/>
      <c r="L182" s="3"/>
      <c r="M182" s="3"/>
      <c r="N182" s="3"/>
      <c r="O182" s="3"/>
      <c r="P182" s="3"/>
      <c r="Q182" s="3"/>
      <c r="R182" s="3"/>
      <c r="S182" s="3"/>
      <c r="T182" s="3"/>
      <c r="U182" s="3"/>
      <c r="V182" s="3"/>
      <c r="W182" s="3"/>
      <c r="X182" s="3"/>
      <c r="Y182" s="3"/>
      <c r="Z182" s="3"/>
      <c r="AA182" s="3"/>
      <c r="AB182" s="3"/>
      <c r="AC182" s="3"/>
    </row>
    <row r="183" customFormat="false" ht="21.75" hidden="false" customHeight="true" outlineLevel="0" collapsed="false">
      <c r="A183" s="3"/>
      <c r="B183" s="3"/>
      <c r="C183" s="3"/>
      <c r="D183" s="3"/>
      <c r="E183" s="4"/>
      <c r="F183" s="3"/>
      <c r="G183" s="4"/>
      <c r="H183" s="4"/>
      <c r="I183" s="4"/>
      <c r="J183" s="4"/>
      <c r="K183" s="3"/>
      <c r="L183" s="3"/>
      <c r="M183" s="3"/>
      <c r="N183" s="3"/>
      <c r="O183" s="3"/>
      <c r="P183" s="3"/>
      <c r="Q183" s="3"/>
      <c r="R183" s="3"/>
      <c r="S183" s="3"/>
      <c r="T183" s="3"/>
      <c r="U183" s="3"/>
      <c r="V183" s="3"/>
      <c r="W183" s="3"/>
      <c r="X183" s="3"/>
      <c r="Y183" s="3"/>
      <c r="Z183" s="3"/>
      <c r="AA183" s="3"/>
      <c r="AB183" s="3"/>
      <c r="AC183" s="3"/>
    </row>
    <row r="184" customFormat="false" ht="21.75" hidden="false" customHeight="true" outlineLevel="0" collapsed="false">
      <c r="A184" s="3"/>
      <c r="B184" s="3"/>
      <c r="C184" s="3"/>
      <c r="D184" s="3"/>
      <c r="E184" s="4"/>
      <c r="F184" s="3"/>
      <c r="G184" s="4"/>
      <c r="H184" s="4"/>
      <c r="I184" s="4"/>
      <c r="J184" s="4"/>
      <c r="K184" s="3"/>
      <c r="L184" s="3"/>
      <c r="M184" s="3"/>
      <c r="N184" s="3"/>
      <c r="O184" s="3"/>
      <c r="P184" s="3"/>
      <c r="Q184" s="3"/>
      <c r="R184" s="3"/>
      <c r="S184" s="3"/>
      <c r="T184" s="3"/>
      <c r="U184" s="3"/>
      <c r="V184" s="3"/>
      <c r="W184" s="3"/>
      <c r="X184" s="3"/>
      <c r="Y184" s="3"/>
      <c r="Z184" s="3"/>
      <c r="AA184" s="3"/>
      <c r="AB184" s="3"/>
      <c r="AC184" s="3"/>
    </row>
    <row r="185" customFormat="false" ht="21.75" hidden="false" customHeight="true" outlineLevel="0" collapsed="false">
      <c r="A185" s="3"/>
      <c r="B185" s="3"/>
      <c r="C185" s="3"/>
      <c r="D185" s="3"/>
      <c r="E185" s="4"/>
      <c r="F185" s="3"/>
      <c r="G185" s="4"/>
      <c r="H185" s="4"/>
      <c r="I185" s="4"/>
      <c r="J185" s="4"/>
      <c r="K185" s="3"/>
      <c r="L185" s="3"/>
      <c r="M185" s="3"/>
      <c r="N185" s="3"/>
      <c r="O185" s="3"/>
      <c r="P185" s="3"/>
      <c r="Q185" s="3"/>
      <c r="R185" s="3"/>
      <c r="S185" s="3"/>
      <c r="T185" s="3"/>
      <c r="U185" s="3"/>
      <c r="V185" s="3"/>
      <c r="W185" s="3"/>
      <c r="X185" s="3"/>
      <c r="Y185" s="3"/>
      <c r="Z185" s="3"/>
      <c r="AA185" s="3"/>
      <c r="AB185" s="3"/>
      <c r="AC185" s="3"/>
    </row>
    <row r="186" customFormat="false" ht="21.75" hidden="false" customHeight="true" outlineLevel="0" collapsed="false">
      <c r="A186" s="3"/>
      <c r="B186" s="3"/>
      <c r="C186" s="3"/>
      <c r="D186" s="3"/>
      <c r="E186" s="4"/>
      <c r="F186" s="3"/>
      <c r="G186" s="4"/>
      <c r="H186" s="4"/>
      <c r="I186" s="4"/>
      <c r="J186" s="4"/>
      <c r="K186" s="3"/>
      <c r="L186" s="3"/>
      <c r="M186" s="3"/>
      <c r="N186" s="3"/>
      <c r="O186" s="3"/>
      <c r="P186" s="3"/>
      <c r="Q186" s="3"/>
      <c r="R186" s="3"/>
      <c r="S186" s="3"/>
      <c r="T186" s="3"/>
      <c r="U186" s="3"/>
      <c r="V186" s="3"/>
      <c r="W186" s="3"/>
      <c r="X186" s="3"/>
      <c r="Y186" s="3"/>
      <c r="Z186" s="3"/>
      <c r="AA186" s="3"/>
      <c r="AB186" s="3"/>
      <c r="AC186" s="3"/>
    </row>
    <row r="187" customFormat="false" ht="21.75" hidden="false" customHeight="true" outlineLevel="0" collapsed="false">
      <c r="A187" s="3"/>
      <c r="B187" s="3"/>
      <c r="C187" s="3"/>
      <c r="D187" s="3"/>
      <c r="E187" s="4"/>
      <c r="F187" s="3"/>
      <c r="G187" s="4"/>
      <c r="H187" s="4"/>
      <c r="I187" s="4"/>
      <c r="J187" s="4"/>
      <c r="K187" s="3"/>
      <c r="L187" s="3"/>
      <c r="M187" s="3"/>
      <c r="N187" s="3"/>
      <c r="O187" s="3"/>
      <c r="P187" s="3"/>
      <c r="Q187" s="3"/>
      <c r="R187" s="3"/>
      <c r="S187" s="3"/>
      <c r="T187" s="3"/>
      <c r="U187" s="3"/>
      <c r="V187" s="3"/>
      <c r="W187" s="3"/>
      <c r="X187" s="3"/>
      <c r="Y187" s="3"/>
      <c r="Z187" s="3"/>
      <c r="AA187" s="3"/>
      <c r="AB187" s="3"/>
      <c r="AC187" s="3"/>
    </row>
    <row r="188" customFormat="false" ht="21.75" hidden="false" customHeight="true" outlineLevel="0" collapsed="false">
      <c r="A188" s="3"/>
      <c r="B188" s="3"/>
      <c r="C188" s="3"/>
      <c r="D188" s="3"/>
      <c r="E188" s="4"/>
      <c r="F188" s="3"/>
      <c r="G188" s="4"/>
      <c r="H188" s="4"/>
      <c r="I188" s="4"/>
      <c r="J188" s="4"/>
      <c r="K188" s="3"/>
      <c r="L188" s="3"/>
      <c r="M188" s="3"/>
      <c r="N188" s="3"/>
      <c r="O188" s="3"/>
      <c r="P188" s="3"/>
      <c r="Q188" s="3"/>
      <c r="R188" s="3"/>
      <c r="S188" s="3"/>
      <c r="T188" s="3"/>
      <c r="U188" s="3"/>
      <c r="V188" s="3"/>
      <c r="W188" s="3"/>
      <c r="X188" s="3"/>
      <c r="Y188" s="3"/>
      <c r="Z188" s="3"/>
      <c r="AA188" s="3"/>
      <c r="AB188" s="3"/>
      <c r="AC188" s="3"/>
    </row>
    <row r="189" customFormat="false" ht="21.75" hidden="false" customHeight="true" outlineLevel="0" collapsed="false">
      <c r="A189" s="3"/>
      <c r="B189" s="3"/>
      <c r="C189" s="3"/>
      <c r="D189" s="3"/>
      <c r="E189" s="4"/>
      <c r="F189" s="3"/>
      <c r="G189" s="4"/>
      <c r="H189" s="4"/>
      <c r="I189" s="4"/>
      <c r="J189" s="4"/>
      <c r="K189" s="3"/>
      <c r="L189" s="3"/>
      <c r="M189" s="3"/>
      <c r="N189" s="3"/>
      <c r="O189" s="3"/>
      <c r="P189" s="3"/>
      <c r="Q189" s="3"/>
      <c r="R189" s="3"/>
      <c r="S189" s="3"/>
      <c r="T189" s="3"/>
      <c r="U189" s="3"/>
      <c r="V189" s="3"/>
      <c r="W189" s="3"/>
      <c r="X189" s="3"/>
      <c r="Y189" s="3"/>
      <c r="Z189" s="3"/>
      <c r="AA189" s="3"/>
      <c r="AB189" s="3"/>
      <c r="AC189" s="3"/>
    </row>
    <row r="190" customFormat="false" ht="21.75" hidden="false" customHeight="true" outlineLevel="0" collapsed="false">
      <c r="A190" s="3"/>
      <c r="B190" s="3"/>
      <c r="C190" s="3"/>
      <c r="D190" s="3"/>
      <c r="E190" s="4"/>
      <c r="F190" s="3"/>
      <c r="G190" s="4"/>
      <c r="H190" s="4"/>
      <c r="I190" s="4"/>
      <c r="J190" s="4"/>
      <c r="K190" s="3"/>
      <c r="L190" s="3"/>
      <c r="M190" s="3"/>
      <c r="N190" s="3"/>
      <c r="O190" s="3"/>
      <c r="P190" s="3"/>
      <c r="Q190" s="3"/>
      <c r="R190" s="3"/>
      <c r="S190" s="3"/>
      <c r="T190" s="3"/>
      <c r="U190" s="3"/>
      <c r="V190" s="3"/>
      <c r="W190" s="3"/>
      <c r="X190" s="3"/>
      <c r="Y190" s="3"/>
      <c r="Z190" s="3"/>
      <c r="AA190" s="3"/>
      <c r="AB190" s="3"/>
      <c r="AC190" s="3"/>
    </row>
    <row r="191" customFormat="false" ht="21.75" hidden="false" customHeight="true" outlineLevel="0" collapsed="false">
      <c r="A191" s="3"/>
      <c r="B191" s="3"/>
      <c r="C191" s="3"/>
      <c r="D191" s="3"/>
      <c r="E191" s="4"/>
      <c r="F191" s="3"/>
      <c r="G191" s="4"/>
      <c r="H191" s="4"/>
      <c r="I191" s="4"/>
      <c r="J191" s="4"/>
      <c r="K191" s="3"/>
      <c r="L191" s="3"/>
      <c r="M191" s="3"/>
      <c r="N191" s="3"/>
      <c r="O191" s="3"/>
      <c r="P191" s="3"/>
      <c r="Q191" s="3"/>
      <c r="R191" s="3"/>
      <c r="S191" s="3"/>
      <c r="T191" s="3"/>
      <c r="U191" s="3"/>
      <c r="V191" s="3"/>
      <c r="W191" s="3"/>
      <c r="X191" s="3"/>
      <c r="Y191" s="3"/>
      <c r="Z191" s="3"/>
      <c r="AA191" s="3"/>
      <c r="AB191" s="3"/>
      <c r="AC191" s="3"/>
    </row>
    <row r="192" customFormat="false" ht="21.75" hidden="false" customHeight="true" outlineLevel="0" collapsed="false">
      <c r="A192" s="3"/>
      <c r="B192" s="3"/>
      <c r="C192" s="3"/>
      <c r="D192" s="3"/>
      <c r="E192" s="4"/>
      <c r="F192" s="3"/>
      <c r="G192" s="4"/>
      <c r="H192" s="4"/>
      <c r="I192" s="4"/>
      <c r="J192" s="4"/>
      <c r="K192" s="3"/>
      <c r="L192" s="3"/>
      <c r="M192" s="3"/>
      <c r="N192" s="3"/>
      <c r="O192" s="3"/>
      <c r="P192" s="3"/>
      <c r="Q192" s="3"/>
      <c r="R192" s="3"/>
      <c r="S192" s="3"/>
      <c r="T192" s="3"/>
      <c r="U192" s="3"/>
      <c r="V192" s="3"/>
      <c r="W192" s="3"/>
      <c r="X192" s="3"/>
      <c r="Y192" s="3"/>
      <c r="Z192" s="3"/>
      <c r="AA192" s="3"/>
      <c r="AB192" s="3"/>
      <c r="AC192" s="3"/>
    </row>
    <row r="193" customFormat="false" ht="21.75" hidden="false" customHeight="true" outlineLevel="0" collapsed="false">
      <c r="A193" s="3"/>
      <c r="B193" s="3"/>
      <c r="C193" s="3"/>
      <c r="D193" s="3"/>
      <c r="E193" s="4"/>
      <c r="F193" s="3"/>
      <c r="G193" s="4"/>
      <c r="H193" s="4"/>
      <c r="I193" s="4"/>
      <c r="J193" s="4"/>
      <c r="K193" s="3"/>
      <c r="L193" s="3"/>
      <c r="M193" s="3"/>
      <c r="N193" s="3"/>
      <c r="O193" s="3"/>
      <c r="P193" s="3"/>
      <c r="Q193" s="3"/>
      <c r="R193" s="3"/>
      <c r="S193" s="3"/>
      <c r="T193" s="3"/>
      <c r="U193" s="3"/>
      <c r="V193" s="3"/>
      <c r="W193" s="3"/>
      <c r="X193" s="3"/>
      <c r="Y193" s="3"/>
      <c r="Z193" s="3"/>
      <c r="AA193" s="3"/>
      <c r="AB193" s="3"/>
      <c r="AC193" s="3"/>
    </row>
    <row r="194" customFormat="false" ht="21.75" hidden="false" customHeight="true" outlineLevel="0" collapsed="false">
      <c r="A194" s="3"/>
      <c r="B194" s="3"/>
      <c r="C194" s="3"/>
      <c r="D194" s="3"/>
      <c r="E194" s="4"/>
      <c r="F194" s="3"/>
      <c r="G194" s="4"/>
      <c r="H194" s="4"/>
      <c r="I194" s="4"/>
      <c r="J194" s="4"/>
      <c r="K194" s="3"/>
      <c r="L194" s="3"/>
      <c r="M194" s="3"/>
      <c r="N194" s="3"/>
      <c r="O194" s="3"/>
      <c r="P194" s="3"/>
      <c r="Q194" s="3"/>
      <c r="R194" s="3"/>
      <c r="S194" s="3"/>
      <c r="T194" s="3"/>
      <c r="U194" s="3"/>
      <c r="V194" s="3"/>
      <c r="W194" s="3"/>
      <c r="X194" s="3"/>
      <c r="Y194" s="3"/>
      <c r="Z194" s="3"/>
      <c r="AA194" s="3"/>
      <c r="AB194" s="3"/>
      <c r="AC194" s="3"/>
    </row>
    <row r="195" customFormat="false" ht="21.75" hidden="false" customHeight="true" outlineLevel="0" collapsed="false">
      <c r="A195" s="3"/>
      <c r="B195" s="3"/>
      <c r="C195" s="3"/>
      <c r="D195" s="3"/>
      <c r="E195" s="4"/>
      <c r="F195" s="3"/>
      <c r="G195" s="4"/>
      <c r="H195" s="4"/>
      <c r="I195" s="4"/>
      <c r="J195" s="4"/>
      <c r="K195" s="3"/>
      <c r="L195" s="3"/>
      <c r="M195" s="3"/>
      <c r="N195" s="3"/>
      <c r="O195" s="3"/>
      <c r="P195" s="3"/>
      <c r="Q195" s="3"/>
      <c r="R195" s="3"/>
      <c r="S195" s="3"/>
      <c r="T195" s="3"/>
      <c r="U195" s="3"/>
      <c r="V195" s="3"/>
      <c r="W195" s="3"/>
      <c r="X195" s="3"/>
      <c r="Y195" s="3"/>
      <c r="Z195" s="3"/>
      <c r="AA195" s="3"/>
      <c r="AB195" s="3"/>
      <c r="AC195" s="3"/>
    </row>
    <row r="196" customFormat="false" ht="21.75" hidden="false" customHeight="true" outlineLevel="0" collapsed="false">
      <c r="A196" s="3"/>
      <c r="B196" s="3"/>
      <c r="C196" s="3"/>
      <c r="D196" s="3"/>
      <c r="E196" s="4"/>
      <c r="F196" s="3"/>
      <c r="G196" s="4"/>
      <c r="H196" s="4"/>
      <c r="I196" s="4"/>
      <c r="J196" s="4"/>
      <c r="K196" s="3"/>
      <c r="L196" s="3"/>
      <c r="M196" s="3"/>
      <c r="N196" s="3"/>
      <c r="O196" s="3"/>
      <c r="P196" s="3"/>
      <c r="Q196" s="3"/>
      <c r="R196" s="3"/>
      <c r="S196" s="3"/>
      <c r="T196" s="3"/>
      <c r="U196" s="3"/>
      <c r="V196" s="3"/>
      <c r="W196" s="3"/>
      <c r="X196" s="3"/>
      <c r="Y196" s="3"/>
      <c r="Z196" s="3"/>
      <c r="AA196" s="3"/>
      <c r="AB196" s="3"/>
      <c r="AC196" s="3"/>
    </row>
    <row r="197" customFormat="false" ht="21.75" hidden="false" customHeight="true" outlineLevel="0" collapsed="false">
      <c r="A197" s="3"/>
      <c r="B197" s="3"/>
      <c r="C197" s="3"/>
      <c r="D197" s="3"/>
      <c r="E197" s="4"/>
      <c r="F197" s="3"/>
      <c r="G197" s="4"/>
      <c r="H197" s="4"/>
      <c r="I197" s="4"/>
      <c r="J197" s="4"/>
      <c r="K197" s="3"/>
      <c r="L197" s="3"/>
      <c r="M197" s="3"/>
      <c r="N197" s="3"/>
      <c r="O197" s="3"/>
      <c r="P197" s="3"/>
      <c r="Q197" s="3"/>
      <c r="R197" s="3"/>
      <c r="S197" s="3"/>
      <c r="T197" s="3"/>
      <c r="U197" s="3"/>
      <c r="V197" s="3"/>
      <c r="W197" s="3"/>
      <c r="X197" s="3"/>
      <c r="Y197" s="3"/>
      <c r="Z197" s="3"/>
      <c r="AA197" s="3"/>
      <c r="AB197" s="3"/>
      <c r="AC197" s="3"/>
    </row>
    <row r="198" customFormat="false" ht="21.75" hidden="false" customHeight="true" outlineLevel="0" collapsed="false">
      <c r="A198" s="3"/>
      <c r="B198" s="3"/>
      <c r="C198" s="3"/>
      <c r="D198" s="3"/>
      <c r="E198" s="4"/>
      <c r="F198" s="3"/>
      <c r="G198" s="4"/>
      <c r="H198" s="4"/>
      <c r="I198" s="4"/>
      <c r="J198" s="4"/>
      <c r="K198" s="3"/>
      <c r="L198" s="3"/>
      <c r="M198" s="3"/>
      <c r="N198" s="3"/>
      <c r="O198" s="3"/>
      <c r="P198" s="3"/>
      <c r="Q198" s="3"/>
      <c r="R198" s="3"/>
      <c r="S198" s="3"/>
      <c r="T198" s="3"/>
      <c r="U198" s="3"/>
      <c r="V198" s="3"/>
      <c r="W198" s="3"/>
      <c r="X198" s="3"/>
      <c r="Y198" s="3"/>
      <c r="Z198" s="3"/>
      <c r="AA198" s="3"/>
      <c r="AB198" s="3"/>
      <c r="AC198" s="3"/>
    </row>
    <row r="199" customFormat="false" ht="21.75" hidden="false" customHeight="true" outlineLevel="0" collapsed="false">
      <c r="A199" s="3"/>
      <c r="B199" s="3"/>
      <c r="C199" s="3"/>
      <c r="D199" s="3"/>
      <c r="E199" s="4"/>
      <c r="F199" s="3"/>
      <c r="G199" s="4"/>
      <c r="H199" s="4"/>
      <c r="I199" s="4"/>
      <c r="J199" s="4"/>
      <c r="K199" s="3"/>
      <c r="L199" s="3"/>
      <c r="M199" s="3"/>
      <c r="N199" s="3"/>
      <c r="O199" s="3"/>
      <c r="P199" s="3"/>
      <c r="Q199" s="3"/>
      <c r="R199" s="3"/>
      <c r="S199" s="3"/>
      <c r="T199" s="3"/>
      <c r="U199" s="3"/>
      <c r="V199" s="3"/>
      <c r="W199" s="3"/>
      <c r="X199" s="3"/>
      <c r="Y199" s="3"/>
      <c r="Z199" s="3"/>
      <c r="AA199" s="3"/>
      <c r="AB199" s="3"/>
      <c r="AC199" s="3"/>
    </row>
    <row r="200" customFormat="false" ht="21.75" hidden="false" customHeight="true" outlineLevel="0" collapsed="false">
      <c r="A200" s="3"/>
      <c r="B200" s="3"/>
      <c r="C200" s="3"/>
      <c r="D200" s="3"/>
      <c r="E200" s="4"/>
      <c r="F200" s="3"/>
      <c r="G200" s="4"/>
      <c r="H200" s="4"/>
      <c r="I200" s="4"/>
      <c r="J200" s="4"/>
      <c r="K200" s="3"/>
      <c r="L200" s="3"/>
      <c r="M200" s="3"/>
      <c r="N200" s="3"/>
      <c r="O200" s="3"/>
      <c r="P200" s="3"/>
      <c r="Q200" s="3"/>
      <c r="R200" s="3"/>
      <c r="S200" s="3"/>
      <c r="T200" s="3"/>
      <c r="U200" s="3"/>
      <c r="V200" s="3"/>
      <c r="W200" s="3"/>
      <c r="X200" s="3"/>
      <c r="Y200" s="3"/>
      <c r="Z200" s="3"/>
      <c r="AA200" s="3"/>
      <c r="AB200" s="3"/>
      <c r="AC200" s="3"/>
    </row>
    <row r="201" customFormat="false" ht="21.75" hidden="false" customHeight="true" outlineLevel="0" collapsed="false">
      <c r="A201" s="3"/>
      <c r="B201" s="3"/>
      <c r="C201" s="3"/>
      <c r="D201" s="3"/>
      <c r="E201" s="4"/>
      <c r="F201" s="3"/>
      <c r="G201" s="4"/>
      <c r="H201" s="4"/>
      <c r="I201" s="4"/>
      <c r="J201" s="4"/>
      <c r="K201" s="3"/>
      <c r="L201" s="3"/>
      <c r="M201" s="3"/>
      <c r="N201" s="3"/>
      <c r="O201" s="3"/>
      <c r="P201" s="3"/>
      <c r="Q201" s="3"/>
      <c r="R201" s="3"/>
      <c r="S201" s="3"/>
      <c r="T201" s="3"/>
      <c r="U201" s="3"/>
      <c r="V201" s="3"/>
      <c r="W201" s="3"/>
      <c r="X201" s="3"/>
      <c r="Y201" s="3"/>
      <c r="Z201" s="3"/>
      <c r="AA201" s="3"/>
      <c r="AB201" s="3"/>
      <c r="AC201" s="3"/>
    </row>
    <row r="202" customFormat="false" ht="21.75" hidden="false" customHeight="true" outlineLevel="0" collapsed="false">
      <c r="A202" s="3"/>
      <c r="B202" s="3"/>
      <c r="C202" s="3"/>
      <c r="D202" s="3"/>
      <c r="E202" s="4"/>
      <c r="F202" s="3"/>
      <c r="G202" s="4"/>
      <c r="H202" s="4"/>
      <c r="I202" s="4"/>
      <c r="J202" s="4"/>
      <c r="K202" s="3"/>
      <c r="L202" s="3"/>
      <c r="M202" s="3"/>
      <c r="N202" s="3"/>
      <c r="O202" s="3"/>
      <c r="P202" s="3"/>
      <c r="Q202" s="3"/>
      <c r="R202" s="3"/>
      <c r="S202" s="3"/>
      <c r="T202" s="3"/>
      <c r="U202" s="3"/>
      <c r="V202" s="3"/>
      <c r="W202" s="3"/>
      <c r="X202" s="3"/>
      <c r="Y202" s="3"/>
      <c r="Z202" s="3"/>
      <c r="AA202" s="3"/>
      <c r="AB202" s="3"/>
      <c r="AC202" s="3"/>
    </row>
    <row r="203" customFormat="false" ht="21.75" hidden="false" customHeight="true" outlineLevel="0" collapsed="false">
      <c r="A203" s="3"/>
      <c r="B203" s="3"/>
      <c r="C203" s="3"/>
      <c r="D203" s="3"/>
      <c r="E203" s="4"/>
      <c r="F203" s="3"/>
      <c r="G203" s="4"/>
      <c r="H203" s="4"/>
      <c r="I203" s="4"/>
      <c r="J203" s="4"/>
      <c r="K203" s="3"/>
      <c r="L203" s="3"/>
      <c r="M203" s="3"/>
      <c r="N203" s="3"/>
      <c r="O203" s="3"/>
      <c r="P203" s="3"/>
      <c r="Q203" s="3"/>
      <c r="R203" s="3"/>
      <c r="S203" s="3"/>
      <c r="T203" s="3"/>
      <c r="U203" s="3"/>
      <c r="V203" s="3"/>
      <c r="W203" s="3"/>
      <c r="X203" s="3"/>
      <c r="Y203" s="3"/>
      <c r="Z203" s="3"/>
      <c r="AA203" s="3"/>
      <c r="AB203" s="3"/>
      <c r="AC203" s="3"/>
    </row>
    <row r="204" customFormat="false" ht="21.75" hidden="false" customHeight="true" outlineLevel="0" collapsed="false">
      <c r="A204" s="3"/>
      <c r="B204" s="3"/>
      <c r="C204" s="3"/>
      <c r="D204" s="3"/>
      <c r="E204" s="4"/>
      <c r="F204" s="3"/>
      <c r="G204" s="4"/>
      <c r="H204" s="4"/>
      <c r="I204" s="4"/>
      <c r="J204" s="4"/>
      <c r="K204" s="3"/>
      <c r="L204" s="3"/>
      <c r="M204" s="3"/>
      <c r="N204" s="3"/>
      <c r="O204" s="3"/>
      <c r="P204" s="3"/>
      <c r="Q204" s="3"/>
      <c r="R204" s="3"/>
      <c r="S204" s="3"/>
      <c r="T204" s="3"/>
      <c r="U204" s="3"/>
      <c r="V204" s="3"/>
      <c r="W204" s="3"/>
      <c r="X204" s="3"/>
      <c r="Y204" s="3"/>
      <c r="Z204" s="3"/>
      <c r="AA204" s="3"/>
      <c r="AB204" s="3"/>
      <c r="AC204" s="3"/>
    </row>
    <row r="205" customFormat="false" ht="21.75" hidden="false" customHeight="true" outlineLevel="0" collapsed="false">
      <c r="A205" s="3"/>
      <c r="B205" s="3"/>
      <c r="C205" s="3"/>
      <c r="D205" s="3"/>
      <c r="E205" s="4"/>
      <c r="F205" s="3"/>
      <c r="G205" s="4"/>
      <c r="H205" s="4"/>
      <c r="I205" s="4"/>
      <c r="J205" s="4"/>
      <c r="K205" s="3"/>
      <c r="L205" s="3"/>
      <c r="M205" s="3"/>
      <c r="N205" s="3"/>
      <c r="O205" s="3"/>
      <c r="P205" s="3"/>
      <c r="Q205" s="3"/>
      <c r="R205" s="3"/>
      <c r="S205" s="3"/>
      <c r="T205" s="3"/>
      <c r="U205" s="3"/>
      <c r="V205" s="3"/>
      <c r="W205" s="3"/>
      <c r="X205" s="3"/>
      <c r="Y205" s="3"/>
      <c r="Z205" s="3"/>
      <c r="AA205" s="3"/>
      <c r="AB205" s="3"/>
      <c r="AC205" s="3"/>
    </row>
    <row r="206" customFormat="false" ht="21.75" hidden="false" customHeight="true" outlineLevel="0" collapsed="false">
      <c r="A206" s="3"/>
      <c r="B206" s="3"/>
      <c r="C206" s="3"/>
      <c r="D206" s="3"/>
      <c r="E206" s="4"/>
      <c r="F206" s="3"/>
      <c r="G206" s="4"/>
      <c r="H206" s="4"/>
      <c r="I206" s="4"/>
      <c r="J206" s="4"/>
      <c r="K206" s="3"/>
      <c r="L206" s="3"/>
      <c r="M206" s="3"/>
      <c r="N206" s="3"/>
      <c r="O206" s="3"/>
      <c r="P206" s="3"/>
      <c r="Q206" s="3"/>
      <c r="R206" s="3"/>
      <c r="S206" s="3"/>
      <c r="T206" s="3"/>
      <c r="U206" s="3"/>
      <c r="V206" s="3"/>
      <c r="W206" s="3"/>
      <c r="X206" s="3"/>
      <c r="Y206" s="3"/>
      <c r="Z206" s="3"/>
      <c r="AA206" s="3"/>
      <c r="AB206" s="3"/>
      <c r="AC206" s="3"/>
    </row>
    <row r="207" customFormat="false" ht="21.75" hidden="false" customHeight="true" outlineLevel="0" collapsed="false">
      <c r="A207" s="3"/>
      <c r="B207" s="3"/>
      <c r="C207" s="3"/>
      <c r="D207" s="3"/>
      <c r="E207" s="4"/>
      <c r="F207" s="3"/>
      <c r="G207" s="4"/>
      <c r="H207" s="4"/>
      <c r="I207" s="4"/>
      <c r="J207" s="4"/>
      <c r="K207" s="3"/>
      <c r="L207" s="3"/>
      <c r="M207" s="3"/>
      <c r="N207" s="3"/>
      <c r="O207" s="3"/>
      <c r="P207" s="3"/>
      <c r="Q207" s="3"/>
      <c r="R207" s="3"/>
      <c r="S207" s="3"/>
      <c r="T207" s="3"/>
      <c r="U207" s="3"/>
      <c r="V207" s="3"/>
      <c r="W207" s="3"/>
      <c r="X207" s="3"/>
      <c r="Y207" s="3"/>
      <c r="Z207" s="3"/>
      <c r="AA207" s="3"/>
      <c r="AB207" s="3"/>
      <c r="AC207" s="3"/>
    </row>
    <row r="208" customFormat="false" ht="21.75" hidden="false" customHeight="true" outlineLevel="0" collapsed="false">
      <c r="A208" s="3"/>
      <c r="B208" s="3"/>
      <c r="C208" s="3"/>
      <c r="D208" s="3"/>
      <c r="E208" s="4"/>
      <c r="F208" s="3"/>
      <c r="G208" s="4"/>
      <c r="H208" s="4"/>
      <c r="I208" s="4"/>
      <c r="J208" s="4"/>
      <c r="K208" s="3"/>
      <c r="L208" s="3"/>
      <c r="M208" s="3"/>
      <c r="N208" s="3"/>
      <c r="O208" s="3"/>
      <c r="P208" s="3"/>
      <c r="Q208" s="3"/>
      <c r="R208" s="3"/>
      <c r="S208" s="3"/>
      <c r="T208" s="3"/>
      <c r="U208" s="3"/>
      <c r="V208" s="3"/>
      <c r="W208" s="3"/>
      <c r="X208" s="3"/>
      <c r="Y208" s="3"/>
      <c r="Z208" s="3"/>
      <c r="AA208" s="3"/>
      <c r="AB208" s="3"/>
      <c r="AC208" s="3"/>
    </row>
    <row r="209" customFormat="false" ht="21.75" hidden="false" customHeight="true" outlineLevel="0" collapsed="false">
      <c r="A209" s="3"/>
      <c r="B209" s="3"/>
      <c r="C209" s="3"/>
      <c r="D209" s="3"/>
      <c r="E209" s="4"/>
      <c r="F209" s="3"/>
      <c r="G209" s="4"/>
      <c r="H209" s="4"/>
      <c r="I209" s="4"/>
      <c r="J209" s="4"/>
      <c r="K209" s="3"/>
      <c r="L209" s="3"/>
      <c r="M209" s="3"/>
      <c r="N209" s="3"/>
      <c r="O209" s="3"/>
      <c r="P209" s="3"/>
      <c r="Q209" s="3"/>
      <c r="R209" s="3"/>
      <c r="S209" s="3"/>
      <c r="T209" s="3"/>
      <c r="U209" s="3"/>
      <c r="V209" s="3"/>
      <c r="W209" s="3"/>
      <c r="X209" s="3"/>
      <c r="Y209" s="3"/>
      <c r="Z209" s="3"/>
      <c r="AA209" s="3"/>
      <c r="AB209" s="3"/>
      <c r="AC209" s="3"/>
    </row>
    <row r="210" customFormat="false" ht="21.75" hidden="false" customHeight="true" outlineLevel="0" collapsed="false">
      <c r="A210" s="3"/>
      <c r="B210" s="3"/>
      <c r="C210" s="3"/>
      <c r="D210" s="3"/>
      <c r="E210" s="4"/>
      <c r="F210" s="3"/>
      <c r="G210" s="4"/>
      <c r="H210" s="4"/>
      <c r="I210" s="4"/>
      <c r="J210" s="4"/>
      <c r="K210" s="3"/>
      <c r="L210" s="3"/>
      <c r="M210" s="3"/>
      <c r="N210" s="3"/>
      <c r="O210" s="3"/>
      <c r="P210" s="3"/>
      <c r="Q210" s="3"/>
      <c r="R210" s="3"/>
      <c r="S210" s="3"/>
      <c r="T210" s="3"/>
      <c r="U210" s="3"/>
      <c r="V210" s="3"/>
      <c r="W210" s="3"/>
      <c r="X210" s="3"/>
      <c r="Y210" s="3"/>
      <c r="Z210" s="3"/>
      <c r="AA210" s="3"/>
      <c r="AB210" s="3"/>
      <c r="AC210" s="3"/>
    </row>
    <row r="211" customFormat="false" ht="21.75" hidden="false" customHeight="true" outlineLevel="0" collapsed="false">
      <c r="A211" s="3"/>
      <c r="B211" s="3"/>
      <c r="C211" s="3"/>
      <c r="D211" s="3"/>
      <c r="E211" s="4"/>
      <c r="F211" s="3"/>
      <c r="G211" s="4"/>
      <c r="H211" s="4"/>
      <c r="I211" s="4"/>
      <c r="J211" s="4"/>
      <c r="K211" s="3"/>
      <c r="L211" s="3"/>
      <c r="M211" s="3"/>
      <c r="N211" s="3"/>
      <c r="O211" s="3"/>
      <c r="P211" s="3"/>
      <c r="Q211" s="3"/>
      <c r="R211" s="3"/>
      <c r="S211" s="3"/>
      <c r="T211" s="3"/>
      <c r="U211" s="3"/>
      <c r="V211" s="3"/>
      <c r="W211" s="3"/>
      <c r="X211" s="3"/>
      <c r="Y211" s="3"/>
      <c r="Z211" s="3"/>
      <c r="AA211" s="3"/>
      <c r="AB211" s="3"/>
      <c r="AC211" s="3"/>
    </row>
    <row r="212" customFormat="false" ht="21.75" hidden="false" customHeight="true" outlineLevel="0" collapsed="false">
      <c r="A212" s="3"/>
      <c r="B212" s="3"/>
      <c r="C212" s="3"/>
      <c r="D212" s="3"/>
      <c r="E212" s="4"/>
      <c r="F212" s="3"/>
      <c r="G212" s="4"/>
      <c r="H212" s="4"/>
      <c r="I212" s="4"/>
      <c r="J212" s="4"/>
      <c r="K212" s="3"/>
      <c r="L212" s="3"/>
      <c r="M212" s="3"/>
      <c r="N212" s="3"/>
      <c r="O212" s="3"/>
      <c r="P212" s="3"/>
      <c r="Q212" s="3"/>
      <c r="R212" s="3"/>
      <c r="S212" s="3"/>
      <c r="T212" s="3"/>
      <c r="U212" s="3"/>
      <c r="V212" s="3"/>
      <c r="W212" s="3"/>
      <c r="X212" s="3"/>
      <c r="Y212" s="3"/>
      <c r="Z212" s="3"/>
      <c r="AA212" s="3"/>
      <c r="AB212" s="3"/>
      <c r="AC212" s="3"/>
    </row>
    <row r="213" customFormat="false" ht="21.75" hidden="false" customHeight="true" outlineLevel="0" collapsed="false">
      <c r="A213" s="3"/>
      <c r="B213" s="3"/>
      <c r="C213" s="3"/>
      <c r="D213" s="3"/>
      <c r="E213" s="4"/>
      <c r="F213" s="3"/>
      <c r="G213" s="4"/>
      <c r="H213" s="4"/>
      <c r="I213" s="4"/>
      <c r="J213" s="4"/>
      <c r="K213" s="3"/>
      <c r="L213" s="3"/>
      <c r="M213" s="3"/>
      <c r="N213" s="3"/>
      <c r="O213" s="3"/>
      <c r="P213" s="3"/>
      <c r="Q213" s="3"/>
      <c r="R213" s="3"/>
      <c r="S213" s="3"/>
      <c r="T213" s="3"/>
      <c r="U213" s="3"/>
      <c r="V213" s="3"/>
      <c r="W213" s="3"/>
      <c r="X213" s="3"/>
      <c r="Y213" s="3"/>
      <c r="Z213" s="3"/>
      <c r="AA213" s="3"/>
      <c r="AB213" s="3"/>
      <c r="AC213" s="3"/>
    </row>
    <row r="214" customFormat="false" ht="21.75" hidden="false" customHeight="true" outlineLevel="0" collapsed="false">
      <c r="A214" s="3"/>
      <c r="B214" s="3"/>
      <c r="C214" s="3"/>
      <c r="D214" s="3"/>
      <c r="E214" s="4"/>
      <c r="F214" s="3"/>
      <c r="G214" s="4"/>
      <c r="H214" s="4"/>
      <c r="I214" s="4"/>
      <c r="J214" s="4"/>
      <c r="K214" s="3"/>
      <c r="L214" s="3"/>
      <c r="M214" s="3"/>
      <c r="N214" s="3"/>
      <c r="O214" s="3"/>
      <c r="P214" s="3"/>
      <c r="Q214" s="3"/>
      <c r="R214" s="3"/>
      <c r="S214" s="3"/>
      <c r="T214" s="3"/>
      <c r="U214" s="3"/>
      <c r="V214" s="3"/>
      <c r="W214" s="3"/>
      <c r="X214" s="3"/>
      <c r="Y214" s="3"/>
      <c r="Z214" s="3"/>
      <c r="AA214" s="3"/>
      <c r="AB214" s="3"/>
      <c r="AC214" s="3"/>
    </row>
    <row r="215" customFormat="false" ht="21.75" hidden="false" customHeight="true" outlineLevel="0" collapsed="false">
      <c r="A215" s="3"/>
      <c r="B215" s="3"/>
      <c r="C215" s="3"/>
      <c r="D215" s="3"/>
      <c r="E215" s="4"/>
      <c r="F215" s="3"/>
      <c r="G215" s="4"/>
      <c r="H215" s="4"/>
      <c r="I215" s="4"/>
      <c r="J215" s="4"/>
      <c r="K215" s="3"/>
      <c r="L215" s="3"/>
      <c r="M215" s="3"/>
      <c r="N215" s="3"/>
      <c r="O215" s="3"/>
      <c r="P215" s="3"/>
      <c r="Q215" s="3"/>
      <c r="R215" s="3"/>
      <c r="S215" s="3"/>
      <c r="T215" s="3"/>
      <c r="U215" s="3"/>
      <c r="V215" s="3"/>
      <c r="W215" s="3"/>
      <c r="X215" s="3"/>
      <c r="Y215" s="3"/>
      <c r="Z215" s="3"/>
      <c r="AA215" s="3"/>
      <c r="AB215" s="3"/>
      <c r="AC215" s="3"/>
    </row>
    <row r="216" customFormat="false" ht="21.75" hidden="false" customHeight="true" outlineLevel="0" collapsed="false">
      <c r="A216" s="3"/>
      <c r="B216" s="3"/>
      <c r="C216" s="3"/>
      <c r="D216" s="3"/>
      <c r="E216" s="4"/>
      <c r="F216" s="3"/>
      <c r="G216" s="4"/>
      <c r="H216" s="4"/>
      <c r="I216" s="4"/>
      <c r="J216" s="4"/>
      <c r="K216" s="3"/>
      <c r="L216" s="3"/>
      <c r="M216" s="3"/>
      <c r="N216" s="3"/>
      <c r="O216" s="3"/>
      <c r="P216" s="3"/>
      <c r="Q216" s="3"/>
      <c r="R216" s="3"/>
      <c r="S216" s="3"/>
      <c r="T216" s="3"/>
      <c r="U216" s="3"/>
      <c r="V216" s="3"/>
      <c r="W216" s="3"/>
      <c r="X216" s="3"/>
      <c r="Y216" s="3"/>
      <c r="Z216" s="3"/>
      <c r="AA216" s="3"/>
      <c r="AB216" s="3"/>
      <c r="AC216" s="3"/>
    </row>
    <row r="217" customFormat="false" ht="21.75" hidden="false" customHeight="true" outlineLevel="0" collapsed="false">
      <c r="A217" s="3"/>
      <c r="B217" s="3"/>
      <c r="C217" s="3"/>
      <c r="D217" s="3"/>
      <c r="E217" s="4"/>
      <c r="F217" s="3"/>
      <c r="G217" s="4"/>
      <c r="H217" s="4"/>
      <c r="I217" s="4"/>
      <c r="J217" s="4"/>
      <c r="K217" s="3"/>
      <c r="L217" s="3"/>
      <c r="M217" s="3"/>
      <c r="N217" s="3"/>
      <c r="O217" s="3"/>
      <c r="P217" s="3"/>
      <c r="Q217" s="3"/>
      <c r="R217" s="3"/>
      <c r="S217" s="3"/>
      <c r="T217" s="3"/>
      <c r="U217" s="3"/>
      <c r="V217" s="3"/>
      <c r="W217" s="3"/>
      <c r="X217" s="3"/>
      <c r="Y217" s="3"/>
      <c r="Z217" s="3"/>
      <c r="AA217" s="3"/>
      <c r="AB217" s="3"/>
      <c r="AC217" s="3"/>
    </row>
    <row r="218" customFormat="false" ht="21.75" hidden="false" customHeight="true" outlineLevel="0" collapsed="false">
      <c r="A218" s="3"/>
      <c r="B218" s="3"/>
      <c r="C218" s="3"/>
      <c r="D218" s="3"/>
      <c r="E218" s="4"/>
      <c r="F218" s="3"/>
      <c r="G218" s="4"/>
      <c r="H218" s="4"/>
      <c r="I218" s="4"/>
      <c r="J218" s="4"/>
      <c r="K218" s="3"/>
      <c r="L218" s="3"/>
      <c r="M218" s="3"/>
      <c r="N218" s="3"/>
      <c r="O218" s="3"/>
      <c r="P218" s="3"/>
      <c r="Q218" s="3"/>
      <c r="R218" s="3"/>
      <c r="S218" s="3"/>
      <c r="T218" s="3"/>
      <c r="U218" s="3"/>
      <c r="V218" s="3"/>
      <c r="W218" s="3"/>
      <c r="X218" s="3"/>
      <c r="Y218" s="3"/>
      <c r="Z218" s="3"/>
      <c r="AA218" s="3"/>
      <c r="AB218" s="3"/>
      <c r="AC218" s="3"/>
    </row>
    <row r="219" customFormat="false" ht="21.75" hidden="false" customHeight="true" outlineLevel="0" collapsed="false">
      <c r="A219" s="3"/>
      <c r="B219" s="3"/>
      <c r="C219" s="3"/>
      <c r="D219" s="3"/>
      <c r="E219" s="4"/>
      <c r="F219" s="3"/>
      <c r="G219" s="4"/>
      <c r="H219" s="4"/>
      <c r="I219" s="4"/>
      <c r="J219" s="4"/>
      <c r="K219" s="3"/>
      <c r="L219" s="3"/>
      <c r="M219" s="3"/>
      <c r="N219" s="3"/>
      <c r="O219" s="3"/>
      <c r="P219" s="3"/>
      <c r="Q219" s="3"/>
      <c r="R219" s="3"/>
      <c r="S219" s="3"/>
      <c r="T219" s="3"/>
      <c r="U219" s="3"/>
      <c r="V219" s="3"/>
      <c r="W219" s="3"/>
      <c r="X219" s="3"/>
      <c r="Y219" s="3"/>
      <c r="Z219" s="3"/>
      <c r="AA219" s="3"/>
      <c r="AB219" s="3"/>
      <c r="AC219" s="3"/>
    </row>
    <row r="220" customFormat="false" ht="21.75" hidden="false" customHeight="true" outlineLevel="0" collapsed="false">
      <c r="A220" s="3"/>
      <c r="B220" s="3"/>
      <c r="C220" s="3"/>
      <c r="D220" s="3"/>
      <c r="E220" s="4"/>
      <c r="F220" s="3"/>
      <c r="G220" s="4"/>
      <c r="H220" s="4"/>
      <c r="I220" s="4"/>
      <c r="J220" s="4"/>
      <c r="K220" s="3"/>
      <c r="L220" s="3"/>
      <c r="M220" s="3"/>
      <c r="N220" s="3"/>
      <c r="O220" s="3"/>
      <c r="P220" s="3"/>
      <c r="Q220" s="3"/>
      <c r="R220" s="3"/>
      <c r="S220" s="3"/>
      <c r="T220" s="3"/>
      <c r="U220" s="3"/>
      <c r="V220" s="3"/>
      <c r="W220" s="3"/>
      <c r="X220" s="3"/>
      <c r="Y220" s="3"/>
      <c r="Z220" s="3"/>
      <c r="AA220" s="3"/>
      <c r="AB220" s="3"/>
      <c r="AC220" s="3"/>
    </row>
    <row r="221" customFormat="false" ht="21.75" hidden="false" customHeight="true" outlineLevel="0" collapsed="false">
      <c r="A221" s="3"/>
      <c r="B221" s="3"/>
      <c r="C221" s="3"/>
      <c r="D221" s="3"/>
      <c r="E221" s="4"/>
      <c r="F221" s="3"/>
      <c r="G221" s="4"/>
      <c r="H221" s="4"/>
      <c r="I221" s="4"/>
      <c r="J221" s="4"/>
      <c r="K221" s="3"/>
      <c r="L221" s="3"/>
      <c r="M221" s="3"/>
      <c r="N221" s="3"/>
      <c r="O221" s="3"/>
      <c r="P221" s="3"/>
      <c r="Q221" s="3"/>
      <c r="R221" s="3"/>
      <c r="S221" s="3"/>
      <c r="T221" s="3"/>
      <c r="U221" s="3"/>
      <c r="V221" s="3"/>
      <c r="W221" s="3"/>
      <c r="X221" s="3"/>
      <c r="Y221" s="3"/>
      <c r="Z221" s="3"/>
      <c r="AA221" s="3"/>
      <c r="AB221" s="3"/>
      <c r="AC221" s="3"/>
    </row>
    <row r="222" customFormat="false" ht="21.75" hidden="false" customHeight="true" outlineLevel="0" collapsed="false">
      <c r="A222" s="3"/>
      <c r="B222" s="3"/>
      <c r="C222" s="3"/>
      <c r="D222" s="3"/>
      <c r="E222" s="4"/>
      <c r="F222" s="3"/>
      <c r="G222" s="4"/>
      <c r="H222" s="4"/>
      <c r="I222" s="4"/>
      <c r="J222" s="4"/>
      <c r="K222" s="3"/>
      <c r="L222" s="3"/>
      <c r="M222" s="3"/>
      <c r="N222" s="3"/>
      <c r="O222" s="3"/>
      <c r="P222" s="3"/>
      <c r="Q222" s="3"/>
      <c r="R222" s="3"/>
      <c r="S222" s="3"/>
      <c r="T222" s="3"/>
      <c r="U222" s="3"/>
      <c r="V222" s="3"/>
      <c r="W222" s="3"/>
      <c r="X222" s="3"/>
      <c r="Y222" s="3"/>
      <c r="Z222" s="3"/>
      <c r="AA222" s="3"/>
      <c r="AB222" s="3"/>
      <c r="AC222" s="3"/>
    </row>
    <row r="223" customFormat="false" ht="21.75" hidden="false" customHeight="true" outlineLevel="0" collapsed="false">
      <c r="A223" s="3"/>
      <c r="B223" s="3"/>
      <c r="C223" s="3"/>
      <c r="D223" s="3"/>
      <c r="E223" s="4"/>
      <c r="F223" s="3"/>
      <c r="G223" s="4"/>
      <c r="H223" s="4"/>
      <c r="I223" s="4"/>
      <c r="J223" s="4"/>
      <c r="K223" s="3"/>
      <c r="L223" s="3"/>
      <c r="M223" s="3"/>
      <c r="N223" s="3"/>
      <c r="O223" s="3"/>
      <c r="P223" s="3"/>
      <c r="Q223" s="3"/>
      <c r="R223" s="3"/>
      <c r="S223" s="3"/>
      <c r="T223" s="3"/>
      <c r="U223" s="3"/>
      <c r="V223" s="3"/>
      <c r="W223" s="3"/>
      <c r="X223" s="3"/>
      <c r="Y223" s="3"/>
      <c r="Z223" s="3"/>
      <c r="AA223" s="3"/>
      <c r="AB223" s="3"/>
      <c r="AC223" s="3"/>
    </row>
    <row r="224" customFormat="false" ht="21.75" hidden="false" customHeight="true" outlineLevel="0" collapsed="false">
      <c r="A224" s="3"/>
      <c r="B224" s="3"/>
      <c r="C224" s="3"/>
      <c r="D224" s="3"/>
      <c r="E224" s="4"/>
      <c r="F224" s="3"/>
      <c r="G224" s="4"/>
      <c r="H224" s="4"/>
      <c r="I224" s="4"/>
      <c r="J224" s="4"/>
      <c r="K224" s="3"/>
      <c r="L224" s="3"/>
      <c r="M224" s="3"/>
      <c r="N224" s="3"/>
      <c r="O224" s="3"/>
      <c r="P224" s="3"/>
      <c r="Q224" s="3"/>
      <c r="R224" s="3"/>
      <c r="S224" s="3"/>
      <c r="T224" s="3"/>
      <c r="U224" s="3"/>
      <c r="V224" s="3"/>
      <c r="W224" s="3"/>
      <c r="X224" s="3"/>
      <c r="Y224" s="3"/>
      <c r="Z224" s="3"/>
      <c r="AA224" s="3"/>
      <c r="AB224" s="3"/>
      <c r="AC224" s="3"/>
    </row>
    <row r="225" customFormat="false" ht="21.75" hidden="false" customHeight="true" outlineLevel="0" collapsed="false">
      <c r="A225" s="3"/>
      <c r="B225" s="3"/>
      <c r="C225" s="3"/>
      <c r="D225" s="3"/>
      <c r="E225" s="4"/>
      <c r="F225" s="3"/>
      <c r="G225" s="4"/>
      <c r="H225" s="4"/>
      <c r="I225" s="4"/>
      <c r="J225" s="4"/>
      <c r="K225" s="3"/>
      <c r="L225" s="3"/>
      <c r="M225" s="3"/>
      <c r="N225" s="3"/>
      <c r="O225" s="3"/>
      <c r="P225" s="3"/>
      <c r="Q225" s="3"/>
      <c r="R225" s="3"/>
      <c r="S225" s="3"/>
      <c r="T225" s="3"/>
      <c r="U225" s="3"/>
      <c r="V225" s="3"/>
      <c r="W225" s="3"/>
      <c r="X225" s="3"/>
      <c r="Y225" s="3"/>
      <c r="Z225" s="3"/>
      <c r="AA225" s="3"/>
      <c r="AB225" s="3"/>
      <c r="AC225" s="3"/>
    </row>
    <row r="226" customFormat="false" ht="21.75" hidden="false" customHeight="true" outlineLevel="0" collapsed="false">
      <c r="A226" s="3"/>
      <c r="B226" s="3"/>
      <c r="C226" s="3"/>
      <c r="D226" s="3"/>
      <c r="E226" s="4"/>
      <c r="F226" s="3"/>
      <c r="G226" s="4"/>
      <c r="H226" s="4"/>
      <c r="I226" s="4"/>
      <c r="J226" s="4"/>
      <c r="K226" s="3"/>
      <c r="L226" s="3"/>
      <c r="M226" s="3"/>
      <c r="N226" s="3"/>
      <c r="O226" s="3"/>
      <c r="P226" s="3"/>
      <c r="Q226" s="3"/>
      <c r="R226" s="3"/>
      <c r="S226" s="3"/>
      <c r="T226" s="3"/>
      <c r="U226" s="3"/>
      <c r="V226" s="3"/>
      <c r="W226" s="3"/>
      <c r="X226" s="3"/>
      <c r="Y226" s="3"/>
      <c r="Z226" s="3"/>
      <c r="AA226" s="3"/>
      <c r="AB226" s="3"/>
      <c r="AC226" s="3"/>
    </row>
    <row r="227" customFormat="false" ht="21.75" hidden="false" customHeight="true" outlineLevel="0" collapsed="false">
      <c r="A227" s="3"/>
      <c r="B227" s="3"/>
      <c r="C227" s="3"/>
      <c r="D227" s="3"/>
      <c r="E227" s="4"/>
      <c r="F227" s="3"/>
      <c r="G227" s="4"/>
      <c r="H227" s="4"/>
      <c r="I227" s="4"/>
      <c r="J227" s="4"/>
      <c r="K227" s="3"/>
      <c r="L227" s="3"/>
      <c r="M227" s="3"/>
      <c r="N227" s="3"/>
      <c r="O227" s="3"/>
      <c r="P227" s="3"/>
      <c r="Q227" s="3"/>
      <c r="R227" s="3"/>
      <c r="S227" s="3"/>
      <c r="T227" s="3"/>
      <c r="U227" s="3"/>
      <c r="V227" s="3"/>
      <c r="W227" s="3"/>
      <c r="X227" s="3"/>
      <c r="Y227" s="3"/>
      <c r="Z227" s="3"/>
      <c r="AA227" s="3"/>
      <c r="AB227" s="3"/>
      <c r="AC227" s="3"/>
    </row>
    <row r="228" customFormat="false" ht="21.75" hidden="false" customHeight="true" outlineLevel="0" collapsed="false">
      <c r="A228" s="3"/>
      <c r="B228" s="3"/>
      <c r="C228" s="3"/>
      <c r="D228" s="3"/>
      <c r="E228" s="4"/>
      <c r="F228" s="3"/>
      <c r="G228" s="4"/>
      <c r="H228" s="4"/>
      <c r="I228" s="4"/>
      <c r="J228" s="4"/>
      <c r="K228" s="3"/>
      <c r="L228" s="3"/>
      <c r="M228" s="3"/>
      <c r="N228" s="3"/>
      <c r="O228" s="3"/>
      <c r="P228" s="3"/>
      <c r="Q228" s="3"/>
      <c r="R228" s="3"/>
      <c r="S228" s="3"/>
      <c r="T228" s="3"/>
      <c r="U228" s="3"/>
      <c r="V228" s="3"/>
      <c r="W228" s="3"/>
      <c r="X228" s="3"/>
      <c r="Y228" s="3"/>
      <c r="Z228" s="3"/>
      <c r="AA228" s="3"/>
      <c r="AB228" s="3"/>
      <c r="AC228" s="3"/>
    </row>
    <row r="229" customFormat="false" ht="21.75" hidden="false" customHeight="true" outlineLevel="0" collapsed="false">
      <c r="A229" s="3"/>
      <c r="B229" s="3"/>
      <c r="C229" s="3"/>
      <c r="D229" s="3"/>
      <c r="E229" s="4"/>
      <c r="F229" s="3"/>
      <c r="G229" s="4"/>
      <c r="H229" s="4"/>
      <c r="I229" s="4"/>
      <c r="J229" s="4"/>
      <c r="K229" s="3"/>
      <c r="L229" s="3"/>
      <c r="M229" s="3"/>
      <c r="N229" s="3"/>
      <c r="O229" s="3"/>
      <c r="P229" s="3"/>
      <c r="Q229" s="3"/>
      <c r="R229" s="3"/>
      <c r="S229" s="3"/>
      <c r="T229" s="3"/>
      <c r="U229" s="3"/>
      <c r="V229" s="3"/>
      <c r="W229" s="3"/>
      <c r="X229" s="3"/>
      <c r="Y229" s="3"/>
      <c r="Z229" s="3"/>
      <c r="AA229" s="3"/>
      <c r="AB229" s="3"/>
      <c r="AC229" s="3"/>
    </row>
    <row r="230" customFormat="false" ht="21.75" hidden="false" customHeight="true" outlineLevel="0" collapsed="false">
      <c r="A230" s="3"/>
      <c r="B230" s="3"/>
      <c r="C230" s="3"/>
      <c r="D230" s="3"/>
      <c r="E230" s="4"/>
      <c r="F230" s="3"/>
      <c r="G230" s="4"/>
      <c r="H230" s="4"/>
      <c r="I230" s="4"/>
      <c r="J230" s="4"/>
      <c r="K230" s="3"/>
      <c r="L230" s="3"/>
      <c r="M230" s="3"/>
      <c r="N230" s="3"/>
      <c r="O230" s="3"/>
      <c r="P230" s="3"/>
      <c r="Q230" s="3"/>
      <c r="R230" s="3"/>
      <c r="S230" s="3"/>
      <c r="T230" s="3"/>
      <c r="U230" s="3"/>
      <c r="V230" s="3"/>
      <c r="W230" s="3"/>
      <c r="X230" s="3"/>
      <c r="Y230" s="3"/>
      <c r="Z230" s="3"/>
      <c r="AA230" s="3"/>
      <c r="AB230" s="3"/>
      <c r="AC23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A8BB"/>
    <pageSetUpPr fitToPage="false"/>
  </sheetPr>
  <dimension ref="A1:AC230"/>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J11" activeCellId="0" sqref="J1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23"/>
    <col collapsed="false" customWidth="true" hidden="false" outlineLevel="0" max="4" min="4" style="1" width="56"/>
    <col collapsed="false" customWidth="true" hidden="false" outlineLevel="0" max="5" min="5" style="2" width="27"/>
    <col collapsed="false" customWidth="true" hidden="false" outlineLevel="0" max="6" min="6" style="1" width="70"/>
    <col collapsed="false" customWidth="true" hidden="false" outlineLevel="0" max="10" min="7" style="2" width="24"/>
    <col collapsed="false" customWidth="true" hidden="false" outlineLevel="0" max="11" min="11" style="2" width="80"/>
    <col collapsed="false" customWidth="true" hidden="false" outlineLevel="0" max="14" min="12" style="2" width="24"/>
    <col collapsed="false" customWidth="true" hidden="false" outlineLevel="0" max="29" min="15" style="1" width="24"/>
  </cols>
  <sheetData>
    <row r="1" customFormat="false" ht="21.75" hidden="false" customHeight="true" outlineLevel="0" collapsed="false">
      <c r="A1" s="3"/>
      <c r="B1" s="3"/>
      <c r="C1" s="3"/>
      <c r="D1" s="3"/>
      <c r="E1" s="4"/>
      <c r="F1" s="3"/>
      <c r="G1" s="4"/>
      <c r="H1" s="4"/>
      <c r="I1" s="4"/>
      <c r="J1" s="4"/>
      <c r="K1" s="4"/>
      <c r="L1" s="4"/>
      <c r="M1" s="4"/>
      <c r="N1" s="4"/>
      <c r="O1" s="3"/>
      <c r="P1" s="3"/>
      <c r="Q1" s="3"/>
      <c r="R1" s="3"/>
      <c r="S1" s="3"/>
      <c r="T1" s="3"/>
      <c r="U1" s="3"/>
      <c r="V1" s="3"/>
      <c r="W1" s="3"/>
      <c r="X1" s="3"/>
      <c r="Y1" s="3"/>
      <c r="Z1" s="3"/>
      <c r="AA1" s="3"/>
      <c r="AB1" s="3"/>
      <c r="AC1" s="3"/>
    </row>
    <row r="2" customFormat="false" ht="28.5" hidden="false" customHeight="true" outlineLevel="0" collapsed="false">
      <c r="A2" s="3"/>
      <c r="B2" s="5" t="s">
        <v>6900</v>
      </c>
      <c r="C2" s="7"/>
      <c r="D2" s="7"/>
      <c r="E2" s="6"/>
      <c r="F2" s="7"/>
      <c r="G2" s="6"/>
      <c r="H2" s="6"/>
      <c r="I2" s="6"/>
      <c r="J2" s="6"/>
      <c r="K2" s="6"/>
      <c r="L2" s="6"/>
      <c r="M2" s="6"/>
      <c r="N2" s="6"/>
      <c r="O2" s="3"/>
      <c r="P2" s="3"/>
      <c r="Q2" s="3"/>
      <c r="R2" s="3"/>
      <c r="S2" s="3"/>
      <c r="T2" s="3"/>
      <c r="U2" s="3"/>
      <c r="V2" s="3"/>
      <c r="W2" s="3"/>
      <c r="X2" s="3"/>
      <c r="Y2" s="3"/>
      <c r="Z2" s="3"/>
      <c r="AA2" s="3"/>
      <c r="AB2" s="3"/>
      <c r="AC2" s="3"/>
    </row>
    <row r="3" customFormat="false" ht="22.5" hidden="false" customHeight="true" outlineLevel="0" collapsed="false">
      <c r="A3" s="3"/>
      <c r="B3" s="8" t="s">
        <v>556</v>
      </c>
      <c r="C3" s="7"/>
      <c r="D3" s="7"/>
      <c r="E3" s="6"/>
      <c r="F3" s="7"/>
      <c r="G3" s="6"/>
      <c r="H3" s="6"/>
      <c r="I3" s="6"/>
      <c r="J3" s="6"/>
      <c r="K3" s="6"/>
      <c r="L3" s="6"/>
      <c r="M3" s="6"/>
      <c r="N3" s="6"/>
      <c r="O3" s="3"/>
      <c r="P3" s="3"/>
      <c r="Q3" s="3"/>
      <c r="R3" s="3"/>
      <c r="S3" s="3"/>
      <c r="T3" s="3"/>
      <c r="U3" s="3"/>
      <c r="V3" s="3"/>
      <c r="W3" s="3"/>
      <c r="X3" s="3"/>
      <c r="Y3" s="3"/>
      <c r="Z3" s="3"/>
      <c r="AA3" s="3"/>
      <c r="AB3" s="3"/>
      <c r="AC3" s="3"/>
    </row>
    <row r="4" customFormat="false" ht="21.75" hidden="false" customHeight="true" outlineLevel="0" collapsed="false">
      <c r="A4" s="3"/>
      <c r="B4" s="9"/>
      <c r="C4" s="9"/>
      <c r="D4" s="9"/>
      <c r="E4" s="10"/>
      <c r="F4" s="9"/>
      <c r="G4" s="10"/>
      <c r="H4" s="10"/>
      <c r="I4" s="10"/>
      <c r="J4" s="10"/>
      <c r="K4" s="10"/>
      <c r="L4" s="10"/>
      <c r="M4" s="10"/>
      <c r="N4" s="10"/>
      <c r="O4" s="3"/>
      <c r="P4" s="3"/>
      <c r="Q4" s="3"/>
      <c r="R4" s="3"/>
      <c r="S4" s="3"/>
      <c r="T4" s="3"/>
      <c r="U4" s="3"/>
      <c r="V4" s="3"/>
      <c r="W4" s="3"/>
      <c r="X4" s="3"/>
      <c r="Y4" s="3"/>
      <c r="Z4" s="3"/>
      <c r="AA4" s="3"/>
      <c r="AB4" s="3"/>
      <c r="AC4" s="3"/>
    </row>
    <row r="5" customFormat="false" ht="21.75" hidden="false" customHeight="true" outlineLevel="0" collapsed="false">
      <c r="A5" s="3"/>
      <c r="B5" s="17" t="s">
        <v>6882</v>
      </c>
      <c r="C5" s="9"/>
      <c r="D5" s="9"/>
      <c r="E5" s="10"/>
      <c r="F5" s="9"/>
      <c r="G5" s="10"/>
      <c r="H5" s="10"/>
      <c r="I5" s="10"/>
      <c r="J5" s="10"/>
      <c r="K5" s="10"/>
      <c r="L5" s="10"/>
      <c r="M5" s="10"/>
      <c r="N5" s="10"/>
      <c r="O5" s="3"/>
      <c r="P5" s="3"/>
      <c r="Q5" s="3"/>
      <c r="R5" s="3"/>
      <c r="S5" s="3"/>
      <c r="T5" s="3"/>
      <c r="U5" s="3"/>
      <c r="V5" s="3"/>
      <c r="W5" s="3"/>
      <c r="X5" s="3"/>
      <c r="Y5" s="3"/>
      <c r="Z5" s="3"/>
      <c r="AA5" s="3"/>
      <c r="AB5" s="3"/>
      <c r="AC5" s="3"/>
    </row>
    <row r="6" customFormat="false" ht="21.75" hidden="false" customHeight="true" outlineLevel="0" collapsed="false">
      <c r="A6" s="3"/>
      <c r="B6" s="9"/>
      <c r="C6" s="9"/>
      <c r="D6" s="9"/>
      <c r="E6" s="10"/>
      <c r="F6" s="9"/>
      <c r="G6" s="10"/>
      <c r="H6" s="10"/>
      <c r="I6" s="10"/>
      <c r="J6" s="10"/>
      <c r="K6" s="10"/>
      <c r="L6" s="10"/>
      <c r="M6" s="10"/>
      <c r="N6" s="10"/>
      <c r="O6" s="3"/>
      <c r="P6" s="3"/>
      <c r="Q6" s="3"/>
      <c r="R6" s="3"/>
      <c r="S6" s="3"/>
      <c r="T6" s="3"/>
      <c r="U6" s="3"/>
      <c r="V6" s="3"/>
      <c r="W6" s="3"/>
      <c r="X6" s="3"/>
      <c r="Y6" s="3"/>
      <c r="Z6" s="3"/>
      <c r="AA6" s="3"/>
      <c r="AB6" s="3"/>
      <c r="AC6" s="3"/>
    </row>
    <row r="7" customFormat="false" ht="25.5" hidden="false" customHeight="true" outlineLevel="0" collapsed="false">
      <c r="A7" s="3"/>
      <c r="B7" s="133" t="s">
        <v>6883</v>
      </c>
      <c r="C7" s="133"/>
      <c r="D7" s="133"/>
      <c r="E7" s="40"/>
      <c r="F7" s="133"/>
      <c r="G7" s="40"/>
      <c r="H7" s="40"/>
      <c r="I7" s="10"/>
      <c r="J7" s="10"/>
      <c r="K7" s="10"/>
      <c r="L7" s="10"/>
      <c r="M7" s="10"/>
      <c r="N7" s="10"/>
      <c r="O7" s="3"/>
      <c r="P7" s="3"/>
      <c r="Q7" s="3"/>
      <c r="R7" s="3"/>
      <c r="S7" s="3"/>
      <c r="T7" s="3"/>
      <c r="U7" s="3"/>
      <c r="V7" s="3"/>
      <c r="W7" s="3"/>
      <c r="X7" s="3"/>
      <c r="Y7" s="3"/>
      <c r="Z7" s="3"/>
      <c r="AA7" s="3"/>
      <c r="AB7" s="3"/>
      <c r="AC7" s="3"/>
    </row>
    <row r="8" customFormat="false" ht="36" hidden="false" customHeight="true" outlineLevel="0" collapsed="false">
      <c r="A8" s="3"/>
      <c r="B8" s="21" t="s">
        <v>481</v>
      </c>
      <c r="C8" s="30" t="s">
        <v>6884</v>
      </c>
      <c r="D8" s="30" t="s">
        <v>6885</v>
      </c>
      <c r="E8" s="30" t="s">
        <v>6886</v>
      </c>
      <c r="F8" s="30" t="s">
        <v>6887</v>
      </c>
      <c r="G8" s="30" t="s">
        <v>6901</v>
      </c>
      <c r="H8" s="30" t="s">
        <v>232</v>
      </c>
      <c r="I8" s="30" t="s">
        <v>6902</v>
      </c>
      <c r="J8" s="30" t="s">
        <v>6890</v>
      </c>
      <c r="K8" s="30" t="s">
        <v>6891</v>
      </c>
      <c r="L8" s="30" t="s">
        <v>6903</v>
      </c>
      <c r="M8" s="30" t="s">
        <v>6892</v>
      </c>
      <c r="N8" s="30" t="s">
        <v>6904</v>
      </c>
      <c r="O8" s="3"/>
      <c r="P8" s="3"/>
      <c r="Q8" s="3"/>
      <c r="R8" s="3"/>
      <c r="S8" s="3"/>
      <c r="T8" s="3"/>
      <c r="U8" s="3"/>
      <c r="V8" s="3"/>
      <c r="W8" s="3"/>
      <c r="X8" s="3"/>
      <c r="Y8" s="3"/>
      <c r="Z8" s="3"/>
      <c r="AA8" s="3"/>
      <c r="AB8" s="3"/>
      <c r="AC8" s="3"/>
    </row>
    <row r="9" customFormat="false" ht="61.5" hidden="false" customHeight="true" outlineLevel="0" collapsed="false">
      <c r="A9" s="3"/>
      <c r="B9" s="139" t="s">
        <v>14</v>
      </c>
      <c r="C9" s="109" t="s">
        <v>6894</v>
      </c>
      <c r="D9" s="109" t="s">
        <v>658</v>
      </c>
      <c r="E9" s="91" t="s">
        <v>388</v>
      </c>
      <c r="F9" s="113" t="s">
        <v>663</v>
      </c>
      <c r="G9" s="144" t="n">
        <v>89.26</v>
      </c>
      <c r="H9" s="91" t="s">
        <v>374</v>
      </c>
      <c r="I9" s="145" t="n">
        <v>17.852</v>
      </c>
      <c r="J9" s="91" t="s">
        <v>566</v>
      </c>
      <c r="K9" s="91" t="s">
        <v>554</v>
      </c>
      <c r="L9" s="91" t="s">
        <v>388</v>
      </c>
      <c r="M9" s="91" t="s">
        <v>557</v>
      </c>
      <c r="N9" s="91" t="n">
        <v>17.852</v>
      </c>
      <c r="O9" s="3"/>
      <c r="P9" s="3"/>
      <c r="Q9" s="3"/>
      <c r="R9" s="3"/>
      <c r="S9" s="3"/>
      <c r="T9" s="3"/>
      <c r="U9" s="3"/>
      <c r="V9" s="3"/>
      <c r="W9" s="3"/>
      <c r="X9" s="3"/>
      <c r="Y9" s="3"/>
      <c r="Z9" s="3"/>
      <c r="AA9" s="3"/>
      <c r="AB9" s="3"/>
      <c r="AC9" s="3"/>
    </row>
    <row r="10" customFormat="false" ht="61.5" hidden="false" customHeight="true" outlineLevel="0" collapsed="false">
      <c r="A10" s="3"/>
      <c r="B10" s="141" t="s">
        <v>14</v>
      </c>
      <c r="C10" s="110" t="s">
        <v>6894</v>
      </c>
      <c r="D10" s="110" t="s">
        <v>658</v>
      </c>
      <c r="E10" s="98" t="s">
        <v>346</v>
      </c>
      <c r="F10" s="117" t="s">
        <v>660</v>
      </c>
      <c r="G10" s="146" t="n">
        <v>85.27</v>
      </c>
      <c r="H10" s="98" t="s">
        <v>374</v>
      </c>
      <c r="I10" s="147" t="n">
        <v>17.054</v>
      </c>
      <c r="J10" s="98" t="s">
        <v>6905</v>
      </c>
      <c r="K10" s="98" t="s">
        <v>554</v>
      </c>
      <c r="L10" s="98" t="s">
        <v>565</v>
      </c>
      <c r="M10" s="98" t="s">
        <v>557</v>
      </c>
      <c r="N10" s="98" t="n">
        <v>17.054</v>
      </c>
      <c r="O10" s="3"/>
      <c r="P10" s="3"/>
      <c r="Q10" s="3"/>
      <c r="R10" s="3"/>
      <c r="S10" s="3"/>
      <c r="T10" s="3"/>
      <c r="U10" s="3"/>
      <c r="V10" s="3"/>
      <c r="W10" s="3"/>
      <c r="X10" s="3"/>
      <c r="Y10" s="3"/>
      <c r="Z10" s="3"/>
      <c r="AA10" s="3"/>
      <c r="AB10" s="3"/>
      <c r="AC10" s="3"/>
    </row>
    <row r="11" customFormat="false" ht="61.5" hidden="false" customHeight="true" outlineLevel="0" collapsed="false">
      <c r="A11" s="3"/>
      <c r="B11" s="139" t="s">
        <v>14</v>
      </c>
      <c r="C11" s="109" t="s">
        <v>6894</v>
      </c>
      <c r="D11" s="109" t="s">
        <v>561</v>
      </c>
      <c r="E11" s="91" t="s">
        <v>388</v>
      </c>
      <c r="F11" s="113" t="s">
        <v>567</v>
      </c>
      <c r="G11" s="144" t="n">
        <v>52.68</v>
      </c>
      <c r="H11" s="91" t="s">
        <v>374</v>
      </c>
      <c r="I11" s="145" t="n">
        <v>10.536</v>
      </c>
      <c r="J11" s="91" t="s">
        <v>6659</v>
      </c>
      <c r="K11" s="91" t="s">
        <v>554</v>
      </c>
      <c r="L11" s="91" t="s">
        <v>388</v>
      </c>
      <c r="M11" s="91" t="s">
        <v>557</v>
      </c>
      <c r="N11" s="91" t="n">
        <v>10.536</v>
      </c>
      <c r="O11" s="3"/>
      <c r="P11" s="3"/>
      <c r="Q11" s="3"/>
      <c r="R11" s="3"/>
      <c r="S11" s="3"/>
      <c r="T11" s="3"/>
      <c r="U11" s="3"/>
      <c r="V11" s="3"/>
      <c r="W11" s="3"/>
      <c r="X11" s="3"/>
      <c r="Y11" s="3"/>
      <c r="Z11" s="3"/>
      <c r="AA11" s="3"/>
      <c r="AB11" s="3"/>
      <c r="AC11" s="3"/>
    </row>
    <row r="12" customFormat="false" ht="61.5" hidden="false" customHeight="true" outlineLevel="0" collapsed="false">
      <c r="A12" s="3"/>
      <c r="B12" s="141" t="s">
        <v>14</v>
      </c>
      <c r="C12" s="110" t="s">
        <v>6894</v>
      </c>
      <c r="D12" s="110" t="s">
        <v>561</v>
      </c>
      <c r="E12" s="98" t="s">
        <v>346</v>
      </c>
      <c r="F12" s="117" t="s">
        <v>6906</v>
      </c>
      <c r="G12" s="146" t="n">
        <v>132.98</v>
      </c>
      <c r="H12" s="98" t="s">
        <v>374</v>
      </c>
      <c r="I12" s="147" t="n">
        <v>26.596</v>
      </c>
      <c r="J12" s="98" t="s">
        <v>566</v>
      </c>
      <c r="K12" s="98" t="s">
        <v>554</v>
      </c>
      <c r="L12" s="98" t="s">
        <v>565</v>
      </c>
      <c r="M12" s="98" t="s">
        <v>557</v>
      </c>
      <c r="N12" s="98" t="n">
        <v>26.596</v>
      </c>
      <c r="O12" s="3"/>
      <c r="P12" s="3"/>
      <c r="Q12" s="3"/>
      <c r="R12" s="3"/>
      <c r="S12" s="3"/>
      <c r="T12" s="3"/>
      <c r="U12" s="3"/>
      <c r="V12" s="3"/>
      <c r="W12" s="3"/>
      <c r="X12" s="3"/>
      <c r="Y12" s="3"/>
      <c r="Z12" s="3"/>
      <c r="AA12" s="3"/>
      <c r="AB12" s="3"/>
      <c r="AC12" s="3"/>
    </row>
    <row r="13" customFormat="false" ht="61.5" hidden="false" customHeight="true" outlineLevel="0" collapsed="false">
      <c r="A13" s="3"/>
      <c r="B13" s="139" t="s">
        <v>14</v>
      </c>
      <c r="C13" s="109" t="s">
        <v>6894</v>
      </c>
      <c r="D13" s="109" t="s">
        <v>529</v>
      </c>
      <c r="E13" s="91" t="s">
        <v>403</v>
      </c>
      <c r="F13" s="113" t="s">
        <v>580</v>
      </c>
      <c r="G13" s="144" t="n">
        <v>42.98</v>
      </c>
      <c r="H13" s="91" t="s">
        <v>374</v>
      </c>
      <c r="I13" s="145" t="n">
        <v>8.596</v>
      </c>
      <c r="J13" s="91" t="s">
        <v>553</v>
      </c>
      <c r="K13" s="91" t="s">
        <v>554</v>
      </c>
      <c r="L13" s="91" t="s">
        <v>581</v>
      </c>
      <c r="M13" s="91" t="s">
        <v>557</v>
      </c>
      <c r="N13" s="91" t="n">
        <v>8.596</v>
      </c>
      <c r="O13" s="3"/>
      <c r="P13" s="3"/>
      <c r="Q13" s="3"/>
      <c r="R13" s="3"/>
      <c r="S13" s="3"/>
      <c r="T13" s="3"/>
      <c r="U13" s="3"/>
      <c r="V13" s="3"/>
      <c r="W13" s="3"/>
      <c r="X13" s="3"/>
      <c r="Y13" s="3"/>
      <c r="Z13" s="3"/>
      <c r="AA13" s="3"/>
      <c r="AB13" s="3"/>
      <c r="AC13" s="3"/>
    </row>
    <row r="14" customFormat="false" ht="61.5" hidden="false" customHeight="true" outlineLevel="0" collapsed="false">
      <c r="A14" s="3"/>
      <c r="B14" s="141" t="s">
        <v>14</v>
      </c>
      <c r="C14" s="110" t="s">
        <v>6894</v>
      </c>
      <c r="D14" s="110" t="s">
        <v>529</v>
      </c>
      <c r="E14" s="98" t="s">
        <v>583</v>
      </c>
      <c r="F14" s="117" t="s">
        <v>584</v>
      </c>
      <c r="G14" s="146" t="n">
        <v>8</v>
      </c>
      <c r="H14" s="98" t="s">
        <v>244</v>
      </c>
      <c r="I14" s="147" t="n">
        <v>8</v>
      </c>
      <c r="J14" s="98" t="s">
        <v>553</v>
      </c>
      <c r="K14" s="98" t="s">
        <v>554</v>
      </c>
      <c r="L14" s="98"/>
      <c r="M14" s="98" t="s">
        <v>557</v>
      </c>
      <c r="N14" s="98" t="n">
        <v>8</v>
      </c>
      <c r="O14" s="3"/>
      <c r="P14" s="3"/>
      <c r="Q14" s="3"/>
      <c r="R14" s="3"/>
      <c r="S14" s="3"/>
      <c r="T14" s="3"/>
      <c r="U14" s="3"/>
      <c r="V14" s="3"/>
      <c r="W14" s="3"/>
      <c r="X14" s="3"/>
      <c r="Y14" s="3"/>
      <c r="Z14" s="3"/>
      <c r="AA14" s="3"/>
      <c r="AB14" s="3"/>
      <c r="AC14" s="3"/>
    </row>
    <row r="15" customFormat="false" ht="61.5" hidden="false" customHeight="true" outlineLevel="0" collapsed="false">
      <c r="A15" s="3"/>
      <c r="B15" s="139" t="s">
        <v>14</v>
      </c>
      <c r="C15" s="109" t="s">
        <v>6894</v>
      </c>
      <c r="D15" s="109" t="s">
        <v>552</v>
      </c>
      <c r="E15" s="91" t="s">
        <v>378</v>
      </c>
      <c r="F15" s="113" t="s">
        <v>555</v>
      </c>
      <c r="G15" s="144" t="n">
        <v>67.56</v>
      </c>
      <c r="H15" s="91" t="s">
        <v>374</v>
      </c>
      <c r="I15" s="145" t="n">
        <v>13.512</v>
      </c>
      <c r="J15" s="91" t="s">
        <v>553</v>
      </c>
      <c r="K15" s="91" t="s">
        <v>554</v>
      </c>
      <c r="L15" s="91"/>
      <c r="M15" s="91" t="s">
        <v>557</v>
      </c>
      <c r="N15" s="91" t="n">
        <v>13.512</v>
      </c>
      <c r="O15" s="3"/>
      <c r="P15" s="3"/>
      <c r="Q15" s="3"/>
      <c r="R15" s="3"/>
      <c r="S15" s="3"/>
      <c r="T15" s="3"/>
      <c r="U15" s="3"/>
      <c r="V15" s="3"/>
      <c r="W15" s="3"/>
      <c r="X15" s="3"/>
      <c r="Y15" s="3"/>
      <c r="Z15" s="3"/>
      <c r="AA15" s="3"/>
      <c r="AB15" s="3"/>
      <c r="AC15" s="3"/>
    </row>
    <row r="16" customFormat="false" ht="61.5" hidden="false" customHeight="true" outlineLevel="0" collapsed="false">
      <c r="A16" s="3"/>
      <c r="B16" s="141" t="s">
        <v>14</v>
      </c>
      <c r="C16" s="110" t="s">
        <v>6894</v>
      </c>
      <c r="D16" s="110" t="s">
        <v>728</v>
      </c>
      <c r="E16" s="98" t="s">
        <v>381</v>
      </c>
      <c r="F16" s="117" t="s">
        <v>732</v>
      </c>
      <c r="G16" s="146" t="n">
        <v>33.8</v>
      </c>
      <c r="H16" s="98" t="s">
        <v>374</v>
      </c>
      <c r="I16" s="147" t="n">
        <v>6.76</v>
      </c>
      <c r="J16" s="98" t="s">
        <v>578</v>
      </c>
      <c r="K16" s="98" t="s">
        <v>729</v>
      </c>
      <c r="L16" s="98" t="s">
        <v>733</v>
      </c>
      <c r="M16" s="98" t="s">
        <v>557</v>
      </c>
      <c r="N16" s="98" t="n">
        <v>6.76</v>
      </c>
      <c r="O16" s="3"/>
      <c r="P16" s="3"/>
      <c r="Q16" s="3"/>
      <c r="R16" s="3"/>
      <c r="S16" s="3"/>
      <c r="T16" s="3"/>
      <c r="U16" s="3"/>
      <c r="V16" s="3"/>
      <c r="W16" s="3"/>
      <c r="X16" s="3"/>
      <c r="Y16" s="3"/>
      <c r="Z16" s="3"/>
      <c r="AA16" s="3"/>
      <c r="AB16" s="3"/>
      <c r="AC16" s="3"/>
    </row>
    <row r="17" customFormat="false" ht="61.5" hidden="false" customHeight="true" outlineLevel="0" collapsed="false">
      <c r="A17" s="3"/>
      <c r="B17" s="139" t="s">
        <v>14</v>
      </c>
      <c r="C17" s="109" t="s">
        <v>6894</v>
      </c>
      <c r="D17" s="109" t="s">
        <v>728</v>
      </c>
      <c r="E17" s="91" t="s">
        <v>346</v>
      </c>
      <c r="F17" s="113" t="s">
        <v>730</v>
      </c>
      <c r="G17" s="144" t="n">
        <v>35.63</v>
      </c>
      <c r="H17" s="91" t="s">
        <v>374</v>
      </c>
      <c r="I17" s="145" t="n">
        <v>7.126</v>
      </c>
      <c r="J17" s="91" t="s">
        <v>578</v>
      </c>
      <c r="K17" s="91" t="s">
        <v>729</v>
      </c>
      <c r="L17" s="91" t="s">
        <v>731</v>
      </c>
      <c r="M17" s="91" t="s">
        <v>557</v>
      </c>
      <c r="N17" s="91" t="n">
        <v>7.126</v>
      </c>
      <c r="O17" s="3"/>
      <c r="P17" s="3"/>
      <c r="Q17" s="3"/>
      <c r="R17" s="3"/>
      <c r="S17" s="3"/>
      <c r="T17" s="3"/>
      <c r="U17" s="3"/>
      <c r="V17" s="3"/>
      <c r="W17" s="3"/>
      <c r="X17" s="3"/>
      <c r="Y17" s="3"/>
      <c r="Z17" s="3"/>
      <c r="AA17" s="3"/>
      <c r="AB17" s="3"/>
      <c r="AC17" s="3"/>
    </row>
    <row r="18" customFormat="false" ht="61.5" hidden="false" customHeight="true" outlineLevel="0" collapsed="false">
      <c r="A18" s="3"/>
      <c r="B18" s="141" t="s">
        <v>14</v>
      </c>
      <c r="C18" s="110" t="s">
        <v>6894</v>
      </c>
      <c r="D18" s="110" t="s">
        <v>728</v>
      </c>
      <c r="E18" s="98" t="s">
        <v>403</v>
      </c>
      <c r="F18" s="117" t="s">
        <v>734</v>
      </c>
      <c r="G18" s="146" t="n">
        <v>31.69</v>
      </c>
      <c r="H18" s="98" t="s">
        <v>374</v>
      </c>
      <c r="I18" s="147" t="n">
        <v>6.338</v>
      </c>
      <c r="J18" s="98" t="s">
        <v>578</v>
      </c>
      <c r="K18" s="98" t="s">
        <v>729</v>
      </c>
      <c r="L18" s="98" t="s">
        <v>388</v>
      </c>
      <c r="M18" s="98" t="s">
        <v>557</v>
      </c>
      <c r="N18" s="98" t="n">
        <v>6.338</v>
      </c>
      <c r="O18" s="3"/>
      <c r="P18" s="3"/>
      <c r="Q18" s="3"/>
      <c r="R18" s="3"/>
      <c r="S18" s="3"/>
      <c r="T18" s="3"/>
      <c r="U18" s="3"/>
      <c r="V18" s="3"/>
      <c r="W18" s="3"/>
      <c r="X18" s="3"/>
      <c r="Y18" s="3"/>
      <c r="Z18" s="3"/>
      <c r="AA18" s="3"/>
      <c r="AB18" s="3"/>
      <c r="AC18" s="3"/>
    </row>
    <row r="19" customFormat="false" ht="61.5" hidden="false" customHeight="true" outlineLevel="0" collapsed="false">
      <c r="A19" s="3"/>
      <c r="B19" s="139" t="s">
        <v>14</v>
      </c>
      <c r="C19" s="109" t="s">
        <v>6894</v>
      </c>
      <c r="D19" s="109" t="s">
        <v>573</v>
      </c>
      <c r="E19" s="91" t="s">
        <v>381</v>
      </c>
      <c r="F19" s="113" t="s">
        <v>579</v>
      </c>
      <c r="G19" s="144" t="n">
        <v>52.93</v>
      </c>
      <c r="H19" s="91" t="s">
        <v>374</v>
      </c>
      <c r="I19" s="145" t="n">
        <v>10.586</v>
      </c>
      <c r="J19" s="91" t="s">
        <v>578</v>
      </c>
      <c r="K19" s="91" t="s">
        <v>554</v>
      </c>
      <c r="L19" s="91"/>
      <c r="M19" s="91" t="s">
        <v>557</v>
      </c>
      <c r="N19" s="91" t="n">
        <v>10.586</v>
      </c>
      <c r="O19" s="3"/>
      <c r="P19" s="3"/>
      <c r="Q19" s="3"/>
      <c r="R19" s="3"/>
      <c r="S19" s="3"/>
      <c r="T19" s="3"/>
      <c r="U19" s="3"/>
      <c r="V19" s="3"/>
      <c r="W19" s="3"/>
      <c r="X19" s="3"/>
      <c r="Y19" s="3"/>
      <c r="Z19" s="3"/>
      <c r="AA19" s="3"/>
      <c r="AB19" s="3"/>
      <c r="AC19" s="3"/>
    </row>
    <row r="20" customFormat="false" ht="61.5" hidden="false" customHeight="true" outlineLevel="0" collapsed="false">
      <c r="A20" s="3"/>
      <c r="B20" s="141" t="s">
        <v>14</v>
      </c>
      <c r="C20" s="110" t="s">
        <v>6894</v>
      </c>
      <c r="D20" s="110" t="s">
        <v>655</v>
      </c>
      <c r="E20" s="98" t="s">
        <v>378</v>
      </c>
      <c r="F20" s="117" t="s">
        <v>555</v>
      </c>
      <c r="G20" s="146" t="n">
        <v>57.38</v>
      </c>
      <c r="H20" s="98" t="s">
        <v>374</v>
      </c>
      <c r="I20" s="147" t="n">
        <v>11.476</v>
      </c>
      <c r="J20" s="98" t="s">
        <v>578</v>
      </c>
      <c r="K20" s="98" t="s">
        <v>554</v>
      </c>
      <c r="L20" s="98"/>
      <c r="M20" s="98" t="s">
        <v>557</v>
      </c>
      <c r="N20" s="98" t="n">
        <v>11.476</v>
      </c>
      <c r="O20" s="3"/>
      <c r="P20" s="3"/>
      <c r="Q20" s="3"/>
      <c r="R20" s="3"/>
      <c r="S20" s="3"/>
      <c r="T20" s="3"/>
      <c r="U20" s="3"/>
      <c r="V20" s="3"/>
      <c r="W20" s="3"/>
      <c r="X20" s="3"/>
      <c r="Y20" s="3"/>
      <c r="Z20" s="3"/>
      <c r="AA20" s="3"/>
      <c r="AB20" s="3"/>
      <c r="AC20" s="3"/>
    </row>
    <row r="21" customFormat="false" ht="61.5" hidden="false" customHeight="true" outlineLevel="0" collapsed="false">
      <c r="A21" s="3"/>
      <c r="B21" s="139" t="s">
        <v>14</v>
      </c>
      <c r="C21" s="109" t="s">
        <v>6894</v>
      </c>
      <c r="D21" s="109" t="s">
        <v>655</v>
      </c>
      <c r="E21" s="91" t="s">
        <v>415</v>
      </c>
      <c r="F21" s="113" t="s">
        <v>575</v>
      </c>
      <c r="G21" s="144" t="n">
        <v>6</v>
      </c>
      <c r="H21" s="91" t="s">
        <v>244</v>
      </c>
      <c r="I21" s="145" t="n">
        <v>6</v>
      </c>
      <c r="J21" s="91" t="s">
        <v>578</v>
      </c>
      <c r="K21" s="91" t="s">
        <v>554</v>
      </c>
      <c r="L21" s="91"/>
      <c r="M21" s="91" t="s">
        <v>557</v>
      </c>
      <c r="N21" s="91" t="n">
        <v>6</v>
      </c>
      <c r="O21" s="3"/>
      <c r="P21" s="3"/>
      <c r="Q21" s="3"/>
      <c r="R21" s="3"/>
      <c r="S21" s="3"/>
      <c r="T21" s="3"/>
      <c r="U21" s="3"/>
      <c r="V21" s="3"/>
      <c r="W21" s="3"/>
      <c r="X21" s="3"/>
      <c r="Y21" s="3"/>
      <c r="Z21" s="3"/>
      <c r="AA21" s="3"/>
      <c r="AB21" s="3"/>
      <c r="AC21" s="3"/>
    </row>
    <row r="22" customFormat="false" ht="61.5" hidden="false" customHeight="true" outlineLevel="0" collapsed="false">
      <c r="A22" s="3"/>
      <c r="B22" s="141" t="s">
        <v>14</v>
      </c>
      <c r="C22" s="110" t="s">
        <v>6894</v>
      </c>
      <c r="D22" s="110" t="s">
        <v>655</v>
      </c>
      <c r="E22" s="98" t="s">
        <v>403</v>
      </c>
      <c r="F22" s="117" t="s">
        <v>667</v>
      </c>
      <c r="G22" s="146" t="n">
        <v>35.79</v>
      </c>
      <c r="H22" s="98" t="s">
        <v>374</v>
      </c>
      <c r="I22" s="147" t="n">
        <v>7.158</v>
      </c>
      <c r="J22" s="98" t="s">
        <v>578</v>
      </c>
      <c r="K22" s="98" t="s">
        <v>554</v>
      </c>
      <c r="L22" s="98" t="s">
        <v>668</v>
      </c>
      <c r="M22" s="98" t="s">
        <v>557</v>
      </c>
      <c r="N22" s="98" t="n">
        <v>7.158</v>
      </c>
      <c r="O22" s="3"/>
      <c r="P22" s="3"/>
      <c r="Q22" s="3"/>
      <c r="R22" s="3"/>
      <c r="S22" s="3"/>
      <c r="T22" s="3"/>
      <c r="U22" s="3"/>
      <c r="V22" s="3"/>
      <c r="W22" s="3"/>
      <c r="X22" s="3"/>
      <c r="Y22" s="3"/>
      <c r="Z22" s="3"/>
      <c r="AA22" s="3"/>
      <c r="AB22" s="3"/>
      <c r="AC22" s="3"/>
    </row>
    <row r="23" customFormat="false" ht="61.5" hidden="false" customHeight="true" outlineLevel="0" collapsed="false">
      <c r="A23" s="3"/>
      <c r="B23" s="139" t="s">
        <v>14</v>
      </c>
      <c r="C23" s="109" t="s">
        <v>6907</v>
      </c>
      <c r="D23" s="109" t="s">
        <v>955</v>
      </c>
      <c r="E23" s="91" t="s">
        <v>388</v>
      </c>
      <c r="F23" s="113" t="s">
        <v>957</v>
      </c>
      <c r="G23" s="144" t="n">
        <v>105.9</v>
      </c>
      <c r="H23" s="91" t="s">
        <v>374</v>
      </c>
      <c r="I23" s="145" t="n">
        <v>21.18</v>
      </c>
      <c r="J23" s="91" t="s">
        <v>559</v>
      </c>
      <c r="K23" s="91"/>
      <c r="L23" s="91"/>
      <c r="M23" s="91" t="s">
        <v>557</v>
      </c>
      <c r="N23" s="91" t="n">
        <v>21.18</v>
      </c>
      <c r="O23" s="3"/>
      <c r="P23" s="3"/>
      <c r="Q23" s="3"/>
      <c r="R23" s="3"/>
      <c r="S23" s="3"/>
      <c r="T23" s="3"/>
      <c r="U23" s="3"/>
      <c r="V23" s="3"/>
      <c r="W23" s="3"/>
      <c r="X23" s="3"/>
      <c r="Y23" s="3"/>
      <c r="Z23" s="3"/>
      <c r="AA23" s="3"/>
      <c r="AB23" s="3"/>
      <c r="AC23" s="3"/>
    </row>
    <row r="24" customFormat="false" ht="61.5" hidden="false" customHeight="true" outlineLevel="0" collapsed="false">
      <c r="A24" s="3"/>
      <c r="B24" s="141" t="s">
        <v>14</v>
      </c>
      <c r="C24" s="110" t="s">
        <v>6907</v>
      </c>
      <c r="D24" s="110" t="s">
        <v>959</v>
      </c>
      <c r="E24" s="98" t="s">
        <v>381</v>
      </c>
      <c r="F24" s="117" t="s">
        <v>960</v>
      </c>
      <c r="G24" s="146" t="n">
        <v>222.32</v>
      </c>
      <c r="H24" s="98" t="s">
        <v>374</v>
      </c>
      <c r="I24" s="147" t="n">
        <v>44.464</v>
      </c>
      <c r="J24" s="98" t="s">
        <v>559</v>
      </c>
      <c r="K24" s="98" t="s">
        <v>729</v>
      </c>
      <c r="L24" s="98"/>
      <c r="M24" s="98" t="s">
        <v>557</v>
      </c>
      <c r="N24" s="98" t="n">
        <v>44.464</v>
      </c>
      <c r="O24" s="3"/>
      <c r="P24" s="3"/>
      <c r="Q24" s="3"/>
      <c r="R24" s="3"/>
      <c r="S24" s="3"/>
      <c r="T24" s="3"/>
      <c r="U24" s="3"/>
      <c r="V24" s="3"/>
      <c r="W24" s="3"/>
      <c r="X24" s="3"/>
      <c r="Y24" s="3"/>
      <c r="Z24" s="3"/>
      <c r="AA24" s="3"/>
      <c r="AB24" s="3"/>
      <c r="AC24" s="3"/>
    </row>
    <row r="25" customFormat="false" ht="61.5" hidden="false" customHeight="true" outlineLevel="0" collapsed="false">
      <c r="A25" s="3"/>
      <c r="B25" s="139" t="s">
        <v>14</v>
      </c>
      <c r="C25" s="109" t="s">
        <v>6907</v>
      </c>
      <c r="D25" s="109" t="s">
        <v>955</v>
      </c>
      <c r="E25" s="91" t="s">
        <v>411</v>
      </c>
      <c r="F25" s="113" t="s">
        <v>6908</v>
      </c>
      <c r="G25" s="144" t="n">
        <v>106.27</v>
      </c>
      <c r="H25" s="91" t="s">
        <v>374</v>
      </c>
      <c r="I25" s="145" t="n">
        <v>21.254</v>
      </c>
      <c r="J25" s="91" t="s">
        <v>559</v>
      </c>
      <c r="K25" s="91"/>
      <c r="L25" s="91"/>
      <c r="M25" s="91" t="s">
        <v>557</v>
      </c>
      <c r="N25" s="91" t="n">
        <v>21.254</v>
      </c>
      <c r="O25" s="3"/>
      <c r="P25" s="3"/>
      <c r="Q25" s="3"/>
      <c r="R25" s="3"/>
      <c r="S25" s="3"/>
      <c r="T25" s="3"/>
      <c r="U25" s="3"/>
      <c r="V25" s="3"/>
      <c r="W25" s="3"/>
      <c r="X25" s="3"/>
      <c r="Y25" s="3"/>
      <c r="Z25" s="3"/>
      <c r="AA25" s="3"/>
      <c r="AB25" s="3"/>
      <c r="AC25" s="3"/>
    </row>
    <row r="26" customFormat="false" ht="61.5" hidden="false" customHeight="true" outlineLevel="0" collapsed="false">
      <c r="A26" s="3"/>
      <c r="B26" s="141" t="s">
        <v>14</v>
      </c>
      <c r="C26" s="110" t="s">
        <v>6907</v>
      </c>
      <c r="D26" s="110" t="s">
        <v>955</v>
      </c>
      <c r="E26" s="98" t="s">
        <v>403</v>
      </c>
      <c r="F26" s="117" t="s">
        <v>961</v>
      </c>
      <c r="G26" s="146" t="n">
        <v>96.98</v>
      </c>
      <c r="H26" s="98" t="s">
        <v>374</v>
      </c>
      <c r="I26" s="147" t="n">
        <v>19.396</v>
      </c>
      <c r="J26" s="98" t="s">
        <v>559</v>
      </c>
      <c r="K26" s="98"/>
      <c r="L26" s="98" t="s">
        <v>388</v>
      </c>
      <c r="M26" s="98" t="s">
        <v>557</v>
      </c>
      <c r="N26" s="98" t="n">
        <v>19.396</v>
      </c>
      <c r="O26" s="3"/>
      <c r="P26" s="3"/>
      <c r="Q26" s="3"/>
      <c r="R26" s="3"/>
      <c r="S26" s="3"/>
      <c r="T26" s="3"/>
      <c r="U26" s="3"/>
      <c r="V26" s="3"/>
      <c r="W26" s="3"/>
      <c r="X26" s="3"/>
      <c r="Y26" s="3"/>
      <c r="Z26" s="3"/>
      <c r="AA26" s="3"/>
      <c r="AB26" s="3"/>
      <c r="AC26" s="3"/>
    </row>
    <row r="27" customFormat="false" ht="61.5" hidden="false" customHeight="true" outlineLevel="0" collapsed="false">
      <c r="A27" s="3"/>
      <c r="B27" s="139" t="s">
        <v>14</v>
      </c>
      <c r="C27" s="109" t="s">
        <v>6894</v>
      </c>
      <c r="D27" s="109" t="s">
        <v>558</v>
      </c>
      <c r="E27" s="91" t="s">
        <v>388</v>
      </c>
      <c r="F27" s="113" t="s">
        <v>567</v>
      </c>
      <c r="G27" s="144" t="n">
        <v>68.9</v>
      </c>
      <c r="H27" s="91" t="s">
        <v>374</v>
      </c>
      <c r="I27" s="145" t="n">
        <v>13.78</v>
      </c>
      <c r="J27" s="91" t="s">
        <v>559</v>
      </c>
      <c r="K27" s="91" t="s">
        <v>554</v>
      </c>
      <c r="L27" s="91" t="s">
        <v>388</v>
      </c>
      <c r="M27" s="91" t="s">
        <v>557</v>
      </c>
      <c r="N27" s="91" t="n">
        <v>13.78</v>
      </c>
      <c r="O27" s="3"/>
      <c r="P27" s="3"/>
      <c r="Q27" s="3"/>
      <c r="R27" s="3"/>
      <c r="S27" s="3"/>
      <c r="T27" s="3"/>
      <c r="U27" s="3"/>
      <c r="V27" s="3"/>
      <c r="W27" s="3"/>
      <c r="X27" s="3"/>
      <c r="Y27" s="3"/>
      <c r="Z27" s="3"/>
      <c r="AA27" s="3"/>
      <c r="AB27" s="3"/>
      <c r="AC27" s="3"/>
    </row>
    <row r="28" customFormat="false" ht="61.5" hidden="false" customHeight="true" outlineLevel="0" collapsed="false">
      <c r="A28" s="3"/>
      <c r="B28" s="141" t="s">
        <v>14</v>
      </c>
      <c r="C28" s="110" t="s">
        <v>6894</v>
      </c>
      <c r="D28" s="110" t="s">
        <v>558</v>
      </c>
      <c r="E28" s="98" t="s">
        <v>378</v>
      </c>
      <c r="F28" s="117" t="s">
        <v>560</v>
      </c>
      <c r="G28" s="146" t="n">
        <v>62.43</v>
      </c>
      <c r="H28" s="98" t="s">
        <v>374</v>
      </c>
      <c r="I28" s="147" t="n">
        <v>12.486</v>
      </c>
      <c r="J28" s="98" t="s">
        <v>559</v>
      </c>
      <c r="K28" s="98" t="s">
        <v>554</v>
      </c>
      <c r="L28" s="98"/>
      <c r="M28" s="98" t="s">
        <v>557</v>
      </c>
      <c r="N28" s="98" t="n">
        <v>12.486</v>
      </c>
      <c r="O28" s="3"/>
      <c r="P28" s="3"/>
      <c r="Q28" s="3"/>
      <c r="R28" s="3"/>
      <c r="S28" s="3"/>
      <c r="T28" s="3"/>
      <c r="U28" s="3"/>
      <c r="V28" s="3"/>
      <c r="W28" s="3"/>
      <c r="X28" s="3"/>
      <c r="Y28" s="3"/>
      <c r="Z28" s="3"/>
      <c r="AA28" s="3"/>
      <c r="AB28" s="3"/>
      <c r="AC28" s="3"/>
    </row>
    <row r="29" customFormat="false" ht="61.5" hidden="false" customHeight="true" outlineLevel="0" collapsed="false">
      <c r="A29" s="3"/>
      <c r="B29" s="139" t="s">
        <v>14</v>
      </c>
      <c r="C29" s="109" t="s">
        <v>6894</v>
      </c>
      <c r="D29" s="109" t="s">
        <v>558</v>
      </c>
      <c r="E29" s="91" t="s">
        <v>415</v>
      </c>
      <c r="F29" s="113" t="s">
        <v>575</v>
      </c>
      <c r="G29" s="144" t="n">
        <v>8</v>
      </c>
      <c r="H29" s="91" t="s">
        <v>244</v>
      </c>
      <c r="I29" s="145" t="n">
        <v>8</v>
      </c>
      <c r="J29" s="91" t="s">
        <v>559</v>
      </c>
      <c r="K29" s="91" t="s">
        <v>554</v>
      </c>
      <c r="L29" s="91"/>
      <c r="M29" s="91" t="s">
        <v>557</v>
      </c>
      <c r="N29" s="91" t="n">
        <v>8</v>
      </c>
      <c r="O29" s="3"/>
      <c r="P29" s="3"/>
      <c r="Q29" s="3"/>
      <c r="R29" s="3"/>
      <c r="S29" s="3"/>
      <c r="T29" s="3"/>
      <c r="U29" s="3"/>
      <c r="V29" s="3"/>
      <c r="W29" s="3"/>
      <c r="X29" s="3"/>
      <c r="Y29" s="3"/>
      <c r="Z29" s="3"/>
      <c r="AA29" s="3"/>
      <c r="AB29" s="3"/>
      <c r="AC29" s="3"/>
    </row>
    <row r="30" customFormat="false" ht="61.5" hidden="false" customHeight="true" outlineLevel="0" collapsed="false">
      <c r="A30" s="3"/>
      <c r="B30" s="141" t="s">
        <v>14</v>
      </c>
      <c r="C30" s="110" t="s">
        <v>6894</v>
      </c>
      <c r="D30" s="110" t="s">
        <v>558</v>
      </c>
      <c r="E30" s="98" t="s">
        <v>403</v>
      </c>
      <c r="F30" s="117" t="s">
        <v>582</v>
      </c>
      <c r="G30" s="146" t="n">
        <v>63.38</v>
      </c>
      <c r="H30" s="98" t="s">
        <v>374</v>
      </c>
      <c r="I30" s="147" t="n">
        <v>12.676</v>
      </c>
      <c r="J30" s="98" t="s">
        <v>559</v>
      </c>
      <c r="K30" s="98" t="s">
        <v>554</v>
      </c>
      <c r="L30" s="98" t="s">
        <v>388</v>
      </c>
      <c r="M30" s="98" t="s">
        <v>557</v>
      </c>
      <c r="N30" s="98" t="n">
        <v>12.676</v>
      </c>
      <c r="O30" s="3"/>
      <c r="P30" s="3"/>
      <c r="Q30" s="3"/>
      <c r="R30" s="3"/>
      <c r="S30" s="3"/>
      <c r="T30" s="3"/>
      <c r="U30" s="3"/>
      <c r="V30" s="3"/>
      <c r="W30" s="3"/>
      <c r="X30" s="3"/>
      <c r="Y30" s="3"/>
      <c r="Z30" s="3"/>
      <c r="AA30" s="3"/>
      <c r="AB30" s="3"/>
      <c r="AC30" s="3"/>
    </row>
    <row r="31" customFormat="false" ht="61.5" hidden="false" customHeight="true" outlineLevel="0" collapsed="false">
      <c r="A31" s="3"/>
      <c r="B31" s="139" t="s">
        <v>14</v>
      </c>
      <c r="C31" s="109" t="s">
        <v>6894</v>
      </c>
      <c r="D31" s="109" t="s">
        <v>656</v>
      </c>
      <c r="E31" s="91" t="s">
        <v>388</v>
      </c>
      <c r="F31" s="113" t="s">
        <v>664</v>
      </c>
      <c r="G31" s="144" t="n">
        <v>54.9</v>
      </c>
      <c r="H31" s="91" t="s">
        <v>374</v>
      </c>
      <c r="I31" s="145" t="n">
        <v>10.98</v>
      </c>
      <c r="J31" s="91" t="s">
        <v>657</v>
      </c>
      <c r="K31" s="91" t="s">
        <v>554</v>
      </c>
      <c r="L31" s="91" t="s">
        <v>388</v>
      </c>
      <c r="M31" s="91" t="s">
        <v>557</v>
      </c>
      <c r="N31" s="91" t="n">
        <v>10.98</v>
      </c>
      <c r="O31" s="3"/>
      <c r="P31" s="3"/>
      <c r="Q31" s="3"/>
      <c r="R31" s="3"/>
      <c r="S31" s="3"/>
      <c r="T31" s="3"/>
      <c r="U31" s="3"/>
      <c r="V31" s="3"/>
      <c r="W31" s="3"/>
      <c r="X31" s="3"/>
      <c r="Y31" s="3"/>
      <c r="Z31" s="3"/>
      <c r="AA31" s="3"/>
      <c r="AB31" s="3"/>
      <c r="AC31" s="3"/>
    </row>
    <row r="32" customFormat="false" ht="61.5" hidden="false" customHeight="true" outlineLevel="0" collapsed="false">
      <c r="A32" s="3"/>
      <c r="B32" s="141" t="s">
        <v>14</v>
      </c>
      <c r="C32" s="110" t="s">
        <v>6894</v>
      </c>
      <c r="D32" s="110" t="s">
        <v>656</v>
      </c>
      <c r="E32" s="98" t="s">
        <v>346</v>
      </c>
      <c r="F32" s="117" t="s">
        <v>661</v>
      </c>
      <c r="G32" s="146" t="n">
        <v>79.52</v>
      </c>
      <c r="H32" s="98" t="s">
        <v>374</v>
      </c>
      <c r="I32" s="147" t="n">
        <v>15.904</v>
      </c>
      <c r="J32" s="98" t="s">
        <v>657</v>
      </c>
      <c r="K32" s="98" t="s">
        <v>554</v>
      </c>
      <c r="L32" s="98" t="s">
        <v>662</v>
      </c>
      <c r="M32" s="98" t="s">
        <v>557</v>
      </c>
      <c r="N32" s="98" t="n">
        <v>15.904</v>
      </c>
      <c r="O32" s="3"/>
      <c r="P32" s="3"/>
      <c r="Q32" s="3"/>
      <c r="R32" s="3"/>
      <c r="S32" s="3"/>
      <c r="T32" s="3"/>
      <c r="U32" s="3"/>
      <c r="V32" s="3"/>
      <c r="W32" s="3"/>
      <c r="X32" s="3"/>
      <c r="Y32" s="3"/>
      <c r="Z32" s="3"/>
      <c r="AA32" s="3"/>
      <c r="AB32" s="3"/>
      <c r="AC32" s="3"/>
    </row>
    <row r="33" customFormat="false" ht="61.5" hidden="false" customHeight="true" outlineLevel="0" collapsed="false">
      <c r="A33" s="3"/>
      <c r="B33" s="139" t="s">
        <v>14</v>
      </c>
      <c r="C33" s="109" t="s">
        <v>6894</v>
      </c>
      <c r="D33" s="109" t="s">
        <v>656</v>
      </c>
      <c r="E33" s="91" t="s">
        <v>378</v>
      </c>
      <c r="F33" s="113" t="s">
        <v>560</v>
      </c>
      <c r="G33" s="144" t="n">
        <v>58.52</v>
      </c>
      <c r="H33" s="91" t="s">
        <v>374</v>
      </c>
      <c r="I33" s="145" t="n">
        <v>11.704</v>
      </c>
      <c r="J33" s="91" t="s">
        <v>657</v>
      </c>
      <c r="K33" s="91" t="s">
        <v>554</v>
      </c>
      <c r="L33" s="91"/>
      <c r="M33" s="91" t="s">
        <v>557</v>
      </c>
      <c r="N33" s="91" t="n">
        <v>11.704</v>
      </c>
      <c r="O33" s="3"/>
      <c r="P33" s="3"/>
      <c r="Q33" s="3"/>
      <c r="R33" s="3"/>
      <c r="S33" s="3"/>
      <c r="T33" s="3"/>
      <c r="U33" s="3"/>
      <c r="V33" s="3"/>
      <c r="W33" s="3"/>
      <c r="X33" s="3"/>
      <c r="Y33" s="3"/>
      <c r="Z33" s="3"/>
      <c r="AA33" s="3"/>
      <c r="AB33" s="3"/>
      <c r="AC33" s="3"/>
    </row>
    <row r="34" customFormat="false" ht="61.5" hidden="false" customHeight="true" outlineLevel="0" collapsed="false">
      <c r="A34" s="3"/>
      <c r="B34" s="141" t="s">
        <v>14</v>
      </c>
      <c r="C34" s="110" t="s">
        <v>6895</v>
      </c>
      <c r="D34" s="110" t="s">
        <v>1090</v>
      </c>
      <c r="E34" s="98" t="s">
        <v>378</v>
      </c>
      <c r="F34" s="117" t="s">
        <v>1094</v>
      </c>
      <c r="G34" s="146" t="n">
        <v>204.6</v>
      </c>
      <c r="H34" s="98" t="s">
        <v>374</v>
      </c>
      <c r="I34" s="147" t="n">
        <v>40.92</v>
      </c>
      <c r="J34" s="148" t="n">
        <v>46212</v>
      </c>
      <c r="K34" s="98" t="s">
        <v>1024</v>
      </c>
      <c r="L34" s="98" t="s">
        <v>1095</v>
      </c>
      <c r="M34" s="98" t="s">
        <v>557</v>
      </c>
      <c r="N34" s="98" t="n">
        <v>40.92</v>
      </c>
      <c r="O34" s="3"/>
      <c r="P34" s="3"/>
      <c r="Q34" s="3"/>
      <c r="R34" s="3"/>
      <c r="S34" s="3"/>
      <c r="T34" s="3"/>
      <c r="U34" s="3"/>
      <c r="V34" s="3"/>
      <c r="W34" s="3"/>
      <c r="X34" s="3"/>
      <c r="Y34" s="3"/>
      <c r="Z34" s="3"/>
      <c r="AA34" s="3"/>
      <c r="AB34" s="3"/>
      <c r="AC34" s="3"/>
    </row>
    <row r="35" customFormat="false" ht="61.5" hidden="false" customHeight="true" outlineLevel="0" collapsed="false">
      <c r="A35" s="3"/>
      <c r="B35" s="139" t="s">
        <v>14</v>
      </c>
      <c r="C35" s="109" t="s">
        <v>6895</v>
      </c>
      <c r="D35" s="109" t="s">
        <v>1151</v>
      </c>
      <c r="E35" s="91" t="s">
        <v>373</v>
      </c>
      <c r="F35" s="113" t="s">
        <v>1153</v>
      </c>
      <c r="G35" s="144" t="n">
        <v>35.14</v>
      </c>
      <c r="H35" s="91" t="s">
        <v>374</v>
      </c>
      <c r="I35" s="145" t="n">
        <v>7.028</v>
      </c>
      <c r="J35" s="149" t="n">
        <v>46213</v>
      </c>
      <c r="K35" s="91" t="s">
        <v>1024</v>
      </c>
      <c r="L35" s="91" t="s">
        <v>1092</v>
      </c>
      <c r="M35" s="91" t="s">
        <v>557</v>
      </c>
      <c r="N35" s="91" t="n">
        <v>7.028</v>
      </c>
      <c r="O35" s="3"/>
      <c r="P35" s="3"/>
      <c r="Q35" s="3"/>
      <c r="R35" s="3"/>
      <c r="S35" s="3"/>
      <c r="T35" s="3"/>
      <c r="U35" s="3"/>
      <c r="V35" s="3"/>
      <c r="W35" s="3"/>
      <c r="X35" s="3"/>
      <c r="Y35" s="3"/>
      <c r="Z35" s="3"/>
      <c r="AA35" s="3"/>
      <c r="AB35" s="3"/>
      <c r="AC35" s="3"/>
    </row>
    <row r="36" customFormat="false" ht="61.5" hidden="false" customHeight="true" outlineLevel="0" collapsed="false">
      <c r="A36" s="3"/>
      <c r="B36" s="141" t="s">
        <v>14</v>
      </c>
      <c r="C36" s="110" t="s">
        <v>6895</v>
      </c>
      <c r="D36" s="110" t="s">
        <v>1151</v>
      </c>
      <c r="E36" s="98" t="s">
        <v>388</v>
      </c>
      <c r="F36" s="117" t="s">
        <v>1155</v>
      </c>
      <c r="G36" s="146" t="n">
        <v>25.52</v>
      </c>
      <c r="H36" s="98" t="s">
        <v>374</v>
      </c>
      <c r="I36" s="147" t="n">
        <v>5.104</v>
      </c>
      <c r="J36" s="148" t="n">
        <v>46213</v>
      </c>
      <c r="K36" s="98" t="s">
        <v>1024</v>
      </c>
      <c r="L36" s="98" t="s">
        <v>388</v>
      </c>
      <c r="M36" s="98" t="s">
        <v>557</v>
      </c>
      <c r="N36" s="98" t="n">
        <v>5.104</v>
      </c>
      <c r="O36" s="3"/>
      <c r="P36" s="3"/>
      <c r="Q36" s="3"/>
      <c r="R36" s="3"/>
      <c r="S36" s="3"/>
      <c r="T36" s="3"/>
      <c r="U36" s="3"/>
      <c r="V36" s="3"/>
      <c r="W36" s="3"/>
      <c r="X36" s="3"/>
      <c r="Y36" s="3"/>
      <c r="Z36" s="3"/>
      <c r="AA36" s="3"/>
      <c r="AB36" s="3"/>
      <c r="AC36" s="3"/>
    </row>
    <row r="37" customFormat="false" ht="75" hidden="false" customHeight="true" outlineLevel="0" collapsed="false">
      <c r="A37" s="3"/>
      <c r="B37" s="139" t="s">
        <v>14</v>
      </c>
      <c r="C37" s="109" t="s">
        <v>6895</v>
      </c>
      <c r="D37" s="109" t="s">
        <v>1090</v>
      </c>
      <c r="E37" s="91" t="s">
        <v>403</v>
      </c>
      <c r="F37" s="113" t="s">
        <v>1097</v>
      </c>
      <c r="G37" s="144" t="n">
        <v>89.62</v>
      </c>
      <c r="H37" s="91" t="s">
        <v>374</v>
      </c>
      <c r="I37" s="145" t="n">
        <v>17.924</v>
      </c>
      <c r="J37" s="149" t="n">
        <v>46214</v>
      </c>
      <c r="K37" s="91" t="s">
        <v>1024</v>
      </c>
      <c r="L37" s="91" t="s">
        <v>581</v>
      </c>
      <c r="M37" s="91" t="s">
        <v>557</v>
      </c>
      <c r="N37" s="91" t="n">
        <v>17.924</v>
      </c>
      <c r="O37" s="3"/>
      <c r="P37" s="3"/>
      <c r="Q37" s="3"/>
      <c r="R37" s="3"/>
      <c r="S37" s="3"/>
      <c r="T37" s="3"/>
      <c r="U37" s="3"/>
      <c r="V37" s="3"/>
      <c r="W37" s="3"/>
      <c r="X37" s="3"/>
      <c r="Y37" s="3"/>
      <c r="Z37" s="3"/>
      <c r="AA37" s="3"/>
      <c r="AB37" s="3"/>
      <c r="AC37" s="3"/>
    </row>
    <row r="38" customFormat="false" ht="75" hidden="false" customHeight="true" outlineLevel="0" collapsed="false">
      <c r="A38" s="3"/>
      <c r="B38" s="141" t="s">
        <v>14</v>
      </c>
      <c r="C38" s="110" t="s">
        <v>6895</v>
      </c>
      <c r="D38" s="110" t="s">
        <v>1151</v>
      </c>
      <c r="E38" s="98" t="s">
        <v>403</v>
      </c>
      <c r="F38" s="117" t="s">
        <v>1157</v>
      </c>
      <c r="G38" s="146" t="n">
        <v>24.98</v>
      </c>
      <c r="H38" s="98" t="s">
        <v>374</v>
      </c>
      <c r="I38" s="147" t="n">
        <v>4.996</v>
      </c>
      <c r="J38" s="148" t="n">
        <v>46214</v>
      </c>
      <c r="K38" s="98" t="s">
        <v>1024</v>
      </c>
      <c r="L38" s="98" t="s">
        <v>388</v>
      </c>
      <c r="M38" s="98" t="s">
        <v>557</v>
      </c>
      <c r="N38" s="98" t="n">
        <v>4.996</v>
      </c>
      <c r="O38" s="3"/>
      <c r="P38" s="3"/>
      <c r="Q38" s="3"/>
      <c r="R38" s="3"/>
      <c r="S38" s="3"/>
      <c r="T38" s="3"/>
      <c r="U38" s="3"/>
      <c r="V38" s="3"/>
      <c r="W38" s="3"/>
      <c r="X38" s="3"/>
      <c r="Y38" s="3"/>
      <c r="Z38" s="3"/>
      <c r="AA38" s="3"/>
      <c r="AB38" s="3"/>
      <c r="AC38" s="3"/>
    </row>
    <row r="39" customFormat="false" ht="61.5" hidden="false" customHeight="true" outlineLevel="0" collapsed="false">
      <c r="A39" s="3"/>
      <c r="B39" s="139" t="s">
        <v>14</v>
      </c>
      <c r="C39" s="109" t="s">
        <v>6895</v>
      </c>
      <c r="D39" s="109" t="s">
        <v>1151</v>
      </c>
      <c r="E39" s="91" t="s">
        <v>399</v>
      </c>
      <c r="F39" s="113" t="s">
        <v>1156</v>
      </c>
      <c r="G39" s="144" t="n">
        <v>34.8</v>
      </c>
      <c r="H39" s="91" t="s">
        <v>374</v>
      </c>
      <c r="I39" s="145" t="n">
        <v>6.96</v>
      </c>
      <c r="J39" s="149" t="n">
        <v>46214</v>
      </c>
      <c r="K39" s="91" t="s">
        <v>1024</v>
      </c>
      <c r="L39" s="91"/>
      <c r="M39" s="91" t="s">
        <v>557</v>
      </c>
      <c r="N39" s="91" t="n">
        <v>6.96</v>
      </c>
      <c r="O39" s="3"/>
      <c r="P39" s="3"/>
      <c r="Q39" s="3"/>
      <c r="R39" s="3"/>
      <c r="S39" s="3"/>
      <c r="T39" s="3"/>
      <c r="U39" s="3"/>
      <c r="V39" s="3"/>
      <c r="W39" s="3"/>
      <c r="X39" s="3"/>
      <c r="Y39" s="3"/>
      <c r="Z39" s="3"/>
      <c r="AA39" s="3"/>
      <c r="AB39" s="3"/>
      <c r="AC39" s="3"/>
    </row>
    <row r="40" customFormat="false" ht="61.5" hidden="false" customHeight="true" outlineLevel="0" collapsed="false">
      <c r="A40" s="3"/>
      <c r="B40" s="141" t="s">
        <v>14</v>
      </c>
      <c r="C40" s="110" t="s">
        <v>6895</v>
      </c>
      <c r="D40" s="110" t="s">
        <v>1090</v>
      </c>
      <c r="E40" s="98" t="s">
        <v>399</v>
      </c>
      <c r="F40" s="117" t="s">
        <v>1096</v>
      </c>
      <c r="G40" s="146" t="n">
        <v>174</v>
      </c>
      <c r="H40" s="98" t="s">
        <v>374</v>
      </c>
      <c r="I40" s="147" t="n">
        <v>34.8</v>
      </c>
      <c r="J40" s="148" t="n">
        <v>46214</v>
      </c>
      <c r="K40" s="98" t="s">
        <v>1024</v>
      </c>
      <c r="L40" s="98"/>
      <c r="M40" s="98" t="s">
        <v>557</v>
      </c>
      <c r="N40" s="98" t="n">
        <v>34.8</v>
      </c>
      <c r="O40" s="3"/>
      <c r="P40" s="3"/>
      <c r="Q40" s="3"/>
      <c r="R40" s="3"/>
      <c r="S40" s="3"/>
      <c r="T40" s="3"/>
      <c r="U40" s="3"/>
      <c r="V40" s="3"/>
      <c r="W40" s="3"/>
      <c r="X40" s="3"/>
      <c r="Y40" s="3"/>
      <c r="Z40" s="3"/>
      <c r="AA40" s="3"/>
      <c r="AB40" s="3"/>
      <c r="AC40" s="3"/>
    </row>
    <row r="41" customFormat="false" ht="61.5" hidden="false" customHeight="true" outlineLevel="0" collapsed="false">
      <c r="A41" s="3"/>
      <c r="B41" s="139" t="s">
        <v>14</v>
      </c>
      <c r="C41" s="109" t="s">
        <v>6895</v>
      </c>
      <c r="D41" s="109" t="s">
        <v>1022</v>
      </c>
      <c r="E41" s="91" t="s">
        <v>419</v>
      </c>
      <c r="F41" s="113" t="s">
        <v>1025</v>
      </c>
      <c r="G41" s="144" t="n">
        <v>130.58</v>
      </c>
      <c r="H41" s="91" t="s">
        <v>374</v>
      </c>
      <c r="I41" s="145" t="n">
        <v>26.116</v>
      </c>
      <c r="J41" s="149" t="n">
        <v>46214</v>
      </c>
      <c r="K41" s="91" t="s">
        <v>1024</v>
      </c>
      <c r="L41" s="91" t="s">
        <v>731</v>
      </c>
      <c r="M41" s="91" t="s">
        <v>557</v>
      </c>
      <c r="N41" s="91" t="n">
        <v>26.116</v>
      </c>
      <c r="O41" s="3"/>
      <c r="P41" s="3"/>
      <c r="Q41" s="3"/>
      <c r="R41" s="3"/>
      <c r="S41" s="3"/>
      <c r="T41" s="3"/>
      <c r="U41" s="3"/>
      <c r="V41" s="3"/>
      <c r="W41" s="3"/>
      <c r="X41" s="3"/>
      <c r="Y41" s="3"/>
      <c r="Z41" s="3"/>
      <c r="AA41" s="3"/>
      <c r="AB41" s="3"/>
      <c r="AC41" s="3"/>
    </row>
    <row r="42" customFormat="false" ht="61.5" hidden="false" customHeight="true" outlineLevel="0" collapsed="false">
      <c r="A42" s="3"/>
      <c r="B42" s="141" t="s">
        <v>14</v>
      </c>
      <c r="C42" s="110" t="s">
        <v>6895</v>
      </c>
      <c r="D42" s="110" t="s">
        <v>1090</v>
      </c>
      <c r="E42" s="98" t="s">
        <v>373</v>
      </c>
      <c r="F42" s="117" t="s">
        <v>1091</v>
      </c>
      <c r="G42" s="146" t="n">
        <v>170.09</v>
      </c>
      <c r="H42" s="98" t="s">
        <v>374</v>
      </c>
      <c r="I42" s="147" t="n">
        <v>34.018</v>
      </c>
      <c r="J42" s="148" t="n">
        <v>46214</v>
      </c>
      <c r="K42" s="98" t="s">
        <v>1024</v>
      </c>
      <c r="L42" s="98" t="s">
        <v>1092</v>
      </c>
      <c r="M42" s="98" t="s">
        <v>557</v>
      </c>
      <c r="N42" s="98" t="n">
        <v>34.018</v>
      </c>
      <c r="O42" s="3"/>
      <c r="P42" s="3"/>
      <c r="Q42" s="3"/>
      <c r="R42" s="3"/>
      <c r="S42" s="3"/>
      <c r="T42" s="3"/>
      <c r="U42" s="3"/>
      <c r="V42" s="3"/>
      <c r="W42" s="3"/>
      <c r="X42" s="3"/>
      <c r="Y42" s="3"/>
      <c r="Z42" s="3"/>
      <c r="AA42" s="3"/>
      <c r="AB42" s="3"/>
      <c r="AC42" s="3"/>
    </row>
    <row r="43" customFormat="false" ht="61.5" hidden="false" customHeight="true" outlineLevel="0" collapsed="false">
      <c r="A43" s="3"/>
      <c r="B43" s="139" t="s">
        <v>14</v>
      </c>
      <c r="C43" s="109" t="s">
        <v>6895</v>
      </c>
      <c r="D43" s="109" t="s">
        <v>1151</v>
      </c>
      <c r="E43" s="91" t="s">
        <v>373</v>
      </c>
      <c r="F43" s="113" t="s">
        <v>1154</v>
      </c>
      <c r="G43" s="144" t="n">
        <v>35.14</v>
      </c>
      <c r="H43" s="91" t="s">
        <v>374</v>
      </c>
      <c r="I43" s="145" t="n">
        <v>7.028</v>
      </c>
      <c r="J43" s="149" t="n">
        <v>46214</v>
      </c>
      <c r="K43" s="91" t="s">
        <v>1024</v>
      </c>
      <c r="L43" s="91" t="s">
        <v>1092</v>
      </c>
      <c r="M43" s="91" t="s">
        <v>557</v>
      </c>
      <c r="N43" s="91" t="n">
        <v>7.028</v>
      </c>
      <c r="O43" s="3"/>
      <c r="P43" s="3"/>
      <c r="Q43" s="3"/>
      <c r="R43" s="3"/>
      <c r="S43" s="3"/>
      <c r="T43" s="3"/>
      <c r="U43" s="3"/>
      <c r="V43" s="3"/>
      <c r="W43" s="3"/>
      <c r="X43" s="3"/>
      <c r="Y43" s="3"/>
      <c r="Z43" s="3"/>
      <c r="AA43" s="3"/>
      <c r="AB43" s="3"/>
      <c r="AC43" s="3"/>
    </row>
    <row r="44" customFormat="false" ht="61.5" hidden="false" customHeight="true" outlineLevel="0" collapsed="false">
      <c r="A44" s="3"/>
      <c r="B44" s="141" t="s">
        <v>14</v>
      </c>
      <c r="C44" s="110" t="s">
        <v>6909</v>
      </c>
      <c r="D44" s="110" t="s">
        <v>1208</v>
      </c>
      <c r="E44" s="98" t="s">
        <v>381</v>
      </c>
      <c r="F44" s="117" t="s">
        <v>1209</v>
      </c>
      <c r="G44" s="146" t="n">
        <v>60.6</v>
      </c>
      <c r="H44" s="98" t="s">
        <v>374</v>
      </c>
      <c r="I44" s="147" t="n">
        <v>12.12</v>
      </c>
      <c r="J44" s="148" t="n">
        <v>46268</v>
      </c>
      <c r="K44" s="98" t="s">
        <v>729</v>
      </c>
      <c r="L44" s="98" t="s">
        <v>1210</v>
      </c>
      <c r="M44" s="98" t="s">
        <v>557</v>
      </c>
      <c r="N44" s="98" t="n">
        <v>12.12</v>
      </c>
      <c r="O44" s="3"/>
      <c r="P44" s="3"/>
      <c r="Q44" s="3"/>
      <c r="R44" s="3"/>
      <c r="S44" s="3"/>
      <c r="T44" s="3"/>
      <c r="U44" s="3"/>
      <c r="V44" s="3"/>
      <c r="W44" s="3"/>
      <c r="X44" s="3"/>
      <c r="Y44" s="3"/>
      <c r="Z44" s="3"/>
      <c r="AA44" s="3"/>
      <c r="AB44" s="3"/>
      <c r="AC44" s="3"/>
    </row>
    <row r="45" customFormat="false" ht="61.5" hidden="false" customHeight="true" outlineLevel="0" collapsed="false">
      <c r="A45" s="3"/>
      <c r="B45" s="139" t="s">
        <v>14</v>
      </c>
      <c r="C45" s="109" t="s">
        <v>6910</v>
      </c>
      <c r="D45" s="109" t="s">
        <v>1280</v>
      </c>
      <c r="E45" s="91" t="s">
        <v>378</v>
      </c>
      <c r="F45" s="113" t="s">
        <v>1281</v>
      </c>
      <c r="G45" s="144" t="n">
        <v>50.47</v>
      </c>
      <c r="H45" s="91" t="s">
        <v>374</v>
      </c>
      <c r="I45" s="145" t="n">
        <v>10.094</v>
      </c>
      <c r="J45" s="149" t="n">
        <v>46268</v>
      </c>
      <c r="K45" s="91"/>
      <c r="L45" s="91" t="s">
        <v>1095</v>
      </c>
      <c r="M45" s="91" t="s">
        <v>557</v>
      </c>
      <c r="N45" s="91" t="n">
        <v>10.094</v>
      </c>
      <c r="O45" s="3"/>
      <c r="P45" s="3"/>
      <c r="Q45" s="3"/>
      <c r="R45" s="3"/>
      <c r="S45" s="3"/>
      <c r="T45" s="3"/>
      <c r="U45" s="3"/>
      <c r="V45" s="3"/>
      <c r="W45" s="3"/>
      <c r="X45" s="3"/>
      <c r="Y45" s="3"/>
      <c r="Z45" s="3"/>
      <c r="AA45" s="3"/>
      <c r="AB45" s="3"/>
      <c r="AC45" s="3"/>
    </row>
    <row r="46" customFormat="false" ht="61.5" hidden="false" customHeight="true" outlineLevel="0" collapsed="false">
      <c r="A46" s="3"/>
      <c r="B46" s="141" t="s">
        <v>14</v>
      </c>
      <c r="C46" s="110" t="s">
        <v>6910</v>
      </c>
      <c r="D46" s="110" t="s">
        <v>1276</v>
      </c>
      <c r="E46" s="98" t="s">
        <v>373</v>
      </c>
      <c r="F46" s="117" t="s">
        <v>1277</v>
      </c>
      <c r="G46" s="146" t="n">
        <v>45.12</v>
      </c>
      <c r="H46" s="98" t="s">
        <v>374</v>
      </c>
      <c r="I46" s="147" t="n">
        <v>9.024</v>
      </c>
      <c r="J46" s="148" t="n">
        <v>46268</v>
      </c>
      <c r="K46" s="98"/>
      <c r="L46" s="98" t="s">
        <v>1278</v>
      </c>
      <c r="M46" s="98" t="s">
        <v>557</v>
      </c>
      <c r="N46" s="98" t="n">
        <v>9.024</v>
      </c>
      <c r="O46" s="3"/>
      <c r="P46" s="3"/>
      <c r="Q46" s="3"/>
      <c r="R46" s="3"/>
      <c r="S46" s="3"/>
      <c r="T46" s="3"/>
      <c r="U46" s="3"/>
      <c r="V46" s="3"/>
      <c r="W46" s="3"/>
      <c r="X46" s="3"/>
      <c r="Y46" s="3"/>
      <c r="Z46" s="3"/>
      <c r="AA46" s="3"/>
      <c r="AB46" s="3"/>
      <c r="AC46" s="3"/>
    </row>
    <row r="47" customFormat="false" ht="61.5" hidden="false" customHeight="true" outlineLevel="0" collapsed="false">
      <c r="A47" s="3"/>
      <c r="B47" s="139" t="s">
        <v>14</v>
      </c>
      <c r="C47" s="109" t="s">
        <v>6910</v>
      </c>
      <c r="D47" s="109" t="s">
        <v>1280</v>
      </c>
      <c r="E47" s="91" t="s">
        <v>403</v>
      </c>
      <c r="F47" s="113" t="s">
        <v>1289</v>
      </c>
      <c r="G47" s="144" t="n">
        <v>31.68</v>
      </c>
      <c r="H47" s="91" t="s">
        <v>374</v>
      </c>
      <c r="I47" s="145" t="n">
        <v>6.336</v>
      </c>
      <c r="J47" s="149" t="n">
        <v>46268</v>
      </c>
      <c r="K47" s="91" t="s">
        <v>1024</v>
      </c>
      <c r="L47" s="91" t="s">
        <v>668</v>
      </c>
      <c r="M47" s="91" t="s">
        <v>557</v>
      </c>
      <c r="N47" s="91" t="n">
        <v>6.336</v>
      </c>
      <c r="O47" s="3"/>
      <c r="P47" s="3"/>
      <c r="Q47" s="3"/>
      <c r="R47" s="3"/>
      <c r="S47" s="3"/>
      <c r="T47" s="3"/>
      <c r="U47" s="3"/>
      <c r="V47" s="3"/>
      <c r="W47" s="3"/>
      <c r="X47" s="3"/>
      <c r="Y47" s="3"/>
      <c r="Z47" s="3"/>
      <c r="AA47" s="3"/>
      <c r="AB47" s="3"/>
      <c r="AC47" s="3"/>
    </row>
    <row r="48" customFormat="false" ht="61.5" hidden="false" customHeight="true" outlineLevel="0" collapsed="false">
      <c r="A48" s="3"/>
      <c r="B48" s="141" t="s">
        <v>14</v>
      </c>
      <c r="C48" s="110" t="s">
        <v>6910</v>
      </c>
      <c r="D48" s="110" t="s">
        <v>1280</v>
      </c>
      <c r="E48" s="98" t="s">
        <v>403</v>
      </c>
      <c r="F48" s="117" t="s">
        <v>1291</v>
      </c>
      <c r="G48" s="146" t="n">
        <v>38.42</v>
      </c>
      <c r="H48" s="98" t="s">
        <v>374</v>
      </c>
      <c r="I48" s="147" t="n">
        <v>7.684</v>
      </c>
      <c r="J48" s="148" t="n">
        <v>46268</v>
      </c>
      <c r="K48" s="98" t="s">
        <v>1290</v>
      </c>
      <c r="L48" s="98" t="s">
        <v>1292</v>
      </c>
      <c r="M48" s="98" t="s">
        <v>557</v>
      </c>
      <c r="N48" s="98" t="n">
        <v>7.684</v>
      </c>
      <c r="O48" s="3"/>
      <c r="P48" s="3"/>
      <c r="Q48" s="3"/>
      <c r="R48" s="3"/>
      <c r="S48" s="3"/>
      <c r="T48" s="3"/>
      <c r="U48" s="3"/>
      <c r="V48" s="3"/>
      <c r="W48" s="3"/>
      <c r="X48" s="3"/>
      <c r="Y48" s="3"/>
      <c r="Z48" s="3"/>
      <c r="AA48" s="3"/>
      <c r="AB48" s="3"/>
      <c r="AC48" s="3"/>
    </row>
    <row r="49" customFormat="false" ht="61.5" hidden="false" customHeight="true" outlineLevel="0" collapsed="false">
      <c r="A49" s="3"/>
      <c r="B49" s="139" t="s">
        <v>14</v>
      </c>
      <c r="C49" s="109" t="s">
        <v>6910</v>
      </c>
      <c r="D49" s="109" t="s">
        <v>1280</v>
      </c>
      <c r="E49" s="91" t="s">
        <v>346</v>
      </c>
      <c r="F49" s="113" t="s">
        <v>1282</v>
      </c>
      <c r="G49" s="144" t="n">
        <v>62.24</v>
      </c>
      <c r="H49" s="91" t="s">
        <v>374</v>
      </c>
      <c r="I49" s="145" t="n">
        <v>12.448</v>
      </c>
      <c r="J49" s="149" t="n">
        <v>46268</v>
      </c>
      <c r="K49" s="91" t="s">
        <v>729</v>
      </c>
      <c r="L49" s="91" t="s">
        <v>565</v>
      </c>
      <c r="M49" s="91" t="s">
        <v>557</v>
      </c>
      <c r="N49" s="91" t="n">
        <v>12.448</v>
      </c>
      <c r="O49" s="3"/>
      <c r="P49" s="3"/>
      <c r="Q49" s="3"/>
      <c r="R49" s="3"/>
      <c r="S49" s="3"/>
      <c r="T49" s="3"/>
      <c r="U49" s="3"/>
      <c r="V49" s="3"/>
      <c r="W49" s="3"/>
      <c r="X49" s="3"/>
      <c r="Y49" s="3"/>
      <c r="Z49" s="3"/>
      <c r="AA49" s="3"/>
      <c r="AB49" s="3"/>
      <c r="AC49" s="3"/>
    </row>
    <row r="50" customFormat="false" ht="61.5" hidden="false" customHeight="true" outlineLevel="0" collapsed="false">
      <c r="A50" s="3"/>
      <c r="B50" s="141" t="s">
        <v>14</v>
      </c>
      <c r="C50" s="110" t="s">
        <v>6910</v>
      </c>
      <c r="D50" s="110" t="s">
        <v>1280</v>
      </c>
      <c r="E50" s="98" t="s">
        <v>391</v>
      </c>
      <c r="F50" s="117" t="s">
        <v>1283</v>
      </c>
      <c r="G50" s="146" t="n">
        <v>39.21</v>
      </c>
      <c r="H50" s="98" t="s">
        <v>374</v>
      </c>
      <c r="I50" s="147" t="n">
        <v>7.842</v>
      </c>
      <c r="J50" s="148" t="n">
        <v>46268</v>
      </c>
      <c r="K50" s="98" t="s">
        <v>1024</v>
      </c>
      <c r="L50" s="98"/>
      <c r="M50" s="98" t="s">
        <v>557</v>
      </c>
      <c r="N50" s="98" t="n">
        <v>7.842</v>
      </c>
      <c r="O50" s="3"/>
      <c r="P50" s="3"/>
      <c r="Q50" s="3"/>
      <c r="R50" s="3"/>
      <c r="S50" s="3"/>
      <c r="T50" s="3"/>
      <c r="U50" s="3"/>
      <c r="V50" s="3"/>
      <c r="W50" s="3"/>
      <c r="X50" s="3"/>
      <c r="Y50" s="3"/>
      <c r="Z50" s="3"/>
      <c r="AA50" s="3"/>
      <c r="AB50" s="3"/>
      <c r="AC50" s="3"/>
    </row>
    <row r="51" customFormat="false" ht="61.5" hidden="false" customHeight="true" outlineLevel="0" collapsed="false">
      <c r="A51" s="3"/>
      <c r="B51" s="139" t="s">
        <v>14</v>
      </c>
      <c r="C51" s="109" t="s">
        <v>6910</v>
      </c>
      <c r="D51" s="109" t="s">
        <v>1280</v>
      </c>
      <c r="E51" s="91" t="s">
        <v>381</v>
      </c>
      <c r="F51" s="113" t="s">
        <v>1287</v>
      </c>
      <c r="G51" s="144" t="n">
        <v>49.99</v>
      </c>
      <c r="H51" s="91" t="s">
        <v>374</v>
      </c>
      <c r="I51" s="145" t="n">
        <v>9.998</v>
      </c>
      <c r="J51" s="149" t="n">
        <v>46268</v>
      </c>
      <c r="K51" s="91"/>
      <c r="L51" s="91" t="s">
        <v>733</v>
      </c>
      <c r="M51" s="91" t="s">
        <v>557</v>
      </c>
      <c r="N51" s="91" t="n">
        <v>9.998</v>
      </c>
      <c r="O51" s="3"/>
      <c r="P51" s="3"/>
      <c r="Q51" s="3"/>
      <c r="R51" s="3"/>
      <c r="S51" s="3"/>
      <c r="T51" s="3"/>
      <c r="U51" s="3"/>
      <c r="V51" s="3"/>
      <c r="W51" s="3"/>
      <c r="X51" s="3"/>
      <c r="Y51" s="3"/>
      <c r="Z51" s="3"/>
      <c r="AA51" s="3"/>
      <c r="AB51" s="3"/>
      <c r="AC51" s="3"/>
    </row>
    <row r="52" customFormat="false" ht="61.5" hidden="false" customHeight="true" outlineLevel="0" collapsed="false">
      <c r="A52" s="3"/>
      <c r="B52" s="141" t="s">
        <v>14</v>
      </c>
      <c r="C52" s="110" t="s">
        <v>6910</v>
      </c>
      <c r="D52" s="110" t="s">
        <v>1280</v>
      </c>
      <c r="E52" s="98" t="s">
        <v>407</v>
      </c>
      <c r="F52" s="117" t="s">
        <v>1284</v>
      </c>
      <c r="G52" s="146" t="n">
        <v>30.52</v>
      </c>
      <c r="H52" s="98" t="s">
        <v>374</v>
      </c>
      <c r="I52" s="147" t="n">
        <v>6.104</v>
      </c>
      <c r="J52" s="148" t="n">
        <v>46268</v>
      </c>
      <c r="K52" s="98" t="s">
        <v>729</v>
      </c>
      <c r="L52" s="98"/>
      <c r="M52" s="98" t="s">
        <v>557</v>
      </c>
      <c r="N52" s="98" t="n">
        <v>6.104</v>
      </c>
      <c r="O52" s="3"/>
      <c r="P52" s="3"/>
      <c r="Q52" s="3"/>
      <c r="R52" s="3"/>
      <c r="S52" s="3"/>
      <c r="T52" s="3"/>
      <c r="U52" s="3"/>
      <c r="V52" s="3"/>
      <c r="W52" s="3"/>
      <c r="X52" s="3"/>
      <c r="Y52" s="3"/>
      <c r="Z52" s="3"/>
      <c r="AA52" s="3"/>
      <c r="AB52" s="3"/>
      <c r="AC52" s="3"/>
    </row>
    <row r="53" customFormat="false" ht="61.5" hidden="false" customHeight="true" outlineLevel="0" collapsed="false">
      <c r="A53" s="3"/>
      <c r="B53" s="139" t="s">
        <v>14</v>
      </c>
      <c r="C53" s="109" t="s">
        <v>6911</v>
      </c>
      <c r="D53" s="109" t="s">
        <v>784</v>
      </c>
      <c r="E53" s="91" t="s">
        <v>388</v>
      </c>
      <c r="F53" s="113" t="s">
        <v>789</v>
      </c>
      <c r="G53" s="144" t="n">
        <v>23.8</v>
      </c>
      <c r="H53" s="91" t="s">
        <v>374</v>
      </c>
      <c r="I53" s="145" t="n">
        <v>4.76</v>
      </c>
      <c r="J53" s="149" t="n">
        <v>46268</v>
      </c>
      <c r="K53" s="91" t="s">
        <v>729</v>
      </c>
      <c r="L53" s="91" t="s">
        <v>388</v>
      </c>
      <c r="M53" s="91" t="s">
        <v>557</v>
      </c>
      <c r="N53" s="91" t="n">
        <v>4.76</v>
      </c>
      <c r="O53" s="3"/>
      <c r="P53" s="3"/>
      <c r="Q53" s="3"/>
      <c r="R53" s="3"/>
      <c r="S53" s="3"/>
      <c r="T53" s="3"/>
      <c r="U53" s="3"/>
      <c r="V53" s="3"/>
      <c r="W53" s="3"/>
      <c r="X53" s="3"/>
      <c r="Y53" s="3"/>
      <c r="Z53" s="3"/>
      <c r="AA53" s="3"/>
      <c r="AB53" s="3"/>
      <c r="AC53" s="3"/>
    </row>
    <row r="54" customFormat="false" ht="61.5" hidden="false" customHeight="true" outlineLevel="0" collapsed="false">
      <c r="A54" s="3"/>
      <c r="B54" s="141" t="s">
        <v>14</v>
      </c>
      <c r="C54" s="110" t="s">
        <v>6911</v>
      </c>
      <c r="D54" s="110" t="s">
        <v>784</v>
      </c>
      <c r="E54" s="98" t="s">
        <v>403</v>
      </c>
      <c r="F54" s="117" t="s">
        <v>790</v>
      </c>
      <c r="G54" s="146" t="n">
        <v>23.05</v>
      </c>
      <c r="H54" s="98" t="s">
        <v>374</v>
      </c>
      <c r="I54" s="147" t="n">
        <v>4.61</v>
      </c>
      <c r="J54" s="148" t="n">
        <v>46272</v>
      </c>
      <c r="K54" s="98" t="s">
        <v>729</v>
      </c>
      <c r="L54" s="98" t="s">
        <v>388</v>
      </c>
      <c r="M54" s="98" t="s">
        <v>557</v>
      </c>
      <c r="N54" s="98" t="n">
        <v>4.61</v>
      </c>
      <c r="O54" s="3"/>
      <c r="P54" s="3"/>
      <c r="Q54" s="3"/>
      <c r="R54" s="3"/>
      <c r="S54" s="3"/>
      <c r="T54" s="3"/>
      <c r="U54" s="3"/>
      <c r="V54" s="3"/>
      <c r="W54" s="3"/>
      <c r="X54" s="3"/>
      <c r="Y54" s="3"/>
      <c r="Z54" s="3"/>
      <c r="AA54" s="3"/>
      <c r="AB54" s="3"/>
      <c r="AC54" s="3"/>
    </row>
    <row r="55" customFormat="false" ht="61.5" hidden="false" customHeight="true" outlineLevel="0" collapsed="false">
      <c r="A55" s="3"/>
      <c r="B55" s="139" t="s">
        <v>14</v>
      </c>
      <c r="C55" s="109" t="s">
        <v>6911</v>
      </c>
      <c r="D55" s="109" t="s">
        <v>784</v>
      </c>
      <c r="E55" s="91" t="s">
        <v>373</v>
      </c>
      <c r="F55" s="113" t="s">
        <v>786</v>
      </c>
      <c r="G55" s="144" t="n">
        <v>27.61</v>
      </c>
      <c r="H55" s="91" t="s">
        <v>374</v>
      </c>
      <c r="I55" s="145" t="n">
        <v>5.522</v>
      </c>
      <c r="J55" s="149" t="n">
        <v>46272</v>
      </c>
      <c r="K55" s="91" t="s">
        <v>729</v>
      </c>
      <c r="L55" s="91" t="s">
        <v>733</v>
      </c>
      <c r="M55" s="91" t="s">
        <v>557</v>
      </c>
      <c r="N55" s="91" t="n">
        <v>5.522</v>
      </c>
      <c r="O55" s="3"/>
      <c r="P55" s="3"/>
      <c r="Q55" s="3"/>
      <c r="R55" s="3"/>
      <c r="S55" s="3"/>
      <c r="T55" s="3"/>
      <c r="U55" s="3"/>
      <c r="V55" s="3"/>
      <c r="W55" s="3"/>
      <c r="X55" s="3"/>
      <c r="Y55" s="3"/>
      <c r="Z55" s="3"/>
      <c r="AA55" s="3"/>
      <c r="AB55" s="3"/>
      <c r="AC55" s="3"/>
    </row>
    <row r="56" customFormat="false" ht="61.5" hidden="false" customHeight="true" outlineLevel="0" collapsed="false">
      <c r="A56" s="3"/>
      <c r="B56" s="141" t="s">
        <v>14</v>
      </c>
      <c r="C56" s="110" t="s">
        <v>6894</v>
      </c>
      <c r="D56" s="110" t="s">
        <v>529</v>
      </c>
      <c r="E56" s="98" t="s">
        <v>395</v>
      </c>
      <c r="F56" s="117" t="s">
        <v>571</v>
      </c>
      <c r="G56" s="146" t="n">
        <v>42.05</v>
      </c>
      <c r="H56" s="98" t="s">
        <v>374</v>
      </c>
      <c r="I56" s="147" t="n">
        <v>8.41</v>
      </c>
      <c r="J56" s="148" t="n">
        <v>46277</v>
      </c>
      <c r="K56" s="98" t="s">
        <v>554</v>
      </c>
      <c r="L56" s="98" t="s">
        <v>572</v>
      </c>
      <c r="M56" s="98" t="s">
        <v>557</v>
      </c>
      <c r="N56" s="98" t="n">
        <v>8.41</v>
      </c>
      <c r="O56" s="3"/>
      <c r="P56" s="3"/>
      <c r="Q56" s="3"/>
      <c r="R56" s="3"/>
      <c r="S56" s="3"/>
      <c r="T56" s="3"/>
      <c r="U56" s="3"/>
      <c r="V56" s="3"/>
      <c r="W56" s="3"/>
      <c r="X56" s="3"/>
      <c r="Y56" s="3"/>
      <c r="Z56" s="3"/>
      <c r="AA56" s="3"/>
      <c r="AB56" s="3"/>
      <c r="AC56" s="3"/>
    </row>
    <row r="57" customFormat="false" ht="61.5" hidden="false" customHeight="true" outlineLevel="0" collapsed="false">
      <c r="A57" s="3"/>
      <c r="B57" s="139" t="s">
        <v>14</v>
      </c>
      <c r="C57" s="109" t="s">
        <v>6894</v>
      </c>
      <c r="D57" s="109" t="s">
        <v>655</v>
      </c>
      <c r="E57" s="91" t="s">
        <v>395</v>
      </c>
      <c r="F57" s="113" t="s">
        <v>666</v>
      </c>
      <c r="G57" s="144" t="n">
        <v>26.28</v>
      </c>
      <c r="H57" s="91" t="s">
        <v>374</v>
      </c>
      <c r="I57" s="145" t="n">
        <v>5.256</v>
      </c>
      <c r="J57" s="149" t="n">
        <v>46277</v>
      </c>
      <c r="K57" s="91" t="s">
        <v>554</v>
      </c>
      <c r="L57" s="91" t="s">
        <v>572</v>
      </c>
      <c r="M57" s="91" t="s">
        <v>557</v>
      </c>
      <c r="N57" s="91" t="n">
        <v>5.256</v>
      </c>
      <c r="O57" s="3"/>
      <c r="P57" s="3"/>
      <c r="Q57" s="3"/>
      <c r="R57" s="3"/>
      <c r="S57" s="3"/>
      <c r="T57" s="3"/>
      <c r="U57" s="3"/>
      <c r="V57" s="3"/>
      <c r="W57" s="3"/>
      <c r="X57" s="3"/>
      <c r="Y57" s="3"/>
      <c r="Z57" s="3"/>
      <c r="AA57" s="3"/>
      <c r="AB57" s="3"/>
      <c r="AC57" s="3"/>
    </row>
    <row r="58" customFormat="false" ht="61.5" hidden="false" customHeight="true" outlineLevel="0" collapsed="false">
      <c r="A58" s="3"/>
      <c r="B58" s="141" t="s">
        <v>14</v>
      </c>
      <c r="C58" s="110" t="s">
        <v>6894</v>
      </c>
      <c r="D58" s="110" t="s">
        <v>573</v>
      </c>
      <c r="E58" s="98" t="s">
        <v>395</v>
      </c>
      <c r="F58" s="117" t="s">
        <v>574</v>
      </c>
      <c r="G58" s="146" t="n">
        <v>42.05</v>
      </c>
      <c r="H58" s="98" t="s">
        <v>374</v>
      </c>
      <c r="I58" s="147" t="n">
        <v>8.41</v>
      </c>
      <c r="J58" s="148" t="n">
        <v>46277</v>
      </c>
      <c r="K58" s="98" t="s">
        <v>554</v>
      </c>
      <c r="L58" s="98" t="s">
        <v>572</v>
      </c>
      <c r="M58" s="98" t="s">
        <v>557</v>
      </c>
      <c r="N58" s="98" t="n">
        <v>8.41</v>
      </c>
      <c r="O58" s="3"/>
      <c r="P58" s="3"/>
      <c r="Q58" s="3"/>
      <c r="R58" s="3"/>
      <c r="S58" s="3"/>
      <c r="T58" s="3"/>
      <c r="U58" s="3"/>
      <c r="V58" s="3"/>
      <c r="W58" s="3"/>
      <c r="X58" s="3"/>
      <c r="Y58" s="3"/>
      <c r="Z58" s="3"/>
      <c r="AA58" s="3"/>
      <c r="AB58" s="3"/>
      <c r="AC58" s="3"/>
    </row>
    <row r="59" customFormat="false" ht="30.75" hidden="false" customHeight="true" outlineLevel="0" collapsed="false">
      <c r="A59" s="3"/>
      <c r="B59" s="9"/>
      <c r="C59" s="9"/>
      <c r="D59" s="9"/>
      <c r="E59" s="10"/>
      <c r="F59" s="9"/>
      <c r="G59" s="10"/>
      <c r="H59" s="10"/>
      <c r="I59" s="10"/>
      <c r="J59" s="10"/>
      <c r="K59" s="10"/>
      <c r="L59" s="10"/>
      <c r="M59" s="10"/>
      <c r="N59" s="10"/>
      <c r="O59" s="3"/>
      <c r="P59" s="3"/>
      <c r="Q59" s="3"/>
      <c r="R59" s="3"/>
      <c r="S59" s="3"/>
      <c r="T59" s="3"/>
      <c r="U59" s="3"/>
      <c r="V59" s="3"/>
      <c r="W59" s="3"/>
      <c r="X59" s="3"/>
      <c r="Y59" s="3"/>
      <c r="Z59" s="3"/>
      <c r="AA59" s="3"/>
      <c r="AB59" s="3"/>
      <c r="AC59" s="3"/>
    </row>
    <row r="60" customFormat="false" ht="30.75" hidden="false" customHeight="true" outlineLevel="0" collapsed="false">
      <c r="A60" s="3"/>
      <c r="B60" s="9"/>
      <c r="C60" s="9"/>
      <c r="D60" s="9"/>
      <c r="E60" s="10"/>
      <c r="F60" s="9"/>
      <c r="G60" s="10"/>
      <c r="H60" s="10"/>
      <c r="I60" s="10"/>
      <c r="J60" s="10"/>
      <c r="K60" s="10"/>
      <c r="L60" s="10"/>
      <c r="M60" s="10"/>
      <c r="N60" s="10"/>
      <c r="O60" s="3"/>
      <c r="P60" s="3"/>
      <c r="Q60" s="3"/>
      <c r="R60" s="3"/>
      <c r="S60" s="3"/>
      <c r="T60" s="3"/>
      <c r="U60" s="3"/>
      <c r="V60" s="3"/>
      <c r="W60" s="3"/>
      <c r="X60" s="3"/>
      <c r="Y60" s="3"/>
      <c r="Z60" s="3"/>
      <c r="AA60" s="3"/>
      <c r="AB60" s="3"/>
      <c r="AC60" s="3"/>
    </row>
    <row r="61" customFormat="false" ht="30.75" hidden="false" customHeight="true" outlineLevel="0" collapsed="false">
      <c r="A61" s="3"/>
      <c r="B61" s="9"/>
      <c r="C61" s="9"/>
      <c r="D61" s="9"/>
      <c r="E61" s="10"/>
      <c r="F61" s="9"/>
      <c r="G61" s="10"/>
      <c r="H61" s="10"/>
      <c r="I61" s="10"/>
      <c r="J61" s="10"/>
      <c r="K61" s="10"/>
      <c r="L61" s="10"/>
      <c r="M61" s="10"/>
      <c r="N61" s="10"/>
      <c r="O61" s="3"/>
      <c r="P61" s="3"/>
      <c r="Q61" s="3"/>
      <c r="R61" s="3"/>
      <c r="S61" s="3"/>
      <c r="T61" s="3"/>
      <c r="U61" s="3"/>
      <c r="V61" s="3"/>
      <c r="W61" s="3"/>
      <c r="X61" s="3"/>
      <c r="Y61" s="3"/>
      <c r="Z61" s="3"/>
      <c r="AA61" s="3"/>
      <c r="AB61" s="3"/>
      <c r="AC61" s="3"/>
    </row>
    <row r="62" customFormat="false" ht="21.75" hidden="false" customHeight="true" outlineLevel="0" collapsed="false">
      <c r="A62" s="3"/>
      <c r="B62" s="143" t="s">
        <v>30</v>
      </c>
      <c r="C62" s="9"/>
      <c r="D62" s="9"/>
      <c r="E62" s="10"/>
      <c r="F62" s="9"/>
      <c r="G62" s="10"/>
      <c r="H62" s="10"/>
      <c r="I62" s="10"/>
      <c r="J62" s="10"/>
      <c r="K62" s="10"/>
      <c r="L62" s="10"/>
      <c r="M62" s="10"/>
      <c r="N62" s="10"/>
      <c r="O62" s="3"/>
      <c r="P62" s="3"/>
      <c r="Q62" s="3"/>
      <c r="R62" s="3"/>
      <c r="S62" s="3"/>
      <c r="T62" s="3"/>
      <c r="U62" s="3"/>
      <c r="V62" s="3"/>
      <c r="W62" s="3"/>
      <c r="X62" s="3"/>
      <c r="Y62" s="3"/>
      <c r="Z62" s="3"/>
      <c r="AA62" s="3"/>
      <c r="AB62" s="3"/>
      <c r="AC62" s="3"/>
    </row>
    <row r="63" customFormat="false" ht="21.75" hidden="false" customHeight="true" outlineLevel="0" collapsed="false">
      <c r="A63" s="3"/>
      <c r="B63" s="9" t="s">
        <v>6899</v>
      </c>
      <c r="C63" s="9"/>
      <c r="D63" s="9"/>
      <c r="E63" s="10"/>
      <c r="F63" s="9"/>
      <c r="G63" s="10"/>
      <c r="H63" s="10"/>
      <c r="I63" s="10"/>
      <c r="J63" s="10"/>
      <c r="K63" s="10"/>
      <c r="L63" s="10"/>
      <c r="M63" s="10"/>
      <c r="N63" s="10"/>
      <c r="O63" s="3"/>
      <c r="P63" s="3"/>
      <c r="Q63" s="3"/>
      <c r="R63" s="3"/>
      <c r="S63" s="3"/>
      <c r="T63" s="3"/>
      <c r="U63" s="3"/>
      <c r="V63" s="3"/>
      <c r="W63" s="3"/>
      <c r="X63" s="3"/>
      <c r="Y63" s="3"/>
      <c r="Z63" s="3"/>
      <c r="AA63" s="3"/>
      <c r="AB63" s="3"/>
      <c r="AC63" s="3"/>
    </row>
    <row r="64" customFormat="false" ht="21.75" hidden="false" customHeight="true" outlineLevel="0" collapsed="false">
      <c r="A64" s="3"/>
      <c r="B64" s="9"/>
      <c r="C64" s="9"/>
      <c r="D64" s="9"/>
      <c r="E64" s="10"/>
      <c r="F64" s="9"/>
      <c r="G64" s="10"/>
      <c r="H64" s="10"/>
      <c r="I64" s="10"/>
      <c r="J64" s="10"/>
      <c r="K64" s="10"/>
      <c r="L64" s="10"/>
      <c r="M64" s="10"/>
      <c r="N64" s="10"/>
      <c r="O64" s="3"/>
      <c r="P64" s="3"/>
      <c r="Q64" s="3"/>
      <c r="R64" s="3"/>
      <c r="S64" s="3"/>
      <c r="T64" s="3"/>
      <c r="U64" s="3"/>
      <c r="V64" s="3"/>
      <c r="W64" s="3"/>
      <c r="X64" s="3"/>
      <c r="Y64" s="3"/>
      <c r="Z64" s="3"/>
      <c r="AA64" s="3"/>
      <c r="AB64" s="3"/>
      <c r="AC64" s="3"/>
    </row>
    <row r="65" customFormat="false" ht="21.75" hidden="false" customHeight="true" outlineLevel="0" collapsed="false">
      <c r="A65" s="3"/>
      <c r="B65" s="9" t="s">
        <v>6912</v>
      </c>
      <c r="C65" s="9"/>
      <c r="D65" s="9"/>
      <c r="E65" s="10"/>
      <c r="F65" s="9"/>
      <c r="G65" s="10"/>
      <c r="H65" s="10"/>
      <c r="I65" s="10"/>
      <c r="J65" s="10"/>
      <c r="K65" s="10"/>
      <c r="L65" s="10"/>
      <c r="M65" s="10"/>
      <c r="N65" s="10"/>
      <c r="O65" s="3"/>
      <c r="P65" s="3"/>
      <c r="Q65" s="3"/>
      <c r="R65" s="3"/>
      <c r="S65" s="3"/>
      <c r="T65" s="3"/>
      <c r="U65" s="3"/>
      <c r="V65" s="3"/>
      <c r="W65" s="3"/>
      <c r="X65" s="3"/>
      <c r="Y65" s="3"/>
      <c r="Z65" s="3"/>
      <c r="AA65" s="3"/>
      <c r="AB65" s="3"/>
      <c r="AC65" s="3"/>
    </row>
    <row r="66" customFormat="false" ht="21.75" hidden="false" customHeight="true" outlineLevel="0" collapsed="false">
      <c r="A66" s="3"/>
      <c r="B66" s="9"/>
      <c r="C66" s="9"/>
      <c r="D66" s="9"/>
      <c r="E66" s="10"/>
      <c r="F66" s="9"/>
      <c r="G66" s="10"/>
      <c r="H66" s="10"/>
      <c r="I66" s="10"/>
      <c r="J66" s="10"/>
      <c r="K66" s="10"/>
      <c r="L66" s="10"/>
      <c r="M66" s="10"/>
      <c r="N66" s="10"/>
      <c r="O66" s="3"/>
      <c r="P66" s="3"/>
      <c r="Q66" s="3"/>
      <c r="R66" s="3"/>
      <c r="S66" s="3"/>
      <c r="T66" s="3"/>
      <c r="U66" s="3"/>
      <c r="V66" s="3"/>
      <c r="W66" s="3"/>
      <c r="X66" s="3"/>
      <c r="Y66" s="3"/>
      <c r="Z66" s="3"/>
      <c r="AA66" s="3"/>
      <c r="AB66" s="3"/>
      <c r="AC66" s="3"/>
    </row>
    <row r="67" customFormat="false" ht="21.75" hidden="false" customHeight="true" outlineLevel="0" collapsed="false">
      <c r="A67" s="3"/>
      <c r="B67" s="9" t="s">
        <v>6913</v>
      </c>
      <c r="C67" s="9" t="s">
        <v>6914</v>
      </c>
      <c r="D67" s="9" t="n">
        <v>395</v>
      </c>
      <c r="E67" s="10"/>
      <c r="F67" s="9"/>
      <c r="G67" s="10"/>
      <c r="H67" s="10"/>
      <c r="I67" s="10"/>
      <c r="J67" s="10"/>
      <c r="K67" s="10"/>
      <c r="L67" s="10"/>
      <c r="M67" s="10"/>
      <c r="N67" s="10"/>
      <c r="O67" s="3"/>
      <c r="P67" s="3"/>
      <c r="Q67" s="3"/>
      <c r="R67" s="3"/>
      <c r="S67" s="3"/>
      <c r="T67" s="3"/>
      <c r="U67" s="3"/>
      <c r="V67" s="3"/>
      <c r="W67" s="3"/>
      <c r="X67" s="3"/>
      <c r="Y67" s="3"/>
      <c r="Z67" s="3"/>
      <c r="AA67" s="3"/>
      <c r="AB67" s="3"/>
      <c r="AC67" s="3"/>
    </row>
    <row r="68" customFormat="false" ht="21.75" hidden="false" customHeight="true" outlineLevel="0" collapsed="false">
      <c r="A68" s="3"/>
      <c r="B68" s="9"/>
      <c r="C68" s="9" t="s">
        <v>6915</v>
      </c>
      <c r="D68" s="9" t="n">
        <v>79</v>
      </c>
      <c r="E68" s="10"/>
      <c r="F68" s="9"/>
      <c r="G68" s="10"/>
      <c r="H68" s="10"/>
      <c r="I68" s="10"/>
      <c r="J68" s="10"/>
      <c r="K68" s="10"/>
      <c r="L68" s="10"/>
      <c r="M68" s="10"/>
      <c r="N68" s="10"/>
      <c r="O68" s="3"/>
      <c r="P68" s="3"/>
      <c r="Q68" s="3"/>
      <c r="R68" s="3"/>
      <c r="S68" s="3"/>
      <c r="T68" s="3"/>
      <c r="U68" s="3"/>
      <c r="V68" s="3"/>
      <c r="W68" s="3"/>
      <c r="X68" s="3"/>
      <c r="Y68" s="3"/>
      <c r="Z68" s="3"/>
      <c r="AA68" s="3"/>
      <c r="AB68" s="3"/>
      <c r="AC68" s="3"/>
    </row>
    <row r="69" customFormat="false" ht="21.75" hidden="false" customHeight="true" outlineLevel="0" collapsed="false">
      <c r="A69" s="3"/>
      <c r="B69" s="3"/>
      <c r="C69" s="3"/>
      <c r="D69" s="3"/>
      <c r="E69" s="4"/>
      <c r="F69" s="3"/>
      <c r="G69" s="4"/>
      <c r="H69" s="4"/>
      <c r="I69" s="4"/>
      <c r="J69" s="4"/>
      <c r="K69" s="4"/>
      <c r="L69" s="4"/>
      <c r="M69" s="4"/>
      <c r="N69" s="4"/>
      <c r="O69" s="3"/>
      <c r="P69" s="3"/>
      <c r="Q69" s="3"/>
      <c r="R69" s="3"/>
      <c r="S69" s="3"/>
      <c r="T69" s="3"/>
      <c r="U69" s="3"/>
      <c r="V69" s="3"/>
      <c r="W69" s="3"/>
      <c r="X69" s="3"/>
      <c r="Y69" s="3"/>
      <c r="Z69" s="3"/>
      <c r="AA69" s="3"/>
      <c r="AB69" s="3"/>
      <c r="AC69" s="3"/>
    </row>
    <row r="70" customFormat="false" ht="21.75" hidden="false" customHeight="true" outlineLevel="0" collapsed="false">
      <c r="A70" s="3"/>
      <c r="B70" s="3"/>
      <c r="C70" s="3"/>
      <c r="D70" s="3"/>
      <c r="E70" s="4"/>
      <c r="F70" s="3"/>
      <c r="G70" s="4"/>
      <c r="H70" s="4"/>
      <c r="I70" s="4"/>
      <c r="J70" s="4"/>
      <c r="K70" s="4"/>
      <c r="L70" s="4"/>
      <c r="M70" s="4"/>
      <c r="N70" s="4"/>
      <c r="O70" s="3"/>
      <c r="P70" s="3"/>
      <c r="Q70" s="3"/>
      <c r="R70" s="3"/>
      <c r="S70" s="3"/>
      <c r="T70" s="3"/>
      <c r="U70" s="3"/>
      <c r="V70" s="3"/>
      <c r="W70" s="3"/>
      <c r="X70" s="3"/>
      <c r="Y70" s="3"/>
      <c r="Z70" s="3"/>
      <c r="AA70" s="3"/>
      <c r="AB70" s="3"/>
      <c r="AC70" s="3"/>
    </row>
    <row r="71" customFormat="false" ht="21.75" hidden="false" customHeight="true" outlineLevel="0" collapsed="false">
      <c r="A71" s="3"/>
      <c r="B71" s="3"/>
      <c r="C71" s="3"/>
      <c r="D71" s="3"/>
      <c r="E71" s="4"/>
      <c r="F71" s="3"/>
      <c r="G71" s="4"/>
      <c r="H71" s="4"/>
      <c r="I71" s="4"/>
      <c r="J71" s="4"/>
      <c r="K71" s="4"/>
      <c r="L71" s="4"/>
      <c r="M71" s="4"/>
      <c r="N71" s="4"/>
      <c r="O71" s="3"/>
      <c r="P71" s="3"/>
      <c r="Q71" s="3"/>
      <c r="R71" s="3"/>
      <c r="S71" s="3"/>
      <c r="T71" s="3"/>
      <c r="U71" s="3"/>
      <c r="V71" s="3"/>
      <c r="W71" s="3"/>
      <c r="X71" s="3"/>
      <c r="Y71" s="3"/>
      <c r="Z71" s="3"/>
      <c r="AA71" s="3"/>
      <c r="AB71" s="3"/>
      <c r="AC71" s="3"/>
    </row>
    <row r="72" customFormat="false" ht="21.75" hidden="false" customHeight="true" outlineLevel="0" collapsed="false">
      <c r="A72" s="3"/>
      <c r="B72" s="3"/>
      <c r="C72" s="3"/>
      <c r="D72" s="3"/>
      <c r="E72" s="4"/>
      <c r="F72" s="3"/>
      <c r="G72" s="4"/>
      <c r="H72" s="4"/>
      <c r="I72" s="4"/>
      <c r="J72" s="4"/>
      <c r="K72" s="4"/>
      <c r="L72" s="4"/>
      <c r="M72" s="4"/>
      <c r="N72" s="4"/>
      <c r="O72" s="3"/>
      <c r="P72" s="3"/>
      <c r="Q72" s="3"/>
      <c r="R72" s="3"/>
      <c r="S72" s="3"/>
      <c r="T72" s="3"/>
      <c r="U72" s="3"/>
      <c r="V72" s="3"/>
      <c r="W72" s="3"/>
      <c r="X72" s="3"/>
      <c r="Y72" s="3"/>
      <c r="Z72" s="3"/>
      <c r="AA72" s="3"/>
      <c r="AB72" s="3"/>
      <c r="AC72" s="3"/>
    </row>
    <row r="73" customFormat="false" ht="21.75" hidden="false" customHeight="true" outlineLevel="0" collapsed="false">
      <c r="A73" s="3"/>
      <c r="B73" s="3"/>
      <c r="C73" s="3"/>
      <c r="D73" s="3"/>
      <c r="E73" s="4"/>
      <c r="F73" s="3"/>
      <c r="G73" s="4"/>
      <c r="H73" s="4"/>
      <c r="I73" s="4"/>
      <c r="J73" s="4"/>
      <c r="K73" s="4"/>
      <c r="L73" s="4"/>
      <c r="M73" s="4"/>
      <c r="N73" s="4"/>
      <c r="O73" s="3"/>
      <c r="P73" s="3"/>
      <c r="Q73" s="3"/>
      <c r="R73" s="3"/>
      <c r="S73" s="3"/>
      <c r="T73" s="3"/>
      <c r="U73" s="3"/>
      <c r="V73" s="3"/>
      <c r="W73" s="3"/>
      <c r="X73" s="3"/>
      <c r="Y73" s="3"/>
      <c r="Z73" s="3"/>
      <c r="AA73" s="3"/>
      <c r="AB73" s="3"/>
      <c r="AC73" s="3"/>
    </row>
    <row r="74" customFormat="false" ht="21.75" hidden="false" customHeight="true" outlineLevel="0" collapsed="false">
      <c r="A74" s="3"/>
      <c r="B74" s="3"/>
      <c r="C74" s="3"/>
      <c r="D74" s="3"/>
      <c r="E74" s="4"/>
      <c r="F74" s="3"/>
      <c r="G74" s="4"/>
      <c r="H74" s="4"/>
      <c r="I74" s="4"/>
      <c r="J74" s="4"/>
      <c r="K74" s="4"/>
      <c r="L74" s="4"/>
      <c r="M74" s="4"/>
      <c r="N74" s="4"/>
      <c r="O74" s="3"/>
      <c r="P74" s="3"/>
      <c r="Q74" s="3"/>
      <c r="R74" s="3"/>
      <c r="S74" s="3"/>
      <c r="T74" s="3"/>
      <c r="U74" s="3"/>
      <c r="V74" s="3"/>
      <c r="W74" s="3"/>
      <c r="X74" s="3"/>
      <c r="Y74" s="3"/>
      <c r="Z74" s="3"/>
      <c r="AA74" s="3"/>
      <c r="AB74" s="3"/>
      <c r="AC74" s="3"/>
    </row>
    <row r="75" customFormat="false" ht="21.75" hidden="false" customHeight="true" outlineLevel="0" collapsed="false">
      <c r="A75" s="3"/>
      <c r="B75" s="3"/>
      <c r="C75" s="3"/>
      <c r="D75" s="3"/>
      <c r="E75" s="4"/>
      <c r="F75" s="3"/>
      <c r="G75" s="4"/>
      <c r="H75" s="4"/>
      <c r="I75" s="4"/>
      <c r="J75" s="4"/>
      <c r="K75" s="4"/>
      <c r="L75" s="4"/>
      <c r="M75" s="4"/>
      <c r="N75" s="4"/>
      <c r="O75" s="3"/>
      <c r="P75" s="3"/>
      <c r="Q75" s="3"/>
      <c r="R75" s="3"/>
      <c r="S75" s="3"/>
      <c r="T75" s="3"/>
      <c r="U75" s="3"/>
      <c r="V75" s="3"/>
      <c r="W75" s="3"/>
      <c r="X75" s="3"/>
      <c r="Y75" s="3"/>
      <c r="Z75" s="3"/>
      <c r="AA75" s="3"/>
      <c r="AB75" s="3"/>
      <c r="AC75" s="3"/>
    </row>
    <row r="76" customFormat="false" ht="21.75" hidden="false" customHeight="true" outlineLevel="0" collapsed="false">
      <c r="A76" s="3"/>
      <c r="B76" s="3"/>
      <c r="C76" s="3"/>
      <c r="D76" s="3"/>
      <c r="E76" s="4"/>
      <c r="F76" s="3"/>
      <c r="G76" s="4"/>
      <c r="H76" s="4"/>
      <c r="I76" s="4"/>
      <c r="J76" s="4"/>
      <c r="K76" s="4"/>
      <c r="L76" s="4"/>
      <c r="M76" s="4"/>
      <c r="N76" s="4"/>
      <c r="O76" s="3"/>
      <c r="P76" s="3"/>
      <c r="Q76" s="3"/>
      <c r="R76" s="3"/>
      <c r="S76" s="3"/>
      <c r="T76" s="3"/>
      <c r="U76" s="3"/>
      <c r="V76" s="3"/>
      <c r="W76" s="3"/>
      <c r="X76" s="3"/>
      <c r="Y76" s="3"/>
      <c r="Z76" s="3"/>
      <c r="AA76" s="3"/>
      <c r="AB76" s="3"/>
      <c r="AC76" s="3"/>
    </row>
    <row r="77" customFormat="false" ht="21.75" hidden="false" customHeight="true" outlineLevel="0" collapsed="false">
      <c r="A77" s="3"/>
      <c r="B77" s="3"/>
      <c r="C77" s="3"/>
      <c r="D77" s="3"/>
      <c r="E77" s="4"/>
      <c r="F77" s="3"/>
      <c r="G77" s="4"/>
      <c r="H77" s="4"/>
      <c r="I77" s="4"/>
      <c r="J77" s="4"/>
      <c r="K77" s="4"/>
      <c r="L77" s="4"/>
      <c r="M77" s="4"/>
      <c r="N77" s="4"/>
      <c r="O77" s="3"/>
      <c r="P77" s="3"/>
      <c r="Q77" s="3"/>
      <c r="R77" s="3"/>
      <c r="S77" s="3"/>
      <c r="T77" s="3"/>
      <c r="U77" s="3"/>
      <c r="V77" s="3"/>
      <c r="W77" s="3"/>
      <c r="X77" s="3"/>
      <c r="Y77" s="3"/>
      <c r="Z77" s="3"/>
      <c r="AA77" s="3"/>
      <c r="AB77" s="3"/>
      <c r="AC77" s="3"/>
    </row>
    <row r="78" customFormat="false" ht="21.75" hidden="false" customHeight="true" outlineLevel="0" collapsed="false">
      <c r="A78" s="3"/>
      <c r="B78" s="3"/>
      <c r="C78" s="3"/>
      <c r="D78" s="3"/>
      <c r="E78" s="4"/>
      <c r="F78" s="3"/>
      <c r="G78" s="4"/>
      <c r="H78" s="4"/>
      <c r="I78" s="4"/>
      <c r="J78" s="4"/>
      <c r="K78" s="4"/>
      <c r="L78" s="4"/>
      <c r="M78" s="4"/>
      <c r="N78" s="4"/>
      <c r="O78" s="3"/>
      <c r="P78" s="3"/>
      <c r="Q78" s="3"/>
      <c r="R78" s="3"/>
      <c r="S78" s="3"/>
      <c r="T78" s="3"/>
      <c r="U78" s="3"/>
      <c r="V78" s="3"/>
      <c r="W78" s="3"/>
      <c r="X78" s="3"/>
      <c r="Y78" s="3"/>
      <c r="Z78" s="3"/>
      <c r="AA78" s="3"/>
      <c r="AB78" s="3"/>
      <c r="AC78" s="3"/>
    </row>
    <row r="79" customFormat="false" ht="21.75" hidden="false" customHeight="true" outlineLevel="0" collapsed="false">
      <c r="A79" s="3"/>
      <c r="B79" s="3"/>
      <c r="C79" s="3"/>
      <c r="D79" s="3"/>
      <c r="E79" s="4"/>
      <c r="F79" s="3"/>
      <c r="G79" s="4"/>
      <c r="H79" s="4"/>
      <c r="I79" s="4"/>
      <c r="J79" s="4"/>
      <c r="K79" s="4"/>
      <c r="L79" s="4"/>
      <c r="M79" s="4"/>
      <c r="N79" s="4"/>
      <c r="O79" s="3"/>
      <c r="P79" s="3"/>
      <c r="Q79" s="3"/>
      <c r="R79" s="3"/>
      <c r="S79" s="3"/>
      <c r="T79" s="3"/>
      <c r="U79" s="3"/>
      <c r="V79" s="3"/>
      <c r="W79" s="3"/>
      <c r="X79" s="3"/>
      <c r="Y79" s="3"/>
      <c r="Z79" s="3"/>
      <c r="AA79" s="3"/>
      <c r="AB79" s="3"/>
      <c r="AC79" s="3"/>
    </row>
    <row r="80" customFormat="false" ht="21.75" hidden="false" customHeight="true" outlineLevel="0" collapsed="false">
      <c r="A80" s="3"/>
      <c r="B80" s="3"/>
      <c r="C80" s="3"/>
      <c r="D80" s="3"/>
      <c r="E80" s="4"/>
      <c r="F80" s="3"/>
      <c r="G80" s="4"/>
      <c r="H80" s="4"/>
      <c r="I80" s="4"/>
      <c r="J80" s="4"/>
      <c r="K80" s="4"/>
      <c r="L80" s="4"/>
      <c r="M80" s="4"/>
      <c r="N80" s="4"/>
      <c r="O80" s="3"/>
      <c r="P80" s="3"/>
      <c r="Q80" s="3"/>
      <c r="R80" s="3"/>
      <c r="S80" s="3"/>
      <c r="T80" s="3"/>
      <c r="U80" s="3"/>
      <c r="V80" s="3"/>
      <c r="W80" s="3"/>
      <c r="X80" s="3"/>
      <c r="Y80" s="3"/>
      <c r="Z80" s="3"/>
      <c r="AA80" s="3"/>
      <c r="AB80" s="3"/>
      <c r="AC80" s="3"/>
    </row>
    <row r="81" customFormat="false" ht="21.75" hidden="false" customHeight="true" outlineLevel="0" collapsed="false">
      <c r="A81" s="3"/>
      <c r="B81" s="3"/>
      <c r="C81" s="3"/>
      <c r="D81" s="3"/>
      <c r="E81" s="4"/>
      <c r="F81" s="3"/>
      <c r="G81" s="4"/>
      <c r="H81" s="4"/>
      <c r="I81" s="4"/>
      <c r="J81" s="4"/>
      <c r="K81" s="4"/>
      <c r="L81" s="4"/>
      <c r="M81" s="4"/>
      <c r="N81" s="4"/>
      <c r="O81" s="3"/>
      <c r="P81" s="3"/>
      <c r="Q81" s="3"/>
      <c r="R81" s="3"/>
      <c r="S81" s="3"/>
      <c r="T81" s="3"/>
      <c r="U81" s="3"/>
      <c r="V81" s="3"/>
      <c r="W81" s="3"/>
      <c r="X81" s="3"/>
      <c r="Y81" s="3"/>
      <c r="Z81" s="3"/>
      <c r="AA81" s="3"/>
      <c r="AB81" s="3"/>
      <c r="AC81" s="3"/>
    </row>
    <row r="82" customFormat="false" ht="21.75" hidden="false" customHeight="true" outlineLevel="0" collapsed="false">
      <c r="A82" s="3"/>
      <c r="B82" s="3"/>
      <c r="C82" s="3"/>
      <c r="D82" s="3"/>
      <c r="E82" s="4"/>
      <c r="F82" s="3"/>
      <c r="G82" s="4"/>
      <c r="H82" s="4"/>
      <c r="I82" s="4"/>
      <c r="J82" s="4"/>
      <c r="K82" s="4"/>
      <c r="L82" s="4"/>
      <c r="M82" s="4"/>
      <c r="N82" s="4"/>
      <c r="O82" s="3"/>
      <c r="P82" s="3"/>
      <c r="Q82" s="3"/>
      <c r="R82" s="3"/>
      <c r="S82" s="3"/>
      <c r="T82" s="3"/>
      <c r="U82" s="3"/>
      <c r="V82" s="3"/>
      <c r="W82" s="3"/>
      <c r="X82" s="3"/>
      <c r="Y82" s="3"/>
      <c r="Z82" s="3"/>
      <c r="AA82" s="3"/>
      <c r="AB82" s="3"/>
      <c r="AC82" s="3"/>
    </row>
    <row r="83" customFormat="false" ht="21.75" hidden="false" customHeight="true" outlineLevel="0" collapsed="false">
      <c r="A83" s="3"/>
      <c r="B83" s="3"/>
      <c r="C83" s="3"/>
      <c r="D83" s="3"/>
      <c r="E83" s="4"/>
      <c r="F83" s="3"/>
      <c r="G83" s="4"/>
      <c r="H83" s="4"/>
      <c r="I83" s="4"/>
      <c r="J83" s="4"/>
      <c r="K83" s="4"/>
      <c r="L83" s="4"/>
      <c r="M83" s="4"/>
      <c r="N83" s="4"/>
      <c r="O83" s="3"/>
      <c r="P83" s="3"/>
      <c r="Q83" s="3"/>
      <c r="R83" s="3"/>
      <c r="S83" s="3"/>
      <c r="T83" s="3"/>
      <c r="U83" s="3"/>
      <c r="V83" s="3"/>
      <c r="W83" s="3"/>
      <c r="X83" s="3"/>
      <c r="Y83" s="3"/>
      <c r="Z83" s="3"/>
      <c r="AA83" s="3"/>
      <c r="AB83" s="3"/>
      <c r="AC83" s="3"/>
    </row>
    <row r="84" customFormat="false" ht="21.75" hidden="false" customHeight="true" outlineLevel="0" collapsed="false">
      <c r="A84" s="3"/>
      <c r="B84" s="3"/>
      <c r="C84" s="3"/>
      <c r="D84" s="3"/>
      <c r="E84" s="4"/>
      <c r="F84" s="3"/>
      <c r="G84" s="4"/>
      <c r="H84" s="4"/>
      <c r="I84" s="4"/>
      <c r="J84" s="4"/>
      <c r="K84" s="4"/>
      <c r="L84" s="4"/>
      <c r="M84" s="4"/>
      <c r="N84" s="4"/>
      <c r="O84" s="3"/>
      <c r="P84" s="3"/>
      <c r="Q84" s="3"/>
      <c r="R84" s="3"/>
      <c r="S84" s="3"/>
      <c r="T84" s="3"/>
      <c r="U84" s="3"/>
      <c r="V84" s="3"/>
      <c r="W84" s="3"/>
      <c r="X84" s="3"/>
      <c r="Y84" s="3"/>
      <c r="Z84" s="3"/>
      <c r="AA84" s="3"/>
      <c r="AB84" s="3"/>
      <c r="AC84" s="3"/>
    </row>
    <row r="85" customFormat="false" ht="21.75" hidden="false" customHeight="true" outlineLevel="0" collapsed="false">
      <c r="A85" s="3"/>
      <c r="B85" s="3"/>
      <c r="C85" s="3"/>
      <c r="D85" s="3"/>
      <c r="E85" s="4"/>
      <c r="F85" s="3"/>
      <c r="G85" s="4"/>
      <c r="H85" s="4"/>
      <c r="I85" s="4"/>
      <c r="J85" s="4"/>
      <c r="K85" s="4"/>
      <c r="L85" s="4"/>
      <c r="M85" s="4"/>
      <c r="N85" s="4"/>
      <c r="O85" s="3"/>
      <c r="P85" s="3"/>
      <c r="Q85" s="3"/>
      <c r="R85" s="3"/>
      <c r="S85" s="3"/>
      <c r="T85" s="3"/>
      <c r="U85" s="3"/>
      <c r="V85" s="3"/>
      <c r="W85" s="3"/>
      <c r="X85" s="3"/>
      <c r="Y85" s="3"/>
      <c r="Z85" s="3"/>
      <c r="AA85" s="3"/>
      <c r="AB85" s="3"/>
      <c r="AC85" s="3"/>
    </row>
    <row r="86" customFormat="false" ht="21.75" hidden="false" customHeight="true" outlineLevel="0" collapsed="false">
      <c r="A86" s="3"/>
      <c r="B86" s="3"/>
      <c r="C86" s="3"/>
      <c r="D86" s="3"/>
      <c r="E86" s="4"/>
      <c r="F86" s="3"/>
      <c r="G86" s="4"/>
      <c r="H86" s="4"/>
      <c r="I86" s="4"/>
      <c r="J86" s="4"/>
      <c r="K86" s="4"/>
      <c r="L86" s="4"/>
      <c r="M86" s="4"/>
      <c r="N86" s="4"/>
      <c r="O86" s="3"/>
      <c r="P86" s="3"/>
      <c r="Q86" s="3"/>
      <c r="R86" s="3"/>
      <c r="S86" s="3"/>
      <c r="T86" s="3"/>
      <c r="U86" s="3"/>
      <c r="V86" s="3"/>
      <c r="W86" s="3"/>
      <c r="X86" s="3"/>
      <c r="Y86" s="3"/>
      <c r="Z86" s="3"/>
      <c r="AA86" s="3"/>
      <c r="AB86" s="3"/>
      <c r="AC86" s="3"/>
    </row>
    <row r="87" customFormat="false" ht="21.75" hidden="false" customHeight="true" outlineLevel="0" collapsed="false">
      <c r="A87" s="3"/>
      <c r="B87" s="3"/>
      <c r="C87" s="3"/>
      <c r="D87" s="3"/>
      <c r="E87" s="4"/>
      <c r="F87" s="3"/>
      <c r="G87" s="4"/>
      <c r="H87" s="4"/>
      <c r="I87" s="4"/>
      <c r="J87" s="4"/>
      <c r="K87" s="4"/>
      <c r="L87" s="4"/>
      <c r="M87" s="4"/>
      <c r="N87" s="4"/>
      <c r="O87" s="3"/>
      <c r="P87" s="3"/>
      <c r="Q87" s="3"/>
      <c r="R87" s="3"/>
      <c r="S87" s="3"/>
      <c r="T87" s="3"/>
      <c r="U87" s="3"/>
      <c r="V87" s="3"/>
      <c r="W87" s="3"/>
      <c r="X87" s="3"/>
      <c r="Y87" s="3"/>
      <c r="Z87" s="3"/>
      <c r="AA87" s="3"/>
      <c r="AB87" s="3"/>
      <c r="AC87" s="3"/>
    </row>
    <row r="88" customFormat="false" ht="21.75" hidden="false" customHeight="true" outlineLevel="0" collapsed="false">
      <c r="A88" s="3"/>
      <c r="B88" s="3"/>
      <c r="C88" s="3"/>
      <c r="D88" s="3"/>
      <c r="E88" s="4"/>
      <c r="F88" s="3"/>
      <c r="G88" s="4"/>
      <c r="H88" s="4"/>
      <c r="I88" s="4"/>
      <c r="J88" s="4"/>
      <c r="K88" s="4"/>
      <c r="L88" s="4"/>
      <c r="M88" s="4"/>
      <c r="N88" s="4"/>
      <c r="O88" s="3"/>
      <c r="P88" s="3"/>
      <c r="Q88" s="3"/>
      <c r="R88" s="3"/>
      <c r="S88" s="3"/>
      <c r="T88" s="3"/>
      <c r="U88" s="3"/>
      <c r="V88" s="3"/>
      <c r="W88" s="3"/>
      <c r="X88" s="3"/>
      <c r="Y88" s="3"/>
      <c r="Z88" s="3"/>
      <c r="AA88" s="3"/>
      <c r="AB88" s="3"/>
      <c r="AC88" s="3"/>
    </row>
    <row r="89" customFormat="false" ht="21.75" hidden="false" customHeight="true" outlineLevel="0" collapsed="false">
      <c r="A89" s="3"/>
      <c r="B89" s="3"/>
      <c r="C89" s="3"/>
      <c r="D89" s="3"/>
      <c r="E89" s="4"/>
      <c r="F89" s="3"/>
      <c r="G89" s="4"/>
      <c r="H89" s="4"/>
      <c r="I89" s="4"/>
      <c r="J89" s="4"/>
      <c r="K89" s="4"/>
      <c r="L89" s="4"/>
      <c r="M89" s="4"/>
      <c r="N89" s="4"/>
      <c r="O89" s="3"/>
      <c r="P89" s="3"/>
      <c r="Q89" s="3"/>
      <c r="R89" s="3"/>
      <c r="S89" s="3"/>
      <c r="T89" s="3"/>
      <c r="U89" s="3"/>
      <c r="V89" s="3"/>
      <c r="W89" s="3"/>
      <c r="X89" s="3"/>
      <c r="Y89" s="3"/>
      <c r="Z89" s="3"/>
      <c r="AA89" s="3"/>
      <c r="AB89" s="3"/>
      <c r="AC89" s="3"/>
    </row>
    <row r="90" customFormat="false" ht="21.75" hidden="false" customHeight="true" outlineLevel="0" collapsed="false">
      <c r="A90" s="3"/>
      <c r="B90" s="3"/>
      <c r="C90" s="3"/>
      <c r="D90" s="3"/>
      <c r="E90" s="4"/>
      <c r="F90" s="3"/>
      <c r="G90" s="4"/>
      <c r="H90" s="4"/>
      <c r="I90" s="4"/>
      <c r="J90" s="4"/>
      <c r="K90" s="4"/>
      <c r="L90" s="4"/>
      <c r="M90" s="4"/>
      <c r="N90" s="4"/>
      <c r="O90" s="3"/>
      <c r="P90" s="3"/>
      <c r="Q90" s="3"/>
      <c r="R90" s="3"/>
      <c r="S90" s="3"/>
      <c r="T90" s="3"/>
      <c r="U90" s="3"/>
      <c r="V90" s="3"/>
      <c r="W90" s="3"/>
      <c r="X90" s="3"/>
      <c r="Y90" s="3"/>
      <c r="Z90" s="3"/>
      <c r="AA90" s="3"/>
      <c r="AB90" s="3"/>
      <c r="AC90" s="3"/>
    </row>
    <row r="91" customFormat="false" ht="21.75" hidden="false" customHeight="true" outlineLevel="0" collapsed="false">
      <c r="A91" s="3"/>
      <c r="B91" s="3"/>
      <c r="C91" s="3"/>
      <c r="D91" s="3"/>
      <c r="E91" s="4"/>
      <c r="F91" s="3"/>
      <c r="G91" s="4"/>
      <c r="H91" s="4"/>
      <c r="I91" s="4"/>
      <c r="J91" s="4"/>
      <c r="K91" s="4"/>
      <c r="L91" s="4"/>
      <c r="M91" s="4"/>
      <c r="N91" s="4"/>
      <c r="O91" s="3"/>
      <c r="P91" s="3"/>
      <c r="Q91" s="3"/>
      <c r="R91" s="3"/>
      <c r="S91" s="3"/>
      <c r="T91" s="3"/>
      <c r="U91" s="3"/>
      <c r="V91" s="3"/>
      <c r="W91" s="3"/>
      <c r="X91" s="3"/>
      <c r="Y91" s="3"/>
      <c r="Z91" s="3"/>
      <c r="AA91" s="3"/>
      <c r="AB91" s="3"/>
      <c r="AC91" s="3"/>
    </row>
    <row r="92" customFormat="false" ht="21.75" hidden="false" customHeight="true" outlineLevel="0" collapsed="false">
      <c r="A92" s="3"/>
      <c r="B92" s="3"/>
      <c r="C92" s="3"/>
      <c r="D92" s="3"/>
      <c r="E92" s="4"/>
      <c r="F92" s="3"/>
      <c r="G92" s="4"/>
      <c r="H92" s="4"/>
      <c r="I92" s="4"/>
      <c r="J92" s="4"/>
      <c r="K92" s="4"/>
      <c r="L92" s="4"/>
      <c r="M92" s="4"/>
      <c r="N92" s="4"/>
      <c r="O92" s="3"/>
      <c r="P92" s="3"/>
      <c r="Q92" s="3"/>
      <c r="R92" s="3"/>
      <c r="S92" s="3"/>
      <c r="T92" s="3"/>
      <c r="U92" s="3"/>
      <c r="V92" s="3"/>
      <c r="W92" s="3"/>
      <c r="X92" s="3"/>
      <c r="Y92" s="3"/>
      <c r="Z92" s="3"/>
      <c r="AA92" s="3"/>
      <c r="AB92" s="3"/>
      <c r="AC92" s="3"/>
    </row>
    <row r="93" customFormat="false" ht="21.75" hidden="false" customHeight="true" outlineLevel="0" collapsed="false">
      <c r="A93" s="3"/>
      <c r="B93" s="3"/>
      <c r="C93" s="3"/>
      <c r="D93" s="3"/>
      <c r="E93" s="4"/>
      <c r="F93" s="3"/>
      <c r="G93" s="4"/>
      <c r="H93" s="4"/>
      <c r="I93" s="4"/>
      <c r="J93" s="4"/>
      <c r="K93" s="4"/>
      <c r="L93" s="4"/>
      <c r="M93" s="4"/>
      <c r="N93" s="4"/>
      <c r="O93" s="3"/>
      <c r="P93" s="3"/>
      <c r="Q93" s="3"/>
      <c r="R93" s="3"/>
      <c r="S93" s="3"/>
      <c r="T93" s="3"/>
      <c r="U93" s="3"/>
      <c r="V93" s="3"/>
      <c r="W93" s="3"/>
      <c r="X93" s="3"/>
      <c r="Y93" s="3"/>
      <c r="Z93" s="3"/>
      <c r="AA93" s="3"/>
      <c r="AB93" s="3"/>
      <c r="AC93" s="3"/>
    </row>
    <row r="94" customFormat="false" ht="21.75" hidden="false" customHeight="true" outlineLevel="0" collapsed="false">
      <c r="A94" s="3"/>
      <c r="B94" s="3"/>
      <c r="C94" s="3"/>
      <c r="D94" s="3"/>
      <c r="E94" s="4"/>
      <c r="F94" s="3"/>
      <c r="G94" s="4"/>
      <c r="H94" s="4"/>
      <c r="I94" s="4"/>
      <c r="J94" s="4"/>
      <c r="K94" s="4"/>
      <c r="L94" s="4"/>
      <c r="M94" s="4"/>
      <c r="N94" s="4"/>
      <c r="O94" s="3"/>
      <c r="P94" s="3"/>
      <c r="Q94" s="3"/>
      <c r="R94" s="3"/>
      <c r="S94" s="3"/>
      <c r="T94" s="3"/>
      <c r="U94" s="3"/>
      <c r="V94" s="3"/>
      <c r="W94" s="3"/>
      <c r="X94" s="3"/>
      <c r="Y94" s="3"/>
      <c r="Z94" s="3"/>
      <c r="AA94" s="3"/>
      <c r="AB94" s="3"/>
      <c r="AC94" s="3"/>
    </row>
    <row r="95" customFormat="false" ht="21.75" hidden="false" customHeight="true" outlineLevel="0" collapsed="false">
      <c r="A95" s="3"/>
      <c r="B95" s="3"/>
      <c r="C95" s="3"/>
      <c r="D95" s="3"/>
      <c r="E95" s="4"/>
      <c r="F95" s="3"/>
      <c r="G95" s="4"/>
      <c r="H95" s="4"/>
      <c r="I95" s="4"/>
      <c r="J95" s="4"/>
      <c r="K95" s="4"/>
      <c r="L95" s="4"/>
      <c r="M95" s="4"/>
      <c r="N95" s="4"/>
      <c r="O95" s="3"/>
      <c r="P95" s="3"/>
      <c r="Q95" s="3"/>
      <c r="R95" s="3"/>
      <c r="S95" s="3"/>
      <c r="T95" s="3"/>
      <c r="U95" s="3"/>
      <c r="V95" s="3"/>
      <c r="W95" s="3"/>
      <c r="X95" s="3"/>
      <c r="Y95" s="3"/>
      <c r="Z95" s="3"/>
      <c r="AA95" s="3"/>
      <c r="AB95" s="3"/>
      <c r="AC95" s="3"/>
    </row>
    <row r="96" customFormat="false" ht="21.75" hidden="false" customHeight="true" outlineLevel="0" collapsed="false">
      <c r="A96" s="3"/>
      <c r="B96" s="3"/>
      <c r="C96" s="3"/>
      <c r="D96" s="3"/>
      <c r="E96" s="4"/>
      <c r="F96" s="3"/>
      <c r="G96" s="4"/>
      <c r="H96" s="4"/>
      <c r="I96" s="4"/>
      <c r="J96" s="4"/>
      <c r="K96" s="4"/>
      <c r="L96" s="4"/>
      <c r="M96" s="4"/>
      <c r="N96" s="4"/>
      <c r="O96" s="3"/>
      <c r="P96" s="3"/>
      <c r="Q96" s="3"/>
      <c r="R96" s="3"/>
      <c r="S96" s="3"/>
      <c r="T96" s="3"/>
      <c r="U96" s="3"/>
      <c r="V96" s="3"/>
      <c r="W96" s="3"/>
      <c r="X96" s="3"/>
      <c r="Y96" s="3"/>
      <c r="Z96" s="3"/>
      <c r="AA96" s="3"/>
      <c r="AB96" s="3"/>
      <c r="AC96" s="3"/>
    </row>
    <row r="97" customFormat="false" ht="21.75" hidden="false" customHeight="true" outlineLevel="0" collapsed="false">
      <c r="A97" s="3"/>
      <c r="B97" s="3"/>
      <c r="C97" s="3"/>
      <c r="D97" s="3"/>
      <c r="E97" s="4"/>
      <c r="F97" s="3"/>
      <c r="G97" s="4"/>
      <c r="H97" s="4"/>
      <c r="I97" s="4"/>
      <c r="J97" s="4"/>
      <c r="K97" s="4"/>
      <c r="L97" s="4"/>
      <c r="M97" s="4"/>
      <c r="N97" s="4"/>
      <c r="O97" s="3"/>
      <c r="P97" s="3"/>
      <c r="Q97" s="3"/>
      <c r="R97" s="3"/>
      <c r="S97" s="3"/>
      <c r="T97" s="3"/>
      <c r="U97" s="3"/>
      <c r="V97" s="3"/>
      <c r="W97" s="3"/>
      <c r="X97" s="3"/>
      <c r="Y97" s="3"/>
      <c r="Z97" s="3"/>
      <c r="AA97" s="3"/>
      <c r="AB97" s="3"/>
      <c r="AC97" s="3"/>
    </row>
    <row r="98" customFormat="false" ht="21.75" hidden="false" customHeight="true" outlineLevel="0" collapsed="false">
      <c r="A98" s="3"/>
      <c r="B98" s="3"/>
      <c r="C98" s="3"/>
      <c r="D98" s="3"/>
      <c r="E98" s="4"/>
      <c r="F98" s="3"/>
      <c r="G98" s="4"/>
      <c r="H98" s="4"/>
      <c r="I98" s="4"/>
      <c r="J98" s="4"/>
      <c r="K98" s="4"/>
      <c r="L98" s="4"/>
      <c r="M98" s="4"/>
      <c r="N98" s="4"/>
      <c r="O98" s="3"/>
      <c r="P98" s="3"/>
      <c r="Q98" s="3"/>
      <c r="R98" s="3"/>
      <c r="S98" s="3"/>
      <c r="T98" s="3"/>
      <c r="U98" s="3"/>
      <c r="V98" s="3"/>
      <c r="W98" s="3"/>
      <c r="X98" s="3"/>
      <c r="Y98" s="3"/>
      <c r="Z98" s="3"/>
      <c r="AA98" s="3"/>
      <c r="AB98" s="3"/>
      <c r="AC98" s="3"/>
    </row>
    <row r="99" customFormat="false" ht="21.75" hidden="false" customHeight="true" outlineLevel="0" collapsed="false">
      <c r="A99" s="3"/>
      <c r="B99" s="3"/>
      <c r="C99" s="3"/>
      <c r="D99" s="3"/>
      <c r="E99" s="4"/>
      <c r="F99" s="3"/>
      <c r="G99" s="4"/>
      <c r="H99" s="4"/>
      <c r="I99" s="4"/>
      <c r="J99" s="4"/>
      <c r="K99" s="4"/>
      <c r="L99" s="4"/>
      <c r="M99" s="4"/>
      <c r="N99" s="4"/>
      <c r="O99" s="3"/>
      <c r="P99" s="3"/>
      <c r="Q99" s="3"/>
      <c r="R99" s="3"/>
      <c r="S99" s="3"/>
      <c r="T99" s="3"/>
      <c r="U99" s="3"/>
      <c r="V99" s="3"/>
      <c r="W99" s="3"/>
      <c r="X99" s="3"/>
      <c r="Y99" s="3"/>
      <c r="Z99" s="3"/>
      <c r="AA99" s="3"/>
      <c r="AB99" s="3"/>
      <c r="AC99" s="3"/>
    </row>
    <row r="100" customFormat="false" ht="21.75" hidden="false" customHeight="true" outlineLevel="0" collapsed="false">
      <c r="A100" s="3"/>
      <c r="B100" s="3"/>
      <c r="C100" s="3"/>
      <c r="D100" s="3"/>
      <c r="E100" s="4"/>
      <c r="F100" s="3"/>
      <c r="G100" s="4"/>
      <c r="H100" s="4"/>
      <c r="I100" s="4"/>
      <c r="J100" s="4"/>
      <c r="K100" s="4"/>
      <c r="L100" s="4"/>
      <c r="M100" s="4"/>
      <c r="N100" s="4"/>
      <c r="O100" s="3"/>
      <c r="P100" s="3"/>
      <c r="Q100" s="3"/>
      <c r="R100" s="3"/>
      <c r="S100" s="3"/>
      <c r="T100" s="3"/>
      <c r="U100" s="3"/>
      <c r="V100" s="3"/>
      <c r="W100" s="3"/>
      <c r="X100" s="3"/>
      <c r="Y100" s="3"/>
      <c r="Z100" s="3"/>
      <c r="AA100" s="3"/>
      <c r="AB100" s="3"/>
      <c r="AC100" s="3"/>
    </row>
    <row r="101" customFormat="false" ht="21.75" hidden="false" customHeight="true" outlineLevel="0" collapsed="false">
      <c r="A101" s="3"/>
      <c r="B101" s="3"/>
      <c r="C101" s="3"/>
      <c r="D101" s="3"/>
      <c r="E101" s="4"/>
      <c r="F101" s="3"/>
      <c r="G101" s="4"/>
      <c r="H101" s="4"/>
      <c r="I101" s="4"/>
      <c r="J101" s="4"/>
      <c r="K101" s="4"/>
      <c r="L101" s="4"/>
      <c r="M101" s="4"/>
      <c r="N101" s="4"/>
      <c r="O101" s="3"/>
      <c r="P101" s="3"/>
      <c r="Q101" s="3"/>
      <c r="R101" s="3"/>
      <c r="S101" s="3"/>
      <c r="T101" s="3"/>
      <c r="U101" s="3"/>
      <c r="V101" s="3"/>
      <c r="W101" s="3"/>
      <c r="X101" s="3"/>
      <c r="Y101" s="3"/>
      <c r="Z101" s="3"/>
      <c r="AA101" s="3"/>
      <c r="AB101" s="3"/>
      <c r="AC101" s="3"/>
    </row>
    <row r="102" customFormat="false" ht="21.75" hidden="false" customHeight="true" outlineLevel="0" collapsed="false">
      <c r="A102" s="3"/>
      <c r="B102" s="3"/>
      <c r="C102" s="3"/>
      <c r="D102" s="3"/>
      <c r="E102" s="4"/>
      <c r="F102" s="3"/>
      <c r="G102" s="4"/>
      <c r="H102" s="4"/>
      <c r="I102" s="4"/>
      <c r="J102" s="4"/>
      <c r="K102" s="4"/>
      <c r="L102" s="4"/>
      <c r="M102" s="4"/>
      <c r="N102" s="4"/>
      <c r="O102" s="3"/>
      <c r="P102" s="3"/>
      <c r="Q102" s="3"/>
      <c r="R102" s="3"/>
      <c r="S102" s="3"/>
      <c r="T102" s="3"/>
      <c r="U102" s="3"/>
      <c r="V102" s="3"/>
      <c r="W102" s="3"/>
      <c r="X102" s="3"/>
      <c r="Y102" s="3"/>
      <c r="Z102" s="3"/>
      <c r="AA102" s="3"/>
      <c r="AB102" s="3"/>
      <c r="AC102" s="3"/>
    </row>
    <row r="103" customFormat="false" ht="21.75" hidden="false" customHeight="true" outlineLevel="0" collapsed="false">
      <c r="A103" s="3"/>
      <c r="B103" s="3"/>
      <c r="C103" s="3"/>
      <c r="D103" s="3"/>
      <c r="E103" s="4"/>
      <c r="F103" s="3"/>
      <c r="G103" s="4"/>
      <c r="H103" s="4"/>
      <c r="I103" s="4"/>
      <c r="J103" s="4"/>
      <c r="K103" s="4"/>
      <c r="L103" s="4"/>
      <c r="M103" s="4"/>
      <c r="N103" s="4"/>
      <c r="O103" s="3"/>
      <c r="P103" s="3"/>
      <c r="Q103" s="3"/>
      <c r="R103" s="3"/>
      <c r="S103" s="3"/>
      <c r="T103" s="3"/>
      <c r="U103" s="3"/>
      <c r="V103" s="3"/>
      <c r="W103" s="3"/>
      <c r="X103" s="3"/>
      <c r="Y103" s="3"/>
      <c r="Z103" s="3"/>
      <c r="AA103" s="3"/>
      <c r="AB103" s="3"/>
      <c r="AC103" s="3"/>
    </row>
    <row r="104" customFormat="false" ht="21.75" hidden="false" customHeight="true" outlineLevel="0" collapsed="false">
      <c r="A104" s="3"/>
      <c r="B104" s="3"/>
      <c r="C104" s="3"/>
      <c r="D104" s="3"/>
      <c r="E104" s="4"/>
      <c r="F104" s="3"/>
      <c r="G104" s="4"/>
      <c r="H104" s="4"/>
      <c r="I104" s="4"/>
      <c r="J104" s="4"/>
      <c r="K104" s="4"/>
      <c r="L104" s="4"/>
      <c r="M104" s="4"/>
      <c r="N104" s="4"/>
      <c r="O104" s="3"/>
      <c r="P104" s="3"/>
      <c r="Q104" s="3"/>
      <c r="R104" s="3"/>
      <c r="S104" s="3"/>
      <c r="T104" s="3"/>
      <c r="U104" s="3"/>
      <c r="V104" s="3"/>
      <c r="W104" s="3"/>
      <c r="X104" s="3"/>
      <c r="Y104" s="3"/>
      <c r="Z104" s="3"/>
      <c r="AA104" s="3"/>
      <c r="AB104" s="3"/>
      <c r="AC104" s="3"/>
    </row>
    <row r="105" customFormat="false" ht="21.75" hidden="false" customHeight="true" outlineLevel="0" collapsed="false">
      <c r="A105" s="3"/>
      <c r="B105" s="3"/>
      <c r="C105" s="3"/>
      <c r="D105" s="3"/>
      <c r="E105" s="4"/>
      <c r="F105" s="3"/>
      <c r="G105" s="4"/>
      <c r="H105" s="4"/>
      <c r="I105" s="4"/>
      <c r="J105" s="4"/>
      <c r="K105" s="4"/>
      <c r="L105" s="4"/>
      <c r="M105" s="4"/>
      <c r="N105" s="4"/>
      <c r="O105" s="3"/>
      <c r="P105" s="3"/>
      <c r="Q105" s="3"/>
      <c r="R105" s="3"/>
      <c r="S105" s="3"/>
      <c r="T105" s="3"/>
      <c r="U105" s="3"/>
      <c r="V105" s="3"/>
      <c r="W105" s="3"/>
      <c r="X105" s="3"/>
      <c r="Y105" s="3"/>
      <c r="Z105" s="3"/>
      <c r="AA105" s="3"/>
      <c r="AB105" s="3"/>
      <c r="AC105" s="3"/>
    </row>
    <row r="106" customFormat="false" ht="21.75" hidden="false" customHeight="true" outlineLevel="0" collapsed="false">
      <c r="A106" s="3"/>
      <c r="B106" s="3"/>
      <c r="C106" s="3"/>
      <c r="D106" s="3"/>
      <c r="E106" s="4"/>
      <c r="F106" s="3"/>
      <c r="G106" s="4"/>
      <c r="H106" s="4"/>
      <c r="I106" s="4"/>
      <c r="J106" s="4"/>
      <c r="K106" s="4"/>
      <c r="L106" s="4"/>
      <c r="M106" s="4"/>
      <c r="N106" s="4"/>
      <c r="O106" s="3"/>
      <c r="P106" s="3"/>
      <c r="Q106" s="3"/>
      <c r="R106" s="3"/>
      <c r="S106" s="3"/>
      <c r="T106" s="3"/>
      <c r="U106" s="3"/>
      <c r="V106" s="3"/>
      <c r="W106" s="3"/>
      <c r="X106" s="3"/>
      <c r="Y106" s="3"/>
      <c r="Z106" s="3"/>
      <c r="AA106" s="3"/>
      <c r="AB106" s="3"/>
      <c r="AC106" s="3"/>
    </row>
    <row r="107" customFormat="false" ht="21.75" hidden="false" customHeight="true" outlineLevel="0" collapsed="false">
      <c r="A107" s="3"/>
      <c r="B107" s="3"/>
      <c r="C107" s="3"/>
      <c r="D107" s="3"/>
      <c r="E107" s="4"/>
      <c r="F107" s="3"/>
      <c r="G107" s="4"/>
      <c r="H107" s="4"/>
      <c r="I107" s="4"/>
      <c r="J107" s="4"/>
      <c r="K107" s="4"/>
      <c r="L107" s="4"/>
      <c r="M107" s="4"/>
      <c r="N107" s="4"/>
      <c r="O107" s="3"/>
      <c r="P107" s="3"/>
      <c r="Q107" s="3"/>
      <c r="R107" s="3"/>
      <c r="S107" s="3"/>
      <c r="T107" s="3"/>
      <c r="U107" s="3"/>
      <c r="V107" s="3"/>
      <c r="W107" s="3"/>
      <c r="X107" s="3"/>
      <c r="Y107" s="3"/>
      <c r="Z107" s="3"/>
      <c r="AA107" s="3"/>
      <c r="AB107" s="3"/>
      <c r="AC107" s="3"/>
    </row>
    <row r="108" customFormat="false" ht="21.75" hidden="false" customHeight="true" outlineLevel="0" collapsed="false">
      <c r="A108" s="3"/>
      <c r="B108" s="3"/>
      <c r="C108" s="3"/>
      <c r="D108" s="3"/>
      <c r="E108" s="4"/>
      <c r="F108" s="3"/>
      <c r="G108" s="4"/>
      <c r="H108" s="4"/>
      <c r="I108" s="4"/>
      <c r="J108" s="4"/>
      <c r="K108" s="4"/>
      <c r="L108" s="4"/>
      <c r="M108" s="4"/>
      <c r="N108" s="4"/>
      <c r="O108" s="3"/>
      <c r="P108" s="3"/>
      <c r="Q108" s="3"/>
      <c r="R108" s="3"/>
      <c r="S108" s="3"/>
      <c r="T108" s="3"/>
      <c r="U108" s="3"/>
      <c r="V108" s="3"/>
      <c r="W108" s="3"/>
      <c r="X108" s="3"/>
      <c r="Y108" s="3"/>
      <c r="Z108" s="3"/>
      <c r="AA108" s="3"/>
      <c r="AB108" s="3"/>
      <c r="AC108" s="3"/>
    </row>
    <row r="109" customFormat="false" ht="21.75" hidden="false" customHeight="true" outlineLevel="0" collapsed="false">
      <c r="A109" s="3"/>
      <c r="B109" s="3"/>
      <c r="C109" s="3"/>
      <c r="D109" s="3"/>
      <c r="E109" s="4"/>
      <c r="F109" s="3"/>
      <c r="G109" s="4"/>
      <c r="H109" s="4"/>
      <c r="I109" s="4"/>
      <c r="J109" s="4"/>
      <c r="K109" s="4"/>
      <c r="L109" s="4"/>
      <c r="M109" s="4"/>
      <c r="N109" s="4"/>
      <c r="O109" s="3"/>
      <c r="P109" s="3"/>
      <c r="Q109" s="3"/>
      <c r="R109" s="3"/>
      <c r="S109" s="3"/>
      <c r="T109" s="3"/>
      <c r="U109" s="3"/>
      <c r="V109" s="3"/>
      <c r="W109" s="3"/>
      <c r="X109" s="3"/>
      <c r="Y109" s="3"/>
      <c r="Z109" s="3"/>
      <c r="AA109" s="3"/>
      <c r="AB109" s="3"/>
      <c r="AC109" s="3"/>
    </row>
    <row r="110" customFormat="false" ht="21.75" hidden="false" customHeight="true" outlineLevel="0" collapsed="false">
      <c r="A110" s="3"/>
      <c r="B110" s="3"/>
      <c r="C110" s="3"/>
      <c r="D110" s="3"/>
      <c r="E110" s="4"/>
      <c r="F110" s="3"/>
      <c r="G110" s="4"/>
      <c r="H110" s="4"/>
      <c r="I110" s="4"/>
      <c r="J110" s="4"/>
      <c r="K110" s="4"/>
      <c r="L110" s="4"/>
      <c r="M110" s="4"/>
      <c r="N110" s="4"/>
      <c r="O110" s="3"/>
      <c r="P110" s="3"/>
      <c r="Q110" s="3"/>
      <c r="R110" s="3"/>
      <c r="S110" s="3"/>
      <c r="T110" s="3"/>
      <c r="U110" s="3"/>
      <c r="V110" s="3"/>
      <c r="W110" s="3"/>
      <c r="X110" s="3"/>
      <c r="Y110" s="3"/>
      <c r="Z110" s="3"/>
      <c r="AA110" s="3"/>
      <c r="AB110" s="3"/>
      <c r="AC110" s="3"/>
    </row>
    <row r="111" customFormat="false" ht="21.75" hidden="false" customHeight="true" outlineLevel="0" collapsed="false">
      <c r="A111" s="3"/>
      <c r="B111" s="3"/>
      <c r="C111" s="3"/>
      <c r="D111" s="3"/>
      <c r="E111" s="4"/>
      <c r="F111" s="3"/>
      <c r="G111" s="4"/>
      <c r="H111" s="4"/>
      <c r="I111" s="4"/>
      <c r="J111" s="4"/>
      <c r="K111" s="4"/>
      <c r="L111" s="4"/>
      <c r="M111" s="4"/>
      <c r="N111" s="4"/>
      <c r="O111" s="3"/>
      <c r="P111" s="3"/>
      <c r="Q111" s="3"/>
      <c r="R111" s="3"/>
      <c r="S111" s="3"/>
      <c r="T111" s="3"/>
      <c r="U111" s="3"/>
      <c r="V111" s="3"/>
      <c r="W111" s="3"/>
      <c r="X111" s="3"/>
      <c r="Y111" s="3"/>
      <c r="Z111" s="3"/>
      <c r="AA111" s="3"/>
      <c r="AB111" s="3"/>
      <c r="AC111" s="3"/>
    </row>
    <row r="112" customFormat="false" ht="21.75" hidden="false" customHeight="true" outlineLevel="0" collapsed="false">
      <c r="A112" s="3"/>
      <c r="B112" s="3"/>
      <c r="C112" s="3"/>
      <c r="D112" s="3"/>
      <c r="E112" s="4"/>
      <c r="F112" s="3"/>
      <c r="G112" s="4"/>
      <c r="H112" s="4"/>
      <c r="I112" s="4"/>
      <c r="J112" s="4"/>
      <c r="K112" s="4"/>
      <c r="L112" s="4"/>
      <c r="M112" s="4"/>
      <c r="N112" s="4"/>
      <c r="O112" s="3"/>
      <c r="P112" s="3"/>
      <c r="Q112" s="3"/>
      <c r="R112" s="3"/>
      <c r="S112" s="3"/>
      <c r="T112" s="3"/>
      <c r="U112" s="3"/>
      <c r="V112" s="3"/>
      <c r="W112" s="3"/>
      <c r="X112" s="3"/>
      <c r="Y112" s="3"/>
      <c r="Z112" s="3"/>
      <c r="AA112" s="3"/>
      <c r="AB112" s="3"/>
      <c r="AC112" s="3"/>
    </row>
    <row r="113" customFormat="false" ht="21.75" hidden="false" customHeight="true" outlineLevel="0" collapsed="false">
      <c r="A113" s="3"/>
      <c r="B113" s="3"/>
      <c r="C113" s="3"/>
      <c r="D113" s="3"/>
      <c r="E113" s="4"/>
      <c r="F113" s="3"/>
      <c r="G113" s="4"/>
      <c r="H113" s="4"/>
      <c r="I113" s="4"/>
      <c r="J113" s="4"/>
      <c r="K113" s="4"/>
      <c r="L113" s="4"/>
      <c r="M113" s="4"/>
      <c r="N113" s="4"/>
      <c r="O113" s="3"/>
      <c r="P113" s="3"/>
      <c r="Q113" s="3"/>
      <c r="R113" s="3"/>
      <c r="S113" s="3"/>
      <c r="T113" s="3"/>
      <c r="U113" s="3"/>
      <c r="V113" s="3"/>
      <c r="W113" s="3"/>
      <c r="X113" s="3"/>
      <c r="Y113" s="3"/>
      <c r="Z113" s="3"/>
      <c r="AA113" s="3"/>
      <c r="AB113" s="3"/>
      <c r="AC113" s="3"/>
    </row>
    <row r="114" customFormat="false" ht="21.75" hidden="false" customHeight="true" outlineLevel="0" collapsed="false">
      <c r="A114" s="3"/>
      <c r="B114" s="3"/>
      <c r="C114" s="3"/>
      <c r="D114" s="3"/>
      <c r="E114" s="4"/>
      <c r="F114" s="3"/>
      <c r="G114" s="4"/>
      <c r="H114" s="4"/>
      <c r="I114" s="4"/>
      <c r="J114" s="4"/>
      <c r="K114" s="4"/>
      <c r="L114" s="4"/>
      <c r="M114" s="4"/>
      <c r="N114" s="4"/>
      <c r="O114" s="3"/>
      <c r="P114" s="3"/>
      <c r="Q114" s="3"/>
      <c r="R114" s="3"/>
      <c r="S114" s="3"/>
      <c r="T114" s="3"/>
      <c r="U114" s="3"/>
      <c r="V114" s="3"/>
      <c r="W114" s="3"/>
      <c r="X114" s="3"/>
      <c r="Y114" s="3"/>
      <c r="Z114" s="3"/>
      <c r="AA114" s="3"/>
      <c r="AB114" s="3"/>
      <c r="AC114" s="3"/>
    </row>
    <row r="115" customFormat="false" ht="21.75" hidden="false" customHeight="true" outlineLevel="0" collapsed="false">
      <c r="A115" s="3"/>
      <c r="B115" s="3"/>
      <c r="C115" s="3"/>
      <c r="D115" s="3"/>
      <c r="E115" s="4"/>
      <c r="F115" s="3"/>
      <c r="G115" s="4"/>
      <c r="H115" s="4"/>
      <c r="I115" s="4"/>
      <c r="J115" s="4"/>
      <c r="K115" s="4"/>
      <c r="L115" s="4"/>
      <c r="M115" s="4"/>
      <c r="N115" s="4"/>
      <c r="O115" s="3"/>
      <c r="P115" s="3"/>
      <c r="Q115" s="3"/>
      <c r="R115" s="3"/>
      <c r="S115" s="3"/>
      <c r="T115" s="3"/>
      <c r="U115" s="3"/>
      <c r="V115" s="3"/>
      <c r="W115" s="3"/>
      <c r="X115" s="3"/>
      <c r="Y115" s="3"/>
      <c r="Z115" s="3"/>
      <c r="AA115" s="3"/>
      <c r="AB115" s="3"/>
      <c r="AC115" s="3"/>
    </row>
    <row r="116" customFormat="false" ht="21.75" hidden="false" customHeight="true" outlineLevel="0" collapsed="false">
      <c r="A116" s="3"/>
      <c r="B116" s="3"/>
      <c r="C116" s="3"/>
      <c r="D116" s="3"/>
      <c r="E116" s="4"/>
      <c r="F116" s="3"/>
      <c r="G116" s="4"/>
      <c r="H116" s="4"/>
      <c r="I116" s="4"/>
      <c r="J116" s="4"/>
      <c r="K116" s="4"/>
      <c r="L116" s="4"/>
      <c r="M116" s="4"/>
      <c r="N116" s="4"/>
      <c r="O116" s="3"/>
      <c r="P116" s="3"/>
      <c r="Q116" s="3"/>
      <c r="R116" s="3"/>
      <c r="S116" s="3"/>
      <c r="T116" s="3"/>
      <c r="U116" s="3"/>
      <c r="V116" s="3"/>
      <c r="W116" s="3"/>
      <c r="X116" s="3"/>
      <c r="Y116" s="3"/>
      <c r="Z116" s="3"/>
      <c r="AA116" s="3"/>
      <c r="AB116" s="3"/>
      <c r="AC116" s="3"/>
    </row>
    <row r="117" customFormat="false" ht="21.75" hidden="false" customHeight="true" outlineLevel="0" collapsed="false">
      <c r="A117" s="3"/>
      <c r="B117" s="3"/>
      <c r="C117" s="3"/>
      <c r="D117" s="3"/>
      <c r="E117" s="4"/>
      <c r="F117" s="3"/>
      <c r="G117" s="4"/>
      <c r="H117" s="4"/>
      <c r="I117" s="4"/>
      <c r="J117" s="4"/>
      <c r="K117" s="4"/>
      <c r="L117" s="4"/>
      <c r="M117" s="4"/>
      <c r="N117" s="4"/>
      <c r="O117" s="3"/>
      <c r="P117" s="3"/>
      <c r="Q117" s="3"/>
      <c r="R117" s="3"/>
      <c r="S117" s="3"/>
      <c r="T117" s="3"/>
      <c r="U117" s="3"/>
      <c r="V117" s="3"/>
      <c r="W117" s="3"/>
      <c r="X117" s="3"/>
      <c r="Y117" s="3"/>
      <c r="Z117" s="3"/>
      <c r="AA117" s="3"/>
      <c r="AB117" s="3"/>
      <c r="AC117" s="3"/>
    </row>
    <row r="118" customFormat="false" ht="21.75" hidden="false" customHeight="true" outlineLevel="0" collapsed="false">
      <c r="A118" s="3"/>
      <c r="B118" s="3"/>
      <c r="C118" s="3"/>
      <c r="D118" s="3"/>
      <c r="E118" s="4"/>
      <c r="F118" s="3"/>
      <c r="G118" s="4"/>
      <c r="H118" s="4"/>
      <c r="I118" s="4"/>
      <c r="J118" s="4"/>
      <c r="K118" s="4"/>
      <c r="L118" s="4"/>
      <c r="M118" s="4"/>
      <c r="N118" s="4"/>
      <c r="O118" s="3"/>
      <c r="P118" s="3"/>
      <c r="Q118" s="3"/>
      <c r="R118" s="3"/>
      <c r="S118" s="3"/>
      <c r="T118" s="3"/>
      <c r="U118" s="3"/>
      <c r="V118" s="3"/>
      <c r="W118" s="3"/>
      <c r="X118" s="3"/>
      <c r="Y118" s="3"/>
      <c r="Z118" s="3"/>
      <c r="AA118" s="3"/>
      <c r="AB118" s="3"/>
      <c r="AC118" s="3"/>
    </row>
    <row r="119" customFormat="false" ht="21.75" hidden="false" customHeight="true" outlineLevel="0" collapsed="false">
      <c r="A119" s="3"/>
      <c r="B119" s="3"/>
      <c r="C119" s="3"/>
      <c r="D119" s="3"/>
      <c r="E119" s="4"/>
      <c r="F119" s="3"/>
      <c r="G119" s="4"/>
      <c r="H119" s="4"/>
      <c r="I119" s="4"/>
      <c r="J119" s="4"/>
      <c r="K119" s="4"/>
      <c r="L119" s="4"/>
      <c r="M119" s="4"/>
      <c r="N119" s="4"/>
      <c r="O119" s="3"/>
      <c r="P119" s="3"/>
      <c r="Q119" s="3"/>
      <c r="R119" s="3"/>
      <c r="S119" s="3"/>
      <c r="T119" s="3"/>
      <c r="U119" s="3"/>
      <c r="V119" s="3"/>
      <c r="W119" s="3"/>
      <c r="X119" s="3"/>
      <c r="Y119" s="3"/>
      <c r="Z119" s="3"/>
      <c r="AA119" s="3"/>
      <c r="AB119" s="3"/>
      <c r="AC119" s="3"/>
    </row>
    <row r="120" customFormat="false" ht="21.75" hidden="false" customHeight="true" outlineLevel="0" collapsed="false">
      <c r="A120" s="3"/>
      <c r="B120" s="3"/>
      <c r="C120" s="3"/>
      <c r="D120" s="3"/>
      <c r="E120" s="4"/>
      <c r="F120" s="3"/>
      <c r="G120" s="4"/>
      <c r="H120" s="4"/>
      <c r="I120" s="4"/>
      <c r="J120" s="4"/>
      <c r="K120" s="4"/>
      <c r="L120" s="4"/>
      <c r="M120" s="4"/>
      <c r="N120" s="4"/>
      <c r="O120" s="3"/>
      <c r="P120" s="3"/>
      <c r="Q120" s="3"/>
      <c r="R120" s="3"/>
      <c r="S120" s="3"/>
      <c r="T120" s="3"/>
      <c r="U120" s="3"/>
      <c r="V120" s="3"/>
      <c r="W120" s="3"/>
      <c r="X120" s="3"/>
      <c r="Y120" s="3"/>
      <c r="Z120" s="3"/>
      <c r="AA120" s="3"/>
      <c r="AB120" s="3"/>
      <c r="AC120" s="3"/>
    </row>
    <row r="121" customFormat="false" ht="21.75" hidden="false" customHeight="true" outlineLevel="0" collapsed="false">
      <c r="A121" s="3"/>
      <c r="B121" s="3"/>
      <c r="C121" s="3"/>
      <c r="D121" s="3"/>
      <c r="E121" s="4"/>
      <c r="F121" s="3"/>
      <c r="G121" s="4"/>
      <c r="H121" s="4"/>
      <c r="I121" s="4"/>
      <c r="J121" s="4"/>
      <c r="K121" s="4"/>
      <c r="L121" s="4"/>
      <c r="M121" s="4"/>
      <c r="N121" s="4"/>
      <c r="O121" s="3"/>
      <c r="P121" s="3"/>
      <c r="Q121" s="3"/>
      <c r="R121" s="3"/>
      <c r="S121" s="3"/>
      <c r="T121" s="3"/>
      <c r="U121" s="3"/>
      <c r="V121" s="3"/>
      <c r="W121" s="3"/>
      <c r="X121" s="3"/>
      <c r="Y121" s="3"/>
      <c r="Z121" s="3"/>
      <c r="AA121" s="3"/>
      <c r="AB121" s="3"/>
      <c r="AC121" s="3"/>
    </row>
    <row r="122" customFormat="false" ht="21.75" hidden="false" customHeight="true" outlineLevel="0" collapsed="false">
      <c r="A122" s="3"/>
      <c r="B122" s="3"/>
      <c r="C122" s="3"/>
      <c r="D122" s="3"/>
      <c r="E122" s="4"/>
      <c r="F122" s="3"/>
      <c r="G122" s="4"/>
      <c r="H122" s="4"/>
      <c r="I122" s="4"/>
      <c r="J122" s="4"/>
      <c r="K122" s="4"/>
      <c r="L122" s="4"/>
      <c r="M122" s="4"/>
      <c r="N122" s="4"/>
      <c r="O122" s="3"/>
      <c r="P122" s="3"/>
      <c r="Q122" s="3"/>
      <c r="R122" s="3"/>
      <c r="S122" s="3"/>
      <c r="T122" s="3"/>
      <c r="U122" s="3"/>
      <c r="V122" s="3"/>
      <c r="W122" s="3"/>
      <c r="X122" s="3"/>
      <c r="Y122" s="3"/>
      <c r="Z122" s="3"/>
      <c r="AA122" s="3"/>
      <c r="AB122" s="3"/>
      <c r="AC122" s="3"/>
    </row>
    <row r="123" customFormat="false" ht="21.75" hidden="false" customHeight="true" outlineLevel="0" collapsed="false">
      <c r="A123" s="3"/>
      <c r="B123" s="3"/>
      <c r="C123" s="3"/>
      <c r="D123" s="3"/>
      <c r="E123" s="4"/>
      <c r="F123" s="3"/>
      <c r="G123" s="4"/>
      <c r="H123" s="4"/>
      <c r="I123" s="4"/>
      <c r="J123" s="4"/>
      <c r="K123" s="4"/>
      <c r="L123" s="4"/>
      <c r="M123" s="4"/>
      <c r="N123" s="4"/>
      <c r="O123" s="3"/>
      <c r="P123" s="3"/>
      <c r="Q123" s="3"/>
      <c r="R123" s="3"/>
      <c r="S123" s="3"/>
      <c r="T123" s="3"/>
      <c r="U123" s="3"/>
      <c r="V123" s="3"/>
      <c r="W123" s="3"/>
      <c r="X123" s="3"/>
      <c r="Y123" s="3"/>
      <c r="Z123" s="3"/>
      <c r="AA123" s="3"/>
      <c r="AB123" s="3"/>
      <c r="AC123" s="3"/>
    </row>
    <row r="124" customFormat="false" ht="21.75" hidden="false" customHeight="true" outlineLevel="0" collapsed="false">
      <c r="A124" s="3"/>
      <c r="B124" s="3"/>
      <c r="C124" s="3"/>
      <c r="D124" s="3"/>
      <c r="E124" s="4"/>
      <c r="F124" s="3"/>
      <c r="G124" s="4"/>
      <c r="H124" s="4"/>
      <c r="I124" s="4"/>
      <c r="J124" s="4"/>
      <c r="K124" s="4"/>
      <c r="L124" s="4"/>
      <c r="M124" s="4"/>
      <c r="N124" s="4"/>
      <c r="O124" s="3"/>
      <c r="P124" s="3"/>
      <c r="Q124" s="3"/>
      <c r="R124" s="3"/>
      <c r="S124" s="3"/>
      <c r="T124" s="3"/>
      <c r="U124" s="3"/>
      <c r="V124" s="3"/>
      <c r="W124" s="3"/>
      <c r="X124" s="3"/>
      <c r="Y124" s="3"/>
      <c r="Z124" s="3"/>
      <c r="AA124" s="3"/>
      <c r="AB124" s="3"/>
      <c r="AC124" s="3"/>
    </row>
    <row r="125" customFormat="false" ht="21.75" hidden="false" customHeight="true" outlineLevel="0" collapsed="false">
      <c r="A125" s="3"/>
      <c r="B125" s="3"/>
      <c r="C125" s="3"/>
      <c r="D125" s="3"/>
      <c r="E125" s="4"/>
      <c r="F125" s="3"/>
      <c r="G125" s="4"/>
      <c r="H125" s="4"/>
      <c r="I125" s="4"/>
      <c r="J125" s="4"/>
      <c r="K125" s="4"/>
      <c r="L125" s="4"/>
      <c r="M125" s="4"/>
      <c r="N125" s="4"/>
      <c r="O125" s="3"/>
      <c r="P125" s="3"/>
      <c r="Q125" s="3"/>
      <c r="R125" s="3"/>
      <c r="S125" s="3"/>
      <c r="T125" s="3"/>
      <c r="U125" s="3"/>
      <c r="V125" s="3"/>
      <c r="W125" s="3"/>
      <c r="X125" s="3"/>
      <c r="Y125" s="3"/>
      <c r="Z125" s="3"/>
      <c r="AA125" s="3"/>
      <c r="AB125" s="3"/>
      <c r="AC125" s="3"/>
    </row>
    <row r="126" customFormat="false" ht="21.75" hidden="false" customHeight="true" outlineLevel="0" collapsed="false">
      <c r="A126" s="3"/>
      <c r="B126" s="3"/>
      <c r="C126" s="3"/>
      <c r="D126" s="3"/>
      <c r="E126" s="4"/>
      <c r="F126" s="3"/>
      <c r="G126" s="4"/>
      <c r="H126" s="4"/>
      <c r="I126" s="4"/>
      <c r="J126" s="4"/>
      <c r="K126" s="4"/>
      <c r="L126" s="4"/>
      <c r="M126" s="4"/>
      <c r="N126" s="4"/>
      <c r="O126" s="3"/>
      <c r="P126" s="3"/>
      <c r="Q126" s="3"/>
      <c r="R126" s="3"/>
      <c r="S126" s="3"/>
      <c r="T126" s="3"/>
      <c r="U126" s="3"/>
      <c r="V126" s="3"/>
      <c r="W126" s="3"/>
      <c r="X126" s="3"/>
      <c r="Y126" s="3"/>
      <c r="Z126" s="3"/>
      <c r="AA126" s="3"/>
      <c r="AB126" s="3"/>
      <c r="AC126" s="3"/>
    </row>
    <row r="127" customFormat="false" ht="21.75" hidden="false" customHeight="true" outlineLevel="0" collapsed="false">
      <c r="A127" s="3"/>
      <c r="B127" s="3"/>
      <c r="C127" s="3"/>
      <c r="D127" s="3"/>
      <c r="E127" s="4"/>
      <c r="F127" s="3"/>
      <c r="G127" s="4"/>
      <c r="H127" s="4"/>
      <c r="I127" s="4"/>
      <c r="J127" s="4"/>
      <c r="K127" s="4"/>
      <c r="L127" s="4"/>
      <c r="M127" s="4"/>
      <c r="N127" s="4"/>
      <c r="O127" s="3"/>
      <c r="P127" s="3"/>
      <c r="Q127" s="3"/>
      <c r="R127" s="3"/>
      <c r="S127" s="3"/>
      <c r="T127" s="3"/>
      <c r="U127" s="3"/>
      <c r="V127" s="3"/>
      <c r="W127" s="3"/>
      <c r="X127" s="3"/>
      <c r="Y127" s="3"/>
      <c r="Z127" s="3"/>
      <c r="AA127" s="3"/>
      <c r="AB127" s="3"/>
      <c r="AC127" s="3"/>
    </row>
    <row r="128" customFormat="false" ht="21.75" hidden="false" customHeight="true" outlineLevel="0" collapsed="false">
      <c r="A128" s="3"/>
      <c r="B128" s="3"/>
      <c r="C128" s="3"/>
      <c r="D128" s="3"/>
      <c r="E128" s="4"/>
      <c r="F128" s="3"/>
      <c r="G128" s="4"/>
      <c r="H128" s="4"/>
      <c r="I128" s="4"/>
      <c r="J128" s="4"/>
      <c r="K128" s="4"/>
      <c r="L128" s="4"/>
      <c r="M128" s="4"/>
      <c r="N128" s="4"/>
      <c r="O128" s="3"/>
      <c r="P128" s="3"/>
      <c r="Q128" s="3"/>
      <c r="R128" s="3"/>
      <c r="S128" s="3"/>
      <c r="T128" s="3"/>
      <c r="U128" s="3"/>
      <c r="V128" s="3"/>
      <c r="W128" s="3"/>
      <c r="X128" s="3"/>
      <c r="Y128" s="3"/>
      <c r="Z128" s="3"/>
      <c r="AA128" s="3"/>
      <c r="AB128" s="3"/>
      <c r="AC128" s="3"/>
    </row>
    <row r="129" customFormat="false" ht="21.75" hidden="false" customHeight="true" outlineLevel="0" collapsed="false">
      <c r="A129" s="3"/>
      <c r="B129" s="3"/>
      <c r="C129" s="3"/>
      <c r="D129" s="3"/>
      <c r="E129" s="4"/>
      <c r="F129" s="3"/>
      <c r="G129" s="4"/>
      <c r="H129" s="4"/>
      <c r="I129" s="4"/>
      <c r="J129" s="4"/>
      <c r="K129" s="4"/>
      <c r="L129" s="4"/>
      <c r="M129" s="4"/>
      <c r="N129" s="4"/>
      <c r="O129" s="3"/>
      <c r="P129" s="3"/>
      <c r="Q129" s="3"/>
      <c r="R129" s="3"/>
      <c r="S129" s="3"/>
      <c r="T129" s="3"/>
      <c r="U129" s="3"/>
      <c r="V129" s="3"/>
      <c r="W129" s="3"/>
      <c r="X129" s="3"/>
      <c r="Y129" s="3"/>
      <c r="Z129" s="3"/>
      <c r="AA129" s="3"/>
      <c r="AB129" s="3"/>
      <c r="AC129" s="3"/>
    </row>
    <row r="130" customFormat="false" ht="21.75" hidden="false" customHeight="true" outlineLevel="0" collapsed="false">
      <c r="A130" s="3"/>
      <c r="B130" s="3"/>
      <c r="C130" s="3"/>
      <c r="D130" s="3"/>
      <c r="E130" s="4"/>
      <c r="F130" s="3"/>
      <c r="G130" s="4"/>
      <c r="H130" s="4"/>
      <c r="I130" s="4"/>
      <c r="J130" s="4"/>
      <c r="K130" s="4"/>
      <c r="L130" s="4"/>
      <c r="M130" s="4"/>
      <c r="N130" s="4"/>
      <c r="O130" s="3"/>
      <c r="P130" s="3"/>
      <c r="Q130" s="3"/>
      <c r="R130" s="3"/>
      <c r="S130" s="3"/>
      <c r="T130" s="3"/>
      <c r="U130" s="3"/>
      <c r="V130" s="3"/>
      <c r="W130" s="3"/>
      <c r="X130" s="3"/>
      <c r="Y130" s="3"/>
      <c r="Z130" s="3"/>
      <c r="AA130" s="3"/>
      <c r="AB130" s="3"/>
      <c r="AC130" s="3"/>
    </row>
    <row r="131" customFormat="false" ht="21.75" hidden="false" customHeight="true" outlineLevel="0" collapsed="false">
      <c r="A131" s="3"/>
      <c r="B131" s="3"/>
      <c r="C131" s="3"/>
      <c r="D131" s="3"/>
      <c r="E131" s="4"/>
      <c r="F131" s="3"/>
      <c r="G131" s="4"/>
      <c r="H131" s="4"/>
      <c r="I131" s="4"/>
      <c r="J131" s="4"/>
      <c r="K131" s="4"/>
      <c r="L131" s="4"/>
      <c r="M131" s="4"/>
      <c r="N131" s="4"/>
      <c r="O131" s="3"/>
      <c r="P131" s="3"/>
      <c r="Q131" s="3"/>
      <c r="R131" s="3"/>
      <c r="S131" s="3"/>
      <c r="T131" s="3"/>
      <c r="U131" s="3"/>
      <c r="V131" s="3"/>
      <c r="W131" s="3"/>
      <c r="X131" s="3"/>
      <c r="Y131" s="3"/>
      <c r="Z131" s="3"/>
      <c r="AA131" s="3"/>
      <c r="AB131" s="3"/>
      <c r="AC131" s="3"/>
    </row>
    <row r="132" customFormat="false" ht="21.75" hidden="false" customHeight="true" outlineLevel="0" collapsed="false">
      <c r="A132" s="3"/>
      <c r="B132" s="3"/>
      <c r="C132" s="3"/>
      <c r="D132" s="3"/>
      <c r="E132" s="4"/>
      <c r="F132" s="3"/>
      <c r="G132" s="4"/>
      <c r="H132" s="4"/>
      <c r="I132" s="4"/>
      <c r="J132" s="4"/>
      <c r="K132" s="4"/>
      <c r="L132" s="4"/>
      <c r="M132" s="4"/>
      <c r="N132" s="4"/>
      <c r="O132" s="3"/>
      <c r="P132" s="3"/>
      <c r="Q132" s="3"/>
      <c r="R132" s="3"/>
      <c r="S132" s="3"/>
      <c r="T132" s="3"/>
      <c r="U132" s="3"/>
      <c r="V132" s="3"/>
      <c r="W132" s="3"/>
      <c r="X132" s="3"/>
      <c r="Y132" s="3"/>
      <c r="Z132" s="3"/>
      <c r="AA132" s="3"/>
      <c r="AB132" s="3"/>
      <c r="AC132" s="3"/>
    </row>
    <row r="133" customFormat="false" ht="21.75" hidden="false" customHeight="true" outlineLevel="0" collapsed="false">
      <c r="A133" s="3"/>
      <c r="B133" s="3"/>
      <c r="C133" s="3"/>
      <c r="D133" s="3"/>
      <c r="E133" s="4"/>
      <c r="F133" s="3"/>
      <c r="G133" s="4"/>
      <c r="H133" s="4"/>
      <c r="I133" s="4"/>
      <c r="J133" s="4"/>
      <c r="K133" s="4"/>
      <c r="L133" s="4"/>
      <c r="M133" s="4"/>
      <c r="N133" s="4"/>
      <c r="O133" s="3"/>
      <c r="P133" s="3"/>
      <c r="Q133" s="3"/>
      <c r="R133" s="3"/>
      <c r="S133" s="3"/>
      <c r="T133" s="3"/>
      <c r="U133" s="3"/>
      <c r="V133" s="3"/>
      <c r="W133" s="3"/>
      <c r="X133" s="3"/>
      <c r="Y133" s="3"/>
      <c r="Z133" s="3"/>
      <c r="AA133" s="3"/>
      <c r="AB133" s="3"/>
      <c r="AC133" s="3"/>
    </row>
    <row r="134" customFormat="false" ht="21.75" hidden="false" customHeight="true" outlineLevel="0" collapsed="false">
      <c r="A134" s="3"/>
      <c r="B134" s="3"/>
      <c r="C134" s="3"/>
      <c r="D134" s="3"/>
      <c r="E134" s="4"/>
      <c r="F134" s="3"/>
      <c r="G134" s="4"/>
      <c r="H134" s="4"/>
      <c r="I134" s="4"/>
      <c r="J134" s="4"/>
      <c r="K134" s="4"/>
      <c r="L134" s="4"/>
      <c r="M134" s="4"/>
      <c r="N134" s="4"/>
      <c r="O134" s="3"/>
      <c r="P134" s="3"/>
      <c r="Q134" s="3"/>
      <c r="R134" s="3"/>
      <c r="S134" s="3"/>
      <c r="T134" s="3"/>
      <c r="U134" s="3"/>
      <c r="V134" s="3"/>
      <c r="W134" s="3"/>
      <c r="X134" s="3"/>
      <c r="Y134" s="3"/>
      <c r="Z134" s="3"/>
      <c r="AA134" s="3"/>
      <c r="AB134" s="3"/>
      <c r="AC134" s="3"/>
    </row>
    <row r="135" customFormat="false" ht="21.75" hidden="false" customHeight="true" outlineLevel="0" collapsed="false">
      <c r="A135" s="3"/>
      <c r="B135" s="3"/>
      <c r="C135" s="3"/>
      <c r="D135" s="3"/>
      <c r="E135" s="4"/>
      <c r="F135" s="3"/>
      <c r="G135" s="4"/>
      <c r="H135" s="4"/>
      <c r="I135" s="4"/>
      <c r="J135" s="4"/>
      <c r="K135" s="4"/>
      <c r="L135" s="4"/>
      <c r="M135" s="4"/>
      <c r="N135" s="4"/>
      <c r="O135" s="3"/>
      <c r="P135" s="3"/>
      <c r="Q135" s="3"/>
      <c r="R135" s="3"/>
      <c r="S135" s="3"/>
      <c r="T135" s="3"/>
      <c r="U135" s="3"/>
      <c r="V135" s="3"/>
      <c r="W135" s="3"/>
      <c r="X135" s="3"/>
      <c r="Y135" s="3"/>
      <c r="Z135" s="3"/>
      <c r="AA135" s="3"/>
      <c r="AB135" s="3"/>
      <c r="AC135" s="3"/>
    </row>
    <row r="136" customFormat="false" ht="21.75" hidden="false" customHeight="true" outlineLevel="0" collapsed="false">
      <c r="A136" s="3"/>
      <c r="B136" s="3"/>
      <c r="C136" s="3"/>
      <c r="D136" s="3"/>
      <c r="E136" s="4"/>
      <c r="F136" s="3"/>
      <c r="G136" s="4"/>
      <c r="H136" s="4"/>
      <c r="I136" s="4"/>
      <c r="J136" s="4"/>
      <c r="K136" s="4"/>
      <c r="L136" s="4"/>
      <c r="M136" s="4"/>
      <c r="N136" s="4"/>
      <c r="O136" s="3"/>
      <c r="P136" s="3"/>
      <c r="Q136" s="3"/>
      <c r="R136" s="3"/>
      <c r="S136" s="3"/>
      <c r="T136" s="3"/>
      <c r="U136" s="3"/>
      <c r="V136" s="3"/>
      <c r="W136" s="3"/>
      <c r="X136" s="3"/>
      <c r="Y136" s="3"/>
      <c r="Z136" s="3"/>
      <c r="AA136" s="3"/>
      <c r="AB136" s="3"/>
      <c r="AC136" s="3"/>
    </row>
    <row r="137" customFormat="false" ht="21.75" hidden="false" customHeight="true" outlineLevel="0" collapsed="false">
      <c r="A137" s="3"/>
      <c r="B137" s="3"/>
      <c r="C137" s="3"/>
      <c r="D137" s="3"/>
      <c r="E137" s="4"/>
      <c r="F137" s="3"/>
      <c r="G137" s="4"/>
      <c r="H137" s="4"/>
      <c r="I137" s="4"/>
      <c r="J137" s="4"/>
      <c r="K137" s="4"/>
      <c r="L137" s="4"/>
      <c r="M137" s="4"/>
      <c r="N137" s="4"/>
      <c r="O137" s="3"/>
      <c r="P137" s="3"/>
      <c r="Q137" s="3"/>
      <c r="R137" s="3"/>
      <c r="S137" s="3"/>
      <c r="T137" s="3"/>
      <c r="U137" s="3"/>
      <c r="V137" s="3"/>
      <c r="W137" s="3"/>
      <c r="X137" s="3"/>
      <c r="Y137" s="3"/>
      <c r="Z137" s="3"/>
      <c r="AA137" s="3"/>
      <c r="AB137" s="3"/>
      <c r="AC137" s="3"/>
    </row>
    <row r="138" customFormat="false" ht="21.75" hidden="false" customHeight="true" outlineLevel="0" collapsed="false">
      <c r="A138" s="3"/>
      <c r="B138" s="3"/>
      <c r="C138" s="3"/>
      <c r="D138" s="3"/>
      <c r="E138" s="4"/>
      <c r="F138" s="3"/>
      <c r="G138" s="4"/>
      <c r="H138" s="4"/>
      <c r="I138" s="4"/>
      <c r="J138" s="4"/>
      <c r="K138" s="4"/>
      <c r="L138" s="4"/>
      <c r="M138" s="4"/>
      <c r="N138" s="4"/>
      <c r="O138" s="3"/>
      <c r="P138" s="3"/>
      <c r="Q138" s="3"/>
      <c r="R138" s="3"/>
      <c r="S138" s="3"/>
      <c r="T138" s="3"/>
      <c r="U138" s="3"/>
      <c r="V138" s="3"/>
      <c r="W138" s="3"/>
      <c r="X138" s="3"/>
      <c r="Y138" s="3"/>
      <c r="Z138" s="3"/>
      <c r="AA138" s="3"/>
      <c r="AB138" s="3"/>
      <c r="AC138" s="3"/>
    </row>
    <row r="139" customFormat="false" ht="21.75" hidden="false" customHeight="true" outlineLevel="0" collapsed="false">
      <c r="A139" s="3"/>
      <c r="B139" s="3"/>
      <c r="C139" s="3"/>
      <c r="D139" s="3"/>
      <c r="E139" s="4"/>
      <c r="F139" s="3"/>
      <c r="G139" s="4"/>
      <c r="H139" s="4"/>
      <c r="I139" s="4"/>
      <c r="J139" s="4"/>
      <c r="K139" s="4"/>
      <c r="L139" s="4"/>
      <c r="M139" s="4"/>
      <c r="N139" s="4"/>
      <c r="O139" s="3"/>
      <c r="P139" s="3"/>
      <c r="Q139" s="3"/>
      <c r="R139" s="3"/>
      <c r="S139" s="3"/>
      <c r="T139" s="3"/>
      <c r="U139" s="3"/>
      <c r="V139" s="3"/>
      <c r="W139" s="3"/>
      <c r="X139" s="3"/>
      <c r="Y139" s="3"/>
      <c r="Z139" s="3"/>
      <c r="AA139" s="3"/>
      <c r="AB139" s="3"/>
      <c r="AC139" s="3"/>
    </row>
    <row r="140" customFormat="false" ht="21.75" hidden="false" customHeight="true" outlineLevel="0" collapsed="false">
      <c r="A140" s="3"/>
      <c r="B140" s="3"/>
      <c r="C140" s="3"/>
      <c r="D140" s="3"/>
      <c r="E140" s="4"/>
      <c r="F140" s="3"/>
      <c r="G140" s="4"/>
      <c r="H140" s="4"/>
      <c r="I140" s="4"/>
      <c r="J140" s="4"/>
      <c r="K140" s="4"/>
      <c r="L140" s="4"/>
      <c r="M140" s="4"/>
      <c r="N140" s="4"/>
      <c r="O140" s="3"/>
      <c r="P140" s="3"/>
      <c r="Q140" s="3"/>
      <c r="R140" s="3"/>
      <c r="S140" s="3"/>
      <c r="T140" s="3"/>
      <c r="U140" s="3"/>
      <c r="V140" s="3"/>
      <c r="W140" s="3"/>
      <c r="X140" s="3"/>
      <c r="Y140" s="3"/>
      <c r="Z140" s="3"/>
      <c r="AA140" s="3"/>
      <c r="AB140" s="3"/>
      <c r="AC140" s="3"/>
    </row>
    <row r="141" customFormat="false" ht="21.75" hidden="false" customHeight="true" outlineLevel="0" collapsed="false">
      <c r="A141" s="3"/>
      <c r="B141" s="3"/>
      <c r="C141" s="3"/>
      <c r="D141" s="3"/>
      <c r="E141" s="4"/>
      <c r="F141" s="3"/>
      <c r="G141" s="4"/>
      <c r="H141" s="4"/>
      <c r="I141" s="4"/>
      <c r="J141" s="4"/>
      <c r="K141" s="4"/>
      <c r="L141" s="4"/>
      <c r="M141" s="4"/>
      <c r="N141" s="4"/>
      <c r="O141" s="3"/>
      <c r="P141" s="3"/>
      <c r="Q141" s="3"/>
      <c r="R141" s="3"/>
      <c r="S141" s="3"/>
      <c r="T141" s="3"/>
      <c r="U141" s="3"/>
      <c r="V141" s="3"/>
      <c r="W141" s="3"/>
      <c r="X141" s="3"/>
      <c r="Y141" s="3"/>
      <c r="Z141" s="3"/>
      <c r="AA141" s="3"/>
      <c r="AB141" s="3"/>
      <c r="AC141" s="3"/>
    </row>
    <row r="142" customFormat="false" ht="21.75" hidden="false" customHeight="true" outlineLevel="0" collapsed="false">
      <c r="A142" s="3"/>
      <c r="B142" s="3"/>
      <c r="C142" s="3"/>
      <c r="D142" s="3"/>
      <c r="E142" s="4"/>
      <c r="F142" s="3"/>
      <c r="G142" s="4"/>
      <c r="H142" s="4"/>
      <c r="I142" s="4"/>
      <c r="J142" s="4"/>
      <c r="K142" s="4"/>
      <c r="L142" s="4"/>
      <c r="M142" s="4"/>
      <c r="N142" s="4"/>
      <c r="O142" s="3"/>
      <c r="P142" s="3"/>
      <c r="Q142" s="3"/>
      <c r="R142" s="3"/>
      <c r="S142" s="3"/>
      <c r="T142" s="3"/>
      <c r="U142" s="3"/>
      <c r="V142" s="3"/>
      <c r="W142" s="3"/>
      <c r="X142" s="3"/>
      <c r="Y142" s="3"/>
      <c r="Z142" s="3"/>
      <c r="AA142" s="3"/>
      <c r="AB142" s="3"/>
      <c r="AC142" s="3"/>
    </row>
    <row r="143" customFormat="false" ht="21.75" hidden="false" customHeight="true" outlineLevel="0" collapsed="false">
      <c r="A143" s="3"/>
      <c r="B143" s="3"/>
      <c r="C143" s="3"/>
      <c r="D143" s="3"/>
      <c r="E143" s="4"/>
      <c r="F143" s="3"/>
      <c r="G143" s="4"/>
      <c r="H143" s="4"/>
      <c r="I143" s="4"/>
      <c r="J143" s="4"/>
      <c r="K143" s="4"/>
      <c r="L143" s="4"/>
      <c r="M143" s="4"/>
      <c r="N143" s="4"/>
      <c r="O143" s="3"/>
      <c r="P143" s="3"/>
      <c r="Q143" s="3"/>
      <c r="R143" s="3"/>
      <c r="S143" s="3"/>
      <c r="T143" s="3"/>
      <c r="U143" s="3"/>
      <c r="V143" s="3"/>
      <c r="W143" s="3"/>
      <c r="X143" s="3"/>
      <c r="Y143" s="3"/>
      <c r="Z143" s="3"/>
      <c r="AA143" s="3"/>
      <c r="AB143" s="3"/>
      <c r="AC143" s="3"/>
    </row>
    <row r="144" customFormat="false" ht="21.75" hidden="false" customHeight="true" outlineLevel="0" collapsed="false">
      <c r="A144" s="3"/>
      <c r="B144" s="3"/>
      <c r="C144" s="3"/>
      <c r="D144" s="3"/>
      <c r="E144" s="4"/>
      <c r="F144" s="3"/>
      <c r="G144" s="4"/>
      <c r="H144" s="4"/>
      <c r="I144" s="4"/>
      <c r="J144" s="4"/>
      <c r="K144" s="4"/>
      <c r="L144" s="4"/>
      <c r="M144" s="4"/>
      <c r="N144" s="4"/>
      <c r="O144" s="3"/>
      <c r="P144" s="3"/>
      <c r="Q144" s="3"/>
      <c r="R144" s="3"/>
      <c r="S144" s="3"/>
      <c r="T144" s="3"/>
      <c r="U144" s="3"/>
      <c r="V144" s="3"/>
      <c r="W144" s="3"/>
      <c r="X144" s="3"/>
      <c r="Y144" s="3"/>
      <c r="Z144" s="3"/>
      <c r="AA144" s="3"/>
      <c r="AB144" s="3"/>
      <c r="AC144" s="3"/>
    </row>
    <row r="145" customFormat="false" ht="21.75" hidden="false" customHeight="true" outlineLevel="0" collapsed="false">
      <c r="A145" s="3"/>
      <c r="B145" s="3"/>
      <c r="C145" s="3"/>
      <c r="D145" s="3"/>
      <c r="E145" s="4"/>
      <c r="F145" s="3"/>
      <c r="G145" s="4"/>
      <c r="H145" s="4"/>
      <c r="I145" s="4"/>
      <c r="J145" s="4"/>
      <c r="K145" s="4"/>
      <c r="L145" s="4"/>
      <c r="M145" s="4"/>
      <c r="N145" s="4"/>
      <c r="O145" s="3"/>
      <c r="P145" s="3"/>
      <c r="Q145" s="3"/>
      <c r="R145" s="3"/>
      <c r="S145" s="3"/>
      <c r="T145" s="3"/>
      <c r="U145" s="3"/>
      <c r="V145" s="3"/>
      <c r="W145" s="3"/>
      <c r="X145" s="3"/>
      <c r="Y145" s="3"/>
      <c r="Z145" s="3"/>
      <c r="AA145" s="3"/>
      <c r="AB145" s="3"/>
      <c r="AC145" s="3"/>
    </row>
    <row r="146" customFormat="false" ht="21.75" hidden="false" customHeight="true" outlineLevel="0" collapsed="false">
      <c r="A146" s="3"/>
      <c r="B146" s="3"/>
      <c r="C146" s="3"/>
      <c r="D146" s="3"/>
      <c r="E146" s="4"/>
      <c r="F146" s="3"/>
      <c r="G146" s="4"/>
      <c r="H146" s="4"/>
      <c r="I146" s="4"/>
      <c r="J146" s="4"/>
      <c r="K146" s="4"/>
      <c r="L146" s="4"/>
      <c r="M146" s="4"/>
      <c r="N146" s="4"/>
      <c r="O146" s="3"/>
      <c r="P146" s="3"/>
      <c r="Q146" s="3"/>
      <c r="R146" s="3"/>
      <c r="S146" s="3"/>
      <c r="T146" s="3"/>
      <c r="U146" s="3"/>
      <c r="V146" s="3"/>
      <c r="W146" s="3"/>
      <c r="X146" s="3"/>
      <c r="Y146" s="3"/>
      <c r="Z146" s="3"/>
      <c r="AA146" s="3"/>
      <c r="AB146" s="3"/>
      <c r="AC146" s="3"/>
    </row>
    <row r="147" customFormat="false" ht="21.75" hidden="false" customHeight="true" outlineLevel="0" collapsed="false">
      <c r="A147" s="3"/>
      <c r="B147" s="3"/>
      <c r="C147" s="3"/>
      <c r="D147" s="3"/>
      <c r="E147" s="4"/>
      <c r="F147" s="3"/>
      <c r="G147" s="4"/>
      <c r="H147" s="4"/>
      <c r="I147" s="4"/>
      <c r="J147" s="4"/>
      <c r="K147" s="4"/>
      <c r="L147" s="4"/>
      <c r="M147" s="4"/>
      <c r="N147" s="4"/>
      <c r="O147" s="3"/>
      <c r="P147" s="3"/>
      <c r="Q147" s="3"/>
      <c r="R147" s="3"/>
      <c r="S147" s="3"/>
      <c r="T147" s="3"/>
      <c r="U147" s="3"/>
      <c r="V147" s="3"/>
      <c r="W147" s="3"/>
      <c r="X147" s="3"/>
      <c r="Y147" s="3"/>
      <c r="Z147" s="3"/>
      <c r="AA147" s="3"/>
      <c r="AB147" s="3"/>
      <c r="AC147" s="3"/>
    </row>
    <row r="148" customFormat="false" ht="21.75" hidden="false" customHeight="true" outlineLevel="0" collapsed="false">
      <c r="A148" s="3"/>
      <c r="B148" s="3"/>
      <c r="C148" s="3"/>
      <c r="D148" s="3"/>
      <c r="E148" s="4"/>
      <c r="F148" s="3"/>
      <c r="G148" s="4"/>
      <c r="H148" s="4"/>
      <c r="I148" s="4"/>
      <c r="J148" s="4"/>
      <c r="K148" s="4"/>
      <c r="L148" s="4"/>
      <c r="M148" s="4"/>
      <c r="N148" s="4"/>
      <c r="O148" s="3"/>
      <c r="P148" s="3"/>
      <c r="Q148" s="3"/>
      <c r="R148" s="3"/>
      <c r="S148" s="3"/>
      <c r="T148" s="3"/>
      <c r="U148" s="3"/>
      <c r="V148" s="3"/>
      <c r="W148" s="3"/>
      <c r="X148" s="3"/>
      <c r="Y148" s="3"/>
      <c r="Z148" s="3"/>
      <c r="AA148" s="3"/>
      <c r="AB148" s="3"/>
      <c r="AC148" s="3"/>
    </row>
    <row r="149" customFormat="false" ht="21.75" hidden="false" customHeight="true" outlineLevel="0" collapsed="false">
      <c r="A149" s="3"/>
      <c r="B149" s="3"/>
      <c r="C149" s="3"/>
      <c r="D149" s="3"/>
      <c r="E149" s="4"/>
      <c r="F149" s="3"/>
      <c r="G149" s="4"/>
      <c r="H149" s="4"/>
      <c r="I149" s="4"/>
      <c r="J149" s="4"/>
      <c r="K149" s="4"/>
      <c r="L149" s="4"/>
      <c r="M149" s="4"/>
      <c r="N149" s="4"/>
      <c r="O149" s="3"/>
      <c r="P149" s="3"/>
      <c r="Q149" s="3"/>
      <c r="R149" s="3"/>
      <c r="S149" s="3"/>
      <c r="T149" s="3"/>
      <c r="U149" s="3"/>
      <c r="V149" s="3"/>
      <c r="W149" s="3"/>
      <c r="X149" s="3"/>
      <c r="Y149" s="3"/>
      <c r="Z149" s="3"/>
      <c r="AA149" s="3"/>
      <c r="AB149" s="3"/>
      <c r="AC149" s="3"/>
    </row>
    <row r="150" customFormat="false" ht="21.75" hidden="false" customHeight="true" outlineLevel="0" collapsed="false">
      <c r="A150" s="3"/>
      <c r="B150" s="3"/>
      <c r="C150" s="3"/>
      <c r="D150" s="3"/>
      <c r="E150" s="4"/>
      <c r="F150" s="3"/>
      <c r="G150" s="4"/>
      <c r="H150" s="4"/>
      <c r="I150" s="4"/>
      <c r="J150" s="4"/>
      <c r="K150" s="4"/>
      <c r="L150" s="4"/>
      <c r="M150" s="4"/>
      <c r="N150" s="4"/>
      <c r="O150" s="3"/>
      <c r="P150" s="3"/>
      <c r="Q150" s="3"/>
      <c r="R150" s="3"/>
      <c r="S150" s="3"/>
      <c r="T150" s="3"/>
      <c r="U150" s="3"/>
      <c r="V150" s="3"/>
      <c r="W150" s="3"/>
      <c r="X150" s="3"/>
      <c r="Y150" s="3"/>
      <c r="Z150" s="3"/>
      <c r="AA150" s="3"/>
      <c r="AB150" s="3"/>
      <c r="AC150" s="3"/>
    </row>
    <row r="151" customFormat="false" ht="21.75" hidden="false" customHeight="true" outlineLevel="0" collapsed="false">
      <c r="A151" s="3"/>
      <c r="B151" s="3"/>
      <c r="C151" s="3"/>
      <c r="D151" s="3"/>
      <c r="E151" s="4"/>
      <c r="F151" s="3"/>
      <c r="G151" s="4"/>
      <c r="H151" s="4"/>
      <c r="I151" s="4"/>
      <c r="J151" s="4"/>
      <c r="K151" s="4"/>
      <c r="L151" s="4"/>
      <c r="M151" s="4"/>
      <c r="N151" s="4"/>
      <c r="O151" s="3"/>
      <c r="P151" s="3"/>
      <c r="Q151" s="3"/>
      <c r="R151" s="3"/>
      <c r="S151" s="3"/>
      <c r="T151" s="3"/>
      <c r="U151" s="3"/>
      <c r="V151" s="3"/>
      <c r="W151" s="3"/>
      <c r="X151" s="3"/>
      <c r="Y151" s="3"/>
      <c r="Z151" s="3"/>
      <c r="AA151" s="3"/>
      <c r="AB151" s="3"/>
      <c r="AC151" s="3"/>
    </row>
    <row r="152" customFormat="false" ht="21.75" hidden="false" customHeight="true" outlineLevel="0" collapsed="false">
      <c r="A152" s="3"/>
      <c r="B152" s="3"/>
      <c r="C152" s="3"/>
      <c r="D152" s="3"/>
      <c r="E152" s="4"/>
      <c r="F152" s="3"/>
      <c r="G152" s="4"/>
      <c r="H152" s="4"/>
      <c r="I152" s="4"/>
      <c r="J152" s="4"/>
      <c r="K152" s="4"/>
      <c r="L152" s="4"/>
      <c r="M152" s="4"/>
      <c r="N152" s="4"/>
      <c r="O152" s="3"/>
      <c r="P152" s="3"/>
      <c r="Q152" s="3"/>
      <c r="R152" s="3"/>
      <c r="S152" s="3"/>
      <c r="T152" s="3"/>
      <c r="U152" s="3"/>
      <c r="V152" s="3"/>
      <c r="W152" s="3"/>
      <c r="X152" s="3"/>
      <c r="Y152" s="3"/>
      <c r="Z152" s="3"/>
      <c r="AA152" s="3"/>
      <c r="AB152" s="3"/>
      <c r="AC152" s="3"/>
    </row>
    <row r="153" customFormat="false" ht="21.75" hidden="false" customHeight="true" outlineLevel="0" collapsed="false">
      <c r="A153" s="3"/>
      <c r="B153" s="3"/>
      <c r="C153" s="3"/>
      <c r="D153" s="3"/>
      <c r="E153" s="4"/>
      <c r="F153" s="3"/>
      <c r="G153" s="4"/>
      <c r="H153" s="4"/>
      <c r="I153" s="4"/>
      <c r="J153" s="4"/>
      <c r="K153" s="4"/>
      <c r="L153" s="4"/>
      <c r="M153" s="4"/>
      <c r="N153" s="4"/>
      <c r="O153" s="3"/>
      <c r="P153" s="3"/>
      <c r="Q153" s="3"/>
      <c r="R153" s="3"/>
      <c r="S153" s="3"/>
      <c r="T153" s="3"/>
      <c r="U153" s="3"/>
      <c r="V153" s="3"/>
      <c r="W153" s="3"/>
      <c r="X153" s="3"/>
      <c r="Y153" s="3"/>
      <c r="Z153" s="3"/>
      <c r="AA153" s="3"/>
      <c r="AB153" s="3"/>
      <c r="AC153" s="3"/>
    </row>
    <row r="154" customFormat="false" ht="21.75" hidden="false" customHeight="true" outlineLevel="0" collapsed="false">
      <c r="A154" s="3"/>
      <c r="B154" s="3"/>
      <c r="C154" s="3"/>
      <c r="D154" s="3"/>
      <c r="E154" s="4"/>
      <c r="F154" s="3"/>
      <c r="G154" s="4"/>
      <c r="H154" s="4"/>
      <c r="I154" s="4"/>
      <c r="J154" s="4"/>
      <c r="K154" s="4"/>
      <c r="L154" s="4"/>
      <c r="M154" s="4"/>
      <c r="N154" s="4"/>
      <c r="O154" s="3"/>
      <c r="P154" s="3"/>
      <c r="Q154" s="3"/>
      <c r="R154" s="3"/>
      <c r="S154" s="3"/>
      <c r="T154" s="3"/>
      <c r="U154" s="3"/>
      <c r="V154" s="3"/>
      <c r="W154" s="3"/>
      <c r="X154" s="3"/>
      <c r="Y154" s="3"/>
      <c r="Z154" s="3"/>
      <c r="AA154" s="3"/>
      <c r="AB154" s="3"/>
      <c r="AC154" s="3"/>
    </row>
    <row r="155" customFormat="false" ht="21.75" hidden="false" customHeight="true" outlineLevel="0" collapsed="false">
      <c r="A155" s="3"/>
      <c r="B155" s="3"/>
      <c r="C155" s="3"/>
      <c r="D155" s="3"/>
      <c r="E155" s="4"/>
      <c r="F155" s="3"/>
      <c r="G155" s="4"/>
      <c r="H155" s="4"/>
      <c r="I155" s="4"/>
      <c r="J155" s="4"/>
      <c r="K155" s="4"/>
      <c r="L155" s="4"/>
      <c r="M155" s="4"/>
      <c r="N155" s="4"/>
      <c r="O155" s="3"/>
      <c r="P155" s="3"/>
      <c r="Q155" s="3"/>
      <c r="R155" s="3"/>
      <c r="S155" s="3"/>
      <c r="T155" s="3"/>
      <c r="U155" s="3"/>
      <c r="V155" s="3"/>
      <c r="W155" s="3"/>
      <c r="X155" s="3"/>
      <c r="Y155" s="3"/>
      <c r="Z155" s="3"/>
      <c r="AA155" s="3"/>
      <c r="AB155" s="3"/>
      <c r="AC155" s="3"/>
    </row>
    <row r="156" customFormat="false" ht="21.75" hidden="false" customHeight="true" outlineLevel="0" collapsed="false">
      <c r="A156" s="3"/>
      <c r="B156" s="3"/>
      <c r="C156" s="3"/>
      <c r="D156" s="3"/>
      <c r="E156" s="4"/>
      <c r="F156" s="3"/>
      <c r="G156" s="4"/>
      <c r="H156" s="4"/>
      <c r="I156" s="4"/>
      <c r="J156" s="4"/>
      <c r="K156" s="4"/>
      <c r="L156" s="4"/>
      <c r="M156" s="4"/>
      <c r="N156" s="4"/>
      <c r="O156" s="3"/>
      <c r="P156" s="3"/>
      <c r="Q156" s="3"/>
      <c r="R156" s="3"/>
      <c r="S156" s="3"/>
      <c r="T156" s="3"/>
      <c r="U156" s="3"/>
      <c r="V156" s="3"/>
      <c r="W156" s="3"/>
      <c r="X156" s="3"/>
      <c r="Y156" s="3"/>
      <c r="Z156" s="3"/>
      <c r="AA156" s="3"/>
      <c r="AB156" s="3"/>
      <c r="AC156" s="3"/>
    </row>
    <row r="157" customFormat="false" ht="21.75" hidden="false" customHeight="true" outlineLevel="0" collapsed="false">
      <c r="A157" s="3"/>
      <c r="B157" s="3"/>
      <c r="C157" s="3"/>
      <c r="D157" s="3"/>
      <c r="E157" s="4"/>
      <c r="F157" s="3"/>
      <c r="G157" s="4"/>
      <c r="H157" s="4"/>
      <c r="I157" s="4"/>
      <c r="J157" s="4"/>
      <c r="K157" s="4"/>
      <c r="L157" s="4"/>
      <c r="M157" s="4"/>
      <c r="N157" s="4"/>
      <c r="O157" s="3"/>
      <c r="P157" s="3"/>
      <c r="Q157" s="3"/>
      <c r="R157" s="3"/>
      <c r="S157" s="3"/>
      <c r="T157" s="3"/>
      <c r="U157" s="3"/>
      <c r="V157" s="3"/>
      <c r="W157" s="3"/>
      <c r="X157" s="3"/>
      <c r="Y157" s="3"/>
      <c r="Z157" s="3"/>
      <c r="AA157" s="3"/>
      <c r="AB157" s="3"/>
      <c r="AC157" s="3"/>
    </row>
    <row r="158" customFormat="false" ht="21.75" hidden="false" customHeight="true" outlineLevel="0" collapsed="false">
      <c r="A158" s="3"/>
      <c r="B158" s="3"/>
      <c r="C158" s="3"/>
      <c r="D158" s="3"/>
      <c r="E158" s="4"/>
      <c r="F158" s="3"/>
      <c r="G158" s="4"/>
      <c r="H158" s="4"/>
      <c r="I158" s="4"/>
      <c r="J158" s="4"/>
      <c r="K158" s="4"/>
      <c r="L158" s="4"/>
      <c r="M158" s="4"/>
      <c r="N158" s="4"/>
      <c r="O158" s="3"/>
      <c r="P158" s="3"/>
      <c r="Q158" s="3"/>
      <c r="R158" s="3"/>
      <c r="S158" s="3"/>
      <c r="T158" s="3"/>
      <c r="U158" s="3"/>
      <c r="V158" s="3"/>
      <c r="W158" s="3"/>
      <c r="X158" s="3"/>
      <c r="Y158" s="3"/>
      <c r="Z158" s="3"/>
      <c r="AA158" s="3"/>
      <c r="AB158" s="3"/>
      <c r="AC158" s="3"/>
    </row>
    <row r="159" customFormat="false" ht="21.75" hidden="false" customHeight="true" outlineLevel="0" collapsed="false">
      <c r="A159" s="3"/>
      <c r="B159" s="3"/>
      <c r="C159" s="3"/>
      <c r="D159" s="3"/>
      <c r="E159" s="4"/>
      <c r="F159" s="3"/>
      <c r="G159" s="4"/>
      <c r="H159" s="4"/>
      <c r="I159" s="4"/>
      <c r="J159" s="4"/>
      <c r="K159" s="4"/>
      <c r="L159" s="4"/>
      <c r="M159" s="4"/>
      <c r="N159" s="4"/>
      <c r="O159" s="3"/>
      <c r="P159" s="3"/>
      <c r="Q159" s="3"/>
      <c r="R159" s="3"/>
      <c r="S159" s="3"/>
      <c r="T159" s="3"/>
      <c r="U159" s="3"/>
      <c r="V159" s="3"/>
      <c r="W159" s="3"/>
      <c r="X159" s="3"/>
      <c r="Y159" s="3"/>
      <c r="Z159" s="3"/>
      <c r="AA159" s="3"/>
      <c r="AB159" s="3"/>
      <c r="AC159" s="3"/>
    </row>
    <row r="160" customFormat="false" ht="21.75" hidden="false" customHeight="true" outlineLevel="0" collapsed="false">
      <c r="A160" s="3"/>
      <c r="B160" s="3"/>
      <c r="C160" s="3"/>
      <c r="D160" s="3"/>
      <c r="E160" s="4"/>
      <c r="F160" s="3"/>
      <c r="G160" s="4"/>
      <c r="H160" s="4"/>
      <c r="I160" s="4"/>
      <c r="J160" s="4"/>
      <c r="K160" s="4"/>
      <c r="L160" s="4"/>
      <c r="M160" s="4"/>
      <c r="N160" s="4"/>
      <c r="O160" s="3"/>
      <c r="P160" s="3"/>
      <c r="Q160" s="3"/>
      <c r="R160" s="3"/>
      <c r="S160" s="3"/>
      <c r="T160" s="3"/>
      <c r="U160" s="3"/>
      <c r="V160" s="3"/>
      <c r="W160" s="3"/>
      <c r="X160" s="3"/>
      <c r="Y160" s="3"/>
      <c r="Z160" s="3"/>
      <c r="AA160" s="3"/>
      <c r="AB160" s="3"/>
      <c r="AC160" s="3"/>
    </row>
    <row r="161" customFormat="false" ht="21.75" hidden="false" customHeight="true" outlineLevel="0" collapsed="false">
      <c r="A161" s="3"/>
      <c r="B161" s="3"/>
      <c r="C161" s="3"/>
      <c r="D161" s="3"/>
      <c r="E161" s="4"/>
      <c r="F161" s="3"/>
      <c r="G161" s="4"/>
      <c r="H161" s="4"/>
      <c r="I161" s="4"/>
      <c r="J161" s="4"/>
      <c r="K161" s="4"/>
      <c r="L161" s="4"/>
      <c r="M161" s="4"/>
      <c r="N161" s="4"/>
      <c r="O161" s="3"/>
      <c r="P161" s="3"/>
      <c r="Q161" s="3"/>
      <c r="R161" s="3"/>
      <c r="S161" s="3"/>
      <c r="T161" s="3"/>
      <c r="U161" s="3"/>
      <c r="V161" s="3"/>
      <c r="W161" s="3"/>
      <c r="X161" s="3"/>
      <c r="Y161" s="3"/>
      <c r="Z161" s="3"/>
      <c r="AA161" s="3"/>
      <c r="AB161" s="3"/>
      <c r="AC161" s="3"/>
    </row>
    <row r="162" customFormat="false" ht="21.75" hidden="false" customHeight="true" outlineLevel="0" collapsed="false">
      <c r="A162" s="3"/>
      <c r="B162" s="3"/>
      <c r="C162" s="3"/>
      <c r="D162" s="3"/>
      <c r="E162" s="4"/>
      <c r="F162" s="3"/>
      <c r="G162" s="4"/>
      <c r="H162" s="4"/>
      <c r="I162" s="4"/>
      <c r="J162" s="4"/>
      <c r="K162" s="4"/>
      <c r="L162" s="4"/>
      <c r="M162" s="4"/>
      <c r="N162" s="4"/>
      <c r="O162" s="3"/>
      <c r="P162" s="3"/>
      <c r="Q162" s="3"/>
      <c r="R162" s="3"/>
      <c r="S162" s="3"/>
      <c r="T162" s="3"/>
      <c r="U162" s="3"/>
      <c r="V162" s="3"/>
      <c r="W162" s="3"/>
      <c r="X162" s="3"/>
      <c r="Y162" s="3"/>
      <c r="Z162" s="3"/>
      <c r="AA162" s="3"/>
      <c r="AB162" s="3"/>
      <c r="AC162" s="3"/>
    </row>
    <row r="163" customFormat="false" ht="21.75" hidden="false" customHeight="true" outlineLevel="0" collapsed="false">
      <c r="A163" s="3"/>
      <c r="B163" s="3"/>
      <c r="C163" s="3"/>
      <c r="D163" s="3"/>
      <c r="E163" s="4"/>
      <c r="F163" s="3"/>
      <c r="G163" s="4"/>
      <c r="H163" s="4"/>
      <c r="I163" s="4"/>
      <c r="J163" s="4"/>
      <c r="K163" s="4"/>
      <c r="L163" s="4"/>
      <c r="M163" s="4"/>
      <c r="N163" s="4"/>
      <c r="O163" s="3"/>
      <c r="P163" s="3"/>
      <c r="Q163" s="3"/>
      <c r="R163" s="3"/>
      <c r="S163" s="3"/>
      <c r="T163" s="3"/>
      <c r="U163" s="3"/>
      <c r="V163" s="3"/>
      <c r="W163" s="3"/>
      <c r="X163" s="3"/>
      <c r="Y163" s="3"/>
      <c r="Z163" s="3"/>
      <c r="AA163" s="3"/>
      <c r="AB163" s="3"/>
      <c r="AC163" s="3"/>
    </row>
    <row r="164" customFormat="false" ht="21.75" hidden="false" customHeight="true" outlineLevel="0" collapsed="false">
      <c r="A164" s="3"/>
      <c r="B164" s="3"/>
      <c r="C164" s="3"/>
      <c r="D164" s="3"/>
      <c r="E164" s="4"/>
      <c r="F164" s="3"/>
      <c r="G164" s="4"/>
      <c r="H164" s="4"/>
      <c r="I164" s="4"/>
      <c r="J164" s="4"/>
      <c r="K164" s="4"/>
      <c r="L164" s="4"/>
      <c r="M164" s="4"/>
      <c r="N164" s="4"/>
      <c r="O164" s="3"/>
      <c r="P164" s="3"/>
      <c r="Q164" s="3"/>
      <c r="R164" s="3"/>
      <c r="S164" s="3"/>
      <c r="T164" s="3"/>
      <c r="U164" s="3"/>
      <c r="V164" s="3"/>
      <c r="W164" s="3"/>
      <c r="X164" s="3"/>
      <c r="Y164" s="3"/>
      <c r="Z164" s="3"/>
      <c r="AA164" s="3"/>
      <c r="AB164" s="3"/>
      <c r="AC164" s="3"/>
    </row>
    <row r="165" customFormat="false" ht="21.75" hidden="false" customHeight="true" outlineLevel="0" collapsed="false">
      <c r="A165" s="3"/>
      <c r="B165" s="3"/>
      <c r="C165" s="3"/>
      <c r="D165" s="3"/>
      <c r="E165" s="4"/>
      <c r="F165" s="3"/>
      <c r="G165" s="4"/>
      <c r="H165" s="4"/>
      <c r="I165" s="4"/>
      <c r="J165" s="4"/>
      <c r="K165" s="4"/>
      <c r="L165" s="4"/>
      <c r="M165" s="4"/>
      <c r="N165" s="4"/>
      <c r="O165" s="3"/>
      <c r="P165" s="3"/>
      <c r="Q165" s="3"/>
      <c r="R165" s="3"/>
      <c r="S165" s="3"/>
      <c r="T165" s="3"/>
      <c r="U165" s="3"/>
      <c r="V165" s="3"/>
      <c r="W165" s="3"/>
      <c r="X165" s="3"/>
      <c r="Y165" s="3"/>
      <c r="Z165" s="3"/>
      <c r="AA165" s="3"/>
      <c r="AB165" s="3"/>
      <c r="AC165" s="3"/>
    </row>
    <row r="166" customFormat="false" ht="21.75" hidden="false" customHeight="true" outlineLevel="0" collapsed="false">
      <c r="A166" s="3"/>
      <c r="B166" s="3"/>
      <c r="C166" s="3"/>
      <c r="D166" s="3"/>
      <c r="E166" s="4"/>
      <c r="F166" s="3"/>
      <c r="G166" s="4"/>
      <c r="H166" s="4"/>
      <c r="I166" s="4"/>
      <c r="J166" s="4"/>
      <c r="K166" s="4"/>
      <c r="L166" s="4"/>
      <c r="M166" s="4"/>
      <c r="N166" s="4"/>
      <c r="O166" s="3"/>
      <c r="P166" s="3"/>
      <c r="Q166" s="3"/>
      <c r="R166" s="3"/>
      <c r="S166" s="3"/>
      <c r="T166" s="3"/>
      <c r="U166" s="3"/>
      <c r="V166" s="3"/>
      <c r="W166" s="3"/>
      <c r="X166" s="3"/>
      <c r="Y166" s="3"/>
      <c r="Z166" s="3"/>
      <c r="AA166" s="3"/>
      <c r="AB166" s="3"/>
      <c r="AC166" s="3"/>
    </row>
    <row r="167" customFormat="false" ht="21.75" hidden="false" customHeight="true" outlineLevel="0" collapsed="false">
      <c r="A167" s="3"/>
      <c r="B167" s="3"/>
      <c r="C167" s="3"/>
      <c r="D167" s="3"/>
      <c r="E167" s="4"/>
      <c r="F167" s="3"/>
      <c r="G167" s="4"/>
      <c r="H167" s="4"/>
      <c r="I167" s="4"/>
      <c r="J167" s="4"/>
      <c r="K167" s="4"/>
      <c r="L167" s="4"/>
      <c r="M167" s="4"/>
      <c r="N167" s="4"/>
      <c r="O167" s="3"/>
      <c r="P167" s="3"/>
      <c r="Q167" s="3"/>
      <c r="R167" s="3"/>
      <c r="S167" s="3"/>
      <c r="T167" s="3"/>
      <c r="U167" s="3"/>
      <c r="V167" s="3"/>
      <c r="W167" s="3"/>
      <c r="X167" s="3"/>
      <c r="Y167" s="3"/>
      <c r="Z167" s="3"/>
      <c r="AA167" s="3"/>
      <c r="AB167" s="3"/>
      <c r="AC167" s="3"/>
    </row>
    <row r="168" customFormat="false" ht="21.75" hidden="false" customHeight="true" outlineLevel="0" collapsed="false">
      <c r="A168" s="3"/>
      <c r="B168" s="3"/>
      <c r="C168" s="3"/>
      <c r="D168" s="3"/>
      <c r="E168" s="4"/>
      <c r="F168" s="3"/>
      <c r="G168" s="4"/>
      <c r="H168" s="4"/>
      <c r="I168" s="4"/>
      <c r="J168" s="4"/>
      <c r="K168" s="4"/>
      <c r="L168" s="4"/>
      <c r="M168" s="4"/>
      <c r="N168" s="4"/>
      <c r="O168" s="3"/>
      <c r="P168" s="3"/>
      <c r="Q168" s="3"/>
      <c r="R168" s="3"/>
      <c r="S168" s="3"/>
      <c r="T168" s="3"/>
      <c r="U168" s="3"/>
      <c r="V168" s="3"/>
      <c r="W168" s="3"/>
      <c r="X168" s="3"/>
      <c r="Y168" s="3"/>
      <c r="Z168" s="3"/>
      <c r="AA168" s="3"/>
      <c r="AB168" s="3"/>
      <c r="AC168" s="3"/>
    </row>
    <row r="169" customFormat="false" ht="21.75" hidden="false" customHeight="true" outlineLevel="0" collapsed="false">
      <c r="A169" s="3"/>
      <c r="B169" s="3"/>
      <c r="C169" s="3"/>
      <c r="D169" s="3"/>
      <c r="E169" s="4"/>
      <c r="F169" s="3"/>
      <c r="G169" s="4"/>
      <c r="H169" s="4"/>
      <c r="I169" s="4"/>
      <c r="J169" s="4"/>
      <c r="K169" s="4"/>
      <c r="L169" s="4"/>
      <c r="M169" s="4"/>
      <c r="N169" s="4"/>
      <c r="O169" s="3"/>
      <c r="P169" s="3"/>
      <c r="Q169" s="3"/>
      <c r="R169" s="3"/>
      <c r="S169" s="3"/>
      <c r="T169" s="3"/>
      <c r="U169" s="3"/>
      <c r="V169" s="3"/>
      <c r="W169" s="3"/>
      <c r="X169" s="3"/>
      <c r="Y169" s="3"/>
      <c r="Z169" s="3"/>
      <c r="AA169" s="3"/>
      <c r="AB169" s="3"/>
      <c r="AC169" s="3"/>
    </row>
    <row r="170" customFormat="false" ht="21.75" hidden="false" customHeight="true" outlineLevel="0" collapsed="false">
      <c r="A170" s="3"/>
      <c r="B170" s="3"/>
      <c r="C170" s="3"/>
      <c r="D170" s="3"/>
      <c r="E170" s="4"/>
      <c r="F170" s="3"/>
      <c r="G170" s="4"/>
      <c r="H170" s="4"/>
      <c r="I170" s="4"/>
      <c r="J170" s="4"/>
      <c r="K170" s="4"/>
      <c r="L170" s="4"/>
      <c r="M170" s="4"/>
      <c r="N170" s="4"/>
      <c r="O170" s="3"/>
      <c r="P170" s="3"/>
      <c r="Q170" s="3"/>
      <c r="R170" s="3"/>
      <c r="S170" s="3"/>
      <c r="T170" s="3"/>
      <c r="U170" s="3"/>
      <c r="V170" s="3"/>
      <c r="W170" s="3"/>
      <c r="X170" s="3"/>
      <c r="Y170" s="3"/>
      <c r="Z170" s="3"/>
      <c r="AA170" s="3"/>
      <c r="AB170" s="3"/>
      <c r="AC170" s="3"/>
    </row>
    <row r="171" customFormat="false" ht="21.75" hidden="false" customHeight="true" outlineLevel="0" collapsed="false">
      <c r="A171" s="3"/>
      <c r="B171" s="3"/>
      <c r="C171" s="3"/>
      <c r="D171" s="3"/>
      <c r="E171" s="4"/>
      <c r="F171" s="3"/>
      <c r="G171" s="4"/>
      <c r="H171" s="4"/>
      <c r="I171" s="4"/>
      <c r="J171" s="4"/>
      <c r="K171" s="4"/>
      <c r="L171" s="4"/>
      <c r="M171" s="4"/>
      <c r="N171" s="4"/>
      <c r="O171" s="3"/>
      <c r="P171" s="3"/>
      <c r="Q171" s="3"/>
      <c r="R171" s="3"/>
      <c r="S171" s="3"/>
      <c r="T171" s="3"/>
      <c r="U171" s="3"/>
      <c r="V171" s="3"/>
      <c r="W171" s="3"/>
      <c r="X171" s="3"/>
      <c r="Y171" s="3"/>
      <c r="Z171" s="3"/>
      <c r="AA171" s="3"/>
      <c r="AB171" s="3"/>
      <c r="AC171" s="3"/>
    </row>
    <row r="172" customFormat="false" ht="21.75" hidden="false" customHeight="true" outlineLevel="0" collapsed="false">
      <c r="A172" s="3"/>
      <c r="B172" s="3"/>
      <c r="C172" s="3"/>
      <c r="D172" s="3"/>
      <c r="E172" s="4"/>
      <c r="F172" s="3"/>
      <c r="G172" s="4"/>
      <c r="H172" s="4"/>
      <c r="I172" s="4"/>
      <c r="J172" s="4"/>
      <c r="K172" s="4"/>
      <c r="L172" s="4"/>
      <c r="M172" s="4"/>
      <c r="N172" s="4"/>
      <c r="O172" s="3"/>
      <c r="P172" s="3"/>
      <c r="Q172" s="3"/>
      <c r="R172" s="3"/>
      <c r="S172" s="3"/>
      <c r="T172" s="3"/>
      <c r="U172" s="3"/>
      <c r="V172" s="3"/>
      <c r="W172" s="3"/>
      <c r="X172" s="3"/>
      <c r="Y172" s="3"/>
      <c r="Z172" s="3"/>
      <c r="AA172" s="3"/>
      <c r="AB172" s="3"/>
      <c r="AC172" s="3"/>
    </row>
    <row r="173" customFormat="false" ht="21.75" hidden="false" customHeight="true" outlineLevel="0" collapsed="false">
      <c r="A173" s="3"/>
      <c r="B173" s="3"/>
      <c r="C173" s="3"/>
      <c r="D173" s="3"/>
      <c r="E173" s="4"/>
      <c r="F173" s="3"/>
      <c r="G173" s="4"/>
      <c r="H173" s="4"/>
      <c r="I173" s="4"/>
      <c r="J173" s="4"/>
      <c r="K173" s="4"/>
      <c r="L173" s="4"/>
      <c r="M173" s="4"/>
      <c r="N173" s="4"/>
      <c r="O173" s="3"/>
      <c r="P173" s="3"/>
      <c r="Q173" s="3"/>
      <c r="R173" s="3"/>
      <c r="S173" s="3"/>
      <c r="T173" s="3"/>
      <c r="U173" s="3"/>
      <c r="V173" s="3"/>
      <c r="W173" s="3"/>
      <c r="X173" s="3"/>
      <c r="Y173" s="3"/>
      <c r="Z173" s="3"/>
      <c r="AA173" s="3"/>
      <c r="AB173" s="3"/>
      <c r="AC173" s="3"/>
    </row>
    <row r="174" customFormat="false" ht="21.75" hidden="false" customHeight="true" outlineLevel="0" collapsed="false">
      <c r="A174" s="3"/>
      <c r="B174" s="3"/>
      <c r="C174" s="3"/>
      <c r="D174" s="3"/>
      <c r="E174" s="4"/>
      <c r="F174" s="3"/>
      <c r="G174" s="4"/>
      <c r="H174" s="4"/>
      <c r="I174" s="4"/>
      <c r="J174" s="4"/>
      <c r="K174" s="4"/>
      <c r="L174" s="4"/>
      <c r="M174" s="4"/>
      <c r="N174" s="4"/>
      <c r="O174" s="3"/>
      <c r="P174" s="3"/>
      <c r="Q174" s="3"/>
      <c r="R174" s="3"/>
      <c r="S174" s="3"/>
      <c r="T174" s="3"/>
      <c r="U174" s="3"/>
      <c r="V174" s="3"/>
      <c r="W174" s="3"/>
      <c r="X174" s="3"/>
      <c r="Y174" s="3"/>
      <c r="Z174" s="3"/>
      <c r="AA174" s="3"/>
      <c r="AB174" s="3"/>
      <c r="AC174" s="3"/>
    </row>
    <row r="175" customFormat="false" ht="21.75" hidden="false" customHeight="true" outlineLevel="0" collapsed="false">
      <c r="A175" s="3"/>
      <c r="B175" s="3"/>
      <c r="C175" s="3"/>
      <c r="D175" s="3"/>
      <c r="E175" s="4"/>
      <c r="F175" s="3"/>
      <c r="G175" s="4"/>
      <c r="H175" s="4"/>
      <c r="I175" s="4"/>
      <c r="J175" s="4"/>
      <c r="K175" s="4"/>
      <c r="L175" s="4"/>
      <c r="M175" s="4"/>
      <c r="N175" s="4"/>
      <c r="O175" s="3"/>
      <c r="P175" s="3"/>
      <c r="Q175" s="3"/>
      <c r="R175" s="3"/>
      <c r="S175" s="3"/>
      <c r="T175" s="3"/>
      <c r="U175" s="3"/>
      <c r="V175" s="3"/>
      <c r="W175" s="3"/>
      <c r="X175" s="3"/>
      <c r="Y175" s="3"/>
      <c r="Z175" s="3"/>
      <c r="AA175" s="3"/>
      <c r="AB175" s="3"/>
      <c r="AC175" s="3"/>
    </row>
    <row r="176" customFormat="false" ht="21.75" hidden="false" customHeight="true" outlineLevel="0" collapsed="false">
      <c r="A176" s="3"/>
      <c r="B176" s="3"/>
      <c r="C176" s="3"/>
      <c r="D176" s="3"/>
      <c r="E176" s="4"/>
      <c r="F176" s="3"/>
      <c r="G176" s="4"/>
      <c r="H176" s="4"/>
      <c r="I176" s="4"/>
      <c r="J176" s="4"/>
      <c r="K176" s="4"/>
      <c r="L176" s="4"/>
      <c r="M176" s="4"/>
      <c r="N176" s="4"/>
      <c r="O176" s="3"/>
      <c r="P176" s="3"/>
      <c r="Q176" s="3"/>
      <c r="R176" s="3"/>
      <c r="S176" s="3"/>
      <c r="T176" s="3"/>
      <c r="U176" s="3"/>
      <c r="V176" s="3"/>
      <c r="W176" s="3"/>
      <c r="X176" s="3"/>
      <c r="Y176" s="3"/>
      <c r="Z176" s="3"/>
      <c r="AA176" s="3"/>
      <c r="AB176" s="3"/>
      <c r="AC176" s="3"/>
    </row>
    <row r="177" customFormat="false" ht="21.75" hidden="false" customHeight="true" outlineLevel="0" collapsed="false">
      <c r="A177" s="3"/>
      <c r="B177" s="3"/>
      <c r="C177" s="3"/>
      <c r="D177" s="3"/>
      <c r="E177" s="4"/>
      <c r="F177" s="3"/>
      <c r="G177" s="4"/>
      <c r="H177" s="4"/>
      <c r="I177" s="4"/>
      <c r="J177" s="4"/>
      <c r="K177" s="4"/>
      <c r="L177" s="4"/>
      <c r="M177" s="4"/>
      <c r="N177" s="4"/>
      <c r="O177" s="3"/>
      <c r="P177" s="3"/>
      <c r="Q177" s="3"/>
      <c r="R177" s="3"/>
      <c r="S177" s="3"/>
      <c r="T177" s="3"/>
      <c r="U177" s="3"/>
      <c r="V177" s="3"/>
      <c r="W177" s="3"/>
      <c r="X177" s="3"/>
      <c r="Y177" s="3"/>
      <c r="Z177" s="3"/>
      <c r="AA177" s="3"/>
      <c r="AB177" s="3"/>
      <c r="AC177" s="3"/>
    </row>
    <row r="178" customFormat="false" ht="21.75" hidden="false" customHeight="true" outlineLevel="0" collapsed="false">
      <c r="A178" s="3"/>
      <c r="B178" s="3"/>
      <c r="C178" s="3"/>
      <c r="D178" s="3"/>
      <c r="E178" s="4"/>
      <c r="F178" s="3"/>
      <c r="G178" s="4"/>
      <c r="H178" s="4"/>
      <c r="I178" s="4"/>
      <c r="J178" s="4"/>
      <c r="K178" s="4"/>
      <c r="L178" s="4"/>
      <c r="M178" s="4"/>
      <c r="N178" s="4"/>
      <c r="O178" s="3"/>
      <c r="P178" s="3"/>
      <c r="Q178" s="3"/>
      <c r="R178" s="3"/>
      <c r="S178" s="3"/>
      <c r="T178" s="3"/>
      <c r="U178" s="3"/>
      <c r="V178" s="3"/>
      <c r="W178" s="3"/>
      <c r="X178" s="3"/>
      <c r="Y178" s="3"/>
      <c r="Z178" s="3"/>
      <c r="AA178" s="3"/>
      <c r="AB178" s="3"/>
      <c r="AC178" s="3"/>
    </row>
    <row r="179" customFormat="false" ht="21.75" hidden="false" customHeight="true" outlineLevel="0" collapsed="false">
      <c r="A179" s="3"/>
      <c r="B179" s="3"/>
      <c r="C179" s="3"/>
      <c r="D179" s="3"/>
      <c r="E179" s="4"/>
      <c r="F179" s="3"/>
      <c r="G179" s="4"/>
      <c r="H179" s="4"/>
      <c r="I179" s="4"/>
      <c r="J179" s="4"/>
      <c r="K179" s="4"/>
      <c r="L179" s="4"/>
      <c r="M179" s="4"/>
      <c r="N179" s="4"/>
      <c r="O179" s="3"/>
      <c r="P179" s="3"/>
      <c r="Q179" s="3"/>
      <c r="R179" s="3"/>
      <c r="S179" s="3"/>
      <c r="T179" s="3"/>
      <c r="U179" s="3"/>
      <c r="V179" s="3"/>
      <c r="W179" s="3"/>
      <c r="X179" s="3"/>
      <c r="Y179" s="3"/>
      <c r="Z179" s="3"/>
      <c r="AA179" s="3"/>
      <c r="AB179" s="3"/>
      <c r="AC179" s="3"/>
    </row>
    <row r="180" customFormat="false" ht="21.75" hidden="false" customHeight="true" outlineLevel="0" collapsed="false">
      <c r="A180" s="3"/>
      <c r="B180" s="3"/>
      <c r="C180" s="3"/>
      <c r="D180" s="3"/>
      <c r="E180" s="4"/>
      <c r="F180" s="3"/>
      <c r="G180" s="4"/>
      <c r="H180" s="4"/>
      <c r="I180" s="4"/>
      <c r="J180" s="4"/>
      <c r="K180" s="4"/>
      <c r="L180" s="4"/>
      <c r="M180" s="4"/>
      <c r="N180" s="4"/>
      <c r="O180" s="3"/>
      <c r="P180" s="3"/>
      <c r="Q180" s="3"/>
      <c r="R180" s="3"/>
      <c r="S180" s="3"/>
      <c r="T180" s="3"/>
      <c r="U180" s="3"/>
      <c r="V180" s="3"/>
      <c r="W180" s="3"/>
      <c r="X180" s="3"/>
      <c r="Y180" s="3"/>
      <c r="Z180" s="3"/>
      <c r="AA180" s="3"/>
      <c r="AB180" s="3"/>
      <c r="AC180" s="3"/>
    </row>
    <row r="181" customFormat="false" ht="21.75" hidden="false" customHeight="true" outlineLevel="0" collapsed="false">
      <c r="A181" s="3"/>
      <c r="B181" s="3"/>
      <c r="C181" s="3"/>
      <c r="D181" s="3"/>
      <c r="E181" s="4"/>
      <c r="F181" s="3"/>
      <c r="G181" s="4"/>
      <c r="H181" s="4"/>
      <c r="I181" s="4"/>
      <c r="J181" s="4"/>
      <c r="K181" s="4"/>
      <c r="L181" s="4"/>
      <c r="M181" s="4"/>
      <c r="N181" s="4"/>
      <c r="O181" s="3"/>
      <c r="P181" s="3"/>
      <c r="Q181" s="3"/>
      <c r="R181" s="3"/>
      <c r="S181" s="3"/>
      <c r="T181" s="3"/>
      <c r="U181" s="3"/>
      <c r="V181" s="3"/>
      <c r="W181" s="3"/>
      <c r="X181" s="3"/>
      <c r="Y181" s="3"/>
      <c r="Z181" s="3"/>
      <c r="AA181" s="3"/>
      <c r="AB181" s="3"/>
      <c r="AC181" s="3"/>
    </row>
    <row r="182" customFormat="false" ht="21.75" hidden="false" customHeight="true" outlineLevel="0" collapsed="false">
      <c r="A182" s="3"/>
      <c r="B182" s="3"/>
      <c r="C182" s="3"/>
      <c r="D182" s="3"/>
      <c r="E182" s="4"/>
      <c r="F182" s="3"/>
      <c r="G182" s="4"/>
      <c r="H182" s="4"/>
      <c r="I182" s="4"/>
      <c r="J182" s="4"/>
      <c r="K182" s="4"/>
      <c r="L182" s="4"/>
      <c r="M182" s="4"/>
      <c r="N182" s="4"/>
      <c r="O182" s="3"/>
      <c r="P182" s="3"/>
      <c r="Q182" s="3"/>
      <c r="R182" s="3"/>
      <c r="S182" s="3"/>
      <c r="T182" s="3"/>
      <c r="U182" s="3"/>
      <c r="V182" s="3"/>
      <c r="W182" s="3"/>
      <c r="X182" s="3"/>
      <c r="Y182" s="3"/>
      <c r="Z182" s="3"/>
      <c r="AA182" s="3"/>
      <c r="AB182" s="3"/>
      <c r="AC182" s="3"/>
    </row>
    <row r="183" customFormat="false" ht="21.75" hidden="false" customHeight="true" outlineLevel="0" collapsed="false">
      <c r="A183" s="3"/>
      <c r="B183" s="3"/>
      <c r="C183" s="3"/>
      <c r="D183" s="3"/>
      <c r="E183" s="4"/>
      <c r="F183" s="3"/>
      <c r="G183" s="4"/>
      <c r="H183" s="4"/>
      <c r="I183" s="4"/>
      <c r="J183" s="4"/>
      <c r="K183" s="4"/>
      <c r="L183" s="4"/>
      <c r="M183" s="4"/>
      <c r="N183" s="4"/>
      <c r="O183" s="3"/>
      <c r="P183" s="3"/>
      <c r="Q183" s="3"/>
      <c r="R183" s="3"/>
      <c r="S183" s="3"/>
      <c r="T183" s="3"/>
      <c r="U183" s="3"/>
      <c r="V183" s="3"/>
      <c r="W183" s="3"/>
      <c r="X183" s="3"/>
      <c r="Y183" s="3"/>
      <c r="Z183" s="3"/>
      <c r="AA183" s="3"/>
      <c r="AB183" s="3"/>
      <c r="AC183" s="3"/>
    </row>
    <row r="184" customFormat="false" ht="21.75" hidden="false" customHeight="true" outlineLevel="0" collapsed="false">
      <c r="A184" s="3"/>
      <c r="B184" s="3"/>
      <c r="C184" s="3"/>
      <c r="D184" s="3"/>
      <c r="E184" s="4"/>
      <c r="F184" s="3"/>
      <c r="G184" s="4"/>
      <c r="H184" s="4"/>
      <c r="I184" s="4"/>
      <c r="J184" s="4"/>
      <c r="K184" s="4"/>
      <c r="L184" s="4"/>
      <c r="M184" s="4"/>
      <c r="N184" s="4"/>
      <c r="O184" s="3"/>
      <c r="P184" s="3"/>
      <c r="Q184" s="3"/>
      <c r="R184" s="3"/>
      <c r="S184" s="3"/>
      <c r="T184" s="3"/>
      <c r="U184" s="3"/>
      <c r="V184" s="3"/>
      <c r="W184" s="3"/>
      <c r="X184" s="3"/>
      <c r="Y184" s="3"/>
      <c r="Z184" s="3"/>
      <c r="AA184" s="3"/>
      <c r="AB184" s="3"/>
      <c r="AC184" s="3"/>
    </row>
    <row r="185" customFormat="false" ht="21.75" hidden="false" customHeight="true" outlineLevel="0" collapsed="false">
      <c r="A185" s="3"/>
      <c r="B185" s="3"/>
      <c r="C185" s="3"/>
      <c r="D185" s="3"/>
      <c r="E185" s="4"/>
      <c r="F185" s="3"/>
      <c r="G185" s="4"/>
      <c r="H185" s="4"/>
      <c r="I185" s="4"/>
      <c r="J185" s="4"/>
      <c r="K185" s="4"/>
      <c r="L185" s="4"/>
      <c r="M185" s="4"/>
      <c r="N185" s="4"/>
      <c r="O185" s="3"/>
      <c r="P185" s="3"/>
      <c r="Q185" s="3"/>
      <c r="R185" s="3"/>
      <c r="S185" s="3"/>
      <c r="T185" s="3"/>
      <c r="U185" s="3"/>
      <c r="V185" s="3"/>
      <c r="W185" s="3"/>
      <c r="X185" s="3"/>
      <c r="Y185" s="3"/>
      <c r="Z185" s="3"/>
      <c r="AA185" s="3"/>
      <c r="AB185" s="3"/>
      <c r="AC185" s="3"/>
    </row>
    <row r="186" customFormat="false" ht="21.75" hidden="false" customHeight="true" outlineLevel="0" collapsed="false">
      <c r="A186" s="3"/>
      <c r="B186" s="3"/>
      <c r="C186" s="3"/>
      <c r="D186" s="3"/>
      <c r="E186" s="4"/>
      <c r="F186" s="3"/>
      <c r="G186" s="4"/>
      <c r="H186" s="4"/>
      <c r="I186" s="4"/>
      <c r="J186" s="4"/>
      <c r="K186" s="4"/>
      <c r="L186" s="4"/>
      <c r="M186" s="4"/>
      <c r="N186" s="4"/>
      <c r="O186" s="3"/>
      <c r="P186" s="3"/>
      <c r="Q186" s="3"/>
      <c r="R186" s="3"/>
      <c r="S186" s="3"/>
      <c r="T186" s="3"/>
      <c r="U186" s="3"/>
      <c r="V186" s="3"/>
      <c r="W186" s="3"/>
      <c r="X186" s="3"/>
      <c r="Y186" s="3"/>
      <c r="Z186" s="3"/>
      <c r="AA186" s="3"/>
      <c r="AB186" s="3"/>
      <c r="AC186" s="3"/>
    </row>
    <row r="187" customFormat="false" ht="21.75" hidden="false" customHeight="true" outlineLevel="0" collapsed="false">
      <c r="A187" s="3"/>
      <c r="B187" s="3"/>
      <c r="C187" s="3"/>
      <c r="D187" s="3"/>
      <c r="E187" s="4"/>
      <c r="F187" s="3"/>
      <c r="G187" s="4"/>
      <c r="H187" s="4"/>
      <c r="I187" s="4"/>
      <c r="J187" s="4"/>
      <c r="K187" s="4"/>
      <c r="L187" s="4"/>
      <c r="M187" s="4"/>
      <c r="N187" s="4"/>
      <c r="O187" s="3"/>
      <c r="P187" s="3"/>
      <c r="Q187" s="3"/>
      <c r="R187" s="3"/>
      <c r="S187" s="3"/>
      <c r="T187" s="3"/>
      <c r="U187" s="3"/>
      <c r="V187" s="3"/>
      <c r="W187" s="3"/>
      <c r="X187" s="3"/>
      <c r="Y187" s="3"/>
      <c r="Z187" s="3"/>
      <c r="AA187" s="3"/>
      <c r="AB187" s="3"/>
      <c r="AC187" s="3"/>
    </row>
    <row r="188" customFormat="false" ht="21.75" hidden="false" customHeight="true" outlineLevel="0" collapsed="false">
      <c r="A188" s="3"/>
      <c r="B188" s="3"/>
      <c r="C188" s="3"/>
      <c r="D188" s="3"/>
      <c r="E188" s="4"/>
      <c r="F188" s="3"/>
      <c r="G188" s="4"/>
      <c r="H188" s="4"/>
      <c r="I188" s="4"/>
      <c r="J188" s="4"/>
      <c r="K188" s="4"/>
      <c r="L188" s="4"/>
      <c r="M188" s="4"/>
      <c r="N188" s="4"/>
      <c r="O188" s="3"/>
      <c r="P188" s="3"/>
      <c r="Q188" s="3"/>
      <c r="R188" s="3"/>
      <c r="S188" s="3"/>
      <c r="T188" s="3"/>
      <c r="U188" s="3"/>
      <c r="V188" s="3"/>
      <c r="W188" s="3"/>
      <c r="X188" s="3"/>
      <c r="Y188" s="3"/>
      <c r="Z188" s="3"/>
      <c r="AA188" s="3"/>
      <c r="AB188" s="3"/>
      <c r="AC188" s="3"/>
    </row>
    <row r="189" customFormat="false" ht="21.75" hidden="false" customHeight="true" outlineLevel="0" collapsed="false">
      <c r="A189" s="3"/>
      <c r="B189" s="3"/>
      <c r="C189" s="3"/>
      <c r="D189" s="3"/>
      <c r="E189" s="4"/>
      <c r="F189" s="3"/>
      <c r="G189" s="4"/>
      <c r="H189" s="4"/>
      <c r="I189" s="4"/>
      <c r="J189" s="4"/>
      <c r="K189" s="4"/>
      <c r="L189" s="4"/>
      <c r="M189" s="4"/>
      <c r="N189" s="4"/>
      <c r="O189" s="3"/>
      <c r="P189" s="3"/>
      <c r="Q189" s="3"/>
      <c r="R189" s="3"/>
      <c r="S189" s="3"/>
      <c r="T189" s="3"/>
      <c r="U189" s="3"/>
      <c r="V189" s="3"/>
      <c r="W189" s="3"/>
      <c r="X189" s="3"/>
      <c r="Y189" s="3"/>
      <c r="Z189" s="3"/>
      <c r="AA189" s="3"/>
      <c r="AB189" s="3"/>
      <c r="AC189" s="3"/>
    </row>
    <row r="190" customFormat="false" ht="21.75" hidden="false" customHeight="true" outlineLevel="0" collapsed="false">
      <c r="A190" s="3"/>
      <c r="B190" s="3"/>
      <c r="C190" s="3"/>
      <c r="D190" s="3"/>
      <c r="E190" s="4"/>
      <c r="F190" s="3"/>
      <c r="G190" s="4"/>
      <c r="H190" s="4"/>
      <c r="I190" s="4"/>
      <c r="J190" s="4"/>
      <c r="K190" s="4"/>
      <c r="L190" s="4"/>
      <c r="M190" s="4"/>
      <c r="N190" s="4"/>
      <c r="O190" s="3"/>
      <c r="P190" s="3"/>
      <c r="Q190" s="3"/>
      <c r="R190" s="3"/>
      <c r="S190" s="3"/>
      <c r="T190" s="3"/>
      <c r="U190" s="3"/>
      <c r="V190" s="3"/>
      <c r="W190" s="3"/>
      <c r="X190" s="3"/>
      <c r="Y190" s="3"/>
      <c r="Z190" s="3"/>
      <c r="AA190" s="3"/>
      <c r="AB190" s="3"/>
      <c r="AC190" s="3"/>
    </row>
    <row r="191" customFormat="false" ht="21.75" hidden="false" customHeight="true" outlineLevel="0" collapsed="false">
      <c r="A191" s="3"/>
      <c r="B191" s="3"/>
      <c r="C191" s="3"/>
      <c r="D191" s="3"/>
      <c r="E191" s="4"/>
      <c r="F191" s="3"/>
      <c r="G191" s="4"/>
      <c r="H191" s="4"/>
      <c r="I191" s="4"/>
      <c r="J191" s="4"/>
      <c r="K191" s="4"/>
      <c r="L191" s="4"/>
      <c r="M191" s="4"/>
      <c r="N191" s="4"/>
      <c r="O191" s="3"/>
      <c r="P191" s="3"/>
      <c r="Q191" s="3"/>
      <c r="R191" s="3"/>
      <c r="S191" s="3"/>
      <c r="T191" s="3"/>
      <c r="U191" s="3"/>
      <c r="V191" s="3"/>
      <c r="W191" s="3"/>
      <c r="X191" s="3"/>
      <c r="Y191" s="3"/>
      <c r="Z191" s="3"/>
      <c r="AA191" s="3"/>
      <c r="AB191" s="3"/>
      <c r="AC191" s="3"/>
    </row>
    <row r="192" customFormat="false" ht="21.75" hidden="false" customHeight="true" outlineLevel="0" collapsed="false">
      <c r="A192" s="3"/>
      <c r="B192" s="3"/>
      <c r="C192" s="3"/>
      <c r="D192" s="3"/>
      <c r="E192" s="4"/>
      <c r="F192" s="3"/>
      <c r="G192" s="4"/>
      <c r="H192" s="4"/>
      <c r="I192" s="4"/>
      <c r="J192" s="4"/>
      <c r="K192" s="4"/>
      <c r="L192" s="4"/>
      <c r="M192" s="4"/>
      <c r="N192" s="4"/>
      <c r="O192" s="3"/>
      <c r="P192" s="3"/>
      <c r="Q192" s="3"/>
      <c r="R192" s="3"/>
      <c r="S192" s="3"/>
      <c r="T192" s="3"/>
      <c r="U192" s="3"/>
      <c r="V192" s="3"/>
      <c r="W192" s="3"/>
      <c r="X192" s="3"/>
      <c r="Y192" s="3"/>
      <c r="Z192" s="3"/>
      <c r="AA192" s="3"/>
      <c r="AB192" s="3"/>
      <c r="AC192" s="3"/>
    </row>
    <row r="193" customFormat="false" ht="21.75" hidden="false" customHeight="true" outlineLevel="0" collapsed="false">
      <c r="A193" s="3"/>
      <c r="B193" s="3"/>
      <c r="C193" s="3"/>
      <c r="D193" s="3"/>
      <c r="E193" s="4"/>
      <c r="F193" s="3"/>
      <c r="G193" s="4"/>
      <c r="H193" s="4"/>
      <c r="I193" s="4"/>
      <c r="J193" s="4"/>
      <c r="K193" s="4"/>
      <c r="L193" s="4"/>
      <c r="M193" s="4"/>
      <c r="N193" s="4"/>
      <c r="O193" s="3"/>
      <c r="P193" s="3"/>
      <c r="Q193" s="3"/>
      <c r="R193" s="3"/>
      <c r="S193" s="3"/>
      <c r="T193" s="3"/>
      <c r="U193" s="3"/>
      <c r="V193" s="3"/>
      <c r="W193" s="3"/>
      <c r="X193" s="3"/>
      <c r="Y193" s="3"/>
      <c r="Z193" s="3"/>
      <c r="AA193" s="3"/>
      <c r="AB193" s="3"/>
      <c r="AC193" s="3"/>
    </row>
    <row r="194" customFormat="false" ht="21.75" hidden="false" customHeight="true" outlineLevel="0" collapsed="false">
      <c r="A194" s="3"/>
      <c r="B194" s="3"/>
      <c r="C194" s="3"/>
      <c r="D194" s="3"/>
      <c r="E194" s="4"/>
      <c r="F194" s="3"/>
      <c r="G194" s="4"/>
      <c r="H194" s="4"/>
      <c r="I194" s="4"/>
      <c r="J194" s="4"/>
      <c r="K194" s="4"/>
      <c r="L194" s="4"/>
      <c r="M194" s="4"/>
      <c r="N194" s="4"/>
      <c r="O194" s="3"/>
      <c r="P194" s="3"/>
      <c r="Q194" s="3"/>
      <c r="R194" s="3"/>
      <c r="S194" s="3"/>
      <c r="T194" s="3"/>
      <c r="U194" s="3"/>
      <c r="V194" s="3"/>
      <c r="W194" s="3"/>
      <c r="X194" s="3"/>
      <c r="Y194" s="3"/>
      <c r="Z194" s="3"/>
      <c r="AA194" s="3"/>
      <c r="AB194" s="3"/>
      <c r="AC194" s="3"/>
    </row>
    <row r="195" customFormat="false" ht="21.75" hidden="false" customHeight="true" outlineLevel="0" collapsed="false">
      <c r="A195" s="3"/>
      <c r="B195" s="3"/>
      <c r="C195" s="3"/>
      <c r="D195" s="3"/>
      <c r="E195" s="4"/>
      <c r="F195" s="3"/>
      <c r="G195" s="4"/>
      <c r="H195" s="4"/>
      <c r="I195" s="4"/>
      <c r="J195" s="4"/>
      <c r="K195" s="4"/>
      <c r="L195" s="4"/>
      <c r="M195" s="4"/>
      <c r="N195" s="4"/>
      <c r="O195" s="3"/>
      <c r="P195" s="3"/>
      <c r="Q195" s="3"/>
      <c r="R195" s="3"/>
      <c r="S195" s="3"/>
      <c r="T195" s="3"/>
      <c r="U195" s="3"/>
      <c r="V195" s="3"/>
      <c r="W195" s="3"/>
      <c r="X195" s="3"/>
      <c r="Y195" s="3"/>
      <c r="Z195" s="3"/>
      <c r="AA195" s="3"/>
      <c r="AB195" s="3"/>
      <c r="AC195" s="3"/>
    </row>
    <row r="196" customFormat="false" ht="21.75" hidden="false" customHeight="true" outlineLevel="0" collapsed="false">
      <c r="A196" s="3"/>
      <c r="B196" s="3"/>
      <c r="C196" s="3"/>
      <c r="D196" s="3"/>
      <c r="E196" s="4"/>
      <c r="F196" s="3"/>
      <c r="G196" s="4"/>
      <c r="H196" s="4"/>
      <c r="I196" s="4"/>
      <c r="J196" s="4"/>
      <c r="K196" s="4"/>
      <c r="L196" s="4"/>
      <c r="M196" s="4"/>
      <c r="N196" s="4"/>
      <c r="O196" s="3"/>
      <c r="P196" s="3"/>
      <c r="Q196" s="3"/>
      <c r="R196" s="3"/>
      <c r="S196" s="3"/>
      <c r="T196" s="3"/>
      <c r="U196" s="3"/>
      <c r="V196" s="3"/>
      <c r="W196" s="3"/>
      <c r="X196" s="3"/>
      <c r="Y196" s="3"/>
      <c r="Z196" s="3"/>
      <c r="AA196" s="3"/>
      <c r="AB196" s="3"/>
      <c r="AC196" s="3"/>
    </row>
    <row r="197" customFormat="false" ht="21.75" hidden="false" customHeight="true" outlineLevel="0" collapsed="false">
      <c r="A197" s="3"/>
      <c r="B197" s="3"/>
      <c r="C197" s="3"/>
      <c r="D197" s="3"/>
      <c r="E197" s="4"/>
      <c r="F197" s="3"/>
      <c r="G197" s="4"/>
      <c r="H197" s="4"/>
      <c r="I197" s="4"/>
      <c r="J197" s="4"/>
      <c r="K197" s="4"/>
      <c r="L197" s="4"/>
      <c r="M197" s="4"/>
      <c r="N197" s="4"/>
      <c r="O197" s="3"/>
      <c r="P197" s="3"/>
      <c r="Q197" s="3"/>
      <c r="R197" s="3"/>
      <c r="S197" s="3"/>
      <c r="T197" s="3"/>
      <c r="U197" s="3"/>
      <c r="V197" s="3"/>
      <c r="W197" s="3"/>
      <c r="X197" s="3"/>
      <c r="Y197" s="3"/>
      <c r="Z197" s="3"/>
      <c r="AA197" s="3"/>
      <c r="AB197" s="3"/>
      <c r="AC197" s="3"/>
    </row>
    <row r="198" customFormat="false" ht="21.75" hidden="false" customHeight="true" outlineLevel="0" collapsed="false">
      <c r="A198" s="3"/>
      <c r="B198" s="3"/>
      <c r="C198" s="3"/>
      <c r="D198" s="3"/>
      <c r="E198" s="4"/>
      <c r="F198" s="3"/>
      <c r="G198" s="4"/>
      <c r="H198" s="4"/>
      <c r="I198" s="4"/>
      <c r="J198" s="4"/>
      <c r="K198" s="4"/>
      <c r="L198" s="4"/>
      <c r="M198" s="4"/>
      <c r="N198" s="4"/>
      <c r="O198" s="3"/>
      <c r="P198" s="3"/>
      <c r="Q198" s="3"/>
      <c r="R198" s="3"/>
      <c r="S198" s="3"/>
      <c r="T198" s="3"/>
      <c r="U198" s="3"/>
      <c r="V198" s="3"/>
      <c r="W198" s="3"/>
      <c r="X198" s="3"/>
      <c r="Y198" s="3"/>
      <c r="Z198" s="3"/>
      <c r="AA198" s="3"/>
      <c r="AB198" s="3"/>
      <c r="AC198" s="3"/>
    </row>
    <row r="199" customFormat="false" ht="21.75" hidden="false" customHeight="true" outlineLevel="0" collapsed="false">
      <c r="A199" s="3"/>
      <c r="B199" s="3"/>
      <c r="C199" s="3"/>
      <c r="D199" s="3"/>
      <c r="E199" s="4"/>
      <c r="F199" s="3"/>
      <c r="G199" s="4"/>
      <c r="H199" s="4"/>
      <c r="I199" s="4"/>
      <c r="J199" s="4"/>
      <c r="K199" s="4"/>
      <c r="L199" s="4"/>
      <c r="M199" s="4"/>
      <c r="N199" s="4"/>
      <c r="O199" s="3"/>
      <c r="P199" s="3"/>
      <c r="Q199" s="3"/>
      <c r="R199" s="3"/>
      <c r="S199" s="3"/>
      <c r="T199" s="3"/>
      <c r="U199" s="3"/>
      <c r="V199" s="3"/>
      <c r="W199" s="3"/>
      <c r="X199" s="3"/>
      <c r="Y199" s="3"/>
      <c r="Z199" s="3"/>
      <c r="AA199" s="3"/>
      <c r="AB199" s="3"/>
      <c r="AC199" s="3"/>
    </row>
    <row r="200" customFormat="false" ht="21.75" hidden="false" customHeight="true" outlineLevel="0" collapsed="false">
      <c r="A200" s="3"/>
      <c r="B200" s="3"/>
      <c r="C200" s="3"/>
      <c r="D200" s="3"/>
      <c r="E200" s="4"/>
      <c r="F200" s="3"/>
      <c r="G200" s="4"/>
      <c r="H200" s="4"/>
      <c r="I200" s="4"/>
      <c r="J200" s="4"/>
      <c r="K200" s="4"/>
      <c r="L200" s="4"/>
      <c r="M200" s="4"/>
      <c r="N200" s="4"/>
      <c r="O200" s="3"/>
      <c r="P200" s="3"/>
      <c r="Q200" s="3"/>
      <c r="R200" s="3"/>
      <c r="S200" s="3"/>
      <c r="T200" s="3"/>
      <c r="U200" s="3"/>
      <c r="V200" s="3"/>
      <c r="W200" s="3"/>
      <c r="X200" s="3"/>
      <c r="Y200" s="3"/>
      <c r="Z200" s="3"/>
      <c r="AA200" s="3"/>
      <c r="AB200" s="3"/>
      <c r="AC200" s="3"/>
    </row>
    <row r="201" customFormat="false" ht="21.75" hidden="false" customHeight="true" outlineLevel="0" collapsed="false">
      <c r="A201" s="3"/>
      <c r="B201" s="3"/>
      <c r="C201" s="3"/>
      <c r="D201" s="3"/>
      <c r="E201" s="4"/>
      <c r="F201" s="3"/>
      <c r="G201" s="4"/>
      <c r="H201" s="4"/>
      <c r="I201" s="4"/>
      <c r="J201" s="4"/>
      <c r="K201" s="4"/>
      <c r="L201" s="4"/>
      <c r="M201" s="4"/>
      <c r="N201" s="4"/>
      <c r="O201" s="3"/>
      <c r="P201" s="3"/>
      <c r="Q201" s="3"/>
      <c r="R201" s="3"/>
      <c r="S201" s="3"/>
      <c r="T201" s="3"/>
      <c r="U201" s="3"/>
      <c r="V201" s="3"/>
      <c r="W201" s="3"/>
      <c r="X201" s="3"/>
      <c r="Y201" s="3"/>
      <c r="Z201" s="3"/>
      <c r="AA201" s="3"/>
      <c r="AB201" s="3"/>
      <c r="AC201" s="3"/>
    </row>
    <row r="202" customFormat="false" ht="21.75" hidden="false" customHeight="true" outlineLevel="0" collapsed="false">
      <c r="A202" s="3"/>
      <c r="B202" s="3"/>
      <c r="C202" s="3"/>
      <c r="D202" s="3"/>
      <c r="E202" s="4"/>
      <c r="F202" s="3"/>
      <c r="G202" s="4"/>
      <c r="H202" s="4"/>
      <c r="I202" s="4"/>
      <c r="J202" s="4"/>
      <c r="K202" s="4"/>
      <c r="L202" s="4"/>
      <c r="M202" s="4"/>
      <c r="N202" s="4"/>
      <c r="O202" s="3"/>
      <c r="P202" s="3"/>
      <c r="Q202" s="3"/>
      <c r="R202" s="3"/>
      <c r="S202" s="3"/>
      <c r="T202" s="3"/>
      <c r="U202" s="3"/>
      <c r="V202" s="3"/>
      <c r="W202" s="3"/>
      <c r="X202" s="3"/>
      <c r="Y202" s="3"/>
      <c r="Z202" s="3"/>
      <c r="AA202" s="3"/>
      <c r="AB202" s="3"/>
      <c r="AC202" s="3"/>
    </row>
    <row r="203" customFormat="false" ht="21.75" hidden="false" customHeight="true" outlineLevel="0" collapsed="false">
      <c r="A203" s="3"/>
      <c r="B203" s="3"/>
      <c r="C203" s="3"/>
      <c r="D203" s="3"/>
      <c r="E203" s="4"/>
      <c r="F203" s="3"/>
      <c r="G203" s="4"/>
      <c r="H203" s="4"/>
      <c r="I203" s="4"/>
      <c r="J203" s="4"/>
      <c r="K203" s="4"/>
      <c r="L203" s="4"/>
      <c r="M203" s="4"/>
      <c r="N203" s="4"/>
      <c r="O203" s="3"/>
      <c r="P203" s="3"/>
      <c r="Q203" s="3"/>
      <c r="R203" s="3"/>
      <c r="S203" s="3"/>
      <c r="T203" s="3"/>
      <c r="U203" s="3"/>
      <c r="V203" s="3"/>
      <c r="W203" s="3"/>
      <c r="X203" s="3"/>
      <c r="Y203" s="3"/>
      <c r="Z203" s="3"/>
      <c r="AA203" s="3"/>
      <c r="AB203" s="3"/>
      <c r="AC203" s="3"/>
    </row>
    <row r="204" customFormat="false" ht="21.75" hidden="false" customHeight="true" outlineLevel="0" collapsed="false">
      <c r="A204" s="3"/>
      <c r="B204" s="3"/>
      <c r="C204" s="3"/>
      <c r="D204" s="3"/>
      <c r="E204" s="4"/>
      <c r="F204" s="3"/>
      <c r="G204" s="4"/>
      <c r="H204" s="4"/>
      <c r="I204" s="4"/>
      <c r="J204" s="4"/>
      <c r="K204" s="4"/>
      <c r="L204" s="4"/>
      <c r="M204" s="4"/>
      <c r="N204" s="4"/>
      <c r="O204" s="3"/>
      <c r="P204" s="3"/>
      <c r="Q204" s="3"/>
      <c r="R204" s="3"/>
      <c r="S204" s="3"/>
      <c r="T204" s="3"/>
      <c r="U204" s="3"/>
      <c r="V204" s="3"/>
      <c r="W204" s="3"/>
      <c r="X204" s="3"/>
      <c r="Y204" s="3"/>
      <c r="Z204" s="3"/>
      <c r="AA204" s="3"/>
      <c r="AB204" s="3"/>
      <c r="AC204" s="3"/>
    </row>
    <row r="205" customFormat="false" ht="21.75" hidden="false" customHeight="true" outlineLevel="0" collapsed="false">
      <c r="A205" s="3"/>
      <c r="B205" s="3"/>
      <c r="C205" s="3"/>
      <c r="D205" s="3"/>
      <c r="E205" s="4"/>
      <c r="F205" s="3"/>
      <c r="G205" s="4"/>
      <c r="H205" s="4"/>
      <c r="I205" s="4"/>
      <c r="J205" s="4"/>
      <c r="K205" s="4"/>
      <c r="L205" s="4"/>
      <c r="M205" s="4"/>
      <c r="N205" s="4"/>
      <c r="O205" s="3"/>
      <c r="P205" s="3"/>
      <c r="Q205" s="3"/>
      <c r="R205" s="3"/>
      <c r="S205" s="3"/>
      <c r="T205" s="3"/>
      <c r="U205" s="3"/>
      <c r="V205" s="3"/>
      <c r="W205" s="3"/>
      <c r="X205" s="3"/>
      <c r="Y205" s="3"/>
      <c r="Z205" s="3"/>
      <c r="AA205" s="3"/>
      <c r="AB205" s="3"/>
      <c r="AC205" s="3"/>
    </row>
    <row r="206" customFormat="false" ht="21.75" hidden="false" customHeight="true" outlineLevel="0" collapsed="false">
      <c r="A206" s="3"/>
      <c r="B206" s="3"/>
      <c r="C206" s="3"/>
      <c r="D206" s="3"/>
      <c r="E206" s="4"/>
      <c r="F206" s="3"/>
      <c r="G206" s="4"/>
      <c r="H206" s="4"/>
      <c r="I206" s="4"/>
      <c r="J206" s="4"/>
      <c r="K206" s="4"/>
      <c r="L206" s="4"/>
      <c r="M206" s="4"/>
      <c r="N206" s="4"/>
      <c r="O206" s="3"/>
      <c r="P206" s="3"/>
      <c r="Q206" s="3"/>
      <c r="R206" s="3"/>
      <c r="S206" s="3"/>
      <c r="T206" s="3"/>
      <c r="U206" s="3"/>
      <c r="V206" s="3"/>
      <c r="W206" s="3"/>
      <c r="X206" s="3"/>
      <c r="Y206" s="3"/>
      <c r="Z206" s="3"/>
      <c r="AA206" s="3"/>
      <c r="AB206" s="3"/>
      <c r="AC206" s="3"/>
    </row>
    <row r="207" customFormat="false" ht="21.75" hidden="false" customHeight="true" outlineLevel="0" collapsed="false">
      <c r="A207" s="3"/>
      <c r="B207" s="3"/>
      <c r="C207" s="3"/>
      <c r="D207" s="3"/>
      <c r="E207" s="4"/>
      <c r="F207" s="3"/>
      <c r="G207" s="4"/>
      <c r="H207" s="4"/>
      <c r="I207" s="4"/>
      <c r="J207" s="4"/>
      <c r="K207" s="4"/>
      <c r="L207" s="4"/>
      <c r="M207" s="4"/>
      <c r="N207" s="4"/>
      <c r="O207" s="3"/>
      <c r="P207" s="3"/>
      <c r="Q207" s="3"/>
      <c r="R207" s="3"/>
      <c r="S207" s="3"/>
      <c r="T207" s="3"/>
      <c r="U207" s="3"/>
      <c r="V207" s="3"/>
      <c r="W207" s="3"/>
      <c r="X207" s="3"/>
      <c r="Y207" s="3"/>
      <c r="Z207" s="3"/>
      <c r="AA207" s="3"/>
      <c r="AB207" s="3"/>
      <c r="AC207" s="3"/>
    </row>
    <row r="208" customFormat="false" ht="21.75" hidden="false" customHeight="true" outlineLevel="0" collapsed="false">
      <c r="A208" s="3"/>
      <c r="B208" s="3"/>
      <c r="C208" s="3"/>
      <c r="D208" s="3"/>
      <c r="E208" s="4"/>
      <c r="F208" s="3"/>
      <c r="G208" s="4"/>
      <c r="H208" s="4"/>
      <c r="I208" s="4"/>
      <c r="J208" s="4"/>
      <c r="K208" s="4"/>
      <c r="L208" s="4"/>
      <c r="M208" s="4"/>
      <c r="N208" s="4"/>
      <c r="O208" s="3"/>
      <c r="P208" s="3"/>
      <c r="Q208" s="3"/>
      <c r="R208" s="3"/>
      <c r="S208" s="3"/>
      <c r="T208" s="3"/>
      <c r="U208" s="3"/>
      <c r="V208" s="3"/>
      <c r="W208" s="3"/>
      <c r="X208" s="3"/>
      <c r="Y208" s="3"/>
      <c r="Z208" s="3"/>
      <c r="AA208" s="3"/>
      <c r="AB208" s="3"/>
      <c r="AC208" s="3"/>
    </row>
    <row r="209" customFormat="false" ht="21.75" hidden="false" customHeight="true" outlineLevel="0" collapsed="false">
      <c r="A209" s="3"/>
      <c r="B209" s="3"/>
      <c r="C209" s="3"/>
      <c r="D209" s="3"/>
      <c r="E209" s="4"/>
      <c r="F209" s="3"/>
      <c r="G209" s="4"/>
      <c r="H209" s="4"/>
      <c r="I209" s="4"/>
      <c r="J209" s="4"/>
      <c r="K209" s="4"/>
      <c r="L209" s="4"/>
      <c r="M209" s="4"/>
      <c r="N209" s="4"/>
      <c r="O209" s="3"/>
      <c r="P209" s="3"/>
      <c r="Q209" s="3"/>
      <c r="R209" s="3"/>
      <c r="S209" s="3"/>
      <c r="T209" s="3"/>
      <c r="U209" s="3"/>
      <c r="V209" s="3"/>
      <c r="W209" s="3"/>
      <c r="X209" s="3"/>
      <c r="Y209" s="3"/>
      <c r="Z209" s="3"/>
      <c r="AA209" s="3"/>
      <c r="AB209" s="3"/>
      <c r="AC209" s="3"/>
    </row>
    <row r="210" customFormat="false" ht="21.75" hidden="false" customHeight="true" outlineLevel="0" collapsed="false">
      <c r="A210" s="3"/>
      <c r="B210" s="3"/>
      <c r="C210" s="3"/>
      <c r="D210" s="3"/>
      <c r="E210" s="4"/>
      <c r="F210" s="3"/>
      <c r="G210" s="4"/>
      <c r="H210" s="4"/>
      <c r="I210" s="4"/>
      <c r="J210" s="4"/>
      <c r="K210" s="4"/>
      <c r="L210" s="4"/>
      <c r="M210" s="4"/>
      <c r="N210" s="4"/>
      <c r="O210" s="3"/>
      <c r="P210" s="3"/>
      <c r="Q210" s="3"/>
      <c r="R210" s="3"/>
      <c r="S210" s="3"/>
      <c r="T210" s="3"/>
      <c r="U210" s="3"/>
      <c r="V210" s="3"/>
      <c r="W210" s="3"/>
      <c r="X210" s="3"/>
      <c r="Y210" s="3"/>
      <c r="Z210" s="3"/>
      <c r="AA210" s="3"/>
      <c r="AB210" s="3"/>
      <c r="AC210" s="3"/>
    </row>
    <row r="211" customFormat="false" ht="21.75" hidden="false" customHeight="true" outlineLevel="0" collapsed="false">
      <c r="A211" s="3"/>
      <c r="B211" s="3"/>
      <c r="C211" s="3"/>
      <c r="D211" s="3"/>
      <c r="E211" s="4"/>
      <c r="F211" s="3"/>
      <c r="G211" s="4"/>
      <c r="H211" s="4"/>
      <c r="I211" s="4"/>
      <c r="J211" s="4"/>
      <c r="K211" s="4"/>
      <c r="L211" s="4"/>
      <c r="M211" s="4"/>
      <c r="N211" s="4"/>
      <c r="O211" s="3"/>
      <c r="P211" s="3"/>
      <c r="Q211" s="3"/>
      <c r="R211" s="3"/>
      <c r="S211" s="3"/>
      <c r="T211" s="3"/>
      <c r="U211" s="3"/>
      <c r="V211" s="3"/>
      <c r="W211" s="3"/>
      <c r="X211" s="3"/>
      <c r="Y211" s="3"/>
      <c r="Z211" s="3"/>
      <c r="AA211" s="3"/>
      <c r="AB211" s="3"/>
      <c r="AC211" s="3"/>
    </row>
    <row r="212" customFormat="false" ht="21.75" hidden="false" customHeight="true" outlineLevel="0" collapsed="false">
      <c r="A212" s="3"/>
      <c r="B212" s="3"/>
      <c r="C212" s="3"/>
      <c r="D212" s="3"/>
      <c r="E212" s="4"/>
      <c r="F212" s="3"/>
      <c r="G212" s="4"/>
      <c r="H212" s="4"/>
      <c r="I212" s="4"/>
      <c r="J212" s="4"/>
      <c r="K212" s="4"/>
      <c r="L212" s="4"/>
      <c r="M212" s="4"/>
      <c r="N212" s="4"/>
      <c r="O212" s="3"/>
      <c r="P212" s="3"/>
      <c r="Q212" s="3"/>
      <c r="R212" s="3"/>
      <c r="S212" s="3"/>
      <c r="T212" s="3"/>
      <c r="U212" s="3"/>
      <c r="V212" s="3"/>
      <c r="W212" s="3"/>
      <c r="X212" s="3"/>
      <c r="Y212" s="3"/>
      <c r="Z212" s="3"/>
      <c r="AA212" s="3"/>
      <c r="AB212" s="3"/>
      <c r="AC212" s="3"/>
    </row>
    <row r="213" customFormat="false" ht="21.75" hidden="false" customHeight="true" outlineLevel="0" collapsed="false">
      <c r="A213" s="3"/>
      <c r="B213" s="3"/>
      <c r="C213" s="3"/>
      <c r="D213" s="3"/>
      <c r="E213" s="4"/>
      <c r="F213" s="3"/>
      <c r="G213" s="4"/>
      <c r="H213" s="4"/>
      <c r="I213" s="4"/>
      <c r="J213" s="4"/>
      <c r="K213" s="4"/>
      <c r="L213" s="4"/>
      <c r="M213" s="4"/>
      <c r="N213" s="4"/>
      <c r="O213" s="3"/>
      <c r="P213" s="3"/>
      <c r="Q213" s="3"/>
      <c r="R213" s="3"/>
      <c r="S213" s="3"/>
      <c r="T213" s="3"/>
      <c r="U213" s="3"/>
      <c r="V213" s="3"/>
      <c r="W213" s="3"/>
      <c r="X213" s="3"/>
      <c r="Y213" s="3"/>
      <c r="Z213" s="3"/>
      <c r="AA213" s="3"/>
      <c r="AB213" s="3"/>
      <c r="AC213" s="3"/>
    </row>
    <row r="214" customFormat="false" ht="21.75" hidden="false" customHeight="true" outlineLevel="0" collapsed="false">
      <c r="A214" s="3"/>
      <c r="B214" s="3"/>
      <c r="C214" s="3"/>
      <c r="D214" s="3"/>
      <c r="E214" s="4"/>
      <c r="F214" s="3"/>
      <c r="G214" s="4"/>
      <c r="H214" s="4"/>
      <c r="I214" s="4"/>
      <c r="J214" s="4"/>
      <c r="K214" s="4"/>
      <c r="L214" s="4"/>
      <c r="M214" s="4"/>
      <c r="N214" s="4"/>
      <c r="O214" s="3"/>
      <c r="P214" s="3"/>
      <c r="Q214" s="3"/>
      <c r="R214" s="3"/>
      <c r="S214" s="3"/>
      <c r="T214" s="3"/>
      <c r="U214" s="3"/>
      <c r="V214" s="3"/>
      <c r="W214" s="3"/>
      <c r="X214" s="3"/>
      <c r="Y214" s="3"/>
      <c r="Z214" s="3"/>
      <c r="AA214" s="3"/>
      <c r="AB214" s="3"/>
      <c r="AC214" s="3"/>
    </row>
    <row r="215" customFormat="false" ht="21.75" hidden="false" customHeight="true" outlineLevel="0" collapsed="false">
      <c r="A215" s="3"/>
      <c r="B215" s="3"/>
      <c r="C215" s="3"/>
      <c r="D215" s="3"/>
      <c r="E215" s="4"/>
      <c r="F215" s="3"/>
      <c r="G215" s="4"/>
      <c r="H215" s="4"/>
      <c r="I215" s="4"/>
      <c r="J215" s="4"/>
      <c r="K215" s="4"/>
      <c r="L215" s="4"/>
      <c r="M215" s="4"/>
      <c r="N215" s="4"/>
      <c r="O215" s="3"/>
      <c r="P215" s="3"/>
      <c r="Q215" s="3"/>
      <c r="R215" s="3"/>
      <c r="S215" s="3"/>
      <c r="T215" s="3"/>
      <c r="U215" s="3"/>
      <c r="V215" s="3"/>
      <c r="W215" s="3"/>
      <c r="X215" s="3"/>
      <c r="Y215" s="3"/>
      <c r="Z215" s="3"/>
      <c r="AA215" s="3"/>
      <c r="AB215" s="3"/>
      <c r="AC215" s="3"/>
    </row>
    <row r="216" customFormat="false" ht="21.75" hidden="false" customHeight="true" outlineLevel="0" collapsed="false">
      <c r="A216" s="3"/>
      <c r="B216" s="3"/>
      <c r="C216" s="3"/>
      <c r="D216" s="3"/>
      <c r="E216" s="4"/>
      <c r="F216" s="3"/>
      <c r="G216" s="4"/>
      <c r="H216" s="4"/>
      <c r="I216" s="4"/>
      <c r="J216" s="4"/>
      <c r="K216" s="4"/>
      <c r="L216" s="4"/>
      <c r="M216" s="4"/>
      <c r="N216" s="4"/>
      <c r="O216" s="3"/>
      <c r="P216" s="3"/>
      <c r="Q216" s="3"/>
      <c r="R216" s="3"/>
      <c r="S216" s="3"/>
      <c r="T216" s="3"/>
      <c r="U216" s="3"/>
      <c r="V216" s="3"/>
      <c r="W216" s="3"/>
      <c r="X216" s="3"/>
      <c r="Y216" s="3"/>
      <c r="Z216" s="3"/>
      <c r="AA216" s="3"/>
      <c r="AB216" s="3"/>
      <c r="AC216" s="3"/>
    </row>
    <row r="217" customFormat="false" ht="21.75" hidden="false" customHeight="true" outlineLevel="0" collapsed="false">
      <c r="A217" s="3"/>
      <c r="B217" s="3"/>
      <c r="C217" s="3"/>
      <c r="D217" s="3"/>
      <c r="E217" s="4"/>
      <c r="F217" s="3"/>
      <c r="G217" s="4"/>
      <c r="H217" s="4"/>
      <c r="I217" s="4"/>
      <c r="J217" s="4"/>
      <c r="K217" s="4"/>
      <c r="L217" s="4"/>
      <c r="M217" s="4"/>
      <c r="N217" s="4"/>
      <c r="O217" s="3"/>
      <c r="P217" s="3"/>
      <c r="Q217" s="3"/>
      <c r="R217" s="3"/>
      <c r="S217" s="3"/>
      <c r="T217" s="3"/>
      <c r="U217" s="3"/>
      <c r="V217" s="3"/>
      <c r="W217" s="3"/>
      <c r="X217" s="3"/>
      <c r="Y217" s="3"/>
      <c r="Z217" s="3"/>
      <c r="AA217" s="3"/>
      <c r="AB217" s="3"/>
      <c r="AC217" s="3"/>
    </row>
    <row r="218" customFormat="false" ht="21.75" hidden="false" customHeight="true" outlineLevel="0" collapsed="false">
      <c r="A218" s="3"/>
      <c r="B218" s="3"/>
      <c r="C218" s="3"/>
      <c r="D218" s="3"/>
      <c r="E218" s="4"/>
      <c r="F218" s="3"/>
      <c r="G218" s="4"/>
      <c r="H218" s="4"/>
      <c r="I218" s="4"/>
      <c r="J218" s="4"/>
      <c r="K218" s="4"/>
      <c r="L218" s="4"/>
      <c r="M218" s="4"/>
      <c r="N218" s="4"/>
      <c r="O218" s="3"/>
      <c r="P218" s="3"/>
      <c r="Q218" s="3"/>
      <c r="R218" s="3"/>
      <c r="S218" s="3"/>
      <c r="T218" s="3"/>
      <c r="U218" s="3"/>
      <c r="V218" s="3"/>
      <c r="W218" s="3"/>
      <c r="X218" s="3"/>
      <c r="Y218" s="3"/>
      <c r="Z218" s="3"/>
      <c r="AA218" s="3"/>
      <c r="AB218" s="3"/>
      <c r="AC218" s="3"/>
    </row>
    <row r="219" customFormat="false" ht="21.75" hidden="false" customHeight="true" outlineLevel="0" collapsed="false">
      <c r="A219" s="3"/>
      <c r="B219" s="3"/>
      <c r="C219" s="3"/>
      <c r="D219" s="3"/>
      <c r="E219" s="4"/>
      <c r="F219" s="3"/>
      <c r="G219" s="4"/>
      <c r="H219" s="4"/>
      <c r="I219" s="4"/>
      <c r="J219" s="4"/>
      <c r="K219" s="4"/>
      <c r="L219" s="4"/>
      <c r="M219" s="4"/>
      <c r="N219" s="4"/>
      <c r="O219" s="3"/>
      <c r="P219" s="3"/>
      <c r="Q219" s="3"/>
      <c r="R219" s="3"/>
      <c r="S219" s="3"/>
      <c r="T219" s="3"/>
      <c r="U219" s="3"/>
      <c r="V219" s="3"/>
      <c r="W219" s="3"/>
      <c r="X219" s="3"/>
      <c r="Y219" s="3"/>
      <c r="Z219" s="3"/>
      <c r="AA219" s="3"/>
      <c r="AB219" s="3"/>
      <c r="AC219" s="3"/>
    </row>
    <row r="220" customFormat="false" ht="21.75" hidden="false" customHeight="true" outlineLevel="0" collapsed="false">
      <c r="A220" s="3"/>
      <c r="B220" s="3"/>
      <c r="C220" s="3"/>
      <c r="D220" s="3"/>
      <c r="E220" s="4"/>
      <c r="F220" s="3"/>
      <c r="G220" s="4"/>
      <c r="H220" s="4"/>
      <c r="I220" s="4"/>
      <c r="J220" s="4"/>
      <c r="K220" s="4"/>
      <c r="L220" s="4"/>
      <c r="M220" s="4"/>
      <c r="N220" s="4"/>
      <c r="O220" s="3"/>
      <c r="P220" s="3"/>
      <c r="Q220" s="3"/>
      <c r="R220" s="3"/>
      <c r="S220" s="3"/>
      <c r="T220" s="3"/>
      <c r="U220" s="3"/>
      <c r="V220" s="3"/>
      <c r="W220" s="3"/>
      <c r="X220" s="3"/>
      <c r="Y220" s="3"/>
      <c r="Z220" s="3"/>
      <c r="AA220" s="3"/>
      <c r="AB220" s="3"/>
      <c r="AC220" s="3"/>
    </row>
    <row r="221" customFormat="false" ht="21.75" hidden="false" customHeight="true" outlineLevel="0" collapsed="false">
      <c r="A221" s="3"/>
      <c r="B221" s="3"/>
      <c r="C221" s="3"/>
      <c r="D221" s="3"/>
      <c r="E221" s="4"/>
      <c r="F221" s="3"/>
      <c r="G221" s="4"/>
      <c r="H221" s="4"/>
      <c r="I221" s="4"/>
      <c r="J221" s="4"/>
      <c r="K221" s="4"/>
      <c r="L221" s="4"/>
      <c r="M221" s="4"/>
      <c r="N221" s="4"/>
      <c r="O221" s="3"/>
      <c r="P221" s="3"/>
      <c r="Q221" s="3"/>
      <c r="R221" s="3"/>
      <c r="S221" s="3"/>
      <c r="T221" s="3"/>
      <c r="U221" s="3"/>
      <c r="V221" s="3"/>
      <c r="W221" s="3"/>
      <c r="X221" s="3"/>
      <c r="Y221" s="3"/>
      <c r="Z221" s="3"/>
      <c r="AA221" s="3"/>
      <c r="AB221" s="3"/>
      <c r="AC221" s="3"/>
    </row>
    <row r="222" customFormat="false" ht="21.75" hidden="false" customHeight="true" outlineLevel="0" collapsed="false">
      <c r="A222" s="3"/>
      <c r="B222" s="3"/>
      <c r="C222" s="3"/>
      <c r="D222" s="3"/>
      <c r="E222" s="4"/>
      <c r="F222" s="3"/>
      <c r="G222" s="4"/>
      <c r="H222" s="4"/>
      <c r="I222" s="4"/>
      <c r="J222" s="4"/>
      <c r="K222" s="4"/>
      <c r="L222" s="4"/>
      <c r="M222" s="4"/>
      <c r="N222" s="4"/>
      <c r="O222" s="3"/>
      <c r="P222" s="3"/>
      <c r="Q222" s="3"/>
      <c r="R222" s="3"/>
      <c r="S222" s="3"/>
      <c r="T222" s="3"/>
      <c r="U222" s="3"/>
      <c r="V222" s="3"/>
      <c r="W222" s="3"/>
      <c r="X222" s="3"/>
      <c r="Y222" s="3"/>
      <c r="Z222" s="3"/>
      <c r="AA222" s="3"/>
      <c r="AB222" s="3"/>
      <c r="AC222" s="3"/>
    </row>
    <row r="223" customFormat="false" ht="21.75" hidden="false" customHeight="true" outlineLevel="0" collapsed="false">
      <c r="A223" s="3"/>
      <c r="B223" s="3"/>
      <c r="C223" s="3"/>
      <c r="D223" s="3"/>
      <c r="E223" s="4"/>
      <c r="F223" s="3"/>
      <c r="G223" s="4"/>
      <c r="H223" s="4"/>
      <c r="I223" s="4"/>
      <c r="J223" s="4"/>
      <c r="K223" s="4"/>
      <c r="L223" s="4"/>
      <c r="M223" s="4"/>
      <c r="N223" s="4"/>
      <c r="O223" s="3"/>
      <c r="P223" s="3"/>
      <c r="Q223" s="3"/>
      <c r="R223" s="3"/>
      <c r="S223" s="3"/>
      <c r="T223" s="3"/>
      <c r="U223" s="3"/>
      <c r="V223" s="3"/>
      <c r="W223" s="3"/>
      <c r="X223" s="3"/>
      <c r="Y223" s="3"/>
      <c r="Z223" s="3"/>
      <c r="AA223" s="3"/>
      <c r="AB223" s="3"/>
      <c r="AC223" s="3"/>
    </row>
    <row r="224" customFormat="false" ht="21.75" hidden="false" customHeight="true" outlineLevel="0" collapsed="false">
      <c r="A224" s="3"/>
      <c r="B224" s="3"/>
      <c r="C224" s="3"/>
      <c r="D224" s="3"/>
      <c r="E224" s="4"/>
      <c r="F224" s="3"/>
      <c r="G224" s="4"/>
      <c r="H224" s="4"/>
      <c r="I224" s="4"/>
      <c r="J224" s="4"/>
      <c r="K224" s="4"/>
      <c r="L224" s="4"/>
      <c r="M224" s="4"/>
      <c r="N224" s="4"/>
      <c r="O224" s="3"/>
      <c r="P224" s="3"/>
      <c r="Q224" s="3"/>
      <c r="R224" s="3"/>
      <c r="S224" s="3"/>
      <c r="T224" s="3"/>
      <c r="U224" s="3"/>
      <c r="V224" s="3"/>
      <c r="W224" s="3"/>
      <c r="X224" s="3"/>
      <c r="Y224" s="3"/>
      <c r="Z224" s="3"/>
      <c r="AA224" s="3"/>
      <c r="AB224" s="3"/>
      <c r="AC224" s="3"/>
    </row>
    <row r="225" customFormat="false" ht="21.75" hidden="false" customHeight="true" outlineLevel="0" collapsed="false">
      <c r="A225" s="3"/>
      <c r="B225" s="3"/>
      <c r="C225" s="3"/>
      <c r="D225" s="3"/>
      <c r="E225" s="4"/>
      <c r="F225" s="3"/>
      <c r="G225" s="4"/>
      <c r="H225" s="4"/>
      <c r="I225" s="4"/>
      <c r="J225" s="4"/>
      <c r="K225" s="4"/>
      <c r="L225" s="4"/>
      <c r="M225" s="4"/>
      <c r="N225" s="4"/>
      <c r="O225" s="3"/>
      <c r="P225" s="3"/>
      <c r="Q225" s="3"/>
      <c r="R225" s="3"/>
      <c r="S225" s="3"/>
      <c r="T225" s="3"/>
      <c r="U225" s="3"/>
      <c r="V225" s="3"/>
      <c r="W225" s="3"/>
      <c r="X225" s="3"/>
      <c r="Y225" s="3"/>
      <c r="Z225" s="3"/>
      <c r="AA225" s="3"/>
      <c r="AB225" s="3"/>
      <c r="AC225" s="3"/>
    </row>
    <row r="226" customFormat="false" ht="21.75" hidden="false" customHeight="true" outlineLevel="0" collapsed="false">
      <c r="A226" s="3"/>
      <c r="B226" s="3"/>
      <c r="C226" s="3"/>
      <c r="D226" s="3"/>
      <c r="E226" s="4"/>
      <c r="F226" s="3"/>
      <c r="G226" s="4"/>
      <c r="H226" s="4"/>
      <c r="I226" s="4"/>
      <c r="J226" s="4"/>
      <c r="K226" s="4"/>
      <c r="L226" s="4"/>
      <c r="M226" s="4"/>
      <c r="N226" s="4"/>
      <c r="O226" s="3"/>
      <c r="P226" s="3"/>
      <c r="Q226" s="3"/>
      <c r="R226" s="3"/>
      <c r="S226" s="3"/>
      <c r="T226" s="3"/>
      <c r="U226" s="3"/>
      <c r="V226" s="3"/>
      <c r="W226" s="3"/>
      <c r="X226" s="3"/>
      <c r="Y226" s="3"/>
      <c r="Z226" s="3"/>
      <c r="AA226" s="3"/>
      <c r="AB226" s="3"/>
      <c r="AC226" s="3"/>
    </row>
    <row r="227" customFormat="false" ht="21.75" hidden="false" customHeight="true" outlineLevel="0" collapsed="false">
      <c r="A227" s="3"/>
      <c r="B227" s="3"/>
      <c r="C227" s="3"/>
      <c r="D227" s="3"/>
      <c r="E227" s="4"/>
      <c r="F227" s="3"/>
      <c r="G227" s="4"/>
      <c r="H227" s="4"/>
      <c r="I227" s="4"/>
      <c r="J227" s="4"/>
      <c r="K227" s="4"/>
      <c r="L227" s="4"/>
      <c r="M227" s="4"/>
      <c r="N227" s="4"/>
      <c r="O227" s="3"/>
      <c r="P227" s="3"/>
      <c r="Q227" s="3"/>
      <c r="R227" s="3"/>
      <c r="S227" s="3"/>
      <c r="T227" s="3"/>
      <c r="U227" s="3"/>
      <c r="V227" s="3"/>
      <c r="W227" s="3"/>
      <c r="X227" s="3"/>
      <c r="Y227" s="3"/>
      <c r="Z227" s="3"/>
      <c r="AA227" s="3"/>
      <c r="AB227" s="3"/>
      <c r="AC227" s="3"/>
    </row>
    <row r="228" customFormat="false" ht="21.75" hidden="false" customHeight="true" outlineLevel="0" collapsed="false">
      <c r="A228" s="3"/>
      <c r="B228" s="3"/>
      <c r="C228" s="3"/>
      <c r="D228" s="3"/>
      <c r="E228" s="4"/>
      <c r="F228" s="3"/>
      <c r="G228" s="4"/>
      <c r="H228" s="4"/>
      <c r="I228" s="4"/>
      <c r="J228" s="4"/>
      <c r="K228" s="4"/>
      <c r="L228" s="4"/>
      <c r="M228" s="4"/>
      <c r="N228" s="4"/>
      <c r="O228" s="3"/>
      <c r="P228" s="3"/>
      <c r="Q228" s="3"/>
      <c r="R228" s="3"/>
      <c r="S228" s="3"/>
      <c r="T228" s="3"/>
      <c r="U228" s="3"/>
      <c r="V228" s="3"/>
      <c r="W228" s="3"/>
      <c r="X228" s="3"/>
      <c r="Y228" s="3"/>
      <c r="Z228" s="3"/>
      <c r="AA228" s="3"/>
      <c r="AB228" s="3"/>
      <c r="AC228" s="3"/>
    </row>
    <row r="229" customFormat="false" ht="21.75" hidden="false" customHeight="true" outlineLevel="0" collapsed="false">
      <c r="A229" s="3"/>
      <c r="B229" s="3"/>
      <c r="C229" s="3"/>
      <c r="D229" s="3"/>
      <c r="E229" s="4"/>
      <c r="F229" s="3"/>
      <c r="G229" s="4"/>
      <c r="H229" s="4"/>
      <c r="I229" s="4"/>
      <c r="J229" s="4"/>
      <c r="K229" s="4"/>
      <c r="L229" s="4"/>
      <c r="M229" s="4"/>
      <c r="N229" s="4"/>
      <c r="O229" s="3"/>
      <c r="P229" s="3"/>
      <c r="Q229" s="3"/>
      <c r="R229" s="3"/>
      <c r="S229" s="3"/>
      <c r="T229" s="3"/>
      <c r="U229" s="3"/>
      <c r="V229" s="3"/>
      <c r="W229" s="3"/>
      <c r="X229" s="3"/>
      <c r="Y229" s="3"/>
      <c r="Z229" s="3"/>
      <c r="AA229" s="3"/>
      <c r="AB229" s="3"/>
      <c r="AC229" s="3"/>
    </row>
    <row r="230" customFormat="false" ht="21.75" hidden="false" customHeight="true" outlineLevel="0" collapsed="false">
      <c r="A230" s="3"/>
      <c r="B230" s="3"/>
      <c r="C230" s="3"/>
      <c r="D230" s="3"/>
      <c r="E230" s="4"/>
      <c r="F230" s="3"/>
      <c r="G230" s="4"/>
      <c r="H230" s="4"/>
      <c r="I230" s="4"/>
      <c r="J230" s="4"/>
      <c r="K230" s="4"/>
      <c r="L230" s="4"/>
      <c r="M230" s="4"/>
      <c r="N230" s="4"/>
      <c r="O230" s="3"/>
      <c r="P230" s="3"/>
      <c r="Q230" s="3"/>
      <c r="R230" s="3"/>
      <c r="S230" s="3"/>
      <c r="T230" s="3"/>
      <c r="U230" s="3"/>
      <c r="V230" s="3"/>
      <c r="W230" s="3"/>
      <c r="X230" s="3"/>
      <c r="Y230" s="3"/>
      <c r="Z230" s="3"/>
      <c r="AA230" s="3"/>
      <c r="AB230" s="3"/>
      <c r="AC23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A8BB"/>
    <pageSetUpPr fitToPage="false"/>
  </sheetPr>
  <dimension ref="A1:AC5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G1" activeCellId="0" sqref="G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 min="3" style="1" width="27"/>
    <col collapsed="false" customWidth="true" hidden="false" outlineLevel="0" max="4" min="4" style="1" width="56"/>
    <col collapsed="false" customWidth="true" hidden="false" outlineLevel="0" max="5" min="5" style="1" width="24"/>
    <col collapsed="false" customWidth="true" hidden="false" outlineLevel="0" max="6" min="6" style="1" width="70"/>
    <col collapsed="false" customWidth="true" hidden="false" outlineLevel="0" max="12" min="7" style="2" width="24"/>
    <col collapsed="false" customWidth="true" hidden="false" outlineLevel="0" max="13" min="13" style="1" width="80"/>
    <col collapsed="false" customWidth="true" hidden="false" outlineLevel="0" max="29" min="14" style="1" width="24"/>
  </cols>
  <sheetData>
    <row r="1" customFormat="false" ht="21.75" hidden="false" customHeight="true" outlineLevel="0" collapsed="false">
      <c r="A1" s="3"/>
      <c r="B1" s="3"/>
      <c r="C1" s="3"/>
      <c r="D1" s="3"/>
      <c r="E1" s="3"/>
      <c r="F1" s="3"/>
      <c r="G1" s="4"/>
      <c r="H1" s="4"/>
      <c r="I1" s="4"/>
      <c r="J1" s="4"/>
      <c r="K1" s="4"/>
      <c r="L1" s="4"/>
      <c r="M1" s="3"/>
      <c r="N1" s="3"/>
      <c r="O1" s="3"/>
      <c r="P1" s="3"/>
      <c r="Q1" s="3"/>
      <c r="R1" s="3"/>
      <c r="S1" s="3"/>
      <c r="T1" s="3"/>
      <c r="U1" s="3"/>
      <c r="V1" s="3"/>
      <c r="W1" s="3"/>
      <c r="X1" s="3"/>
      <c r="Y1" s="3"/>
      <c r="Z1" s="3"/>
      <c r="AA1" s="3"/>
      <c r="AB1" s="3"/>
      <c r="AC1" s="3"/>
    </row>
    <row r="2" customFormat="false" ht="28.5" hidden="false" customHeight="true" outlineLevel="0" collapsed="false">
      <c r="A2" s="3"/>
      <c r="B2" s="5" t="s">
        <v>6916</v>
      </c>
      <c r="C2" s="7"/>
      <c r="D2" s="7"/>
      <c r="E2" s="7"/>
      <c r="F2" s="7"/>
      <c r="G2" s="6"/>
      <c r="H2" s="6"/>
      <c r="I2" s="6"/>
      <c r="J2" s="6"/>
      <c r="K2" s="6"/>
      <c r="L2" s="6"/>
      <c r="M2" s="7"/>
      <c r="N2" s="7"/>
      <c r="O2" s="3"/>
      <c r="P2" s="3"/>
      <c r="Q2" s="3"/>
      <c r="R2" s="3"/>
      <c r="S2" s="3"/>
      <c r="T2" s="3"/>
      <c r="U2" s="3"/>
      <c r="V2" s="3"/>
      <c r="W2" s="3"/>
      <c r="X2" s="3"/>
      <c r="Y2" s="3"/>
      <c r="Z2" s="3"/>
      <c r="AA2" s="3"/>
      <c r="AB2" s="3"/>
      <c r="AC2" s="3"/>
    </row>
    <row r="3" customFormat="false" ht="22.5" hidden="false" customHeight="true" outlineLevel="0" collapsed="false">
      <c r="A3" s="3"/>
      <c r="B3" s="8" t="s">
        <v>592</v>
      </c>
      <c r="C3" s="7"/>
      <c r="D3" s="7"/>
      <c r="E3" s="7"/>
      <c r="F3" s="7"/>
      <c r="G3" s="6"/>
      <c r="H3" s="6"/>
      <c r="I3" s="6"/>
      <c r="J3" s="6"/>
      <c r="K3" s="6"/>
      <c r="L3" s="6"/>
      <c r="M3" s="7"/>
      <c r="N3" s="7"/>
      <c r="O3" s="3"/>
      <c r="P3" s="3"/>
      <c r="Q3" s="3"/>
      <c r="R3" s="3"/>
      <c r="S3" s="3"/>
      <c r="T3" s="3"/>
      <c r="U3" s="3"/>
      <c r="V3" s="3"/>
      <c r="W3" s="3"/>
      <c r="X3" s="3"/>
      <c r="Y3" s="3"/>
      <c r="Z3" s="3"/>
      <c r="AA3" s="3"/>
      <c r="AB3" s="3"/>
      <c r="AC3" s="3"/>
    </row>
    <row r="4" customFormat="false" ht="21.75" hidden="false" customHeight="true" outlineLevel="0" collapsed="false">
      <c r="A4" s="3"/>
      <c r="B4" s="9"/>
      <c r="C4" s="9"/>
      <c r="D4" s="9"/>
      <c r="E4" s="9"/>
      <c r="F4" s="9"/>
      <c r="G4" s="10"/>
      <c r="H4" s="10"/>
      <c r="I4" s="10"/>
      <c r="J4" s="10"/>
      <c r="K4" s="10"/>
      <c r="L4" s="10"/>
      <c r="M4" s="9"/>
      <c r="N4" s="9"/>
      <c r="O4" s="3"/>
      <c r="P4" s="3"/>
      <c r="Q4" s="3"/>
      <c r="R4" s="3"/>
      <c r="S4" s="3"/>
      <c r="T4" s="3"/>
      <c r="U4" s="3"/>
      <c r="V4" s="3"/>
      <c r="W4" s="3"/>
      <c r="X4" s="3"/>
      <c r="Y4" s="3"/>
      <c r="Z4" s="3"/>
      <c r="AA4" s="3"/>
      <c r="AB4" s="3"/>
      <c r="AC4" s="3"/>
    </row>
    <row r="5" customFormat="false" ht="21.75" hidden="false" customHeight="true" outlineLevel="0" collapsed="false">
      <c r="A5" s="3"/>
      <c r="B5" s="17" t="s">
        <v>6882</v>
      </c>
      <c r="C5" s="9"/>
      <c r="D5" s="9"/>
      <c r="E5" s="9"/>
      <c r="F5" s="9"/>
      <c r="G5" s="10"/>
      <c r="H5" s="10"/>
      <c r="I5" s="10"/>
      <c r="J5" s="10"/>
      <c r="K5" s="10"/>
      <c r="L5" s="10"/>
      <c r="M5" s="9"/>
      <c r="N5" s="9"/>
      <c r="O5" s="3"/>
      <c r="P5" s="3"/>
      <c r="Q5" s="3"/>
      <c r="R5" s="3"/>
      <c r="S5" s="3"/>
      <c r="T5" s="3"/>
      <c r="U5" s="3"/>
      <c r="V5" s="3"/>
      <c r="W5" s="3"/>
      <c r="X5" s="3"/>
      <c r="Y5" s="3"/>
      <c r="Z5" s="3"/>
      <c r="AA5" s="3"/>
      <c r="AB5" s="3"/>
      <c r="AC5" s="3"/>
    </row>
    <row r="6" customFormat="false" ht="21.75" hidden="false" customHeight="true" outlineLevel="0" collapsed="false">
      <c r="A6" s="3"/>
      <c r="B6" s="9"/>
      <c r="C6" s="9"/>
      <c r="D6" s="9"/>
      <c r="E6" s="9"/>
      <c r="F6" s="9"/>
      <c r="G6" s="10"/>
      <c r="H6" s="10"/>
      <c r="I6" s="10"/>
      <c r="J6" s="10"/>
      <c r="K6" s="10"/>
      <c r="L6" s="10"/>
      <c r="M6" s="9"/>
      <c r="N6" s="9"/>
      <c r="O6" s="3"/>
      <c r="P6" s="3"/>
      <c r="Q6" s="3"/>
      <c r="R6" s="3"/>
      <c r="S6" s="3"/>
      <c r="T6" s="3"/>
      <c r="U6" s="3"/>
      <c r="V6" s="3"/>
      <c r="W6" s="3"/>
      <c r="X6" s="3"/>
      <c r="Y6" s="3"/>
      <c r="Z6" s="3"/>
      <c r="AA6" s="3"/>
      <c r="AB6" s="3"/>
      <c r="AC6" s="3"/>
    </row>
    <row r="7" customFormat="false" ht="25.5" hidden="false" customHeight="true" outlineLevel="0" collapsed="false">
      <c r="A7" s="3"/>
      <c r="B7" s="133" t="s">
        <v>6883</v>
      </c>
      <c r="C7" s="133"/>
      <c r="D7" s="133"/>
      <c r="E7" s="133"/>
      <c r="F7" s="133"/>
      <c r="G7" s="40"/>
      <c r="H7" s="40"/>
      <c r="I7" s="10"/>
      <c r="J7" s="10"/>
      <c r="K7" s="10"/>
      <c r="L7" s="10"/>
      <c r="M7" s="9"/>
      <c r="N7" s="9"/>
      <c r="O7" s="3"/>
      <c r="P7" s="3"/>
      <c r="Q7" s="3"/>
      <c r="R7" s="3"/>
      <c r="S7" s="3"/>
      <c r="T7" s="3"/>
      <c r="U7" s="3"/>
      <c r="V7" s="3"/>
      <c r="W7" s="3"/>
      <c r="X7" s="3"/>
      <c r="Y7" s="3"/>
      <c r="Z7" s="3"/>
      <c r="AA7" s="3"/>
      <c r="AB7" s="3"/>
      <c r="AC7" s="3"/>
    </row>
    <row r="8" customFormat="false" ht="36" hidden="false" customHeight="true" outlineLevel="0" collapsed="false">
      <c r="A8" s="3"/>
      <c r="B8" s="21" t="s">
        <v>6917</v>
      </c>
      <c r="C8" s="30" t="s">
        <v>230</v>
      </c>
      <c r="D8" s="30" t="s">
        <v>6918</v>
      </c>
      <c r="E8" s="30" t="s">
        <v>6903</v>
      </c>
      <c r="F8" s="30" t="s">
        <v>6919</v>
      </c>
      <c r="G8" s="30" t="s">
        <v>6920</v>
      </c>
      <c r="H8" s="30" t="s">
        <v>6921</v>
      </c>
      <c r="I8" s="30" t="s">
        <v>6922</v>
      </c>
      <c r="J8" s="30" t="s">
        <v>6923</v>
      </c>
      <c r="K8" s="30" t="s">
        <v>6924</v>
      </c>
      <c r="L8" s="30" t="s">
        <v>6925</v>
      </c>
      <c r="M8" s="30" t="s">
        <v>240</v>
      </c>
      <c r="N8" s="30" t="s">
        <v>242</v>
      </c>
      <c r="O8" s="3"/>
      <c r="P8" s="3"/>
      <c r="Q8" s="3"/>
      <c r="R8" s="3"/>
      <c r="S8" s="3"/>
      <c r="T8" s="3"/>
      <c r="U8" s="3"/>
      <c r="V8" s="3"/>
      <c r="W8" s="3"/>
      <c r="X8" s="3"/>
      <c r="Y8" s="3"/>
      <c r="Z8" s="3"/>
      <c r="AA8" s="3"/>
      <c r="AB8" s="3"/>
      <c r="AC8" s="3"/>
    </row>
    <row r="9" customFormat="false" ht="36" hidden="false" customHeight="true" outlineLevel="0" collapsed="false">
      <c r="A9" s="3"/>
      <c r="B9" s="139" t="s">
        <v>6459</v>
      </c>
      <c r="C9" s="109" t="s">
        <v>269</v>
      </c>
      <c r="D9" s="109" t="s">
        <v>585</v>
      </c>
      <c r="E9" s="109" t="s">
        <v>589</v>
      </c>
      <c r="F9" s="113" t="s">
        <v>588</v>
      </c>
      <c r="G9" s="150" t="n">
        <v>20.69</v>
      </c>
      <c r="H9" s="91" t="s">
        <v>590</v>
      </c>
      <c r="I9" s="144" t="n">
        <v>1</v>
      </c>
      <c r="J9" s="91"/>
      <c r="K9" s="150" t="n">
        <v>20.69</v>
      </c>
      <c r="L9" s="91" t="s">
        <v>530</v>
      </c>
      <c r="M9" s="109" t="s">
        <v>587</v>
      </c>
      <c r="N9" s="109" t="s">
        <v>586</v>
      </c>
      <c r="O9" s="3"/>
      <c r="P9" s="3"/>
      <c r="Q9" s="3"/>
      <c r="R9" s="3"/>
      <c r="S9" s="3"/>
      <c r="T9" s="3"/>
      <c r="U9" s="3"/>
      <c r="V9" s="3"/>
      <c r="W9" s="3"/>
      <c r="X9" s="3"/>
      <c r="Y9" s="3"/>
      <c r="Z9" s="3"/>
      <c r="AA9" s="3"/>
      <c r="AB9" s="3"/>
      <c r="AC9" s="3"/>
    </row>
    <row r="10" customFormat="false" ht="36" hidden="false" customHeight="true" outlineLevel="0" collapsed="false">
      <c r="A10" s="3"/>
      <c r="B10" s="141" t="s">
        <v>6459</v>
      </c>
      <c r="C10" s="110" t="s">
        <v>264</v>
      </c>
      <c r="D10" s="110" t="s">
        <v>593</v>
      </c>
      <c r="E10" s="110" t="s">
        <v>388</v>
      </c>
      <c r="F10" s="117" t="s">
        <v>594</v>
      </c>
      <c r="G10" s="151" t="n">
        <v>22.43</v>
      </c>
      <c r="H10" s="98" t="s">
        <v>590</v>
      </c>
      <c r="I10" s="146" t="n">
        <v>1</v>
      </c>
      <c r="J10" s="98"/>
      <c r="K10" s="151" t="n">
        <v>22.43</v>
      </c>
      <c r="L10" s="98" t="s">
        <v>530</v>
      </c>
      <c r="M10" s="110"/>
      <c r="N10" s="110" t="s">
        <v>586</v>
      </c>
      <c r="O10" s="3"/>
      <c r="P10" s="3"/>
      <c r="Q10" s="3"/>
      <c r="R10" s="3"/>
      <c r="S10" s="3"/>
      <c r="T10" s="3"/>
      <c r="U10" s="3"/>
      <c r="V10" s="3"/>
      <c r="W10" s="3"/>
      <c r="X10" s="3"/>
      <c r="Y10" s="3"/>
      <c r="Z10" s="3"/>
      <c r="AA10" s="3"/>
      <c r="AB10" s="3"/>
      <c r="AC10" s="3"/>
    </row>
    <row r="11" customFormat="false" ht="36" hidden="false" customHeight="true" outlineLevel="0" collapsed="false">
      <c r="A11" s="3"/>
      <c r="B11" s="139" t="s">
        <v>6459</v>
      </c>
      <c r="C11" s="109" t="s">
        <v>273</v>
      </c>
      <c r="D11" s="109" t="s">
        <v>595</v>
      </c>
      <c r="E11" s="109" t="s">
        <v>598</v>
      </c>
      <c r="F11" s="113" t="s">
        <v>597</v>
      </c>
      <c r="G11" s="150" t="n">
        <v>12.49</v>
      </c>
      <c r="H11" s="91" t="s">
        <v>265</v>
      </c>
      <c r="I11" s="144" t="n">
        <v>1</v>
      </c>
      <c r="J11" s="91"/>
      <c r="K11" s="150" t="n">
        <v>10.41</v>
      </c>
      <c r="L11" s="91" t="s">
        <v>530</v>
      </c>
      <c r="M11" s="109" t="s">
        <v>596</v>
      </c>
      <c r="N11" s="109" t="s">
        <v>586</v>
      </c>
      <c r="O11" s="3"/>
      <c r="P11" s="3"/>
      <c r="Q11" s="3"/>
      <c r="R11" s="3"/>
      <c r="S11" s="3"/>
      <c r="T11" s="3"/>
      <c r="U11" s="3"/>
      <c r="V11" s="3"/>
      <c r="W11" s="3"/>
      <c r="X11" s="3"/>
      <c r="Y11" s="3"/>
      <c r="Z11" s="3"/>
      <c r="AA11" s="3"/>
      <c r="AB11" s="3"/>
      <c r="AC11" s="3"/>
    </row>
    <row r="12" customFormat="false" ht="36" hidden="false" customHeight="true" outlineLevel="0" collapsed="false">
      <c r="A12" s="3"/>
      <c r="B12" s="141" t="s">
        <v>6459</v>
      </c>
      <c r="C12" s="110" t="s">
        <v>281</v>
      </c>
      <c r="D12" s="110" t="s">
        <v>600</v>
      </c>
      <c r="E12" s="110" t="s">
        <v>603</v>
      </c>
      <c r="F12" s="117" t="s">
        <v>602</v>
      </c>
      <c r="G12" s="151" t="n">
        <v>14.07</v>
      </c>
      <c r="H12" s="98" t="s">
        <v>590</v>
      </c>
      <c r="I12" s="146" t="n">
        <v>1</v>
      </c>
      <c r="J12" s="98"/>
      <c r="K12" s="151" t="n">
        <v>14.07</v>
      </c>
      <c r="L12" s="98" t="s">
        <v>530</v>
      </c>
      <c r="M12" s="110" t="s">
        <v>601</v>
      </c>
      <c r="N12" s="110" t="s">
        <v>586</v>
      </c>
      <c r="O12" s="3"/>
      <c r="P12" s="3"/>
      <c r="Q12" s="3"/>
      <c r="R12" s="3"/>
      <c r="S12" s="3"/>
      <c r="T12" s="3"/>
      <c r="U12" s="3"/>
      <c r="V12" s="3"/>
      <c r="W12" s="3"/>
      <c r="X12" s="3"/>
      <c r="Y12" s="3"/>
      <c r="Z12" s="3"/>
      <c r="AA12" s="3"/>
      <c r="AB12" s="3"/>
      <c r="AC12" s="3"/>
    </row>
    <row r="13" customFormat="false" ht="36" hidden="false" customHeight="true" outlineLevel="0" collapsed="false">
      <c r="A13" s="3"/>
      <c r="B13" s="139" t="s">
        <v>6459</v>
      </c>
      <c r="C13" s="109" t="s">
        <v>293</v>
      </c>
      <c r="D13" s="109" t="s">
        <v>604</v>
      </c>
      <c r="E13" s="109" t="s">
        <v>589</v>
      </c>
      <c r="F13" s="113" t="s">
        <v>606</v>
      </c>
      <c r="G13" s="150" t="n">
        <v>13.9</v>
      </c>
      <c r="H13" s="91" t="s">
        <v>590</v>
      </c>
      <c r="I13" s="144" t="n">
        <v>1</v>
      </c>
      <c r="J13" s="91"/>
      <c r="K13" s="150" t="n">
        <v>13.9</v>
      </c>
      <c r="L13" s="91" t="s">
        <v>530</v>
      </c>
      <c r="M13" s="109" t="s">
        <v>605</v>
      </c>
      <c r="N13" s="109" t="s">
        <v>586</v>
      </c>
      <c r="O13" s="3"/>
      <c r="P13" s="3"/>
      <c r="Q13" s="3"/>
      <c r="R13" s="3"/>
      <c r="S13" s="3"/>
      <c r="T13" s="3"/>
      <c r="U13" s="3"/>
      <c r="V13" s="3"/>
      <c r="W13" s="3"/>
      <c r="X13" s="3"/>
      <c r="Y13" s="3"/>
      <c r="Z13" s="3"/>
      <c r="AA13" s="3"/>
      <c r="AB13" s="3"/>
      <c r="AC13" s="3"/>
    </row>
    <row r="14" customFormat="false" ht="36" hidden="false" customHeight="true" outlineLevel="0" collapsed="false">
      <c r="A14" s="3"/>
      <c r="B14" s="141" t="s">
        <v>6461</v>
      </c>
      <c r="C14" s="110" t="s">
        <v>243</v>
      </c>
      <c r="D14" s="110" t="s">
        <v>669</v>
      </c>
      <c r="E14" s="110"/>
      <c r="F14" s="117" t="s">
        <v>671</v>
      </c>
      <c r="G14" s="151" t="n">
        <v>7.29</v>
      </c>
      <c r="H14" s="98" t="s">
        <v>590</v>
      </c>
      <c r="I14" s="146" t="n">
        <v>1</v>
      </c>
      <c r="J14" s="98"/>
      <c r="K14" s="151" t="n">
        <v>7.29</v>
      </c>
      <c r="L14" s="98" t="s">
        <v>530</v>
      </c>
      <c r="M14" s="110" t="s">
        <v>670</v>
      </c>
      <c r="N14" s="110" t="s">
        <v>586</v>
      </c>
      <c r="O14" s="3"/>
      <c r="P14" s="3"/>
      <c r="Q14" s="3"/>
      <c r="R14" s="3"/>
      <c r="S14" s="3"/>
      <c r="T14" s="3"/>
      <c r="U14" s="3"/>
      <c r="V14" s="3"/>
      <c r="W14" s="3"/>
      <c r="X14" s="3"/>
      <c r="Y14" s="3"/>
      <c r="Z14" s="3"/>
      <c r="AA14" s="3"/>
      <c r="AB14" s="3"/>
      <c r="AC14" s="3"/>
    </row>
    <row r="15" customFormat="false" ht="36" hidden="false" customHeight="true" outlineLevel="0" collapsed="false">
      <c r="A15" s="3"/>
      <c r="B15" s="139" t="s">
        <v>6461</v>
      </c>
      <c r="C15" s="109" t="s">
        <v>269</v>
      </c>
      <c r="D15" s="109" t="s">
        <v>672</v>
      </c>
      <c r="E15" s="109" t="s">
        <v>598</v>
      </c>
      <c r="F15" s="113" t="s">
        <v>674</v>
      </c>
      <c r="G15" s="150" t="n">
        <v>9.99</v>
      </c>
      <c r="H15" s="91" t="s">
        <v>590</v>
      </c>
      <c r="I15" s="144" t="n">
        <v>1</v>
      </c>
      <c r="J15" s="91"/>
      <c r="K15" s="150" t="n">
        <v>9.99</v>
      </c>
      <c r="L15" s="91" t="s">
        <v>530</v>
      </c>
      <c r="M15" s="109" t="s">
        <v>673</v>
      </c>
      <c r="N15" s="109" t="s">
        <v>586</v>
      </c>
      <c r="O15" s="3"/>
      <c r="P15" s="3"/>
      <c r="Q15" s="3"/>
      <c r="R15" s="3"/>
      <c r="S15" s="3"/>
      <c r="T15" s="3"/>
      <c r="U15" s="3"/>
      <c r="V15" s="3"/>
      <c r="W15" s="3"/>
      <c r="X15" s="3"/>
      <c r="Y15" s="3"/>
      <c r="Z15" s="3"/>
      <c r="AA15" s="3"/>
      <c r="AB15" s="3"/>
      <c r="AC15" s="3"/>
    </row>
    <row r="16" customFormat="false" ht="36" hidden="false" customHeight="true" outlineLevel="0" collapsed="false">
      <c r="A16" s="3"/>
      <c r="B16" s="141" t="s">
        <v>6461</v>
      </c>
      <c r="C16" s="110" t="s">
        <v>264</v>
      </c>
      <c r="D16" s="110" t="s">
        <v>675</v>
      </c>
      <c r="E16" s="110" t="s">
        <v>388</v>
      </c>
      <c r="F16" s="117" t="s">
        <v>676</v>
      </c>
      <c r="G16" s="151" t="n">
        <v>18.75</v>
      </c>
      <c r="H16" s="98" t="s">
        <v>590</v>
      </c>
      <c r="I16" s="146" t="n">
        <v>1</v>
      </c>
      <c r="J16" s="98"/>
      <c r="K16" s="151" t="n">
        <v>18.75</v>
      </c>
      <c r="L16" s="98" t="s">
        <v>530</v>
      </c>
      <c r="M16" s="110"/>
      <c r="N16" s="110" t="s">
        <v>586</v>
      </c>
      <c r="O16" s="3"/>
      <c r="P16" s="3"/>
      <c r="Q16" s="3"/>
      <c r="R16" s="3"/>
      <c r="S16" s="3"/>
      <c r="T16" s="3"/>
      <c r="U16" s="3"/>
      <c r="V16" s="3"/>
      <c r="W16" s="3"/>
      <c r="X16" s="3"/>
      <c r="Y16" s="3"/>
      <c r="Z16" s="3"/>
      <c r="AA16" s="3"/>
      <c r="AB16" s="3"/>
      <c r="AC16" s="3"/>
    </row>
    <row r="17" customFormat="false" ht="36" hidden="false" customHeight="true" outlineLevel="0" collapsed="false">
      <c r="A17" s="3"/>
      <c r="B17" s="139" t="s">
        <v>6461</v>
      </c>
      <c r="C17" s="109" t="s">
        <v>273</v>
      </c>
      <c r="D17" s="109" t="s">
        <v>677</v>
      </c>
      <c r="E17" s="109" t="s">
        <v>598</v>
      </c>
      <c r="F17" s="113" t="s">
        <v>678</v>
      </c>
      <c r="G17" s="150" t="n">
        <v>10.09</v>
      </c>
      <c r="H17" s="91" t="s">
        <v>265</v>
      </c>
      <c r="I17" s="144" t="n">
        <v>1</v>
      </c>
      <c r="J17" s="91"/>
      <c r="K17" s="150" t="n">
        <v>8.41</v>
      </c>
      <c r="L17" s="91" t="s">
        <v>530</v>
      </c>
      <c r="M17" s="109"/>
      <c r="N17" s="109" t="s">
        <v>586</v>
      </c>
      <c r="O17" s="3"/>
      <c r="P17" s="3"/>
      <c r="Q17" s="3"/>
      <c r="R17" s="3"/>
      <c r="S17" s="3"/>
      <c r="T17" s="3"/>
      <c r="U17" s="3"/>
      <c r="V17" s="3"/>
      <c r="W17" s="3"/>
      <c r="X17" s="3"/>
      <c r="Y17" s="3"/>
      <c r="Z17" s="3"/>
      <c r="AA17" s="3"/>
      <c r="AB17" s="3"/>
      <c r="AC17" s="3"/>
    </row>
    <row r="18" customFormat="false" ht="36" hidden="false" customHeight="true" outlineLevel="0" collapsed="false">
      <c r="A18" s="3"/>
      <c r="B18" s="141" t="s">
        <v>6461</v>
      </c>
      <c r="C18" s="110" t="s">
        <v>281</v>
      </c>
      <c r="D18" s="110" t="s">
        <v>679</v>
      </c>
      <c r="E18" s="110" t="s">
        <v>603</v>
      </c>
      <c r="F18" s="117" t="s">
        <v>681</v>
      </c>
      <c r="G18" s="151" t="n">
        <v>10.17</v>
      </c>
      <c r="H18" s="98" t="s">
        <v>590</v>
      </c>
      <c r="I18" s="146" t="n">
        <v>1</v>
      </c>
      <c r="J18" s="98"/>
      <c r="K18" s="151" t="n">
        <v>10.17</v>
      </c>
      <c r="L18" s="98" t="s">
        <v>530</v>
      </c>
      <c r="M18" s="110" t="s">
        <v>680</v>
      </c>
      <c r="N18" s="110" t="s">
        <v>586</v>
      </c>
      <c r="O18" s="3"/>
      <c r="P18" s="3"/>
      <c r="Q18" s="3"/>
      <c r="R18" s="3"/>
      <c r="S18" s="3"/>
      <c r="T18" s="3"/>
      <c r="U18" s="3"/>
      <c r="V18" s="3"/>
      <c r="W18" s="3"/>
      <c r="X18" s="3"/>
      <c r="Y18" s="3"/>
      <c r="Z18" s="3"/>
      <c r="AA18" s="3"/>
      <c r="AB18" s="3"/>
      <c r="AC18" s="3"/>
    </row>
    <row r="19" customFormat="false" ht="36" hidden="false" customHeight="true" outlineLevel="0" collapsed="false">
      <c r="A19" s="3"/>
      <c r="B19" s="139" t="s">
        <v>6461</v>
      </c>
      <c r="C19" s="109" t="s">
        <v>285</v>
      </c>
      <c r="D19" s="109" t="s">
        <v>682</v>
      </c>
      <c r="E19" s="109" t="s">
        <v>685</v>
      </c>
      <c r="F19" s="113" t="s">
        <v>684</v>
      </c>
      <c r="G19" s="150" t="n">
        <v>37.9</v>
      </c>
      <c r="H19" s="91" t="s">
        <v>590</v>
      </c>
      <c r="I19" s="144" t="n">
        <v>1</v>
      </c>
      <c r="J19" s="91"/>
      <c r="K19" s="150" t="n">
        <v>37.9</v>
      </c>
      <c r="L19" s="91" t="s">
        <v>629</v>
      </c>
      <c r="M19" s="109" t="s">
        <v>683</v>
      </c>
      <c r="N19" s="109" t="s">
        <v>586</v>
      </c>
      <c r="O19" s="3"/>
      <c r="P19" s="3"/>
      <c r="Q19" s="3"/>
      <c r="R19" s="3"/>
      <c r="S19" s="3"/>
      <c r="T19" s="3"/>
      <c r="U19" s="3"/>
      <c r="V19" s="3"/>
      <c r="W19" s="3"/>
      <c r="X19" s="3"/>
      <c r="Y19" s="3"/>
      <c r="Z19" s="3"/>
      <c r="AA19" s="3"/>
      <c r="AB19" s="3"/>
      <c r="AC19" s="3"/>
    </row>
    <row r="20" customFormat="false" ht="36" hidden="false" customHeight="true" outlineLevel="0" collapsed="false">
      <c r="A20" s="3"/>
      <c r="B20" s="141" t="s">
        <v>6461</v>
      </c>
      <c r="C20" s="110" t="s">
        <v>293</v>
      </c>
      <c r="D20" s="110" t="s">
        <v>686</v>
      </c>
      <c r="E20" s="110" t="s">
        <v>589</v>
      </c>
      <c r="F20" s="117" t="s">
        <v>688</v>
      </c>
      <c r="G20" s="151" t="n">
        <v>10.9</v>
      </c>
      <c r="H20" s="98" t="s">
        <v>590</v>
      </c>
      <c r="I20" s="146" t="n">
        <v>1</v>
      </c>
      <c r="J20" s="98"/>
      <c r="K20" s="151" t="n">
        <v>10.9</v>
      </c>
      <c r="L20" s="98" t="s">
        <v>530</v>
      </c>
      <c r="M20" s="110" t="s">
        <v>687</v>
      </c>
      <c r="N20" s="110" t="s">
        <v>586</v>
      </c>
      <c r="O20" s="3"/>
      <c r="P20" s="3"/>
      <c r="Q20" s="3"/>
      <c r="R20" s="3"/>
      <c r="S20" s="3"/>
      <c r="T20" s="3"/>
      <c r="U20" s="3"/>
      <c r="V20" s="3"/>
      <c r="W20" s="3"/>
      <c r="X20" s="3"/>
      <c r="Y20" s="3"/>
      <c r="Z20" s="3"/>
      <c r="AA20" s="3"/>
      <c r="AB20" s="3"/>
      <c r="AC20" s="3"/>
    </row>
    <row r="21" customFormat="false" ht="36" hidden="false" customHeight="true" outlineLevel="0" collapsed="false">
      <c r="A21" s="3"/>
      <c r="B21" s="139" t="s">
        <v>6462</v>
      </c>
      <c r="C21" s="109" t="s">
        <v>269</v>
      </c>
      <c r="D21" s="109" t="s">
        <v>735</v>
      </c>
      <c r="E21" s="109" t="s">
        <v>565</v>
      </c>
      <c r="F21" s="113" t="s">
        <v>737</v>
      </c>
      <c r="G21" s="150" t="n">
        <v>18.09</v>
      </c>
      <c r="H21" s="91" t="s">
        <v>590</v>
      </c>
      <c r="I21" s="144" t="n">
        <v>1</v>
      </c>
      <c r="J21" s="91"/>
      <c r="K21" s="150" t="n">
        <v>18.09</v>
      </c>
      <c r="L21" s="91" t="s">
        <v>530</v>
      </c>
      <c r="M21" s="109" t="s">
        <v>736</v>
      </c>
      <c r="N21" s="109" t="s">
        <v>586</v>
      </c>
      <c r="O21" s="3"/>
      <c r="P21" s="3"/>
      <c r="Q21" s="3"/>
      <c r="R21" s="3"/>
      <c r="S21" s="3"/>
      <c r="T21" s="3"/>
      <c r="U21" s="3"/>
      <c r="V21" s="3"/>
      <c r="W21" s="3"/>
      <c r="X21" s="3"/>
      <c r="Y21" s="3"/>
      <c r="Z21" s="3"/>
      <c r="AA21" s="3"/>
      <c r="AB21" s="3"/>
      <c r="AC21" s="3"/>
    </row>
    <row r="22" customFormat="false" ht="36" hidden="false" customHeight="true" outlineLevel="0" collapsed="false">
      <c r="A22" s="3"/>
      <c r="B22" s="141" t="s">
        <v>6462</v>
      </c>
      <c r="C22" s="110" t="s">
        <v>264</v>
      </c>
      <c r="D22" s="110" t="s">
        <v>738</v>
      </c>
      <c r="E22" s="110" t="s">
        <v>388</v>
      </c>
      <c r="F22" s="117" t="s">
        <v>739</v>
      </c>
      <c r="G22" s="151" t="n">
        <v>18.6</v>
      </c>
      <c r="H22" s="98" t="s">
        <v>590</v>
      </c>
      <c r="I22" s="146" t="n">
        <v>1</v>
      </c>
      <c r="J22" s="98"/>
      <c r="K22" s="151" t="n">
        <v>18.6</v>
      </c>
      <c r="L22" s="98" t="s">
        <v>530</v>
      </c>
      <c r="M22" s="110"/>
      <c r="N22" s="110" t="s">
        <v>586</v>
      </c>
      <c r="O22" s="3"/>
      <c r="P22" s="3"/>
      <c r="Q22" s="3"/>
      <c r="R22" s="3"/>
      <c r="S22" s="3"/>
      <c r="T22" s="3"/>
      <c r="U22" s="3"/>
      <c r="V22" s="3"/>
      <c r="W22" s="3"/>
      <c r="X22" s="3"/>
      <c r="Y22" s="3"/>
      <c r="Z22" s="3"/>
      <c r="AA22" s="3"/>
      <c r="AB22" s="3"/>
      <c r="AC22" s="3"/>
    </row>
    <row r="23" customFormat="false" ht="36" hidden="false" customHeight="true" outlineLevel="0" collapsed="false">
      <c r="A23" s="3"/>
      <c r="B23" s="139" t="s">
        <v>6462</v>
      </c>
      <c r="C23" s="109" t="s">
        <v>273</v>
      </c>
      <c r="D23" s="109" t="s">
        <v>740</v>
      </c>
      <c r="E23" s="109" t="s">
        <v>642</v>
      </c>
      <c r="F23" s="113" t="s">
        <v>742</v>
      </c>
      <c r="G23" s="150" t="n">
        <v>6.98</v>
      </c>
      <c r="H23" s="91" t="s">
        <v>265</v>
      </c>
      <c r="I23" s="144" t="n">
        <v>1</v>
      </c>
      <c r="J23" s="91"/>
      <c r="K23" s="150" t="n">
        <v>5.82</v>
      </c>
      <c r="L23" s="91" t="s">
        <v>530</v>
      </c>
      <c r="M23" s="109" t="s">
        <v>741</v>
      </c>
      <c r="N23" s="109" t="s">
        <v>586</v>
      </c>
      <c r="O23" s="3"/>
      <c r="P23" s="3"/>
      <c r="Q23" s="3"/>
      <c r="R23" s="3"/>
      <c r="S23" s="3"/>
      <c r="T23" s="3"/>
      <c r="U23" s="3"/>
      <c r="V23" s="3"/>
      <c r="W23" s="3"/>
      <c r="X23" s="3"/>
      <c r="Y23" s="3"/>
      <c r="Z23" s="3"/>
      <c r="AA23" s="3"/>
      <c r="AB23" s="3"/>
      <c r="AC23" s="3"/>
    </row>
    <row r="24" customFormat="false" ht="36" hidden="false" customHeight="true" outlineLevel="0" collapsed="false">
      <c r="A24" s="3"/>
      <c r="B24" s="141" t="s">
        <v>6462</v>
      </c>
      <c r="C24" s="110" t="s">
        <v>281</v>
      </c>
      <c r="D24" s="110" t="s">
        <v>743</v>
      </c>
      <c r="E24" s="110" t="s">
        <v>646</v>
      </c>
      <c r="F24" s="117" t="s">
        <v>745</v>
      </c>
      <c r="G24" s="151" t="n">
        <v>10</v>
      </c>
      <c r="H24" s="98" t="s">
        <v>590</v>
      </c>
      <c r="I24" s="146" t="n">
        <v>1</v>
      </c>
      <c r="J24" s="98"/>
      <c r="K24" s="151" t="n">
        <v>10</v>
      </c>
      <c r="L24" s="98" t="s">
        <v>530</v>
      </c>
      <c r="M24" s="110" t="s">
        <v>744</v>
      </c>
      <c r="N24" s="110" t="s">
        <v>586</v>
      </c>
      <c r="O24" s="3"/>
      <c r="P24" s="3"/>
      <c r="Q24" s="3"/>
      <c r="R24" s="3"/>
      <c r="S24" s="3"/>
      <c r="T24" s="3"/>
      <c r="U24" s="3"/>
      <c r="V24" s="3"/>
      <c r="W24" s="3"/>
      <c r="X24" s="3"/>
      <c r="Y24" s="3"/>
      <c r="Z24" s="3"/>
      <c r="AA24" s="3"/>
      <c r="AB24" s="3"/>
      <c r="AC24" s="3"/>
    </row>
    <row r="25" customFormat="false" ht="36" hidden="false" customHeight="true" outlineLevel="0" collapsed="false">
      <c r="A25" s="3"/>
      <c r="B25" s="139" t="s">
        <v>6462</v>
      </c>
      <c r="C25" s="109" t="s">
        <v>285</v>
      </c>
      <c r="D25" s="109" t="s">
        <v>746</v>
      </c>
      <c r="E25" s="109" t="s">
        <v>733</v>
      </c>
      <c r="F25" s="113" t="s">
        <v>747</v>
      </c>
      <c r="G25" s="150" t="n">
        <v>14</v>
      </c>
      <c r="H25" s="91" t="s">
        <v>590</v>
      </c>
      <c r="I25" s="144" t="n">
        <v>1</v>
      </c>
      <c r="J25" s="91"/>
      <c r="K25" s="150" t="n">
        <v>14</v>
      </c>
      <c r="L25" s="91" t="s">
        <v>530</v>
      </c>
      <c r="M25" s="109"/>
      <c r="N25" s="109" t="s">
        <v>586</v>
      </c>
      <c r="O25" s="3"/>
      <c r="P25" s="3"/>
      <c r="Q25" s="3"/>
      <c r="R25" s="3"/>
      <c r="S25" s="3"/>
      <c r="T25" s="3"/>
      <c r="U25" s="3"/>
      <c r="V25" s="3"/>
      <c r="W25" s="3"/>
      <c r="X25" s="3"/>
      <c r="Y25" s="3"/>
      <c r="Z25" s="3"/>
      <c r="AA25" s="3"/>
      <c r="AB25" s="3"/>
      <c r="AC25" s="3"/>
    </row>
    <row r="26" customFormat="false" ht="36" hidden="false" customHeight="true" outlineLevel="0" collapsed="false">
      <c r="A26" s="3"/>
      <c r="B26" s="141" t="s">
        <v>6462</v>
      </c>
      <c r="C26" s="110" t="s">
        <v>293</v>
      </c>
      <c r="D26" s="110" t="s">
        <v>748</v>
      </c>
      <c r="E26" s="110" t="s">
        <v>589</v>
      </c>
      <c r="F26" s="117" t="s">
        <v>750</v>
      </c>
      <c r="G26" s="151" t="n">
        <v>4.5</v>
      </c>
      <c r="H26" s="98" t="s">
        <v>590</v>
      </c>
      <c r="I26" s="146" t="n">
        <v>1</v>
      </c>
      <c r="J26" s="98"/>
      <c r="K26" s="151" t="n">
        <v>4.5</v>
      </c>
      <c r="L26" s="98" t="s">
        <v>530</v>
      </c>
      <c r="M26" s="110" t="s">
        <v>749</v>
      </c>
      <c r="N26" s="110" t="s">
        <v>586</v>
      </c>
      <c r="O26" s="3"/>
      <c r="P26" s="3"/>
      <c r="Q26" s="3"/>
      <c r="R26" s="3"/>
      <c r="S26" s="3"/>
      <c r="T26" s="3"/>
      <c r="U26" s="3"/>
      <c r="V26" s="3"/>
      <c r="W26" s="3"/>
      <c r="X26" s="3"/>
      <c r="Y26" s="3"/>
      <c r="Z26" s="3"/>
      <c r="AA26" s="3"/>
      <c r="AB26" s="3"/>
      <c r="AC26" s="3"/>
    </row>
    <row r="27" customFormat="false" ht="36" hidden="false" customHeight="true" outlineLevel="0" collapsed="false">
      <c r="A27" s="3"/>
      <c r="B27" s="139" t="s">
        <v>6463</v>
      </c>
      <c r="C27" s="109" t="s">
        <v>269</v>
      </c>
      <c r="D27" s="109" t="s">
        <v>791</v>
      </c>
      <c r="E27" s="109" t="s">
        <v>589</v>
      </c>
      <c r="F27" s="113" t="s">
        <v>793</v>
      </c>
      <c r="G27" s="150" t="n">
        <v>11.69</v>
      </c>
      <c r="H27" s="91" t="s">
        <v>590</v>
      </c>
      <c r="I27" s="144" t="n">
        <v>1</v>
      </c>
      <c r="J27" s="91"/>
      <c r="K27" s="150" t="n">
        <v>11.69</v>
      </c>
      <c r="L27" s="91" t="s">
        <v>530</v>
      </c>
      <c r="M27" s="109" t="s">
        <v>792</v>
      </c>
      <c r="N27" s="109" t="s">
        <v>586</v>
      </c>
      <c r="O27" s="3"/>
      <c r="P27" s="3"/>
      <c r="Q27" s="3"/>
      <c r="R27" s="3"/>
      <c r="S27" s="3"/>
      <c r="T27" s="3"/>
      <c r="U27" s="3"/>
      <c r="V27" s="3"/>
      <c r="W27" s="3"/>
      <c r="X27" s="3"/>
      <c r="Y27" s="3"/>
      <c r="Z27" s="3"/>
      <c r="AA27" s="3"/>
      <c r="AB27" s="3"/>
      <c r="AC27" s="3"/>
    </row>
    <row r="28" customFormat="false" ht="36" hidden="false" customHeight="true" outlineLevel="0" collapsed="false">
      <c r="A28" s="3"/>
      <c r="B28" s="141" t="s">
        <v>6463</v>
      </c>
      <c r="C28" s="110" t="s">
        <v>264</v>
      </c>
      <c r="D28" s="110" t="s">
        <v>794</v>
      </c>
      <c r="E28" s="110" t="s">
        <v>388</v>
      </c>
      <c r="F28" s="117" t="s">
        <v>796</v>
      </c>
      <c r="G28" s="151" t="n">
        <v>16.66</v>
      </c>
      <c r="H28" s="98" t="s">
        <v>590</v>
      </c>
      <c r="I28" s="146" t="n">
        <v>1</v>
      </c>
      <c r="J28" s="98"/>
      <c r="K28" s="151" t="n">
        <v>16.66</v>
      </c>
      <c r="L28" s="98" t="s">
        <v>702</v>
      </c>
      <c r="M28" s="110" t="s">
        <v>795</v>
      </c>
      <c r="N28" s="110" t="s">
        <v>586</v>
      </c>
      <c r="O28" s="3"/>
      <c r="P28" s="3"/>
      <c r="Q28" s="3"/>
      <c r="R28" s="3"/>
      <c r="S28" s="3"/>
      <c r="T28" s="3"/>
      <c r="U28" s="3"/>
      <c r="V28" s="3"/>
      <c r="W28" s="3"/>
      <c r="X28" s="3"/>
      <c r="Y28" s="3"/>
      <c r="Z28" s="3"/>
      <c r="AA28" s="3"/>
      <c r="AB28" s="3"/>
      <c r="AC28" s="3"/>
    </row>
    <row r="29" customFormat="false" ht="36" hidden="false" customHeight="true" outlineLevel="0" collapsed="false">
      <c r="A29" s="3"/>
      <c r="B29" s="139" t="s">
        <v>6463</v>
      </c>
      <c r="C29" s="109" t="s">
        <v>273</v>
      </c>
      <c r="D29" s="109" t="s">
        <v>797</v>
      </c>
      <c r="E29" s="109" t="s">
        <v>642</v>
      </c>
      <c r="F29" s="113" t="s">
        <v>799</v>
      </c>
      <c r="G29" s="150" t="n">
        <v>11.09</v>
      </c>
      <c r="H29" s="91" t="s">
        <v>265</v>
      </c>
      <c r="I29" s="144" t="n">
        <v>1</v>
      </c>
      <c r="J29" s="91"/>
      <c r="K29" s="150" t="n">
        <v>9.24</v>
      </c>
      <c r="L29" s="91" t="s">
        <v>530</v>
      </c>
      <c r="M29" s="109" t="s">
        <v>798</v>
      </c>
      <c r="N29" s="109" t="s">
        <v>586</v>
      </c>
      <c r="O29" s="3"/>
      <c r="P29" s="3"/>
      <c r="Q29" s="3"/>
      <c r="R29" s="3"/>
      <c r="S29" s="3"/>
      <c r="T29" s="3"/>
      <c r="U29" s="3"/>
      <c r="V29" s="3"/>
      <c r="W29" s="3"/>
      <c r="X29" s="3"/>
      <c r="Y29" s="3"/>
      <c r="Z29" s="3"/>
      <c r="AA29" s="3"/>
      <c r="AB29" s="3"/>
      <c r="AC29" s="3"/>
    </row>
    <row r="30" customFormat="false" ht="36" hidden="false" customHeight="true" outlineLevel="0" collapsed="false">
      <c r="A30" s="3"/>
      <c r="B30" s="141" t="s">
        <v>6463</v>
      </c>
      <c r="C30" s="110" t="s">
        <v>281</v>
      </c>
      <c r="D30" s="110" t="s">
        <v>800</v>
      </c>
      <c r="E30" s="110" t="s">
        <v>603</v>
      </c>
      <c r="F30" s="117" t="s">
        <v>802</v>
      </c>
      <c r="G30" s="151" t="n">
        <v>7.5</v>
      </c>
      <c r="H30" s="98" t="s">
        <v>590</v>
      </c>
      <c r="I30" s="146" t="n">
        <v>1</v>
      </c>
      <c r="J30" s="98"/>
      <c r="K30" s="151" t="n">
        <v>7.5</v>
      </c>
      <c r="L30" s="98" t="s">
        <v>530</v>
      </c>
      <c r="M30" s="110" t="s">
        <v>801</v>
      </c>
      <c r="N30" s="110" t="s">
        <v>586</v>
      </c>
      <c r="O30" s="3"/>
      <c r="P30" s="3"/>
      <c r="Q30" s="3"/>
      <c r="R30" s="3"/>
      <c r="S30" s="3"/>
      <c r="T30" s="3"/>
      <c r="U30" s="3"/>
      <c r="V30" s="3"/>
      <c r="W30" s="3"/>
      <c r="X30" s="3"/>
      <c r="Y30" s="3"/>
      <c r="Z30" s="3"/>
      <c r="AA30" s="3"/>
      <c r="AB30" s="3"/>
      <c r="AC30" s="3"/>
    </row>
    <row r="31" customFormat="false" ht="36" hidden="false" customHeight="true" outlineLevel="0" collapsed="false">
      <c r="A31" s="3"/>
      <c r="B31" s="139" t="s">
        <v>6463</v>
      </c>
      <c r="C31" s="109" t="s">
        <v>293</v>
      </c>
      <c r="D31" s="109" t="s">
        <v>803</v>
      </c>
      <c r="E31" s="109" t="s">
        <v>589</v>
      </c>
      <c r="F31" s="113" t="s">
        <v>805</v>
      </c>
      <c r="G31" s="150" t="n">
        <v>5</v>
      </c>
      <c r="H31" s="91" t="s">
        <v>590</v>
      </c>
      <c r="I31" s="144" t="n">
        <v>1</v>
      </c>
      <c r="J31" s="91"/>
      <c r="K31" s="150" t="n">
        <v>5</v>
      </c>
      <c r="L31" s="91" t="s">
        <v>530</v>
      </c>
      <c r="M31" s="109" t="s">
        <v>804</v>
      </c>
      <c r="N31" s="109" t="s">
        <v>586</v>
      </c>
      <c r="O31" s="3"/>
      <c r="P31" s="3"/>
      <c r="Q31" s="3"/>
      <c r="R31" s="3"/>
      <c r="S31" s="3"/>
      <c r="T31" s="3"/>
      <c r="U31" s="3"/>
      <c r="V31" s="3"/>
      <c r="W31" s="3"/>
      <c r="X31" s="3"/>
      <c r="Y31" s="3"/>
      <c r="Z31" s="3"/>
      <c r="AA31" s="3"/>
      <c r="AB31" s="3"/>
      <c r="AC31" s="3"/>
    </row>
    <row r="32" customFormat="false" ht="36" hidden="false" customHeight="true" outlineLevel="0" collapsed="false">
      <c r="A32" s="3"/>
      <c r="B32" s="141" t="s">
        <v>25</v>
      </c>
      <c r="C32" s="110" t="s">
        <v>243</v>
      </c>
      <c r="D32" s="110" t="s">
        <v>839</v>
      </c>
      <c r="E32" s="110"/>
      <c r="F32" s="117" t="s">
        <v>841</v>
      </c>
      <c r="G32" s="151" t="n">
        <v>8.5</v>
      </c>
      <c r="H32" s="98" t="s">
        <v>590</v>
      </c>
      <c r="I32" s="146" t="n">
        <v>6</v>
      </c>
      <c r="J32" s="98" t="s">
        <v>611</v>
      </c>
      <c r="K32" s="151" t="n">
        <v>1.42</v>
      </c>
      <c r="L32" s="98" t="s">
        <v>702</v>
      </c>
      <c r="M32" s="110" t="s">
        <v>840</v>
      </c>
      <c r="N32" s="110" t="s">
        <v>586</v>
      </c>
      <c r="O32" s="3"/>
      <c r="P32" s="3"/>
      <c r="Q32" s="3"/>
      <c r="R32" s="3"/>
      <c r="S32" s="3"/>
      <c r="T32" s="3"/>
      <c r="U32" s="3"/>
      <c r="V32" s="3"/>
      <c r="W32" s="3"/>
      <c r="X32" s="3"/>
      <c r="Y32" s="3"/>
      <c r="Z32" s="3"/>
      <c r="AA32" s="3"/>
      <c r="AB32" s="3"/>
      <c r="AC32" s="3"/>
    </row>
    <row r="33" customFormat="false" ht="36" hidden="false" customHeight="true" outlineLevel="0" collapsed="false">
      <c r="A33" s="3"/>
      <c r="B33" s="139" t="s">
        <v>25</v>
      </c>
      <c r="C33" s="109" t="s">
        <v>269</v>
      </c>
      <c r="D33" s="109" t="s">
        <v>842</v>
      </c>
      <c r="E33" s="109" t="s">
        <v>589</v>
      </c>
      <c r="F33" s="113" t="s">
        <v>844</v>
      </c>
      <c r="G33" s="150" t="n">
        <v>3.89</v>
      </c>
      <c r="H33" s="91" t="s">
        <v>590</v>
      </c>
      <c r="I33" s="144" t="n">
        <v>1</v>
      </c>
      <c r="J33" s="91"/>
      <c r="K33" s="150" t="n">
        <v>3.89</v>
      </c>
      <c r="L33" s="91" t="s">
        <v>530</v>
      </c>
      <c r="M33" s="109" t="s">
        <v>843</v>
      </c>
      <c r="N33" s="109" t="s">
        <v>586</v>
      </c>
      <c r="O33" s="3"/>
      <c r="P33" s="3"/>
      <c r="Q33" s="3"/>
      <c r="R33" s="3"/>
      <c r="S33" s="3"/>
      <c r="T33" s="3"/>
      <c r="U33" s="3"/>
      <c r="V33" s="3"/>
      <c r="W33" s="3"/>
      <c r="X33" s="3"/>
      <c r="Y33" s="3"/>
      <c r="Z33" s="3"/>
      <c r="AA33" s="3"/>
      <c r="AB33" s="3"/>
      <c r="AC33" s="3"/>
    </row>
    <row r="34" customFormat="false" ht="36" hidden="false" customHeight="true" outlineLevel="0" collapsed="false">
      <c r="A34" s="3"/>
      <c r="B34" s="141" t="s">
        <v>25</v>
      </c>
      <c r="C34" s="110" t="s">
        <v>264</v>
      </c>
      <c r="D34" s="110" t="s">
        <v>845</v>
      </c>
      <c r="E34" s="110" t="s">
        <v>646</v>
      </c>
      <c r="F34" s="117" t="s">
        <v>847</v>
      </c>
      <c r="G34" s="151" t="n">
        <v>2.32</v>
      </c>
      <c r="H34" s="98" t="s">
        <v>590</v>
      </c>
      <c r="I34" s="146" t="n">
        <v>1</v>
      </c>
      <c r="J34" s="98"/>
      <c r="K34" s="151" t="n">
        <v>2.32</v>
      </c>
      <c r="L34" s="98" t="s">
        <v>702</v>
      </c>
      <c r="M34" s="110" t="s">
        <v>846</v>
      </c>
      <c r="N34" s="110" t="s">
        <v>586</v>
      </c>
      <c r="O34" s="3"/>
      <c r="P34" s="3"/>
      <c r="Q34" s="3"/>
      <c r="R34" s="3"/>
      <c r="S34" s="3"/>
      <c r="T34" s="3"/>
      <c r="U34" s="3"/>
      <c r="V34" s="3"/>
      <c r="W34" s="3"/>
      <c r="X34" s="3"/>
      <c r="Y34" s="3"/>
      <c r="Z34" s="3"/>
      <c r="AA34" s="3"/>
      <c r="AB34" s="3"/>
      <c r="AC34" s="3"/>
    </row>
    <row r="35" customFormat="false" ht="36" hidden="false" customHeight="true" outlineLevel="0" collapsed="false">
      <c r="A35" s="3"/>
      <c r="B35" s="139" t="s">
        <v>25</v>
      </c>
      <c r="C35" s="109" t="s">
        <v>273</v>
      </c>
      <c r="D35" s="109" t="s">
        <v>848</v>
      </c>
      <c r="E35" s="109" t="s">
        <v>598</v>
      </c>
      <c r="F35" s="113" t="s">
        <v>850</v>
      </c>
      <c r="G35" s="150" t="n">
        <v>4.59</v>
      </c>
      <c r="H35" s="91" t="s">
        <v>265</v>
      </c>
      <c r="I35" s="144" t="n">
        <v>1</v>
      </c>
      <c r="J35" s="91"/>
      <c r="K35" s="150" t="n">
        <v>3.83</v>
      </c>
      <c r="L35" s="91" t="s">
        <v>702</v>
      </c>
      <c r="M35" s="109" t="s">
        <v>849</v>
      </c>
      <c r="N35" s="109" t="s">
        <v>586</v>
      </c>
      <c r="O35" s="3"/>
      <c r="P35" s="3"/>
      <c r="Q35" s="3"/>
      <c r="R35" s="3"/>
      <c r="S35" s="3"/>
      <c r="T35" s="3"/>
      <c r="U35" s="3"/>
      <c r="V35" s="3"/>
      <c r="W35" s="3"/>
      <c r="X35" s="3"/>
      <c r="Y35" s="3"/>
      <c r="Z35" s="3"/>
      <c r="AA35" s="3"/>
      <c r="AB35" s="3"/>
      <c r="AC35" s="3"/>
    </row>
    <row r="36" customFormat="false" ht="36" hidden="false" customHeight="true" outlineLevel="0" collapsed="false">
      <c r="A36" s="3"/>
      <c r="B36" s="141" t="s">
        <v>25</v>
      </c>
      <c r="C36" s="110" t="s">
        <v>281</v>
      </c>
      <c r="D36" s="110" t="s">
        <v>851</v>
      </c>
      <c r="E36" s="110" t="s">
        <v>662</v>
      </c>
      <c r="F36" s="117" t="s">
        <v>853</v>
      </c>
      <c r="G36" s="151" t="n">
        <v>8.73</v>
      </c>
      <c r="H36" s="98" t="s">
        <v>590</v>
      </c>
      <c r="I36" s="146" t="n">
        <v>6</v>
      </c>
      <c r="J36" s="98" t="s">
        <v>611</v>
      </c>
      <c r="K36" s="151" t="n">
        <v>1.46</v>
      </c>
      <c r="L36" s="98" t="s">
        <v>702</v>
      </c>
      <c r="M36" s="110" t="s">
        <v>852</v>
      </c>
      <c r="N36" s="110" t="s">
        <v>586</v>
      </c>
      <c r="O36" s="3"/>
      <c r="P36" s="3"/>
      <c r="Q36" s="3"/>
      <c r="R36" s="3"/>
      <c r="S36" s="3"/>
      <c r="T36" s="3"/>
      <c r="U36" s="3"/>
      <c r="V36" s="3"/>
      <c r="W36" s="3"/>
      <c r="X36" s="3"/>
      <c r="Y36" s="3"/>
      <c r="Z36" s="3"/>
      <c r="AA36" s="3"/>
      <c r="AB36" s="3"/>
      <c r="AC36" s="3"/>
    </row>
    <row r="37" customFormat="false" ht="36" hidden="false" customHeight="true" outlineLevel="0" collapsed="false">
      <c r="A37" s="3"/>
      <c r="B37" s="139" t="s">
        <v>6465</v>
      </c>
      <c r="C37" s="109" t="s">
        <v>269</v>
      </c>
      <c r="D37" s="109" t="s">
        <v>889</v>
      </c>
      <c r="E37" s="109" t="s">
        <v>662</v>
      </c>
      <c r="F37" s="113" t="s">
        <v>891</v>
      </c>
      <c r="G37" s="150" t="n">
        <v>2.09</v>
      </c>
      <c r="H37" s="91" t="s">
        <v>590</v>
      </c>
      <c r="I37" s="144" t="n">
        <v>1</v>
      </c>
      <c r="J37" s="91"/>
      <c r="K37" s="150" t="n">
        <v>2.09</v>
      </c>
      <c r="L37" s="91" t="s">
        <v>702</v>
      </c>
      <c r="M37" s="109" t="s">
        <v>890</v>
      </c>
      <c r="N37" s="109" t="s">
        <v>586</v>
      </c>
      <c r="O37" s="3"/>
      <c r="P37" s="3"/>
      <c r="Q37" s="3"/>
      <c r="R37" s="3"/>
      <c r="S37" s="3"/>
      <c r="T37" s="3"/>
      <c r="U37" s="3"/>
      <c r="V37" s="3"/>
      <c r="W37" s="3"/>
      <c r="X37" s="3"/>
      <c r="Y37" s="3"/>
      <c r="Z37" s="3"/>
      <c r="AA37" s="3"/>
      <c r="AB37" s="3"/>
      <c r="AC37" s="3"/>
    </row>
    <row r="38" customFormat="false" ht="33" hidden="false" customHeight="true" outlineLevel="0" collapsed="false">
      <c r="A38" s="3"/>
      <c r="B38" s="141" t="s">
        <v>6465</v>
      </c>
      <c r="C38" s="110" t="s">
        <v>264</v>
      </c>
      <c r="D38" s="110" t="s">
        <v>892</v>
      </c>
      <c r="E38" s="110" t="s">
        <v>646</v>
      </c>
      <c r="F38" s="117" t="s">
        <v>894</v>
      </c>
      <c r="G38" s="151" t="n">
        <v>2.76</v>
      </c>
      <c r="H38" s="98" t="s">
        <v>590</v>
      </c>
      <c r="I38" s="146" t="n">
        <v>1</v>
      </c>
      <c r="J38" s="98"/>
      <c r="K38" s="151" t="n">
        <v>2.76</v>
      </c>
      <c r="L38" s="98" t="s">
        <v>702</v>
      </c>
      <c r="M38" s="110" t="s">
        <v>893</v>
      </c>
      <c r="N38" s="110" t="s">
        <v>586</v>
      </c>
      <c r="O38" s="3"/>
      <c r="P38" s="3"/>
      <c r="Q38" s="3"/>
      <c r="R38" s="3"/>
      <c r="S38" s="3"/>
      <c r="T38" s="3"/>
      <c r="U38" s="3"/>
      <c r="V38" s="3"/>
      <c r="W38" s="3"/>
      <c r="X38" s="3"/>
      <c r="Y38" s="3"/>
      <c r="Z38" s="3"/>
      <c r="AA38" s="3"/>
      <c r="AB38" s="3"/>
      <c r="AC38" s="3"/>
    </row>
    <row r="39" customFormat="false" ht="36" hidden="false" customHeight="true" outlineLevel="0" collapsed="false">
      <c r="A39" s="3"/>
      <c r="B39" s="139" t="s">
        <v>6465</v>
      </c>
      <c r="C39" s="109" t="s">
        <v>273</v>
      </c>
      <c r="D39" s="109" t="s">
        <v>895</v>
      </c>
      <c r="E39" s="109" t="s">
        <v>598</v>
      </c>
      <c r="F39" s="113" t="s">
        <v>897</v>
      </c>
      <c r="G39" s="150" t="n">
        <v>3.79</v>
      </c>
      <c r="H39" s="91" t="s">
        <v>265</v>
      </c>
      <c r="I39" s="144" t="n">
        <v>1</v>
      </c>
      <c r="J39" s="91"/>
      <c r="K39" s="150" t="n">
        <v>3.16</v>
      </c>
      <c r="L39" s="91" t="s">
        <v>702</v>
      </c>
      <c r="M39" s="109" t="s">
        <v>896</v>
      </c>
      <c r="N39" s="109" t="s">
        <v>586</v>
      </c>
      <c r="O39" s="3"/>
      <c r="P39" s="3"/>
      <c r="Q39" s="3"/>
      <c r="R39" s="3"/>
      <c r="S39" s="3"/>
      <c r="T39" s="3"/>
      <c r="U39" s="3"/>
      <c r="V39" s="3"/>
      <c r="W39" s="3"/>
      <c r="X39" s="3"/>
      <c r="Y39" s="3"/>
      <c r="Z39" s="3"/>
      <c r="AA39" s="3"/>
      <c r="AB39" s="3"/>
      <c r="AC39" s="3"/>
    </row>
    <row r="40" customFormat="false" ht="36" hidden="false" customHeight="true" outlineLevel="0" collapsed="false">
      <c r="A40" s="3"/>
      <c r="B40" s="141" t="s">
        <v>6465</v>
      </c>
      <c r="C40" s="110" t="s">
        <v>281</v>
      </c>
      <c r="D40" s="110" t="s">
        <v>898</v>
      </c>
      <c r="E40" s="110" t="s">
        <v>662</v>
      </c>
      <c r="F40" s="117" t="s">
        <v>900</v>
      </c>
      <c r="G40" s="151" t="n">
        <v>1.95</v>
      </c>
      <c r="H40" s="98" t="s">
        <v>590</v>
      </c>
      <c r="I40" s="146" t="n">
        <v>1</v>
      </c>
      <c r="J40" s="98"/>
      <c r="K40" s="151" t="n">
        <v>1.95</v>
      </c>
      <c r="L40" s="98" t="s">
        <v>702</v>
      </c>
      <c r="M40" s="110" t="s">
        <v>899</v>
      </c>
      <c r="N40" s="110" t="s">
        <v>586</v>
      </c>
      <c r="O40" s="3"/>
      <c r="P40" s="3"/>
      <c r="Q40" s="3"/>
      <c r="R40" s="3"/>
      <c r="S40" s="3"/>
      <c r="T40" s="3"/>
      <c r="U40" s="3"/>
      <c r="V40" s="3"/>
      <c r="W40" s="3"/>
      <c r="X40" s="3"/>
      <c r="Y40" s="3"/>
      <c r="Z40" s="3"/>
      <c r="AA40" s="3"/>
      <c r="AB40" s="3"/>
      <c r="AC40" s="3"/>
    </row>
    <row r="41" customFormat="false" ht="36" hidden="false" customHeight="true" outlineLevel="0" collapsed="false">
      <c r="A41" s="3"/>
      <c r="B41" s="139" t="s">
        <v>27</v>
      </c>
      <c r="C41" s="109" t="s">
        <v>269</v>
      </c>
      <c r="D41" s="109" t="s">
        <v>930</v>
      </c>
      <c r="E41" s="109" t="s">
        <v>589</v>
      </c>
      <c r="F41" s="113" t="s">
        <v>932</v>
      </c>
      <c r="G41" s="150" t="n">
        <v>6.89</v>
      </c>
      <c r="H41" s="91" t="s">
        <v>590</v>
      </c>
      <c r="I41" s="144" t="n">
        <v>1</v>
      </c>
      <c r="J41" s="91"/>
      <c r="K41" s="150" t="n">
        <v>6.89</v>
      </c>
      <c r="L41" s="91" t="s">
        <v>629</v>
      </c>
      <c r="M41" s="109" t="s">
        <v>931</v>
      </c>
      <c r="N41" s="109" t="s">
        <v>586</v>
      </c>
      <c r="O41" s="3"/>
      <c r="P41" s="3"/>
      <c r="Q41" s="3"/>
      <c r="R41" s="3"/>
      <c r="S41" s="3"/>
      <c r="T41" s="3"/>
      <c r="U41" s="3"/>
      <c r="V41" s="3"/>
      <c r="W41" s="3"/>
      <c r="X41" s="3"/>
      <c r="Y41" s="3"/>
      <c r="Z41" s="3"/>
      <c r="AA41" s="3"/>
      <c r="AB41" s="3"/>
      <c r="AC41" s="3"/>
    </row>
    <row r="42" customFormat="false" ht="36" hidden="false" customHeight="true" outlineLevel="0" collapsed="false">
      <c r="A42" s="3"/>
      <c r="B42" s="141" t="s">
        <v>27</v>
      </c>
      <c r="C42" s="110" t="s">
        <v>273</v>
      </c>
      <c r="D42" s="110" t="s">
        <v>933</v>
      </c>
      <c r="E42" s="110" t="s">
        <v>598</v>
      </c>
      <c r="F42" s="117" t="s">
        <v>935</v>
      </c>
      <c r="G42" s="151" t="n">
        <v>3.98</v>
      </c>
      <c r="H42" s="98" t="s">
        <v>265</v>
      </c>
      <c r="I42" s="146" t="n">
        <v>1</v>
      </c>
      <c r="J42" s="98"/>
      <c r="K42" s="151" t="n">
        <v>3.32</v>
      </c>
      <c r="L42" s="98" t="s">
        <v>629</v>
      </c>
      <c r="M42" s="110" t="s">
        <v>934</v>
      </c>
      <c r="N42" s="110" t="s">
        <v>586</v>
      </c>
      <c r="O42" s="3"/>
      <c r="P42" s="3"/>
      <c r="Q42" s="3"/>
      <c r="R42" s="3"/>
      <c r="S42" s="3"/>
      <c r="T42" s="3"/>
      <c r="U42" s="3"/>
      <c r="V42" s="3"/>
      <c r="W42" s="3"/>
      <c r="X42" s="3"/>
      <c r="Y42" s="3"/>
      <c r="Z42" s="3"/>
      <c r="AA42" s="3"/>
      <c r="AB42" s="3"/>
      <c r="AC42" s="3"/>
    </row>
    <row r="43" customFormat="false" ht="36" hidden="false" customHeight="true" outlineLevel="0" collapsed="false">
      <c r="A43" s="3"/>
      <c r="B43" s="139" t="s">
        <v>27</v>
      </c>
      <c r="C43" s="109" t="s">
        <v>281</v>
      </c>
      <c r="D43" s="109" t="s">
        <v>936</v>
      </c>
      <c r="E43" s="109" t="s">
        <v>589</v>
      </c>
      <c r="F43" s="113" t="s">
        <v>938</v>
      </c>
      <c r="G43" s="150" t="n">
        <v>4.44</v>
      </c>
      <c r="H43" s="91" t="s">
        <v>590</v>
      </c>
      <c r="I43" s="144" t="n">
        <v>1</v>
      </c>
      <c r="J43" s="91"/>
      <c r="K43" s="150" t="n">
        <v>4.44</v>
      </c>
      <c r="L43" s="91" t="s">
        <v>629</v>
      </c>
      <c r="M43" s="109" t="s">
        <v>937</v>
      </c>
      <c r="N43" s="109" t="s">
        <v>586</v>
      </c>
      <c r="O43" s="3"/>
      <c r="P43" s="3"/>
      <c r="Q43" s="3"/>
      <c r="R43" s="3"/>
      <c r="S43" s="3"/>
      <c r="T43" s="3"/>
      <c r="U43" s="3"/>
      <c r="V43" s="3"/>
      <c r="W43" s="3"/>
      <c r="X43" s="3"/>
      <c r="Y43" s="3"/>
      <c r="Z43" s="3"/>
      <c r="AA43" s="3"/>
      <c r="AB43" s="3"/>
      <c r="AC43" s="3"/>
    </row>
    <row r="44" customFormat="false" ht="36" hidden="false" customHeight="true" outlineLevel="0" collapsed="false">
      <c r="A44" s="3"/>
      <c r="B44" s="141" t="s">
        <v>6466</v>
      </c>
      <c r="C44" s="110" t="s">
        <v>243</v>
      </c>
      <c r="D44" s="110" t="s">
        <v>965</v>
      </c>
      <c r="E44" s="110"/>
      <c r="F44" s="117" t="s">
        <v>967</v>
      </c>
      <c r="G44" s="151" t="n">
        <v>36.1</v>
      </c>
      <c r="H44" s="98" t="s">
        <v>590</v>
      </c>
      <c r="I44" s="146" t="n">
        <v>1</v>
      </c>
      <c r="J44" s="98"/>
      <c r="K44" s="151" t="n">
        <v>36.1</v>
      </c>
      <c r="L44" s="98" t="s">
        <v>702</v>
      </c>
      <c r="M44" s="110" t="s">
        <v>966</v>
      </c>
      <c r="N44" s="110" t="s">
        <v>586</v>
      </c>
      <c r="O44" s="3"/>
      <c r="P44" s="3"/>
      <c r="Q44" s="3"/>
      <c r="R44" s="3"/>
      <c r="S44" s="3"/>
      <c r="T44" s="3"/>
      <c r="U44" s="3"/>
      <c r="V44" s="3"/>
      <c r="W44" s="3"/>
      <c r="X44" s="3"/>
      <c r="Y44" s="3"/>
      <c r="Z44" s="3"/>
      <c r="AA44" s="3"/>
      <c r="AB44" s="3"/>
      <c r="AC44" s="3"/>
    </row>
    <row r="45" customFormat="false" ht="36" hidden="false" customHeight="true" outlineLevel="0" collapsed="false">
      <c r="A45" s="3"/>
      <c r="B45" s="139" t="s">
        <v>6466</v>
      </c>
      <c r="C45" s="109" t="s">
        <v>269</v>
      </c>
      <c r="D45" s="109" t="s">
        <v>968</v>
      </c>
      <c r="E45" s="109" t="s">
        <v>388</v>
      </c>
      <c r="F45" s="113" t="s">
        <v>970</v>
      </c>
      <c r="G45" s="150" t="n">
        <v>26.89</v>
      </c>
      <c r="H45" s="91" t="s">
        <v>590</v>
      </c>
      <c r="I45" s="144" t="n">
        <v>1</v>
      </c>
      <c r="J45" s="91"/>
      <c r="K45" s="150" t="n">
        <v>26.89</v>
      </c>
      <c r="L45" s="91" t="s">
        <v>530</v>
      </c>
      <c r="M45" s="109" t="s">
        <v>969</v>
      </c>
      <c r="N45" s="109" t="s">
        <v>586</v>
      </c>
      <c r="O45" s="3"/>
      <c r="P45" s="3"/>
      <c r="Q45" s="3"/>
      <c r="R45" s="3"/>
      <c r="S45" s="3"/>
      <c r="T45" s="3"/>
      <c r="U45" s="3"/>
      <c r="V45" s="3"/>
      <c r="W45" s="3"/>
      <c r="X45" s="3"/>
      <c r="Y45" s="3"/>
      <c r="Z45" s="3"/>
      <c r="AA45" s="3"/>
      <c r="AB45" s="3"/>
      <c r="AC45" s="3"/>
    </row>
    <row r="46" customFormat="false" ht="36" hidden="false" customHeight="true" outlineLevel="0" collapsed="false">
      <c r="A46" s="3"/>
      <c r="B46" s="141" t="s">
        <v>6466</v>
      </c>
      <c r="C46" s="110" t="s">
        <v>264</v>
      </c>
      <c r="D46" s="110" t="s">
        <v>971</v>
      </c>
      <c r="E46" s="110" t="s">
        <v>388</v>
      </c>
      <c r="F46" s="117" t="s">
        <v>973</v>
      </c>
      <c r="G46" s="151" t="n">
        <v>19.76</v>
      </c>
      <c r="H46" s="98" t="s">
        <v>590</v>
      </c>
      <c r="I46" s="146" t="n">
        <v>1</v>
      </c>
      <c r="J46" s="98"/>
      <c r="K46" s="151" t="n">
        <v>19.76</v>
      </c>
      <c r="L46" s="98" t="s">
        <v>530</v>
      </c>
      <c r="M46" s="110" t="s">
        <v>972</v>
      </c>
      <c r="N46" s="110" t="s">
        <v>586</v>
      </c>
      <c r="O46" s="3"/>
      <c r="P46" s="3"/>
      <c r="Q46" s="3"/>
      <c r="R46" s="3"/>
      <c r="S46" s="3"/>
      <c r="T46" s="3"/>
      <c r="U46" s="3"/>
      <c r="V46" s="3"/>
      <c r="W46" s="3"/>
      <c r="X46" s="3"/>
      <c r="Y46" s="3"/>
      <c r="Z46" s="3"/>
      <c r="AA46" s="3"/>
      <c r="AB46" s="3"/>
      <c r="AC46" s="3"/>
    </row>
    <row r="47" customFormat="false" ht="36" hidden="false" customHeight="true" outlineLevel="0" collapsed="false">
      <c r="A47" s="3"/>
      <c r="B47" s="139" t="s">
        <v>6466</v>
      </c>
      <c r="C47" s="109" t="s">
        <v>273</v>
      </c>
      <c r="D47" s="109" t="s">
        <v>974</v>
      </c>
      <c r="E47" s="109" t="s">
        <v>565</v>
      </c>
      <c r="F47" s="113" t="s">
        <v>976</v>
      </c>
      <c r="G47" s="150" t="n">
        <v>36.9</v>
      </c>
      <c r="H47" s="91" t="s">
        <v>265</v>
      </c>
      <c r="I47" s="144" t="n">
        <v>1</v>
      </c>
      <c r="J47" s="91"/>
      <c r="K47" s="150" t="n">
        <v>30.75</v>
      </c>
      <c r="L47" s="91" t="s">
        <v>702</v>
      </c>
      <c r="M47" s="109" t="s">
        <v>975</v>
      </c>
      <c r="N47" s="109" t="s">
        <v>586</v>
      </c>
      <c r="O47" s="3"/>
      <c r="P47" s="3"/>
      <c r="Q47" s="3"/>
      <c r="R47" s="3"/>
      <c r="S47" s="3"/>
      <c r="T47" s="3"/>
      <c r="U47" s="3"/>
      <c r="V47" s="3"/>
      <c r="W47" s="3"/>
      <c r="X47" s="3"/>
      <c r="Y47" s="3"/>
      <c r="Z47" s="3"/>
      <c r="AA47" s="3"/>
      <c r="AB47" s="3"/>
      <c r="AC47" s="3"/>
    </row>
    <row r="48" customFormat="false" ht="36" hidden="false" customHeight="true" outlineLevel="0" collapsed="false">
      <c r="A48" s="3"/>
      <c r="B48" s="141" t="s">
        <v>6466</v>
      </c>
      <c r="C48" s="110" t="s">
        <v>281</v>
      </c>
      <c r="D48" s="110" t="s">
        <v>977</v>
      </c>
      <c r="E48" s="110" t="s">
        <v>589</v>
      </c>
      <c r="F48" s="117" t="s">
        <v>979</v>
      </c>
      <c r="G48" s="151" t="n">
        <v>93.66</v>
      </c>
      <c r="H48" s="98" t="s">
        <v>590</v>
      </c>
      <c r="I48" s="146" t="n">
        <v>1</v>
      </c>
      <c r="J48" s="98"/>
      <c r="K48" s="151" t="n">
        <v>93.66</v>
      </c>
      <c r="L48" s="98" t="s">
        <v>702</v>
      </c>
      <c r="M48" s="110" t="s">
        <v>978</v>
      </c>
      <c r="N48" s="110" t="s">
        <v>586</v>
      </c>
      <c r="O48" s="3"/>
      <c r="P48" s="3"/>
      <c r="Q48" s="3"/>
      <c r="R48" s="3"/>
      <c r="S48" s="3"/>
      <c r="T48" s="3"/>
      <c r="U48" s="3"/>
      <c r="V48" s="3"/>
      <c r="W48" s="3"/>
      <c r="X48" s="3"/>
      <c r="Y48" s="3"/>
      <c r="Z48" s="3"/>
      <c r="AA48" s="3"/>
      <c r="AB48" s="3"/>
      <c r="AC48" s="3"/>
    </row>
    <row r="49" customFormat="false" ht="36" hidden="false" customHeight="true" outlineLevel="0" collapsed="false">
      <c r="A49" s="3"/>
      <c r="B49" s="139" t="s">
        <v>6466</v>
      </c>
      <c r="C49" s="109" t="s">
        <v>293</v>
      </c>
      <c r="D49" s="109" t="s">
        <v>980</v>
      </c>
      <c r="E49" s="109" t="s">
        <v>589</v>
      </c>
      <c r="F49" s="113" t="s">
        <v>982</v>
      </c>
      <c r="G49" s="150" t="n">
        <v>30.5</v>
      </c>
      <c r="H49" s="91" t="s">
        <v>590</v>
      </c>
      <c r="I49" s="144" t="n">
        <v>1</v>
      </c>
      <c r="J49" s="91"/>
      <c r="K49" s="150" t="n">
        <v>30.5</v>
      </c>
      <c r="L49" s="91" t="s">
        <v>702</v>
      </c>
      <c r="M49" s="109" t="s">
        <v>981</v>
      </c>
      <c r="N49" s="109" t="s">
        <v>586</v>
      </c>
      <c r="O49" s="3"/>
      <c r="P49" s="3"/>
      <c r="Q49" s="3"/>
      <c r="R49" s="3"/>
      <c r="S49" s="3"/>
      <c r="T49" s="3"/>
      <c r="U49" s="3"/>
      <c r="V49" s="3"/>
      <c r="W49" s="3"/>
      <c r="X49" s="3"/>
      <c r="Y49" s="3"/>
      <c r="Z49" s="3"/>
      <c r="AA49" s="3"/>
      <c r="AB49" s="3"/>
      <c r="AC49" s="3"/>
    </row>
    <row r="50" customFormat="false" ht="36" hidden="false" customHeight="true" outlineLevel="0" collapsed="false">
      <c r="A50" s="3"/>
      <c r="B50" s="141" t="s">
        <v>6467</v>
      </c>
      <c r="C50" s="110" t="s">
        <v>243</v>
      </c>
      <c r="D50" s="110" t="s">
        <v>1027</v>
      </c>
      <c r="E50" s="110" t="s">
        <v>1030</v>
      </c>
      <c r="F50" s="117" t="s">
        <v>1029</v>
      </c>
      <c r="G50" s="151" t="n">
        <v>26.95</v>
      </c>
      <c r="H50" s="98" t="s">
        <v>590</v>
      </c>
      <c r="I50" s="146" t="n">
        <v>1</v>
      </c>
      <c r="J50" s="98"/>
      <c r="K50" s="151" t="n">
        <v>26.95</v>
      </c>
      <c r="L50" s="98" t="s">
        <v>530</v>
      </c>
      <c r="M50" s="110" t="s">
        <v>1028</v>
      </c>
      <c r="N50" s="110" t="s">
        <v>586</v>
      </c>
      <c r="O50" s="3"/>
      <c r="P50" s="3"/>
      <c r="Q50" s="3"/>
      <c r="R50" s="3"/>
      <c r="S50" s="3"/>
      <c r="T50" s="3"/>
      <c r="U50" s="3"/>
      <c r="V50" s="3"/>
      <c r="W50" s="3"/>
      <c r="X50" s="3"/>
      <c r="Y50" s="3"/>
      <c r="Z50" s="3"/>
      <c r="AA50" s="3"/>
      <c r="AB50" s="3"/>
      <c r="AC50" s="3"/>
    </row>
    <row r="51" customFormat="false" ht="36" hidden="false" customHeight="true" outlineLevel="0" collapsed="false">
      <c r="A51" s="3"/>
      <c r="B51" s="139" t="s">
        <v>6467</v>
      </c>
      <c r="C51" s="109" t="s">
        <v>269</v>
      </c>
      <c r="D51" s="109" t="s">
        <v>1031</v>
      </c>
      <c r="E51" s="109" t="s">
        <v>388</v>
      </c>
      <c r="F51" s="113" t="s">
        <v>1033</v>
      </c>
      <c r="G51" s="150" t="n">
        <v>33.69</v>
      </c>
      <c r="H51" s="91" t="s">
        <v>590</v>
      </c>
      <c r="I51" s="144" t="n">
        <v>1</v>
      </c>
      <c r="J51" s="91"/>
      <c r="K51" s="150" t="n">
        <v>33.69</v>
      </c>
      <c r="L51" s="91" t="s">
        <v>702</v>
      </c>
      <c r="M51" s="109" t="s">
        <v>1032</v>
      </c>
      <c r="N51" s="109" t="s">
        <v>586</v>
      </c>
      <c r="O51" s="3"/>
      <c r="P51" s="3"/>
      <c r="Q51" s="3"/>
      <c r="R51" s="3"/>
      <c r="S51" s="3"/>
      <c r="T51" s="3"/>
      <c r="U51" s="3"/>
      <c r="V51" s="3"/>
      <c r="W51" s="3"/>
      <c r="X51" s="3"/>
      <c r="Y51" s="3"/>
      <c r="Z51" s="3"/>
      <c r="AA51" s="3"/>
      <c r="AB51" s="3"/>
      <c r="AC51" s="3"/>
    </row>
    <row r="52" customFormat="false" ht="36" hidden="false" customHeight="true" outlineLevel="0" collapsed="false">
      <c r="A52" s="3"/>
      <c r="B52" s="141" t="s">
        <v>6467</v>
      </c>
      <c r="C52" s="110" t="s">
        <v>264</v>
      </c>
      <c r="D52" s="110" t="s">
        <v>1034</v>
      </c>
      <c r="E52" s="110" t="s">
        <v>388</v>
      </c>
      <c r="F52" s="117" t="s">
        <v>1036</v>
      </c>
      <c r="G52" s="151" t="n">
        <v>20.95</v>
      </c>
      <c r="H52" s="98" t="s">
        <v>590</v>
      </c>
      <c r="I52" s="146" t="n">
        <v>1</v>
      </c>
      <c r="J52" s="98"/>
      <c r="K52" s="151" t="n">
        <v>20.95</v>
      </c>
      <c r="L52" s="98" t="s">
        <v>702</v>
      </c>
      <c r="M52" s="110" t="s">
        <v>1035</v>
      </c>
      <c r="N52" s="110" t="s">
        <v>586</v>
      </c>
      <c r="O52" s="3"/>
      <c r="P52" s="3"/>
      <c r="Q52" s="3"/>
      <c r="R52" s="3"/>
      <c r="S52" s="3"/>
      <c r="T52" s="3"/>
      <c r="U52" s="3"/>
      <c r="V52" s="3"/>
      <c r="W52" s="3"/>
      <c r="X52" s="3"/>
      <c r="Y52" s="3"/>
      <c r="Z52" s="3"/>
      <c r="AA52" s="3"/>
      <c r="AB52" s="3"/>
      <c r="AC52" s="3"/>
    </row>
    <row r="53" customFormat="false" ht="36" hidden="false" customHeight="true" outlineLevel="0" collapsed="false">
      <c r="A53" s="3"/>
      <c r="B53" s="139" t="s">
        <v>6467</v>
      </c>
      <c r="C53" s="109" t="s">
        <v>273</v>
      </c>
      <c r="D53" s="109" t="s">
        <v>1037</v>
      </c>
      <c r="E53" s="109" t="s">
        <v>1030</v>
      </c>
      <c r="F53" s="113" t="s">
        <v>1039</v>
      </c>
      <c r="G53" s="150" t="n">
        <v>29.49</v>
      </c>
      <c r="H53" s="91" t="s">
        <v>265</v>
      </c>
      <c r="I53" s="144" t="n">
        <v>1</v>
      </c>
      <c r="J53" s="91"/>
      <c r="K53" s="150" t="n">
        <v>24.57</v>
      </c>
      <c r="L53" s="91" t="s">
        <v>530</v>
      </c>
      <c r="M53" s="109" t="s">
        <v>1038</v>
      </c>
      <c r="N53" s="109" t="s">
        <v>586</v>
      </c>
      <c r="O53" s="3"/>
      <c r="P53" s="3"/>
      <c r="Q53" s="3"/>
      <c r="R53" s="3"/>
      <c r="S53" s="3"/>
      <c r="T53" s="3"/>
      <c r="U53" s="3"/>
      <c r="V53" s="3"/>
      <c r="W53" s="3"/>
      <c r="X53" s="3"/>
      <c r="Y53" s="3"/>
      <c r="Z53" s="3"/>
      <c r="AA53" s="3"/>
      <c r="AB53" s="3"/>
      <c r="AC53" s="3"/>
    </row>
    <row r="54" customFormat="false" ht="36" hidden="false" customHeight="true" outlineLevel="0" collapsed="false">
      <c r="A54" s="3"/>
      <c r="B54" s="141" t="s">
        <v>6467</v>
      </c>
      <c r="C54" s="110" t="s">
        <v>281</v>
      </c>
      <c r="D54" s="110" t="s">
        <v>1040</v>
      </c>
      <c r="E54" s="110" t="s">
        <v>603</v>
      </c>
      <c r="F54" s="117" t="s">
        <v>1042</v>
      </c>
      <c r="G54" s="151" t="n">
        <v>22.09</v>
      </c>
      <c r="H54" s="98" t="s">
        <v>590</v>
      </c>
      <c r="I54" s="146" t="n">
        <v>1</v>
      </c>
      <c r="J54" s="98"/>
      <c r="K54" s="151" t="n">
        <v>22.09</v>
      </c>
      <c r="L54" s="98" t="s">
        <v>530</v>
      </c>
      <c r="M54" s="110" t="s">
        <v>1041</v>
      </c>
      <c r="N54" s="110" t="s">
        <v>586</v>
      </c>
      <c r="O54" s="3"/>
      <c r="P54" s="3"/>
      <c r="Q54" s="3"/>
      <c r="R54" s="3"/>
      <c r="S54" s="3"/>
      <c r="T54" s="3"/>
      <c r="U54" s="3"/>
      <c r="V54" s="3"/>
      <c r="W54" s="3"/>
      <c r="X54" s="3"/>
      <c r="Y54" s="3"/>
      <c r="Z54" s="3"/>
      <c r="AA54" s="3"/>
      <c r="AB54" s="3"/>
      <c r="AC54" s="3"/>
    </row>
    <row r="55" customFormat="false" ht="36" hidden="false" customHeight="true" outlineLevel="0" collapsed="false">
      <c r="A55" s="3"/>
      <c r="B55" s="139" t="s">
        <v>6467</v>
      </c>
      <c r="C55" s="109" t="s">
        <v>285</v>
      </c>
      <c r="D55" s="109" t="s">
        <v>1043</v>
      </c>
      <c r="E55" s="109" t="s">
        <v>733</v>
      </c>
      <c r="F55" s="113" t="s">
        <v>1045</v>
      </c>
      <c r="G55" s="150" t="n">
        <v>23.9</v>
      </c>
      <c r="H55" s="91" t="s">
        <v>590</v>
      </c>
      <c r="I55" s="144" t="n">
        <v>1</v>
      </c>
      <c r="J55" s="91"/>
      <c r="K55" s="150" t="n">
        <v>23.9</v>
      </c>
      <c r="L55" s="91" t="s">
        <v>702</v>
      </c>
      <c r="M55" s="109" t="s">
        <v>1044</v>
      </c>
      <c r="N55" s="109" t="s">
        <v>586</v>
      </c>
      <c r="O55" s="3"/>
      <c r="P55" s="3"/>
      <c r="Q55" s="3"/>
      <c r="R55" s="3"/>
      <c r="S55" s="3"/>
      <c r="T55" s="3"/>
      <c r="U55" s="3"/>
      <c r="V55" s="3"/>
      <c r="W55" s="3"/>
      <c r="X55" s="3"/>
      <c r="Y55" s="3"/>
      <c r="Z55" s="3"/>
      <c r="AA55" s="3"/>
      <c r="AB55" s="3"/>
      <c r="AC55" s="3"/>
    </row>
    <row r="56" customFormat="false" ht="36" hidden="false" customHeight="true" outlineLevel="0" collapsed="false">
      <c r="A56" s="3"/>
      <c r="B56" s="141" t="s">
        <v>6467</v>
      </c>
      <c r="C56" s="110" t="s">
        <v>293</v>
      </c>
      <c r="D56" s="110" t="s">
        <v>1046</v>
      </c>
      <c r="E56" s="110" t="s">
        <v>603</v>
      </c>
      <c r="F56" s="117" t="s">
        <v>1048</v>
      </c>
      <c r="G56" s="151" t="n">
        <v>18</v>
      </c>
      <c r="H56" s="98" t="s">
        <v>590</v>
      </c>
      <c r="I56" s="146" t="n">
        <v>1</v>
      </c>
      <c r="J56" s="98"/>
      <c r="K56" s="151" t="n">
        <v>18</v>
      </c>
      <c r="L56" s="98" t="s">
        <v>530</v>
      </c>
      <c r="M56" s="110" t="s">
        <v>1047</v>
      </c>
      <c r="N56" s="110" t="s">
        <v>586</v>
      </c>
      <c r="O56" s="3"/>
      <c r="P56" s="3"/>
      <c r="Q56" s="3"/>
      <c r="R56" s="3"/>
      <c r="S56" s="3"/>
      <c r="T56" s="3"/>
      <c r="U56" s="3"/>
      <c r="V56" s="3"/>
      <c r="W56" s="3"/>
      <c r="X56" s="3"/>
      <c r="Y56" s="3"/>
      <c r="Z56" s="3"/>
      <c r="AA56" s="3"/>
      <c r="AB56" s="3"/>
      <c r="AC56" s="3"/>
    </row>
    <row r="57" customFormat="false" ht="36" hidden="false" customHeight="true" outlineLevel="0" collapsed="false">
      <c r="A57" s="3"/>
      <c r="B57" s="139" t="s">
        <v>6469</v>
      </c>
      <c r="C57" s="109" t="s">
        <v>243</v>
      </c>
      <c r="D57" s="109" t="s">
        <v>1098</v>
      </c>
      <c r="E57" s="109"/>
      <c r="F57" s="113" t="s">
        <v>1100</v>
      </c>
      <c r="G57" s="150" t="n">
        <v>49.39</v>
      </c>
      <c r="H57" s="91" t="s">
        <v>590</v>
      </c>
      <c r="I57" s="144" t="n">
        <v>1</v>
      </c>
      <c r="J57" s="91"/>
      <c r="K57" s="150" t="n">
        <v>49.39</v>
      </c>
      <c r="L57" s="91" t="s">
        <v>702</v>
      </c>
      <c r="M57" s="109" t="s">
        <v>1099</v>
      </c>
      <c r="N57" s="109" t="s">
        <v>586</v>
      </c>
      <c r="O57" s="3"/>
      <c r="P57" s="3"/>
      <c r="Q57" s="3"/>
      <c r="R57" s="3"/>
      <c r="S57" s="3"/>
      <c r="T57" s="3"/>
      <c r="U57" s="3"/>
      <c r="V57" s="3"/>
      <c r="W57" s="3"/>
      <c r="X57" s="3"/>
      <c r="Y57" s="3"/>
      <c r="Z57" s="3"/>
      <c r="AA57" s="3"/>
      <c r="AB57" s="3"/>
      <c r="AC57" s="3"/>
    </row>
    <row r="58" customFormat="false" ht="36" hidden="false" customHeight="true" outlineLevel="0" collapsed="false">
      <c r="A58" s="3"/>
      <c r="B58" s="141" t="s">
        <v>6469</v>
      </c>
      <c r="C58" s="110" t="s">
        <v>269</v>
      </c>
      <c r="D58" s="110" t="s">
        <v>1101</v>
      </c>
      <c r="E58" s="110" t="s">
        <v>1104</v>
      </c>
      <c r="F58" s="117" t="s">
        <v>1103</v>
      </c>
      <c r="G58" s="151" t="n">
        <v>48.9</v>
      </c>
      <c r="H58" s="98" t="s">
        <v>590</v>
      </c>
      <c r="I58" s="146" t="n">
        <v>1</v>
      </c>
      <c r="J58" s="98"/>
      <c r="K58" s="151" t="n">
        <v>48.9</v>
      </c>
      <c r="L58" s="98" t="s">
        <v>702</v>
      </c>
      <c r="M58" s="110" t="s">
        <v>1102</v>
      </c>
      <c r="N58" s="110" t="s">
        <v>586</v>
      </c>
      <c r="O58" s="3"/>
      <c r="P58" s="3"/>
      <c r="Q58" s="3"/>
      <c r="R58" s="3"/>
      <c r="S58" s="3"/>
      <c r="T58" s="3"/>
      <c r="U58" s="3"/>
      <c r="V58" s="3"/>
      <c r="W58" s="3"/>
      <c r="X58" s="3"/>
      <c r="Y58" s="3"/>
      <c r="Z58" s="3"/>
      <c r="AA58" s="3"/>
      <c r="AB58" s="3"/>
      <c r="AC58" s="3"/>
    </row>
    <row r="59" customFormat="false" ht="36" hidden="false" customHeight="true" outlineLevel="0" collapsed="false">
      <c r="A59" s="3"/>
      <c r="B59" s="139" t="s">
        <v>6469</v>
      </c>
      <c r="C59" s="109" t="s">
        <v>264</v>
      </c>
      <c r="D59" s="109" t="s">
        <v>1105</v>
      </c>
      <c r="E59" s="109" t="s">
        <v>388</v>
      </c>
      <c r="F59" s="113" t="s">
        <v>1107</v>
      </c>
      <c r="G59" s="150" t="n">
        <v>33.5</v>
      </c>
      <c r="H59" s="91" t="s">
        <v>590</v>
      </c>
      <c r="I59" s="144" t="n">
        <v>1</v>
      </c>
      <c r="J59" s="91"/>
      <c r="K59" s="150" t="n">
        <v>33.5</v>
      </c>
      <c r="L59" s="91" t="s">
        <v>702</v>
      </c>
      <c r="M59" s="109" t="s">
        <v>1106</v>
      </c>
      <c r="N59" s="109" t="s">
        <v>586</v>
      </c>
      <c r="O59" s="3"/>
      <c r="P59" s="3"/>
      <c r="Q59" s="3"/>
      <c r="R59" s="3"/>
      <c r="S59" s="3"/>
      <c r="T59" s="3"/>
      <c r="U59" s="3"/>
      <c r="V59" s="3"/>
      <c r="W59" s="3"/>
      <c r="X59" s="3"/>
      <c r="Y59" s="3"/>
      <c r="Z59" s="3"/>
      <c r="AA59" s="3"/>
      <c r="AB59" s="3"/>
      <c r="AC59" s="3"/>
    </row>
    <row r="60" customFormat="false" ht="36" hidden="false" customHeight="true" outlineLevel="0" collapsed="false">
      <c r="A60" s="3"/>
      <c r="B60" s="141" t="s">
        <v>6469</v>
      </c>
      <c r="C60" s="110" t="s">
        <v>273</v>
      </c>
      <c r="D60" s="110" t="s">
        <v>1108</v>
      </c>
      <c r="E60" s="110" t="s">
        <v>1030</v>
      </c>
      <c r="F60" s="117" t="s">
        <v>1110</v>
      </c>
      <c r="G60" s="151" t="n">
        <v>34.9</v>
      </c>
      <c r="H60" s="98" t="s">
        <v>265</v>
      </c>
      <c r="I60" s="146" t="n">
        <v>1</v>
      </c>
      <c r="J60" s="98"/>
      <c r="K60" s="151" t="n">
        <v>29.08</v>
      </c>
      <c r="L60" s="98" t="s">
        <v>702</v>
      </c>
      <c r="M60" s="110" t="s">
        <v>1109</v>
      </c>
      <c r="N60" s="110" t="s">
        <v>586</v>
      </c>
      <c r="O60" s="3"/>
      <c r="P60" s="3"/>
      <c r="Q60" s="3"/>
      <c r="R60" s="3"/>
      <c r="S60" s="3"/>
      <c r="T60" s="3"/>
      <c r="U60" s="3"/>
      <c r="V60" s="3"/>
      <c r="W60" s="3"/>
      <c r="X60" s="3"/>
      <c r="Y60" s="3"/>
      <c r="Z60" s="3"/>
      <c r="AA60" s="3"/>
      <c r="AB60" s="3"/>
      <c r="AC60" s="3"/>
    </row>
    <row r="61" customFormat="false" ht="36" hidden="false" customHeight="true" outlineLevel="0" collapsed="false">
      <c r="A61" s="3"/>
      <c r="B61" s="139" t="s">
        <v>6469</v>
      </c>
      <c r="C61" s="109" t="s">
        <v>281</v>
      </c>
      <c r="D61" s="109" t="s">
        <v>1111</v>
      </c>
      <c r="E61" s="109" t="s">
        <v>646</v>
      </c>
      <c r="F61" s="113" t="s">
        <v>1113</v>
      </c>
      <c r="G61" s="150" t="n">
        <v>35.05</v>
      </c>
      <c r="H61" s="91" t="s">
        <v>590</v>
      </c>
      <c r="I61" s="144" t="n">
        <v>1</v>
      </c>
      <c r="J61" s="91"/>
      <c r="K61" s="150" t="n">
        <v>35.05</v>
      </c>
      <c r="L61" s="91" t="s">
        <v>530</v>
      </c>
      <c r="M61" s="109" t="s">
        <v>1112</v>
      </c>
      <c r="N61" s="109" t="s">
        <v>586</v>
      </c>
      <c r="O61" s="3"/>
      <c r="P61" s="3"/>
      <c r="Q61" s="3"/>
      <c r="R61" s="3"/>
      <c r="S61" s="3"/>
      <c r="T61" s="3"/>
      <c r="U61" s="3"/>
      <c r="V61" s="3"/>
      <c r="W61" s="3"/>
      <c r="X61" s="3"/>
      <c r="Y61" s="3"/>
      <c r="Z61" s="3"/>
      <c r="AA61" s="3"/>
      <c r="AB61" s="3"/>
      <c r="AC61" s="3"/>
    </row>
    <row r="62" customFormat="false" ht="36" hidden="false" customHeight="true" outlineLevel="0" collapsed="false">
      <c r="A62" s="3"/>
      <c r="B62" s="141" t="s">
        <v>6469</v>
      </c>
      <c r="C62" s="110" t="s">
        <v>285</v>
      </c>
      <c r="D62" s="110" t="s">
        <v>1114</v>
      </c>
      <c r="E62" s="110" t="s">
        <v>733</v>
      </c>
      <c r="F62" s="117" t="s">
        <v>1116</v>
      </c>
      <c r="G62" s="151" t="n">
        <v>27.9</v>
      </c>
      <c r="H62" s="98" t="s">
        <v>590</v>
      </c>
      <c r="I62" s="146" t="n">
        <v>1</v>
      </c>
      <c r="J62" s="98"/>
      <c r="K62" s="151" t="n">
        <v>27.9</v>
      </c>
      <c r="L62" s="98" t="s">
        <v>702</v>
      </c>
      <c r="M62" s="110" t="s">
        <v>1115</v>
      </c>
      <c r="N62" s="110" t="s">
        <v>586</v>
      </c>
      <c r="O62" s="3"/>
      <c r="P62" s="3"/>
      <c r="Q62" s="3"/>
      <c r="R62" s="3"/>
      <c r="S62" s="3"/>
      <c r="T62" s="3"/>
      <c r="U62" s="3"/>
      <c r="V62" s="3"/>
      <c r="W62" s="3"/>
      <c r="X62" s="3"/>
      <c r="Y62" s="3"/>
      <c r="Z62" s="3"/>
      <c r="AA62" s="3"/>
      <c r="AB62" s="3"/>
      <c r="AC62" s="3"/>
    </row>
    <row r="63" customFormat="false" ht="36" hidden="false" customHeight="true" outlineLevel="0" collapsed="false">
      <c r="A63" s="3"/>
      <c r="B63" s="139" t="s">
        <v>6470</v>
      </c>
      <c r="C63" s="109" t="s">
        <v>269</v>
      </c>
      <c r="D63" s="109" t="s">
        <v>1158</v>
      </c>
      <c r="E63" s="109" t="s">
        <v>388</v>
      </c>
      <c r="F63" s="113" t="s">
        <v>1160</v>
      </c>
      <c r="G63" s="150" t="n">
        <v>24.99</v>
      </c>
      <c r="H63" s="91" t="s">
        <v>590</v>
      </c>
      <c r="I63" s="144" t="n">
        <v>1</v>
      </c>
      <c r="J63" s="91"/>
      <c r="K63" s="150" t="n">
        <v>24.99</v>
      </c>
      <c r="L63" s="91" t="s">
        <v>629</v>
      </c>
      <c r="M63" s="109" t="s">
        <v>1159</v>
      </c>
      <c r="N63" s="109" t="s">
        <v>586</v>
      </c>
      <c r="O63" s="3"/>
      <c r="P63" s="3"/>
      <c r="Q63" s="3"/>
      <c r="R63" s="3"/>
      <c r="S63" s="3"/>
      <c r="T63" s="3"/>
      <c r="U63" s="3"/>
      <c r="V63" s="3"/>
      <c r="W63" s="3"/>
      <c r="X63" s="3"/>
      <c r="Y63" s="3"/>
      <c r="Z63" s="3"/>
      <c r="AA63" s="3"/>
      <c r="AB63" s="3"/>
      <c r="AC63" s="3"/>
    </row>
    <row r="64" customFormat="false" ht="36" hidden="false" customHeight="true" outlineLevel="0" collapsed="false">
      <c r="A64" s="3"/>
      <c r="B64" s="141" t="s">
        <v>6470</v>
      </c>
      <c r="C64" s="110" t="s">
        <v>264</v>
      </c>
      <c r="D64" s="110" t="s">
        <v>1161</v>
      </c>
      <c r="E64" s="110" t="s">
        <v>388</v>
      </c>
      <c r="F64" s="117" t="s">
        <v>1163</v>
      </c>
      <c r="G64" s="151" t="n">
        <v>15.76</v>
      </c>
      <c r="H64" s="98" t="s">
        <v>590</v>
      </c>
      <c r="I64" s="146" t="n">
        <v>1</v>
      </c>
      <c r="J64" s="98"/>
      <c r="K64" s="151" t="n">
        <v>15.76</v>
      </c>
      <c r="L64" s="98" t="s">
        <v>530</v>
      </c>
      <c r="M64" s="110" t="s">
        <v>1162</v>
      </c>
      <c r="N64" s="110" t="s">
        <v>586</v>
      </c>
      <c r="O64" s="3"/>
      <c r="P64" s="3"/>
      <c r="Q64" s="3"/>
      <c r="R64" s="3"/>
      <c r="S64" s="3"/>
      <c r="T64" s="3"/>
      <c r="U64" s="3"/>
      <c r="V64" s="3"/>
      <c r="W64" s="3"/>
      <c r="X64" s="3"/>
      <c r="Y64" s="3"/>
      <c r="Z64" s="3"/>
      <c r="AA64" s="3"/>
      <c r="AB64" s="3"/>
      <c r="AC64" s="3"/>
    </row>
    <row r="65" customFormat="false" ht="36" hidden="false" customHeight="true" outlineLevel="0" collapsed="false">
      <c r="A65" s="3"/>
      <c r="B65" s="139" t="s">
        <v>6470</v>
      </c>
      <c r="C65" s="109" t="s">
        <v>273</v>
      </c>
      <c r="D65" s="109" t="s">
        <v>1164</v>
      </c>
      <c r="E65" s="109" t="s">
        <v>1167</v>
      </c>
      <c r="F65" s="113" t="s">
        <v>1166</v>
      </c>
      <c r="G65" s="150" t="n">
        <v>8.89</v>
      </c>
      <c r="H65" s="91" t="s">
        <v>265</v>
      </c>
      <c r="I65" s="144" t="n">
        <v>1</v>
      </c>
      <c r="J65" s="91"/>
      <c r="K65" s="150" t="n">
        <v>7.41</v>
      </c>
      <c r="L65" s="91" t="s">
        <v>702</v>
      </c>
      <c r="M65" s="109" t="s">
        <v>1165</v>
      </c>
      <c r="N65" s="109" t="s">
        <v>586</v>
      </c>
      <c r="O65" s="3"/>
      <c r="P65" s="3"/>
      <c r="Q65" s="3"/>
      <c r="R65" s="3"/>
      <c r="S65" s="3"/>
      <c r="T65" s="3"/>
      <c r="U65" s="3"/>
      <c r="V65" s="3"/>
      <c r="W65" s="3"/>
      <c r="X65" s="3"/>
      <c r="Y65" s="3"/>
      <c r="Z65" s="3"/>
      <c r="AA65" s="3"/>
      <c r="AB65" s="3"/>
      <c r="AC65" s="3"/>
    </row>
    <row r="66" customFormat="false" ht="36" hidden="false" customHeight="true" outlineLevel="0" collapsed="false">
      <c r="A66" s="3"/>
      <c r="B66" s="141" t="s">
        <v>6470</v>
      </c>
      <c r="C66" s="110" t="s">
        <v>281</v>
      </c>
      <c r="D66" s="110" t="s">
        <v>1168</v>
      </c>
      <c r="E66" s="110" t="s">
        <v>603</v>
      </c>
      <c r="F66" s="117" t="s">
        <v>1170</v>
      </c>
      <c r="G66" s="151" t="n">
        <v>8.74</v>
      </c>
      <c r="H66" s="98" t="s">
        <v>590</v>
      </c>
      <c r="I66" s="146" t="n">
        <v>1</v>
      </c>
      <c r="J66" s="98"/>
      <c r="K66" s="151" t="n">
        <v>8.74</v>
      </c>
      <c r="L66" s="98" t="s">
        <v>702</v>
      </c>
      <c r="M66" s="110" t="s">
        <v>1169</v>
      </c>
      <c r="N66" s="110" t="s">
        <v>586</v>
      </c>
      <c r="O66" s="3"/>
      <c r="P66" s="3"/>
      <c r="Q66" s="3"/>
      <c r="R66" s="3"/>
      <c r="S66" s="3"/>
      <c r="T66" s="3"/>
      <c r="U66" s="3"/>
      <c r="V66" s="3"/>
      <c r="W66" s="3"/>
      <c r="X66" s="3"/>
      <c r="Y66" s="3"/>
      <c r="Z66" s="3"/>
      <c r="AA66" s="3"/>
      <c r="AB66" s="3"/>
      <c r="AC66" s="3"/>
    </row>
    <row r="67" customFormat="false" ht="36" hidden="false" customHeight="true" outlineLevel="0" collapsed="false">
      <c r="A67" s="3"/>
      <c r="B67" s="139" t="s">
        <v>6470</v>
      </c>
      <c r="C67" s="109" t="s">
        <v>285</v>
      </c>
      <c r="D67" s="109" t="s">
        <v>1171</v>
      </c>
      <c r="E67" s="109" t="s">
        <v>733</v>
      </c>
      <c r="F67" s="113" t="s">
        <v>1173</v>
      </c>
      <c r="G67" s="150" t="n">
        <v>16.3</v>
      </c>
      <c r="H67" s="91" t="s">
        <v>590</v>
      </c>
      <c r="I67" s="144" t="n">
        <v>1</v>
      </c>
      <c r="J67" s="91"/>
      <c r="K67" s="150" t="n">
        <v>16.3</v>
      </c>
      <c r="L67" s="91" t="s">
        <v>629</v>
      </c>
      <c r="M67" s="109" t="s">
        <v>1172</v>
      </c>
      <c r="N67" s="109" t="s">
        <v>586</v>
      </c>
      <c r="O67" s="3"/>
      <c r="P67" s="3"/>
      <c r="Q67" s="3"/>
      <c r="R67" s="3"/>
      <c r="S67" s="3"/>
      <c r="T67" s="3"/>
      <c r="U67" s="3"/>
      <c r="V67" s="3"/>
      <c r="W67" s="3"/>
      <c r="X67" s="3"/>
      <c r="Y67" s="3"/>
      <c r="Z67" s="3"/>
      <c r="AA67" s="3"/>
      <c r="AB67" s="3"/>
      <c r="AC67" s="3"/>
    </row>
    <row r="68" customFormat="false" ht="36" hidden="false" customHeight="true" outlineLevel="0" collapsed="false">
      <c r="A68" s="3"/>
      <c r="B68" s="141" t="s">
        <v>6471</v>
      </c>
      <c r="C68" s="110" t="s">
        <v>243</v>
      </c>
      <c r="D68" s="110" t="s">
        <v>1212</v>
      </c>
      <c r="E68" s="110" t="s">
        <v>1215</v>
      </c>
      <c r="F68" s="117" t="s">
        <v>1214</v>
      </c>
      <c r="G68" s="151" t="n">
        <v>13.95</v>
      </c>
      <c r="H68" s="98" t="s">
        <v>590</v>
      </c>
      <c r="I68" s="146" t="n">
        <v>1</v>
      </c>
      <c r="J68" s="98"/>
      <c r="K68" s="151" t="n">
        <v>13.95</v>
      </c>
      <c r="L68" s="98" t="s">
        <v>702</v>
      </c>
      <c r="M68" s="110" t="s">
        <v>1213</v>
      </c>
      <c r="N68" s="110" t="s">
        <v>586</v>
      </c>
      <c r="O68" s="3"/>
      <c r="P68" s="3"/>
      <c r="Q68" s="3"/>
      <c r="R68" s="3"/>
      <c r="S68" s="3"/>
      <c r="T68" s="3"/>
      <c r="U68" s="3"/>
      <c r="V68" s="3"/>
      <c r="W68" s="3"/>
      <c r="X68" s="3"/>
      <c r="Y68" s="3"/>
      <c r="Z68" s="3"/>
      <c r="AA68" s="3"/>
      <c r="AB68" s="3"/>
      <c r="AC68" s="3"/>
    </row>
    <row r="69" customFormat="false" ht="36" hidden="false" customHeight="true" outlineLevel="0" collapsed="false">
      <c r="A69" s="3"/>
      <c r="B69" s="139" t="s">
        <v>6471</v>
      </c>
      <c r="C69" s="109" t="s">
        <v>269</v>
      </c>
      <c r="D69" s="109" t="s">
        <v>1216</v>
      </c>
      <c r="E69" s="109" t="s">
        <v>388</v>
      </c>
      <c r="F69" s="113" t="s">
        <v>1218</v>
      </c>
      <c r="G69" s="150" t="n">
        <v>28.49</v>
      </c>
      <c r="H69" s="91" t="s">
        <v>590</v>
      </c>
      <c r="I69" s="144" t="n">
        <v>1</v>
      </c>
      <c r="J69" s="91"/>
      <c r="K69" s="150" t="n">
        <v>28.49</v>
      </c>
      <c r="L69" s="91" t="s">
        <v>702</v>
      </c>
      <c r="M69" s="109" t="s">
        <v>1217</v>
      </c>
      <c r="N69" s="109" t="s">
        <v>586</v>
      </c>
      <c r="O69" s="3"/>
      <c r="P69" s="3"/>
      <c r="Q69" s="3"/>
      <c r="R69" s="3"/>
      <c r="S69" s="3"/>
      <c r="T69" s="3"/>
      <c r="U69" s="3"/>
      <c r="V69" s="3"/>
      <c r="W69" s="3"/>
      <c r="X69" s="3"/>
      <c r="Y69" s="3"/>
      <c r="Z69" s="3"/>
      <c r="AA69" s="3"/>
      <c r="AB69" s="3"/>
      <c r="AC69" s="3"/>
    </row>
    <row r="70" customFormat="false" ht="36" hidden="false" customHeight="true" outlineLevel="0" collapsed="false">
      <c r="A70" s="3"/>
      <c r="B70" s="141" t="s">
        <v>6471</v>
      </c>
      <c r="C70" s="110" t="s">
        <v>264</v>
      </c>
      <c r="D70" s="110" t="s">
        <v>1219</v>
      </c>
      <c r="E70" s="110" t="s">
        <v>388</v>
      </c>
      <c r="F70" s="117" t="s">
        <v>1221</v>
      </c>
      <c r="G70" s="151" t="n">
        <v>21.38</v>
      </c>
      <c r="H70" s="98" t="s">
        <v>590</v>
      </c>
      <c r="I70" s="146" t="n">
        <v>1</v>
      </c>
      <c r="J70" s="98"/>
      <c r="K70" s="151" t="n">
        <v>21.38</v>
      </c>
      <c r="L70" s="98" t="s">
        <v>702</v>
      </c>
      <c r="M70" s="110" t="s">
        <v>1220</v>
      </c>
      <c r="N70" s="110" t="s">
        <v>586</v>
      </c>
      <c r="O70" s="3"/>
      <c r="P70" s="3"/>
      <c r="Q70" s="3"/>
      <c r="R70" s="3"/>
      <c r="S70" s="3"/>
      <c r="T70" s="3"/>
      <c r="U70" s="3"/>
      <c r="V70" s="3"/>
      <c r="W70" s="3"/>
      <c r="X70" s="3"/>
      <c r="Y70" s="3"/>
      <c r="Z70" s="3"/>
      <c r="AA70" s="3"/>
      <c r="AB70" s="3"/>
      <c r="AC70" s="3"/>
    </row>
    <row r="71" customFormat="false" ht="36" hidden="false" customHeight="true" outlineLevel="0" collapsed="false">
      <c r="A71" s="3"/>
      <c r="B71" s="139" t="s">
        <v>6471</v>
      </c>
      <c r="C71" s="109" t="s">
        <v>273</v>
      </c>
      <c r="D71" s="109" t="s">
        <v>1222</v>
      </c>
      <c r="E71" s="109" t="s">
        <v>1225</v>
      </c>
      <c r="F71" s="113" t="s">
        <v>1224</v>
      </c>
      <c r="G71" s="150" t="n">
        <v>31.9</v>
      </c>
      <c r="H71" s="91" t="s">
        <v>265</v>
      </c>
      <c r="I71" s="144" t="n">
        <v>1</v>
      </c>
      <c r="J71" s="91"/>
      <c r="K71" s="150" t="n">
        <v>26.58</v>
      </c>
      <c r="L71" s="91" t="s">
        <v>702</v>
      </c>
      <c r="M71" s="109" t="s">
        <v>1223</v>
      </c>
      <c r="N71" s="109" t="s">
        <v>586</v>
      </c>
      <c r="O71" s="3"/>
      <c r="P71" s="3"/>
      <c r="Q71" s="3"/>
      <c r="R71" s="3"/>
      <c r="S71" s="3"/>
      <c r="T71" s="3"/>
      <c r="U71" s="3"/>
      <c r="V71" s="3"/>
      <c r="W71" s="3"/>
      <c r="X71" s="3"/>
      <c r="Y71" s="3"/>
      <c r="Z71" s="3"/>
      <c r="AA71" s="3"/>
      <c r="AB71" s="3"/>
      <c r="AC71" s="3"/>
    </row>
    <row r="72" customFormat="false" ht="36" hidden="false" customHeight="true" outlineLevel="0" collapsed="false">
      <c r="A72" s="3"/>
      <c r="B72" s="141" t="s">
        <v>6471</v>
      </c>
      <c r="C72" s="110" t="s">
        <v>281</v>
      </c>
      <c r="D72" s="110" t="s">
        <v>1226</v>
      </c>
      <c r="E72" s="110" t="s">
        <v>733</v>
      </c>
      <c r="F72" s="117" t="s">
        <v>1228</v>
      </c>
      <c r="G72" s="151" t="n">
        <v>21.18</v>
      </c>
      <c r="H72" s="98" t="s">
        <v>590</v>
      </c>
      <c r="I72" s="146" t="n">
        <v>1</v>
      </c>
      <c r="J72" s="98"/>
      <c r="K72" s="151" t="n">
        <v>21.18</v>
      </c>
      <c r="L72" s="98" t="s">
        <v>702</v>
      </c>
      <c r="M72" s="110" t="s">
        <v>1227</v>
      </c>
      <c r="N72" s="110" t="s">
        <v>586</v>
      </c>
      <c r="O72" s="3"/>
      <c r="P72" s="3"/>
      <c r="Q72" s="3"/>
      <c r="R72" s="3"/>
      <c r="S72" s="3"/>
      <c r="T72" s="3"/>
      <c r="U72" s="3"/>
      <c r="V72" s="3"/>
      <c r="W72" s="3"/>
      <c r="X72" s="3"/>
      <c r="Y72" s="3"/>
      <c r="Z72" s="3"/>
      <c r="AA72" s="3"/>
      <c r="AB72" s="3"/>
      <c r="AC72" s="3"/>
    </row>
    <row r="73" customFormat="false" ht="36" hidden="false" customHeight="true" outlineLevel="0" collapsed="false">
      <c r="A73" s="3"/>
      <c r="B73" s="139" t="s">
        <v>6471</v>
      </c>
      <c r="C73" s="109" t="s">
        <v>285</v>
      </c>
      <c r="D73" s="109" t="s">
        <v>1229</v>
      </c>
      <c r="E73" s="109" t="s">
        <v>733</v>
      </c>
      <c r="F73" s="113" t="s">
        <v>1231</v>
      </c>
      <c r="G73" s="150" t="n">
        <v>28.9</v>
      </c>
      <c r="H73" s="91" t="s">
        <v>590</v>
      </c>
      <c r="I73" s="144" t="n">
        <v>1</v>
      </c>
      <c r="J73" s="91"/>
      <c r="K73" s="150" t="n">
        <v>28.9</v>
      </c>
      <c r="L73" s="91" t="s">
        <v>530</v>
      </c>
      <c r="M73" s="109" t="s">
        <v>1230</v>
      </c>
      <c r="N73" s="109" t="s">
        <v>586</v>
      </c>
      <c r="O73" s="3"/>
      <c r="P73" s="3"/>
      <c r="Q73" s="3"/>
      <c r="R73" s="3"/>
      <c r="S73" s="3"/>
      <c r="T73" s="3"/>
      <c r="U73" s="3"/>
      <c r="V73" s="3"/>
      <c r="W73" s="3"/>
      <c r="X73" s="3"/>
      <c r="Y73" s="3"/>
      <c r="Z73" s="3"/>
      <c r="AA73" s="3"/>
      <c r="AB73" s="3"/>
      <c r="AC73" s="3"/>
    </row>
    <row r="74" customFormat="false" ht="36" hidden="false" customHeight="true" outlineLevel="0" collapsed="false">
      <c r="A74" s="3"/>
      <c r="B74" s="141" t="s">
        <v>6471</v>
      </c>
      <c r="C74" s="110" t="s">
        <v>293</v>
      </c>
      <c r="D74" s="110" t="s">
        <v>1233</v>
      </c>
      <c r="E74" s="110" t="s">
        <v>589</v>
      </c>
      <c r="F74" s="117" t="s">
        <v>1235</v>
      </c>
      <c r="G74" s="151" t="n">
        <v>11</v>
      </c>
      <c r="H74" s="98" t="s">
        <v>590</v>
      </c>
      <c r="I74" s="146" t="n">
        <v>1</v>
      </c>
      <c r="J74" s="98"/>
      <c r="K74" s="151" t="n">
        <v>11</v>
      </c>
      <c r="L74" s="98" t="s">
        <v>702</v>
      </c>
      <c r="M74" s="110" t="s">
        <v>1234</v>
      </c>
      <c r="N74" s="110" t="s">
        <v>586</v>
      </c>
      <c r="O74" s="3"/>
      <c r="P74" s="3"/>
      <c r="Q74" s="3"/>
      <c r="R74" s="3"/>
      <c r="S74" s="3"/>
      <c r="T74" s="3"/>
      <c r="U74" s="3"/>
      <c r="V74" s="3"/>
      <c r="W74" s="3"/>
      <c r="X74" s="3"/>
      <c r="Y74" s="3"/>
      <c r="Z74" s="3"/>
      <c r="AA74" s="3"/>
      <c r="AB74" s="3"/>
      <c r="AC74" s="3"/>
    </row>
    <row r="75" customFormat="false" ht="36" hidden="false" customHeight="true" outlineLevel="0" collapsed="false">
      <c r="A75" s="3"/>
      <c r="B75" s="139" t="s">
        <v>6472</v>
      </c>
      <c r="C75" s="109" t="s">
        <v>269</v>
      </c>
      <c r="D75" s="109" t="s">
        <v>1293</v>
      </c>
      <c r="E75" s="109" t="s">
        <v>662</v>
      </c>
      <c r="F75" s="113" t="s">
        <v>1295</v>
      </c>
      <c r="G75" s="150" t="n">
        <v>8.99</v>
      </c>
      <c r="H75" s="91" t="s">
        <v>590</v>
      </c>
      <c r="I75" s="144" t="n">
        <v>1</v>
      </c>
      <c r="J75" s="91"/>
      <c r="K75" s="150" t="n">
        <v>8.99</v>
      </c>
      <c r="L75" s="91" t="s">
        <v>530</v>
      </c>
      <c r="M75" s="109" t="s">
        <v>1294</v>
      </c>
      <c r="N75" s="109" t="s">
        <v>586</v>
      </c>
      <c r="O75" s="3"/>
      <c r="P75" s="3"/>
      <c r="Q75" s="3"/>
      <c r="R75" s="3"/>
      <c r="S75" s="3"/>
      <c r="T75" s="3"/>
      <c r="U75" s="3"/>
      <c r="V75" s="3"/>
      <c r="W75" s="3"/>
      <c r="X75" s="3"/>
      <c r="Y75" s="3"/>
      <c r="Z75" s="3"/>
      <c r="AA75" s="3"/>
      <c r="AB75" s="3"/>
      <c r="AC75" s="3"/>
    </row>
    <row r="76" customFormat="false" ht="36" hidden="false" customHeight="true" outlineLevel="0" collapsed="false">
      <c r="A76" s="3"/>
      <c r="B76" s="141" t="s">
        <v>6472</v>
      </c>
      <c r="C76" s="110" t="s">
        <v>264</v>
      </c>
      <c r="D76" s="110" t="s">
        <v>1296</v>
      </c>
      <c r="E76" s="110" t="s">
        <v>646</v>
      </c>
      <c r="F76" s="117" t="s">
        <v>1298</v>
      </c>
      <c r="G76" s="151" t="n">
        <v>8</v>
      </c>
      <c r="H76" s="98" t="s">
        <v>590</v>
      </c>
      <c r="I76" s="146" t="n">
        <v>1</v>
      </c>
      <c r="J76" s="98"/>
      <c r="K76" s="151" t="n">
        <v>8</v>
      </c>
      <c r="L76" s="98" t="s">
        <v>530</v>
      </c>
      <c r="M76" s="110" t="s">
        <v>1297</v>
      </c>
      <c r="N76" s="110" t="s">
        <v>586</v>
      </c>
      <c r="O76" s="3"/>
      <c r="P76" s="3"/>
      <c r="Q76" s="3"/>
      <c r="R76" s="3"/>
      <c r="S76" s="3"/>
      <c r="T76" s="3"/>
      <c r="U76" s="3"/>
      <c r="V76" s="3"/>
      <c r="W76" s="3"/>
      <c r="X76" s="3"/>
      <c r="Y76" s="3"/>
      <c r="Z76" s="3"/>
      <c r="AA76" s="3"/>
      <c r="AB76" s="3"/>
      <c r="AC76" s="3"/>
    </row>
    <row r="77" customFormat="false" ht="36" hidden="false" customHeight="true" outlineLevel="0" collapsed="false">
      <c r="A77" s="3"/>
      <c r="B77" s="139" t="s">
        <v>6472</v>
      </c>
      <c r="C77" s="109" t="s">
        <v>273</v>
      </c>
      <c r="D77" s="109" t="s">
        <v>1299</v>
      </c>
      <c r="E77" s="109" t="s">
        <v>1225</v>
      </c>
      <c r="F77" s="113" t="s">
        <v>1301</v>
      </c>
      <c r="G77" s="150" t="n">
        <v>27.39</v>
      </c>
      <c r="H77" s="91" t="s">
        <v>265</v>
      </c>
      <c r="I77" s="144" t="n">
        <v>1</v>
      </c>
      <c r="J77" s="91"/>
      <c r="K77" s="150" t="n">
        <v>22.83</v>
      </c>
      <c r="L77" s="91" t="s">
        <v>530</v>
      </c>
      <c r="M77" s="109" t="s">
        <v>1300</v>
      </c>
      <c r="N77" s="109" t="s">
        <v>586</v>
      </c>
      <c r="O77" s="3"/>
      <c r="P77" s="3"/>
      <c r="Q77" s="3"/>
      <c r="R77" s="3"/>
      <c r="S77" s="3"/>
      <c r="T77" s="3"/>
      <c r="U77" s="3"/>
      <c r="V77" s="3"/>
      <c r="W77" s="3"/>
      <c r="X77" s="3"/>
      <c r="Y77" s="3"/>
      <c r="Z77" s="3"/>
      <c r="AA77" s="3"/>
      <c r="AB77" s="3"/>
      <c r="AC77" s="3"/>
    </row>
    <row r="78" customFormat="false" ht="36" hidden="false" customHeight="true" outlineLevel="0" collapsed="false">
      <c r="A78" s="3"/>
      <c r="B78" s="141" t="s">
        <v>6472</v>
      </c>
      <c r="C78" s="110" t="s">
        <v>281</v>
      </c>
      <c r="D78" s="110" t="s">
        <v>1302</v>
      </c>
      <c r="E78" s="110" t="s">
        <v>603</v>
      </c>
      <c r="F78" s="117" t="s">
        <v>1304</v>
      </c>
      <c r="G78" s="151" t="n">
        <v>7.95</v>
      </c>
      <c r="H78" s="98" t="s">
        <v>590</v>
      </c>
      <c r="I78" s="146" t="n">
        <v>1</v>
      </c>
      <c r="J78" s="98"/>
      <c r="K78" s="151" t="n">
        <v>7.95</v>
      </c>
      <c r="L78" s="98" t="s">
        <v>530</v>
      </c>
      <c r="M78" s="110" t="s">
        <v>1303</v>
      </c>
      <c r="N78" s="110" t="s">
        <v>586</v>
      </c>
      <c r="O78" s="3"/>
      <c r="P78" s="3"/>
      <c r="Q78" s="3"/>
      <c r="R78" s="3"/>
      <c r="S78" s="3"/>
      <c r="T78" s="3"/>
      <c r="U78" s="3"/>
      <c r="V78" s="3"/>
      <c r="W78" s="3"/>
      <c r="X78" s="3"/>
      <c r="Y78" s="3"/>
      <c r="Z78" s="3"/>
      <c r="AA78" s="3"/>
      <c r="AB78" s="3"/>
      <c r="AC78" s="3"/>
    </row>
    <row r="79" customFormat="false" ht="36" hidden="false" customHeight="true" outlineLevel="0" collapsed="false">
      <c r="A79" s="3"/>
      <c r="B79" s="139" t="s">
        <v>6472</v>
      </c>
      <c r="C79" s="109" t="s">
        <v>293</v>
      </c>
      <c r="D79" s="109" t="s">
        <v>1305</v>
      </c>
      <c r="E79" s="109" t="s">
        <v>589</v>
      </c>
      <c r="F79" s="113" t="s">
        <v>1307</v>
      </c>
      <c r="G79" s="150" t="n">
        <v>16</v>
      </c>
      <c r="H79" s="91" t="s">
        <v>590</v>
      </c>
      <c r="I79" s="144" t="n">
        <v>1</v>
      </c>
      <c r="J79" s="91"/>
      <c r="K79" s="150" t="n">
        <v>16</v>
      </c>
      <c r="L79" s="91" t="s">
        <v>530</v>
      </c>
      <c r="M79" s="109" t="s">
        <v>1306</v>
      </c>
      <c r="N79" s="109" t="s">
        <v>586</v>
      </c>
      <c r="O79" s="3"/>
      <c r="P79" s="3"/>
      <c r="Q79" s="3"/>
      <c r="R79" s="3"/>
      <c r="S79" s="3"/>
      <c r="T79" s="3"/>
      <c r="U79" s="3"/>
      <c r="V79" s="3"/>
      <c r="W79" s="3"/>
      <c r="X79" s="3"/>
      <c r="Y79" s="3"/>
      <c r="Z79" s="3"/>
      <c r="AA79" s="3"/>
      <c r="AB79" s="3"/>
      <c r="AC79" s="3"/>
    </row>
    <row r="80" customFormat="false" ht="36" hidden="false" customHeight="true" outlineLevel="0" collapsed="false">
      <c r="A80" s="3"/>
      <c r="B80" s="141" t="s">
        <v>6474</v>
      </c>
      <c r="C80" s="110" t="s">
        <v>243</v>
      </c>
      <c r="D80" s="110" t="s">
        <v>1331</v>
      </c>
      <c r="E80" s="110" t="s">
        <v>1215</v>
      </c>
      <c r="F80" s="117" t="s">
        <v>1333</v>
      </c>
      <c r="G80" s="151" t="n">
        <v>12.8</v>
      </c>
      <c r="H80" s="98" t="s">
        <v>590</v>
      </c>
      <c r="I80" s="146" t="n">
        <v>1</v>
      </c>
      <c r="J80" s="98"/>
      <c r="K80" s="151" t="n">
        <v>12.8</v>
      </c>
      <c r="L80" s="98" t="s">
        <v>530</v>
      </c>
      <c r="M80" s="110" t="s">
        <v>1332</v>
      </c>
      <c r="N80" s="110" t="s">
        <v>586</v>
      </c>
      <c r="O80" s="3"/>
      <c r="P80" s="3"/>
      <c r="Q80" s="3"/>
      <c r="R80" s="3"/>
      <c r="S80" s="3"/>
      <c r="T80" s="3"/>
      <c r="U80" s="3"/>
      <c r="V80" s="3"/>
      <c r="W80" s="3"/>
      <c r="X80" s="3"/>
      <c r="Y80" s="3"/>
      <c r="Z80" s="3"/>
      <c r="AA80" s="3"/>
      <c r="AB80" s="3"/>
      <c r="AC80" s="3"/>
    </row>
    <row r="81" customFormat="false" ht="36" hidden="false" customHeight="true" outlineLevel="0" collapsed="false">
      <c r="A81" s="3"/>
      <c r="B81" s="139" t="s">
        <v>6474</v>
      </c>
      <c r="C81" s="109" t="s">
        <v>269</v>
      </c>
      <c r="D81" s="109" t="s">
        <v>1334</v>
      </c>
      <c r="E81" s="109" t="s">
        <v>646</v>
      </c>
      <c r="F81" s="113" t="s">
        <v>1336</v>
      </c>
      <c r="G81" s="150" t="n">
        <v>33.59</v>
      </c>
      <c r="H81" s="91" t="s">
        <v>590</v>
      </c>
      <c r="I81" s="144" t="n">
        <v>1</v>
      </c>
      <c r="J81" s="91"/>
      <c r="K81" s="150" t="n">
        <v>33.59</v>
      </c>
      <c r="L81" s="91" t="s">
        <v>530</v>
      </c>
      <c r="M81" s="109" t="s">
        <v>1335</v>
      </c>
      <c r="N81" s="109" t="s">
        <v>586</v>
      </c>
      <c r="O81" s="3"/>
      <c r="P81" s="3"/>
      <c r="Q81" s="3"/>
      <c r="R81" s="3"/>
      <c r="S81" s="3"/>
      <c r="T81" s="3"/>
      <c r="U81" s="3"/>
      <c r="V81" s="3"/>
      <c r="W81" s="3"/>
      <c r="X81" s="3"/>
      <c r="Y81" s="3"/>
      <c r="Z81" s="3"/>
      <c r="AA81" s="3"/>
      <c r="AB81" s="3"/>
      <c r="AC81" s="3"/>
    </row>
    <row r="82" customFormat="false" ht="36" hidden="false" customHeight="true" outlineLevel="0" collapsed="false">
      <c r="A82" s="3"/>
      <c r="B82" s="141" t="s">
        <v>6474</v>
      </c>
      <c r="C82" s="110" t="s">
        <v>264</v>
      </c>
      <c r="D82" s="110" t="s">
        <v>1337</v>
      </c>
      <c r="E82" s="110" t="s">
        <v>646</v>
      </c>
      <c r="F82" s="117" t="s">
        <v>1339</v>
      </c>
      <c r="G82" s="151" t="n">
        <v>9.88</v>
      </c>
      <c r="H82" s="98" t="s">
        <v>590</v>
      </c>
      <c r="I82" s="146" t="n">
        <v>1</v>
      </c>
      <c r="J82" s="98"/>
      <c r="K82" s="151" t="n">
        <v>9.88</v>
      </c>
      <c r="L82" s="98" t="s">
        <v>702</v>
      </c>
      <c r="M82" s="110" t="s">
        <v>1338</v>
      </c>
      <c r="N82" s="110" t="s">
        <v>586</v>
      </c>
      <c r="O82" s="3"/>
      <c r="P82" s="3"/>
      <c r="Q82" s="3"/>
      <c r="R82" s="3"/>
      <c r="S82" s="3"/>
      <c r="T82" s="3"/>
      <c r="U82" s="3"/>
      <c r="V82" s="3"/>
      <c r="W82" s="3"/>
      <c r="X82" s="3"/>
      <c r="Y82" s="3"/>
      <c r="Z82" s="3"/>
      <c r="AA82" s="3"/>
      <c r="AB82" s="3"/>
      <c r="AC82" s="3"/>
    </row>
    <row r="83" customFormat="false" ht="36" hidden="false" customHeight="true" outlineLevel="0" collapsed="false">
      <c r="A83" s="3"/>
      <c r="B83" s="139" t="s">
        <v>6474</v>
      </c>
      <c r="C83" s="109" t="s">
        <v>273</v>
      </c>
      <c r="D83" s="109" t="s">
        <v>1340</v>
      </c>
      <c r="E83" s="109" t="s">
        <v>1225</v>
      </c>
      <c r="F83" s="113" t="s">
        <v>1341</v>
      </c>
      <c r="G83" s="150" t="n">
        <v>31.9</v>
      </c>
      <c r="H83" s="91" t="s">
        <v>265</v>
      </c>
      <c r="I83" s="144" t="n">
        <v>1</v>
      </c>
      <c r="J83" s="91"/>
      <c r="K83" s="150" t="n">
        <v>26.58</v>
      </c>
      <c r="L83" s="91" t="s">
        <v>530</v>
      </c>
      <c r="M83" s="109" t="s">
        <v>1024</v>
      </c>
      <c r="N83" s="109" t="s">
        <v>586</v>
      </c>
      <c r="O83" s="3"/>
      <c r="P83" s="3"/>
      <c r="Q83" s="3"/>
      <c r="R83" s="3"/>
      <c r="S83" s="3"/>
      <c r="T83" s="3"/>
      <c r="U83" s="3"/>
      <c r="V83" s="3"/>
      <c r="W83" s="3"/>
      <c r="X83" s="3"/>
      <c r="Y83" s="3"/>
      <c r="Z83" s="3"/>
      <c r="AA83" s="3"/>
      <c r="AB83" s="3"/>
      <c r="AC83" s="3"/>
    </row>
    <row r="84" customFormat="false" ht="36" hidden="false" customHeight="true" outlineLevel="0" collapsed="false">
      <c r="A84" s="3"/>
      <c r="B84" s="141" t="s">
        <v>6474</v>
      </c>
      <c r="C84" s="110" t="s">
        <v>281</v>
      </c>
      <c r="D84" s="110" t="s">
        <v>1342</v>
      </c>
      <c r="E84" s="110" t="s">
        <v>662</v>
      </c>
      <c r="F84" s="117" t="s">
        <v>1344</v>
      </c>
      <c r="G84" s="151" t="n">
        <v>9.97</v>
      </c>
      <c r="H84" s="98" t="s">
        <v>590</v>
      </c>
      <c r="I84" s="146" t="n">
        <v>1</v>
      </c>
      <c r="J84" s="98"/>
      <c r="K84" s="151" t="n">
        <v>9.97</v>
      </c>
      <c r="L84" s="98" t="s">
        <v>530</v>
      </c>
      <c r="M84" s="110" t="s">
        <v>1343</v>
      </c>
      <c r="N84" s="110" t="s">
        <v>586</v>
      </c>
      <c r="O84" s="3"/>
      <c r="P84" s="3"/>
      <c r="Q84" s="3"/>
      <c r="R84" s="3"/>
      <c r="S84" s="3"/>
      <c r="T84" s="3"/>
      <c r="U84" s="3"/>
      <c r="V84" s="3"/>
      <c r="W84" s="3"/>
      <c r="X84" s="3"/>
      <c r="Y84" s="3"/>
      <c r="Z84" s="3"/>
      <c r="AA84" s="3"/>
      <c r="AB84" s="3"/>
      <c r="AC84" s="3"/>
    </row>
    <row r="85" customFormat="false" ht="36" hidden="false" customHeight="true" outlineLevel="0" collapsed="false">
      <c r="A85" s="3"/>
      <c r="B85" s="139" t="s">
        <v>6474</v>
      </c>
      <c r="C85" s="109" t="s">
        <v>285</v>
      </c>
      <c r="D85" s="109" t="s">
        <v>1345</v>
      </c>
      <c r="E85" s="109" t="s">
        <v>733</v>
      </c>
      <c r="F85" s="113" t="s">
        <v>1347</v>
      </c>
      <c r="G85" s="150" t="n">
        <v>34.9</v>
      </c>
      <c r="H85" s="91" t="s">
        <v>590</v>
      </c>
      <c r="I85" s="144" t="n">
        <v>1</v>
      </c>
      <c r="J85" s="91"/>
      <c r="K85" s="150" t="n">
        <v>34.9</v>
      </c>
      <c r="L85" s="91" t="s">
        <v>702</v>
      </c>
      <c r="M85" s="109" t="s">
        <v>1346</v>
      </c>
      <c r="N85" s="109" t="s">
        <v>586</v>
      </c>
      <c r="O85" s="3"/>
      <c r="P85" s="3"/>
      <c r="Q85" s="3"/>
      <c r="R85" s="3"/>
      <c r="S85" s="3"/>
      <c r="T85" s="3"/>
      <c r="U85" s="3"/>
      <c r="V85" s="3"/>
      <c r="W85" s="3"/>
      <c r="X85" s="3"/>
      <c r="Y85" s="3"/>
      <c r="Z85" s="3"/>
      <c r="AA85" s="3"/>
      <c r="AB85" s="3"/>
      <c r="AC85" s="3"/>
    </row>
    <row r="86" customFormat="false" ht="36" hidden="false" customHeight="true" outlineLevel="0" collapsed="false">
      <c r="A86" s="3"/>
      <c r="B86" s="141" t="s">
        <v>6474</v>
      </c>
      <c r="C86" s="110" t="s">
        <v>293</v>
      </c>
      <c r="D86" s="110" t="s">
        <v>1348</v>
      </c>
      <c r="E86" s="110" t="s">
        <v>662</v>
      </c>
      <c r="F86" s="117" t="s">
        <v>1350</v>
      </c>
      <c r="G86" s="151" t="n">
        <v>8.8</v>
      </c>
      <c r="H86" s="98" t="s">
        <v>590</v>
      </c>
      <c r="I86" s="146" t="n">
        <v>1</v>
      </c>
      <c r="J86" s="98"/>
      <c r="K86" s="151" t="n">
        <v>8.8</v>
      </c>
      <c r="L86" s="98" t="s">
        <v>530</v>
      </c>
      <c r="M86" s="110" t="s">
        <v>1349</v>
      </c>
      <c r="N86" s="110" t="s">
        <v>586</v>
      </c>
      <c r="O86" s="3"/>
      <c r="P86" s="3"/>
      <c r="Q86" s="3"/>
      <c r="R86" s="3"/>
      <c r="S86" s="3"/>
      <c r="T86" s="3"/>
      <c r="U86" s="3"/>
      <c r="V86" s="3"/>
      <c r="W86" s="3"/>
      <c r="X86" s="3"/>
      <c r="Y86" s="3"/>
      <c r="Z86" s="3"/>
      <c r="AA86" s="3"/>
      <c r="AB86" s="3"/>
      <c r="AC86" s="3"/>
    </row>
    <row r="87" customFormat="false" ht="36" hidden="false" customHeight="true" outlineLevel="0" collapsed="false">
      <c r="A87" s="3"/>
      <c r="B87" s="139" t="s">
        <v>6475</v>
      </c>
      <c r="C87" s="109" t="s">
        <v>243</v>
      </c>
      <c r="D87" s="109" t="s">
        <v>1381</v>
      </c>
      <c r="E87" s="109" t="s">
        <v>388</v>
      </c>
      <c r="F87" s="113" t="s">
        <v>1383</v>
      </c>
      <c r="G87" s="150" t="n">
        <v>284</v>
      </c>
      <c r="H87" s="91" t="s">
        <v>590</v>
      </c>
      <c r="I87" s="144" t="n">
        <v>1</v>
      </c>
      <c r="J87" s="91"/>
      <c r="K87" s="150" t="n">
        <v>284</v>
      </c>
      <c r="L87" s="91" t="s">
        <v>702</v>
      </c>
      <c r="M87" s="109" t="s">
        <v>1382</v>
      </c>
      <c r="N87" s="109" t="s">
        <v>586</v>
      </c>
      <c r="O87" s="3"/>
      <c r="P87" s="3"/>
      <c r="Q87" s="3"/>
      <c r="R87" s="3"/>
      <c r="S87" s="3"/>
      <c r="T87" s="3"/>
      <c r="U87" s="3"/>
      <c r="V87" s="3"/>
      <c r="W87" s="3"/>
      <c r="X87" s="3"/>
      <c r="Y87" s="3"/>
      <c r="Z87" s="3"/>
      <c r="AA87" s="3"/>
      <c r="AB87" s="3"/>
      <c r="AC87" s="3"/>
    </row>
    <row r="88" customFormat="false" ht="36" hidden="false" customHeight="true" outlineLevel="0" collapsed="false">
      <c r="A88" s="3"/>
      <c r="B88" s="141" t="s">
        <v>6475</v>
      </c>
      <c r="C88" s="110" t="s">
        <v>269</v>
      </c>
      <c r="D88" s="110" t="s">
        <v>1384</v>
      </c>
      <c r="E88" s="110" t="s">
        <v>311</v>
      </c>
      <c r="F88" s="117" t="s">
        <v>1386</v>
      </c>
      <c r="G88" s="151" t="n">
        <v>169.9</v>
      </c>
      <c r="H88" s="98" t="s">
        <v>590</v>
      </c>
      <c r="I88" s="146" t="n">
        <v>1</v>
      </c>
      <c r="J88" s="98"/>
      <c r="K88" s="151" t="n">
        <v>169.9</v>
      </c>
      <c r="L88" s="98" t="s">
        <v>530</v>
      </c>
      <c r="M88" s="110" t="s">
        <v>1385</v>
      </c>
      <c r="N88" s="110" t="s">
        <v>586</v>
      </c>
      <c r="O88" s="3"/>
      <c r="P88" s="3"/>
      <c r="Q88" s="3"/>
      <c r="R88" s="3"/>
      <c r="S88" s="3"/>
      <c r="T88" s="3"/>
      <c r="U88" s="3"/>
      <c r="V88" s="3"/>
      <c r="W88" s="3"/>
      <c r="X88" s="3"/>
      <c r="Y88" s="3"/>
      <c r="Z88" s="3"/>
      <c r="AA88" s="3"/>
      <c r="AB88" s="3"/>
      <c r="AC88" s="3"/>
    </row>
    <row r="89" customFormat="false" ht="36" hidden="false" customHeight="true" outlineLevel="0" collapsed="false">
      <c r="A89" s="3"/>
      <c r="B89" s="139" t="s">
        <v>6475</v>
      </c>
      <c r="C89" s="109" t="s">
        <v>264</v>
      </c>
      <c r="D89" s="109" t="s">
        <v>1388</v>
      </c>
      <c r="E89" s="109" t="s">
        <v>646</v>
      </c>
      <c r="F89" s="113" t="s">
        <v>1390</v>
      </c>
      <c r="G89" s="150" t="n">
        <v>229.14</v>
      </c>
      <c r="H89" s="91" t="s">
        <v>590</v>
      </c>
      <c r="I89" s="144" t="n">
        <v>1</v>
      </c>
      <c r="J89" s="91"/>
      <c r="K89" s="150" t="n">
        <v>229.14</v>
      </c>
      <c r="L89" s="91" t="s">
        <v>702</v>
      </c>
      <c r="M89" s="109" t="s">
        <v>1389</v>
      </c>
      <c r="N89" s="109" t="s">
        <v>586</v>
      </c>
      <c r="O89" s="3"/>
      <c r="P89" s="3"/>
      <c r="Q89" s="3"/>
      <c r="R89" s="3"/>
      <c r="S89" s="3"/>
      <c r="T89" s="3"/>
      <c r="U89" s="3"/>
      <c r="V89" s="3"/>
      <c r="W89" s="3"/>
      <c r="X89" s="3"/>
      <c r="Y89" s="3"/>
      <c r="Z89" s="3"/>
      <c r="AA89" s="3"/>
      <c r="AB89" s="3"/>
      <c r="AC89" s="3"/>
    </row>
    <row r="90" customFormat="false" ht="36" hidden="false" customHeight="true" outlineLevel="0" collapsed="false">
      <c r="A90" s="3"/>
      <c r="B90" s="141" t="s">
        <v>6475</v>
      </c>
      <c r="C90" s="110" t="s">
        <v>273</v>
      </c>
      <c r="D90" s="110" t="s">
        <v>1391</v>
      </c>
      <c r="E90" s="110" t="s">
        <v>642</v>
      </c>
      <c r="F90" s="117" t="s">
        <v>1393</v>
      </c>
      <c r="G90" s="151" t="n">
        <v>305.9</v>
      </c>
      <c r="H90" s="98" t="s">
        <v>265</v>
      </c>
      <c r="I90" s="146" t="n">
        <v>1</v>
      </c>
      <c r="J90" s="98"/>
      <c r="K90" s="151" t="n">
        <v>254.92</v>
      </c>
      <c r="L90" s="98" t="s">
        <v>530</v>
      </c>
      <c r="M90" s="110" t="s">
        <v>1392</v>
      </c>
      <c r="N90" s="110" t="s">
        <v>586</v>
      </c>
      <c r="O90" s="3"/>
      <c r="P90" s="3"/>
      <c r="Q90" s="3"/>
      <c r="R90" s="3"/>
      <c r="S90" s="3"/>
      <c r="T90" s="3"/>
      <c r="U90" s="3"/>
      <c r="V90" s="3"/>
      <c r="W90" s="3"/>
      <c r="X90" s="3"/>
      <c r="Y90" s="3"/>
      <c r="Z90" s="3"/>
      <c r="AA90" s="3"/>
      <c r="AB90" s="3"/>
      <c r="AC90" s="3"/>
    </row>
    <row r="91" customFormat="false" ht="36" hidden="false" customHeight="true" outlineLevel="0" collapsed="false">
      <c r="A91" s="3"/>
      <c r="B91" s="139" t="s">
        <v>6475</v>
      </c>
      <c r="C91" s="109" t="s">
        <v>281</v>
      </c>
      <c r="D91" s="109" t="s">
        <v>1394</v>
      </c>
      <c r="E91" s="109" t="s">
        <v>1397</v>
      </c>
      <c r="F91" s="113" t="s">
        <v>1396</v>
      </c>
      <c r="G91" s="150" t="n">
        <v>265.95</v>
      </c>
      <c r="H91" s="91" t="s">
        <v>590</v>
      </c>
      <c r="I91" s="144" t="n">
        <v>1</v>
      </c>
      <c r="J91" s="91"/>
      <c r="K91" s="150" t="n">
        <v>265.95</v>
      </c>
      <c r="L91" s="91" t="s">
        <v>530</v>
      </c>
      <c r="M91" s="109" t="s">
        <v>1395</v>
      </c>
      <c r="N91" s="109" t="s">
        <v>586</v>
      </c>
      <c r="O91" s="3"/>
      <c r="P91" s="3"/>
      <c r="Q91" s="3"/>
      <c r="R91" s="3"/>
      <c r="S91" s="3"/>
      <c r="T91" s="3"/>
      <c r="U91" s="3"/>
      <c r="V91" s="3"/>
      <c r="W91" s="3"/>
      <c r="X91" s="3"/>
      <c r="Y91" s="3"/>
      <c r="Z91" s="3"/>
      <c r="AA91" s="3"/>
      <c r="AB91" s="3"/>
      <c r="AC91" s="3"/>
    </row>
    <row r="92" customFormat="false" ht="36" hidden="false" customHeight="true" outlineLevel="0" collapsed="false">
      <c r="A92" s="3"/>
      <c r="B92" s="141" t="s">
        <v>6475</v>
      </c>
      <c r="C92" s="110" t="s">
        <v>293</v>
      </c>
      <c r="D92" s="110" t="s">
        <v>1398</v>
      </c>
      <c r="E92" s="110" t="s">
        <v>589</v>
      </c>
      <c r="F92" s="117" t="s">
        <v>1400</v>
      </c>
      <c r="G92" s="151" t="n">
        <v>196</v>
      </c>
      <c r="H92" s="98" t="s">
        <v>590</v>
      </c>
      <c r="I92" s="146" t="n">
        <v>1</v>
      </c>
      <c r="J92" s="98"/>
      <c r="K92" s="151" t="n">
        <v>196</v>
      </c>
      <c r="L92" s="98" t="s">
        <v>702</v>
      </c>
      <c r="M92" s="110" t="s">
        <v>1399</v>
      </c>
      <c r="N92" s="110" t="s">
        <v>586</v>
      </c>
      <c r="O92" s="3"/>
      <c r="P92" s="3"/>
      <c r="Q92" s="3"/>
      <c r="R92" s="3"/>
      <c r="S92" s="3"/>
      <c r="T92" s="3"/>
      <c r="U92" s="3"/>
      <c r="V92" s="3"/>
      <c r="W92" s="3"/>
      <c r="X92" s="3"/>
      <c r="Y92" s="3"/>
      <c r="Z92" s="3"/>
      <c r="AA92" s="3"/>
      <c r="AB92" s="3"/>
      <c r="AC92" s="3"/>
    </row>
    <row r="93" customFormat="false" ht="33" hidden="false" customHeight="true" outlineLevel="0" collapsed="false">
      <c r="A93" s="3"/>
      <c r="B93" s="139" t="s">
        <v>6477</v>
      </c>
      <c r="C93" s="109" t="s">
        <v>243</v>
      </c>
      <c r="D93" s="109" t="s">
        <v>1441</v>
      </c>
      <c r="E93" s="109"/>
      <c r="F93" s="113" t="s">
        <v>1443</v>
      </c>
      <c r="G93" s="150" t="n">
        <v>19.22</v>
      </c>
      <c r="H93" s="91" t="s">
        <v>590</v>
      </c>
      <c r="I93" s="144" t="n">
        <v>1</v>
      </c>
      <c r="J93" s="91"/>
      <c r="K93" s="150" t="n">
        <v>19.22</v>
      </c>
      <c r="L93" s="91" t="s">
        <v>629</v>
      </c>
      <c r="M93" s="109" t="s">
        <v>1442</v>
      </c>
      <c r="N93" s="109" t="s">
        <v>586</v>
      </c>
      <c r="O93" s="3"/>
      <c r="P93" s="3"/>
      <c r="Q93" s="3"/>
      <c r="R93" s="3"/>
      <c r="S93" s="3"/>
      <c r="T93" s="3"/>
      <c r="U93" s="3"/>
      <c r="V93" s="3"/>
      <c r="W93" s="3"/>
      <c r="X93" s="3"/>
      <c r="Y93" s="3"/>
      <c r="Z93" s="3"/>
      <c r="AA93" s="3"/>
      <c r="AB93" s="3"/>
      <c r="AC93" s="3"/>
    </row>
    <row r="94" customFormat="false" ht="36" hidden="false" customHeight="true" outlineLevel="0" collapsed="false">
      <c r="A94" s="3"/>
      <c r="B94" s="141" t="s">
        <v>6477</v>
      </c>
      <c r="C94" s="110" t="s">
        <v>269</v>
      </c>
      <c r="D94" s="110" t="s">
        <v>1444</v>
      </c>
      <c r="E94" s="110" t="s">
        <v>603</v>
      </c>
      <c r="F94" s="117" t="s">
        <v>1446</v>
      </c>
      <c r="G94" s="151" t="n">
        <v>6.79</v>
      </c>
      <c r="H94" s="98" t="s">
        <v>590</v>
      </c>
      <c r="I94" s="146" t="n">
        <v>1</v>
      </c>
      <c r="J94" s="98"/>
      <c r="K94" s="151" t="n">
        <v>6.79</v>
      </c>
      <c r="L94" s="98" t="s">
        <v>629</v>
      </c>
      <c r="M94" s="110" t="s">
        <v>1445</v>
      </c>
      <c r="N94" s="110" t="s">
        <v>586</v>
      </c>
      <c r="O94" s="3"/>
      <c r="P94" s="3"/>
      <c r="Q94" s="3"/>
      <c r="R94" s="3"/>
      <c r="S94" s="3"/>
      <c r="T94" s="3"/>
      <c r="U94" s="3"/>
      <c r="V94" s="3"/>
      <c r="W94" s="3"/>
      <c r="X94" s="3"/>
      <c r="Y94" s="3"/>
      <c r="Z94" s="3"/>
      <c r="AA94" s="3"/>
      <c r="AB94" s="3"/>
      <c r="AC94" s="3"/>
    </row>
    <row r="95" customFormat="false" ht="36" hidden="false" customHeight="true" outlineLevel="0" collapsed="false">
      <c r="A95" s="3"/>
      <c r="B95" s="139" t="s">
        <v>6477</v>
      </c>
      <c r="C95" s="109" t="s">
        <v>264</v>
      </c>
      <c r="D95" s="109" t="s">
        <v>1447</v>
      </c>
      <c r="E95" s="109" t="s">
        <v>388</v>
      </c>
      <c r="F95" s="113" t="s">
        <v>1449</v>
      </c>
      <c r="G95" s="150" t="n">
        <v>15.25</v>
      </c>
      <c r="H95" s="91" t="s">
        <v>590</v>
      </c>
      <c r="I95" s="144" t="n">
        <v>1</v>
      </c>
      <c r="J95" s="91"/>
      <c r="K95" s="150" t="n">
        <v>15.25</v>
      </c>
      <c r="L95" s="91" t="s">
        <v>702</v>
      </c>
      <c r="M95" s="109" t="s">
        <v>1448</v>
      </c>
      <c r="N95" s="109" t="s">
        <v>586</v>
      </c>
      <c r="O95" s="3"/>
      <c r="P95" s="3"/>
      <c r="Q95" s="3"/>
      <c r="R95" s="3"/>
      <c r="S95" s="3"/>
      <c r="T95" s="3"/>
      <c r="U95" s="3"/>
      <c r="V95" s="3"/>
      <c r="W95" s="3"/>
      <c r="X95" s="3"/>
      <c r="Y95" s="3"/>
      <c r="Z95" s="3"/>
      <c r="AA95" s="3"/>
      <c r="AB95" s="3"/>
      <c r="AC95" s="3"/>
    </row>
    <row r="96" customFormat="false" ht="36" hidden="false" customHeight="true" outlineLevel="0" collapsed="false">
      <c r="A96" s="3"/>
      <c r="B96" s="141" t="s">
        <v>6477</v>
      </c>
      <c r="C96" s="110" t="s">
        <v>273</v>
      </c>
      <c r="D96" s="110" t="s">
        <v>1450</v>
      </c>
      <c r="E96" s="110" t="s">
        <v>1453</v>
      </c>
      <c r="F96" s="117" t="s">
        <v>1452</v>
      </c>
      <c r="G96" s="151" t="n">
        <v>8.98</v>
      </c>
      <c r="H96" s="98" t="s">
        <v>265</v>
      </c>
      <c r="I96" s="146" t="n">
        <v>1</v>
      </c>
      <c r="J96" s="98"/>
      <c r="K96" s="151" t="n">
        <v>7.48</v>
      </c>
      <c r="L96" s="98" t="s">
        <v>702</v>
      </c>
      <c r="M96" s="110" t="s">
        <v>1451</v>
      </c>
      <c r="N96" s="110" t="s">
        <v>586</v>
      </c>
      <c r="O96" s="3"/>
      <c r="P96" s="3"/>
      <c r="Q96" s="3"/>
      <c r="R96" s="3"/>
      <c r="S96" s="3"/>
      <c r="T96" s="3"/>
      <c r="U96" s="3"/>
      <c r="V96" s="3"/>
      <c r="W96" s="3"/>
      <c r="X96" s="3"/>
      <c r="Y96" s="3"/>
      <c r="Z96" s="3"/>
      <c r="AA96" s="3"/>
      <c r="AB96" s="3"/>
      <c r="AC96" s="3"/>
    </row>
    <row r="97" customFormat="false" ht="36" hidden="false" customHeight="true" outlineLevel="0" collapsed="false">
      <c r="A97" s="3"/>
      <c r="B97" s="139" t="s">
        <v>6477</v>
      </c>
      <c r="C97" s="109" t="s">
        <v>281</v>
      </c>
      <c r="D97" s="109" t="s">
        <v>1454</v>
      </c>
      <c r="E97" s="109" t="s">
        <v>642</v>
      </c>
      <c r="F97" s="113" t="s">
        <v>1456</v>
      </c>
      <c r="G97" s="150" t="n">
        <v>18.19</v>
      </c>
      <c r="H97" s="91" t="s">
        <v>590</v>
      </c>
      <c r="I97" s="144" t="n">
        <v>1</v>
      </c>
      <c r="J97" s="91"/>
      <c r="K97" s="150" t="n">
        <v>18.19</v>
      </c>
      <c r="L97" s="91" t="s">
        <v>629</v>
      </c>
      <c r="M97" s="109" t="s">
        <v>1455</v>
      </c>
      <c r="N97" s="109" t="s">
        <v>586</v>
      </c>
      <c r="O97" s="3"/>
      <c r="P97" s="3"/>
      <c r="Q97" s="3"/>
      <c r="R97" s="3"/>
      <c r="S97" s="3"/>
      <c r="T97" s="3"/>
      <c r="U97" s="3"/>
      <c r="V97" s="3"/>
      <c r="W97" s="3"/>
      <c r="X97" s="3"/>
      <c r="Y97" s="3"/>
      <c r="Z97" s="3"/>
      <c r="AA97" s="3"/>
      <c r="AB97" s="3"/>
      <c r="AC97" s="3"/>
    </row>
    <row r="98" customFormat="false" ht="36" hidden="false" customHeight="true" outlineLevel="0" collapsed="false">
      <c r="A98" s="3"/>
      <c r="B98" s="141" t="s">
        <v>6477</v>
      </c>
      <c r="C98" s="110" t="s">
        <v>293</v>
      </c>
      <c r="D98" s="110" t="s">
        <v>1457</v>
      </c>
      <c r="E98" s="110" t="s">
        <v>603</v>
      </c>
      <c r="F98" s="117" t="s">
        <v>1459</v>
      </c>
      <c r="G98" s="151" t="n">
        <v>11.9</v>
      </c>
      <c r="H98" s="98" t="s">
        <v>590</v>
      </c>
      <c r="I98" s="146" t="n">
        <v>1</v>
      </c>
      <c r="J98" s="98"/>
      <c r="K98" s="151" t="n">
        <v>11.9</v>
      </c>
      <c r="L98" s="98" t="s">
        <v>629</v>
      </c>
      <c r="M98" s="110" t="s">
        <v>1458</v>
      </c>
      <c r="N98" s="110" t="s">
        <v>586</v>
      </c>
      <c r="O98" s="3"/>
      <c r="P98" s="3"/>
      <c r="Q98" s="3"/>
      <c r="R98" s="3"/>
      <c r="S98" s="3"/>
      <c r="T98" s="3"/>
      <c r="U98" s="3"/>
      <c r="V98" s="3"/>
      <c r="W98" s="3"/>
      <c r="X98" s="3"/>
      <c r="Y98" s="3"/>
      <c r="Z98" s="3"/>
      <c r="AA98" s="3"/>
      <c r="AB98" s="3"/>
      <c r="AC98" s="3"/>
    </row>
    <row r="99" customFormat="false" ht="36" hidden="false" customHeight="true" outlineLevel="0" collapsed="false">
      <c r="A99" s="3"/>
      <c r="B99" s="139" t="s">
        <v>6478</v>
      </c>
      <c r="C99" s="109" t="s">
        <v>243</v>
      </c>
      <c r="D99" s="109" t="s">
        <v>1502</v>
      </c>
      <c r="E99" s="109" t="s">
        <v>388</v>
      </c>
      <c r="F99" s="113" t="s">
        <v>1504</v>
      </c>
      <c r="G99" s="150" t="n">
        <v>36.09</v>
      </c>
      <c r="H99" s="91" t="s">
        <v>590</v>
      </c>
      <c r="I99" s="144" t="n">
        <v>1</v>
      </c>
      <c r="J99" s="91"/>
      <c r="K99" s="150" t="n">
        <v>36.09</v>
      </c>
      <c r="L99" s="91" t="s">
        <v>702</v>
      </c>
      <c r="M99" s="109" t="s">
        <v>1503</v>
      </c>
      <c r="N99" s="109" t="s">
        <v>586</v>
      </c>
      <c r="O99" s="3"/>
      <c r="P99" s="3"/>
      <c r="Q99" s="3"/>
      <c r="R99" s="3"/>
      <c r="S99" s="3"/>
      <c r="T99" s="3"/>
      <c r="U99" s="3"/>
      <c r="V99" s="3"/>
      <c r="W99" s="3"/>
      <c r="X99" s="3"/>
      <c r="Y99" s="3"/>
      <c r="Z99" s="3"/>
      <c r="AA99" s="3"/>
      <c r="AB99" s="3"/>
      <c r="AC99" s="3"/>
    </row>
    <row r="100" customFormat="false" ht="36" hidden="false" customHeight="true" outlineLevel="0" collapsed="false">
      <c r="A100" s="3"/>
      <c r="B100" s="141" t="s">
        <v>6478</v>
      </c>
      <c r="C100" s="110" t="s">
        <v>269</v>
      </c>
      <c r="D100" s="110" t="s">
        <v>1505</v>
      </c>
      <c r="E100" s="110" t="s">
        <v>662</v>
      </c>
      <c r="F100" s="117" t="s">
        <v>1507</v>
      </c>
      <c r="G100" s="151" t="n">
        <v>46.9</v>
      </c>
      <c r="H100" s="98" t="s">
        <v>590</v>
      </c>
      <c r="I100" s="146" t="n">
        <v>1</v>
      </c>
      <c r="J100" s="98"/>
      <c r="K100" s="151" t="n">
        <v>46.9</v>
      </c>
      <c r="L100" s="98" t="s">
        <v>629</v>
      </c>
      <c r="M100" s="110" t="s">
        <v>1506</v>
      </c>
      <c r="N100" s="110" t="s">
        <v>586</v>
      </c>
      <c r="O100" s="3"/>
      <c r="P100" s="3"/>
      <c r="Q100" s="3"/>
      <c r="R100" s="3"/>
      <c r="S100" s="3"/>
      <c r="T100" s="3"/>
      <c r="U100" s="3"/>
      <c r="V100" s="3"/>
      <c r="W100" s="3"/>
      <c r="X100" s="3"/>
      <c r="Y100" s="3"/>
      <c r="Z100" s="3"/>
      <c r="AA100" s="3"/>
      <c r="AB100" s="3"/>
      <c r="AC100" s="3"/>
    </row>
    <row r="101" customFormat="false" ht="36" hidden="false" customHeight="true" outlineLevel="0" collapsed="false">
      <c r="A101" s="3"/>
      <c r="B101" s="139" t="s">
        <v>6478</v>
      </c>
      <c r="C101" s="109" t="s">
        <v>264</v>
      </c>
      <c r="D101" s="109" t="s">
        <v>1508</v>
      </c>
      <c r="E101" s="109" t="s">
        <v>662</v>
      </c>
      <c r="F101" s="113" t="s">
        <v>1510</v>
      </c>
      <c r="G101" s="150" t="n">
        <v>26.19</v>
      </c>
      <c r="H101" s="91" t="s">
        <v>590</v>
      </c>
      <c r="I101" s="144" t="n">
        <v>1</v>
      </c>
      <c r="J101" s="91"/>
      <c r="K101" s="150" t="n">
        <v>26.19</v>
      </c>
      <c r="L101" s="91" t="s">
        <v>702</v>
      </c>
      <c r="M101" s="109" t="s">
        <v>1509</v>
      </c>
      <c r="N101" s="109" t="s">
        <v>586</v>
      </c>
      <c r="O101" s="3"/>
      <c r="P101" s="3"/>
      <c r="Q101" s="3"/>
      <c r="R101" s="3"/>
      <c r="S101" s="3"/>
      <c r="T101" s="3"/>
      <c r="U101" s="3"/>
      <c r="V101" s="3"/>
      <c r="W101" s="3"/>
      <c r="X101" s="3"/>
      <c r="Y101" s="3"/>
      <c r="Z101" s="3"/>
      <c r="AA101" s="3"/>
      <c r="AB101" s="3"/>
      <c r="AC101" s="3"/>
    </row>
    <row r="102" customFormat="false" ht="36" hidden="false" customHeight="true" outlineLevel="0" collapsed="false">
      <c r="A102" s="3"/>
      <c r="B102" s="141" t="s">
        <v>6478</v>
      </c>
      <c r="C102" s="110" t="s">
        <v>273</v>
      </c>
      <c r="D102" s="110" t="s">
        <v>1511</v>
      </c>
      <c r="E102" s="110" t="s">
        <v>642</v>
      </c>
      <c r="F102" s="117" t="s">
        <v>1513</v>
      </c>
      <c r="G102" s="151" t="n">
        <v>256.9</v>
      </c>
      <c r="H102" s="98" t="s">
        <v>265</v>
      </c>
      <c r="I102" s="146" t="n">
        <v>1</v>
      </c>
      <c r="J102" s="98"/>
      <c r="K102" s="151" t="n">
        <v>214.08</v>
      </c>
      <c r="L102" s="98" t="s">
        <v>629</v>
      </c>
      <c r="M102" s="110" t="s">
        <v>1512</v>
      </c>
      <c r="N102" s="110" t="s">
        <v>586</v>
      </c>
      <c r="O102" s="3"/>
      <c r="P102" s="3"/>
      <c r="Q102" s="3"/>
      <c r="R102" s="3"/>
      <c r="S102" s="3"/>
      <c r="T102" s="3"/>
      <c r="U102" s="3"/>
      <c r="V102" s="3"/>
      <c r="W102" s="3"/>
      <c r="X102" s="3"/>
      <c r="Y102" s="3"/>
      <c r="Z102" s="3"/>
      <c r="AA102" s="3"/>
      <c r="AB102" s="3"/>
      <c r="AC102" s="3"/>
    </row>
    <row r="103" customFormat="false" ht="36" hidden="false" customHeight="true" outlineLevel="0" collapsed="false">
      <c r="A103" s="3"/>
      <c r="B103" s="139" t="s">
        <v>6478</v>
      </c>
      <c r="C103" s="109" t="s">
        <v>281</v>
      </c>
      <c r="D103" s="109" t="s">
        <v>1514</v>
      </c>
      <c r="E103" s="109" t="s">
        <v>642</v>
      </c>
      <c r="F103" s="113" t="s">
        <v>1516</v>
      </c>
      <c r="G103" s="150" t="n">
        <v>176.33</v>
      </c>
      <c r="H103" s="91" t="s">
        <v>590</v>
      </c>
      <c r="I103" s="144" t="n">
        <v>1</v>
      </c>
      <c r="J103" s="91"/>
      <c r="K103" s="150" t="n">
        <v>176.33</v>
      </c>
      <c r="L103" s="91" t="s">
        <v>629</v>
      </c>
      <c r="M103" s="109" t="s">
        <v>1515</v>
      </c>
      <c r="N103" s="109" t="s">
        <v>586</v>
      </c>
      <c r="O103" s="3"/>
      <c r="P103" s="3"/>
      <c r="Q103" s="3"/>
      <c r="R103" s="3"/>
      <c r="S103" s="3"/>
      <c r="T103" s="3"/>
      <c r="U103" s="3"/>
      <c r="V103" s="3"/>
      <c r="W103" s="3"/>
      <c r="X103" s="3"/>
      <c r="Y103" s="3"/>
      <c r="Z103" s="3"/>
      <c r="AA103" s="3"/>
      <c r="AB103" s="3"/>
      <c r="AC103" s="3"/>
    </row>
    <row r="104" customFormat="false" ht="30.75" hidden="false" customHeight="true" outlineLevel="0" collapsed="false">
      <c r="A104" s="3"/>
      <c r="B104" s="9"/>
      <c r="C104" s="9"/>
      <c r="D104" s="9"/>
      <c r="E104" s="9"/>
      <c r="F104" s="9"/>
      <c r="G104" s="10"/>
      <c r="H104" s="10"/>
      <c r="I104" s="10"/>
      <c r="J104" s="10"/>
      <c r="K104" s="10"/>
      <c r="L104" s="10"/>
      <c r="M104" s="9"/>
      <c r="N104" s="9"/>
      <c r="O104" s="3"/>
      <c r="P104" s="3"/>
      <c r="Q104" s="3"/>
      <c r="R104" s="3"/>
      <c r="S104" s="3"/>
      <c r="T104" s="3"/>
      <c r="U104" s="3"/>
      <c r="V104" s="3"/>
      <c r="W104" s="3"/>
      <c r="X104" s="3"/>
      <c r="Y104" s="3"/>
      <c r="Z104" s="3"/>
      <c r="AA104" s="3"/>
      <c r="AB104" s="3"/>
      <c r="AC104" s="3"/>
    </row>
    <row r="105" customFormat="false" ht="30.75" hidden="false" customHeight="true" outlineLevel="0" collapsed="false">
      <c r="A105" s="3"/>
      <c r="B105" s="9"/>
      <c r="C105" s="9"/>
      <c r="D105" s="9"/>
      <c r="E105" s="9"/>
      <c r="F105" s="9"/>
      <c r="G105" s="10"/>
      <c r="H105" s="10"/>
      <c r="I105" s="10"/>
      <c r="J105" s="10"/>
      <c r="K105" s="10"/>
      <c r="L105" s="10"/>
      <c r="M105" s="9"/>
      <c r="N105" s="9"/>
      <c r="O105" s="3"/>
      <c r="P105" s="3"/>
      <c r="Q105" s="3"/>
      <c r="R105" s="3"/>
      <c r="S105" s="3"/>
      <c r="T105" s="3"/>
      <c r="U105" s="3"/>
      <c r="V105" s="3"/>
      <c r="W105" s="3"/>
      <c r="X105" s="3"/>
      <c r="Y105" s="3"/>
      <c r="Z105" s="3"/>
      <c r="AA105" s="3"/>
      <c r="AB105" s="3"/>
      <c r="AC105" s="3"/>
    </row>
    <row r="106" customFormat="false" ht="30.75" hidden="false" customHeight="true" outlineLevel="0" collapsed="false">
      <c r="A106" s="3"/>
      <c r="B106" s="9"/>
      <c r="C106" s="9"/>
      <c r="D106" s="9"/>
      <c r="E106" s="9"/>
      <c r="F106" s="9"/>
      <c r="G106" s="10"/>
      <c r="H106" s="10"/>
      <c r="I106" s="10"/>
      <c r="J106" s="10"/>
      <c r="K106" s="10"/>
      <c r="L106" s="10"/>
      <c r="M106" s="9"/>
      <c r="N106" s="9"/>
      <c r="O106" s="3"/>
      <c r="P106" s="3"/>
      <c r="Q106" s="3"/>
      <c r="R106" s="3"/>
      <c r="S106" s="3"/>
      <c r="T106" s="3"/>
      <c r="U106" s="3"/>
      <c r="V106" s="3"/>
      <c r="W106" s="3"/>
      <c r="X106" s="3"/>
      <c r="Y106" s="3"/>
      <c r="Z106" s="3"/>
      <c r="AA106" s="3"/>
      <c r="AB106" s="3"/>
      <c r="AC106" s="3"/>
    </row>
    <row r="107" customFormat="false" ht="25.5" hidden="false" customHeight="true" outlineLevel="0" collapsed="false">
      <c r="A107" s="3"/>
      <c r="B107" s="133" t="s">
        <v>6926</v>
      </c>
      <c r="C107" s="133"/>
      <c r="D107" s="133"/>
      <c r="E107" s="133"/>
      <c r="F107" s="133"/>
      <c r="G107" s="40"/>
      <c r="H107" s="40"/>
      <c r="I107" s="10"/>
      <c r="J107" s="10"/>
      <c r="K107" s="10"/>
      <c r="L107" s="10"/>
      <c r="M107" s="9"/>
      <c r="N107" s="9"/>
      <c r="O107" s="3"/>
      <c r="P107" s="3"/>
      <c r="Q107" s="3"/>
      <c r="R107" s="3"/>
      <c r="S107" s="3"/>
      <c r="T107" s="3"/>
      <c r="U107" s="3"/>
      <c r="V107" s="3"/>
      <c r="W107" s="3"/>
      <c r="X107" s="3"/>
      <c r="Y107" s="3"/>
      <c r="Z107" s="3"/>
      <c r="AA107" s="3"/>
      <c r="AB107" s="3"/>
      <c r="AC107" s="3"/>
    </row>
    <row r="108" customFormat="false" ht="36" hidden="false" customHeight="true" outlineLevel="0" collapsed="false">
      <c r="A108" s="3"/>
      <c r="B108" s="123" t="s">
        <v>6927</v>
      </c>
      <c r="C108" s="22" t="s">
        <v>6928</v>
      </c>
      <c r="D108" s="22" t="s">
        <v>6929</v>
      </c>
      <c r="E108" s="22" t="s">
        <v>6930</v>
      </c>
      <c r="F108" s="22" t="s">
        <v>6931</v>
      </c>
      <c r="G108" s="22" t="s">
        <v>6932</v>
      </c>
      <c r="H108" s="22" t="s">
        <v>6933</v>
      </c>
      <c r="I108" s="22" t="s">
        <v>240</v>
      </c>
      <c r="J108" s="10"/>
      <c r="K108" s="10"/>
      <c r="L108" s="10"/>
      <c r="M108" s="9"/>
      <c r="N108" s="9"/>
      <c r="O108" s="3"/>
      <c r="P108" s="3"/>
      <c r="Q108" s="3"/>
      <c r="R108" s="3"/>
      <c r="S108" s="3"/>
      <c r="T108" s="3"/>
      <c r="U108" s="3"/>
      <c r="V108" s="3"/>
      <c r="W108" s="3"/>
      <c r="X108" s="3"/>
      <c r="Y108" s="3"/>
      <c r="Z108" s="3"/>
      <c r="AA108" s="3"/>
      <c r="AB108" s="3"/>
      <c r="AC108" s="3"/>
    </row>
    <row r="109" customFormat="false" ht="100.5" hidden="false" customHeight="true" outlineLevel="0" collapsed="false">
      <c r="A109" s="3"/>
      <c r="B109" s="139" t="s">
        <v>281</v>
      </c>
      <c r="C109" s="113" t="s">
        <v>6934</v>
      </c>
      <c r="D109" s="109" t="s">
        <v>6935</v>
      </c>
      <c r="E109" s="109" t="s">
        <v>6936</v>
      </c>
      <c r="F109" s="109" t="s">
        <v>6937</v>
      </c>
      <c r="G109" s="91" t="s">
        <v>6938</v>
      </c>
      <c r="H109" s="91" t="s">
        <v>5796</v>
      </c>
      <c r="I109" s="91" t="s">
        <v>6939</v>
      </c>
      <c r="J109" s="10"/>
      <c r="K109" s="10"/>
      <c r="L109" s="10"/>
      <c r="M109" s="9"/>
      <c r="N109" s="9"/>
      <c r="O109" s="3"/>
      <c r="P109" s="3"/>
      <c r="Q109" s="3"/>
      <c r="R109" s="3"/>
      <c r="S109" s="3"/>
      <c r="T109" s="3"/>
      <c r="U109" s="3"/>
      <c r="V109" s="3"/>
      <c r="W109" s="3"/>
      <c r="X109" s="3"/>
      <c r="Y109" s="3"/>
      <c r="Z109" s="3"/>
      <c r="AA109" s="3"/>
      <c r="AB109" s="3"/>
      <c r="AC109" s="3"/>
    </row>
    <row r="110" customFormat="false" ht="153" hidden="false" customHeight="true" outlineLevel="0" collapsed="false">
      <c r="A110" s="3"/>
      <c r="B110" s="141" t="s">
        <v>273</v>
      </c>
      <c r="C110" s="117" t="s">
        <v>6940</v>
      </c>
      <c r="D110" s="110" t="s">
        <v>6935</v>
      </c>
      <c r="E110" s="110" t="s">
        <v>6941</v>
      </c>
      <c r="F110" s="110" t="s">
        <v>6942</v>
      </c>
      <c r="G110" s="98" t="s">
        <v>6943</v>
      </c>
      <c r="H110" s="98" t="s">
        <v>5796</v>
      </c>
      <c r="I110" s="98" t="s">
        <v>6944</v>
      </c>
      <c r="J110" s="10"/>
      <c r="K110" s="10"/>
      <c r="L110" s="10"/>
      <c r="M110" s="9"/>
      <c r="N110" s="9"/>
      <c r="O110" s="3"/>
      <c r="P110" s="3"/>
      <c r="Q110" s="3"/>
      <c r="R110" s="3"/>
      <c r="S110" s="3"/>
      <c r="T110" s="3"/>
      <c r="U110" s="3"/>
      <c r="V110" s="3"/>
      <c r="W110" s="3"/>
      <c r="X110" s="3"/>
      <c r="Y110" s="3"/>
      <c r="Z110" s="3"/>
      <c r="AA110" s="3"/>
      <c r="AB110" s="3"/>
      <c r="AC110" s="3"/>
    </row>
    <row r="111" customFormat="false" ht="153" hidden="false" customHeight="true" outlineLevel="0" collapsed="false">
      <c r="A111" s="3"/>
      <c r="B111" s="139" t="s">
        <v>285</v>
      </c>
      <c r="C111" s="113" t="s">
        <v>6945</v>
      </c>
      <c r="D111" s="109" t="s">
        <v>6946</v>
      </c>
      <c r="E111" s="109" t="s">
        <v>6936</v>
      </c>
      <c r="F111" s="109" t="s">
        <v>6947</v>
      </c>
      <c r="G111" s="91" t="s">
        <v>6948</v>
      </c>
      <c r="H111" s="91" t="s">
        <v>6949</v>
      </c>
      <c r="I111" s="91" t="s">
        <v>6950</v>
      </c>
      <c r="J111" s="10"/>
      <c r="K111" s="10"/>
      <c r="L111" s="10"/>
      <c r="M111" s="9"/>
      <c r="N111" s="9"/>
      <c r="O111" s="3"/>
      <c r="P111" s="3"/>
      <c r="Q111" s="3"/>
      <c r="R111" s="3"/>
      <c r="S111" s="3"/>
      <c r="T111" s="3"/>
      <c r="U111" s="3"/>
      <c r="V111" s="3"/>
      <c r="W111" s="3"/>
      <c r="X111" s="3"/>
      <c r="Y111" s="3"/>
      <c r="Z111" s="3"/>
      <c r="AA111" s="3"/>
      <c r="AB111" s="3"/>
      <c r="AC111" s="3"/>
    </row>
    <row r="112" customFormat="false" ht="139.5" hidden="false" customHeight="true" outlineLevel="0" collapsed="false">
      <c r="A112" s="3"/>
      <c r="B112" s="141" t="s">
        <v>264</v>
      </c>
      <c r="C112" s="117" t="s">
        <v>6951</v>
      </c>
      <c r="D112" s="110" t="s">
        <v>6935</v>
      </c>
      <c r="E112" s="110" t="s">
        <v>6941</v>
      </c>
      <c r="F112" s="110" t="s">
        <v>6952</v>
      </c>
      <c r="G112" s="98" t="s">
        <v>6953</v>
      </c>
      <c r="H112" s="98" t="s">
        <v>6954</v>
      </c>
      <c r="I112" s="98" t="s">
        <v>6955</v>
      </c>
      <c r="J112" s="10"/>
      <c r="K112" s="10"/>
      <c r="L112" s="10"/>
      <c r="M112" s="9"/>
      <c r="N112" s="9"/>
      <c r="O112" s="3"/>
      <c r="P112" s="3"/>
      <c r="Q112" s="3"/>
      <c r="R112" s="3"/>
      <c r="S112" s="3"/>
      <c r="T112" s="3"/>
      <c r="U112" s="3"/>
      <c r="V112" s="3"/>
      <c r="W112" s="3"/>
      <c r="X112" s="3"/>
      <c r="Y112" s="3"/>
      <c r="Z112" s="3"/>
      <c r="AA112" s="3"/>
      <c r="AB112" s="3"/>
      <c r="AC112" s="3"/>
    </row>
    <row r="113" customFormat="false" ht="178.5" hidden="false" customHeight="true" outlineLevel="0" collapsed="false">
      <c r="A113" s="3"/>
      <c r="B113" s="139" t="s">
        <v>269</v>
      </c>
      <c r="C113" s="113" t="s">
        <v>6956</v>
      </c>
      <c r="D113" s="109" t="s">
        <v>6935</v>
      </c>
      <c r="E113" s="109" t="s">
        <v>6936</v>
      </c>
      <c r="F113" s="109" t="s">
        <v>6957</v>
      </c>
      <c r="G113" s="91" t="s">
        <v>6958</v>
      </c>
      <c r="H113" s="91" t="s">
        <v>6959</v>
      </c>
      <c r="I113" s="91" t="s">
        <v>6960</v>
      </c>
      <c r="J113" s="10"/>
      <c r="K113" s="10"/>
      <c r="L113" s="10"/>
      <c r="M113" s="9"/>
      <c r="N113" s="9"/>
      <c r="O113" s="3"/>
      <c r="P113" s="3"/>
      <c r="Q113" s="3"/>
      <c r="R113" s="3"/>
      <c r="S113" s="3"/>
      <c r="T113" s="3"/>
      <c r="U113" s="3"/>
      <c r="V113" s="3"/>
      <c r="W113" s="3"/>
      <c r="X113" s="3"/>
      <c r="Y113" s="3"/>
      <c r="Z113" s="3"/>
      <c r="AA113" s="3"/>
      <c r="AB113" s="3"/>
      <c r="AC113" s="3"/>
    </row>
    <row r="114" customFormat="false" ht="139.5" hidden="false" customHeight="true" outlineLevel="0" collapsed="false">
      <c r="A114" s="3"/>
      <c r="B114" s="141" t="s">
        <v>293</v>
      </c>
      <c r="C114" s="117" t="s">
        <v>6961</v>
      </c>
      <c r="D114" s="110" t="s">
        <v>6935</v>
      </c>
      <c r="E114" s="110" t="s">
        <v>6936</v>
      </c>
      <c r="F114" s="110" t="s">
        <v>6962</v>
      </c>
      <c r="G114" s="98" t="s">
        <v>6963</v>
      </c>
      <c r="H114" s="98" t="s">
        <v>6964</v>
      </c>
      <c r="I114" s="98" t="s">
        <v>6965</v>
      </c>
      <c r="J114" s="10"/>
      <c r="K114" s="10"/>
      <c r="L114" s="10"/>
      <c r="M114" s="9"/>
      <c r="N114" s="9"/>
      <c r="O114" s="3"/>
      <c r="P114" s="3"/>
      <c r="Q114" s="3"/>
      <c r="R114" s="3"/>
      <c r="S114" s="3"/>
      <c r="T114" s="3"/>
      <c r="U114" s="3"/>
      <c r="V114" s="3"/>
      <c r="W114" s="3"/>
      <c r="X114" s="3"/>
      <c r="Y114" s="3"/>
      <c r="Z114" s="3"/>
      <c r="AA114" s="3"/>
      <c r="AB114" s="3"/>
      <c r="AC114" s="3"/>
    </row>
    <row r="115" customFormat="false" ht="178.5" hidden="false" customHeight="true" outlineLevel="0" collapsed="false">
      <c r="A115" s="3"/>
      <c r="B115" s="139" t="s">
        <v>243</v>
      </c>
      <c r="C115" s="113" t="s">
        <v>6966</v>
      </c>
      <c r="D115" s="109" t="s">
        <v>6935</v>
      </c>
      <c r="E115" s="109" t="s">
        <v>6941</v>
      </c>
      <c r="F115" s="109" t="s">
        <v>6967</v>
      </c>
      <c r="G115" s="91" t="s">
        <v>6968</v>
      </c>
      <c r="H115" s="91" t="s">
        <v>5796</v>
      </c>
      <c r="I115" s="91" t="s">
        <v>6969</v>
      </c>
      <c r="J115" s="10"/>
      <c r="K115" s="10"/>
      <c r="L115" s="10"/>
      <c r="M115" s="9"/>
      <c r="N115" s="9"/>
      <c r="O115" s="3"/>
      <c r="P115" s="3"/>
      <c r="Q115" s="3"/>
      <c r="R115" s="3"/>
      <c r="S115" s="3"/>
      <c r="T115" s="3"/>
      <c r="U115" s="3"/>
      <c r="V115" s="3"/>
      <c r="W115" s="3"/>
      <c r="X115" s="3"/>
      <c r="Y115" s="3"/>
      <c r="Z115" s="3"/>
      <c r="AA115" s="3"/>
      <c r="AB115" s="3"/>
      <c r="AC115" s="3"/>
    </row>
    <row r="116" customFormat="false" ht="30.75" hidden="false" customHeight="true" outlineLevel="0" collapsed="false">
      <c r="A116" s="3"/>
      <c r="B116" s="9"/>
      <c r="C116" s="9"/>
      <c r="D116" s="9"/>
      <c r="E116" s="9"/>
      <c r="F116" s="9"/>
      <c r="G116" s="10"/>
      <c r="H116" s="10"/>
      <c r="I116" s="10"/>
      <c r="J116" s="10"/>
      <c r="K116" s="10"/>
      <c r="L116" s="10"/>
      <c r="M116" s="9"/>
      <c r="N116" s="9"/>
      <c r="O116" s="3"/>
      <c r="P116" s="3"/>
      <c r="Q116" s="3"/>
      <c r="R116" s="3"/>
      <c r="S116" s="3"/>
      <c r="T116" s="3"/>
      <c r="U116" s="3"/>
      <c r="V116" s="3"/>
      <c r="W116" s="3"/>
      <c r="X116" s="3"/>
      <c r="Y116" s="3"/>
      <c r="Z116" s="3"/>
      <c r="AA116" s="3"/>
      <c r="AB116" s="3"/>
      <c r="AC116" s="3"/>
    </row>
    <row r="117" customFormat="false" ht="30.75" hidden="false" customHeight="true" outlineLevel="0" collapsed="false">
      <c r="A117" s="3"/>
      <c r="B117" s="9"/>
      <c r="C117" s="9"/>
      <c r="D117" s="9"/>
      <c r="E117" s="9"/>
      <c r="F117" s="9"/>
      <c r="G117" s="10"/>
      <c r="H117" s="10"/>
      <c r="I117" s="10"/>
      <c r="J117" s="10"/>
      <c r="K117" s="10"/>
      <c r="L117" s="10"/>
      <c r="M117" s="9"/>
      <c r="N117" s="9"/>
      <c r="O117" s="3"/>
      <c r="P117" s="3"/>
      <c r="Q117" s="3"/>
      <c r="R117" s="3"/>
      <c r="S117" s="3"/>
      <c r="T117" s="3"/>
      <c r="U117" s="3"/>
      <c r="V117" s="3"/>
      <c r="W117" s="3"/>
      <c r="X117" s="3"/>
      <c r="Y117" s="3"/>
      <c r="Z117" s="3"/>
      <c r="AA117" s="3"/>
      <c r="AB117" s="3"/>
      <c r="AC117" s="3"/>
    </row>
    <row r="118" customFormat="false" ht="30.75" hidden="false" customHeight="true" outlineLevel="0" collapsed="false">
      <c r="A118" s="3"/>
      <c r="B118" s="9"/>
      <c r="C118" s="9"/>
      <c r="D118" s="9"/>
      <c r="E118" s="9"/>
      <c r="F118" s="9"/>
      <c r="G118" s="10"/>
      <c r="H118" s="10"/>
      <c r="I118" s="10"/>
      <c r="J118" s="10"/>
      <c r="K118" s="10"/>
      <c r="L118" s="10"/>
      <c r="M118" s="9"/>
      <c r="N118" s="9"/>
      <c r="O118" s="3"/>
      <c r="P118" s="3"/>
      <c r="Q118" s="3"/>
      <c r="R118" s="3"/>
      <c r="S118" s="3"/>
      <c r="T118" s="3"/>
      <c r="U118" s="3"/>
      <c r="V118" s="3"/>
      <c r="W118" s="3"/>
      <c r="X118" s="3"/>
      <c r="Y118" s="3"/>
      <c r="Z118" s="3"/>
      <c r="AA118" s="3"/>
      <c r="AB118" s="3"/>
      <c r="AC118" s="3"/>
    </row>
    <row r="119" customFormat="false" ht="25.5" hidden="false" customHeight="true" outlineLevel="0" collapsed="false">
      <c r="A119" s="3"/>
      <c r="B119" s="133" t="s">
        <v>6970</v>
      </c>
      <c r="C119" s="133"/>
      <c r="D119" s="133"/>
      <c r="E119" s="133"/>
      <c r="F119" s="133"/>
      <c r="G119" s="10"/>
      <c r="H119" s="10"/>
      <c r="I119" s="10"/>
      <c r="J119" s="10"/>
      <c r="K119" s="10"/>
      <c r="L119" s="10"/>
      <c r="M119" s="9"/>
      <c r="N119" s="9"/>
      <c r="O119" s="3"/>
      <c r="P119" s="3"/>
      <c r="Q119" s="3"/>
      <c r="R119" s="3"/>
      <c r="S119" s="3"/>
      <c r="T119" s="3"/>
      <c r="U119" s="3"/>
      <c r="V119" s="3"/>
      <c r="W119" s="3"/>
      <c r="X119" s="3"/>
      <c r="Y119" s="3"/>
      <c r="Z119" s="3"/>
      <c r="AA119" s="3"/>
      <c r="AB119" s="3"/>
      <c r="AC119" s="3"/>
    </row>
    <row r="120" customFormat="false" ht="36" hidden="false" customHeight="true" outlineLevel="0" collapsed="false">
      <c r="A120" s="3"/>
      <c r="B120" s="152" t="s">
        <v>6917</v>
      </c>
      <c r="C120" s="23" t="s">
        <v>6971</v>
      </c>
      <c r="D120" s="23" t="s">
        <v>6972</v>
      </c>
      <c r="E120" s="23" t="s">
        <v>6973</v>
      </c>
      <c r="F120" s="23" t="s">
        <v>6974</v>
      </c>
      <c r="G120" s="10"/>
      <c r="H120" s="10"/>
      <c r="I120" s="10"/>
      <c r="J120" s="10"/>
      <c r="K120" s="10"/>
      <c r="L120" s="10"/>
      <c r="M120" s="9"/>
      <c r="N120" s="9"/>
      <c r="O120" s="3"/>
      <c r="P120" s="3"/>
      <c r="Q120" s="3"/>
      <c r="R120" s="3"/>
      <c r="S120" s="3"/>
      <c r="T120" s="3"/>
      <c r="U120" s="3"/>
      <c r="V120" s="3"/>
      <c r="W120" s="3"/>
      <c r="X120" s="3"/>
      <c r="Y120" s="3"/>
      <c r="Z120" s="3"/>
      <c r="AA120" s="3"/>
      <c r="AB120" s="3"/>
      <c r="AC120" s="3"/>
    </row>
    <row r="121" customFormat="false" ht="36" hidden="false" customHeight="true" outlineLevel="0" collapsed="false">
      <c r="A121" s="3"/>
      <c r="B121" s="139" t="s">
        <v>6459</v>
      </c>
      <c r="C121" s="153" t="n">
        <v>10.41</v>
      </c>
      <c r="D121" s="153" t="n">
        <v>14.07</v>
      </c>
      <c r="E121" s="153" t="n">
        <v>22.43</v>
      </c>
      <c r="F121" s="109" t="s">
        <v>6975</v>
      </c>
      <c r="G121" s="10"/>
      <c r="H121" s="10"/>
      <c r="I121" s="10"/>
      <c r="J121" s="10"/>
      <c r="K121" s="10"/>
      <c r="L121" s="10"/>
      <c r="M121" s="9"/>
      <c r="N121" s="9"/>
      <c r="O121" s="3"/>
      <c r="P121" s="3"/>
      <c r="Q121" s="3"/>
      <c r="R121" s="3"/>
      <c r="S121" s="3"/>
      <c r="T121" s="3"/>
      <c r="U121" s="3"/>
      <c r="V121" s="3"/>
      <c r="W121" s="3"/>
      <c r="X121" s="3"/>
      <c r="Y121" s="3"/>
      <c r="Z121" s="3"/>
      <c r="AA121" s="3"/>
      <c r="AB121" s="3"/>
      <c r="AC121" s="3"/>
    </row>
    <row r="122" customFormat="false" ht="36" hidden="false" customHeight="true" outlineLevel="0" collapsed="false">
      <c r="A122" s="3"/>
      <c r="B122" s="141" t="s">
        <v>6461</v>
      </c>
      <c r="C122" s="154" t="n">
        <v>7.29</v>
      </c>
      <c r="D122" s="154" t="n">
        <v>10.08</v>
      </c>
      <c r="E122" s="154" t="n">
        <v>18.75</v>
      </c>
      <c r="F122" s="110" t="s">
        <v>6976</v>
      </c>
      <c r="G122" s="10"/>
      <c r="H122" s="10"/>
      <c r="I122" s="10"/>
      <c r="J122" s="10"/>
      <c r="K122" s="10"/>
      <c r="L122" s="10"/>
      <c r="M122" s="9"/>
      <c r="N122" s="9"/>
      <c r="O122" s="3"/>
      <c r="P122" s="3"/>
      <c r="Q122" s="3"/>
      <c r="R122" s="3"/>
      <c r="S122" s="3"/>
      <c r="T122" s="3"/>
      <c r="U122" s="3"/>
      <c r="V122" s="3"/>
      <c r="W122" s="3"/>
      <c r="X122" s="3"/>
      <c r="Y122" s="3"/>
      <c r="Z122" s="3"/>
      <c r="AA122" s="3"/>
      <c r="AB122" s="3"/>
      <c r="AC122" s="3"/>
    </row>
    <row r="123" customFormat="false" ht="36" hidden="false" customHeight="true" outlineLevel="0" collapsed="false">
      <c r="A123" s="3"/>
      <c r="B123" s="139" t="s">
        <v>6462</v>
      </c>
      <c r="C123" s="153" t="n">
        <v>4.5</v>
      </c>
      <c r="D123" s="153" t="n">
        <v>12</v>
      </c>
      <c r="E123" s="153" t="n">
        <v>18.6</v>
      </c>
      <c r="F123" s="109" t="s">
        <v>6977</v>
      </c>
      <c r="G123" s="10"/>
      <c r="H123" s="10"/>
      <c r="I123" s="10"/>
      <c r="J123" s="10"/>
      <c r="K123" s="10"/>
      <c r="L123" s="10"/>
      <c r="M123" s="9"/>
      <c r="N123" s="9"/>
      <c r="O123" s="3"/>
      <c r="P123" s="3"/>
      <c r="Q123" s="3"/>
      <c r="R123" s="3"/>
      <c r="S123" s="3"/>
      <c r="T123" s="3"/>
      <c r="U123" s="3"/>
      <c r="V123" s="3"/>
      <c r="W123" s="3"/>
      <c r="X123" s="3"/>
      <c r="Y123" s="3"/>
      <c r="Z123" s="3"/>
      <c r="AA123" s="3"/>
      <c r="AB123" s="3"/>
      <c r="AC123" s="3"/>
    </row>
    <row r="124" customFormat="false" ht="36" hidden="false" customHeight="true" outlineLevel="0" collapsed="false">
      <c r="A124" s="3"/>
      <c r="B124" s="141" t="s">
        <v>6463</v>
      </c>
      <c r="C124" s="154" t="n">
        <v>5</v>
      </c>
      <c r="D124" s="154" t="n">
        <v>9.24</v>
      </c>
      <c r="E124" s="154" t="n">
        <v>16.66</v>
      </c>
      <c r="F124" s="110" t="s">
        <v>6975</v>
      </c>
      <c r="G124" s="10"/>
      <c r="H124" s="10"/>
      <c r="I124" s="10"/>
      <c r="J124" s="10"/>
      <c r="K124" s="10"/>
      <c r="L124" s="10"/>
      <c r="M124" s="9"/>
      <c r="N124" s="9"/>
      <c r="O124" s="3"/>
      <c r="P124" s="3"/>
      <c r="Q124" s="3"/>
      <c r="R124" s="3"/>
      <c r="S124" s="3"/>
      <c r="T124" s="3"/>
      <c r="U124" s="3"/>
      <c r="V124" s="3"/>
      <c r="W124" s="3"/>
      <c r="X124" s="3"/>
      <c r="Y124" s="3"/>
      <c r="Z124" s="3"/>
      <c r="AA124" s="3"/>
      <c r="AB124" s="3"/>
      <c r="AC124" s="3"/>
    </row>
    <row r="125" customFormat="false" ht="36" hidden="false" customHeight="true" outlineLevel="0" collapsed="false">
      <c r="A125" s="3"/>
      <c r="B125" s="139" t="s">
        <v>25</v>
      </c>
      <c r="C125" s="153" t="n">
        <v>1.42</v>
      </c>
      <c r="D125" s="153" t="n">
        <v>2.32</v>
      </c>
      <c r="E125" s="153" t="n">
        <v>3.89</v>
      </c>
      <c r="F125" s="109" t="s">
        <v>6978</v>
      </c>
      <c r="G125" s="10"/>
      <c r="H125" s="10"/>
      <c r="I125" s="10"/>
      <c r="J125" s="10"/>
      <c r="K125" s="10"/>
      <c r="L125" s="10"/>
      <c r="M125" s="9"/>
      <c r="N125" s="9"/>
      <c r="O125" s="3"/>
      <c r="P125" s="3"/>
      <c r="Q125" s="3"/>
      <c r="R125" s="3"/>
      <c r="S125" s="3"/>
      <c r="T125" s="3"/>
      <c r="U125" s="3"/>
      <c r="V125" s="3"/>
      <c r="W125" s="3"/>
      <c r="X125" s="3"/>
      <c r="Y125" s="3"/>
      <c r="Z125" s="3"/>
      <c r="AA125" s="3"/>
      <c r="AB125" s="3"/>
      <c r="AC125" s="3"/>
    </row>
    <row r="126" customFormat="false" ht="36" hidden="false" customHeight="true" outlineLevel="0" collapsed="false">
      <c r="A126" s="3"/>
      <c r="B126" s="141" t="s">
        <v>6465</v>
      </c>
      <c r="C126" s="154" t="n">
        <v>1.95</v>
      </c>
      <c r="D126" s="154" t="n">
        <v>2.42</v>
      </c>
      <c r="E126" s="154" t="n">
        <v>3.16</v>
      </c>
      <c r="F126" s="110" t="s">
        <v>6979</v>
      </c>
      <c r="G126" s="10"/>
      <c r="H126" s="10"/>
      <c r="I126" s="10"/>
      <c r="J126" s="10"/>
      <c r="K126" s="10"/>
      <c r="L126" s="10"/>
      <c r="M126" s="9"/>
      <c r="N126" s="9"/>
      <c r="O126" s="3"/>
      <c r="P126" s="3"/>
      <c r="Q126" s="3"/>
      <c r="R126" s="3"/>
      <c r="S126" s="3"/>
      <c r="T126" s="3"/>
      <c r="U126" s="3"/>
      <c r="V126" s="3"/>
      <c r="W126" s="3"/>
      <c r="X126" s="3"/>
      <c r="Y126" s="3"/>
      <c r="Z126" s="3"/>
      <c r="AA126" s="3"/>
      <c r="AB126" s="3"/>
      <c r="AC126" s="3"/>
    </row>
    <row r="127" customFormat="false" ht="33" hidden="false" customHeight="true" outlineLevel="0" collapsed="false">
      <c r="A127" s="3"/>
      <c r="B127" s="139" t="s">
        <v>27</v>
      </c>
      <c r="C127" s="109"/>
      <c r="D127" s="109"/>
      <c r="E127" s="109"/>
      <c r="F127" s="109"/>
      <c r="G127" s="10"/>
      <c r="H127" s="10"/>
      <c r="I127" s="10"/>
      <c r="J127" s="10"/>
      <c r="K127" s="10"/>
      <c r="L127" s="10"/>
      <c r="M127" s="9"/>
      <c r="N127" s="9"/>
      <c r="O127" s="3"/>
      <c r="P127" s="3"/>
      <c r="Q127" s="3"/>
      <c r="R127" s="3"/>
      <c r="S127" s="3"/>
      <c r="T127" s="3"/>
      <c r="U127" s="3"/>
      <c r="V127" s="3"/>
      <c r="W127" s="3"/>
      <c r="X127" s="3"/>
      <c r="Y127" s="3"/>
      <c r="Z127" s="3"/>
      <c r="AA127" s="3"/>
      <c r="AB127" s="3"/>
      <c r="AC127" s="3"/>
    </row>
    <row r="128" customFormat="false" ht="36" hidden="false" customHeight="true" outlineLevel="0" collapsed="false">
      <c r="A128" s="3"/>
      <c r="B128" s="141" t="s">
        <v>6466</v>
      </c>
      <c r="C128" s="154" t="n">
        <v>19.76</v>
      </c>
      <c r="D128" s="154" t="n">
        <v>30.62</v>
      </c>
      <c r="E128" s="154" t="n">
        <v>93.66</v>
      </c>
      <c r="F128" s="110" t="s">
        <v>6976</v>
      </c>
      <c r="G128" s="10"/>
      <c r="H128" s="10"/>
      <c r="I128" s="10"/>
      <c r="J128" s="10"/>
      <c r="K128" s="10"/>
      <c r="L128" s="10"/>
      <c r="M128" s="9"/>
      <c r="N128" s="9"/>
      <c r="O128" s="3"/>
      <c r="P128" s="3"/>
      <c r="Q128" s="3"/>
      <c r="R128" s="3"/>
      <c r="S128" s="3"/>
      <c r="T128" s="3"/>
      <c r="U128" s="3"/>
      <c r="V128" s="3"/>
      <c r="W128" s="3"/>
      <c r="X128" s="3"/>
      <c r="Y128" s="3"/>
      <c r="Z128" s="3"/>
      <c r="AA128" s="3"/>
      <c r="AB128" s="3"/>
      <c r="AC128" s="3"/>
    </row>
    <row r="129" customFormat="false" ht="48.75" hidden="false" customHeight="true" outlineLevel="0" collapsed="false">
      <c r="A129" s="3"/>
      <c r="B129" s="139" t="s">
        <v>6467</v>
      </c>
      <c r="C129" s="153" t="n">
        <v>18</v>
      </c>
      <c r="D129" s="153" t="n">
        <v>23.9</v>
      </c>
      <c r="E129" s="153" t="n">
        <v>33.69</v>
      </c>
      <c r="F129" s="109" t="s">
        <v>6980</v>
      </c>
      <c r="G129" s="10"/>
      <c r="H129" s="10"/>
      <c r="I129" s="10"/>
      <c r="J129" s="10"/>
      <c r="K129" s="10"/>
      <c r="L129" s="10"/>
      <c r="M129" s="9"/>
      <c r="N129" s="9"/>
      <c r="O129" s="3"/>
      <c r="P129" s="3"/>
      <c r="Q129" s="3"/>
      <c r="R129" s="3"/>
      <c r="S129" s="3"/>
      <c r="T129" s="3"/>
      <c r="U129" s="3"/>
      <c r="V129" s="3"/>
      <c r="W129" s="3"/>
      <c r="X129" s="3"/>
      <c r="Y129" s="3"/>
      <c r="Z129" s="3"/>
      <c r="AA129" s="3"/>
      <c r="AB129" s="3"/>
      <c r="AC129" s="3"/>
    </row>
    <row r="130" customFormat="false" ht="48.75" hidden="false" customHeight="true" outlineLevel="0" collapsed="false">
      <c r="A130" s="3"/>
      <c r="B130" s="141" t="s">
        <v>6469</v>
      </c>
      <c r="C130" s="154" t="n">
        <v>27.9</v>
      </c>
      <c r="D130" s="154" t="n">
        <v>34.27</v>
      </c>
      <c r="E130" s="154" t="n">
        <v>49.39</v>
      </c>
      <c r="F130" s="110" t="s">
        <v>6981</v>
      </c>
      <c r="G130" s="10"/>
      <c r="H130" s="10"/>
      <c r="I130" s="10"/>
      <c r="J130" s="10"/>
      <c r="K130" s="10"/>
      <c r="L130" s="10"/>
      <c r="M130" s="9"/>
      <c r="N130" s="9"/>
      <c r="O130" s="3"/>
      <c r="P130" s="3"/>
      <c r="Q130" s="3"/>
      <c r="R130" s="3"/>
      <c r="S130" s="3"/>
      <c r="T130" s="3"/>
      <c r="U130" s="3"/>
      <c r="V130" s="3"/>
      <c r="W130" s="3"/>
      <c r="X130" s="3"/>
      <c r="Y130" s="3"/>
      <c r="Z130" s="3"/>
      <c r="AA130" s="3"/>
      <c r="AB130" s="3"/>
      <c r="AC130" s="3"/>
    </row>
    <row r="131" customFormat="false" ht="33" hidden="false" customHeight="true" outlineLevel="0" collapsed="false">
      <c r="A131" s="3"/>
      <c r="B131" s="139" t="s">
        <v>6470</v>
      </c>
      <c r="C131" s="153" t="n">
        <v>7.41</v>
      </c>
      <c r="D131" s="153" t="n">
        <v>8.74</v>
      </c>
      <c r="E131" s="153" t="n">
        <v>15.76</v>
      </c>
      <c r="F131" s="109" t="s">
        <v>6982</v>
      </c>
      <c r="G131" s="10"/>
      <c r="H131" s="10"/>
      <c r="I131" s="10"/>
      <c r="J131" s="10"/>
      <c r="K131" s="10"/>
      <c r="L131" s="10"/>
      <c r="M131" s="9"/>
      <c r="N131" s="9"/>
      <c r="O131" s="3"/>
      <c r="P131" s="3"/>
      <c r="Q131" s="3"/>
      <c r="R131" s="3"/>
      <c r="S131" s="3"/>
      <c r="T131" s="3"/>
      <c r="U131" s="3"/>
      <c r="V131" s="3"/>
      <c r="W131" s="3"/>
      <c r="X131" s="3"/>
      <c r="Y131" s="3"/>
      <c r="Z131" s="3"/>
      <c r="AA131" s="3"/>
      <c r="AB131" s="3"/>
      <c r="AC131" s="3"/>
    </row>
    <row r="132" customFormat="false" ht="48.75" hidden="false" customHeight="true" outlineLevel="0" collapsed="false">
      <c r="A132" s="3"/>
      <c r="B132" s="141" t="s">
        <v>6471</v>
      </c>
      <c r="C132" s="154" t="n">
        <v>11</v>
      </c>
      <c r="D132" s="154" t="n">
        <v>21.38</v>
      </c>
      <c r="E132" s="154" t="n">
        <v>28.9</v>
      </c>
      <c r="F132" s="110" t="s">
        <v>6980</v>
      </c>
      <c r="G132" s="10"/>
      <c r="H132" s="10"/>
      <c r="I132" s="10"/>
      <c r="J132" s="10"/>
      <c r="K132" s="10"/>
      <c r="L132" s="10"/>
      <c r="M132" s="9"/>
      <c r="N132" s="9"/>
      <c r="O132" s="3"/>
      <c r="P132" s="3"/>
      <c r="Q132" s="3"/>
      <c r="R132" s="3"/>
      <c r="S132" s="3"/>
      <c r="T132" s="3"/>
      <c r="U132" s="3"/>
      <c r="V132" s="3"/>
      <c r="W132" s="3"/>
      <c r="X132" s="3"/>
      <c r="Y132" s="3"/>
      <c r="Z132" s="3"/>
      <c r="AA132" s="3"/>
      <c r="AB132" s="3"/>
      <c r="AC132" s="3"/>
    </row>
    <row r="133" customFormat="false" ht="36" hidden="false" customHeight="true" outlineLevel="0" collapsed="false">
      <c r="A133" s="3"/>
      <c r="B133" s="139" t="s">
        <v>6472</v>
      </c>
      <c r="C133" s="153" t="n">
        <v>7.95</v>
      </c>
      <c r="D133" s="153" t="n">
        <v>8.99</v>
      </c>
      <c r="E133" s="153" t="n">
        <v>22.83</v>
      </c>
      <c r="F133" s="109" t="s">
        <v>6975</v>
      </c>
      <c r="G133" s="10"/>
      <c r="H133" s="10"/>
      <c r="I133" s="10"/>
      <c r="J133" s="10"/>
      <c r="K133" s="10"/>
      <c r="L133" s="10"/>
      <c r="M133" s="9"/>
      <c r="N133" s="9"/>
      <c r="O133" s="3"/>
      <c r="P133" s="3"/>
      <c r="Q133" s="3"/>
      <c r="R133" s="3"/>
      <c r="S133" s="3"/>
      <c r="T133" s="3"/>
      <c r="U133" s="3"/>
      <c r="V133" s="3"/>
      <c r="W133" s="3"/>
      <c r="X133" s="3"/>
      <c r="Y133" s="3"/>
      <c r="Z133" s="3"/>
      <c r="AA133" s="3"/>
      <c r="AB133" s="3"/>
      <c r="AC133" s="3"/>
    </row>
    <row r="134" customFormat="false" ht="48.75" hidden="false" customHeight="true" outlineLevel="0" collapsed="false">
      <c r="A134" s="3"/>
      <c r="B134" s="141" t="s">
        <v>6474</v>
      </c>
      <c r="C134" s="154" t="n">
        <v>8.8</v>
      </c>
      <c r="D134" s="154" t="n">
        <v>12.8</v>
      </c>
      <c r="E134" s="154" t="n">
        <v>34.9</v>
      </c>
      <c r="F134" s="110" t="s">
        <v>6980</v>
      </c>
      <c r="G134" s="10"/>
      <c r="H134" s="10"/>
      <c r="I134" s="10"/>
      <c r="J134" s="10"/>
      <c r="K134" s="10"/>
      <c r="L134" s="10"/>
      <c r="M134" s="9"/>
      <c r="N134" s="9"/>
      <c r="O134" s="3"/>
      <c r="P134" s="3"/>
      <c r="Q134" s="3"/>
      <c r="R134" s="3"/>
      <c r="S134" s="3"/>
      <c r="T134" s="3"/>
      <c r="U134" s="3"/>
      <c r="V134" s="3"/>
      <c r="W134" s="3"/>
      <c r="X134" s="3"/>
      <c r="Y134" s="3"/>
      <c r="Z134" s="3"/>
      <c r="AA134" s="3"/>
      <c r="AB134" s="3"/>
      <c r="AC134" s="3"/>
    </row>
    <row r="135" customFormat="false" ht="36" hidden="false" customHeight="true" outlineLevel="0" collapsed="false">
      <c r="A135" s="3"/>
      <c r="B135" s="139" t="s">
        <v>6475</v>
      </c>
      <c r="C135" s="153" t="n">
        <v>169.9</v>
      </c>
      <c r="D135" s="153" t="n">
        <v>242.03</v>
      </c>
      <c r="E135" s="153" t="n">
        <v>284</v>
      </c>
      <c r="F135" s="109" t="s">
        <v>6976</v>
      </c>
      <c r="G135" s="10"/>
      <c r="H135" s="10"/>
      <c r="I135" s="10"/>
      <c r="J135" s="10"/>
      <c r="K135" s="10"/>
      <c r="L135" s="10"/>
      <c r="M135" s="9"/>
      <c r="N135" s="9"/>
      <c r="O135" s="3"/>
      <c r="P135" s="3"/>
      <c r="Q135" s="3"/>
      <c r="R135" s="3"/>
      <c r="S135" s="3"/>
      <c r="T135" s="3"/>
      <c r="U135" s="3"/>
      <c r="V135" s="3"/>
      <c r="W135" s="3"/>
      <c r="X135" s="3"/>
      <c r="Y135" s="3"/>
      <c r="Z135" s="3"/>
      <c r="AA135" s="3"/>
      <c r="AB135" s="3"/>
      <c r="AC135" s="3"/>
    </row>
    <row r="136" customFormat="false" ht="33" hidden="false" customHeight="true" outlineLevel="0" collapsed="false">
      <c r="A136" s="3"/>
      <c r="B136" s="141" t="s">
        <v>6477</v>
      </c>
      <c r="C136" s="154" t="n">
        <v>7.48</v>
      </c>
      <c r="D136" s="154" t="n">
        <v>11.37</v>
      </c>
      <c r="E136" s="154" t="n">
        <v>15.25</v>
      </c>
      <c r="F136" s="110" t="s">
        <v>6983</v>
      </c>
      <c r="G136" s="10"/>
      <c r="H136" s="10"/>
      <c r="I136" s="10"/>
      <c r="J136" s="10"/>
      <c r="K136" s="10"/>
      <c r="L136" s="10"/>
      <c r="M136" s="9"/>
      <c r="N136" s="9"/>
      <c r="O136" s="3"/>
      <c r="P136" s="3"/>
      <c r="Q136" s="3"/>
      <c r="R136" s="3"/>
      <c r="S136" s="3"/>
      <c r="T136" s="3"/>
      <c r="U136" s="3"/>
      <c r="V136" s="3"/>
      <c r="W136" s="3"/>
      <c r="X136" s="3"/>
      <c r="Y136" s="3"/>
      <c r="Z136" s="3"/>
      <c r="AA136" s="3"/>
      <c r="AB136" s="3"/>
      <c r="AC136" s="3"/>
    </row>
    <row r="137" customFormat="false" ht="33" hidden="false" customHeight="true" outlineLevel="0" collapsed="false">
      <c r="A137" s="3"/>
      <c r="B137" s="139" t="s">
        <v>6478</v>
      </c>
      <c r="C137" s="153" t="n">
        <v>26.19</v>
      </c>
      <c r="D137" s="153" t="n">
        <v>31.14</v>
      </c>
      <c r="E137" s="153" t="n">
        <v>36.09</v>
      </c>
      <c r="F137" s="109" t="s">
        <v>6984</v>
      </c>
      <c r="G137" s="10"/>
      <c r="H137" s="10"/>
      <c r="I137" s="10"/>
      <c r="J137" s="10"/>
      <c r="K137" s="10"/>
      <c r="L137" s="10"/>
      <c r="M137" s="9"/>
      <c r="N137" s="9"/>
      <c r="O137" s="3"/>
      <c r="P137" s="3"/>
      <c r="Q137" s="3"/>
      <c r="R137" s="3"/>
      <c r="S137" s="3"/>
      <c r="T137" s="3"/>
      <c r="U137" s="3"/>
      <c r="V137" s="3"/>
      <c r="W137" s="3"/>
      <c r="X137" s="3"/>
      <c r="Y137" s="3"/>
      <c r="Z137" s="3"/>
      <c r="AA137" s="3"/>
      <c r="AB137" s="3"/>
      <c r="AC137" s="3"/>
    </row>
    <row r="138" customFormat="false" ht="48.75" hidden="false" customHeight="true" outlineLevel="0" collapsed="false">
      <c r="A138" s="3"/>
      <c r="B138" s="141" t="s">
        <v>6985</v>
      </c>
      <c r="C138" s="110"/>
      <c r="D138" s="110"/>
      <c r="E138" s="110"/>
      <c r="F138" s="110"/>
      <c r="G138" s="10"/>
      <c r="H138" s="10"/>
      <c r="I138" s="10"/>
      <c r="J138" s="10"/>
      <c r="K138" s="10"/>
      <c r="L138" s="10"/>
      <c r="M138" s="9"/>
      <c r="N138" s="9"/>
      <c r="O138" s="3"/>
      <c r="P138" s="3"/>
      <c r="Q138" s="3"/>
      <c r="R138" s="3"/>
      <c r="S138" s="3"/>
      <c r="T138" s="3"/>
      <c r="U138" s="3"/>
      <c r="V138" s="3"/>
      <c r="W138" s="3"/>
      <c r="X138" s="3"/>
      <c r="Y138" s="3"/>
      <c r="Z138" s="3"/>
      <c r="AA138" s="3"/>
      <c r="AB138" s="3"/>
      <c r="AC138" s="3"/>
    </row>
    <row r="139" customFormat="false" ht="30.75" hidden="false" customHeight="true" outlineLevel="0" collapsed="false">
      <c r="A139" s="3"/>
      <c r="B139" s="9"/>
      <c r="C139" s="9"/>
      <c r="D139" s="9"/>
      <c r="E139" s="9"/>
      <c r="F139" s="9"/>
      <c r="G139" s="10"/>
      <c r="H139" s="10"/>
      <c r="I139" s="10"/>
      <c r="J139" s="10"/>
      <c r="K139" s="10"/>
      <c r="L139" s="10"/>
      <c r="M139" s="9"/>
      <c r="N139" s="9"/>
      <c r="O139" s="3"/>
      <c r="P139" s="3"/>
      <c r="Q139" s="3"/>
      <c r="R139" s="3"/>
      <c r="S139" s="3"/>
      <c r="T139" s="3"/>
      <c r="U139" s="3"/>
      <c r="V139" s="3"/>
      <c r="W139" s="3"/>
      <c r="X139" s="3"/>
      <c r="Y139" s="3"/>
      <c r="Z139" s="3"/>
      <c r="AA139" s="3"/>
      <c r="AB139" s="3"/>
      <c r="AC139" s="3"/>
    </row>
    <row r="140" customFormat="false" ht="30.75" hidden="false" customHeight="true" outlineLevel="0" collapsed="false">
      <c r="A140" s="3"/>
      <c r="B140" s="9"/>
      <c r="C140" s="9"/>
      <c r="D140" s="9"/>
      <c r="E140" s="9"/>
      <c r="F140" s="9"/>
      <c r="G140" s="10"/>
      <c r="H140" s="10"/>
      <c r="I140" s="10"/>
      <c r="J140" s="10"/>
      <c r="K140" s="10"/>
      <c r="L140" s="10"/>
      <c r="M140" s="9"/>
      <c r="N140" s="9"/>
      <c r="O140" s="3"/>
      <c r="P140" s="3"/>
      <c r="Q140" s="3"/>
      <c r="R140" s="3"/>
      <c r="S140" s="3"/>
      <c r="T140" s="3"/>
      <c r="U140" s="3"/>
      <c r="V140" s="3"/>
      <c r="W140" s="3"/>
      <c r="X140" s="3"/>
      <c r="Y140" s="3"/>
      <c r="Z140" s="3"/>
      <c r="AA140" s="3"/>
      <c r="AB140" s="3"/>
      <c r="AC140" s="3"/>
    </row>
    <row r="141" customFormat="false" ht="30.75" hidden="false" customHeight="true" outlineLevel="0" collapsed="false">
      <c r="A141" s="3"/>
      <c r="B141" s="9"/>
      <c r="C141" s="9"/>
      <c r="D141" s="9"/>
      <c r="E141" s="9"/>
      <c r="F141" s="9"/>
      <c r="G141" s="10"/>
      <c r="H141" s="10"/>
      <c r="I141" s="10"/>
      <c r="J141" s="10"/>
      <c r="K141" s="10"/>
      <c r="L141" s="10"/>
      <c r="M141" s="9"/>
      <c r="N141" s="9"/>
      <c r="O141" s="3"/>
      <c r="P141" s="3"/>
      <c r="Q141" s="3"/>
      <c r="R141" s="3"/>
      <c r="S141" s="3"/>
      <c r="T141" s="3"/>
      <c r="U141" s="3"/>
      <c r="V141" s="3"/>
      <c r="W141" s="3"/>
      <c r="X141" s="3"/>
      <c r="Y141" s="3"/>
      <c r="Z141" s="3"/>
      <c r="AA141" s="3"/>
      <c r="AB141" s="3"/>
      <c r="AC141" s="3"/>
    </row>
    <row r="142" customFormat="false" ht="25.5" hidden="false" customHeight="true" outlineLevel="0" collapsed="false">
      <c r="A142" s="3"/>
      <c r="B142" s="133" t="s">
        <v>6986</v>
      </c>
      <c r="C142" s="133"/>
      <c r="D142" s="133"/>
      <c r="E142" s="133"/>
      <c r="F142" s="133"/>
      <c r="G142" s="10"/>
      <c r="H142" s="10"/>
      <c r="I142" s="10"/>
      <c r="J142" s="10"/>
      <c r="K142" s="10"/>
      <c r="L142" s="10"/>
      <c r="M142" s="9"/>
      <c r="N142" s="9"/>
      <c r="O142" s="3"/>
      <c r="P142" s="3"/>
      <c r="Q142" s="3"/>
      <c r="R142" s="3"/>
      <c r="S142" s="3"/>
      <c r="T142" s="3"/>
      <c r="U142" s="3"/>
      <c r="V142" s="3"/>
      <c r="W142" s="3"/>
      <c r="X142" s="3"/>
      <c r="Y142" s="3"/>
      <c r="Z142" s="3"/>
      <c r="AA142" s="3"/>
      <c r="AB142" s="3"/>
      <c r="AC142" s="3"/>
    </row>
    <row r="143" customFormat="false" ht="36" hidden="false" customHeight="true" outlineLevel="0" collapsed="false">
      <c r="A143" s="3"/>
      <c r="B143" s="121" t="s">
        <v>6927</v>
      </c>
      <c r="C143" s="26" t="s">
        <v>6928</v>
      </c>
      <c r="D143" s="26" t="s">
        <v>6929</v>
      </c>
      <c r="E143" s="26" t="s">
        <v>6987</v>
      </c>
      <c r="F143" s="26" t="s">
        <v>240</v>
      </c>
      <c r="G143" s="10"/>
      <c r="H143" s="10"/>
      <c r="I143" s="10"/>
      <c r="J143" s="10"/>
      <c r="K143" s="10"/>
      <c r="L143" s="10"/>
      <c r="M143" s="9"/>
      <c r="N143" s="9"/>
      <c r="O143" s="3"/>
      <c r="P143" s="3"/>
      <c r="Q143" s="3"/>
      <c r="R143" s="3"/>
      <c r="S143" s="3"/>
      <c r="T143" s="3"/>
      <c r="U143" s="3"/>
      <c r="V143" s="3"/>
      <c r="W143" s="3"/>
      <c r="X143" s="3"/>
      <c r="Y143" s="3"/>
      <c r="Z143" s="3"/>
      <c r="AA143" s="3"/>
      <c r="AB143" s="3"/>
      <c r="AC143" s="3"/>
    </row>
    <row r="144" customFormat="false" ht="100.5" hidden="false" customHeight="true" outlineLevel="0" collapsed="false">
      <c r="A144" s="3"/>
      <c r="B144" s="139" t="s">
        <v>277</v>
      </c>
      <c r="C144" s="113" t="s">
        <v>6988</v>
      </c>
      <c r="D144" s="109" t="s">
        <v>6935</v>
      </c>
      <c r="E144" s="109" t="s">
        <v>6989</v>
      </c>
      <c r="F144" s="109" t="s">
        <v>6990</v>
      </c>
      <c r="G144" s="10"/>
      <c r="H144" s="10"/>
      <c r="I144" s="10"/>
      <c r="J144" s="10"/>
      <c r="K144" s="10"/>
      <c r="L144" s="10"/>
      <c r="M144" s="9"/>
      <c r="N144" s="9"/>
      <c r="O144" s="3"/>
      <c r="P144" s="3"/>
      <c r="Q144" s="3"/>
      <c r="R144" s="3"/>
      <c r="S144" s="3"/>
      <c r="T144" s="3"/>
      <c r="U144" s="3"/>
      <c r="V144" s="3"/>
      <c r="W144" s="3"/>
      <c r="X144" s="3"/>
      <c r="Y144" s="3"/>
      <c r="Z144" s="3"/>
      <c r="AA144" s="3"/>
      <c r="AB144" s="3"/>
      <c r="AC144" s="3"/>
    </row>
    <row r="145" customFormat="false" ht="61.5" hidden="false" customHeight="true" outlineLevel="0" collapsed="false">
      <c r="A145" s="3"/>
      <c r="B145" s="141" t="s">
        <v>6991</v>
      </c>
      <c r="C145" s="117" t="s">
        <v>6992</v>
      </c>
      <c r="D145" s="110" t="s">
        <v>6935</v>
      </c>
      <c r="E145" s="110" t="s">
        <v>6993</v>
      </c>
      <c r="F145" s="110" t="s">
        <v>6994</v>
      </c>
      <c r="G145" s="10"/>
      <c r="H145" s="10"/>
      <c r="I145" s="10"/>
      <c r="J145" s="10"/>
      <c r="K145" s="10"/>
      <c r="L145" s="10"/>
      <c r="M145" s="9"/>
      <c r="N145" s="9"/>
      <c r="O145" s="3"/>
      <c r="P145" s="3"/>
      <c r="Q145" s="3"/>
      <c r="R145" s="3"/>
      <c r="S145" s="3"/>
      <c r="T145" s="3"/>
      <c r="U145" s="3"/>
      <c r="V145" s="3"/>
      <c r="W145" s="3"/>
      <c r="X145" s="3"/>
      <c r="Y145" s="3"/>
      <c r="Z145" s="3"/>
      <c r="AA145" s="3"/>
      <c r="AB145" s="3"/>
      <c r="AC145" s="3"/>
    </row>
    <row r="146" customFormat="false" ht="48.75" hidden="false" customHeight="true" outlineLevel="0" collapsed="false">
      <c r="A146" s="3"/>
      <c r="B146" s="139" t="s">
        <v>6995</v>
      </c>
      <c r="C146" s="113" t="s">
        <v>6996</v>
      </c>
      <c r="D146" s="109" t="s">
        <v>6997</v>
      </c>
      <c r="E146" s="109" t="s">
        <v>6998</v>
      </c>
      <c r="F146" s="109" t="s">
        <v>6999</v>
      </c>
      <c r="G146" s="10"/>
      <c r="H146" s="10"/>
      <c r="I146" s="10"/>
      <c r="J146" s="10"/>
      <c r="K146" s="10"/>
      <c r="L146" s="10"/>
      <c r="M146" s="9"/>
      <c r="N146" s="9"/>
      <c r="O146" s="3"/>
      <c r="P146" s="3"/>
      <c r="Q146" s="3"/>
      <c r="R146" s="3"/>
      <c r="S146" s="3"/>
      <c r="T146" s="3"/>
      <c r="U146" s="3"/>
      <c r="V146" s="3"/>
      <c r="W146" s="3"/>
      <c r="X146" s="3"/>
      <c r="Y146" s="3"/>
      <c r="Z146" s="3"/>
      <c r="AA146" s="3"/>
      <c r="AB146" s="3"/>
      <c r="AC146" s="3"/>
    </row>
    <row r="147" customFormat="false" ht="48.75" hidden="false" customHeight="true" outlineLevel="0" collapsed="false">
      <c r="A147" s="3"/>
      <c r="B147" s="141" t="s">
        <v>7000</v>
      </c>
      <c r="C147" s="117" t="s">
        <v>7001</v>
      </c>
      <c r="D147" s="110" t="s">
        <v>6997</v>
      </c>
      <c r="E147" s="110" t="s">
        <v>7002</v>
      </c>
      <c r="F147" s="110" t="s">
        <v>7003</v>
      </c>
      <c r="G147" s="10"/>
      <c r="H147" s="10"/>
      <c r="I147" s="10"/>
      <c r="J147" s="10"/>
      <c r="K147" s="10"/>
      <c r="L147" s="10"/>
      <c r="M147" s="9"/>
      <c r="N147" s="9"/>
      <c r="O147" s="3"/>
      <c r="P147" s="3"/>
      <c r="Q147" s="3"/>
      <c r="R147" s="3"/>
      <c r="S147" s="3"/>
      <c r="T147" s="3"/>
      <c r="U147" s="3"/>
      <c r="V147" s="3"/>
      <c r="W147" s="3"/>
      <c r="X147" s="3"/>
      <c r="Y147" s="3"/>
      <c r="Z147" s="3"/>
      <c r="AA147" s="3"/>
      <c r="AB147" s="3"/>
      <c r="AC147" s="3"/>
    </row>
    <row r="148" customFormat="false" ht="75" hidden="false" customHeight="true" outlineLevel="0" collapsed="false">
      <c r="A148" s="3"/>
      <c r="B148" s="139" t="s">
        <v>7004</v>
      </c>
      <c r="C148" s="113" t="s">
        <v>7005</v>
      </c>
      <c r="D148" s="109" t="s">
        <v>6946</v>
      </c>
      <c r="E148" s="109" t="s">
        <v>7006</v>
      </c>
      <c r="F148" s="109"/>
      <c r="G148" s="10"/>
      <c r="H148" s="10"/>
      <c r="I148" s="10"/>
      <c r="J148" s="10"/>
      <c r="K148" s="10"/>
      <c r="L148" s="10"/>
      <c r="M148" s="9"/>
      <c r="N148" s="9"/>
      <c r="O148" s="3"/>
      <c r="P148" s="3"/>
      <c r="Q148" s="3"/>
      <c r="R148" s="3"/>
      <c r="S148" s="3"/>
      <c r="T148" s="3"/>
      <c r="U148" s="3"/>
      <c r="V148" s="3"/>
      <c r="W148" s="3"/>
      <c r="X148" s="3"/>
      <c r="Y148" s="3"/>
      <c r="Z148" s="3"/>
      <c r="AA148" s="3"/>
      <c r="AB148" s="3"/>
      <c r="AC148" s="3"/>
    </row>
    <row r="149" customFormat="false" ht="75" hidden="false" customHeight="true" outlineLevel="0" collapsed="false">
      <c r="A149" s="3"/>
      <c r="B149" s="141" t="s">
        <v>7007</v>
      </c>
      <c r="C149" s="117" t="s">
        <v>7008</v>
      </c>
      <c r="D149" s="110" t="s">
        <v>6946</v>
      </c>
      <c r="E149" s="110" t="s">
        <v>7009</v>
      </c>
      <c r="F149" s="110" t="s">
        <v>7010</v>
      </c>
      <c r="G149" s="10"/>
      <c r="H149" s="10"/>
      <c r="I149" s="10"/>
      <c r="J149" s="10"/>
      <c r="K149" s="10"/>
      <c r="L149" s="10"/>
      <c r="M149" s="9"/>
      <c r="N149" s="9"/>
      <c r="O149" s="3"/>
      <c r="P149" s="3"/>
      <c r="Q149" s="3"/>
      <c r="R149" s="3"/>
      <c r="S149" s="3"/>
      <c r="T149" s="3"/>
      <c r="U149" s="3"/>
      <c r="V149" s="3"/>
      <c r="W149" s="3"/>
      <c r="X149" s="3"/>
      <c r="Y149" s="3"/>
      <c r="Z149" s="3"/>
      <c r="AA149" s="3"/>
      <c r="AB149" s="3"/>
      <c r="AC149" s="3"/>
    </row>
    <row r="150" customFormat="false" ht="61.5" hidden="false" customHeight="true" outlineLevel="0" collapsed="false">
      <c r="A150" s="3"/>
      <c r="B150" s="139" t="s">
        <v>7011</v>
      </c>
      <c r="C150" s="113" t="s">
        <v>7012</v>
      </c>
      <c r="D150" s="109" t="s">
        <v>6946</v>
      </c>
      <c r="E150" s="109" t="s">
        <v>7013</v>
      </c>
      <c r="F150" s="109" t="s">
        <v>7014</v>
      </c>
      <c r="G150" s="10"/>
      <c r="H150" s="10"/>
      <c r="I150" s="10"/>
      <c r="J150" s="10"/>
      <c r="K150" s="10"/>
      <c r="L150" s="10"/>
      <c r="M150" s="9"/>
      <c r="N150" s="9"/>
      <c r="O150" s="3"/>
      <c r="P150" s="3"/>
      <c r="Q150" s="3"/>
      <c r="R150" s="3"/>
      <c r="S150" s="3"/>
      <c r="T150" s="3"/>
      <c r="U150" s="3"/>
      <c r="V150" s="3"/>
      <c r="W150" s="3"/>
      <c r="X150" s="3"/>
      <c r="Y150" s="3"/>
      <c r="Z150" s="3"/>
      <c r="AA150" s="3"/>
      <c r="AB150" s="3"/>
      <c r="AC150" s="3"/>
    </row>
    <row r="151" customFormat="false" ht="75" hidden="false" customHeight="true" outlineLevel="0" collapsed="false">
      <c r="A151" s="3"/>
      <c r="B151" s="141" t="s">
        <v>7015</v>
      </c>
      <c r="C151" s="117" t="s">
        <v>7016</v>
      </c>
      <c r="D151" s="110" t="s">
        <v>6935</v>
      </c>
      <c r="E151" s="110" t="s">
        <v>7017</v>
      </c>
      <c r="F151" s="110" t="s">
        <v>7018</v>
      </c>
      <c r="G151" s="10"/>
      <c r="H151" s="10"/>
      <c r="I151" s="10"/>
      <c r="J151" s="10"/>
      <c r="K151" s="10"/>
      <c r="L151" s="10"/>
      <c r="M151" s="9"/>
      <c r="N151" s="9"/>
      <c r="O151" s="3"/>
      <c r="P151" s="3"/>
      <c r="Q151" s="3"/>
      <c r="R151" s="3"/>
      <c r="S151" s="3"/>
      <c r="T151" s="3"/>
      <c r="U151" s="3"/>
      <c r="V151" s="3"/>
      <c r="W151" s="3"/>
      <c r="X151" s="3"/>
      <c r="Y151" s="3"/>
      <c r="Z151" s="3"/>
      <c r="AA151" s="3"/>
      <c r="AB151" s="3"/>
      <c r="AC151" s="3"/>
    </row>
    <row r="152" customFormat="false" ht="75" hidden="false" customHeight="true" outlineLevel="0" collapsed="false">
      <c r="A152" s="3"/>
      <c r="B152" s="139" t="s">
        <v>7019</v>
      </c>
      <c r="C152" s="113" t="s">
        <v>7020</v>
      </c>
      <c r="D152" s="109" t="s">
        <v>6946</v>
      </c>
      <c r="E152" s="109" t="s">
        <v>7021</v>
      </c>
      <c r="F152" s="109" t="s">
        <v>7022</v>
      </c>
      <c r="G152" s="10"/>
      <c r="H152" s="10"/>
      <c r="I152" s="10"/>
      <c r="J152" s="10"/>
      <c r="K152" s="10"/>
      <c r="L152" s="10"/>
      <c r="M152" s="9"/>
      <c r="N152" s="9"/>
      <c r="O152" s="3"/>
      <c r="P152" s="3"/>
      <c r="Q152" s="3"/>
      <c r="R152" s="3"/>
      <c r="S152" s="3"/>
      <c r="T152" s="3"/>
      <c r="U152" s="3"/>
      <c r="V152" s="3"/>
      <c r="W152" s="3"/>
      <c r="X152" s="3"/>
      <c r="Y152" s="3"/>
      <c r="Z152" s="3"/>
      <c r="AA152" s="3"/>
      <c r="AB152" s="3"/>
      <c r="AC152" s="3"/>
    </row>
    <row r="153" customFormat="false" ht="61.5" hidden="false" customHeight="true" outlineLevel="0" collapsed="false">
      <c r="A153" s="3"/>
      <c r="B153" s="141" t="s">
        <v>733</v>
      </c>
      <c r="C153" s="117" t="s">
        <v>7023</v>
      </c>
      <c r="D153" s="110" t="s">
        <v>6935</v>
      </c>
      <c r="E153" s="110" t="s">
        <v>7024</v>
      </c>
      <c r="F153" s="110" t="s">
        <v>7025</v>
      </c>
      <c r="G153" s="10"/>
      <c r="H153" s="10"/>
      <c r="I153" s="10"/>
      <c r="J153" s="10"/>
      <c r="K153" s="10"/>
      <c r="L153" s="10"/>
      <c r="M153" s="9"/>
      <c r="N153" s="9"/>
      <c r="O153" s="3"/>
      <c r="P153" s="3"/>
      <c r="Q153" s="3"/>
      <c r="R153" s="3"/>
      <c r="S153" s="3"/>
      <c r="T153" s="3"/>
      <c r="U153" s="3"/>
      <c r="V153" s="3"/>
      <c r="W153" s="3"/>
      <c r="X153" s="3"/>
      <c r="Y153" s="3"/>
      <c r="Z153" s="3"/>
      <c r="AA153" s="3"/>
      <c r="AB153" s="3"/>
      <c r="AC153" s="3"/>
    </row>
    <row r="154" customFormat="false" ht="61.5" hidden="false" customHeight="true" outlineLevel="0" collapsed="false">
      <c r="A154" s="3"/>
      <c r="B154" s="139" t="s">
        <v>7026</v>
      </c>
      <c r="C154" s="113" t="s">
        <v>7027</v>
      </c>
      <c r="D154" s="109" t="s">
        <v>6935</v>
      </c>
      <c r="E154" s="109" t="s">
        <v>7028</v>
      </c>
      <c r="F154" s="109" t="s">
        <v>7029</v>
      </c>
      <c r="G154" s="10"/>
      <c r="H154" s="10"/>
      <c r="I154" s="10"/>
      <c r="J154" s="10"/>
      <c r="K154" s="10"/>
      <c r="L154" s="10"/>
      <c r="M154" s="9"/>
      <c r="N154" s="9"/>
      <c r="O154" s="3"/>
      <c r="P154" s="3"/>
      <c r="Q154" s="3"/>
      <c r="R154" s="3"/>
      <c r="S154" s="3"/>
      <c r="T154" s="3"/>
      <c r="U154" s="3"/>
      <c r="V154" s="3"/>
      <c r="W154" s="3"/>
      <c r="X154" s="3"/>
      <c r="Y154" s="3"/>
      <c r="Z154" s="3"/>
      <c r="AA154" s="3"/>
      <c r="AB154" s="3"/>
      <c r="AC154" s="3"/>
    </row>
    <row r="155" customFormat="false" ht="48.75" hidden="false" customHeight="true" outlineLevel="0" collapsed="false">
      <c r="A155" s="3"/>
      <c r="B155" s="141" t="s">
        <v>7030</v>
      </c>
      <c r="C155" s="117" t="s">
        <v>7031</v>
      </c>
      <c r="D155" s="110" t="s">
        <v>6946</v>
      </c>
      <c r="E155" s="110" t="s">
        <v>7032</v>
      </c>
      <c r="F155" s="110"/>
      <c r="G155" s="10"/>
      <c r="H155" s="10"/>
      <c r="I155" s="10"/>
      <c r="J155" s="10"/>
      <c r="K155" s="10"/>
      <c r="L155" s="10"/>
      <c r="M155" s="9"/>
      <c r="N155" s="9"/>
      <c r="O155" s="3"/>
      <c r="P155" s="3"/>
      <c r="Q155" s="3"/>
      <c r="R155" s="3"/>
      <c r="S155" s="3"/>
      <c r="T155" s="3"/>
      <c r="U155" s="3"/>
      <c r="V155" s="3"/>
      <c r="W155" s="3"/>
      <c r="X155" s="3"/>
      <c r="Y155" s="3"/>
      <c r="Z155" s="3"/>
      <c r="AA155" s="3"/>
      <c r="AB155" s="3"/>
      <c r="AC155" s="3"/>
    </row>
    <row r="156" customFormat="false" ht="126.75" hidden="false" customHeight="true" outlineLevel="0" collapsed="false">
      <c r="A156" s="3"/>
      <c r="B156" s="139" t="s">
        <v>261</v>
      </c>
      <c r="C156" s="113" t="s">
        <v>7033</v>
      </c>
      <c r="D156" s="109" t="s">
        <v>6946</v>
      </c>
      <c r="E156" s="109" t="s">
        <v>7034</v>
      </c>
      <c r="F156" s="109" t="s">
        <v>7035</v>
      </c>
      <c r="G156" s="10"/>
      <c r="H156" s="10"/>
      <c r="I156" s="10"/>
      <c r="J156" s="10"/>
      <c r="K156" s="10"/>
      <c r="L156" s="10"/>
      <c r="M156" s="9"/>
      <c r="N156" s="9"/>
      <c r="O156" s="3"/>
      <c r="P156" s="3"/>
      <c r="Q156" s="3"/>
      <c r="R156" s="3"/>
      <c r="S156" s="3"/>
      <c r="T156" s="3"/>
      <c r="U156" s="3"/>
      <c r="V156" s="3"/>
      <c r="W156" s="3"/>
      <c r="X156" s="3"/>
      <c r="Y156" s="3"/>
      <c r="Z156" s="3"/>
      <c r="AA156" s="3"/>
      <c r="AB156" s="3"/>
      <c r="AC156" s="3"/>
    </row>
    <row r="157" customFormat="false" ht="87.75" hidden="false" customHeight="true" outlineLevel="0" collapsed="false">
      <c r="A157" s="3"/>
      <c r="B157" s="141" t="s">
        <v>7036</v>
      </c>
      <c r="C157" s="117" t="s">
        <v>7037</v>
      </c>
      <c r="D157" s="110" t="s">
        <v>6946</v>
      </c>
      <c r="E157" s="110" t="s">
        <v>7038</v>
      </c>
      <c r="F157" s="110" t="s">
        <v>7039</v>
      </c>
      <c r="G157" s="10"/>
      <c r="H157" s="10"/>
      <c r="I157" s="10"/>
      <c r="J157" s="10"/>
      <c r="K157" s="10"/>
      <c r="L157" s="10"/>
      <c r="M157" s="9"/>
      <c r="N157" s="9"/>
      <c r="O157" s="3"/>
      <c r="P157" s="3"/>
      <c r="Q157" s="3"/>
      <c r="R157" s="3"/>
      <c r="S157" s="3"/>
      <c r="T157" s="3"/>
      <c r="U157" s="3"/>
      <c r="V157" s="3"/>
      <c r="W157" s="3"/>
      <c r="X157" s="3"/>
      <c r="Y157" s="3"/>
      <c r="Z157" s="3"/>
      <c r="AA157" s="3"/>
      <c r="AB157" s="3"/>
      <c r="AC157" s="3"/>
    </row>
    <row r="158" customFormat="false" ht="87.75" hidden="false" customHeight="true" outlineLevel="0" collapsed="false">
      <c r="A158" s="3"/>
      <c r="B158" s="139" t="s">
        <v>257</v>
      </c>
      <c r="C158" s="113" t="s">
        <v>7040</v>
      </c>
      <c r="D158" s="109" t="s">
        <v>6946</v>
      </c>
      <c r="E158" s="109" t="s">
        <v>7041</v>
      </c>
      <c r="F158" s="109" t="s">
        <v>7042</v>
      </c>
      <c r="G158" s="10"/>
      <c r="H158" s="10"/>
      <c r="I158" s="10"/>
      <c r="J158" s="10"/>
      <c r="K158" s="10"/>
      <c r="L158" s="10"/>
      <c r="M158" s="9"/>
      <c r="N158" s="9"/>
      <c r="O158" s="3"/>
      <c r="P158" s="3"/>
      <c r="Q158" s="3"/>
      <c r="R158" s="3"/>
      <c r="S158" s="3"/>
      <c r="T158" s="3"/>
      <c r="U158" s="3"/>
      <c r="V158" s="3"/>
      <c r="W158" s="3"/>
      <c r="X158" s="3"/>
      <c r="Y158" s="3"/>
      <c r="Z158" s="3"/>
      <c r="AA158" s="3"/>
      <c r="AB158" s="3"/>
      <c r="AC158" s="3"/>
    </row>
    <row r="159" customFormat="false" ht="87.75" hidden="false" customHeight="true" outlineLevel="0" collapsed="false">
      <c r="A159" s="3"/>
      <c r="B159" s="141" t="s">
        <v>7043</v>
      </c>
      <c r="C159" s="117" t="s">
        <v>7044</v>
      </c>
      <c r="D159" s="110" t="s">
        <v>6935</v>
      </c>
      <c r="E159" s="110" t="s">
        <v>7045</v>
      </c>
      <c r="F159" s="110"/>
      <c r="G159" s="10"/>
      <c r="H159" s="10"/>
      <c r="I159" s="10"/>
      <c r="J159" s="10"/>
      <c r="K159" s="10"/>
      <c r="L159" s="10"/>
      <c r="M159" s="9"/>
      <c r="N159" s="9"/>
      <c r="O159" s="3"/>
      <c r="P159" s="3"/>
      <c r="Q159" s="3"/>
      <c r="R159" s="3"/>
      <c r="S159" s="3"/>
      <c r="T159" s="3"/>
      <c r="U159" s="3"/>
      <c r="V159" s="3"/>
      <c r="W159" s="3"/>
      <c r="X159" s="3"/>
      <c r="Y159" s="3"/>
      <c r="Z159" s="3"/>
      <c r="AA159" s="3"/>
      <c r="AB159" s="3"/>
      <c r="AC159" s="3"/>
    </row>
    <row r="160" customFormat="false" ht="30.75" hidden="false" customHeight="true" outlineLevel="0" collapsed="false">
      <c r="A160" s="3"/>
      <c r="B160" s="9"/>
      <c r="C160" s="9"/>
      <c r="D160" s="9"/>
      <c r="E160" s="9"/>
      <c r="F160" s="9"/>
      <c r="G160" s="10"/>
      <c r="H160" s="10"/>
      <c r="I160" s="10"/>
      <c r="J160" s="10"/>
      <c r="K160" s="10"/>
      <c r="L160" s="10"/>
      <c r="M160" s="9"/>
      <c r="N160" s="9"/>
      <c r="O160" s="3"/>
      <c r="P160" s="3"/>
      <c r="Q160" s="3"/>
      <c r="R160" s="3"/>
      <c r="S160" s="3"/>
      <c r="T160" s="3"/>
      <c r="U160" s="3"/>
      <c r="V160" s="3"/>
      <c r="W160" s="3"/>
      <c r="X160" s="3"/>
      <c r="Y160" s="3"/>
      <c r="Z160" s="3"/>
      <c r="AA160" s="3"/>
      <c r="AB160" s="3"/>
      <c r="AC160" s="3"/>
    </row>
    <row r="161" customFormat="false" ht="30.75" hidden="false" customHeight="true" outlineLevel="0" collapsed="false">
      <c r="A161" s="3"/>
      <c r="B161" s="9"/>
      <c r="C161" s="9"/>
      <c r="D161" s="9"/>
      <c r="E161" s="9"/>
      <c r="F161" s="9"/>
      <c r="G161" s="10"/>
      <c r="H161" s="10"/>
      <c r="I161" s="10"/>
      <c r="J161" s="10"/>
      <c r="K161" s="10"/>
      <c r="L161" s="10"/>
      <c r="M161" s="9"/>
      <c r="N161" s="9"/>
      <c r="O161" s="3"/>
      <c r="P161" s="3"/>
      <c r="Q161" s="3"/>
      <c r="R161" s="3"/>
      <c r="S161" s="3"/>
      <c r="T161" s="3"/>
      <c r="U161" s="3"/>
      <c r="V161" s="3"/>
      <c r="W161" s="3"/>
      <c r="X161" s="3"/>
      <c r="Y161" s="3"/>
      <c r="Z161" s="3"/>
      <c r="AA161" s="3"/>
      <c r="AB161" s="3"/>
      <c r="AC161" s="3"/>
    </row>
    <row r="162" customFormat="false" ht="30.75" hidden="false" customHeight="true" outlineLevel="0" collapsed="false">
      <c r="A162" s="3"/>
      <c r="B162" s="9"/>
      <c r="C162" s="9"/>
      <c r="D162" s="9"/>
      <c r="E162" s="9"/>
      <c r="F162" s="9"/>
      <c r="G162" s="10"/>
      <c r="H162" s="10"/>
      <c r="I162" s="10"/>
      <c r="J162" s="10"/>
      <c r="K162" s="10"/>
      <c r="L162" s="10"/>
      <c r="M162" s="9"/>
      <c r="N162" s="9"/>
      <c r="O162" s="3"/>
      <c r="P162" s="3"/>
      <c r="Q162" s="3"/>
      <c r="R162" s="3"/>
      <c r="S162" s="3"/>
      <c r="T162" s="3"/>
      <c r="U162" s="3"/>
      <c r="V162" s="3"/>
      <c r="W162" s="3"/>
      <c r="X162" s="3"/>
      <c r="Y162" s="3"/>
      <c r="Z162" s="3"/>
      <c r="AA162" s="3"/>
      <c r="AB162" s="3"/>
      <c r="AC162" s="3"/>
    </row>
    <row r="163" customFormat="false" ht="30.75" hidden="false" customHeight="true" outlineLevel="0" collapsed="false">
      <c r="A163" s="3"/>
      <c r="B163" s="143" t="s">
        <v>54</v>
      </c>
      <c r="C163" s="9"/>
      <c r="D163" s="9"/>
      <c r="E163" s="9"/>
      <c r="F163" s="9"/>
      <c r="G163" s="10"/>
      <c r="H163" s="10"/>
      <c r="I163" s="10"/>
      <c r="J163" s="10"/>
      <c r="K163" s="10"/>
      <c r="L163" s="10"/>
      <c r="M163" s="9"/>
      <c r="N163" s="9"/>
      <c r="O163" s="3"/>
      <c r="P163" s="3"/>
      <c r="Q163" s="3"/>
      <c r="R163" s="3"/>
      <c r="S163" s="3"/>
      <c r="T163" s="3"/>
      <c r="U163" s="3"/>
      <c r="V163" s="3"/>
      <c r="W163" s="3"/>
      <c r="X163" s="3"/>
      <c r="Y163" s="3"/>
      <c r="Z163" s="3"/>
      <c r="AA163" s="3"/>
      <c r="AB163" s="3"/>
      <c r="AC163" s="3"/>
    </row>
    <row r="164" customFormat="false" ht="36" hidden="false" customHeight="true" outlineLevel="0" collapsed="false">
      <c r="A164" s="3"/>
      <c r="B164" s="9" t="s">
        <v>7046</v>
      </c>
      <c r="C164" s="9"/>
      <c r="D164" s="9"/>
      <c r="E164" s="9"/>
      <c r="F164" s="9"/>
      <c r="G164" s="10"/>
      <c r="H164" s="10"/>
      <c r="I164" s="10"/>
      <c r="J164" s="10"/>
      <c r="K164" s="10"/>
      <c r="L164" s="10"/>
      <c r="M164" s="9"/>
      <c r="N164" s="9"/>
      <c r="O164" s="3"/>
      <c r="P164" s="3"/>
      <c r="Q164" s="3"/>
      <c r="R164" s="3"/>
      <c r="S164" s="3"/>
      <c r="T164" s="3"/>
      <c r="U164" s="3"/>
      <c r="V164" s="3"/>
      <c r="W164" s="3"/>
      <c r="X164" s="3"/>
      <c r="Y164" s="3"/>
      <c r="Z164" s="3"/>
      <c r="AA164" s="3"/>
      <c r="AB164" s="3"/>
      <c r="AC164" s="3"/>
    </row>
    <row r="165" customFormat="false" ht="30.75" hidden="false" customHeight="true" outlineLevel="0" collapsed="false">
      <c r="A165" s="3"/>
      <c r="B165" s="9"/>
      <c r="C165" s="9"/>
      <c r="D165" s="9"/>
      <c r="E165" s="9"/>
      <c r="F165" s="9"/>
      <c r="G165" s="10"/>
      <c r="H165" s="10"/>
      <c r="I165" s="10"/>
      <c r="J165" s="10"/>
      <c r="K165" s="10"/>
      <c r="L165" s="10"/>
      <c r="M165" s="9"/>
      <c r="N165" s="9"/>
      <c r="O165" s="3"/>
      <c r="P165" s="3"/>
      <c r="Q165" s="3"/>
      <c r="R165" s="3"/>
      <c r="S165" s="3"/>
      <c r="T165" s="3"/>
      <c r="U165" s="3"/>
      <c r="V165" s="3"/>
      <c r="W165" s="3"/>
      <c r="X165" s="3"/>
      <c r="Y165" s="3"/>
      <c r="Z165" s="3"/>
      <c r="AA165" s="3"/>
      <c r="AB165" s="3"/>
      <c r="AC165" s="3"/>
    </row>
    <row r="166" customFormat="false" ht="25.5" hidden="false" customHeight="true" outlineLevel="0" collapsed="false">
      <c r="A166" s="3"/>
      <c r="B166" s="133" t="s">
        <v>7047</v>
      </c>
      <c r="C166" s="133"/>
      <c r="D166" s="133"/>
      <c r="E166" s="133"/>
      <c r="F166" s="133"/>
      <c r="G166" s="40"/>
      <c r="H166" s="40"/>
      <c r="I166" s="10"/>
      <c r="J166" s="10"/>
      <c r="K166" s="10"/>
      <c r="L166" s="10"/>
      <c r="M166" s="9"/>
      <c r="N166" s="9"/>
      <c r="O166" s="3"/>
      <c r="P166" s="3"/>
      <c r="Q166" s="3"/>
      <c r="R166" s="3"/>
      <c r="S166" s="3"/>
      <c r="T166" s="3"/>
      <c r="U166" s="3"/>
      <c r="V166" s="3"/>
      <c r="W166" s="3"/>
      <c r="X166" s="3"/>
      <c r="Y166" s="3"/>
      <c r="Z166" s="3"/>
      <c r="AA166" s="3"/>
      <c r="AB166" s="3"/>
      <c r="AC166" s="3"/>
    </row>
    <row r="167" customFormat="false" ht="36" hidden="false" customHeight="true" outlineLevel="0" collapsed="false">
      <c r="A167" s="3"/>
      <c r="B167" s="21" t="s">
        <v>6917</v>
      </c>
      <c r="C167" s="30" t="s">
        <v>230</v>
      </c>
      <c r="D167" s="30" t="s">
        <v>6918</v>
      </c>
      <c r="E167" s="30" t="s">
        <v>6903</v>
      </c>
      <c r="F167" s="30" t="s">
        <v>6919</v>
      </c>
      <c r="G167" s="30" t="s">
        <v>6920</v>
      </c>
      <c r="H167" s="30" t="s">
        <v>6921</v>
      </c>
      <c r="I167" s="30" t="s">
        <v>6922</v>
      </c>
      <c r="J167" s="30" t="s">
        <v>6923</v>
      </c>
      <c r="K167" s="30" t="s">
        <v>6924</v>
      </c>
      <c r="L167" s="30" t="s">
        <v>6925</v>
      </c>
      <c r="M167" s="30" t="s">
        <v>240</v>
      </c>
      <c r="N167" s="30" t="s">
        <v>242</v>
      </c>
      <c r="O167" s="3"/>
      <c r="P167" s="3"/>
      <c r="Q167" s="3"/>
      <c r="R167" s="3"/>
      <c r="S167" s="3"/>
      <c r="T167" s="3"/>
      <c r="U167" s="3"/>
      <c r="V167" s="3"/>
      <c r="W167" s="3"/>
      <c r="X167" s="3"/>
      <c r="Y167" s="3"/>
      <c r="Z167" s="3"/>
      <c r="AA167" s="3"/>
      <c r="AB167" s="3"/>
      <c r="AC167" s="3"/>
    </row>
    <row r="168" customFormat="false" ht="36" hidden="false" customHeight="true" outlineLevel="0" collapsed="false">
      <c r="A168" s="3"/>
      <c r="B168" s="139" t="s">
        <v>6479</v>
      </c>
      <c r="C168" s="109" t="s">
        <v>243</v>
      </c>
      <c r="D168" s="109" t="s">
        <v>1532</v>
      </c>
      <c r="E168" s="109" t="s">
        <v>388</v>
      </c>
      <c r="F168" s="113" t="s">
        <v>1534</v>
      </c>
      <c r="G168" s="150" t="n">
        <v>12.23</v>
      </c>
      <c r="H168" s="91" t="s">
        <v>590</v>
      </c>
      <c r="I168" s="144" t="n">
        <v>1</v>
      </c>
      <c r="J168" s="91"/>
      <c r="K168" s="150" t="n">
        <v>12.23</v>
      </c>
      <c r="L168" s="91" t="s">
        <v>530</v>
      </c>
      <c r="M168" s="109" t="s">
        <v>1533</v>
      </c>
      <c r="N168" s="109" t="s">
        <v>586</v>
      </c>
      <c r="O168" s="3"/>
      <c r="P168" s="3"/>
      <c r="Q168" s="3"/>
      <c r="R168" s="3"/>
      <c r="S168" s="3"/>
      <c r="T168" s="3"/>
      <c r="U168" s="3"/>
      <c r="V168" s="3"/>
      <c r="W168" s="3"/>
      <c r="X168" s="3"/>
      <c r="Y168" s="3"/>
      <c r="Z168" s="3"/>
      <c r="AA168" s="3"/>
      <c r="AB168" s="3"/>
      <c r="AC168" s="3"/>
    </row>
    <row r="169" customFormat="false" ht="36" hidden="false" customHeight="true" outlineLevel="0" collapsed="false">
      <c r="A169" s="3"/>
      <c r="B169" s="141" t="s">
        <v>6479</v>
      </c>
      <c r="C169" s="110" t="s">
        <v>277</v>
      </c>
      <c r="D169" s="110" t="s">
        <v>1537</v>
      </c>
      <c r="E169" s="110" t="s">
        <v>610</v>
      </c>
      <c r="F169" s="117" t="s">
        <v>1539</v>
      </c>
      <c r="G169" s="151" t="n">
        <v>42.99</v>
      </c>
      <c r="H169" s="98" t="s">
        <v>590</v>
      </c>
      <c r="I169" s="146" t="n">
        <v>6</v>
      </c>
      <c r="J169" s="98" t="s">
        <v>611</v>
      </c>
      <c r="K169" s="151" t="n">
        <v>7.17</v>
      </c>
      <c r="L169" s="98" t="s">
        <v>530</v>
      </c>
      <c r="M169" s="110" t="s">
        <v>1538</v>
      </c>
      <c r="N169" s="110" t="s">
        <v>586</v>
      </c>
      <c r="O169" s="3"/>
      <c r="P169" s="3"/>
      <c r="Q169" s="3"/>
      <c r="R169" s="3"/>
      <c r="S169" s="3"/>
      <c r="T169" s="3"/>
      <c r="U169" s="3"/>
      <c r="V169" s="3"/>
      <c r="W169" s="3"/>
      <c r="X169" s="3"/>
      <c r="Y169" s="3"/>
      <c r="Z169" s="3"/>
      <c r="AA169" s="3"/>
      <c r="AB169" s="3"/>
      <c r="AC169" s="3"/>
    </row>
    <row r="170" customFormat="false" ht="36" hidden="false" customHeight="true" outlineLevel="0" collapsed="false">
      <c r="A170" s="3"/>
      <c r="B170" s="139" t="s">
        <v>6479</v>
      </c>
      <c r="C170" s="109" t="s">
        <v>269</v>
      </c>
      <c r="D170" s="109" t="s">
        <v>1541</v>
      </c>
      <c r="E170" s="109" t="s">
        <v>388</v>
      </c>
      <c r="F170" s="113" t="s">
        <v>1543</v>
      </c>
      <c r="G170" s="150" t="n">
        <v>19.99</v>
      </c>
      <c r="H170" s="91" t="s">
        <v>590</v>
      </c>
      <c r="I170" s="144" t="n">
        <v>1</v>
      </c>
      <c r="J170" s="91"/>
      <c r="K170" s="150" t="n">
        <v>19.99</v>
      </c>
      <c r="L170" s="91" t="s">
        <v>702</v>
      </c>
      <c r="M170" s="109" t="s">
        <v>1542</v>
      </c>
      <c r="N170" s="109" t="s">
        <v>586</v>
      </c>
      <c r="O170" s="3"/>
      <c r="P170" s="3"/>
      <c r="Q170" s="3"/>
      <c r="R170" s="3"/>
      <c r="S170" s="3"/>
      <c r="T170" s="3"/>
      <c r="U170" s="3"/>
      <c r="V170" s="3"/>
      <c r="W170" s="3"/>
      <c r="X170" s="3"/>
      <c r="Y170" s="3"/>
      <c r="Z170" s="3"/>
      <c r="AA170" s="3"/>
      <c r="AB170" s="3"/>
      <c r="AC170" s="3"/>
    </row>
    <row r="171" customFormat="false" ht="36" hidden="false" customHeight="true" outlineLevel="0" collapsed="false">
      <c r="A171" s="3"/>
      <c r="B171" s="141" t="s">
        <v>6479</v>
      </c>
      <c r="C171" s="110" t="s">
        <v>264</v>
      </c>
      <c r="D171" s="110" t="s">
        <v>1544</v>
      </c>
      <c r="E171" s="110" t="s">
        <v>388</v>
      </c>
      <c r="F171" s="117" t="s">
        <v>1545</v>
      </c>
      <c r="G171" s="151" t="n">
        <v>15.75</v>
      </c>
      <c r="H171" s="98" t="s">
        <v>590</v>
      </c>
      <c r="I171" s="146" t="n">
        <v>1</v>
      </c>
      <c r="J171" s="98"/>
      <c r="K171" s="151" t="n">
        <v>15.75</v>
      </c>
      <c r="L171" s="98" t="s">
        <v>530</v>
      </c>
      <c r="M171" s="110"/>
      <c r="N171" s="110" t="s">
        <v>586</v>
      </c>
      <c r="O171" s="3"/>
      <c r="P171" s="3"/>
      <c r="Q171" s="3"/>
      <c r="R171" s="3"/>
      <c r="S171" s="3"/>
      <c r="T171" s="3"/>
      <c r="U171" s="3"/>
      <c r="V171" s="3"/>
      <c r="W171" s="3"/>
      <c r="X171" s="3"/>
      <c r="Y171" s="3"/>
      <c r="Z171" s="3"/>
      <c r="AA171" s="3"/>
      <c r="AB171" s="3"/>
      <c r="AC171" s="3"/>
    </row>
    <row r="172" customFormat="false" ht="36" hidden="false" customHeight="true" outlineLevel="0" collapsed="false">
      <c r="A172" s="3"/>
      <c r="B172" s="139" t="s">
        <v>6479</v>
      </c>
      <c r="C172" s="109" t="s">
        <v>281</v>
      </c>
      <c r="D172" s="109" t="s">
        <v>1546</v>
      </c>
      <c r="E172" s="109" t="s">
        <v>603</v>
      </c>
      <c r="F172" s="113" t="s">
        <v>1548</v>
      </c>
      <c r="G172" s="150" t="n">
        <v>8.13</v>
      </c>
      <c r="H172" s="91" t="s">
        <v>590</v>
      </c>
      <c r="I172" s="144" t="n">
        <v>1</v>
      </c>
      <c r="J172" s="91"/>
      <c r="K172" s="150" t="n">
        <v>8.13</v>
      </c>
      <c r="L172" s="91" t="s">
        <v>530</v>
      </c>
      <c r="M172" s="109" t="s">
        <v>1547</v>
      </c>
      <c r="N172" s="109" t="s">
        <v>586</v>
      </c>
      <c r="O172" s="3"/>
      <c r="P172" s="3"/>
      <c r="Q172" s="3"/>
      <c r="R172" s="3"/>
      <c r="S172" s="3"/>
      <c r="T172" s="3"/>
      <c r="U172" s="3"/>
      <c r="V172" s="3"/>
      <c r="W172" s="3"/>
      <c r="X172" s="3"/>
      <c r="Y172" s="3"/>
      <c r="Z172" s="3"/>
      <c r="AA172" s="3"/>
      <c r="AB172" s="3"/>
      <c r="AC172" s="3"/>
    </row>
    <row r="173" customFormat="false" ht="36" hidden="false" customHeight="true" outlineLevel="0" collapsed="false">
      <c r="A173" s="3"/>
      <c r="B173" s="141" t="s">
        <v>6479</v>
      </c>
      <c r="C173" s="110" t="s">
        <v>293</v>
      </c>
      <c r="D173" s="110" t="s">
        <v>1549</v>
      </c>
      <c r="E173" s="110" t="s">
        <v>589</v>
      </c>
      <c r="F173" s="117" t="s">
        <v>1551</v>
      </c>
      <c r="G173" s="151" t="n">
        <v>8.7</v>
      </c>
      <c r="H173" s="98" t="s">
        <v>590</v>
      </c>
      <c r="I173" s="146" t="n">
        <v>1</v>
      </c>
      <c r="J173" s="98"/>
      <c r="K173" s="151" t="n">
        <v>8.7</v>
      </c>
      <c r="L173" s="98" t="s">
        <v>530</v>
      </c>
      <c r="M173" s="110" t="s">
        <v>1550</v>
      </c>
      <c r="N173" s="110" t="s">
        <v>586</v>
      </c>
      <c r="O173" s="3"/>
      <c r="P173" s="3"/>
      <c r="Q173" s="3"/>
      <c r="R173" s="3"/>
      <c r="S173" s="3"/>
      <c r="T173" s="3"/>
      <c r="U173" s="3"/>
      <c r="V173" s="3"/>
      <c r="W173" s="3"/>
      <c r="X173" s="3"/>
      <c r="Y173" s="3"/>
      <c r="Z173" s="3"/>
      <c r="AA173" s="3"/>
      <c r="AB173" s="3"/>
      <c r="AC173" s="3"/>
    </row>
    <row r="174" customFormat="false" ht="36" hidden="false" customHeight="true" outlineLevel="0" collapsed="false">
      <c r="A174" s="3"/>
      <c r="B174" s="139" t="s">
        <v>6481</v>
      </c>
      <c r="C174" s="109" t="s">
        <v>243</v>
      </c>
      <c r="D174" s="109" t="s">
        <v>1568</v>
      </c>
      <c r="E174" s="109"/>
      <c r="F174" s="113" t="s">
        <v>1570</v>
      </c>
      <c r="G174" s="150" t="n">
        <v>4.02</v>
      </c>
      <c r="H174" s="91" t="s">
        <v>590</v>
      </c>
      <c r="I174" s="144" t="n">
        <v>1</v>
      </c>
      <c r="J174" s="91"/>
      <c r="K174" s="150" t="n">
        <v>4.02</v>
      </c>
      <c r="L174" s="91" t="s">
        <v>530</v>
      </c>
      <c r="M174" s="109" t="s">
        <v>1569</v>
      </c>
      <c r="N174" s="109" t="s">
        <v>586</v>
      </c>
      <c r="O174" s="3"/>
      <c r="P174" s="3"/>
      <c r="Q174" s="3"/>
      <c r="R174" s="3"/>
      <c r="S174" s="3"/>
      <c r="T174" s="3"/>
      <c r="U174" s="3"/>
      <c r="V174" s="3"/>
      <c r="W174" s="3"/>
      <c r="X174" s="3"/>
      <c r="Y174" s="3"/>
      <c r="Z174" s="3"/>
      <c r="AA174" s="3"/>
      <c r="AB174" s="3"/>
      <c r="AC174" s="3"/>
    </row>
    <row r="175" customFormat="false" ht="36" hidden="false" customHeight="true" outlineLevel="0" collapsed="false">
      <c r="A175" s="3"/>
      <c r="B175" s="141" t="s">
        <v>6481</v>
      </c>
      <c r="C175" s="110" t="s">
        <v>277</v>
      </c>
      <c r="D175" s="110" t="s">
        <v>1571</v>
      </c>
      <c r="E175" s="110" t="s">
        <v>610</v>
      </c>
      <c r="F175" s="117" t="s">
        <v>1572</v>
      </c>
      <c r="G175" s="151" t="n">
        <v>65.99</v>
      </c>
      <c r="H175" s="98" t="s">
        <v>590</v>
      </c>
      <c r="I175" s="146" t="n">
        <v>12</v>
      </c>
      <c r="J175" s="98" t="s">
        <v>754</v>
      </c>
      <c r="K175" s="151" t="n">
        <v>5.5</v>
      </c>
      <c r="L175" s="98" t="s">
        <v>530</v>
      </c>
      <c r="M175" s="110" t="s">
        <v>696</v>
      </c>
      <c r="N175" s="110" t="s">
        <v>586</v>
      </c>
      <c r="O175" s="3"/>
      <c r="P175" s="3"/>
      <c r="Q175" s="3"/>
      <c r="R175" s="3"/>
      <c r="S175" s="3"/>
      <c r="T175" s="3"/>
      <c r="U175" s="3"/>
      <c r="V175" s="3"/>
      <c r="W175" s="3"/>
      <c r="X175" s="3"/>
      <c r="Y175" s="3"/>
      <c r="Z175" s="3"/>
      <c r="AA175" s="3"/>
      <c r="AB175" s="3"/>
      <c r="AC175" s="3"/>
    </row>
    <row r="176" customFormat="false" ht="36" hidden="false" customHeight="true" outlineLevel="0" collapsed="false">
      <c r="A176" s="3"/>
      <c r="B176" s="139" t="s">
        <v>6481</v>
      </c>
      <c r="C176" s="109" t="s">
        <v>257</v>
      </c>
      <c r="D176" s="109" t="s">
        <v>1573</v>
      </c>
      <c r="E176" s="109" t="s">
        <v>1576</v>
      </c>
      <c r="F176" s="113" t="s">
        <v>1575</v>
      </c>
      <c r="G176" s="150" t="n">
        <v>13</v>
      </c>
      <c r="H176" s="91" t="s">
        <v>590</v>
      </c>
      <c r="I176" s="144" t="n">
        <v>1</v>
      </c>
      <c r="J176" s="91"/>
      <c r="K176" s="150" t="n">
        <v>13</v>
      </c>
      <c r="L176" s="91" t="s">
        <v>530</v>
      </c>
      <c r="M176" s="109" t="s">
        <v>1574</v>
      </c>
      <c r="N176" s="109" t="s">
        <v>586</v>
      </c>
      <c r="O176" s="3"/>
      <c r="P176" s="3"/>
      <c r="Q176" s="3"/>
      <c r="R176" s="3"/>
      <c r="S176" s="3"/>
      <c r="T176" s="3"/>
      <c r="U176" s="3"/>
      <c r="V176" s="3"/>
      <c r="W176" s="3"/>
      <c r="X176" s="3"/>
      <c r="Y176" s="3"/>
      <c r="Z176" s="3"/>
      <c r="AA176" s="3"/>
      <c r="AB176" s="3"/>
      <c r="AC176" s="3"/>
    </row>
    <row r="177" customFormat="false" ht="36" hidden="false" customHeight="true" outlineLevel="0" collapsed="false">
      <c r="A177" s="3"/>
      <c r="B177" s="141" t="s">
        <v>6481</v>
      </c>
      <c r="C177" s="110" t="s">
        <v>269</v>
      </c>
      <c r="D177" s="110" t="s">
        <v>1577</v>
      </c>
      <c r="E177" s="110" t="s">
        <v>598</v>
      </c>
      <c r="F177" s="117" t="s">
        <v>1579</v>
      </c>
      <c r="G177" s="151" t="n">
        <v>5.79</v>
      </c>
      <c r="H177" s="98" t="s">
        <v>590</v>
      </c>
      <c r="I177" s="146" t="n">
        <v>1</v>
      </c>
      <c r="J177" s="98"/>
      <c r="K177" s="151" t="n">
        <v>5.79</v>
      </c>
      <c r="L177" s="98" t="s">
        <v>530</v>
      </c>
      <c r="M177" s="110" t="s">
        <v>1578</v>
      </c>
      <c r="N177" s="110" t="s">
        <v>586</v>
      </c>
      <c r="O177" s="3"/>
      <c r="P177" s="3"/>
      <c r="Q177" s="3"/>
      <c r="R177" s="3"/>
      <c r="S177" s="3"/>
      <c r="T177" s="3"/>
      <c r="U177" s="3"/>
      <c r="V177" s="3"/>
      <c r="W177" s="3"/>
      <c r="X177" s="3"/>
      <c r="Y177" s="3"/>
      <c r="Z177" s="3"/>
      <c r="AA177" s="3"/>
      <c r="AB177" s="3"/>
      <c r="AC177" s="3"/>
    </row>
    <row r="178" customFormat="false" ht="36" hidden="false" customHeight="true" outlineLevel="0" collapsed="false">
      <c r="A178" s="3"/>
      <c r="B178" s="139" t="s">
        <v>6481</v>
      </c>
      <c r="C178" s="109" t="s">
        <v>264</v>
      </c>
      <c r="D178" s="109" t="s">
        <v>1580</v>
      </c>
      <c r="E178" s="109" t="s">
        <v>1583</v>
      </c>
      <c r="F178" s="113" t="s">
        <v>1582</v>
      </c>
      <c r="G178" s="150" t="n">
        <v>10.77</v>
      </c>
      <c r="H178" s="91" t="s">
        <v>590</v>
      </c>
      <c r="I178" s="144" t="n">
        <v>1</v>
      </c>
      <c r="J178" s="91"/>
      <c r="K178" s="150" t="n">
        <v>10.77</v>
      </c>
      <c r="L178" s="91" t="s">
        <v>530</v>
      </c>
      <c r="M178" s="109" t="s">
        <v>1581</v>
      </c>
      <c r="N178" s="109" t="s">
        <v>586</v>
      </c>
      <c r="O178" s="3"/>
      <c r="P178" s="3"/>
      <c r="Q178" s="3"/>
      <c r="R178" s="3"/>
      <c r="S178" s="3"/>
      <c r="T178" s="3"/>
      <c r="U178" s="3"/>
      <c r="V178" s="3"/>
      <c r="W178" s="3"/>
      <c r="X178" s="3"/>
      <c r="Y178" s="3"/>
      <c r="Z178" s="3"/>
      <c r="AA178" s="3"/>
      <c r="AB178" s="3"/>
      <c r="AC178" s="3"/>
    </row>
    <row r="179" customFormat="false" ht="36" hidden="false" customHeight="true" outlineLevel="0" collapsed="false">
      <c r="A179" s="3"/>
      <c r="B179" s="141" t="s">
        <v>6481</v>
      </c>
      <c r="C179" s="110" t="s">
        <v>273</v>
      </c>
      <c r="D179" s="110" t="s">
        <v>1584</v>
      </c>
      <c r="E179" s="110" t="s">
        <v>642</v>
      </c>
      <c r="F179" s="117" t="s">
        <v>1586</v>
      </c>
      <c r="G179" s="151" t="n">
        <v>10.89</v>
      </c>
      <c r="H179" s="98" t="s">
        <v>265</v>
      </c>
      <c r="I179" s="146" t="n">
        <v>1</v>
      </c>
      <c r="J179" s="98"/>
      <c r="K179" s="151" t="n">
        <v>9.08</v>
      </c>
      <c r="L179" s="98" t="s">
        <v>629</v>
      </c>
      <c r="M179" s="110" t="s">
        <v>1585</v>
      </c>
      <c r="N179" s="110" t="s">
        <v>586</v>
      </c>
      <c r="O179" s="3"/>
      <c r="P179" s="3"/>
      <c r="Q179" s="3"/>
      <c r="R179" s="3"/>
      <c r="S179" s="3"/>
      <c r="T179" s="3"/>
      <c r="U179" s="3"/>
      <c r="V179" s="3"/>
      <c r="W179" s="3"/>
      <c r="X179" s="3"/>
      <c r="Y179" s="3"/>
      <c r="Z179" s="3"/>
      <c r="AA179" s="3"/>
      <c r="AB179" s="3"/>
      <c r="AC179" s="3"/>
    </row>
    <row r="180" customFormat="false" ht="36" hidden="false" customHeight="true" outlineLevel="0" collapsed="false">
      <c r="A180" s="3"/>
      <c r="B180" s="139" t="s">
        <v>6481</v>
      </c>
      <c r="C180" s="109" t="s">
        <v>281</v>
      </c>
      <c r="D180" s="109" t="s">
        <v>1587</v>
      </c>
      <c r="E180" s="109" t="s">
        <v>603</v>
      </c>
      <c r="F180" s="113" t="s">
        <v>1588</v>
      </c>
      <c r="G180" s="150" t="n">
        <v>6.9</v>
      </c>
      <c r="H180" s="91" t="s">
        <v>590</v>
      </c>
      <c r="I180" s="144" t="n">
        <v>1</v>
      </c>
      <c r="J180" s="91"/>
      <c r="K180" s="150" t="n">
        <v>6.9</v>
      </c>
      <c r="L180" s="91" t="s">
        <v>530</v>
      </c>
      <c r="M180" s="109" t="s">
        <v>696</v>
      </c>
      <c r="N180" s="109" t="s">
        <v>586</v>
      </c>
      <c r="O180" s="3"/>
      <c r="P180" s="3"/>
      <c r="Q180" s="3"/>
      <c r="R180" s="3"/>
      <c r="S180" s="3"/>
      <c r="T180" s="3"/>
      <c r="U180" s="3"/>
      <c r="V180" s="3"/>
      <c r="W180" s="3"/>
      <c r="X180" s="3"/>
      <c r="Y180" s="3"/>
      <c r="Z180" s="3"/>
      <c r="AA180" s="3"/>
      <c r="AB180" s="3"/>
      <c r="AC180" s="3"/>
    </row>
    <row r="181" customFormat="false" ht="36" hidden="false" customHeight="true" outlineLevel="0" collapsed="false">
      <c r="A181" s="3"/>
      <c r="B181" s="141" t="s">
        <v>6481</v>
      </c>
      <c r="C181" s="110" t="s">
        <v>285</v>
      </c>
      <c r="D181" s="110" t="s">
        <v>1589</v>
      </c>
      <c r="E181" s="110" t="s">
        <v>733</v>
      </c>
      <c r="F181" s="117" t="s">
        <v>1591</v>
      </c>
      <c r="G181" s="151" t="n">
        <v>15.7</v>
      </c>
      <c r="H181" s="98" t="s">
        <v>590</v>
      </c>
      <c r="I181" s="146" t="n">
        <v>1</v>
      </c>
      <c r="J181" s="98"/>
      <c r="K181" s="151" t="n">
        <v>15.7</v>
      </c>
      <c r="L181" s="98" t="s">
        <v>530</v>
      </c>
      <c r="M181" s="110" t="s">
        <v>1590</v>
      </c>
      <c r="N181" s="110" t="s">
        <v>586</v>
      </c>
      <c r="O181" s="3"/>
      <c r="P181" s="3"/>
      <c r="Q181" s="3"/>
      <c r="R181" s="3"/>
      <c r="S181" s="3"/>
      <c r="T181" s="3"/>
      <c r="U181" s="3"/>
      <c r="V181" s="3"/>
      <c r="W181" s="3"/>
      <c r="X181" s="3"/>
      <c r="Y181" s="3"/>
      <c r="Z181" s="3"/>
      <c r="AA181" s="3"/>
      <c r="AB181" s="3"/>
      <c r="AC181" s="3"/>
    </row>
    <row r="182" customFormat="false" ht="36" hidden="false" customHeight="true" outlineLevel="0" collapsed="false">
      <c r="A182" s="3"/>
      <c r="B182" s="139" t="s">
        <v>6481</v>
      </c>
      <c r="C182" s="109" t="s">
        <v>293</v>
      </c>
      <c r="D182" s="109" t="s">
        <v>1592</v>
      </c>
      <c r="E182" s="109" t="s">
        <v>589</v>
      </c>
      <c r="F182" s="113" t="s">
        <v>1594</v>
      </c>
      <c r="G182" s="150" t="n">
        <v>6.4</v>
      </c>
      <c r="H182" s="91" t="s">
        <v>590</v>
      </c>
      <c r="I182" s="144" t="n">
        <v>1</v>
      </c>
      <c r="J182" s="91"/>
      <c r="K182" s="150" t="n">
        <v>6.4</v>
      </c>
      <c r="L182" s="91" t="s">
        <v>530</v>
      </c>
      <c r="M182" s="109" t="s">
        <v>1593</v>
      </c>
      <c r="N182" s="109" t="s">
        <v>586</v>
      </c>
      <c r="O182" s="3"/>
      <c r="P182" s="3"/>
      <c r="Q182" s="3"/>
      <c r="R182" s="3"/>
      <c r="S182" s="3"/>
      <c r="T182" s="3"/>
      <c r="U182" s="3"/>
      <c r="V182" s="3"/>
      <c r="W182" s="3"/>
      <c r="X182" s="3"/>
      <c r="Y182" s="3"/>
      <c r="Z182" s="3"/>
      <c r="AA182" s="3"/>
      <c r="AB182" s="3"/>
      <c r="AC182" s="3"/>
    </row>
    <row r="183" customFormat="false" ht="36" hidden="false" customHeight="true" outlineLevel="0" collapsed="false">
      <c r="A183" s="3"/>
      <c r="B183" s="141" t="s">
        <v>6482</v>
      </c>
      <c r="C183" s="110" t="s">
        <v>243</v>
      </c>
      <c r="D183" s="110" t="s">
        <v>1610</v>
      </c>
      <c r="E183" s="110"/>
      <c r="F183" s="117" t="s">
        <v>1612</v>
      </c>
      <c r="G183" s="151" t="n">
        <v>4.5</v>
      </c>
      <c r="H183" s="98" t="s">
        <v>590</v>
      </c>
      <c r="I183" s="146" t="n">
        <v>1</v>
      </c>
      <c r="J183" s="98"/>
      <c r="K183" s="151" t="n">
        <v>4.5</v>
      </c>
      <c r="L183" s="98" t="s">
        <v>702</v>
      </c>
      <c r="M183" s="110" t="s">
        <v>1611</v>
      </c>
      <c r="N183" s="110" t="s">
        <v>586</v>
      </c>
      <c r="O183" s="3"/>
      <c r="P183" s="3"/>
      <c r="Q183" s="3"/>
      <c r="R183" s="3"/>
      <c r="S183" s="3"/>
      <c r="T183" s="3"/>
      <c r="U183" s="3"/>
      <c r="V183" s="3"/>
      <c r="W183" s="3"/>
      <c r="X183" s="3"/>
      <c r="Y183" s="3"/>
      <c r="Z183" s="3"/>
      <c r="AA183" s="3"/>
      <c r="AB183" s="3"/>
      <c r="AC183" s="3"/>
    </row>
    <row r="184" customFormat="false" ht="36" hidden="false" customHeight="true" outlineLevel="0" collapsed="false">
      <c r="A184" s="3"/>
      <c r="B184" s="139" t="s">
        <v>6482</v>
      </c>
      <c r="C184" s="109" t="s">
        <v>277</v>
      </c>
      <c r="D184" s="109" t="s">
        <v>1613</v>
      </c>
      <c r="E184" s="109" t="s">
        <v>610</v>
      </c>
      <c r="F184" s="113" t="s">
        <v>1614</v>
      </c>
      <c r="G184" s="150" t="n">
        <v>50.99</v>
      </c>
      <c r="H184" s="91" t="s">
        <v>590</v>
      </c>
      <c r="I184" s="144" t="n">
        <v>12</v>
      </c>
      <c r="J184" s="91" t="s">
        <v>754</v>
      </c>
      <c r="K184" s="150" t="n">
        <v>4.25</v>
      </c>
      <c r="L184" s="91" t="s">
        <v>530</v>
      </c>
      <c r="M184" s="109"/>
      <c r="N184" s="109" t="s">
        <v>586</v>
      </c>
      <c r="O184" s="3"/>
      <c r="P184" s="3"/>
      <c r="Q184" s="3"/>
      <c r="R184" s="3"/>
      <c r="S184" s="3"/>
      <c r="T184" s="3"/>
      <c r="U184" s="3"/>
      <c r="V184" s="3"/>
      <c r="W184" s="3"/>
      <c r="X184" s="3"/>
      <c r="Y184" s="3"/>
      <c r="Z184" s="3"/>
      <c r="AA184" s="3"/>
      <c r="AB184" s="3"/>
      <c r="AC184" s="3"/>
    </row>
    <row r="185" customFormat="false" ht="36" hidden="false" customHeight="true" outlineLevel="0" collapsed="false">
      <c r="A185" s="3"/>
      <c r="B185" s="141" t="s">
        <v>6482</v>
      </c>
      <c r="C185" s="110" t="s">
        <v>257</v>
      </c>
      <c r="D185" s="110" t="s">
        <v>1615</v>
      </c>
      <c r="E185" s="110" t="s">
        <v>388</v>
      </c>
      <c r="F185" s="117" t="s">
        <v>1616</v>
      </c>
      <c r="G185" s="151" t="n">
        <v>7.5</v>
      </c>
      <c r="H185" s="98" t="s">
        <v>590</v>
      </c>
      <c r="I185" s="146" t="n">
        <v>1</v>
      </c>
      <c r="J185" s="98"/>
      <c r="K185" s="151" t="n">
        <v>7.5</v>
      </c>
      <c r="L185" s="98" t="s">
        <v>530</v>
      </c>
      <c r="M185" s="110" t="s">
        <v>801</v>
      </c>
      <c r="N185" s="110" t="s">
        <v>586</v>
      </c>
      <c r="O185" s="3"/>
      <c r="P185" s="3"/>
      <c r="Q185" s="3"/>
      <c r="R185" s="3"/>
      <c r="S185" s="3"/>
      <c r="T185" s="3"/>
      <c r="U185" s="3"/>
      <c r="V185" s="3"/>
      <c r="W185" s="3"/>
      <c r="X185" s="3"/>
      <c r="Y185" s="3"/>
      <c r="Z185" s="3"/>
      <c r="AA185" s="3"/>
      <c r="AB185" s="3"/>
      <c r="AC185" s="3"/>
    </row>
    <row r="186" customFormat="false" ht="36" hidden="false" customHeight="true" outlineLevel="0" collapsed="false">
      <c r="A186" s="3"/>
      <c r="B186" s="139" t="s">
        <v>6482</v>
      </c>
      <c r="C186" s="109" t="s">
        <v>269</v>
      </c>
      <c r="D186" s="109" t="s">
        <v>1617</v>
      </c>
      <c r="E186" s="109" t="s">
        <v>589</v>
      </c>
      <c r="F186" s="113" t="s">
        <v>1619</v>
      </c>
      <c r="G186" s="150" t="n">
        <v>10.89</v>
      </c>
      <c r="H186" s="91" t="s">
        <v>590</v>
      </c>
      <c r="I186" s="144" t="n">
        <v>1</v>
      </c>
      <c r="J186" s="91"/>
      <c r="K186" s="150" t="n">
        <v>10.89</v>
      </c>
      <c r="L186" s="91" t="s">
        <v>530</v>
      </c>
      <c r="M186" s="109" t="s">
        <v>1618</v>
      </c>
      <c r="N186" s="109" t="s">
        <v>586</v>
      </c>
      <c r="O186" s="3"/>
      <c r="P186" s="3"/>
      <c r="Q186" s="3"/>
      <c r="R186" s="3"/>
      <c r="S186" s="3"/>
      <c r="T186" s="3"/>
      <c r="U186" s="3"/>
      <c r="V186" s="3"/>
      <c r="W186" s="3"/>
      <c r="X186" s="3"/>
      <c r="Y186" s="3"/>
      <c r="Z186" s="3"/>
      <c r="AA186" s="3"/>
      <c r="AB186" s="3"/>
      <c r="AC186" s="3"/>
    </row>
    <row r="187" customFormat="false" ht="36" hidden="false" customHeight="true" outlineLevel="0" collapsed="false">
      <c r="A187" s="3"/>
      <c r="B187" s="141" t="s">
        <v>6482</v>
      </c>
      <c r="C187" s="110" t="s">
        <v>264</v>
      </c>
      <c r="D187" s="110" t="s">
        <v>1620</v>
      </c>
      <c r="E187" s="110" t="s">
        <v>388</v>
      </c>
      <c r="F187" s="117" t="s">
        <v>1621</v>
      </c>
      <c r="G187" s="151" t="n">
        <v>12.53</v>
      </c>
      <c r="H187" s="98" t="s">
        <v>590</v>
      </c>
      <c r="I187" s="146" t="n">
        <v>1</v>
      </c>
      <c r="J187" s="98"/>
      <c r="K187" s="151" t="n">
        <v>12.53</v>
      </c>
      <c r="L187" s="98" t="s">
        <v>530</v>
      </c>
      <c r="M187" s="110"/>
      <c r="N187" s="110" t="s">
        <v>586</v>
      </c>
      <c r="O187" s="3"/>
      <c r="P187" s="3"/>
      <c r="Q187" s="3"/>
      <c r="R187" s="3"/>
      <c r="S187" s="3"/>
      <c r="T187" s="3"/>
      <c r="U187" s="3"/>
      <c r="V187" s="3"/>
      <c r="W187" s="3"/>
      <c r="X187" s="3"/>
      <c r="Y187" s="3"/>
      <c r="Z187" s="3"/>
      <c r="AA187" s="3"/>
      <c r="AB187" s="3"/>
      <c r="AC187" s="3"/>
    </row>
    <row r="188" customFormat="false" ht="36" hidden="false" customHeight="true" outlineLevel="0" collapsed="false">
      <c r="A188" s="3"/>
      <c r="B188" s="139" t="s">
        <v>6482</v>
      </c>
      <c r="C188" s="109" t="s">
        <v>273</v>
      </c>
      <c r="D188" s="109" t="s">
        <v>1622</v>
      </c>
      <c r="E188" s="109" t="s">
        <v>642</v>
      </c>
      <c r="F188" s="113" t="s">
        <v>1624</v>
      </c>
      <c r="G188" s="150" t="n">
        <v>18.39</v>
      </c>
      <c r="H188" s="91" t="s">
        <v>265</v>
      </c>
      <c r="I188" s="144" t="n">
        <v>1</v>
      </c>
      <c r="J188" s="91"/>
      <c r="K188" s="150" t="n">
        <v>15.33</v>
      </c>
      <c r="L188" s="91" t="s">
        <v>530</v>
      </c>
      <c r="M188" s="109" t="s">
        <v>1623</v>
      </c>
      <c r="N188" s="109" t="s">
        <v>586</v>
      </c>
      <c r="O188" s="3"/>
      <c r="P188" s="3"/>
      <c r="Q188" s="3"/>
      <c r="R188" s="3"/>
      <c r="S188" s="3"/>
      <c r="T188" s="3"/>
      <c r="U188" s="3"/>
      <c r="V188" s="3"/>
      <c r="W188" s="3"/>
      <c r="X188" s="3"/>
      <c r="Y188" s="3"/>
      <c r="Z188" s="3"/>
      <c r="AA188" s="3"/>
      <c r="AB188" s="3"/>
      <c r="AC188" s="3"/>
    </row>
    <row r="189" customFormat="false" ht="36" hidden="false" customHeight="true" outlineLevel="0" collapsed="false">
      <c r="A189" s="3"/>
      <c r="B189" s="141" t="s">
        <v>6482</v>
      </c>
      <c r="C189" s="110" t="s">
        <v>281</v>
      </c>
      <c r="D189" s="110" t="s">
        <v>1625</v>
      </c>
      <c r="E189" s="110" t="s">
        <v>662</v>
      </c>
      <c r="F189" s="117" t="s">
        <v>1627</v>
      </c>
      <c r="G189" s="151" t="n">
        <v>6.2</v>
      </c>
      <c r="H189" s="98" t="s">
        <v>590</v>
      </c>
      <c r="I189" s="146" t="n">
        <v>1</v>
      </c>
      <c r="J189" s="98"/>
      <c r="K189" s="151" t="n">
        <v>6.2</v>
      </c>
      <c r="L189" s="98" t="s">
        <v>702</v>
      </c>
      <c r="M189" s="110" t="s">
        <v>1626</v>
      </c>
      <c r="N189" s="110" t="s">
        <v>586</v>
      </c>
      <c r="O189" s="3"/>
      <c r="P189" s="3"/>
      <c r="Q189" s="3"/>
      <c r="R189" s="3"/>
      <c r="S189" s="3"/>
      <c r="T189" s="3"/>
      <c r="U189" s="3"/>
      <c r="V189" s="3"/>
      <c r="W189" s="3"/>
      <c r="X189" s="3"/>
      <c r="Y189" s="3"/>
      <c r="Z189" s="3"/>
      <c r="AA189" s="3"/>
      <c r="AB189" s="3"/>
      <c r="AC189" s="3"/>
    </row>
    <row r="190" customFormat="false" ht="36" hidden="false" customHeight="true" outlineLevel="0" collapsed="false">
      <c r="A190" s="3"/>
      <c r="B190" s="139" t="s">
        <v>6482</v>
      </c>
      <c r="C190" s="109" t="s">
        <v>285</v>
      </c>
      <c r="D190" s="109" t="s">
        <v>682</v>
      </c>
      <c r="E190" s="109" t="s">
        <v>685</v>
      </c>
      <c r="F190" s="113" t="s">
        <v>684</v>
      </c>
      <c r="G190" s="150" t="n">
        <v>37.9</v>
      </c>
      <c r="H190" s="91" t="s">
        <v>590</v>
      </c>
      <c r="I190" s="144" t="n">
        <v>1</v>
      </c>
      <c r="J190" s="91"/>
      <c r="K190" s="150" t="n">
        <v>37.9</v>
      </c>
      <c r="L190" s="91" t="s">
        <v>702</v>
      </c>
      <c r="M190" s="109" t="s">
        <v>1628</v>
      </c>
      <c r="N190" s="109" t="s">
        <v>586</v>
      </c>
      <c r="O190" s="3"/>
      <c r="P190" s="3"/>
      <c r="Q190" s="3"/>
      <c r="R190" s="3"/>
      <c r="S190" s="3"/>
      <c r="T190" s="3"/>
      <c r="U190" s="3"/>
      <c r="V190" s="3"/>
      <c r="W190" s="3"/>
      <c r="X190" s="3"/>
      <c r="Y190" s="3"/>
      <c r="Z190" s="3"/>
      <c r="AA190" s="3"/>
      <c r="AB190" s="3"/>
      <c r="AC190" s="3"/>
    </row>
    <row r="191" customFormat="false" ht="36" hidden="false" customHeight="true" outlineLevel="0" collapsed="false">
      <c r="A191" s="3"/>
      <c r="B191" s="141" t="s">
        <v>6482</v>
      </c>
      <c r="C191" s="110" t="s">
        <v>293</v>
      </c>
      <c r="D191" s="110" t="s">
        <v>1629</v>
      </c>
      <c r="E191" s="110" t="s">
        <v>603</v>
      </c>
      <c r="F191" s="117" t="s">
        <v>1631</v>
      </c>
      <c r="G191" s="151" t="n">
        <v>5.2</v>
      </c>
      <c r="H191" s="98" t="s">
        <v>590</v>
      </c>
      <c r="I191" s="146" t="n">
        <v>1</v>
      </c>
      <c r="J191" s="98"/>
      <c r="K191" s="151" t="n">
        <v>5.2</v>
      </c>
      <c r="L191" s="98" t="s">
        <v>530</v>
      </c>
      <c r="M191" s="110" t="s">
        <v>1630</v>
      </c>
      <c r="N191" s="110" t="s">
        <v>586</v>
      </c>
      <c r="O191" s="3"/>
      <c r="P191" s="3"/>
      <c r="Q191" s="3"/>
      <c r="R191" s="3"/>
      <c r="S191" s="3"/>
      <c r="T191" s="3"/>
      <c r="U191" s="3"/>
      <c r="V191" s="3"/>
      <c r="W191" s="3"/>
      <c r="X191" s="3"/>
      <c r="Y191" s="3"/>
      <c r="Z191" s="3"/>
      <c r="AA191" s="3"/>
      <c r="AB191" s="3"/>
      <c r="AC191" s="3"/>
    </row>
    <row r="192" customFormat="false" ht="36" hidden="false" customHeight="true" outlineLevel="0" collapsed="false">
      <c r="A192" s="3"/>
      <c r="B192" s="139" t="s">
        <v>6483</v>
      </c>
      <c r="C192" s="109" t="s">
        <v>243</v>
      </c>
      <c r="D192" s="109" t="s">
        <v>1647</v>
      </c>
      <c r="E192" s="109"/>
      <c r="F192" s="113" t="s">
        <v>1649</v>
      </c>
      <c r="G192" s="150" t="n">
        <v>6.54</v>
      </c>
      <c r="H192" s="91" t="s">
        <v>590</v>
      </c>
      <c r="I192" s="144" t="n">
        <v>1</v>
      </c>
      <c r="J192" s="91"/>
      <c r="K192" s="150" t="n">
        <v>6.54</v>
      </c>
      <c r="L192" s="91" t="s">
        <v>530</v>
      </c>
      <c r="M192" s="109" t="s">
        <v>1648</v>
      </c>
      <c r="N192" s="109" t="s">
        <v>586</v>
      </c>
      <c r="O192" s="3"/>
      <c r="P192" s="3"/>
      <c r="Q192" s="3"/>
      <c r="R192" s="3"/>
      <c r="S192" s="3"/>
      <c r="T192" s="3"/>
      <c r="U192" s="3"/>
      <c r="V192" s="3"/>
      <c r="W192" s="3"/>
      <c r="X192" s="3"/>
      <c r="Y192" s="3"/>
      <c r="Z192" s="3"/>
      <c r="AA192" s="3"/>
      <c r="AB192" s="3"/>
      <c r="AC192" s="3"/>
    </row>
    <row r="193" customFormat="false" ht="36" hidden="false" customHeight="true" outlineLevel="0" collapsed="false">
      <c r="A193" s="3"/>
      <c r="B193" s="141" t="s">
        <v>6483</v>
      </c>
      <c r="C193" s="110" t="s">
        <v>277</v>
      </c>
      <c r="D193" s="110" t="s">
        <v>1650</v>
      </c>
      <c r="E193" s="110" t="s">
        <v>610</v>
      </c>
      <c r="F193" s="117" t="s">
        <v>1652</v>
      </c>
      <c r="G193" s="151" t="n">
        <v>69.99</v>
      </c>
      <c r="H193" s="98" t="s">
        <v>590</v>
      </c>
      <c r="I193" s="146" t="n">
        <v>6</v>
      </c>
      <c r="J193" s="98" t="s">
        <v>611</v>
      </c>
      <c r="K193" s="151" t="n">
        <v>11.66</v>
      </c>
      <c r="L193" s="98" t="s">
        <v>702</v>
      </c>
      <c r="M193" s="110" t="s">
        <v>1651</v>
      </c>
      <c r="N193" s="110" t="s">
        <v>586</v>
      </c>
      <c r="O193" s="3"/>
      <c r="P193" s="3"/>
      <c r="Q193" s="3"/>
      <c r="R193" s="3"/>
      <c r="S193" s="3"/>
      <c r="T193" s="3"/>
      <c r="U193" s="3"/>
      <c r="V193" s="3"/>
      <c r="W193" s="3"/>
      <c r="X193" s="3"/>
      <c r="Y193" s="3"/>
      <c r="Z193" s="3"/>
      <c r="AA193" s="3"/>
      <c r="AB193" s="3"/>
      <c r="AC193" s="3"/>
    </row>
    <row r="194" customFormat="false" ht="36" hidden="false" customHeight="true" outlineLevel="0" collapsed="false">
      <c r="A194" s="3"/>
      <c r="B194" s="139" t="s">
        <v>6483</v>
      </c>
      <c r="C194" s="109" t="s">
        <v>257</v>
      </c>
      <c r="D194" s="109" t="s">
        <v>1653</v>
      </c>
      <c r="E194" s="109" t="s">
        <v>1576</v>
      </c>
      <c r="F194" s="113" t="s">
        <v>1655</v>
      </c>
      <c r="G194" s="150" t="n">
        <v>22</v>
      </c>
      <c r="H194" s="91" t="s">
        <v>590</v>
      </c>
      <c r="I194" s="144" t="n">
        <v>1</v>
      </c>
      <c r="J194" s="91"/>
      <c r="K194" s="150" t="n">
        <v>22</v>
      </c>
      <c r="L194" s="91" t="s">
        <v>530</v>
      </c>
      <c r="M194" s="109" t="s">
        <v>1654</v>
      </c>
      <c r="N194" s="109" t="s">
        <v>586</v>
      </c>
      <c r="O194" s="3"/>
      <c r="P194" s="3"/>
      <c r="Q194" s="3"/>
      <c r="R194" s="3"/>
      <c r="S194" s="3"/>
      <c r="T194" s="3"/>
      <c r="U194" s="3"/>
      <c r="V194" s="3"/>
      <c r="W194" s="3"/>
      <c r="X194" s="3"/>
      <c r="Y194" s="3"/>
      <c r="Z194" s="3"/>
      <c r="AA194" s="3"/>
      <c r="AB194" s="3"/>
      <c r="AC194" s="3"/>
    </row>
    <row r="195" customFormat="false" ht="36" hidden="false" customHeight="true" outlineLevel="0" collapsed="false">
      <c r="A195" s="3"/>
      <c r="B195" s="141" t="s">
        <v>6483</v>
      </c>
      <c r="C195" s="110" t="s">
        <v>269</v>
      </c>
      <c r="D195" s="110" t="s">
        <v>1656</v>
      </c>
      <c r="E195" s="110" t="s">
        <v>598</v>
      </c>
      <c r="F195" s="117" t="s">
        <v>1658</v>
      </c>
      <c r="G195" s="151" t="n">
        <v>9.19</v>
      </c>
      <c r="H195" s="98" t="s">
        <v>590</v>
      </c>
      <c r="I195" s="146" t="n">
        <v>1</v>
      </c>
      <c r="J195" s="98"/>
      <c r="K195" s="151" t="n">
        <v>9.19</v>
      </c>
      <c r="L195" s="98" t="s">
        <v>530</v>
      </c>
      <c r="M195" s="110" t="s">
        <v>1657</v>
      </c>
      <c r="N195" s="110" t="s">
        <v>586</v>
      </c>
      <c r="O195" s="3"/>
      <c r="P195" s="3"/>
      <c r="Q195" s="3"/>
      <c r="R195" s="3"/>
      <c r="S195" s="3"/>
      <c r="T195" s="3"/>
      <c r="U195" s="3"/>
      <c r="V195" s="3"/>
      <c r="W195" s="3"/>
      <c r="X195" s="3"/>
      <c r="Y195" s="3"/>
      <c r="Z195" s="3"/>
      <c r="AA195" s="3"/>
      <c r="AB195" s="3"/>
      <c r="AC195" s="3"/>
    </row>
    <row r="196" customFormat="false" ht="36" hidden="false" customHeight="true" outlineLevel="0" collapsed="false">
      <c r="A196" s="3"/>
      <c r="B196" s="139" t="s">
        <v>6483</v>
      </c>
      <c r="C196" s="109" t="s">
        <v>264</v>
      </c>
      <c r="D196" s="109" t="s">
        <v>1659</v>
      </c>
      <c r="E196" s="109" t="s">
        <v>388</v>
      </c>
      <c r="F196" s="113" t="s">
        <v>1660</v>
      </c>
      <c r="G196" s="150" t="n">
        <v>17.93</v>
      </c>
      <c r="H196" s="91" t="s">
        <v>590</v>
      </c>
      <c r="I196" s="144" t="n">
        <v>1</v>
      </c>
      <c r="J196" s="91"/>
      <c r="K196" s="150" t="n">
        <v>17.93</v>
      </c>
      <c r="L196" s="91" t="s">
        <v>530</v>
      </c>
      <c r="M196" s="109"/>
      <c r="N196" s="109" t="s">
        <v>586</v>
      </c>
      <c r="O196" s="3"/>
      <c r="P196" s="3"/>
      <c r="Q196" s="3"/>
      <c r="R196" s="3"/>
      <c r="S196" s="3"/>
      <c r="T196" s="3"/>
      <c r="U196" s="3"/>
      <c r="V196" s="3"/>
      <c r="W196" s="3"/>
      <c r="X196" s="3"/>
      <c r="Y196" s="3"/>
      <c r="Z196" s="3"/>
      <c r="AA196" s="3"/>
      <c r="AB196" s="3"/>
      <c r="AC196" s="3"/>
    </row>
    <row r="197" customFormat="false" ht="36" hidden="false" customHeight="true" outlineLevel="0" collapsed="false">
      <c r="A197" s="3"/>
      <c r="B197" s="141" t="s">
        <v>6483</v>
      </c>
      <c r="C197" s="110" t="s">
        <v>273</v>
      </c>
      <c r="D197" s="110" t="s">
        <v>1661</v>
      </c>
      <c r="E197" s="110" t="s">
        <v>642</v>
      </c>
      <c r="F197" s="117" t="s">
        <v>1663</v>
      </c>
      <c r="G197" s="151" t="n">
        <v>14.69</v>
      </c>
      <c r="H197" s="98" t="s">
        <v>265</v>
      </c>
      <c r="I197" s="146" t="n">
        <v>1</v>
      </c>
      <c r="J197" s="98"/>
      <c r="K197" s="151" t="n">
        <v>12.24</v>
      </c>
      <c r="L197" s="98" t="s">
        <v>530</v>
      </c>
      <c r="M197" s="110" t="s">
        <v>1662</v>
      </c>
      <c r="N197" s="110" t="s">
        <v>586</v>
      </c>
      <c r="O197" s="3"/>
      <c r="P197" s="3"/>
      <c r="Q197" s="3"/>
      <c r="R197" s="3"/>
      <c r="S197" s="3"/>
      <c r="T197" s="3"/>
      <c r="U197" s="3"/>
      <c r="V197" s="3"/>
      <c r="W197" s="3"/>
      <c r="X197" s="3"/>
      <c r="Y197" s="3"/>
      <c r="Z197" s="3"/>
      <c r="AA197" s="3"/>
      <c r="AB197" s="3"/>
      <c r="AC197" s="3"/>
    </row>
    <row r="198" customFormat="false" ht="36" hidden="false" customHeight="true" outlineLevel="0" collapsed="false">
      <c r="A198" s="3"/>
      <c r="B198" s="139" t="s">
        <v>6483</v>
      </c>
      <c r="C198" s="109" t="s">
        <v>281</v>
      </c>
      <c r="D198" s="109" t="s">
        <v>1664</v>
      </c>
      <c r="E198" s="109" t="s">
        <v>603</v>
      </c>
      <c r="F198" s="113" t="s">
        <v>1665</v>
      </c>
      <c r="G198" s="150" t="n">
        <v>9.23</v>
      </c>
      <c r="H198" s="91" t="s">
        <v>590</v>
      </c>
      <c r="I198" s="144" t="n">
        <v>1</v>
      </c>
      <c r="J198" s="91"/>
      <c r="K198" s="150" t="n">
        <v>9.23</v>
      </c>
      <c r="L198" s="91" t="s">
        <v>530</v>
      </c>
      <c r="M198" s="109"/>
      <c r="N198" s="109" t="s">
        <v>586</v>
      </c>
      <c r="O198" s="3"/>
      <c r="P198" s="3"/>
      <c r="Q198" s="3"/>
      <c r="R198" s="3"/>
      <c r="S198" s="3"/>
      <c r="T198" s="3"/>
      <c r="U198" s="3"/>
      <c r="V198" s="3"/>
      <c r="W198" s="3"/>
      <c r="X198" s="3"/>
      <c r="Y198" s="3"/>
      <c r="Z198" s="3"/>
      <c r="AA198" s="3"/>
      <c r="AB198" s="3"/>
      <c r="AC198" s="3"/>
    </row>
    <row r="199" customFormat="false" ht="36" hidden="false" customHeight="true" outlineLevel="0" collapsed="false">
      <c r="A199" s="3"/>
      <c r="B199" s="141" t="s">
        <v>6483</v>
      </c>
      <c r="C199" s="110" t="s">
        <v>293</v>
      </c>
      <c r="D199" s="110" t="s">
        <v>1666</v>
      </c>
      <c r="E199" s="110" t="s">
        <v>589</v>
      </c>
      <c r="F199" s="117" t="s">
        <v>1668</v>
      </c>
      <c r="G199" s="151" t="n">
        <v>10</v>
      </c>
      <c r="H199" s="98" t="s">
        <v>590</v>
      </c>
      <c r="I199" s="146" t="n">
        <v>1</v>
      </c>
      <c r="J199" s="98"/>
      <c r="K199" s="151" t="n">
        <v>10</v>
      </c>
      <c r="L199" s="98" t="s">
        <v>530</v>
      </c>
      <c r="M199" s="110" t="s">
        <v>1667</v>
      </c>
      <c r="N199" s="110" t="s">
        <v>586</v>
      </c>
      <c r="O199" s="3"/>
      <c r="P199" s="3"/>
      <c r="Q199" s="3"/>
      <c r="R199" s="3"/>
      <c r="S199" s="3"/>
      <c r="T199" s="3"/>
      <c r="U199" s="3"/>
      <c r="V199" s="3"/>
      <c r="W199" s="3"/>
      <c r="X199" s="3"/>
      <c r="Y199" s="3"/>
      <c r="Z199" s="3"/>
      <c r="AA199" s="3"/>
      <c r="AB199" s="3"/>
      <c r="AC199" s="3"/>
    </row>
    <row r="200" customFormat="false" ht="36" hidden="false" customHeight="true" outlineLevel="0" collapsed="false">
      <c r="A200" s="3"/>
      <c r="B200" s="139" t="s">
        <v>6484</v>
      </c>
      <c r="C200" s="109" t="s">
        <v>277</v>
      </c>
      <c r="D200" s="109" t="s">
        <v>1684</v>
      </c>
      <c r="E200" s="109" t="s">
        <v>610</v>
      </c>
      <c r="F200" s="113" t="s">
        <v>1685</v>
      </c>
      <c r="G200" s="150" t="n">
        <v>43.99</v>
      </c>
      <c r="H200" s="91" t="s">
        <v>590</v>
      </c>
      <c r="I200" s="144" t="n">
        <v>12</v>
      </c>
      <c r="J200" s="91" t="s">
        <v>754</v>
      </c>
      <c r="K200" s="150" t="n">
        <v>3.67</v>
      </c>
      <c r="L200" s="91" t="s">
        <v>530</v>
      </c>
      <c r="M200" s="109"/>
      <c r="N200" s="109" t="s">
        <v>586</v>
      </c>
      <c r="O200" s="3"/>
      <c r="P200" s="3"/>
      <c r="Q200" s="3"/>
      <c r="R200" s="3"/>
      <c r="S200" s="3"/>
      <c r="T200" s="3"/>
      <c r="U200" s="3"/>
      <c r="V200" s="3"/>
      <c r="W200" s="3"/>
      <c r="X200" s="3"/>
      <c r="Y200" s="3"/>
      <c r="Z200" s="3"/>
      <c r="AA200" s="3"/>
      <c r="AB200" s="3"/>
      <c r="AC200" s="3"/>
    </row>
    <row r="201" customFormat="false" ht="36" hidden="false" customHeight="true" outlineLevel="0" collapsed="false">
      <c r="A201" s="3"/>
      <c r="B201" s="141" t="s">
        <v>6484</v>
      </c>
      <c r="C201" s="110" t="s">
        <v>257</v>
      </c>
      <c r="D201" s="110" t="s">
        <v>1686</v>
      </c>
      <c r="E201" s="110" t="s">
        <v>388</v>
      </c>
      <c r="F201" s="117" t="s">
        <v>1687</v>
      </c>
      <c r="G201" s="151" t="n">
        <v>2.95</v>
      </c>
      <c r="H201" s="98" t="s">
        <v>590</v>
      </c>
      <c r="I201" s="146" t="n">
        <v>1</v>
      </c>
      <c r="J201" s="98"/>
      <c r="K201" s="151" t="n">
        <v>2.95</v>
      </c>
      <c r="L201" s="98" t="s">
        <v>530</v>
      </c>
      <c r="M201" s="110"/>
      <c r="N201" s="110" t="s">
        <v>586</v>
      </c>
      <c r="O201" s="3"/>
      <c r="P201" s="3"/>
      <c r="Q201" s="3"/>
      <c r="R201" s="3"/>
      <c r="S201" s="3"/>
      <c r="T201" s="3"/>
      <c r="U201" s="3"/>
      <c r="V201" s="3"/>
      <c r="W201" s="3"/>
      <c r="X201" s="3"/>
      <c r="Y201" s="3"/>
      <c r="Z201" s="3"/>
      <c r="AA201" s="3"/>
      <c r="AB201" s="3"/>
      <c r="AC201" s="3"/>
    </row>
    <row r="202" customFormat="false" ht="36" hidden="false" customHeight="true" outlineLevel="0" collapsed="false">
      <c r="A202" s="3"/>
      <c r="B202" s="139" t="s">
        <v>6484</v>
      </c>
      <c r="C202" s="109" t="s">
        <v>269</v>
      </c>
      <c r="D202" s="109" t="s">
        <v>1688</v>
      </c>
      <c r="E202" s="109" t="s">
        <v>589</v>
      </c>
      <c r="F202" s="113" t="s">
        <v>1689</v>
      </c>
      <c r="G202" s="150" t="n">
        <v>6.19</v>
      </c>
      <c r="H202" s="91" t="s">
        <v>590</v>
      </c>
      <c r="I202" s="144" t="n">
        <v>1</v>
      </c>
      <c r="J202" s="91"/>
      <c r="K202" s="150" t="n">
        <v>6.19</v>
      </c>
      <c r="L202" s="91" t="s">
        <v>530</v>
      </c>
      <c r="M202" s="109" t="s">
        <v>1618</v>
      </c>
      <c r="N202" s="109" t="s">
        <v>586</v>
      </c>
      <c r="O202" s="3"/>
      <c r="P202" s="3"/>
      <c r="Q202" s="3"/>
      <c r="R202" s="3"/>
      <c r="S202" s="3"/>
      <c r="T202" s="3"/>
      <c r="U202" s="3"/>
      <c r="V202" s="3"/>
      <c r="W202" s="3"/>
      <c r="X202" s="3"/>
      <c r="Y202" s="3"/>
      <c r="Z202" s="3"/>
      <c r="AA202" s="3"/>
      <c r="AB202" s="3"/>
      <c r="AC202" s="3"/>
    </row>
    <row r="203" customFormat="false" ht="36" hidden="false" customHeight="true" outlineLevel="0" collapsed="false">
      <c r="A203" s="3"/>
      <c r="B203" s="141" t="s">
        <v>6484</v>
      </c>
      <c r="C203" s="110" t="s">
        <v>264</v>
      </c>
      <c r="D203" s="110" t="s">
        <v>1690</v>
      </c>
      <c r="E203" s="110" t="s">
        <v>388</v>
      </c>
      <c r="F203" s="117" t="s">
        <v>1692</v>
      </c>
      <c r="G203" s="151" t="n">
        <v>12.16</v>
      </c>
      <c r="H203" s="98" t="s">
        <v>590</v>
      </c>
      <c r="I203" s="146" t="n">
        <v>1</v>
      </c>
      <c r="J203" s="98"/>
      <c r="K203" s="151" t="n">
        <v>12.16</v>
      </c>
      <c r="L203" s="98" t="s">
        <v>530</v>
      </c>
      <c r="M203" s="110" t="s">
        <v>1691</v>
      </c>
      <c r="N203" s="110" t="s">
        <v>586</v>
      </c>
      <c r="O203" s="3"/>
      <c r="P203" s="3"/>
      <c r="Q203" s="3"/>
      <c r="R203" s="3"/>
      <c r="S203" s="3"/>
      <c r="T203" s="3"/>
      <c r="U203" s="3"/>
      <c r="V203" s="3"/>
      <c r="W203" s="3"/>
      <c r="X203" s="3"/>
      <c r="Y203" s="3"/>
      <c r="Z203" s="3"/>
      <c r="AA203" s="3"/>
      <c r="AB203" s="3"/>
      <c r="AC203" s="3"/>
    </row>
    <row r="204" customFormat="false" ht="36" hidden="false" customHeight="true" outlineLevel="0" collapsed="false">
      <c r="A204" s="3"/>
      <c r="B204" s="139" t="s">
        <v>6484</v>
      </c>
      <c r="C204" s="109" t="s">
        <v>273</v>
      </c>
      <c r="D204" s="109" t="s">
        <v>1693</v>
      </c>
      <c r="E204" s="109" t="s">
        <v>642</v>
      </c>
      <c r="F204" s="113" t="s">
        <v>1695</v>
      </c>
      <c r="G204" s="150" t="n">
        <v>4.29</v>
      </c>
      <c r="H204" s="91" t="s">
        <v>265</v>
      </c>
      <c r="I204" s="144" t="n">
        <v>1</v>
      </c>
      <c r="J204" s="91"/>
      <c r="K204" s="150" t="n">
        <v>3.58</v>
      </c>
      <c r="L204" s="91" t="s">
        <v>530</v>
      </c>
      <c r="M204" s="109" t="s">
        <v>1694</v>
      </c>
      <c r="N204" s="109" t="s">
        <v>586</v>
      </c>
      <c r="O204" s="3"/>
      <c r="P204" s="3"/>
      <c r="Q204" s="3"/>
      <c r="R204" s="3"/>
      <c r="S204" s="3"/>
      <c r="T204" s="3"/>
      <c r="U204" s="3"/>
      <c r="V204" s="3"/>
      <c r="W204" s="3"/>
      <c r="X204" s="3"/>
      <c r="Y204" s="3"/>
      <c r="Z204" s="3"/>
      <c r="AA204" s="3"/>
      <c r="AB204" s="3"/>
      <c r="AC204" s="3"/>
    </row>
    <row r="205" customFormat="false" ht="36" hidden="false" customHeight="true" outlineLevel="0" collapsed="false">
      <c r="A205" s="3"/>
      <c r="B205" s="141" t="s">
        <v>6484</v>
      </c>
      <c r="C205" s="110" t="s">
        <v>281</v>
      </c>
      <c r="D205" s="110" t="s">
        <v>1696</v>
      </c>
      <c r="E205" s="110" t="s">
        <v>642</v>
      </c>
      <c r="F205" s="117" t="s">
        <v>1698</v>
      </c>
      <c r="G205" s="151" t="n">
        <v>3.13</v>
      </c>
      <c r="H205" s="98" t="s">
        <v>590</v>
      </c>
      <c r="I205" s="146" t="n">
        <v>1</v>
      </c>
      <c r="J205" s="98"/>
      <c r="K205" s="151" t="n">
        <v>3.13</v>
      </c>
      <c r="L205" s="98" t="s">
        <v>530</v>
      </c>
      <c r="M205" s="110" t="s">
        <v>1697</v>
      </c>
      <c r="N205" s="110" t="s">
        <v>586</v>
      </c>
      <c r="O205" s="3"/>
      <c r="P205" s="3"/>
      <c r="Q205" s="3"/>
      <c r="R205" s="3"/>
      <c r="S205" s="3"/>
      <c r="T205" s="3"/>
      <c r="U205" s="3"/>
      <c r="V205" s="3"/>
      <c r="W205" s="3"/>
      <c r="X205" s="3"/>
      <c r="Y205" s="3"/>
      <c r="Z205" s="3"/>
      <c r="AA205" s="3"/>
      <c r="AB205" s="3"/>
      <c r="AC205" s="3"/>
    </row>
    <row r="206" customFormat="false" ht="36" hidden="false" customHeight="true" outlineLevel="0" collapsed="false">
      <c r="A206" s="3"/>
      <c r="B206" s="139" t="s">
        <v>6484</v>
      </c>
      <c r="C206" s="109" t="s">
        <v>285</v>
      </c>
      <c r="D206" s="109" t="s">
        <v>1699</v>
      </c>
      <c r="E206" s="109" t="s">
        <v>733</v>
      </c>
      <c r="F206" s="113" t="s">
        <v>1700</v>
      </c>
      <c r="G206" s="150" t="n">
        <v>13.2</v>
      </c>
      <c r="H206" s="91" t="s">
        <v>590</v>
      </c>
      <c r="I206" s="144" t="n">
        <v>1</v>
      </c>
      <c r="J206" s="91"/>
      <c r="K206" s="150" t="n">
        <v>13.2</v>
      </c>
      <c r="L206" s="91" t="s">
        <v>530</v>
      </c>
      <c r="M206" s="109"/>
      <c r="N206" s="109" t="s">
        <v>586</v>
      </c>
      <c r="O206" s="3"/>
      <c r="P206" s="3"/>
      <c r="Q206" s="3"/>
      <c r="R206" s="3"/>
      <c r="S206" s="3"/>
      <c r="T206" s="3"/>
      <c r="U206" s="3"/>
      <c r="V206" s="3"/>
      <c r="W206" s="3"/>
      <c r="X206" s="3"/>
      <c r="Y206" s="3"/>
      <c r="Z206" s="3"/>
      <c r="AA206" s="3"/>
      <c r="AB206" s="3"/>
      <c r="AC206" s="3"/>
    </row>
    <row r="207" customFormat="false" ht="36" hidden="false" customHeight="true" outlineLevel="0" collapsed="false">
      <c r="A207" s="3"/>
      <c r="B207" s="141" t="s">
        <v>6484</v>
      </c>
      <c r="C207" s="110" t="s">
        <v>293</v>
      </c>
      <c r="D207" s="110" t="s">
        <v>1701</v>
      </c>
      <c r="E207" s="110" t="s">
        <v>589</v>
      </c>
      <c r="F207" s="117" t="s">
        <v>1703</v>
      </c>
      <c r="G207" s="151" t="n">
        <v>2.8</v>
      </c>
      <c r="H207" s="98" t="s">
        <v>590</v>
      </c>
      <c r="I207" s="146" t="n">
        <v>1</v>
      </c>
      <c r="J207" s="98"/>
      <c r="K207" s="151" t="n">
        <v>2.8</v>
      </c>
      <c r="L207" s="98" t="s">
        <v>530</v>
      </c>
      <c r="M207" s="110" t="s">
        <v>1702</v>
      </c>
      <c r="N207" s="110" t="s">
        <v>586</v>
      </c>
      <c r="O207" s="3"/>
      <c r="P207" s="3"/>
      <c r="Q207" s="3"/>
      <c r="R207" s="3"/>
      <c r="S207" s="3"/>
      <c r="T207" s="3"/>
      <c r="U207" s="3"/>
      <c r="V207" s="3"/>
      <c r="W207" s="3"/>
      <c r="X207" s="3"/>
      <c r="Y207" s="3"/>
      <c r="Z207" s="3"/>
      <c r="AA207" s="3"/>
      <c r="AB207" s="3"/>
      <c r="AC207" s="3"/>
    </row>
    <row r="208" customFormat="false" ht="36" hidden="false" customHeight="true" outlineLevel="0" collapsed="false">
      <c r="A208" s="3"/>
      <c r="B208" s="139" t="s">
        <v>6485</v>
      </c>
      <c r="C208" s="109" t="s">
        <v>277</v>
      </c>
      <c r="D208" s="109" t="s">
        <v>1718</v>
      </c>
      <c r="E208" s="109" t="s">
        <v>610</v>
      </c>
      <c r="F208" s="113" t="s">
        <v>1719</v>
      </c>
      <c r="G208" s="150" t="n">
        <v>41.99</v>
      </c>
      <c r="H208" s="91" t="s">
        <v>590</v>
      </c>
      <c r="I208" s="144" t="n">
        <v>12</v>
      </c>
      <c r="J208" s="91" t="s">
        <v>754</v>
      </c>
      <c r="K208" s="150" t="n">
        <v>3.5</v>
      </c>
      <c r="L208" s="91" t="s">
        <v>530</v>
      </c>
      <c r="M208" s="109"/>
      <c r="N208" s="109" t="s">
        <v>586</v>
      </c>
      <c r="O208" s="3"/>
      <c r="P208" s="3"/>
      <c r="Q208" s="3"/>
      <c r="R208" s="3"/>
      <c r="S208" s="3"/>
      <c r="T208" s="3"/>
      <c r="U208" s="3"/>
      <c r="V208" s="3"/>
      <c r="W208" s="3"/>
      <c r="X208" s="3"/>
      <c r="Y208" s="3"/>
      <c r="Z208" s="3"/>
      <c r="AA208" s="3"/>
      <c r="AB208" s="3"/>
      <c r="AC208" s="3"/>
    </row>
    <row r="209" customFormat="false" ht="36" hidden="false" customHeight="true" outlineLevel="0" collapsed="false">
      <c r="A209" s="3"/>
      <c r="B209" s="141" t="s">
        <v>6485</v>
      </c>
      <c r="C209" s="110" t="s">
        <v>257</v>
      </c>
      <c r="D209" s="110" t="s">
        <v>1720</v>
      </c>
      <c r="E209" s="110" t="s">
        <v>388</v>
      </c>
      <c r="F209" s="117" t="s">
        <v>1721</v>
      </c>
      <c r="G209" s="151" t="n">
        <v>2.3</v>
      </c>
      <c r="H209" s="98" t="s">
        <v>590</v>
      </c>
      <c r="I209" s="146" t="n">
        <v>1</v>
      </c>
      <c r="J209" s="98"/>
      <c r="K209" s="151" t="n">
        <v>2.3</v>
      </c>
      <c r="L209" s="98" t="s">
        <v>530</v>
      </c>
      <c r="M209" s="110"/>
      <c r="N209" s="110" t="s">
        <v>586</v>
      </c>
      <c r="O209" s="3"/>
      <c r="P209" s="3"/>
      <c r="Q209" s="3"/>
      <c r="R209" s="3"/>
      <c r="S209" s="3"/>
      <c r="T209" s="3"/>
      <c r="U209" s="3"/>
      <c r="V209" s="3"/>
      <c r="W209" s="3"/>
      <c r="X209" s="3"/>
      <c r="Y209" s="3"/>
      <c r="Z209" s="3"/>
      <c r="AA209" s="3"/>
      <c r="AB209" s="3"/>
      <c r="AC209" s="3"/>
    </row>
    <row r="210" customFormat="false" ht="36" hidden="false" customHeight="true" outlineLevel="0" collapsed="false">
      <c r="A210" s="3"/>
      <c r="B210" s="139" t="s">
        <v>6485</v>
      </c>
      <c r="C210" s="109" t="s">
        <v>269</v>
      </c>
      <c r="D210" s="109" t="s">
        <v>1722</v>
      </c>
      <c r="E210" s="109" t="s">
        <v>388</v>
      </c>
      <c r="F210" s="113" t="s">
        <v>1723</v>
      </c>
      <c r="G210" s="150" t="n">
        <v>5.59</v>
      </c>
      <c r="H210" s="91" t="s">
        <v>590</v>
      </c>
      <c r="I210" s="144" t="n">
        <v>1</v>
      </c>
      <c r="J210" s="91"/>
      <c r="K210" s="150" t="n">
        <v>5.59</v>
      </c>
      <c r="L210" s="91" t="s">
        <v>702</v>
      </c>
      <c r="M210" s="109" t="s">
        <v>1542</v>
      </c>
      <c r="N210" s="109" t="s">
        <v>586</v>
      </c>
      <c r="O210" s="3"/>
      <c r="P210" s="3"/>
      <c r="Q210" s="3"/>
      <c r="R210" s="3"/>
      <c r="S210" s="3"/>
      <c r="T210" s="3"/>
      <c r="U210" s="3"/>
      <c r="V210" s="3"/>
      <c r="W210" s="3"/>
      <c r="X210" s="3"/>
      <c r="Y210" s="3"/>
      <c r="Z210" s="3"/>
      <c r="AA210" s="3"/>
      <c r="AB210" s="3"/>
      <c r="AC210" s="3"/>
    </row>
    <row r="211" customFormat="false" ht="36" hidden="false" customHeight="true" outlineLevel="0" collapsed="false">
      <c r="A211" s="3"/>
      <c r="B211" s="141" t="s">
        <v>6485</v>
      </c>
      <c r="C211" s="110" t="s">
        <v>264</v>
      </c>
      <c r="D211" s="110" t="s">
        <v>1724</v>
      </c>
      <c r="E211" s="110" t="s">
        <v>388</v>
      </c>
      <c r="F211" s="117" t="s">
        <v>1726</v>
      </c>
      <c r="G211" s="151" t="n">
        <v>14.64</v>
      </c>
      <c r="H211" s="98" t="s">
        <v>590</v>
      </c>
      <c r="I211" s="146" t="n">
        <v>1</v>
      </c>
      <c r="J211" s="98"/>
      <c r="K211" s="151" t="n">
        <v>14.64</v>
      </c>
      <c r="L211" s="98" t="s">
        <v>530</v>
      </c>
      <c r="M211" s="110" t="s">
        <v>1725</v>
      </c>
      <c r="N211" s="110" t="s">
        <v>586</v>
      </c>
      <c r="O211" s="3"/>
      <c r="P211" s="3"/>
      <c r="Q211" s="3"/>
      <c r="R211" s="3"/>
      <c r="S211" s="3"/>
      <c r="T211" s="3"/>
      <c r="U211" s="3"/>
      <c r="V211" s="3"/>
      <c r="W211" s="3"/>
      <c r="X211" s="3"/>
      <c r="Y211" s="3"/>
      <c r="Z211" s="3"/>
      <c r="AA211" s="3"/>
      <c r="AB211" s="3"/>
      <c r="AC211" s="3"/>
    </row>
    <row r="212" customFormat="false" ht="36" hidden="false" customHeight="true" outlineLevel="0" collapsed="false">
      <c r="A212" s="3"/>
      <c r="B212" s="139" t="s">
        <v>6485</v>
      </c>
      <c r="C212" s="109" t="s">
        <v>281</v>
      </c>
      <c r="D212" s="109" t="s">
        <v>1727</v>
      </c>
      <c r="E212" s="109" t="s">
        <v>642</v>
      </c>
      <c r="F212" s="113" t="s">
        <v>1729</v>
      </c>
      <c r="G212" s="150" t="n">
        <v>3.58</v>
      </c>
      <c r="H212" s="91" t="s">
        <v>590</v>
      </c>
      <c r="I212" s="144" t="n">
        <v>1</v>
      </c>
      <c r="J212" s="91"/>
      <c r="K212" s="150" t="n">
        <v>3.58</v>
      </c>
      <c r="L212" s="91" t="s">
        <v>530</v>
      </c>
      <c r="M212" s="109" t="s">
        <v>1728</v>
      </c>
      <c r="N212" s="109" t="s">
        <v>586</v>
      </c>
      <c r="O212" s="3"/>
      <c r="P212" s="3"/>
      <c r="Q212" s="3"/>
      <c r="R212" s="3"/>
      <c r="S212" s="3"/>
      <c r="T212" s="3"/>
      <c r="U212" s="3"/>
      <c r="V212" s="3"/>
      <c r="W212" s="3"/>
      <c r="X212" s="3"/>
      <c r="Y212" s="3"/>
      <c r="Z212" s="3"/>
      <c r="AA212" s="3"/>
      <c r="AB212" s="3"/>
      <c r="AC212" s="3"/>
    </row>
    <row r="213" customFormat="false" ht="36" hidden="false" customHeight="true" outlineLevel="0" collapsed="false">
      <c r="A213" s="3"/>
      <c r="B213" s="141" t="s">
        <v>6485</v>
      </c>
      <c r="C213" s="110" t="s">
        <v>285</v>
      </c>
      <c r="D213" s="110" t="s">
        <v>1730</v>
      </c>
      <c r="E213" s="110" t="s">
        <v>685</v>
      </c>
      <c r="F213" s="117" t="s">
        <v>1732</v>
      </c>
      <c r="G213" s="151" t="n">
        <v>17.5</v>
      </c>
      <c r="H213" s="98" t="s">
        <v>590</v>
      </c>
      <c r="I213" s="146" t="n">
        <v>1</v>
      </c>
      <c r="J213" s="98"/>
      <c r="K213" s="151" t="n">
        <v>17.5</v>
      </c>
      <c r="L213" s="98" t="s">
        <v>702</v>
      </c>
      <c r="M213" s="110" t="s">
        <v>1731</v>
      </c>
      <c r="N213" s="110" t="s">
        <v>586</v>
      </c>
      <c r="O213" s="3"/>
      <c r="P213" s="3"/>
      <c r="Q213" s="3"/>
      <c r="R213" s="3"/>
      <c r="S213" s="3"/>
      <c r="T213" s="3"/>
      <c r="U213" s="3"/>
      <c r="V213" s="3"/>
      <c r="W213" s="3"/>
      <c r="X213" s="3"/>
      <c r="Y213" s="3"/>
      <c r="Z213" s="3"/>
      <c r="AA213" s="3"/>
      <c r="AB213" s="3"/>
      <c r="AC213" s="3"/>
    </row>
    <row r="214" customFormat="false" ht="36" hidden="false" customHeight="true" outlineLevel="0" collapsed="false">
      <c r="A214" s="3"/>
      <c r="B214" s="139" t="s">
        <v>6485</v>
      </c>
      <c r="C214" s="109" t="s">
        <v>293</v>
      </c>
      <c r="D214" s="109" t="s">
        <v>1733</v>
      </c>
      <c r="E214" s="109" t="s">
        <v>589</v>
      </c>
      <c r="F214" s="113" t="s">
        <v>1735</v>
      </c>
      <c r="G214" s="150" t="n">
        <v>2.1</v>
      </c>
      <c r="H214" s="91" t="s">
        <v>590</v>
      </c>
      <c r="I214" s="144" t="n">
        <v>1</v>
      </c>
      <c r="J214" s="91"/>
      <c r="K214" s="150" t="n">
        <v>2.1</v>
      </c>
      <c r="L214" s="91" t="s">
        <v>530</v>
      </c>
      <c r="M214" s="109" t="s">
        <v>1734</v>
      </c>
      <c r="N214" s="109" t="s">
        <v>586</v>
      </c>
      <c r="O214" s="3"/>
      <c r="P214" s="3"/>
      <c r="Q214" s="3"/>
      <c r="R214" s="3"/>
      <c r="S214" s="3"/>
      <c r="T214" s="3"/>
      <c r="U214" s="3"/>
      <c r="V214" s="3"/>
      <c r="W214" s="3"/>
      <c r="X214" s="3"/>
      <c r="Y214" s="3"/>
      <c r="Z214" s="3"/>
      <c r="AA214" s="3"/>
      <c r="AB214" s="3"/>
      <c r="AC214" s="3"/>
    </row>
    <row r="215" customFormat="false" ht="36" hidden="false" customHeight="true" outlineLevel="0" collapsed="false">
      <c r="A215" s="3"/>
      <c r="B215" s="141" t="s">
        <v>52</v>
      </c>
      <c r="C215" s="110" t="s">
        <v>243</v>
      </c>
      <c r="D215" s="110" t="s">
        <v>1747</v>
      </c>
      <c r="E215" s="110" t="s">
        <v>388</v>
      </c>
      <c r="F215" s="117" t="s">
        <v>1749</v>
      </c>
      <c r="G215" s="151" t="n">
        <v>1.27</v>
      </c>
      <c r="H215" s="98" t="s">
        <v>590</v>
      </c>
      <c r="I215" s="146" t="n">
        <v>1</v>
      </c>
      <c r="J215" s="98"/>
      <c r="K215" s="151" t="n">
        <v>1.27</v>
      </c>
      <c r="L215" s="98" t="s">
        <v>702</v>
      </c>
      <c r="M215" s="110" t="s">
        <v>1748</v>
      </c>
      <c r="N215" s="110" t="s">
        <v>586</v>
      </c>
      <c r="O215" s="3"/>
      <c r="P215" s="3"/>
      <c r="Q215" s="3"/>
      <c r="R215" s="3"/>
      <c r="S215" s="3"/>
      <c r="T215" s="3"/>
      <c r="U215" s="3"/>
      <c r="V215" s="3"/>
      <c r="W215" s="3"/>
      <c r="X215" s="3"/>
      <c r="Y215" s="3"/>
      <c r="Z215" s="3"/>
      <c r="AA215" s="3"/>
      <c r="AB215" s="3"/>
      <c r="AC215" s="3"/>
    </row>
    <row r="216" customFormat="false" ht="36" hidden="false" customHeight="true" outlineLevel="0" collapsed="false">
      <c r="A216" s="3"/>
      <c r="B216" s="139" t="s">
        <v>52</v>
      </c>
      <c r="C216" s="109" t="s">
        <v>269</v>
      </c>
      <c r="D216" s="109" t="s">
        <v>1750</v>
      </c>
      <c r="E216" s="109" t="s">
        <v>646</v>
      </c>
      <c r="F216" s="113" t="s">
        <v>1752</v>
      </c>
      <c r="G216" s="150" t="n">
        <v>6.59</v>
      </c>
      <c r="H216" s="91" t="s">
        <v>590</v>
      </c>
      <c r="I216" s="144" t="n">
        <v>1</v>
      </c>
      <c r="J216" s="91"/>
      <c r="K216" s="150" t="n">
        <v>6.59</v>
      </c>
      <c r="L216" s="91" t="s">
        <v>702</v>
      </c>
      <c r="M216" s="109" t="s">
        <v>1751</v>
      </c>
      <c r="N216" s="109" t="s">
        <v>586</v>
      </c>
      <c r="O216" s="3"/>
      <c r="P216" s="3"/>
      <c r="Q216" s="3"/>
      <c r="R216" s="3"/>
      <c r="S216" s="3"/>
      <c r="T216" s="3"/>
      <c r="U216" s="3"/>
      <c r="V216" s="3"/>
      <c r="W216" s="3"/>
      <c r="X216" s="3"/>
      <c r="Y216" s="3"/>
      <c r="Z216" s="3"/>
      <c r="AA216" s="3"/>
      <c r="AB216" s="3"/>
      <c r="AC216" s="3"/>
    </row>
    <row r="217" customFormat="false" ht="33" hidden="false" customHeight="true" outlineLevel="0" collapsed="false">
      <c r="A217" s="3"/>
      <c r="B217" s="141" t="s">
        <v>52</v>
      </c>
      <c r="C217" s="110" t="s">
        <v>264</v>
      </c>
      <c r="D217" s="110" t="s">
        <v>1753</v>
      </c>
      <c r="E217" s="110" t="s">
        <v>646</v>
      </c>
      <c r="F217" s="117" t="s">
        <v>1755</v>
      </c>
      <c r="G217" s="151" t="n">
        <v>0.84</v>
      </c>
      <c r="H217" s="98" t="s">
        <v>590</v>
      </c>
      <c r="I217" s="146" t="n">
        <v>1</v>
      </c>
      <c r="J217" s="98"/>
      <c r="K217" s="151" t="n">
        <v>0.84</v>
      </c>
      <c r="L217" s="98" t="s">
        <v>702</v>
      </c>
      <c r="M217" s="110" t="s">
        <v>1754</v>
      </c>
      <c r="N217" s="110" t="s">
        <v>586</v>
      </c>
      <c r="O217" s="3"/>
      <c r="P217" s="3"/>
      <c r="Q217" s="3"/>
      <c r="R217" s="3"/>
      <c r="S217" s="3"/>
      <c r="T217" s="3"/>
      <c r="U217" s="3"/>
      <c r="V217" s="3"/>
      <c r="W217" s="3"/>
      <c r="X217" s="3"/>
      <c r="Y217" s="3"/>
      <c r="Z217" s="3"/>
      <c r="AA217" s="3"/>
      <c r="AB217" s="3"/>
      <c r="AC217" s="3"/>
    </row>
    <row r="218" customFormat="false" ht="36" hidden="false" customHeight="true" outlineLevel="0" collapsed="false">
      <c r="A218" s="3"/>
      <c r="B218" s="139" t="s">
        <v>52</v>
      </c>
      <c r="C218" s="109" t="s">
        <v>273</v>
      </c>
      <c r="D218" s="109" t="s">
        <v>1756</v>
      </c>
      <c r="E218" s="109" t="s">
        <v>598</v>
      </c>
      <c r="F218" s="113" t="s">
        <v>1758</v>
      </c>
      <c r="G218" s="150" t="n">
        <v>1.29</v>
      </c>
      <c r="H218" s="91" t="s">
        <v>265</v>
      </c>
      <c r="I218" s="144" t="n">
        <v>1</v>
      </c>
      <c r="J218" s="91"/>
      <c r="K218" s="150" t="n">
        <v>1.08</v>
      </c>
      <c r="L218" s="91" t="s">
        <v>702</v>
      </c>
      <c r="M218" s="109" t="s">
        <v>1757</v>
      </c>
      <c r="N218" s="109" t="s">
        <v>586</v>
      </c>
      <c r="O218" s="3"/>
      <c r="P218" s="3"/>
      <c r="Q218" s="3"/>
      <c r="R218" s="3"/>
      <c r="S218" s="3"/>
      <c r="T218" s="3"/>
      <c r="U218" s="3"/>
      <c r="V218" s="3"/>
      <c r="W218" s="3"/>
      <c r="X218" s="3"/>
      <c r="Y218" s="3"/>
      <c r="Z218" s="3"/>
      <c r="AA218" s="3"/>
      <c r="AB218" s="3"/>
      <c r="AC218" s="3"/>
    </row>
    <row r="219" customFormat="false" ht="36" hidden="false" customHeight="true" outlineLevel="0" collapsed="false">
      <c r="A219" s="3"/>
      <c r="B219" s="141" t="s">
        <v>52</v>
      </c>
      <c r="C219" s="110" t="s">
        <v>281</v>
      </c>
      <c r="D219" s="110" t="s">
        <v>1759</v>
      </c>
      <c r="E219" s="110" t="s">
        <v>646</v>
      </c>
      <c r="F219" s="117" t="s">
        <v>1761</v>
      </c>
      <c r="G219" s="151" t="n">
        <v>0.81</v>
      </c>
      <c r="H219" s="98" t="s">
        <v>590</v>
      </c>
      <c r="I219" s="146" t="n">
        <v>1</v>
      </c>
      <c r="J219" s="98"/>
      <c r="K219" s="151" t="n">
        <v>0.81</v>
      </c>
      <c r="L219" s="98" t="s">
        <v>702</v>
      </c>
      <c r="M219" s="110" t="s">
        <v>1760</v>
      </c>
      <c r="N219" s="110" t="s">
        <v>586</v>
      </c>
      <c r="O219" s="3"/>
      <c r="P219" s="3"/>
      <c r="Q219" s="3"/>
      <c r="R219" s="3"/>
      <c r="S219" s="3"/>
      <c r="T219" s="3"/>
      <c r="U219" s="3"/>
      <c r="V219" s="3"/>
      <c r="W219" s="3"/>
      <c r="X219" s="3"/>
      <c r="Y219" s="3"/>
      <c r="Z219" s="3"/>
      <c r="AA219" s="3"/>
      <c r="AB219" s="3"/>
      <c r="AC219" s="3"/>
    </row>
    <row r="220" customFormat="false" ht="36" hidden="false" customHeight="true" outlineLevel="0" collapsed="false">
      <c r="A220" s="3"/>
      <c r="B220" s="139" t="s">
        <v>53</v>
      </c>
      <c r="C220" s="109" t="s">
        <v>243</v>
      </c>
      <c r="D220" s="109" t="s">
        <v>1772</v>
      </c>
      <c r="E220" s="109" t="s">
        <v>388</v>
      </c>
      <c r="F220" s="113" t="s">
        <v>1774</v>
      </c>
      <c r="G220" s="150" t="n">
        <v>1.91</v>
      </c>
      <c r="H220" s="91" t="s">
        <v>590</v>
      </c>
      <c r="I220" s="144" t="n">
        <v>1</v>
      </c>
      <c r="J220" s="91"/>
      <c r="K220" s="150" t="n">
        <v>1.91</v>
      </c>
      <c r="L220" s="91" t="s">
        <v>702</v>
      </c>
      <c r="M220" s="109" t="s">
        <v>1773</v>
      </c>
      <c r="N220" s="109" t="s">
        <v>586</v>
      </c>
      <c r="O220" s="3"/>
      <c r="P220" s="3"/>
      <c r="Q220" s="3"/>
      <c r="R220" s="3"/>
      <c r="S220" s="3"/>
      <c r="T220" s="3"/>
      <c r="U220" s="3"/>
      <c r="V220" s="3"/>
      <c r="W220" s="3"/>
      <c r="X220" s="3"/>
      <c r="Y220" s="3"/>
      <c r="Z220" s="3"/>
      <c r="AA220" s="3"/>
      <c r="AB220" s="3"/>
      <c r="AC220" s="3"/>
    </row>
    <row r="221" customFormat="false" ht="36" hidden="false" customHeight="true" outlineLevel="0" collapsed="false">
      <c r="A221" s="3"/>
      <c r="B221" s="141" t="s">
        <v>53</v>
      </c>
      <c r="C221" s="110" t="s">
        <v>277</v>
      </c>
      <c r="D221" s="110" t="s">
        <v>1775</v>
      </c>
      <c r="E221" s="110" t="s">
        <v>610</v>
      </c>
      <c r="F221" s="117" t="s">
        <v>1777</v>
      </c>
      <c r="G221" s="151" t="n">
        <v>34.99</v>
      </c>
      <c r="H221" s="98" t="s">
        <v>590</v>
      </c>
      <c r="I221" s="146" t="n">
        <v>6</v>
      </c>
      <c r="J221" s="98" t="s">
        <v>611</v>
      </c>
      <c r="K221" s="151" t="n">
        <v>5.83</v>
      </c>
      <c r="L221" s="98" t="s">
        <v>702</v>
      </c>
      <c r="M221" s="110" t="s">
        <v>1776</v>
      </c>
      <c r="N221" s="110" t="s">
        <v>586</v>
      </c>
      <c r="O221" s="3"/>
      <c r="P221" s="3"/>
      <c r="Q221" s="3"/>
      <c r="R221" s="3"/>
      <c r="S221" s="3"/>
      <c r="T221" s="3"/>
      <c r="U221" s="3"/>
      <c r="V221" s="3"/>
      <c r="W221" s="3"/>
      <c r="X221" s="3"/>
      <c r="Y221" s="3"/>
      <c r="Z221" s="3"/>
      <c r="AA221" s="3"/>
      <c r="AB221" s="3"/>
      <c r="AC221" s="3"/>
    </row>
    <row r="222" customFormat="false" ht="36" hidden="false" customHeight="true" outlineLevel="0" collapsed="false">
      <c r="A222" s="3"/>
      <c r="B222" s="139" t="s">
        <v>53</v>
      </c>
      <c r="C222" s="109" t="s">
        <v>269</v>
      </c>
      <c r="D222" s="109" t="s">
        <v>1778</v>
      </c>
      <c r="E222" s="109" t="s">
        <v>598</v>
      </c>
      <c r="F222" s="113" t="s">
        <v>1780</v>
      </c>
      <c r="G222" s="150" t="n">
        <v>1.59</v>
      </c>
      <c r="H222" s="91" t="s">
        <v>590</v>
      </c>
      <c r="I222" s="144" t="n">
        <v>1</v>
      </c>
      <c r="J222" s="91"/>
      <c r="K222" s="150" t="n">
        <v>1.59</v>
      </c>
      <c r="L222" s="91" t="s">
        <v>702</v>
      </c>
      <c r="M222" s="109" t="s">
        <v>1779</v>
      </c>
      <c r="N222" s="109" t="s">
        <v>586</v>
      </c>
      <c r="O222" s="3"/>
      <c r="P222" s="3"/>
      <c r="Q222" s="3"/>
      <c r="R222" s="3"/>
      <c r="S222" s="3"/>
      <c r="T222" s="3"/>
      <c r="U222" s="3"/>
      <c r="V222" s="3"/>
      <c r="W222" s="3"/>
      <c r="X222" s="3"/>
      <c r="Y222" s="3"/>
      <c r="Z222" s="3"/>
      <c r="AA222" s="3"/>
      <c r="AB222" s="3"/>
      <c r="AC222" s="3"/>
    </row>
    <row r="223" customFormat="false" ht="36" hidden="false" customHeight="true" outlineLevel="0" collapsed="false">
      <c r="A223" s="3"/>
      <c r="B223" s="141" t="s">
        <v>53</v>
      </c>
      <c r="C223" s="110" t="s">
        <v>264</v>
      </c>
      <c r="D223" s="110" t="s">
        <v>1781</v>
      </c>
      <c r="E223" s="110" t="s">
        <v>646</v>
      </c>
      <c r="F223" s="117" t="s">
        <v>1783</v>
      </c>
      <c r="G223" s="151" t="n">
        <v>1.08</v>
      </c>
      <c r="H223" s="98" t="s">
        <v>590</v>
      </c>
      <c r="I223" s="146" t="n">
        <v>1</v>
      </c>
      <c r="J223" s="98"/>
      <c r="K223" s="151" t="n">
        <v>1.08</v>
      </c>
      <c r="L223" s="98" t="s">
        <v>702</v>
      </c>
      <c r="M223" s="110" t="s">
        <v>1782</v>
      </c>
      <c r="N223" s="110" t="s">
        <v>586</v>
      </c>
      <c r="O223" s="3"/>
      <c r="P223" s="3"/>
      <c r="Q223" s="3"/>
      <c r="R223" s="3"/>
      <c r="S223" s="3"/>
      <c r="T223" s="3"/>
      <c r="U223" s="3"/>
      <c r="V223" s="3"/>
      <c r="W223" s="3"/>
      <c r="X223" s="3"/>
      <c r="Y223" s="3"/>
      <c r="Z223" s="3"/>
      <c r="AA223" s="3"/>
      <c r="AB223" s="3"/>
      <c r="AC223" s="3"/>
    </row>
    <row r="224" customFormat="false" ht="36" hidden="false" customHeight="true" outlineLevel="0" collapsed="false">
      <c r="A224" s="3"/>
      <c r="B224" s="139" t="s">
        <v>53</v>
      </c>
      <c r="C224" s="109" t="s">
        <v>273</v>
      </c>
      <c r="D224" s="109" t="s">
        <v>1784</v>
      </c>
      <c r="E224" s="109" t="s">
        <v>598</v>
      </c>
      <c r="F224" s="113" t="s">
        <v>1786</v>
      </c>
      <c r="G224" s="150" t="n">
        <v>2.69</v>
      </c>
      <c r="H224" s="91" t="s">
        <v>265</v>
      </c>
      <c r="I224" s="144" t="n">
        <v>1</v>
      </c>
      <c r="J224" s="91"/>
      <c r="K224" s="150" t="n">
        <v>2.24</v>
      </c>
      <c r="L224" s="91" t="s">
        <v>702</v>
      </c>
      <c r="M224" s="109" t="s">
        <v>1785</v>
      </c>
      <c r="N224" s="109" t="s">
        <v>586</v>
      </c>
      <c r="O224" s="3"/>
      <c r="P224" s="3"/>
      <c r="Q224" s="3"/>
      <c r="R224" s="3"/>
      <c r="S224" s="3"/>
      <c r="T224" s="3"/>
      <c r="U224" s="3"/>
      <c r="V224" s="3"/>
      <c r="W224" s="3"/>
      <c r="X224" s="3"/>
      <c r="Y224" s="3"/>
      <c r="Z224" s="3"/>
      <c r="AA224" s="3"/>
      <c r="AB224" s="3"/>
      <c r="AC224" s="3"/>
    </row>
    <row r="225" customFormat="false" ht="36" hidden="false" customHeight="true" outlineLevel="0" collapsed="false">
      <c r="A225" s="3"/>
      <c r="B225" s="141" t="s">
        <v>53</v>
      </c>
      <c r="C225" s="110" t="s">
        <v>281</v>
      </c>
      <c r="D225" s="110" t="s">
        <v>1787</v>
      </c>
      <c r="E225" s="110" t="s">
        <v>646</v>
      </c>
      <c r="F225" s="117" t="s">
        <v>1789</v>
      </c>
      <c r="G225" s="151" t="n">
        <v>1.06</v>
      </c>
      <c r="H225" s="98" t="s">
        <v>590</v>
      </c>
      <c r="I225" s="146" t="n">
        <v>1</v>
      </c>
      <c r="J225" s="98"/>
      <c r="K225" s="151" t="n">
        <v>1.06</v>
      </c>
      <c r="L225" s="98" t="s">
        <v>702</v>
      </c>
      <c r="M225" s="110" t="s">
        <v>1788</v>
      </c>
      <c r="N225" s="110" t="s">
        <v>586</v>
      </c>
      <c r="O225" s="3"/>
      <c r="P225" s="3"/>
      <c r="Q225" s="3"/>
      <c r="R225" s="3"/>
      <c r="S225" s="3"/>
      <c r="T225" s="3"/>
      <c r="U225" s="3"/>
      <c r="V225" s="3"/>
      <c r="W225" s="3"/>
      <c r="X225" s="3"/>
      <c r="Y225" s="3"/>
      <c r="Z225" s="3"/>
      <c r="AA225" s="3"/>
      <c r="AB225" s="3"/>
      <c r="AC225" s="3"/>
    </row>
    <row r="226" customFormat="false" ht="36" hidden="false" customHeight="true" outlineLevel="0" collapsed="false">
      <c r="A226" s="3"/>
      <c r="B226" s="139" t="s">
        <v>6486</v>
      </c>
      <c r="C226" s="109" t="s">
        <v>243</v>
      </c>
      <c r="D226" s="109" t="s">
        <v>1805</v>
      </c>
      <c r="E226" s="109" t="s">
        <v>388</v>
      </c>
      <c r="F226" s="113" t="s">
        <v>1807</v>
      </c>
      <c r="G226" s="150" t="n">
        <v>11.59</v>
      </c>
      <c r="H226" s="91" t="s">
        <v>590</v>
      </c>
      <c r="I226" s="144" t="n">
        <v>1</v>
      </c>
      <c r="J226" s="91"/>
      <c r="K226" s="150" t="n">
        <v>11.59</v>
      </c>
      <c r="L226" s="91" t="s">
        <v>629</v>
      </c>
      <c r="M226" s="109" t="s">
        <v>1806</v>
      </c>
      <c r="N226" s="109" t="s">
        <v>586</v>
      </c>
      <c r="O226" s="3"/>
      <c r="P226" s="3"/>
      <c r="Q226" s="3"/>
      <c r="R226" s="3"/>
      <c r="S226" s="3"/>
      <c r="T226" s="3"/>
      <c r="U226" s="3"/>
      <c r="V226" s="3"/>
      <c r="W226" s="3"/>
      <c r="X226" s="3"/>
      <c r="Y226" s="3"/>
      <c r="Z226" s="3"/>
      <c r="AA226" s="3"/>
      <c r="AB226" s="3"/>
      <c r="AC226" s="3"/>
    </row>
    <row r="227" customFormat="false" ht="36" hidden="false" customHeight="true" outlineLevel="0" collapsed="false">
      <c r="A227" s="3"/>
      <c r="B227" s="141" t="s">
        <v>6486</v>
      </c>
      <c r="C227" s="110" t="s">
        <v>277</v>
      </c>
      <c r="D227" s="110" t="s">
        <v>1808</v>
      </c>
      <c r="E227" s="110" t="s">
        <v>610</v>
      </c>
      <c r="F227" s="117" t="s">
        <v>1810</v>
      </c>
      <c r="G227" s="151" t="n">
        <v>16.99</v>
      </c>
      <c r="H227" s="98" t="s">
        <v>590</v>
      </c>
      <c r="I227" s="146" t="n">
        <v>1</v>
      </c>
      <c r="J227" s="98"/>
      <c r="K227" s="151" t="n">
        <v>16.99</v>
      </c>
      <c r="L227" s="98" t="s">
        <v>629</v>
      </c>
      <c r="M227" s="110" t="s">
        <v>1809</v>
      </c>
      <c r="N227" s="110" t="s">
        <v>586</v>
      </c>
      <c r="O227" s="3"/>
      <c r="P227" s="3"/>
      <c r="Q227" s="3"/>
      <c r="R227" s="3"/>
      <c r="S227" s="3"/>
      <c r="T227" s="3"/>
      <c r="U227" s="3"/>
      <c r="V227" s="3"/>
      <c r="W227" s="3"/>
      <c r="X227" s="3"/>
      <c r="Y227" s="3"/>
      <c r="Z227" s="3"/>
      <c r="AA227" s="3"/>
      <c r="AB227" s="3"/>
      <c r="AC227" s="3"/>
    </row>
    <row r="228" customFormat="false" ht="36" hidden="false" customHeight="true" outlineLevel="0" collapsed="false">
      <c r="A228" s="3"/>
      <c r="B228" s="139" t="s">
        <v>6486</v>
      </c>
      <c r="C228" s="109" t="s">
        <v>269</v>
      </c>
      <c r="D228" s="109" t="s">
        <v>1811</v>
      </c>
      <c r="E228" s="109" t="s">
        <v>388</v>
      </c>
      <c r="F228" s="113" t="s">
        <v>1813</v>
      </c>
      <c r="G228" s="150" t="n">
        <v>26.29</v>
      </c>
      <c r="H228" s="91" t="s">
        <v>590</v>
      </c>
      <c r="I228" s="144" t="n">
        <v>1</v>
      </c>
      <c r="J228" s="91"/>
      <c r="K228" s="150" t="n">
        <v>26.29</v>
      </c>
      <c r="L228" s="91" t="s">
        <v>629</v>
      </c>
      <c r="M228" s="109" t="s">
        <v>1812</v>
      </c>
      <c r="N228" s="109" t="s">
        <v>586</v>
      </c>
      <c r="O228" s="3"/>
      <c r="P228" s="3"/>
      <c r="Q228" s="3"/>
      <c r="R228" s="3"/>
      <c r="S228" s="3"/>
      <c r="T228" s="3"/>
      <c r="U228" s="3"/>
      <c r="V228" s="3"/>
      <c r="W228" s="3"/>
      <c r="X228" s="3"/>
      <c r="Y228" s="3"/>
      <c r="Z228" s="3"/>
      <c r="AA228" s="3"/>
      <c r="AB228" s="3"/>
      <c r="AC228" s="3"/>
    </row>
    <row r="229" customFormat="false" ht="36" hidden="false" customHeight="true" outlineLevel="0" collapsed="false">
      <c r="A229" s="3"/>
      <c r="B229" s="141" t="s">
        <v>6486</v>
      </c>
      <c r="C229" s="110" t="s">
        <v>264</v>
      </c>
      <c r="D229" s="110" t="s">
        <v>1814</v>
      </c>
      <c r="E229" s="110" t="s">
        <v>388</v>
      </c>
      <c r="F229" s="117" t="s">
        <v>1816</v>
      </c>
      <c r="G229" s="151" t="n">
        <v>16.88</v>
      </c>
      <c r="H229" s="98" t="s">
        <v>590</v>
      </c>
      <c r="I229" s="146" t="n">
        <v>1</v>
      </c>
      <c r="J229" s="98"/>
      <c r="K229" s="151" t="n">
        <v>16.88</v>
      </c>
      <c r="L229" s="98" t="s">
        <v>629</v>
      </c>
      <c r="M229" s="110" t="s">
        <v>1815</v>
      </c>
      <c r="N229" s="110" t="s">
        <v>586</v>
      </c>
      <c r="O229" s="3"/>
      <c r="P229" s="3"/>
      <c r="Q229" s="3"/>
      <c r="R229" s="3"/>
      <c r="S229" s="3"/>
      <c r="T229" s="3"/>
      <c r="U229" s="3"/>
      <c r="V229" s="3"/>
      <c r="W229" s="3"/>
      <c r="X229" s="3"/>
      <c r="Y229" s="3"/>
      <c r="Z229" s="3"/>
      <c r="AA229" s="3"/>
      <c r="AB229" s="3"/>
      <c r="AC229" s="3"/>
    </row>
    <row r="230" customFormat="false" ht="36" hidden="false" customHeight="true" outlineLevel="0" collapsed="false">
      <c r="A230" s="3"/>
      <c r="B230" s="139" t="s">
        <v>6486</v>
      </c>
      <c r="C230" s="109" t="s">
        <v>273</v>
      </c>
      <c r="D230" s="109" t="s">
        <v>1817</v>
      </c>
      <c r="E230" s="109" t="s">
        <v>1167</v>
      </c>
      <c r="F230" s="113" t="s">
        <v>1819</v>
      </c>
      <c r="G230" s="150" t="n">
        <v>15.89</v>
      </c>
      <c r="H230" s="91" t="s">
        <v>265</v>
      </c>
      <c r="I230" s="144" t="n">
        <v>1</v>
      </c>
      <c r="J230" s="91"/>
      <c r="K230" s="150" t="n">
        <v>13.24</v>
      </c>
      <c r="L230" s="91" t="s">
        <v>629</v>
      </c>
      <c r="M230" s="109" t="s">
        <v>1818</v>
      </c>
      <c r="N230" s="109" t="s">
        <v>586</v>
      </c>
      <c r="O230" s="3"/>
      <c r="P230" s="3"/>
      <c r="Q230" s="3"/>
      <c r="R230" s="3"/>
      <c r="S230" s="3"/>
      <c r="T230" s="3"/>
      <c r="U230" s="3"/>
      <c r="V230" s="3"/>
      <c r="W230" s="3"/>
      <c r="X230" s="3"/>
      <c r="Y230" s="3"/>
      <c r="Z230" s="3"/>
      <c r="AA230" s="3"/>
      <c r="AB230" s="3"/>
      <c r="AC230" s="3"/>
    </row>
    <row r="231" customFormat="false" ht="36" hidden="false" customHeight="true" outlineLevel="0" collapsed="false">
      <c r="A231" s="3"/>
      <c r="B231" s="141" t="s">
        <v>6486</v>
      </c>
      <c r="C231" s="110" t="s">
        <v>281</v>
      </c>
      <c r="D231" s="110" t="s">
        <v>1820</v>
      </c>
      <c r="E231" s="110" t="s">
        <v>1823</v>
      </c>
      <c r="F231" s="117" t="s">
        <v>1822</v>
      </c>
      <c r="G231" s="151" t="n">
        <v>20.96</v>
      </c>
      <c r="H231" s="98" t="s">
        <v>590</v>
      </c>
      <c r="I231" s="146" t="n">
        <v>1</v>
      </c>
      <c r="J231" s="98"/>
      <c r="K231" s="151" t="n">
        <v>20.96</v>
      </c>
      <c r="L231" s="98" t="s">
        <v>530</v>
      </c>
      <c r="M231" s="110" t="s">
        <v>1821</v>
      </c>
      <c r="N231" s="110" t="s">
        <v>586</v>
      </c>
      <c r="O231" s="3"/>
      <c r="P231" s="3"/>
      <c r="Q231" s="3"/>
      <c r="R231" s="3"/>
      <c r="S231" s="3"/>
      <c r="T231" s="3"/>
      <c r="U231" s="3"/>
      <c r="V231" s="3"/>
      <c r="W231" s="3"/>
      <c r="X231" s="3"/>
      <c r="Y231" s="3"/>
      <c r="Z231" s="3"/>
      <c r="AA231" s="3"/>
      <c r="AB231" s="3"/>
      <c r="AC231" s="3"/>
    </row>
    <row r="232" customFormat="false" ht="36" hidden="false" customHeight="true" outlineLevel="0" collapsed="false">
      <c r="A232" s="3"/>
      <c r="B232" s="139" t="s">
        <v>6486</v>
      </c>
      <c r="C232" s="109" t="s">
        <v>285</v>
      </c>
      <c r="D232" s="109" t="s">
        <v>1824</v>
      </c>
      <c r="E232" s="109" t="s">
        <v>733</v>
      </c>
      <c r="F232" s="113" t="s">
        <v>1826</v>
      </c>
      <c r="G232" s="150" t="n">
        <v>18.1</v>
      </c>
      <c r="H232" s="91" t="s">
        <v>590</v>
      </c>
      <c r="I232" s="144" t="n">
        <v>1</v>
      </c>
      <c r="J232" s="91"/>
      <c r="K232" s="150" t="n">
        <v>18.1</v>
      </c>
      <c r="L232" s="91" t="s">
        <v>629</v>
      </c>
      <c r="M232" s="109" t="s">
        <v>1825</v>
      </c>
      <c r="N232" s="109" t="s">
        <v>586</v>
      </c>
      <c r="O232" s="3"/>
      <c r="P232" s="3"/>
      <c r="Q232" s="3"/>
      <c r="R232" s="3"/>
      <c r="S232" s="3"/>
      <c r="T232" s="3"/>
      <c r="U232" s="3"/>
      <c r="V232" s="3"/>
      <c r="W232" s="3"/>
      <c r="X232" s="3"/>
      <c r="Y232" s="3"/>
      <c r="Z232" s="3"/>
      <c r="AA232" s="3"/>
      <c r="AB232" s="3"/>
      <c r="AC232" s="3"/>
    </row>
    <row r="233" customFormat="false" ht="36" hidden="false" customHeight="true" outlineLevel="0" collapsed="false">
      <c r="A233" s="3"/>
      <c r="B233" s="141" t="s">
        <v>6488</v>
      </c>
      <c r="C233" s="110" t="s">
        <v>277</v>
      </c>
      <c r="D233" s="110" t="s">
        <v>1838</v>
      </c>
      <c r="E233" s="110" t="s">
        <v>610</v>
      </c>
      <c r="F233" s="117" t="s">
        <v>1840</v>
      </c>
      <c r="G233" s="151" t="n">
        <v>72.99</v>
      </c>
      <c r="H233" s="98" t="s">
        <v>590</v>
      </c>
      <c r="I233" s="146" t="n">
        <v>8</v>
      </c>
      <c r="J233" s="98" t="s">
        <v>1240</v>
      </c>
      <c r="K233" s="151" t="n">
        <v>9.12</v>
      </c>
      <c r="L233" s="98" t="s">
        <v>702</v>
      </c>
      <c r="M233" s="110" t="s">
        <v>1839</v>
      </c>
      <c r="N233" s="110" t="s">
        <v>586</v>
      </c>
      <c r="O233" s="3"/>
      <c r="P233" s="3"/>
      <c r="Q233" s="3"/>
      <c r="R233" s="3"/>
      <c r="S233" s="3"/>
      <c r="T233" s="3"/>
      <c r="U233" s="3"/>
      <c r="V233" s="3"/>
      <c r="W233" s="3"/>
      <c r="X233" s="3"/>
      <c r="Y233" s="3"/>
      <c r="Z233" s="3"/>
      <c r="AA233" s="3"/>
      <c r="AB233" s="3"/>
      <c r="AC233" s="3"/>
    </row>
    <row r="234" customFormat="false" ht="36" hidden="false" customHeight="true" outlineLevel="0" collapsed="false">
      <c r="A234" s="3"/>
      <c r="B234" s="139" t="s">
        <v>6488</v>
      </c>
      <c r="C234" s="109" t="s">
        <v>264</v>
      </c>
      <c r="D234" s="109" t="s">
        <v>1841</v>
      </c>
      <c r="E234" s="109" t="s">
        <v>603</v>
      </c>
      <c r="F234" s="113" t="s">
        <v>1843</v>
      </c>
      <c r="G234" s="150" t="n">
        <v>38</v>
      </c>
      <c r="H234" s="91" t="s">
        <v>590</v>
      </c>
      <c r="I234" s="144" t="n">
        <v>1</v>
      </c>
      <c r="J234" s="91"/>
      <c r="K234" s="150" t="n">
        <v>38</v>
      </c>
      <c r="L234" s="91" t="s">
        <v>702</v>
      </c>
      <c r="M234" s="109" t="s">
        <v>1842</v>
      </c>
      <c r="N234" s="109" t="s">
        <v>586</v>
      </c>
      <c r="O234" s="3"/>
      <c r="P234" s="3"/>
      <c r="Q234" s="3"/>
      <c r="R234" s="3"/>
      <c r="S234" s="3"/>
      <c r="T234" s="3"/>
      <c r="U234" s="3"/>
      <c r="V234" s="3"/>
      <c r="W234" s="3"/>
      <c r="X234" s="3"/>
      <c r="Y234" s="3"/>
      <c r="Z234" s="3"/>
      <c r="AA234" s="3"/>
      <c r="AB234" s="3"/>
      <c r="AC234" s="3"/>
    </row>
    <row r="235" customFormat="false" ht="36" hidden="false" customHeight="true" outlineLevel="0" collapsed="false">
      <c r="A235" s="3"/>
      <c r="B235" s="141" t="s">
        <v>6488</v>
      </c>
      <c r="C235" s="110" t="s">
        <v>273</v>
      </c>
      <c r="D235" s="110" t="s">
        <v>1844</v>
      </c>
      <c r="E235" s="110" t="s">
        <v>642</v>
      </c>
      <c r="F235" s="117" t="s">
        <v>1846</v>
      </c>
      <c r="G235" s="151" t="n">
        <v>29.9</v>
      </c>
      <c r="H235" s="98" t="s">
        <v>265</v>
      </c>
      <c r="I235" s="146" t="n">
        <v>1</v>
      </c>
      <c r="J235" s="98"/>
      <c r="K235" s="151" t="n">
        <v>24.92</v>
      </c>
      <c r="L235" s="98" t="s">
        <v>702</v>
      </c>
      <c r="M235" s="110" t="s">
        <v>1845</v>
      </c>
      <c r="N235" s="110" t="s">
        <v>586</v>
      </c>
      <c r="O235" s="3"/>
      <c r="P235" s="3"/>
      <c r="Q235" s="3"/>
      <c r="R235" s="3"/>
      <c r="S235" s="3"/>
      <c r="T235" s="3"/>
      <c r="U235" s="3"/>
      <c r="V235" s="3"/>
      <c r="W235" s="3"/>
      <c r="X235" s="3"/>
      <c r="Y235" s="3"/>
      <c r="Z235" s="3"/>
      <c r="AA235" s="3"/>
      <c r="AB235" s="3"/>
      <c r="AC235" s="3"/>
    </row>
    <row r="236" customFormat="false" ht="36" hidden="false" customHeight="true" outlineLevel="0" collapsed="false">
      <c r="A236" s="3"/>
      <c r="B236" s="139" t="s">
        <v>6488</v>
      </c>
      <c r="C236" s="109" t="s">
        <v>281</v>
      </c>
      <c r="D236" s="109" t="s">
        <v>1847</v>
      </c>
      <c r="E236" s="109" t="s">
        <v>603</v>
      </c>
      <c r="F236" s="113" t="s">
        <v>1849</v>
      </c>
      <c r="G236" s="150" t="n">
        <v>10.01</v>
      </c>
      <c r="H236" s="91" t="s">
        <v>590</v>
      </c>
      <c r="I236" s="144" t="n">
        <v>1</v>
      </c>
      <c r="J236" s="91"/>
      <c r="K236" s="150" t="n">
        <v>10.01</v>
      </c>
      <c r="L236" s="91" t="s">
        <v>702</v>
      </c>
      <c r="M236" s="109" t="s">
        <v>1848</v>
      </c>
      <c r="N236" s="109" t="s">
        <v>586</v>
      </c>
      <c r="O236" s="3"/>
      <c r="P236" s="3"/>
      <c r="Q236" s="3"/>
      <c r="R236" s="3"/>
      <c r="S236" s="3"/>
      <c r="T236" s="3"/>
      <c r="U236" s="3"/>
      <c r="V236" s="3"/>
      <c r="W236" s="3"/>
      <c r="X236" s="3"/>
      <c r="Y236" s="3"/>
      <c r="Z236" s="3"/>
      <c r="AA236" s="3"/>
      <c r="AB236" s="3"/>
      <c r="AC236" s="3"/>
    </row>
    <row r="237" customFormat="false" ht="36" hidden="false" customHeight="true" outlineLevel="0" collapsed="false">
      <c r="A237" s="3"/>
      <c r="B237" s="141" t="s">
        <v>6488</v>
      </c>
      <c r="C237" s="110" t="s">
        <v>285</v>
      </c>
      <c r="D237" s="110" t="s">
        <v>1345</v>
      </c>
      <c r="E237" s="110" t="s">
        <v>733</v>
      </c>
      <c r="F237" s="117" t="s">
        <v>1347</v>
      </c>
      <c r="G237" s="151" t="n">
        <v>34.9</v>
      </c>
      <c r="H237" s="98" t="s">
        <v>590</v>
      </c>
      <c r="I237" s="146" t="n">
        <v>1</v>
      </c>
      <c r="J237" s="98"/>
      <c r="K237" s="151" t="n">
        <v>34.9</v>
      </c>
      <c r="L237" s="98" t="s">
        <v>702</v>
      </c>
      <c r="M237" s="110" t="s">
        <v>1850</v>
      </c>
      <c r="N237" s="110" t="s">
        <v>586</v>
      </c>
      <c r="O237" s="3"/>
      <c r="P237" s="3"/>
      <c r="Q237" s="3"/>
      <c r="R237" s="3"/>
      <c r="S237" s="3"/>
      <c r="T237" s="3"/>
      <c r="U237" s="3"/>
      <c r="V237" s="3"/>
      <c r="W237" s="3"/>
      <c r="X237" s="3"/>
      <c r="Y237" s="3"/>
      <c r="Z237" s="3"/>
      <c r="AA237" s="3"/>
      <c r="AB237" s="3"/>
      <c r="AC237" s="3"/>
    </row>
    <row r="238" customFormat="false" ht="36" hidden="false" customHeight="true" outlineLevel="0" collapsed="false">
      <c r="A238" s="3"/>
      <c r="B238" s="139" t="s">
        <v>6488</v>
      </c>
      <c r="C238" s="109" t="s">
        <v>293</v>
      </c>
      <c r="D238" s="109" t="s">
        <v>1851</v>
      </c>
      <c r="E238" s="109" t="s">
        <v>589</v>
      </c>
      <c r="F238" s="113" t="s">
        <v>1853</v>
      </c>
      <c r="G238" s="150" t="n">
        <v>18</v>
      </c>
      <c r="H238" s="91" t="s">
        <v>590</v>
      </c>
      <c r="I238" s="144" t="n">
        <v>1</v>
      </c>
      <c r="J238" s="91"/>
      <c r="K238" s="150" t="n">
        <v>18</v>
      </c>
      <c r="L238" s="91" t="s">
        <v>702</v>
      </c>
      <c r="M238" s="109" t="s">
        <v>1852</v>
      </c>
      <c r="N238" s="109" t="s">
        <v>586</v>
      </c>
      <c r="O238" s="3"/>
      <c r="P238" s="3"/>
      <c r="Q238" s="3"/>
      <c r="R238" s="3"/>
      <c r="S238" s="3"/>
      <c r="T238" s="3"/>
      <c r="U238" s="3"/>
      <c r="V238" s="3"/>
      <c r="W238" s="3"/>
      <c r="X238" s="3"/>
      <c r="Y238" s="3"/>
      <c r="Z238" s="3"/>
      <c r="AA238" s="3"/>
      <c r="AB238" s="3"/>
      <c r="AC238" s="3"/>
    </row>
    <row r="239" customFormat="false" ht="36" hidden="false" customHeight="true" outlineLevel="0" collapsed="false">
      <c r="A239" s="3"/>
      <c r="B239" s="141" t="s">
        <v>6490</v>
      </c>
      <c r="C239" s="110" t="s">
        <v>243</v>
      </c>
      <c r="D239" s="110" t="s">
        <v>1862</v>
      </c>
      <c r="E239" s="110"/>
      <c r="F239" s="117" t="s">
        <v>1864</v>
      </c>
      <c r="G239" s="151" t="n">
        <v>6.4</v>
      </c>
      <c r="H239" s="98" t="s">
        <v>590</v>
      </c>
      <c r="I239" s="146" t="n">
        <v>1</v>
      </c>
      <c r="J239" s="98"/>
      <c r="K239" s="151" t="n">
        <v>6.4</v>
      </c>
      <c r="L239" s="98" t="s">
        <v>530</v>
      </c>
      <c r="M239" s="110" t="s">
        <v>1863</v>
      </c>
      <c r="N239" s="110" t="s">
        <v>586</v>
      </c>
      <c r="O239" s="3"/>
      <c r="P239" s="3"/>
      <c r="Q239" s="3"/>
      <c r="R239" s="3"/>
      <c r="S239" s="3"/>
      <c r="T239" s="3"/>
      <c r="U239" s="3"/>
      <c r="V239" s="3"/>
      <c r="W239" s="3"/>
      <c r="X239" s="3"/>
      <c r="Y239" s="3"/>
      <c r="Z239" s="3"/>
      <c r="AA239" s="3"/>
      <c r="AB239" s="3"/>
      <c r="AC239" s="3"/>
    </row>
    <row r="240" customFormat="false" ht="36" hidden="false" customHeight="true" outlineLevel="0" collapsed="false">
      <c r="A240" s="3"/>
      <c r="B240" s="139" t="s">
        <v>6490</v>
      </c>
      <c r="C240" s="109" t="s">
        <v>277</v>
      </c>
      <c r="D240" s="109" t="s">
        <v>1865</v>
      </c>
      <c r="E240" s="109" t="s">
        <v>610</v>
      </c>
      <c r="F240" s="113" t="s">
        <v>1866</v>
      </c>
      <c r="G240" s="150" t="n">
        <v>54.99</v>
      </c>
      <c r="H240" s="91" t="s">
        <v>590</v>
      </c>
      <c r="I240" s="144" t="n">
        <v>6</v>
      </c>
      <c r="J240" s="91" t="s">
        <v>611</v>
      </c>
      <c r="K240" s="150" t="n">
        <v>9.17</v>
      </c>
      <c r="L240" s="91" t="s">
        <v>530</v>
      </c>
      <c r="M240" s="109" t="s">
        <v>696</v>
      </c>
      <c r="N240" s="109" t="s">
        <v>586</v>
      </c>
      <c r="O240" s="3"/>
      <c r="P240" s="3"/>
      <c r="Q240" s="3"/>
      <c r="R240" s="3"/>
      <c r="S240" s="3"/>
      <c r="T240" s="3"/>
      <c r="U240" s="3"/>
      <c r="V240" s="3"/>
      <c r="W240" s="3"/>
      <c r="X240" s="3"/>
      <c r="Y240" s="3"/>
      <c r="Z240" s="3"/>
      <c r="AA240" s="3"/>
      <c r="AB240" s="3"/>
      <c r="AC240" s="3"/>
    </row>
    <row r="241" customFormat="false" ht="36" hidden="false" customHeight="true" outlineLevel="0" collapsed="false">
      <c r="A241" s="3"/>
      <c r="B241" s="141" t="s">
        <v>6490</v>
      </c>
      <c r="C241" s="110" t="s">
        <v>257</v>
      </c>
      <c r="D241" s="110" t="s">
        <v>1867</v>
      </c>
      <c r="E241" s="110" t="s">
        <v>1576</v>
      </c>
      <c r="F241" s="117" t="s">
        <v>1868</v>
      </c>
      <c r="G241" s="151" t="n">
        <v>28</v>
      </c>
      <c r="H241" s="98" t="s">
        <v>590</v>
      </c>
      <c r="I241" s="146" t="n">
        <v>1</v>
      </c>
      <c r="J241" s="98"/>
      <c r="K241" s="151" t="n">
        <v>28</v>
      </c>
      <c r="L241" s="98" t="s">
        <v>530</v>
      </c>
      <c r="M241" s="110"/>
      <c r="N241" s="110" t="s">
        <v>586</v>
      </c>
      <c r="O241" s="3"/>
      <c r="P241" s="3"/>
      <c r="Q241" s="3"/>
      <c r="R241" s="3"/>
      <c r="S241" s="3"/>
      <c r="T241" s="3"/>
      <c r="U241" s="3"/>
      <c r="V241" s="3"/>
      <c r="W241" s="3"/>
      <c r="X241" s="3"/>
      <c r="Y241" s="3"/>
      <c r="Z241" s="3"/>
      <c r="AA241" s="3"/>
      <c r="AB241" s="3"/>
      <c r="AC241" s="3"/>
    </row>
    <row r="242" customFormat="false" ht="36" hidden="false" customHeight="true" outlineLevel="0" collapsed="false">
      <c r="A242" s="3"/>
      <c r="B242" s="139" t="s">
        <v>6490</v>
      </c>
      <c r="C242" s="109" t="s">
        <v>269</v>
      </c>
      <c r="D242" s="109" t="s">
        <v>1869</v>
      </c>
      <c r="E242" s="109" t="s">
        <v>598</v>
      </c>
      <c r="F242" s="113" t="s">
        <v>1871</v>
      </c>
      <c r="G242" s="150" t="n">
        <v>18.09</v>
      </c>
      <c r="H242" s="91" t="s">
        <v>590</v>
      </c>
      <c r="I242" s="144" t="n">
        <v>1</v>
      </c>
      <c r="J242" s="91"/>
      <c r="K242" s="150" t="n">
        <v>18.09</v>
      </c>
      <c r="L242" s="91" t="s">
        <v>530</v>
      </c>
      <c r="M242" s="109" t="s">
        <v>1870</v>
      </c>
      <c r="N242" s="109" t="s">
        <v>586</v>
      </c>
      <c r="O242" s="3"/>
      <c r="P242" s="3"/>
      <c r="Q242" s="3"/>
      <c r="R242" s="3"/>
      <c r="S242" s="3"/>
      <c r="T242" s="3"/>
      <c r="U242" s="3"/>
      <c r="V242" s="3"/>
      <c r="W242" s="3"/>
      <c r="X242" s="3"/>
      <c r="Y242" s="3"/>
      <c r="Z242" s="3"/>
      <c r="AA242" s="3"/>
      <c r="AB242" s="3"/>
      <c r="AC242" s="3"/>
    </row>
    <row r="243" customFormat="false" ht="36" hidden="false" customHeight="true" outlineLevel="0" collapsed="false">
      <c r="A243" s="3"/>
      <c r="B243" s="141" t="s">
        <v>6490</v>
      </c>
      <c r="C243" s="110" t="s">
        <v>264</v>
      </c>
      <c r="D243" s="110" t="s">
        <v>1872</v>
      </c>
      <c r="E243" s="110" t="s">
        <v>388</v>
      </c>
      <c r="F243" s="117" t="s">
        <v>1874</v>
      </c>
      <c r="G243" s="151" t="n">
        <v>29.25</v>
      </c>
      <c r="H243" s="98" t="s">
        <v>590</v>
      </c>
      <c r="I243" s="146" t="n">
        <v>1</v>
      </c>
      <c r="J243" s="98"/>
      <c r="K243" s="151" t="n">
        <v>29.25</v>
      </c>
      <c r="L243" s="98" t="s">
        <v>530</v>
      </c>
      <c r="M243" s="110" t="s">
        <v>1873</v>
      </c>
      <c r="N243" s="110" t="s">
        <v>586</v>
      </c>
      <c r="O243" s="3"/>
      <c r="P243" s="3"/>
      <c r="Q243" s="3"/>
      <c r="R243" s="3"/>
      <c r="S243" s="3"/>
      <c r="T243" s="3"/>
      <c r="U243" s="3"/>
      <c r="V243" s="3"/>
      <c r="W243" s="3"/>
      <c r="X243" s="3"/>
      <c r="Y243" s="3"/>
      <c r="Z243" s="3"/>
      <c r="AA243" s="3"/>
      <c r="AB243" s="3"/>
      <c r="AC243" s="3"/>
    </row>
    <row r="244" customFormat="false" ht="36" hidden="false" customHeight="true" outlineLevel="0" collapsed="false">
      <c r="A244" s="3"/>
      <c r="B244" s="139" t="s">
        <v>6490</v>
      </c>
      <c r="C244" s="109" t="s">
        <v>273</v>
      </c>
      <c r="D244" s="109" t="s">
        <v>1875</v>
      </c>
      <c r="E244" s="109" t="s">
        <v>598</v>
      </c>
      <c r="F244" s="113" t="s">
        <v>1877</v>
      </c>
      <c r="G244" s="150" t="n">
        <v>15.39</v>
      </c>
      <c r="H244" s="91" t="s">
        <v>265</v>
      </c>
      <c r="I244" s="144" t="n">
        <v>1</v>
      </c>
      <c r="J244" s="91"/>
      <c r="K244" s="150" t="n">
        <v>12.83</v>
      </c>
      <c r="L244" s="91" t="s">
        <v>530</v>
      </c>
      <c r="M244" s="109" t="s">
        <v>1876</v>
      </c>
      <c r="N244" s="109" t="s">
        <v>586</v>
      </c>
      <c r="O244" s="3"/>
      <c r="P244" s="3"/>
      <c r="Q244" s="3"/>
      <c r="R244" s="3"/>
      <c r="S244" s="3"/>
      <c r="T244" s="3"/>
      <c r="U244" s="3"/>
      <c r="V244" s="3"/>
      <c r="W244" s="3"/>
      <c r="X244" s="3"/>
      <c r="Y244" s="3"/>
      <c r="Z244" s="3"/>
      <c r="AA244" s="3"/>
      <c r="AB244" s="3"/>
      <c r="AC244" s="3"/>
    </row>
    <row r="245" customFormat="false" ht="36" hidden="false" customHeight="true" outlineLevel="0" collapsed="false">
      <c r="A245" s="3"/>
      <c r="B245" s="141" t="s">
        <v>6490</v>
      </c>
      <c r="C245" s="110" t="s">
        <v>281</v>
      </c>
      <c r="D245" s="110" t="s">
        <v>1878</v>
      </c>
      <c r="E245" s="110" t="s">
        <v>603</v>
      </c>
      <c r="F245" s="117" t="s">
        <v>1879</v>
      </c>
      <c r="G245" s="151" t="n">
        <v>20.65</v>
      </c>
      <c r="H245" s="98" t="s">
        <v>590</v>
      </c>
      <c r="I245" s="146" t="n">
        <v>1</v>
      </c>
      <c r="J245" s="98"/>
      <c r="K245" s="151" t="n">
        <v>20.65</v>
      </c>
      <c r="L245" s="98" t="s">
        <v>530</v>
      </c>
      <c r="M245" s="110" t="s">
        <v>696</v>
      </c>
      <c r="N245" s="110" t="s">
        <v>586</v>
      </c>
      <c r="O245" s="3"/>
      <c r="P245" s="3"/>
      <c r="Q245" s="3"/>
      <c r="R245" s="3"/>
      <c r="S245" s="3"/>
      <c r="T245" s="3"/>
      <c r="U245" s="3"/>
      <c r="V245" s="3"/>
      <c r="W245" s="3"/>
      <c r="X245" s="3"/>
      <c r="Y245" s="3"/>
      <c r="Z245" s="3"/>
      <c r="AA245" s="3"/>
      <c r="AB245" s="3"/>
      <c r="AC245" s="3"/>
    </row>
    <row r="246" customFormat="false" ht="36" hidden="false" customHeight="true" outlineLevel="0" collapsed="false">
      <c r="A246" s="3"/>
      <c r="B246" s="139" t="s">
        <v>6490</v>
      </c>
      <c r="C246" s="109" t="s">
        <v>293</v>
      </c>
      <c r="D246" s="109" t="s">
        <v>1880</v>
      </c>
      <c r="E246" s="109" t="s">
        <v>589</v>
      </c>
      <c r="F246" s="113" t="s">
        <v>1882</v>
      </c>
      <c r="G246" s="150" t="n">
        <v>17</v>
      </c>
      <c r="H246" s="91" t="s">
        <v>590</v>
      </c>
      <c r="I246" s="144" t="n">
        <v>1</v>
      </c>
      <c r="J246" s="91"/>
      <c r="K246" s="150" t="n">
        <v>17</v>
      </c>
      <c r="L246" s="91" t="s">
        <v>530</v>
      </c>
      <c r="M246" s="109" t="s">
        <v>1881</v>
      </c>
      <c r="N246" s="109" t="s">
        <v>586</v>
      </c>
      <c r="O246" s="3"/>
      <c r="P246" s="3"/>
      <c r="Q246" s="3"/>
      <c r="R246" s="3"/>
      <c r="S246" s="3"/>
      <c r="T246" s="3"/>
      <c r="U246" s="3"/>
      <c r="V246" s="3"/>
      <c r="W246" s="3"/>
      <c r="X246" s="3"/>
      <c r="Y246" s="3"/>
      <c r="Z246" s="3"/>
      <c r="AA246" s="3"/>
      <c r="AB246" s="3"/>
      <c r="AC246" s="3"/>
    </row>
    <row r="247" customFormat="false" ht="36" hidden="false" customHeight="true" outlineLevel="0" collapsed="false">
      <c r="A247" s="3"/>
      <c r="B247" s="141" t="s">
        <v>6491</v>
      </c>
      <c r="C247" s="110" t="s">
        <v>243</v>
      </c>
      <c r="D247" s="110" t="s">
        <v>1895</v>
      </c>
      <c r="E247" s="110"/>
      <c r="F247" s="117" t="s">
        <v>1897</v>
      </c>
      <c r="G247" s="151" t="n">
        <v>3.23</v>
      </c>
      <c r="H247" s="98" t="s">
        <v>590</v>
      </c>
      <c r="I247" s="146" t="n">
        <v>1</v>
      </c>
      <c r="J247" s="98"/>
      <c r="K247" s="151" t="n">
        <v>3.23</v>
      </c>
      <c r="L247" s="98" t="s">
        <v>530</v>
      </c>
      <c r="M247" s="110" t="s">
        <v>1896</v>
      </c>
      <c r="N247" s="110" t="s">
        <v>586</v>
      </c>
      <c r="O247" s="3"/>
      <c r="P247" s="3"/>
      <c r="Q247" s="3"/>
      <c r="R247" s="3"/>
      <c r="S247" s="3"/>
      <c r="T247" s="3"/>
      <c r="U247" s="3"/>
      <c r="V247" s="3"/>
      <c r="W247" s="3"/>
      <c r="X247" s="3"/>
      <c r="Y247" s="3"/>
      <c r="Z247" s="3"/>
      <c r="AA247" s="3"/>
      <c r="AB247" s="3"/>
      <c r="AC247" s="3"/>
    </row>
    <row r="248" customFormat="false" ht="36" hidden="false" customHeight="true" outlineLevel="0" collapsed="false">
      <c r="A248" s="3"/>
      <c r="B248" s="139" t="s">
        <v>6491</v>
      </c>
      <c r="C248" s="109" t="s">
        <v>277</v>
      </c>
      <c r="D248" s="109" t="s">
        <v>1898</v>
      </c>
      <c r="E248" s="109" t="s">
        <v>610</v>
      </c>
      <c r="F248" s="113" t="s">
        <v>1899</v>
      </c>
      <c r="G248" s="150" t="n">
        <v>46.99</v>
      </c>
      <c r="H248" s="91" t="s">
        <v>590</v>
      </c>
      <c r="I248" s="144" t="n">
        <v>12</v>
      </c>
      <c r="J248" s="91" t="s">
        <v>754</v>
      </c>
      <c r="K248" s="150" t="n">
        <v>3.92</v>
      </c>
      <c r="L248" s="91" t="s">
        <v>530</v>
      </c>
      <c r="M248" s="109"/>
      <c r="N248" s="109" t="s">
        <v>586</v>
      </c>
      <c r="O248" s="3"/>
      <c r="P248" s="3"/>
      <c r="Q248" s="3"/>
      <c r="R248" s="3"/>
      <c r="S248" s="3"/>
      <c r="T248" s="3"/>
      <c r="U248" s="3"/>
      <c r="V248" s="3"/>
      <c r="W248" s="3"/>
      <c r="X248" s="3"/>
      <c r="Y248" s="3"/>
      <c r="Z248" s="3"/>
      <c r="AA248" s="3"/>
      <c r="AB248" s="3"/>
      <c r="AC248" s="3"/>
    </row>
    <row r="249" customFormat="false" ht="36" hidden="false" customHeight="true" outlineLevel="0" collapsed="false">
      <c r="A249" s="3"/>
      <c r="B249" s="141" t="s">
        <v>6491</v>
      </c>
      <c r="C249" s="110" t="s">
        <v>257</v>
      </c>
      <c r="D249" s="110" t="s">
        <v>1900</v>
      </c>
      <c r="E249" s="110" t="s">
        <v>1576</v>
      </c>
      <c r="F249" s="117" t="s">
        <v>1901</v>
      </c>
      <c r="G249" s="151" t="n">
        <v>8</v>
      </c>
      <c r="H249" s="98" t="s">
        <v>590</v>
      </c>
      <c r="I249" s="146" t="n">
        <v>1</v>
      </c>
      <c r="J249" s="98"/>
      <c r="K249" s="151" t="n">
        <v>8</v>
      </c>
      <c r="L249" s="98" t="s">
        <v>530</v>
      </c>
      <c r="M249" s="110"/>
      <c r="N249" s="110" t="s">
        <v>586</v>
      </c>
      <c r="O249" s="3"/>
      <c r="P249" s="3"/>
      <c r="Q249" s="3"/>
      <c r="R249" s="3"/>
      <c r="S249" s="3"/>
      <c r="T249" s="3"/>
      <c r="U249" s="3"/>
      <c r="V249" s="3"/>
      <c r="W249" s="3"/>
      <c r="X249" s="3"/>
      <c r="Y249" s="3"/>
      <c r="Z249" s="3"/>
      <c r="AA249" s="3"/>
      <c r="AB249" s="3"/>
      <c r="AC249" s="3"/>
    </row>
    <row r="250" customFormat="false" ht="36" hidden="false" customHeight="true" outlineLevel="0" collapsed="false">
      <c r="A250" s="3"/>
      <c r="B250" s="139" t="s">
        <v>6491</v>
      </c>
      <c r="C250" s="109" t="s">
        <v>269</v>
      </c>
      <c r="D250" s="109" t="s">
        <v>1902</v>
      </c>
      <c r="E250" s="109" t="s">
        <v>598</v>
      </c>
      <c r="F250" s="113" t="s">
        <v>1904</v>
      </c>
      <c r="G250" s="150" t="n">
        <v>3.79</v>
      </c>
      <c r="H250" s="91" t="s">
        <v>590</v>
      </c>
      <c r="I250" s="144" t="n">
        <v>1</v>
      </c>
      <c r="J250" s="91"/>
      <c r="K250" s="150" t="n">
        <v>3.79</v>
      </c>
      <c r="L250" s="91" t="s">
        <v>530</v>
      </c>
      <c r="M250" s="109" t="s">
        <v>1903</v>
      </c>
      <c r="N250" s="109" t="s">
        <v>586</v>
      </c>
      <c r="O250" s="3"/>
      <c r="P250" s="3"/>
      <c r="Q250" s="3"/>
      <c r="R250" s="3"/>
      <c r="S250" s="3"/>
      <c r="T250" s="3"/>
      <c r="U250" s="3"/>
      <c r="V250" s="3"/>
      <c r="W250" s="3"/>
      <c r="X250" s="3"/>
      <c r="Y250" s="3"/>
      <c r="Z250" s="3"/>
      <c r="AA250" s="3"/>
      <c r="AB250" s="3"/>
      <c r="AC250" s="3"/>
    </row>
    <row r="251" customFormat="false" ht="36" hidden="false" customHeight="true" outlineLevel="0" collapsed="false">
      <c r="A251" s="3"/>
      <c r="B251" s="141" t="s">
        <v>6491</v>
      </c>
      <c r="C251" s="110" t="s">
        <v>264</v>
      </c>
      <c r="D251" s="110" t="s">
        <v>1905</v>
      </c>
      <c r="E251" s="110" t="s">
        <v>388</v>
      </c>
      <c r="F251" s="117" t="s">
        <v>1906</v>
      </c>
      <c r="G251" s="151" t="n">
        <v>14.86</v>
      </c>
      <c r="H251" s="98" t="s">
        <v>590</v>
      </c>
      <c r="I251" s="146" t="n">
        <v>1</v>
      </c>
      <c r="J251" s="98"/>
      <c r="K251" s="151" t="n">
        <v>14.86</v>
      </c>
      <c r="L251" s="98" t="s">
        <v>530</v>
      </c>
      <c r="M251" s="110"/>
      <c r="N251" s="110" t="s">
        <v>586</v>
      </c>
      <c r="O251" s="3"/>
      <c r="P251" s="3"/>
      <c r="Q251" s="3"/>
      <c r="R251" s="3"/>
      <c r="S251" s="3"/>
      <c r="T251" s="3"/>
      <c r="U251" s="3"/>
      <c r="V251" s="3"/>
      <c r="W251" s="3"/>
      <c r="X251" s="3"/>
      <c r="Y251" s="3"/>
      <c r="Z251" s="3"/>
      <c r="AA251" s="3"/>
      <c r="AB251" s="3"/>
      <c r="AC251" s="3"/>
    </row>
    <row r="252" customFormat="false" ht="36" hidden="false" customHeight="true" outlineLevel="0" collapsed="false">
      <c r="A252" s="3"/>
      <c r="B252" s="139" t="s">
        <v>6491</v>
      </c>
      <c r="C252" s="109" t="s">
        <v>273</v>
      </c>
      <c r="D252" s="109" t="s">
        <v>1907</v>
      </c>
      <c r="E252" s="109" t="s">
        <v>598</v>
      </c>
      <c r="F252" s="113" t="s">
        <v>1908</v>
      </c>
      <c r="G252" s="150" t="n">
        <v>3.89</v>
      </c>
      <c r="H252" s="91" t="s">
        <v>265</v>
      </c>
      <c r="I252" s="144" t="n">
        <v>1</v>
      </c>
      <c r="J252" s="91"/>
      <c r="K252" s="150" t="n">
        <v>3.24</v>
      </c>
      <c r="L252" s="91" t="s">
        <v>530</v>
      </c>
      <c r="M252" s="109"/>
      <c r="N252" s="109" t="s">
        <v>586</v>
      </c>
      <c r="O252" s="3"/>
      <c r="P252" s="3"/>
      <c r="Q252" s="3"/>
      <c r="R252" s="3"/>
      <c r="S252" s="3"/>
      <c r="T252" s="3"/>
      <c r="U252" s="3"/>
      <c r="V252" s="3"/>
      <c r="W252" s="3"/>
      <c r="X252" s="3"/>
      <c r="Y252" s="3"/>
      <c r="Z252" s="3"/>
      <c r="AA252" s="3"/>
      <c r="AB252" s="3"/>
      <c r="AC252" s="3"/>
    </row>
    <row r="253" customFormat="false" ht="36" hidden="false" customHeight="true" outlineLevel="0" collapsed="false">
      <c r="A253" s="3"/>
      <c r="B253" s="141" t="s">
        <v>6491</v>
      </c>
      <c r="C253" s="110" t="s">
        <v>281</v>
      </c>
      <c r="D253" s="110" t="s">
        <v>1909</v>
      </c>
      <c r="E253" s="110" t="s">
        <v>603</v>
      </c>
      <c r="F253" s="117" t="s">
        <v>1910</v>
      </c>
      <c r="G253" s="151" t="n">
        <v>4.13</v>
      </c>
      <c r="H253" s="98" t="s">
        <v>590</v>
      </c>
      <c r="I253" s="146" t="n">
        <v>1</v>
      </c>
      <c r="J253" s="98"/>
      <c r="K253" s="151" t="n">
        <v>4.13</v>
      </c>
      <c r="L253" s="98" t="s">
        <v>530</v>
      </c>
      <c r="M253" s="110" t="s">
        <v>696</v>
      </c>
      <c r="N253" s="110" t="s">
        <v>586</v>
      </c>
      <c r="O253" s="3"/>
      <c r="P253" s="3"/>
      <c r="Q253" s="3"/>
      <c r="R253" s="3"/>
      <c r="S253" s="3"/>
      <c r="T253" s="3"/>
      <c r="U253" s="3"/>
      <c r="V253" s="3"/>
      <c r="W253" s="3"/>
      <c r="X253" s="3"/>
      <c r="Y253" s="3"/>
      <c r="Z253" s="3"/>
      <c r="AA253" s="3"/>
      <c r="AB253" s="3"/>
      <c r="AC253" s="3"/>
    </row>
    <row r="254" customFormat="false" ht="36" hidden="false" customHeight="true" outlineLevel="0" collapsed="false">
      <c r="A254" s="3"/>
      <c r="B254" s="139" t="s">
        <v>6491</v>
      </c>
      <c r="C254" s="109" t="s">
        <v>285</v>
      </c>
      <c r="D254" s="109" t="s">
        <v>1911</v>
      </c>
      <c r="E254" s="109" t="s">
        <v>733</v>
      </c>
      <c r="F254" s="113" t="s">
        <v>1912</v>
      </c>
      <c r="G254" s="150" t="n">
        <v>14.3</v>
      </c>
      <c r="H254" s="91" t="s">
        <v>590</v>
      </c>
      <c r="I254" s="144" t="n">
        <v>1</v>
      </c>
      <c r="J254" s="91"/>
      <c r="K254" s="150" t="n">
        <v>14.3</v>
      </c>
      <c r="L254" s="91" t="s">
        <v>530</v>
      </c>
      <c r="M254" s="109" t="s">
        <v>696</v>
      </c>
      <c r="N254" s="109" t="s">
        <v>586</v>
      </c>
      <c r="O254" s="3"/>
      <c r="P254" s="3"/>
      <c r="Q254" s="3"/>
      <c r="R254" s="3"/>
      <c r="S254" s="3"/>
      <c r="T254" s="3"/>
      <c r="U254" s="3"/>
      <c r="V254" s="3"/>
      <c r="W254" s="3"/>
      <c r="X254" s="3"/>
      <c r="Y254" s="3"/>
      <c r="Z254" s="3"/>
      <c r="AA254" s="3"/>
      <c r="AB254" s="3"/>
      <c r="AC254" s="3"/>
    </row>
    <row r="255" customFormat="false" ht="36" hidden="false" customHeight="true" outlineLevel="0" collapsed="false">
      <c r="A255" s="3"/>
      <c r="B255" s="141" t="s">
        <v>6491</v>
      </c>
      <c r="C255" s="110" t="s">
        <v>293</v>
      </c>
      <c r="D255" s="110" t="s">
        <v>1913</v>
      </c>
      <c r="E255" s="110" t="s">
        <v>589</v>
      </c>
      <c r="F255" s="117" t="s">
        <v>1915</v>
      </c>
      <c r="G255" s="151" t="n">
        <v>3.7</v>
      </c>
      <c r="H255" s="98" t="s">
        <v>590</v>
      </c>
      <c r="I255" s="146" t="n">
        <v>1</v>
      </c>
      <c r="J255" s="98"/>
      <c r="K255" s="151" t="n">
        <v>3.7</v>
      </c>
      <c r="L255" s="98" t="s">
        <v>530</v>
      </c>
      <c r="M255" s="110" t="s">
        <v>1914</v>
      </c>
      <c r="N255" s="110" t="s">
        <v>586</v>
      </c>
      <c r="O255" s="3"/>
      <c r="P255" s="3"/>
      <c r="Q255" s="3"/>
      <c r="R255" s="3"/>
      <c r="S255" s="3"/>
      <c r="T255" s="3"/>
      <c r="U255" s="3"/>
      <c r="V255" s="3"/>
      <c r="W255" s="3"/>
      <c r="X255" s="3"/>
      <c r="Y255" s="3"/>
      <c r="Z255" s="3"/>
      <c r="AA255" s="3"/>
      <c r="AB255" s="3"/>
      <c r="AC255" s="3"/>
    </row>
    <row r="256" customFormat="false" ht="36" hidden="false" customHeight="true" outlineLevel="0" collapsed="false">
      <c r="A256" s="3"/>
      <c r="B256" s="139" t="s">
        <v>6492</v>
      </c>
      <c r="C256" s="109" t="s">
        <v>243</v>
      </c>
      <c r="D256" s="109" t="s">
        <v>1927</v>
      </c>
      <c r="E256" s="109" t="s">
        <v>388</v>
      </c>
      <c r="F256" s="113" t="s">
        <v>1929</v>
      </c>
      <c r="G256" s="150" t="n">
        <v>21.24</v>
      </c>
      <c r="H256" s="91" t="s">
        <v>590</v>
      </c>
      <c r="I256" s="144" t="n">
        <v>1</v>
      </c>
      <c r="J256" s="91"/>
      <c r="K256" s="150" t="n">
        <v>21.24</v>
      </c>
      <c r="L256" s="91" t="s">
        <v>702</v>
      </c>
      <c r="M256" s="109" t="s">
        <v>1928</v>
      </c>
      <c r="N256" s="109" t="s">
        <v>586</v>
      </c>
      <c r="O256" s="3"/>
      <c r="P256" s="3"/>
      <c r="Q256" s="3"/>
      <c r="R256" s="3"/>
      <c r="S256" s="3"/>
      <c r="T256" s="3"/>
      <c r="U256" s="3"/>
      <c r="V256" s="3"/>
      <c r="W256" s="3"/>
      <c r="X256" s="3"/>
      <c r="Y256" s="3"/>
      <c r="Z256" s="3"/>
      <c r="AA256" s="3"/>
      <c r="AB256" s="3"/>
      <c r="AC256" s="3"/>
    </row>
    <row r="257" customFormat="false" ht="36" hidden="false" customHeight="true" outlineLevel="0" collapsed="false">
      <c r="A257" s="3"/>
      <c r="B257" s="141" t="s">
        <v>6492</v>
      </c>
      <c r="C257" s="110" t="s">
        <v>277</v>
      </c>
      <c r="D257" s="110" t="s">
        <v>1930</v>
      </c>
      <c r="E257" s="110" t="s">
        <v>610</v>
      </c>
      <c r="F257" s="117" t="s">
        <v>1932</v>
      </c>
      <c r="G257" s="151" t="n">
        <v>26.49</v>
      </c>
      <c r="H257" s="98" t="s">
        <v>590</v>
      </c>
      <c r="I257" s="146" t="n">
        <v>1</v>
      </c>
      <c r="J257" s="98"/>
      <c r="K257" s="151" t="n">
        <v>26.49</v>
      </c>
      <c r="L257" s="98" t="s">
        <v>702</v>
      </c>
      <c r="M257" s="110" t="s">
        <v>1931</v>
      </c>
      <c r="N257" s="110" t="s">
        <v>586</v>
      </c>
      <c r="O257" s="3"/>
      <c r="P257" s="3"/>
      <c r="Q257" s="3"/>
      <c r="R257" s="3"/>
      <c r="S257" s="3"/>
      <c r="T257" s="3"/>
      <c r="U257" s="3"/>
      <c r="V257" s="3"/>
      <c r="W257" s="3"/>
      <c r="X257" s="3"/>
      <c r="Y257" s="3"/>
      <c r="Z257" s="3"/>
      <c r="AA257" s="3"/>
      <c r="AB257" s="3"/>
      <c r="AC257" s="3"/>
    </row>
    <row r="258" customFormat="false" ht="36" hidden="false" customHeight="true" outlineLevel="0" collapsed="false">
      <c r="A258" s="3"/>
      <c r="B258" s="139" t="s">
        <v>6492</v>
      </c>
      <c r="C258" s="109" t="s">
        <v>264</v>
      </c>
      <c r="D258" s="109" t="s">
        <v>1933</v>
      </c>
      <c r="E258" s="109" t="s">
        <v>388</v>
      </c>
      <c r="F258" s="113" t="s">
        <v>1935</v>
      </c>
      <c r="G258" s="150" t="n">
        <v>20.95</v>
      </c>
      <c r="H258" s="91" t="s">
        <v>590</v>
      </c>
      <c r="I258" s="144" t="n">
        <v>1</v>
      </c>
      <c r="J258" s="91"/>
      <c r="K258" s="150" t="n">
        <v>20.95</v>
      </c>
      <c r="L258" s="91" t="s">
        <v>530</v>
      </c>
      <c r="M258" s="109" t="s">
        <v>1934</v>
      </c>
      <c r="N258" s="109" t="s">
        <v>586</v>
      </c>
      <c r="O258" s="3"/>
      <c r="P258" s="3"/>
      <c r="Q258" s="3"/>
      <c r="R258" s="3"/>
      <c r="S258" s="3"/>
      <c r="T258" s="3"/>
      <c r="U258" s="3"/>
      <c r="V258" s="3"/>
      <c r="W258" s="3"/>
      <c r="X258" s="3"/>
      <c r="Y258" s="3"/>
      <c r="Z258" s="3"/>
      <c r="AA258" s="3"/>
      <c r="AB258" s="3"/>
      <c r="AC258" s="3"/>
    </row>
    <row r="259" customFormat="false" ht="36" hidden="false" customHeight="true" outlineLevel="0" collapsed="false">
      <c r="A259" s="3"/>
      <c r="B259" s="141" t="s">
        <v>6492</v>
      </c>
      <c r="C259" s="110" t="s">
        <v>273</v>
      </c>
      <c r="D259" s="110" t="s">
        <v>1936</v>
      </c>
      <c r="E259" s="110" t="s">
        <v>1030</v>
      </c>
      <c r="F259" s="117" t="s">
        <v>1938</v>
      </c>
      <c r="G259" s="151" t="n">
        <v>29.49</v>
      </c>
      <c r="H259" s="98" t="s">
        <v>265</v>
      </c>
      <c r="I259" s="146" t="n">
        <v>1</v>
      </c>
      <c r="J259" s="98"/>
      <c r="K259" s="151" t="n">
        <v>24.57</v>
      </c>
      <c r="L259" s="98" t="s">
        <v>702</v>
      </c>
      <c r="M259" s="110" t="s">
        <v>1937</v>
      </c>
      <c r="N259" s="110" t="s">
        <v>586</v>
      </c>
      <c r="O259" s="3"/>
      <c r="P259" s="3"/>
      <c r="Q259" s="3"/>
      <c r="R259" s="3"/>
      <c r="S259" s="3"/>
      <c r="T259" s="3"/>
      <c r="U259" s="3"/>
      <c r="V259" s="3"/>
      <c r="W259" s="3"/>
      <c r="X259" s="3"/>
      <c r="Y259" s="3"/>
      <c r="Z259" s="3"/>
      <c r="AA259" s="3"/>
      <c r="AB259" s="3"/>
      <c r="AC259" s="3"/>
    </row>
    <row r="260" customFormat="false" ht="36" hidden="false" customHeight="true" outlineLevel="0" collapsed="false">
      <c r="A260" s="3"/>
      <c r="B260" s="139" t="s">
        <v>6492</v>
      </c>
      <c r="C260" s="109" t="s">
        <v>281</v>
      </c>
      <c r="D260" s="109" t="s">
        <v>1939</v>
      </c>
      <c r="E260" s="109" t="s">
        <v>1942</v>
      </c>
      <c r="F260" s="113" t="s">
        <v>1941</v>
      </c>
      <c r="G260" s="150" t="n">
        <v>51.09</v>
      </c>
      <c r="H260" s="91" t="s">
        <v>590</v>
      </c>
      <c r="I260" s="144" t="n">
        <v>1</v>
      </c>
      <c r="J260" s="91"/>
      <c r="K260" s="150" t="n">
        <v>51.09</v>
      </c>
      <c r="L260" s="91" t="s">
        <v>702</v>
      </c>
      <c r="M260" s="109" t="s">
        <v>1940</v>
      </c>
      <c r="N260" s="109" t="s">
        <v>586</v>
      </c>
      <c r="O260" s="3"/>
      <c r="P260" s="3"/>
      <c r="Q260" s="3"/>
      <c r="R260" s="3"/>
      <c r="S260" s="3"/>
      <c r="T260" s="3"/>
      <c r="U260" s="3"/>
      <c r="V260" s="3"/>
      <c r="W260" s="3"/>
      <c r="X260" s="3"/>
      <c r="Y260" s="3"/>
      <c r="Z260" s="3"/>
      <c r="AA260" s="3"/>
      <c r="AB260" s="3"/>
      <c r="AC260" s="3"/>
    </row>
    <row r="261" customFormat="false" ht="36" hidden="false" customHeight="true" outlineLevel="0" collapsed="false">
      <c r="A261" s="3"/>
      <c r="B261" s="141" t="s">
        <v>6492</v>
      </c>
      <c r="C261" s="110" t="s">
        <v>285</v>
      </c>
      <c r="D261" s="110" t="s">
        <v>1943</v>
      </c>
      <c r="E261" s="110" t="s">
        <v>733</v>
      </c>
      <c r="F261" s="117" t="s">
        <v>1945</v>
      </c>
      <c r="G261" s="151" t="n">
        <v>23.9</v>
      </c>
      <c r="H261" s="98" t="s">
        <v>590</v>
      </c>
      <c r="I261" s="146" t="n">
        <v>1</v>
      </c>
      <c r="J261" s="98"/>
      <c r="K261" s="151" t="n">
        <v>23.9</v>
      </c>
      <c r="L261" s="98" t="s">
        <v>702</v>
      </c>
      <c r="M261" s="110" t="s">
        <v>1944</v>
      </c>
      <c r="N261" s="110" t="s">
        <v>586</v>
      </c>
      <c r="O261" s="3"/>
      <c r="P261" s="3"/>
      <c r="Q261" s="3"/>
      <c r="R261" s="3"/>
      <c r="S261" s="3"/>
      <c r="T261" s="3"/>
      <c r="U261" s="3"/>
      <c r="V261" s="3"/>
      <c r="W261" s="3"/>
      <c r="X261" s="3"/>
      <c r="Y261" s="3"/>
      <c r="Z261" s="3"/>
      <c r="AA261" s="3"/>
      <c r="AB261" s="3"/>
      <c r="AC261" s="3"/>
    </row>
    <row r="262" customFormat="false" ht="36" hidden="false" customHeight="true" outlineLevel="0" collapsed="false">
      <c r="A262" s="3"/>
      <c r="B262" s="139" t="s">
        <v>6492</v>
      </c>
      <c r="C262" s="109" t="s">
        <v>293</v>
      </c>
      <c r="D262" s="109" t="s">
        <v>1946</v>
      </c>
      <c r="E262" s="109" t="s">
        <v>589</v>
      </c>
      <c r="F262" s="113" t="s">
        <v>1948</v>
      </c>
      <c r="G262" s="150" t="n">
        <v>29</v>
      </c>
      <c r="H262" s="91" t="s">
        <v>590</v>
      </c>
      <c r="I262" s="144" t="n">
        <v>1</v>
      </c>
      <c r="J262" s="91"/>
      <c r="K262" s="150" t="n">
        <v>29</v>
      </c>
      <c r="L262" s="91" t="s">
        <v>702</v>
      </c>
      <c r="M262" s="109" t="s">
        <v>1947</v>
      </c>
      <c r="N262" s="109" t="s">
        <v>586</v>
      </c>
      <c r="O262" s="3"/>
      <c r="P262" s="3"/>
      <c r="Q262" s="3"/>
      <c r="R262" s="3"/>
      <c r="S262" s="3"/>
      <c r="T262" s="3"/>
      <c r="U262" s="3"/>
      <c r="V262" s="3"/>
      <c r="W262" s="3"/>
      <c r="X262" s="3"/>
      <c r="Y262" s="3"/>
      <c r="Z262" s="3"/>
      <c r="AA262" s="3"/>
      <c r="AB262" s="3"/>
      <c r="AC262" s="3"/>
    </row>
    <row r="263" customFormat="false" ht="36" hidden="false" customHeight="true" outlineLevel="0" collapsed="false">
      <c r="A263" s="3"/>
      <c r="B263" s="141" t="s">
        <v>6493</v>
      </c>
      <c r="C263" s="110" t="s">
        <v>243</v>
      </c>
      <c r="D263" s="110" t="s">
        <v>1959</v>
      </c>
      <c r="E263" s="110" t="s">
        <v>388</v>
      </c>
      <c r="F263" s="117" t="s">
        <v>1961</v>
      </c>
      <c r="G263" s="151" t="n">
        <v>3.38</v>
      </c>
      <c r="H263" s="98" t="s">
        <v>590</v>
      </c>
      <c r="I263" s="146" t="n">
        <v>1</v>
      </c>
      <c r="J263" s="98"/>
      <c r="K263" s="151" t="n">
        <v>3.38</v>
      </c>
      <c r="L263" s="98" t="s">
        <v>702</v>
      </c>
      <c r="M263" s="110" t="s">
        <v>1960</v>
      </c>
      <c r="N263" s="110" t="s">
        <v>586</v>
      </c>
      <c r="O263" s="3"/>
      <c r="P263" s="3"/>
      <c r="Q263" s="3"/>
      <c r="R263" s="3"/>
      <c r="S263" s="3"/>
      <c r="T263" s="3"/>
      <c r="U263" s="3"/>
      <c r="V263" s="3"/>
      <c r="W263" s="3"/>
      <c r="X263" s="3"/>
      <c r="Y263" s="3"/>
      <c r="Z263" s="3"/>
      <c r="AA263" s="3"/>
      <c r="AB263" s="3"/>
      <c r="AC263" s="3"/>
    </row>
    <row r="264" customFormat="false" ht="36" hidden="false" customHeight="true" outlineLevel="0" collapsed="false">
      <c r="A264" s="3"/>
      <c r="B264" s="139" t="s">
        <v>6493</v>
      </c>
      <c r="C264" s="109" t="s">
        <v>277</v>
      </c>
      <c r="D264" s="109" t="s">
        <v>1962</v>
      </c>
      <c r="E264" s="109" t="s">
        <v>642</v>
      </c>
      <c r="F264" s="113" t="s">
        <v>1963</v>
      </c>
      <c r="G264" s="150" t="n">
        <v>18.99</v>
      </c>
      <c r="H264" s="91" t="s">
        <v>590</v>
      </c>
      <c r="I264" s="144" t="n">
        <v>6</v>
      </c>
      <c r="J264" s="91" t="s">
        <v>611</v>
      </c>
      <c r="K264" s="150" t="n">
        <v>3.16</v>
      </c>
      <c r="L264" s="91" t="s">
        <v>530</v>
      </c>
      <c r="M264" s="109"/>
      <c r="N264" s="109" t="s">
        <v>586</v>
      </c>
      <c r="O264" s="3"/>
      <c r="P264" s="3"/>
      <c r="Q264" s="3"/>
      <c r="R264" s="3"/>
      <c r="S264" s="3"/>
      <c r="T264" s="3"/>
      <c r="U264" s="3"/>
      <c r="V264" s="3"/>
      <c r="W264" s="3"/>
      <c r="X264" s="3"/>
      <c r="Y264" s="3"/>
      <c r="Z264" s="3"/>
      <c r="AA264" s="3"/>
      <c r="AB264" s="3"/>
      <c r="AC264" s="3"/>
    </row>
    <row r="265" customFormat="false" ht="33" hidden="false" customHeight="true" outlineLevel="0" collapsed="false">
      <c r="A265" s="3"/>
      <c r="B265" s="141" t="s">
        <v>6493</v>
      </c>
      <c r="C265" s="110" t="s">
        <v>257</v>
      </c>
      <c r="D265" s="110" t="s">
        <v>1964</v>
      </c>
      <c r="E265" s="110" t="s">
        <v>388</v>
      </c>
      <c r="F265" s="117" t="s">
        <v>1965</v>
      </c>
      <c r="G265" s="151" t="n">
        <v>2.65</v>
      </c>
      <c r="H265" s="98" t="s">
        <v>590</v>
      </c>
      <c r="I265" s="146" t="n">
        <v>1</v>
      </c>
      <c r="J265" s="98"/>
      <c r="K265" s="151" t="n">
        <v>2.65</v>
      </c>
      <c r="L265" s="98" t="s">
        <v>530</v>
      </c>
      <c r="M265" s="110"/>
      <c r="N265" s="110" t="s">
        <v>586</v>
      </c>
      <c r="O265" s="3"/>
      <c r="P265" s="3"/>
      <c r="Q265" s="3"/>
      <c r="R265" s="3"/>
      <c r="S265" s="3"/>
      <c r="T265" s="3"/>
      <c r="U265" s="3"/>
      <c r="V265" s="3"/>
      <c r="W265" s="3"/>
      <c r="X265" s="3"/>
      <c r="Y265" s="3"/>
      <c r="Z265" s="3"/>
      <c r="AA265" s="3"/>
      <c r="AB265" s="3"/>
      <c r="AC265" s="3"/>
    </row>
    <row r="266" customFormat="false" ht="36" hidden="false" customHeight="true" outlineLevel="0" collapsed="false">
      <c r="A266" s="3"/>
      <c r="B266" s="139" t="s">
        <v>6493</v>
      </c>
      <c r="C266" s="109" t="s">
        <v>269</v>
      </c>
      <c r="D266" s="109" t="s">
        <v>1966</v>
      </c>
      <c r="E266" s="109" t="s">
        <v>589</v>
      </c>
      <c r="F266" s="113" t="s">
        <v>1967</v>
      </c>
      <c r="G266" s="150" t="n">
        <v>5.59</v>
      </c>
      <c r="H266" s="91" t="s">
        <v>590</v>
      </c>
      <c r="I266" s="144" t="n">
        <v>1</v>
      </c>
      <c r="J266" s="91"/>
      <c r="K266" s="150" t="n">
        <v>5.59</v>
      </c>
      <c r="L266" s="91" t="s">
        <v>530</v>
      </c>
      <c r="M266" s="109" t="s">
        <v>1618</v>
      </c>
      <c r="N266" s="109" t="s">
        <v>586</v>
      </c>
      <c r="O266" s="3"/>
      <c r="P266" s="3"/>
      <c r="Q266" s="3"/>
      <c r="R266" s="3"/>
      <c r="S266" s="3"/>
      <c r="T266" s="3"/>
      <c r="U266" s="3"/>
      <c r="V266" s="3"/>
      <c r="W266" s="3"/>
      <c r="X266" s="3"/>
      <c r="Y266" s="3"/>
      <c r="Z266" s="3"/>
      <c r="AA266" s="3"/>
      <c r="AB266" s="3"/>
      <c r="AC266" s="3"/>
    </row>
    <row r="267" customFormat="false" ht="33" hidden="false" customHeight="true" outlineLevel="0" collapsed="false">
      <c r="A267" s="3"/>
      <c r="B267" s="141" t="s">
        <v>6493</v>
      </c>
      <c r="C267" s="110" t="s">
        <v>264</v>
      </c>
      <c r="D267" s="110" t="s">
        <v>1968</v>
      </c>
      <c r="E267" s="110" t="s">
        <v>603</v>
      </c>
      <c r="F267" s="117" t="s">
        <v>1970</v>
      </c>
      <c r="G267" s="151" t="n">
        <v>12</v>
      </c>
      <c r="H267" s="98" t="s">
        <v>590</v>
      </c>
      <c r="I267" s="146" t="n">
        <v>1</v>
      </c>
      <c r="J267" s="98"/>
      <c r="K267" s="151" t="n">
        <v>12</v>
      </c>
      <c r="L267" s="98" t="s">
        <v>530</v>
      </c>
      <c r="M267" s="110" t="s">
        <v>1969</v>
      </c>
      <c r="N267" s="110" t="s">
        <v>586</v>
      </c>
      <c r="O267" s="3"/>
      <c r="P267" s="3"/>
      <c r="Q267" s="3"/>
      <c r="R267" s="3"/>
      <c r="S267" s="3"/>
      <c r="T267" s="3"/>
      <c r="U267" s="3"/>
      <c r="V267" s="3"/>
      <c r="W267" s="3"/>
      <c r="X267" s="3"/>
      <c r="Y267" s="3"/>
      <c r="Z267" s="3"/>
      <c r="AA267" s="3"/>
      <c r="AB267" s="3"/>
      <c r="AC267" s="3"/>
    </row>
    <row r="268" customFormat="false" ht="36" hidden="false" customHeight="true" outlineLevel="0" collapsed="false">
      <c r="A268" s="3"/>
      <c r="B268" s="139" t="s">
        <v>6493</v>
      </c>
      <c r="C268" s="109" t="s">
        <v>273</v>
      </c>
      <c r="D268" s="109" t="s">
        <v>1971</v>
      </c>
      <c r="E268" s="109" t="s">
        <v>642</v>
      </c>
      <c r="F268" s="113" t="s">
        <v>1973</v>
      </c>
      <c r="G268" s="150" t="n">
        <v>5.59</v>
      </c>
      <c r="H268" s="91" t="s">
        <v>265</v>
      </c>
      <c r="I268" s="144" t="n">
        <v>1</v>
      </c>
      <c r="J268" s="91"/>
      <c r="K268" s="150" t="n">
        <v>4.66</v>
      </c>
      <c r="L268" s="91" t="s">
        <v>530</v>
      </c>
      <c r="M268" s="109" t="s">
        <v>1972</v>
      </c>
      <c r="N268" s="109" t="s">
        <v>586</v>
      </c>
      <c r="O268" s="3"/>
      <c r="P268" s="3"/>
      <c r="Q268" s="3"/>
      <c r="R268" s="3"/>
      <c r="S268" s="3"/>
      <c r="T268" s="3"/>
      <c r="U268" s="3"/>
      <c r="V268" s="3"/>
      <c r="W268" s="3"/>
      <c r="X268" s="3"/>
      <c r="Y268" s="3"/>
      <c r="Z268" s="3"/>
      <c r="AA268" s="3"/>
      <c r="AB268" s="3"/>
      <c r="AC268" s="3"/>
    </row>
    <row r="269" customFormat="false" ht="36" hidden="false" customHeight="true" outlineLevel="0" collapsed="false">
      <c r="A269" s="3"/>
      <c r="B269" s="141" t="s">
        <v>6493</v>
      </c>
      <c r="C269" s="110" t="s">
        <v>281</v>
      </c>
      <c r="D269" s="110" t="s">
        <v>1974</v>
      </c>
      <c r="E269" s="110" t="s">
        <v>603</v>
      </c>
      <c r="F269" s="117" t="s">
        <v>1976</v>
      </c>
      <c r="G269" s="151" t="n">
        <v>2.97</v>
      </c>
      <c r="H269" s="98" t="s">
        <v>590</v>
      </c>
      <c r="I269" s="146" t="n">
        <v>1</v>
      </c>
      <c r="J269" s="98"/>
      <c r="K269" s="151" t="n">
        <v>2.97</v>
      </c>
      <c r="L269" s="98" t="s">
        <v>530</v>
      </c>
      <c r="M269" s="110" t="s">
        <v>1975</v>
      </c>
      <c r="N269" s="110" t="s">
        <v>586</v>
      </c>
      <c r="O269" s="3"/>
      <c r="P269" s="3"/>
      <c r="Q269" s="3"/>
      <c r="R269" s="3"/>
      <c r="S269" s="3"/>
      <c r="T269" s="3"/>
      <c r="U269" s="3"/>
      <c r="V269" s="3"/>
      <c r="W269" s="3"/>
      <c r="X269" s="3"/>
      <c r="Y269" s="3"/>
      <c r="Z269" s="3"/>
      <c r="AA269" s="3"/>
      <c r="AB269" s="3"/>
      <c r="AC269" s="3"/>
    </row>
    <row r="270" customFormat="false" ht="36" hidden="false" customHeight="true" outlineLevel="0" collapsed="false">
      <c r="A270" s="3"/>
      <c r="B270" s="139" t="s">
        <v>6493</v>
      </c>
      <c r="C270" s="109" t="s">
        <v>285</v>
      </c>
      <c r="D270" s="109" t="s">
        <v>1977</v>
      </c>
      <c r="E270" s="109" t="s">
        <v>733</v>
      </c>
      <c r="F270" s="113" t="s">
        <v>1978</v>
      </c>
      <c r="G270" s="150" t="n">
        <v>12.7</v>
      </c>
      <c r="H270" s="91" t="s">
        <v>590</v>
      </c>
      <c r="I270" s="144" t="n">
        <v>1</v>
      </c>
      <c r="J270" s="91"/>
      <c r="K270" s="150" t="n">
        <v>12.7</v>
      </c>
      <c r="L270" s="91" t="s">
        <v>530</v>
      </c>
      <c r="M270" s="109"/>
      <c r="N270" s="109" t="s">
        <v>586</v>
      </c>
      <c r="O270" s="3"/>
      <c r="P270" s="3"/>
      <c r="Q270" s="3"/>
      <c r="R270" s="3"/>
      <c r="S270" s="3"/>
      <c r="T270" s="3"/>
      <c r="U270" s="3"/>
      <c r="V270" s="3"/>
      <c r="W270" s="3"/>
      <c r="X270" s="3"/>
      <c r="Y270" s="3"/>
      <c r="Z270" s="3"/>
      <c r="AA270" s="3"/>
      <c r="AB270" s="3"/>
      <c r="AC270" s="3"/>
    </row>
    <row r="271" customFormat="false" ht="36" hidden="false" customHeight="true" outlineLevel="0" collapsed="false">
      <c r="A271" s="3"/>
      <c r="B271" s="141" t="s">
        <v>6493</v>
      </c>
      <c r="C271" s="110" t="s">
        <v>293</v>
      </c>
      <c r="D271" s="110" t="s">
        <v>1979</v>
      </c>
      <c r="E271" s="110" t="s">
        <v>589</v>
      </c>
      <c r="F271" s="117" t="s">
        <v>1981</v>
      </c>
      <c r="G271" s="151" t="n">
        <v>2.3</v>
      </c>
      <c r="H271" s="98" t="s">
        <v>590</v>
      </c>
      <c r="I271" s="146" t="n">
        <v>1</v>
      </c>
      <c r="J271" s="98"/>
      <c r="K271" s="151" t="n">
        <v>2.3</v>
      </c>
      <c r="L271" s="98" t="s">
        <v>530</v>
      </c>
      <c r="M271" s="110" t="s">
        <v>1980</v>
      </c>
      <c r="N271" s="110" t="s">
        <v>586</v>
      </c>
      <c r="O271" s="3"/>
      <c r="P271" s="3"/>
      <c r="Q271" s="3"/>
      <c r="R271" s="3"/>
      <c r="S271" s="3"/>
      <c r="T271" s="3"/>
      <c r="U271" s="3"/>
      <c r="V271" s="3"/>
      <c r="W271" s="3"/>
      <c r="X271" s="3"/>
      <c r="Y271" s="3"/>
      <c r="Z271" s="3"/>
      <c r="AA271" s="3"/>
      <c r="AB271" s="3"/>
      <c r="AC271" s="3"/>
    </row>
    <row r="272" customFormat="false" ht="36" hidden="false" customHeight="true" outlineLevel="0" collapsed="false">
      <c r="A272" s="3"/>
      <c r="B272" s="139" t="s">
        <v>62</v>
      </c>
      <c r="C272" s="109" t="s">
        <v>273</v>
      </c>
      <c r="D272" s="109" t="s">
        <v>1997</v>
      </c>
      <c r="E272" s="109" t="s">
        <v>565</v>
      </c>
      <c r="F272" s="113" t="s">
        <v>1999</v>
      </c>
      <c r="G272" s="150" t="n">
        <v>6.49</v>
      </c>
      <c r="H272" s="91" t="s">
        <v>265</v>
      </c>
      <c r="I272" s="144" t="n">
        <v>1</v>
      </c>
      <c r="J272" s="91"/>
      <c r="K272" s="150" t="n">
        <v>5.41</v>
      </c>
      <c r="L272" s="91" t="s">
        <v>702</v>
      </c>
      <c r="M272" s="109" t="s">
        <v>1998</v>
      </c>
      <c r="N272" s="109" t="s">
        <v>586</v>
      </c>
      <c r="O272" s="3"/>
      <c r="P272" s="3"/>
      <c r="Q272" s="3"/>
      <c r="R272" s="3"/>
      <c r="S272" s="3"/>
      <c r="T272" s="3"/>
      <c r="U272" s="3"/>
      <c r="V272" s="3"/>
      <c r="W272" s="3"/>
      <c r="X272" s="3"/>
      <c r="Y272" s="3"/>
      <c r="Z272" s="3"/>
      <c r="AA272" s="3"/>
      <c r="AB272" s="3"/>
      <c r="AC272" s="3"/>
    </row>
    <row r="273" customFormat="false" ht="36" hidden="false" customHeight="true" outlineLevel="0" collapsed="false">
      <c r="A273" s="3"/>
      <c r="B273" s="141" t="s">
        <v>62</v>
      </c>
      <c r="C273" s="110" t="s">
        <v>281</v>
      </c>
      <c r="D273" s="110" t="s">
        <v>2000</v>
      </c>
      <c r="E273" s="110" t="s">
        <v>662</v>
      </c>
      <c r="F273" s="117" t="s">
        <v>2002</v>
      </c>
      <c r="G273" s="151" t="n">
        <v>1.61</v>
      </c>
      <c r="H273" s="98" t="s">
        <v>590</v>
      </c>
      <c r="I273" s="146" t="n">
        <v>1</v>
      </c>
      <c r="J273" s="98"/>
      <c r="K273" s="151" t="n">
        <v>1.61</v>
      </c>
      <c r="L273" s="98" t="s">
        <v>702</v>
      </c>
      <c r="M273" s="110" t="s">
        <v>2001</v>
      </c>
      <c r="N273" s="110" t="s">
        <v>586</v>
      </c>
      <c r="O273" s="3"/>
      <c r="P273" s="3"/>
      <c r="Q273" s="3"/>
      <c r="R273" s="3"/>
      <c r="S273" s="3"/>
      <c r="T273" s="3"/>
      <c r="U273" s="3"/>
      <c r="V273" s="3"/>
      <c r="W273" s="3"/>
      <c r="X273" s="3"/>
      <c r="Y273" s="3"/>
      <c r="Z273" s="3"/>
      <c r="AA273" s="3"/>
      <c r="AB273" s="3"/>
      <c r="AC273" s="3"/>
    </row>
    <row r="274" customFormat="false" ht="36" hidden="false" customHeight="true" outlineLevel="0" collapsed="false">
      <c r="A274" s="3"/>
      <c r="B274" s="139" t="s">
        <v>6495</v>
      </c>
      <c r="C274" s="109" t="s">
        <v>273</v>
      </c>
      <c r="D274" s="109" t="s">
        <v>2006</v>
      </c>
      <c r="E274" s="109" t="s">
        <v>1167</v>
      </c>
      <c r="F274" s="113" t="s">
        <v>2008</v>
      </c>
      <c r="G274" s="150" t="n">
        <v>8.89</v>
      </c>
      <c r="H274" s="91" t="s">
        <v>265</v>
      </c>
      <c r="I274" s="144" t="n">
        <v>1</v>
      </c>
      <c r="J274" s="91"/>
      <c r="K274" s="150" t="n">
        <v>7.41</v>
      </c>
      <c r="L274" s="91" t="s">
        <v>702</v>
      </c>
      <c r="M274" s="109" t="s">
        <v>2007</v>
      </c>
      <c r="N274" s="109" t="s">
        <v>586</v>
      </c>
      <c r="O274" s="3"/>
      <c r="P274" s="3"/>
      <c r="Q274" s="3"/>
      <c r="R274" s="3"/>
      <c r="S274" s="3"/>
      <c r="T274" s="3"/>
      <c r="U274" s="3"/>
      <c r="V274" s="3"/>
      <c r="W274" s="3"/>
      <c r="X274" s="3"/>
      <c r="Y274" s="3"/>
      <c r="Z274" s="3"/>
      <c r="AA274" s="3"/>
      <c r="AB274" s="3"/>
      <c r="AC274" s="3"/>
    </row>
    <row r="275" customFormat="false" ht="36" hidden="false" customHeight="true" outlineLevel="0" collapsed="false">
      <c r="A275" s="3"/>
      <c r="B275" s="141" t="s">
        <v>6495</v>
      </c>
      <c r="C275" s="110" t="s">
        <v>281</v>
      </c>
      <c r="D275" s="110" t="s">
        <v>2009</v>
      </c>
      <c r="E275" s="110" t="s">
        <v>1823</v>
      </c>
      <c r="F275" s="117" t="s">
        <v>2011</v>
      </c>
      <c r="G275" s="151" t="n">
        <v>11.19</v>
      </c>
      <c r="H275" s="98" t="s">
        <v>590</v>
      </c>
      <c r="I275" s="146" t="n">
        <v>1</v>
      </c>
      <c r="J275" s="98"/>
      <c r="K275" s="151" t="n">
        <v>11.19</v>
      </c>
      <c r="L275" s="98" t="s">
        <v>702</v>
      </c>
      <c r="M275" s="110" t="s">
        <v>2010</v>
      </c>
      <c r="N275" s="110" t="s">
        <v>586</v>
      </c>
      <c r="O275" s="3"/>
      <c r="P275" s="3"/>
      <c r="Q275" s="3"/>
      <c r="R275" s="3"/>
      <c r="S275" s="3"/>
      <c r="T275" s="3"/>
      <c r="U275" s="3"/>
      <c r="V275" s="3"/>
      <c r="W275" s="3"/>
      <c r="X275" s="3"/>
      <c r="Y275" s="3"/>
      <c r="Z275" s="3"/>
      <c r="AA275" s="3"/>
      <c r="AB275" s="3"/>
      <c r="AC275" s="3"/>
    </row>
    <row r="276" customFormat="false" ht="36" hidden="false" customHeight="true" outlineLevel="0" collapsed="false">
      <c r="A276" s="3"/>
      <c r="B276" s="139" t="s">
        <v>6496</v>
      </c>
      <c r="C276" s="109" t="s">
        <v>281</v>
      </c>
      <c r="D276" s="109" t="s">
        <v>2013</v>
      </c>
      <c r="E276" s="109" t="s">
        <v>589</v>
      </c>
      <c r="F276" s="113" t="s">
        <v>2015</v>
      </c>
      <c r="G276" s="150" t="n">
        <v>11.97</v>
      </c>
      <c r="H276" s="91" t="s">
        <v>590</v>
      </c>
      <c r="I276" s="144" t="n">
        <v>1</v>
      </c>
      <c r="J276" s="91"/>
      <c r="K276" s="150" t="n">
        <v>11.97</v>
      </c>
      <c r="L276" s="91" t="s">
        <v>530</v>
      </c>
      <c r="M276" s="109" t="s">
        <v>2014</v>
      </c>
      <c r="N276" s="109" t="s">
        <v>586</v>
      </c>
      <c r="O276" s="3"/>
      <c r="P276" s="3"/>
      <c r="Q276" s="3"/>
      <c r="R276" s="3"/>
      <c r="S276" s="3"/>
      <c r="T276" s="3"/>
      <c r="U276" s="3"/>
      <c r="V276" s="3"/>
      <c r="W276" s="3"/>
      <c r="X276" s="3"/>
      <c r="Y276" s="3"/>
      <c r="Z276" s="3"/>
      <c r="AA276" s="3"/>
      <c r="AB276" s="3"/>
      <c r="AC276" s="3"/>
    </row>
    <row r="277" customFormat="false" ht="36" hidden="false" customHeight="true" outlineLevel="0" collapsed="false">
      <c r="A277" s="3"/>
      <c r="B277" s="141" t="s">
        <v>6496</v>
      </c>
      <c r="C277" s="110" t="s">
        <v>285</v>
      </c>
      <c r="D277" s="110" t="s">
        <v>2016</v>
      </c>
      <c r="E277" s="110" t="s">
        <v>733</v>
      </c>
      <c r="F277" s="117" t="s">
        <v>2018</v>
      </c>
      <c r="G277" s="151" t="n">
        <v>20.9</v>
      </c>
      <c r="H277" s="98" t="s">
        <v>590</v>
      </c>
      <c r="I277" s="146" t="n">
        <v>1</v>
      </c>
      <c r="J277" s="98"/>
      <c r="K277" s="151" t="n">
        <v>20.9</v>
      </c>
      <c r="L277" s="98" t="s">
        <v>530</v>
      </c>
      <c r="M277" s="110" t="s">
        <v>2017</v>
      </c>
      <c r="N277" s="110" t="s">
        <v>586</v>
      </c>
      <c r="O277" s="3"/>
      <c r="P277" s="3"/>
      <c r="Q277" s="3"/>
      <c r="R277" s="3"/>
      <c r="S277" s="3"/>
      <c r="T277" s="3"/>
      <c r="U277" s="3"/>
      <c r="V277" s="3"/>
      <c r="W277" s="3"/>
      <c r="X277" s="3"/>
      <c r="Y277" s="3"/>
      <c r="Z277" s="3"/>
      <c r="AA277" s="3"/>
      <c r="AB277" s="3"/>
      <c r="AC277" s="3"/>
    </row>
    <row r="278" customFormat="false" ht="36" hidden="false" customHeight="true" outlineLevel="0" collapsed="false">
      <c r="A278" s="3"/>
      <c r="B278" s="139" t="s">
        <v>6496</v>
      </c>
      <c r="C278" s="109" t="s">
        <v>293</v>
      </c>
      <c r="D278" s="109" t="s">
        <v>2019</v>
      </c>
      <c r="E278" s="109" t="s">
        <v>589</v>
      </c>
      <c r="F278" s="113" t="s">
        <v>2021</v>
      </c>
      <c r="G278" s="150" t="n">
        <v>9.8</v>
      </c>
      <c r="H278" s="91" t="s">
        <v>590</v>
      </c>
      <c r="I278" s="144" t="n">
        <v>1</v>
      </c>
      <c r="J278" s="91"/>
      <c r="K278" s="150" t="n">
        <v>9.8</v>
      </c>
      <c r="L278" s="91" t="s">
        <v>530</v>
      </c>
      <c r="M278" s="109" t="s">
        <v>2020</v>
      </c>
      <c r="N278" s="109" t="s">
        <v>586</v>
      </c>
      <c r="O278" s="3"/>
      <c r="P278" s="3"/>
      <c r="Q278" s="3"/>
      <c r="R278" s="3"/>
      <c r="S278" s="3"/>
      <c r="T278" s="3"/>
      <c r="U278" s="3"/>
      <c r="V278" s="3"/>
      <c r="W278" s="3"/>
      <c r="X278" s="3"/>
      <c r="Y278" s="3"/>
      <c r="Z278" s="3"/>
      <c r="AA278" s="3"/>
      <c r="AB278" s="3"/>
      <c r="AC278" s="3"/>
    </row>
    <row r="279" customFormat="false" ht="30.75" hidden="false" customHeight="true" outlineLevel="0" collapsed="false">
      <c r="A279" s="3"/>
      <c r="B279" s="9"/>
      <c r="C279" s="9"/>
      <c r="D279" s="9"/>
      <c r="E279" s="9"/>
      <c r="F279" s="9"/>
      <c r="G279" s="10"/>
      <c r="H279" s="10"/>
      <c r="I279" s="10"/>
      <c r="J279" s="10"/>
      <c r="K279" s="10"/>
      <c r="L279" s="10"/>
      <c r="M279" s="9"/>
      <c r="N279" s="9"/>
      <c r="O279" s="3"/>
      <c r="P279" s="3"/>
      <c r="Q279" s="3"/>
      <c r="R279" s="3"/>
      <c r="S279" s="3"/>
      <c r="T279" s="3"/>
      <c r="U279" s="3"/>
      <c r="V279" s="3"/>
      <c r="W279" s="3"/>
      <c r="X279" s="3"/>
      <c r="Y279" s="3"/>
      <c r="Z279" s="3"/>
      <c r="AA279" s="3"/>
      <c r="AB279" s="3"/>
      <c r="AC279" s="3"/>
    </row>
    <row r="280" customFormat="false" ht="30.75" hidden="false" customHeight="true" outlineLevel="0" collapsed="false">
      <c r="A280" s="3"/>
      <c r="B280" s="9"/>
      <c r="C280" s="9"/>
      <c r="D280" s="9"/>
      <c r="E280" s="9"/>
      <c r="F280" s="9"/>
      <c r="G280" s="10"/>
      <c r="H280" s="10"/>
      <c r="I280" s="10"/>
      <c r="J280" s="10"/>
      <c r="K280" s="10"/>
      <c r="L280" s="10"/>
      <c r="M280" s="9"/>
      <c r="N280" s="9"/>
      <c r="O280" s="3"/>
      <c r="P280" s="3"/>
      <c r="Q280" s="3"/>
      <c r="R280" s="3"/>
      <c r="S280" s="3"/>
      <c r="T280" s="3"/>
      <c r="U280" s="3"/>
      <c r="V280" s="3"/>
      <c r="W280" s="3"/>
      <c r="X280" s="3"/>
      <c r="Y280" s="3"/>
      <c r="Z280" s="3"/>
      <c r="AA280" s="3"/>
      <c r="AB280" s="3"/>
      <c r="AC280" s="3"/>
    </row>
    <row r="281" customFormat="false" ht="30.75" hidden="false" customHeight="true" outlineLevel="0" collapsed="false">
      <c r="A281" s="3"/>
      <c r="B281" s="9"/>
      <c r="C281" s="9"/>
      <c r="D281" s="9"/>
      <c r="E281" s="9"/>
      <c r="F281" s="9"/>
      <c r="G281" s="10"/>
      <c r="H281" s="10"/>
      <c r="I281" s="10"/>
      <c r="J281" s="10"/>
      <c r="K281" s="10"/>
      <c r="L281" s="10"/>
      <c r="M281" s="9"/>
      <c r="N281" s="9"/>
      <c r="O281" s="3"/>
      <c r="P281" s="3"/>
      <c r="Q281" s="3"/>
      <c r="R281" s="3"/>
      <c r="S281" s="3"/>
      <c r="T281" s="3"/>
      <c r="U281" s="3"/>
      <c r="V281" s="3"/>
      <c r="W281" s="3"/>
      <c r="X281" s="3"/>
      <c r="Y281" s="3"/>
      <c r="Z281" s="3"/>
      <c r="AA281" s="3"/>
      <c r="AB281" s="3"/>
      <c r="AC281" s="3"/>
    </row>
    <row r="282" customFormat="false" ht="25.5" hidden="false" customHeight="true" outlineLevel="0" collapsed="false">
      <c r="A282" s="3"/>
      <c r="B282" s="133" t="s">
        <v>7048</v>
      </c>
      <c r="C282" s="133"/>
      <c r="D282" s="133"/>
      <c r="E282" s="133"/>
      <c r="F282" s="133"/>
      <c r="G282" s="40"/>
      <c r="H282" s="40"/>
      <c r="I282" s="10"/>
      <c r="J282" s="10"/>
      <c r="K282" s="10"/>
      <c r="L282" s="10"/>
      <c r="M282" s="9"/>
      <c r="N282" s="9"/>
      <c r="O282" s="3"/>
      <c r="P282" s="3"/>
      <c r="Q282" s="3"/>
      <c r="R282" s="3"/>
      <c r="S282" s="3"/>
      <c r="T282" s="3"/>
      <c r="U282" s="3"/>
      <c r="V282" s="3"/>
      <c r="W282" s="3"/>
      <c r="X282" s="3"/>
      <c r="Y282" s="3"/>
      <c r="Z282" s="3"/>
      <c r="AA282" s="3"/>
      <c r="AB282" s="3"/>
      <c r="AC282" s="3"/>
    </row>
    <row r="283" customFormat="false" ht="36" hidden="false" customHeight="true" outlineLevel="0" collapsed="false">
      <c r="A283" s="3"/>
      <c r="B283" s="123" t="s">
        <v>6927</v>
      </c>
      <c r="C283" s="22" t="s">
        <v>6928</v>
      </c>
      <c r="D283" s="22" t="s">
        <v>6929</v>
      </c>
      <c r="E283" s="22" t="s">
        <v>6930</v>
      </c>
      <c r="F283" s="22" t="s">
        <v>6931</v>
      </c>
      <c r="G283" s="22" t="s">
        <v>6932</v>
      </c>
      <c r="H283" s="22" t="s">
        <v>6933</v>
      </c>
      <c r="I283" s="22" t="s">
        <v>240</v>
      </c>
      <c r="J283" s="10"/>
      <c r="K283" s="10"/>
      <c r="L283" s="10"/>
      <c r="M283" s="9"/>
      <c r="N283" s="9"/>
      <c r="O283" s="3"/>
      <c r="P283" s="3"/>
      <c r="Q283" s="3"/>
      <c r="R283" s="3"/>
      <c r="S283" s="3"/>
      <c r="T283" s="3"/>
      <c r="U283" s="3"/>
      <c r="V283" s="3"/>
      <c r="W283" s="3"/>
      <c r="X283" s="3"/>
      <c r="Y283" s="3"/>
      <c r="Z283" s="3"/>
      <c r="AA283" s="3"/>
      <c r="AB283" s="3"/>
      <c r="AC283" s="3"/>
    </row>
    <row r="284" customFormat="false" ht="100.5" hidden="false" customHeight="true" outlineLevel="0" collapsed="false">
      <c r="A284" s="3"/>
      <c r="B284" s="139" t="s">
        <v>281</v>
      </c>
      <c r="C284" s="113" t="s">
        <v>6934</v>
      </c>
      <c r="D284" s="109" t="s">
        <v>6935</v>
      </c>
      <c r="E284" s="109" t="s">
        <v>6936</v>
      </c>
      <c r="F284" s="109" t="s">
        <v>6937</v>
      </c>
      <c r="G284" s="91" t="s">
        <v>6938</v>
      </c>
      <c r="H284" s="91" t="s">
        <v>5796</v>
      </c>
      <c r="I284" s="91" t="s">
        <v>6939</v>
      </c>
      <c r="J284" s="10"/>
      <c r="K284" s="10"/>
      <c r="L284" s="10"/>
      <c r="M284" s="9"/>
      <c r="N284" s="9"/>
      <c r="O284" s="3"/>
      <c r="P284" s="3"/>
      <c r="Q284" s="3"/>
      <c r="R284" s="3"/>
      <c r="S284" s="3"/>
      <c r="T284" s="3"/>
      <c r="U284" s="3"/>
      <c r="V284" s="3"/>
      <c r="W284" s="3"/>
      <c r="X284" s="3"/>
      <c r="Y284" s="3"/>
      <c r="Z284" s="3"/>
      <c r="AA284" s="3"/>
      <c r="AB284" s="3"/>
      <c r="AC284" s="3"/>
    </row>
    <row r="285" customFormat="false" ht="153" hidden="false" customHeight="true" outlineLevel="0" collapsed="false">
      <c r="A285" s="3"/>
      <c r="B285" s="141" t="s">
        <v>273</v>
      </c>
      <c r="C285" s="117" t="s">
        <v>6940</v>
      </c>
      <c r="D285" s="110" t="s">
        <v>6935</v>
      </c>
      <c r="E285" s="110" t="s">
        <v>6941</v>
      </c>
      <c r="F285" s="110" t="s">
        <v>6942</v>
      </c>
      <c r="G285" s="98" t="s">
        <v>6943</v>
      </c>
      <c r="H285" s="98" t="s">
        <v>5796</v>
      </c>
      <c r="I285" s="98" t="s">
        <v>6944</v>
      </c>
      <c r="J285" s="10"/>
      <c r="K285" s="10"/>
      <c r="L285" s="10"/>
      <c r="M285" s="9"/>
      <c r="N285" s="9"/>
      <c r="O285" s="3"/>
      <c r="P285" s="3"/>
      <c r="Q285" s="3"/>
      <c r="R285" s="3"/>
      <c r="S285" s="3"/>
      <c r="T285" s="3"/>
      <c r="U285" s="3"/>
      <c r="V285" s="3"/>
      <c r="W285" s="3"/>
      <c r="X285" s="3"/>
      <c r="Y285" s="3"/>
      <c r="Z285" s="3"/>
      <c r="AA285" s="3"/>
      <c r="AB285" s="3"/>
      <c r="AC285" s="3"/>
    </row>
    <row r="286" customFormat="false" ht="153" hidden="false" customHeight="true" outlineLevel="0" collapsed="false">
      <c r="A286" s="3"/>
      <c r="B286" s="139" t="s">
        <v>285</v>
      </c>
      <c r="C286" s="113" t="s">
        <v>6945</v>
      </c>
      <c r="D286" s="109" t="s">
        <v>6946</v>
      </c>
      <c r="E286" s="109" t="s">
        <v>6936</v>
      </c>
      <c r="F286" s="109" t="s">
        <v>6947</v>
      </c>
      <c r="G286" s="91" t="s">
        <v>6948</v>
      </c>
      <c r="H286" s="91" t="s">
        <v>6949</v>
      </c>
      <c r="I286" s="91" t="s">
        <v>6950</v>
      </c>
      <c r="J286" s="10"/>
      <c r="K286" s="10"/>
      <c r="L286" s="10"/>
      <c r="M286" s="9"/>
      <c r="N286" s="9"/>
      <c r="O286" s="3"/>
      <c r="P286" s="3"/>
      <c r="Q286" s="3"/>
      <c r="R286" s="3"/>
      <c r="S286" s="3"/>
      <c r="T286" s="3"/>
      <c r="U286" s="3"/>
      <c r="V286" s="3"/>
      <c r="W286" s="3"/>
      <c r="X286" s="3"/>
      <c r="Y286" s="3"/>
      <c r="Z286" s="3"/>
      <c r="AA286" s="3"/>
      <c r="AB286" s="3"/>
      <c r="AC286" s="3"/>
    </row>
    <row r="287" customFormat="false" ht="139.5" hidden="false" customHeight="true" outlineLevel="0" collapsed="false">
      <c r="A287" s="3"/>
      <c r="B287" s="141" t="s">
        <v>264</v>
      </c>
      <c r="C287" s="117" t="s">
        <v>6951</v>
      </c>
      <c r="D287" s="110" t="s">
        <v>6935</v>
      </c>
      <c r="E287" s="110" t="s">
        <v>6941</v>
      </c>
      <c r="F287" s="110" t="s">
        <v>6952</v>
      </c>
      <c r="G287" s="98" t="s">
        <v>6953</v>
      </c>
      <c r="H287" s="98" t="s">
        <v>6954</v>
      </c>
      <c r="I287" s="98" t="s">
        <v>6955</v>
      </c>
      <c r="J287" s="10"/>
      <c r="K287" s="10"/>
      <c r="L287" s="10"/>
      <c r="M287" s="9"/>
      <c r="N287" s="9"/>
      <c r="O287" s="3"/>
      <c r="P287" s="3"/>
      <c r="Q287" s="3"/>
      <c r="R287" s="3"/>
      <c r="S287" s="3"/>
      <c r="T287" s="3"/>
      <c r="U287" s="3"/>
      <c r="V287" s="3"/>
      <c r="W287" s="3"/>
      <c r="X287" s="3"/>
      <c r="Y287" s="3"/>
      <c r="Z287" s="3"/>
      <c r="AA287" s="3"/>
      <c r="AB287" s="3"/>
      <c r="AC287" s="3"/>
    </row>
    <row r="288" customFormat="false" ht="178.5" hidden="false" customHeight="true" outlineLevel="0" collapsed="false">
      <c r="A288" s="3"/>
      <c r="B288" s="139" t="s">
        <v>269</v>
      </c>
      <c r="C288" s="113" t="s">
        <v>6956</v>
      </c>
      <c r="D288" s="109" t="s">
        <v>6935</v>
      </c>
      <c r="E288" s="109" t="s">
        <v>6936</v>
      </c>
      <c r="F288" s="109" t="s">
        <v>6957</v>
      </c>
      <c r="G288" s="91" t="s">
        <v>6958</v>
      </c>
      <c r="H288" s="91" t="s">
        <v>6959</v>
      </c>
      <c r="I288" s="91" t="s">
        <v>6960</v>
      </c>
      <c r="J288" s="10"/>
      <c r="K288" s="10"/>
      <c r="L288" s="10"/>
      <c r="M288" s="9"/>
      <c r="N288" s="9"/>
      <c r="O288" s="3"/>
      <c r="P288" s="3"/>
      <c r="Q288" s="3"/>
      <c r="R288" s="3"/>
      <c r="S288" s="3"/>
      <c r="T288" s="3"/>
      <c r="U288" s="3"/>
      <c r="V288" s="3"/>
      <c r="W288" s="3"/>
      <c r="X288" s="3"/>
      <c r="Y288" s="3"/>
      <c r="Z288" s="3"/>
      <c r="AA288" s="3"/>
      <c r="AB288" s="3"/>
      <c r="AC288" s="3"/>
    </row>
    <row r="289" customFormat="false" ht="139.5" hidden="false" customHeight="true" outlineLevel="0" collapsed="false">
      <c r="A289" s="3"/>
      <c r="B289" s="141" t="s">
        <v>293</v>
      </c>
      <c r="C289" s="117" t="s">
        <v>6961</v>
      </c>
      <c r="D289" s="110" t="s">
        <v>6935</v>
      </c>
      <c r="E289" s="110" t="s">
        <v>6936</v>
      </c>
      <c r="F289" s="110" t="s">
        <v>6962</v>
      </c>
      <c r="G289" s="98" t="s">
        <v>6963</v>
      </c>
      <c r="H289" s="98" t="s">
        <v>6964</v>
      </c>
      <c r="I289" s="98" t="s">
        <v>6965</v>
      </c>
      <c r="J289" s="10"/>
      <c r="K289" s="10"/>
      <c r="L289" s="10"/>
      <c r="M289" s="9"/>
      <c r="N289" s="9"/>
      <c r="O289" s="3"/>
      <c r="P289" s="3"/>
      <c r="Q289" s="3"/>
      <c r="R289" s="3"/>
      <c r="S289" s="3"/>
      <c r="T289" s="3"/>
      <c r="U289" s="3"/>
      <c r="V289" s="3"/>
      <c r="W289" s="3"/>
      <c r="X289" s="3"/>
      <c r="Y289" s="3"/>
      <c r="Z289" s="3"/>
      <c r="AA289" s="3"/>
      <c r="AB289" s="3"/>
      <c r="AC289" s="3"/>
    </row>
    <row r="290" customFormat="false" ht="178.5" hidden="false" customHeight="true" outlineLevel="0" collapsed="false">
      <c r="A290" s="3"/>
      <c r="B290" s="139" t="s">
        <v>243</v>
      </c>
      <c r="C290" s="113" t="s">
        <v>6966</v>
      </c>
      <c r="D290" s="109" t="s">
        <v>6935</v>
      </c>
      <c r="E290" s="109" t="s">
        <v>6941</v>
      </c>
      <c r="F290" s="109" t="s">
        <v>6967</v>
      </c>
      <c r="G290" s="91" t="s">
        <v>6968</v>
      </c>
      <c r="H290" s="91" t="s">
        <v>5796</v>
      </c>
      <c r="I290" s="91" t="s">
        <v>6969</v>
      </c>
      <c r="J290" s="10"/>
      <c r="K290" s="10"/>
      <c r="L290" s="10"/>
      <c r="M290" s="9"/>
      <c r="N290" s="9"/>
      <c r="O290" s="3"/>
      <c r="P290" s="3"/>
      <c r="Q290" s="3"/>
      <c r="R290" s="3"/>
      <c r="S290" s="3"/>
      <c r="T290" s="3"/>
      <c r="U290" s="3"/>
      <c r="V290" s="3"/>
      <c r="W290" s="3"/>
      <c r="X290" s="3"/>
      <c r="Y290" s="3"/>
      <c r="Z290" s="3"/>
      <c r="AA290" s="3"/>
      <c r="AB290" s="3"/>
      <c r="AC290" s="3"/>
    </row>
    <row r="291" customFormat="false" ht="178.5" hidden="false" customHeight="true" outlineLevel="0" collapsed="false">
      <c r="A291" s="3"/>
      <c r="B291" s="141" t="s">
        <v>277</v>
      </c>
      <c r="C291" s="117" t="s">
        <v>6988</v>
      </c>
      <c r="D291" s="110" t="s">
        <v>6935</v>
      </c>
      <c r="E291" s="110" t="s">
        <v>6936</v>
      </c>
      <c r="F291" s="110" t="s">
        <v>7049</v>
      </c>
      <c r="G291" s="98" t="s">
        <v>7050</v>
      </c>
      <c r="H291" s="98" t="s">
        <v>7051</v>
      </c>
      <c r="I291" s="98" t="s">
        <v>7052</v>
      </c>
      <c r="J291" s="10"/>
      <c r="K291" s="10"/>
      <c r="L291" s="10"/>
      <c r="M291" s="9"/>
      <c r="N291" s="9"/>
      <c r="O291" s="3"/>
      <c r="P291" s="3"/>
      <c r="Q291" s="3"/>
      <c r="R291" s="3"/>
      <c r="S291" s="3"/>
      <c r="T291" s="3"/>
      <c r="U291" s="3"/>
      <c r="V291" s="3"/>
      <c r="W291" s="3"/>
      <c r="X291" s="3"/>
      <c r="Y291" s="3"/>
      <c r="Z291" s="3"/>
      <c r="AA291" s="3"/>
      <c r="AB291" s="3"/>
      <c r="AC291" s="3"/>
    </row>
    <row r="292" customFormat="false" ht="217.5" hidden="false" customHeight="true" outlineLevel="0" collapsed="false">
      <c r="A292" s="3"/>
      <c r="B292" s="139" t="s">
        <v>257</v>
      </c>
      <c r="C292" s="113" t="s">
        <v>7040</v>
      </c>
      <c r="D292" s="109" t="s">
        <v>6946</v>
      </c>
      <c r="E292" s="109" t="s">
        <v>6936</v>
      </c>
      <c r="F292" s="109" t="s">
        <v>7053</v>
      </c>
      <c r="G292" s="91" t="s">
        <v>7054</v>
      </c>
      <c r="H292" s="91" t="s">
        <v>5796</v>
      </c>
      <c r="I292" s="91" t="s">
        <v>7055</v>
      </c>
      <c r="J292" s="10"/>
      <c r="K292" s="10"/>
      <c r="L292" s="10"/>
      <c r="M292" s="9"/>
      <c r="N292" s="9"/>
      <c r="O292" s="3"/>
      <c r="P292" s="3"/>
      <c r="Q292" s="3"/>
      <c r="R292" s="3"/>
      <c r="S292" s="3"/>
      <c r="T292" s="3"/>
      <c r="U292" s="3"/>
      <c r="V292" s="3"/>
      <c r="W292" s="3"/>
      <c r="X292" s="3"/>
      <c r="Y292" s="3"/>
      <c r="Z292" s="3"/>
      <c r="AA292" s="3"/>
      <c r="AB292" s="3"/>
      <c r="AC292" s="3"/>
    </row>
    <row r="293" customFormat="false" ht="30.75" hidden="false" customHeight="true" outlineLevel="0" collapsed="false">
      <c r="A293" s="3"/>
      <c r="B293" s="9"/>
      <c r="C293" s="9"/>
      <c r="D293" s="9"/>
      <c r="E293" s="9"/>
      <c r="F293" s="9"/>
      <c r="G293" s="10"/>
      <c r="H293" s="10"/>
      <c r="I293" s="10"/>
      <c r="J293" s="10"/>
      <c r="K293" s="10"/>
      <c r="L293" s="10"/>
      <c r="M293" s="9"/>
      <c r="N293" s="9"/>
      <c r="O293" s="3"/>
      <c r="P293" s="3"/>
      <c r="Q293" s="3"/>
      <c r="R293" s="3"/>
      <c r="S293" s="3"/>
      <c r="T293" s="3"/>
      <c r="U293" s="3"/>
      <c r="V293" s="3"/>
      <c r="W293" s="3"/>
      <c r="X293" s="3"/>
      <c r="Y293" s="3"/>
      <c r="Z293" s="3"/>
      <c r="AA293" s="3"/>
      <c r="AB293" s="3"/>
      <c r="AC293" s="3"/>
    </row>
    <row r="294" customFormat="false" ht="30.75" hidden="false" customHeight="true" outlineLevel="0" collapsed="false">
      <c r="A294" s="3"/>
      <c r="B294" s="9"/>
      <c r="C294" s="9"/>
      <c r="D294" s="9"/>
      <c r="E294" s="9"/>
      <c r="F294" s="9"/>
      <c r="G294" s="10"/>
      <c r="H294" s="10"/>
      <c r="I294" s="10"/>
      <c r="J294" s="10"/>
      <c r="K294" s="10"/>
      <c r="L294" s="10"/>
      <c r="M294" s="9"/>
      <c r="N294" s="9"/>
      <c r="O294" s="3"/>
      <c r="P294" s="3"/>
      <c r="Q294" s="3"/>
      <c r="R294" s="3"/>
      <c r="S294" s="3"/>
      <c r="T294" s="3"/>
      <c r="U294" s="3"/>
      <c r="V294" s="3"/>
      <c r="W294" s="3"/>
      <c r="X294" s="3"/>
      <c r="Y294" s="3"/>
      <c r="Z294" s="3"/>
      <c r="AA294" s="3"/>
      <c r="AB294" s="3"/>
      <c r="AC294" s="3"/>
    </row>
    <row r="295" customFormat="false" ht="30.75" hidden="false" customHeight="true" outlineLevel="0" collapsed="false">
      <c r="A295" s="3"/>
      <c r="B295" s="9"/>
      <c r="C295" s="9"/>
      <c r="D295" s="9"/>
      <c r="E295" s="9"/>
      <c r="F295" s="9"/>
      <c r="G295" s="10"/>
      <c r="H295" s="10"/>
      <c r="I295" s="10"/>
      <c r="J295" s="10"/>
      <c r="K295" s="10"/>
      <c r="L295" s="10"/>
      <c r="M295" s="9"/>
      <c r="N295" s="9"/>
      <c r="O295" s="3"/>
      <c r="P295" s="3"/>
      <c r="Q295" s="3"/>
      <c r="R295" s="3"/>
      <c r="S295" s="3"/>
      <c r="T295" s="3"/>
      <c r="U295" s="3"/>
      <c r="V295" s="3"/>
      <c r="W295" s="3"/>
      <c r="X295" s="3"/>
      <c r="Y295" s="3"/>
      <c r="Z295" s="3"/>
      <c r="AA295" s="3"/>
      <c r="AB295" s="3"/>
      <c r="AC295" s="3"/>
    </row>
    <row r="296" customFormat="false" ht="25.5" hidden="false" customHeight="true" outlineLevel="0" collapsed="false">
      <c r="A296" s="3"/>
      <c r="B296" s="133" t="s">
        <v>7056</v>
      </c>
      <c r="C296" s="133"/>
      <c r="D296" s="133"/>
      <c r="E296" s="133"/>
      <c r="F296" s="133"/>
      <c r="G296" s="10"/>
      <c r="H296" s="10"/>
      <c r="I296" s="10"/>
      <c r="J296" s="10"/>
      <c r="K296" s="10"/>
      <c r="L296" s="10"/>
      <c r="M296" s="9"/>
      <c r="N296" s="9"/>
      <c r="O296" s="3"/>
      <c r="P296" s="3"/>
      <c r="Q296" s="3"/>
      <c r="R296" s="3"/>
      <c r="S296" s="3"/>
      <c r="T296" s="3"/>
      <c r="U296" s="3"/>
      <c r="V296" s="3"/>
      <c r="W296" s="3"/>
      <c r="X296" s="3"/>
      <c r="Y296" s="3"/>
      <c r="Z296" s="3"/>
      <c r="AA296" s="3"/>
      <c r="AB296" s="3"/>
      <c r="AC296" s="3"/>
    </row>
    <row r="297" customFormat="false" ht="36" hidden="false" customHeight="true" outlineLevel="0" collapsed="false">
      <c r="A297" s="3"/>
      <c r="B297" s="152" t="s">
        <v>6917</v>
      </c>
      <c r="C297" s="23" t="s">
        <v>6971</v>
      </c>
      <c r="D297" s="23" t="s">
        <v>6972</v>
      </c>
      <c r="E297" s="23" t="s">
        <v>6973</v>
      </c>
      <c r="F297" s="23" t="s">
        <v>6974</v>
      </c>
      <c r="G297" s="10"/>
      <c r="H297" s="10"/>
      <c r="I297" s="10"/>
      <c r="J297" s="10"/>
      <c r="K297" s="10"/>
      <c r="L297" s="10"/>
      <c r="M297" s="9"/>
      <c r="N297" s="9"/>
      <c r="O297" s="3"/>
      <c r="P297" s="3"/>
      <c r="Q297" s="3"/>
      <c r="R297" s="3"/>
      <c r="S297" s="3"/>
      <c r="T297" s="3"/>
      <c r="U297" s="3"/>
      <c r="V297" s="3"/>
      <c r="W297" s="3"/>
      <c r="X297" s="3"/>
      <c r="Y297" s="3"/>
      <c r="Z297" s="3"/>
      <c r="AA297" s="3"/>
      <c r="AB297" s="3"/>
      <c r="AC297" s="3"/>
    </row>
    <row r="298" customFormat="false" ht="36" hidden="false" customHeight="true" outlineLevel="0" collapsed="false">
      <c r="A298" s="3"/>
      <c r="B298" s="139" t="s">
        <v>6479</v>
      </c>
      <c r="C298" s="153" t="n">
        <v>7.17</v>
      </c>
      <c r="D298" s="153" t="n">
        <v>10.46</v>
      </c>
      <c r="E298" s="153" t="n">
        <v>19.99</v>
      </c>
      <c r="F298" s="109" t="s">
        <v>7057</v>
      </c>
      <c r="G298" s="10"/>
      <c r="H298" s="10"/>
      <c r="I298" s="10"/>
      <c r="J298" s="10"/>
      <c r="K298" s="10"/>
      <c r="L298" s="10"/>
      <c r="M298" s="9"/>
      <c r="N298" s="9"/>
      <c r="O298" s="3"/>
      <c r="P298" s="3"/>
      <c r="Q298" s="3"/>
      <c r="R298" s="3"/>
      <c r="S298" s="3"/>
      <c r="T298" s="3"/>
      <c r="U298" s="3"/>
      <c r="V298" s="3"/>
      <c r="W298" s="3"/>
      <c r="X298" s="3"/>
      <c r="Y298" s="3"/>
      <c r="Z298" s="3"/>
      <c r="AA298" s="3"/>
      <c r="AB298" s="3"/>
      <c r="AC298" s="3"/>
    </row>
    <row r="299" customFormat="false" ht="48.75" hidden="false" customHeight="true" outlineLevel="0" collapsed="false">
      <c r="A299" s="3"/>
      <c r="B299" s="141" t="s">
        <v>6481</v>
      </c>
      <c r="C299" s="154" t="n">
        <v>4.02</v>
      </c>
      <c r="D299" s="154" t="n">
        <v>6.65</v>
      </c>
      <c r="E299" s="154" t="n">
        <v>15.7</v>
      </c>
      <c r="F299" s="110" t="s">
        <v>7058</v>
      </c>
      <c r="G299" s="10"/>
      <c r="H299" s="10"/>
      <c r="I299" s="10"/>
      <c r="J299" s="10"/>
      <c r="K299" s="10"/>
      <c r="L299" s="10"/>
      <c r="M299" s="9"/>
      <c r="N299" s="9"/>
      <c r="O299" s="3"/>
      <c r="P299" s="3"/>
      <c r="Q299" s="3"/>
      <c r="R299" s="3"/>
      <c r="S299" s="3"/>
      <c r="T299" s="3"/>
      <c r="U299" s="3"/>
      <c r="V299" s="3"/>
      <c r="W299" s="3"/>
      <c r="X299" s="3"/>
      <c r="Y299" s="3"/>
      <c r="Z299" s="3"/>
      <c r="AA299" s="3"/>
      <c r="AB299" s="3"/>
      <c r="AC299" s="3"/>
    </row>
    <row r="300" customFormat="false" ht="48.75" hidden="false" customHeight="true" outlineLevel="0" collapsed="false">
      <c r="A300" s="3"/>
      <c r="B300" s="139" t="s">
        <v>6482</v>
      </c>
      <c r="C300" s="153" t="n">
        <v>4.25</v>
      </c>
      <c r="D300" s="153" t="n">
        <v>7.5</v>
      </c>
      <c r="E300" s="153" t="n">
        <v>37.9</v>
      </c>
      <c r="F300" s="109" t="s">
        <v>7059</v>
      </c>
      <c r="G300" s="10"/>
      <c r="H300" s="10"/>
      <c r="I300" s="10"/>
      <c r="J300" s="10"/>
      <c r="K300" s="10"/>
      <c r="L300" s="10"/>
      <c r="M300" s="9"/>
      <c r="N300" s="9"/>
      <c r="O300" s="3"/>
      <c r="P300" s="3"/>
      <c r="Q300" s="3"/>
      <c r="R300" s="3"/>
      <c r="S300" s="3"/>
      <c r="T300" s="3"/>
      <c r="U300" s="3"/>
      <c r="V300" s="3"/>
      <c r="W300" s="3"/>
      <c r="X300" s="3"/>
      <c r="Y300" s="3"/>
      <c r="Z300" s="3"/>
      <c r="AA300" s="3"/>
      <c r="AB300" s="3"/>
      <c r="AC300" s="3"/>
    </row>
    <row r="301" customFormat="false" ht="48.75" hidden="false" customHeight="true" outlineLevel="0" collapsed="false">
      <c r="A301" s="3"/>
      <c r="B301" s="141" t="s">
        <v>6483</v>
      </c>
      <c r="C301" s="154" t="n">
        <v>6.54</v>
      </c>
      <c r="D301" s="154" t="n">
        <v>10.83</v>
      </c>
      <c r="E301" s="154" t="n">
        <v>22</v>
      </c>
      <c r="F301" s="110" t="s">
        <v>7060</v>
      </c>
      <c r="G301" s="10"/>
      <c r="H301" s="10"/>
      <c r="I301" s="10"/>
      <c r="J301" s="10"/>
      <c r="K301" s="10"/>
      <c r="L301" s="10"/>
      <c r="M301" s="9"/>
      <c r="N301" s="9"/>
      <c r="O301" s="3"/>
      <c r="P301" s="3"/>
      <c r="Q301" s="3"/>
      <c r="R301" s="3"/>
      <c r="S301" s="3"/>
      <c r="T301" s="3"/>
      <c r="U301" s="3"/>
      <c r="V301" s="3"/>
      <c r="W301" s="3"/>
      <c r="X301" s="3"/>
      <c r="Y301" s="3"/>
      <c r="Z301" s="3"/>
      <c r="AA301" s="3"/>
      <c r="AB301" s="3"/>
      <c r="AC301" s="3"/>
    </row>
    <row r="302" customFormat="false" ht="48.75" hidden="false" customHeight="true" outlineLevel="0" collapsed="false">
      <c r="A302" s="3"/>
      <c r="B302" s="139" t="s">
        <v>6484</v>
      </c>
      <c r="C302" s="153" t="n">
        <v>2.8</v>
      </c>
      <c r="D302" s="153" t="n">
        <v>3.62</v>
      </c>
      <c r="E302" s="153" t="n">
        <v>13.2</v>
      </c>
      <c r="F302" s="109" t="s">
        <v>7061</v>
      </c>
      <c r="G302" s="10"/>
      <c r="H302" s="10"/>
      <c r="I302" s="10"/>
      <c r="J302" s="10"/>
      <c r="K302" s="10"/>
      <c r="L302" s="10"/>
      <c r="M302" s="9"/>
      <c r="N302" s="9"/>
      <c r="O302" s="3"/>
      <c r="P302" s="3"/>
      <c r="Q302" s="3"/>
      <c r="R302" s="3"/>
      <c r="S302" s="3"/>
      <c r="T302" s="3"/>
      <c r="U302" s="3"/>
      <c r="V302" s="3"/>
      <c r="W302" s="3"/>
      <c r="X302" s="3"/>
      <c r="Y302" s="3"/>
      <c r="Z302" s="3"/>
      <c r="AA302" s="3"/>
      <c r="AB302" s="3"/>
      <c r="AC302" s="3"/>
    </row>
    <row r="303" customFormat="false" ht="48.75" hidden="false" customHeight="true" outlineLevel="0" collapsed="false">
      <c r="A303" s="3"/>
      <c r="B303" s="141" t="s">
        <v>6485</v>
      </c>
      <c r="C303" s="154" t="n">
        <v>2.1</v>
      </c>
      <c r="D303" s="154" t="n">
        <v>3.58</v>
      </c>
      <c r="E303" s="154" t="n">
        <v>17.5</v>
      </c>
      <c r="F303" s="110" t="s">
        <v>7062</v>
      </c>
      <c r="G303" s="10"/>
      <c r="H303" s="10"/>
      <c r="I303" s="10"/>
      <c r="J303" s="10"/>
      <c r="K303" s="10"/>
      <c r="L303" s="10"/>
      <c r="M303" s="9"/>
      <c r="N303" s="9"/>
      <c r="O303" s="3"/>
      <c r="P303" s="3"/>
      <c r="Q303" s="3"/>
      <c r="R303" s="3"/>
      <c r="S303" s="3"/>
      <c r="T303" s="3"/>
      <c r="U303" s="3"/>
      <c r="V303" s="3"/>
      <c r="W303" s="3"/>
      <c r="X303" s="3"/>
      <c r="Y303" s="3"/>
      <c r="Z303" s="3"/>
      <c r="AA303" s="3"/>
      <c r="AB303" s="3"/>
      <c r="AC303" s="3"/>
    </row>
    <row r="304" customFormat="false" ht="36" hidden="false" customHeight="true" outlineLevel="0" collapsed="false">
      <c r="A304" s="3"/>
      <c r="B304" s="139" t="s">
        <v>52</v>
      </c>
      <c r="C304" s="153" t="n">
        <v>0.81</v>
      </c>
      <c r="D304" s="153" t="n">
        <v>1.08</v>
      </c>
      <c r="E304" s="153" t="n">
        <v>6.59</v>
      </c>
      <c r="F304" s="109" t="s">
        <v>6978</v>
      </c>
      <c r="G304" s="10"/>
      <c r="H304" s="10"/>
      <c r="I304" s="10"/>
      <c r="J304" s="10"/>
      <c r="K304" s="10"/>
      <c r="L304" s="10"/>
      <c r="M304" s="9"/>
      <c r="N304" s="9"/>
      <c r="O304" s="3"/>
      <c r="P304" s="3"/>
      <c r="Q304" s="3"/>
      <c r="R304" s="3"/>
      <c r="S304" s="3"/>
      <c r="T304" s="3"/>
      <c r="U304" s="3"/>
      <c r="V304" s="3"/>
      <c r="W304" s="3"/>
      <c r="X304" s="3"/>
      <c r="Y304" s="3"/>
      <c r="Z304" s="3"/>
      <c r="AA304" s="3"/>
      <c r="AB304" s="3"/>
      <c r="AC304" s="3"/>
    </row>
    <row r="305" customFormat="false" ht="48.75" hidden="false" customHeight="true" outlineLevel="0" collapsed="false">
      <c r="A305" s="3"/>
      <c r="B305" s="141" t="s">
        <v>53</v>
      </c>
      <c r="C305" s="154" t="n">
        <v>1.06</v>
      </c>
      <c r="D305" s="154" t="n">
        <v>1.75</v>
      </c>
      <c r="E305" s="154" t="n">
        <v>5.83</v>
      </c>
      <c r="F305" s="110" t="s">
        <v>7063</v>
      </c>
      <c r="G305" s="10"/>
      <c r="H305" s="10"/>
      <c r="I305" s="10"/>
      <c r="J305" s="10"/>
      <c r="K305" s="10"/>
      <c r="L305" s="10"/>
      <c r="M305" s="9"/>
      <c r="N305" s="9"/>
      <c r="O305" s="3"/>
      <c r="P305" s="3"/>
      <c r="Q305" s="3"/>
      <c r="R305" s="3"/>
      <c r="S305" s="3"/>
      <c r="T305" s="3"/>
      <c r="U305" s="3"/>
      <c r="V305" s="3"/>
      <c r="W305" s="3"/>
      <c r="X305" s="3"/>
      <c r="Y305" s="3"/>
      <c r="Z305" s="3"/>
      <c r="AA305" s="3"/>
      <c r="AB305" s="3"/>
      <c r="AC305" s="3"/>
    </row>
    <row r="306" customFormat="false" ht="33" hidden="false" customHeight="true" outlineLevel="0" collapsed="false">
      <c r="A306" s="3"/>
      <c r="B306" s="139" t="s">
        <v>6486</v>
      </c>
      <c r="C306" s="153" t="n">
        <v>20.96</v>
      </c>
      <c r="D306" s="153" t="n">
        <v>20.96</v>
      </c>
      <c r="E306" s="153" t="n">
        <v>20.96</v>
      </c>
      <c r="F306" s="109" t="s">
        <v>281</v>
      </c>
      <c r="G306" s="10"/>
      <c r="H306" s="10"/>
      <c r="I306" s="10"/>
      <c r="J306" s="10"/>
      <c r="K306" s="10"/>
      <c r="L306" s="10"/>
      <c r="M306" s="9"/>
      <c r="N306" s="9"/>
      <c r="O306" s="3"/>
      <c r="P306" s="3"/>
      <c r="Q306" s="3"/>
      <c r="R306" s="3"/>
      <c r="S306" s="3"/>
      <c r="T306" s="3"/>
      <c r="U306" s="3"/>
      <c r="V306" s="3"/>
      <c r="W306" s="3"/>
      <c r="X306" s="3"/>
      <c r="Y306" s="3"/>
      <c r="Z306" s="3"/>
      <c r="AA306" s="3"/>
      <c r="AB306" s="3"/>
      <c r="AC306" s="3"/>
    </row>
    <row r="307" customFormat="false" ht="48.75" hidden="false" customHeight="true" outlineLevel="0" collapsed="false">
      <c r="A307" s="3"/>
      <c r="B307" s="141" t="s">
        <v>6488</v>
      </c>
      <c r="C307" s="154" t="n">
        <v>9.12</v>
      </c>
      <c r="D307" s="154" t="n">
        <v>21.46</v>
      </c>
      <c r="E307" s="154" t="n">
        <v>38</v>
      </c>
      <c r="F307" s="110" t="s">
        <v>7064</v>
      </c>
      <c r="G307" s="10"/>
      <c r="H307" s="10"/>
      <c r="I307" s="10"/>
      <c r="J307" s="10"/>
      <c r="K307" s="10"/>
      <c r="L307" s="10"/>
      <c r="M307" s="9"/>
      <c r="N307" s="9"/>
      <c r="O307" s="3"/>
      <c r="P307" s="3"/>
      <c r="Q307" s="3"/>
      <c r="R307" s="3"/>
      <c r="S307" s="3"/>
      <c r="T307" s="3"/>
      <c r="U307" s="3"/>
      <c r="V307" s="3"/>
      <c r="W307" s="3"/>
      <c r="X307" s="3"/>
      <c r="Y307" s="3"/>
      <c r="Z307" s="3"/>
      <c r="AA307" s="3"/>
      <c r="AB307" s="3"/>
      <c r="AC307" s="3"/>
    </row>
    <row r="308" customFormat="false" ht="48.75" hidden="false" customHeight="true" outlineLevel="0" collapsed="false">
      <c r="A308" s="3"/>
      <c r="B308" s="139" t="s">
        <v>6490</v>
      </c>
      <c r="C308" s="153" t="n">
        <v>6.4</v>
      </c>
      <c r="D308" s="153" t="n">
        <v>17.55</v>
      </c>
      <c r="E308" s="153" t="n">
        <v>29.25</v>
      </c>
      <c r="F308" s="109" t="s">
        <v>7060</v>
      </c>
      <c r="G308" s="10"/>
      <c r="H308" s="10"/>
      <c r="I308" s="10"/>
      <c r="J308" s="10"/>
      <c r="K308" s="10"/>
      <c r="L308" s="10"/>
      <c r="M308" s="9"/>
      <c r="N308" s="9"/>
      <c r="O308" s="3"/>
      <c r="P308" s="3"/>
      <c r="Q308" s="3"/>
      <c r="R308" s="3"/>
      <c r="S308" s="3"/>
      <c r="T308" s="3"/>
      <c r="U308" s="3"/>
      <c r="V308" s="3"/>
      <c r="W308" s="3"/>
      <c r="X308" s="3"/>
      <c r="Y308" s="3"/>
      <c r="Z308" s="3"/>
      <c r="AA308" s="3"/>
      <c r="AB308" s="3"/>
      <c r="AC308" s="3"/>
    </row>
    <row r="309" customFormat="false" ht="48.75" hidden="false" customHeight="true" outlineLevel="0" collapsed="false">
      <c r="A309" s="3"/>
      <c r="B309" s="141" t="s">
        <v>6491</v>
      </c>
      <c r="C309" s="154" t="n">
        <v>3.23</v>
      </c>
      <c r="D309" s="154" t="n">
        <v>3.92</v>
      </c>
      <c r="E309" s="154" t="n">
        <v>14.86</v>
      </c>
      <c r="F309" s="110" t="s">
        <v>7059</v>
      </c>
      <c r="G309" s="10"/>
      <c r="H309" s="10"/>
      <c r="I309" s="10"/>
      <c r="J309" s="10"/>
      <c r="K309" s="10"/>
      <c r="L309" s="10"/>
      <c r="M309" s="9"/>
      <c r="N309" s="9"/>
      <c r="O309" s="3"/>
      <c r="P309" s="3"/>
      <c r="Q309" s="3"/>
      <c r="R309" s="3"/>
      <c r="S309" s="3"/>
      <c r="T309" s="3"/>
      <c r="U309" s="3"/>
      <c r="V309" s="3"/>
      <c r="W309" s="3"/>
      <c r="X309" s="3"/>
      <c r="Y309" s="3"/>
      <c r="Z309" s="3"/>
      <c r="AA309" s="3"/>
      <c r="AB309" s="3"/>
      <c r="AC309" s="3"/>
    </row>
    <row r="310" customFormat="false" ht="48.75" hidden="false" customHeight="true" outlineLevel="0" collapsed="false">
      <c r="A310" s="3"/>
      <c r="B310" s="139" t="s">
        <v>6492</v>
      </c>
      <c r="C310" s="153" t="n">
        <v>20.95</v>
      </c>
      <c r="D310" s="153" t="n">
        <v>24.57</v>
      </c>
      <c r="E310" s="153" t="n">
        <v>51.09</v>
      </c>
      <c r="F310" s="109" t="s">
        <v>7065</v>
      </c>
      <c r="G310" s="10"/>
      <c r="H310" s="10"/>
      <c r="I310" s="10"/>
      <c r="J310" s="10"/>
      <c r="K310" s="10"/>
      <c r="L310" s="10"/>
      <c r="M310" s="9"/>
      <c r="N310" s="9"/>
      <c r="O310" s="3"/>
      <c r="P310" s="3"/>
      <c r="Q310" s="3"/>
      <c r="R310" s="3"/>
      <c r="S310" s="3"/>
      <c r="T310" s="3"/>
      <c r="U310" s="3"/>
      <c r="V310" s="3"/>
      <c r="W310" s="3"/>
      <c r="X310" s="3"/>
      <c r="Y310" s="3"/>
      <c r="Z310" s="3"/>
      <c r="AA310" s="3"/>
      <c r="AB310" s="3"/>
      <c r="AC310" s="3"/>
    </row>
    <row r="311" customFormat="false" ht="48.75" hidden="false" customHeight="true" outlineLevel="0" collapsed="false">
      <c r="A311" s="3"/>
      <c r="B311" s="141" t="s">
        <v>6493</v>
      </c>
      <c r="C311" s="154" t="n">
        <v>2.3</v>
      </c>
      <c r="D311" s="154" t="n">
        <v>3.38</v>
      </c>
      <c r="E311" s="154" t="n">
        <v>12.7</v>
      </c>
      <c r="F311" s="110" t="s">
        <v>7059</v>
      </c>
      <c r="G311" s="10"/>
      <c r="H311" s="10"/>
      <c r="I311" s="10"/>
      <c r="J311" s="10"/>
      <c r="K311" s="10"/>
      <c r="L311" s="10"/>
      <c r="M311" s="9"/>
      <c r="N311" s="9"/>
      <c r="O311" s="3"/>
      <c r="P311" s="3"/>
      <c r="Q311" s="3"/>
      <c r="R311" s="3"/>
      <c r="S311" s="3"/>
      <c r="T311" s="3"/>
      <c r="U311" s="3"/>
      <c r="V311" s="3"/>
      <c r="W311" s="3"/>
      <c r="X311" s="3"/>
      <c r="Y311" s="3"/>
      <c r="Z311" s="3"/>
      <c r="AA311" s="3"/>
      <c r="AB311" s="3"/>
      <c r="AC311" s="3"/>
    </row>
    <row r="312" customFormat="false" ht="33" hidden="false" customHeight="true" outlineLevel="0" collapsed="false">
      <c r="A312" s="3"/>
      <c r="B312" s="139" t="s">
        <v>62</v>
      </c>
      <c r="C312" s="153" t="n">
        <v>1.61</v>
      </c>
      <c r="D312" s="153" t="n">
        <v>3.51</v>
      </c>
      <c r="E312" s="153" t="n">
        <v>5.41</v>
      </c>
      <c r="F312" s="109" t="s">
        <v>7066</v>
      </c>
      <c r="G312" s="10"/>
      <c r="H312" s="10"/>
      <c r="I312" s="10"/>
      <c r="J312" s="10"/>
      <c r="K312" s="10"/>
      <c r="L312" s="10"/>
      <c r="M312" s="9"/>
      <c r="N312" s="9"/>
      <c r="O312" s="3"/>
      <c r="P312" s="3"/>
      <c r="Q312" s="3"/>
      <c r="R312" s="3"/>
      <c r="S312" s="3"/>
      <c r="T312" s="3"/>
      <c r="U312" s="3"/>
      <c r="V312" s="3"/>
      <c r="W312" s="3"/>
      <c r="X312" s="3"/>
      <c r="Y312" s="3"/>
      <c r="Z312" s="3"/>
      <c r="AA312" s="3"/>
      <c r="AB312" s="3"/>
      <c r="AC312" s="3"/>
    </row>
    <row r="313" customFormat="false" ht="33" hidden="false" customHeight="true" outlineLevel="0" collapsed="false">
      <c r="A313" s="3"/>
      <c r="B313" s="141" t="s">
        <v>6495</v>
      </c>
      <c r="C313" s="154" t="n">
        <v>7.41</v>
      </c>
      <c r="D313" s="154" t="n">
        <v>9.3</v>
      </c>
      <c r="E313" s="154" t="n">
        <v>11.19</v>
      </c>
      <c r="F313" s="110" t="s">
        <v>7066</v>
      </c>
      <c r="G313" s="10"/>
      <c r="H313" s="10"/>
      <c r="I313" s="10"/>
      <c r="J313" s="10"/>
      <c r="K313" s="10"/>
      <c r="L313" s="10"/>
      <c r="M313" s="9"/>
      <c r="N313" s="9"/>
      <c r="O313" s="3"/>
      <c r="P313" s="3"/>
      <c r="Q313" s="3"/>
      <c r="R313" s="3"/>
      <c r="S313" s="3"/>
      <c r="T313" s="3"/>
      <c r="U313" s="3"/>
      <c r="V313" s="3"/>
      <c r="W313" s="3"/>
      <c r="X313" s="3"/>
      <c r="Y313" s="3"/>
      <c r="Z313" s="3"/>
      <c r="AA313" s="3"/>
      <c r="AB313" s="3"/>
      <c r="AC313" s="3"/>
    </row>
    <row r="314" customFormat="false" ht="36" hidden="false" customHeight="true" outlineLevel="0" collapsed="false">
      <c r="A314" s="3"/>
      <c r="B314" s="139" t="s">
        <v>6496</v>
      </c>
      <c r="C314" s="153" t="n">
        <v>9.8</v>
      </c>
      <c r="D314" s="153" t="n">
        <v>11.97</v>
      </c>
      <c r="E314" s="153" t="n">
        <v>20.9</v>
      </c>
      <c r="F314" s="109" t="s">
        <v>7067</v>
      </c>
      <c r="G314" s="10"/>
      <c r="H314" s="10"/>
      <c r="I314" s="10"/>
      <c r="J314" s="10"/>
      <c r="K314" s="10"/>
      <c r="L314" s="10"/>
      <c r="M314" s="9"/>
      <c r="N314" s="9"/>
      <c r="O314" s="3"/>
      <c r="P314" s="3"/>
      <c r="Q314" s="3"/>
      <c r="R314" s="3"/>
      <c r="S314" s="3"/>
      <c r="T314" s="3"/>
      <c r="U314" s="3"/>
      <c r="V314" s="3"/>
      <c r="W314" s="3"/>
      <c r="X314" s="3"/>
      <c r="Y314" s="3"/>
      <c r="Z314" s="3"/>
      <c r="AA314" s="3"/>
      <c r="AB314" s="3"/>
      <c r="AC314" s="3"/>
    </row>
    <row r="315" customFormat="false" ht="48.75" hidden="false" customHeight="true" outlineLevel="0" collapsed="false">
      <c r="A315" s="3"/>
      <c r="B315" s="141" t="s">
        <v>6985</v>
      </c>
      <c r="C315" s="110"/>
      <c r="D315" s="110"/>
      <c r="E315" s="110"/>
      <c r="F315" s="110"/>
      <c r="G315" s="10"/>
      <c r="H315" s="10"/>
      <c r="I315" s="10"/>
      <c r="J315" s="10"/>
      <c r="K315" s="10"/>
      <c r="L315" s="10"/>
      <c r="M315" s="9"/>
      <c r="N315" s="9"/>
      <c r="O315" s="3"/>
      <c r="P315" s="3"/>
      <c r="Q315" s="3"/>
      <c r="R315" s="3"/>
      <c r="S315" s="3"/>
      <c r="T315" s="3"/>
      <c r="U315" s="3"/>
      <c r="V315" s="3"/>
      <c r="W315" s="3"/>
      <c r="X315" s="3"/>
      <c r="Y315" s="3"/>
      <c r="Z315" s="3"/>
      <c r="AA315" s="3"/>
      <c r="AB315" s="3"/>
      <c r="AC315" s="3"/>
    </row>
    <row r="316" customFormat="false" ht="30.75" hidden="false" customHeight="true" outlineLevel="0" collapsed="false">
      <c r="A316" s="3"/>
      <c r="B316" s="9"/>
      <c r="C316" s="9"/>
      <c r="D316" s="9"/>
      <c r="E316" s="9"/>
      <c r="F316" s="9"/>
      <c r="G316" s="10"/>
      <c r="H316" s="10"/>
      <c r="I316" s="10"/>
      <c r="J316" s="10"/>
      <c r="K316" s="10"/>
      <c r="L316" s="10"/>
      <c r="M316" s="9"/>
      <c r="N316" s="9"/>
      <c r="O316" s="3"/>
      <c r="P316" s="3"/>
      <c r="Q316" s="3"/>
      <c r="R316" s="3"/>
      <c r="S316" s="3"/>
      <c r="T316" s="3"/>
      <c r="U316" s="3"/>
      <c r="V316" s="3"/>
      <c r="W316" s="3"/>
      <c r="X316" s="3"/>
      <c r="Y316" s="3"/>
      <c r="Z316" s="3"/>
      <c r="AA316" s="3"/>
      <c r="AB316" s="3"/>
      <c r="AC316" s="3"/>
    </row>
    <row r="317" customFormat="false" ht="30.75" hidden="false" customHeight="true" outlineLevel="0" collapsed="false">
      <c r="A317" s="3"/>
      <c r="B317" s="9"/>
      <c r="C317" s="9"/>
      <c r="D317" s="9"/>
      <c r="E317" s="9"/>
      <c r="F317" s="9"/>
      <c r="G317" s="10"/>
      <c r="H317" s="10"/>
      <c r="I317" s="10"/>
      <c r="J317" s="10"/>
      <c r="K317" s="10"/>
      <c r="L317" s="10"/>
      <c r="M317" s="9"/>
      <c r="N317" s="9"/>
      <c r="O317" s="3"/>
      <c r="P317" s="3"/>
      <c r="Q317" s="3"/>
      <c r="R317" s="3"/>
      <c r="S317" s="3"/>
      <c r="T317" s="3"/>
      <c r="U317" s="3"/>
      <c r="V317" s="3"/>
      <c r="W317" s="3"/>
      <c r="X317" s="3"/>
      <c r="Y317" s="3"/>
      <c r="Z317" s="3"/>
      <c r="AA317" s="3"/>
      <c r="AB317" s="3"/>
      <c r="AC317" s="3"/>
    </row>
    <row r="318" customFormat="false" ht="30.75" hidden="false" customHeight="true" outlineLevel="0" collapsed="false">
      <c r="A318" s="3"/>
      <c r="B318" s="9"/>
      <c r="C318" s="9"/>
      <c r="D318" s="9"/>
      <c r="E318" s="9"/>
      <c r="F318" s="9"/>
      <c r="G318" s="10"/>
      <c r="H318" s="10"/>
      <c r="I318" s="10"/>
      <c r="J318" s="10"/>
      <c r="K318" s="10"/>
      <c r="L318" s="10"/>
      <c r="M318" s="9"/>
      <c r="N318" s="9"/>
      <c r="O318" s="3"/>
      <c r="P318" s="3"/>
      <c r="Q318" s="3"/>
      <c r="R318" s="3"/>
      <c r="S318" s="3"/>
      <c r="T318" s="3"/>
      <c r="U318" s="3"/>
      <c r="V318" s="3"/>
      <c r="W318" s="3"/>
      <c r="X318" s="3"/>
      <c r="Y318" s="3"/>
      <c r="Z318" s="3"/>
      <c r="AA318" s="3"/>
      <c r="AB318" s="3"/>
      <c r="AC318" s="3"/>
    </row>
    <row r="319" customFormat="false" ht="25.5" hidden="false" customHeight="true" outlineLevel="0" collapsed="false">
      <c r="A319" s="3"/>
      <c r="B319" s="133" t="s">
        <v>7068</v>
      </c>
      <c r="C319" s="133"/>
      <c r="D319" s="133"/>
      <c r="E319" s="133"/>
      <c r="F319" s="133"/>
      <c r="G319" s="10"/>
      <c r="H319" s="10"/>
      <c r="I319" s="10"/>
      <c r="J319" s="10"/>
      <c r="K319" s="10"/>
      <c r="L319" s="10"/>
      <c r="M319" s="9"/>
      <c r="N319" s="9"/>
      <c r="O319" s="3"/>
      <c r="P319" s="3"/>
      <c r="Q319" s="3"/>
      <c r="R319" s="3"/>
      <c r="S319" s="3"/>
      <c r="T319" s="3"/>
      <c r="U319" s="3"/>
      <c r="V319" s="3"/>
      <c r="W319" s="3"/>
      <c r="X319" s="3"/>
      <c r="Y319" s="3"/>
      <c r="Z319" s="3"/>
      <c r="AA319" s="3"/>
      <c r="AB319" s="3"/>
      <c r="AC319" s="3"/>
    </row>
    <row r="320" customFormat="false" ht="36" hidden="false" customHeight="true" outlineLevel="0" collapsed="false">
      <c r="A320" s="3"/>
      <c r="B320" s="121" t="s">
        <v>6927</v>
      </c>
      <c r="C320" s="26" t="s">
        <v>6928</v>
      </c>
      <c r="D320" s="26" t="s">
        <v>6929</v>
      </c>
      <c r="E320" s="26" t="s">
        <v>6987</v>
      </c>
      <c r="F320" s="26" t="s">
        <v>240</v>
      </c>
      <c r="G320" s="10"/>
      <c r="H320" s="10"/>
      <c r="I320" s="10"/>
      <c r="J320" s="10"/>
      <c r="K320" s="10"/>
      <c r="L320" s="10"/>
      <c r="M320" s="9"/>
      <c r="N320" s="9"/>
      <c r="O320" s="3"/>
      <c r="P320" s="3"/>
      <c r="Q320" s="3"/>
      <c r="R320" s="3"/>
      <c r="S320" s="3"/>
      <c r="T320" s="3"/>
      <c r="U320" s="3"/>
      <c r="V320" s="3"/>
      <c r="W320" s="3"/>
      <c r="X320" s="3"/>
      <c r="Y320" s="3"/>
      <c r="Z320" s="3"/>
      <c r="AA320" s="3"/>
      <c r="AB320" s="3"/>
      <c r="AC320" s="3"/>
    </row>
    <row r="321" customFormat="false" ht="126.75" hidden="false" customHeight="true" outlineLevel="0" collapsed="false">
      <c r="A321" s="3"/>
      <c r="B321" s="139" t="s">
        <v>7069</v>
      </c>
      <c r="C321" s="113" t="s">
        <v>6992</v>
      </c>
      <c r="D321" s="109" t="s">
        <v>6935</v>
      </c>
      <c r="E321" s="109" t="s">
        <v>7070</v>
      </c>
      <c r="F321" s="109" t="s">
        <v>7071</v>
      </c>
      <c r="G321" s="10"/>
      <c r="H321" s="10"/>
      <c r="I321" s="10"/>
      <c r="J321" s="10"/>
      <c r="K321" s="10"/>
      <c r="L321" s="10"/>
      <c r="M321" s="9"/>
      <c r="N321" s="9"/>
      <c r="O321" s="3"/>
      <c r="P321" s="3"/>
      <c r="Q321" s="3"/>
      <c r="R321" s="3"/>
      <c r="S321" s="3"/>
      <c r="T321" s="3"/>
      <c r="U321" s="3"/>
      <c r="V321" s="3"/>
      <c r="W321" s="3"/>
      <c r="X321" s="3"/>
      <c r="Y321" s="3"/>
      <c r="Z321" s="3"/>
      <c r="AA321" s="3"/>
      <c r="AB321" s="3"/>
      <c r="AC321" s="3"/>
    </row>
    <row r="322" customFormat="false" ht="139.5" hidden="false" customHeight="true" outlineLevel="0" collapsed="false">
      <c r="A322" s="3"/>
      <c r="B322" s="141" t="s">
        <v>7072</v>
      </c>
      <c r="C322" s="117" t="s">
        <v>7073</v>
      </c>
      <c r="D322" s="110" t="s">
        <v>6946</v>
      </c>
      <c r="E322" s="110" t="s">
        <v>7074</v>
      </c>
      <c r="F322" s="110" t="s">
        <v>7075</v>
      </c>
      <c r="G322" s="10"/>
      <c r="H322" s="10"/>
      <c r="I322" s="10"/>
      <c r="J322" s="10"/>
      <c r="K322" s="10"/>
      <c r="L322" s="10"/>
      <c r="M322" s="9"/>
      <c r="N322" s="9"/>
      <c r="O322" s="3"/>
      <c r="P322" s="3"/>
      <c r="Q322" s="3"/>
      <c r="R322" s="3"/>
      <c r="S322" s="3"/>
      <c r="T322" s="3"/>
      <c r="U322" s="3"/>
      <c r="V322" s="3"/>
      <c r="W322" s="3"/>
      <c r="X322" s="3"/>
      <c r="Y322" s="3"/>
      <c r="Z322" s="3"/>
      <c r="AA322" s="3"/>
      <c r="AB322" s="3"/>
      <c r="AC322" s="3"/>
    </row>
    <row r="323" customFormat="false" ht="153" hidden="false" customHeight="true" outlineLevel="0" collapsed="false">
      <c r="A323" s="3"/>
      <c r="B323" s="139" t="s">
        <v>7076</v>
      </c>
      <c r="C323" s="113" t="s">
        <v>7016</v>
      </c>
      <c r="D323" s="109" t="s">
        <v>6935</v>
      </c>
      <c r="E323" s="109" t="s">
        <v>7077</v>
      </c>
      <c r="F323" s="109" t="s">
        <v>7078</v>
      </c>
      <c r="G323" s="10"/>
      <c r="H323" s="10"/>
      <c r="I323" s="10"/>
      <c r="J323" s="10"/>
      <c r="K323" s="10"/>
      <c r="L323" s="10"/>
      <c r="M323" s="9"/>
      <c r="N323" s="9"/>
      <c r="O323" s="3"/>
      <c r="P323" s="3"/>
      <c r="Q323" s="3"/>
      <c r="R323" s="3"/>
      <c r="S323" s="3"/>
      <c r="T323" s="3"/>
      <c r="U323" s="3"/>
      <c r="V323" s="3"/>
      <c r="W323" s="3"/>
      <c r="X323" s="3"/>
      <c r="Y323" s="3"/>
      <c r="Z323" s="3"/>
      <c r="AA323" s="3"/>
      <c r="AB323" s="3"/>
      <c r="AC323" s="3"/>
    </row>
    <row r="324" customFormat="false" ht="48.75" hidden="false" customHeight="true" outlineLevel="0" collapsed="false">
      <c r="A324" s="3"/>
      <c r="B324" s="141" t="s">
        <v>6995</v>
      </c>
      <c r="C324" s="117" t="s">
        <v>6996</v>
      </c>
      <c r="D324" s="110" t="s">
        <v>6997</v>
      </c>
      <c r="E324" s="110" t="s">
        <v>6998</v>
      </c>
      <c r="F324" s="110" t="s">
        <v>6999</v>
      </c>
      <c r="G324" s="10"/>
      <c r="H324" s="10"/>
      <c r="I324" s="10"/>
      <c r="J324" s="10"/>
      <c r="K324" s="10"/>
      <c r="L324" s="10"/>
      <c r="M324" s="9"/>
      <c r="N324" s="9"/>
      <c r="O324" s="3"/>
      <c r="P324" s="3"/>
      <c r="Q324" s="3"/>
      <c r="R324" s="3"/>
      <c r="S324" s="3"/>
      <c r="T324" s="3"/>
      <c r="U324" s="3"/>
      <c r="V324" s="3"/>
      <c r="W324" s="3"/>
      <c r="X324" s="3"/>
      <c r="Y324" s="3"/>
      <c r="Z324" s="3"/>
      <c r="AA324" s="3"/>
      <c r="AB324" s="3"/>
      <c r="AC324" s="3"/>
    </row>
    <row r="325" customFormat="false" ht="48.75" hidden="false" customHeight="true" outlineLevel="0" collapsed="false">
      <c r="A325" s="3"/>
      <c r="B325" s="139" t="s">
        <v>7000</v>
      </c>
      <c r="C325" s="113" t="s">
        <v>7001</v>
      </c>
      <c r="D325" s="109" t="s">
        <v>6997</v>
      </c>
      <c r="E325" s="109" t="s">
        <v>7002</v>
      </c>
      <c r="F325" s="109" t="s">
        <v>7003</v>
      </c>
      <c r="G325" s="10"/>
      <c r="H325" s="10"/>
      <c r="I325" s="10"/>
      <c r="J325" s="10"/>
      <c r="K325" s="10"/>
      <c r="L325" s="10"/>
      <c r="M325" s="9"/>
      <c r="N325" s="9"/>
      <c r="O325" s="3"/>
      <c r="P325" s="3"/>
      <c r="Q325" s="3"/>
      <c r="R325" s="3"/>
      <c r="S325" s="3"/>
      <c r="T325" s="3"/>
      <c r="U325" s="3"/>
      <c r="V325" s="3"/>
      <c r="W325" s="3"/>
      <c r="X325" s="3"/>
      <c r="Y325" s="3"/>
      <c r="Z325" s="3"/>
      <c r="AA325" s="3"/>
      <c r="AB325" s="3"/>
      <c r="AC325" s="3"/>
    </row>
    <row r="326" customFormat="false" ht="75" hidden="false" customHeight="true" outlineLevel="0" collapsed="false">
      <c r="A326" s="3"/>
      <c r="B326" s="141" t="s">
        <v>7007</v>
      </c>
      <c r="C326" s="117" t="s">
        <v>7008</v>
      </c>
      <c r="D326" s="110" t="s">
        <v>6946</v>
      </c>
      <c r="E326" s="110" t="s">
        <v>7009</v>
      </c>
      <c r="F326" s="110" t="s">
        <v>7010</v>
      </c>
      <c r="G326" s="10"/>
      <c r="H326" s="10"/>
      <c r="I326" s="10"/>
      <c r="J326" s="10"/>
      <c r="K326" s="10"/>
      <c r="L326" s="10"/>
      <c r="M326" s="9"/>
      <c r="N326" s="9"/>
      <c r="O326" s="3"/>
      <c r="P326" s="3"/>
      <c r="Q326" s="3"/>
      <c r="R326" s="3"/>
      <c r="S326" s="3"/>
      <c r="T326" s="3"/>
      <c r="U326" s="3"/>
      <c r="V326" s="3"/>
      <c r="W326" s="3"/>
      <c r="X326" s="3"/>
      <c r="Y326" s="3"/>
      <c r="Z326" s="3"/>
      <c r="AA326" s="3"/>
      <c r="AB326" s="3"/>
      <c r="AC326" s="3"/>
    </row>
    <row r="327" customFormat="false" ht="61.5" hidden="false" customHeight="true" outlineLevel="0" collapsed="false">
      <c r="A327" s="3"/>
      <c r="B327" s="139" t="s">
        <v>7011</v>
      </c>
      <c r="C327" s="113" t="s">
        <v>7012</v>
      </c>
      <c r="D327" s="109" t="s">
        <v>6946</v>
      </c>
      <c r="E327" s="109" t="s">
        <v>7013</v>
      </c>
      <c r="F327" s="109" t="s">
        <v>7014</v>
      </c>
      <c r="G327" s="10"/>
      <c r="H327" s="10"/>
      <c r="I327" s="10"/>
      <c r="J327" s="10"/>
      <c r="K327" s="10"/>
      <c r="L327" s="10"/>
      <c r="M327" s="9"/>
      <c r="N327" s="9"/>
      <c r="O327" s="3"/>
      <c r="P327" s="3"/>
      <c r="Q327" s="3"/>
      <c r="R327" s="3"/>
      <c r="S327" s="3"/>
      <c r="T327" s="3"/>
      <c r="U327" s="3"/>
      <c r="V327" s="3"/>
      <c r="W327" s="3"/>
      <c r="X327" s="3"/>
      <c r="Y327" s="3"/>
      <c r="Z327" s="3"/>
      <c r="AA327" s="3"/>
      <c r="AB327" s="3"/>
      <c r="AC327" s="3"/>
    </row>
    <row r="328" customFormat="false" ht="75" hidden="false" customHeight="true" outlineLevel="0" collapsed="false">
      <c r="A328" s="3"/>
      <c r="B328" s="141" t="s">
        <v>7019</v>
      </c>
      <c r="C328" s="117" t="s">
        <v>7020</v>
      </c>
      <c r="D328" s="110" t="s">
        <v>6946</v>
      </c>
      <c r="E328" s="110" t="s">
        <v>7021</v>
      </c>
      <c r="F328" s="110" t="s">
        <v>7022</v>
      </c>
      <c r="G328" s="10"/>
      <c r="H328" s="10"/>
      <c r="I328" s="10"/>
      <c r="J328" s="10"/>
      <c r="K328" s="10"/>
      <c r="L328" s="10"/>
      <c r="M328" s="9"/>
      <c r="N328" s="9"/>
      <c r="O328" s="3"/>
      <c r="P328" s="3"/>
      <c r="Q328" s="3"/>
      <c r="R328" s="3"/>
      <c r="S328" s="3"/>
      <c r="T328" s="3"/>
      <c r="U328" s="3"/>
      <c r="V328" s="3"/>
      <c r="W328" s="3"/>
      <c r="X328" s="3"/>
      <c r="Y328" s="3"/>
      <c r="Z328" s="3"/>
      <c r="AA328" s="3"/>
      <c r="AB328" s="3"/>
      <c r="AC328" s="3"/>
    </row>
    <row r="329" customFormat="false" ht="61.5" hidden="false" customHeight="true" outlineLevel="0" collapsed="false">
      <c r="A329" s="3"/>
      <c r="B329" s="139" t="s">
        <v>733</v>
      </c>
      <c r="C329" s="113" t="s">
        <v>7023</v>
      </c>
      <c r="D329" s="109" t="s">
        <v>6935</v>
      </c>
      <c r="E329" s="109" t="s">
        <v>7024</v>
      </c>
      <c r="F329" s="109" t="s">
        <v>7025</v>
      </c>
      <c r="G329" s="10"/>
      <c r="H329" s="10"/>
      <c r="I329" s="10"/>
      <c r="J329" s="10"/>
      <c r="K329" s="10"/>
      <c r="L329" s="10"/>
      <c r="M329" s="9"/>
      <c r="N329" s="9"/>
      <c r="O329" s="3"/>
      <c r="P329" s="3"/>
      <c r="Q329" s="3"/>
      <c r="R329" s="3"/>
      <c r="S329" s="3"/>
      <c r="T329" s="3"/>
      <c r="U329" s="3"/>
      <c r="V329" s="3"/>
      <c r="W329" s="3"/>
      <c r="X329" s="3"/>
      <c r="Y329" s="3"/>
      <c r="Z329" s="3"/>
      <c r="AA329" s="3"/>
      <c r="AB329" s="3"/>
      <c r="AC329" s="3"/>
    </row>
    <row r="330" customFormat="false" ht="61.5" hidden="false" customHeight="true" outlineLevel="0" collapsed="false">
      <c r="A330" s="3"/>
      <c r="B330" s="141" t="s">
        <v>7026</v>
      </c>
      <c r="C330" s="117" t="s">
        <v>7027</v>
      </c>
      <c r="D330" s="110" t="s">
        <v>6935</v>
      </c>
      <c r="E330" s="110" t="s">
        <v>7028</v>
      </c>
      <c r="F330" s="110" t="s">
        <v>7029</v>
      </c>
      <c r="G330" s="10"/>
      <c r="H330" s="10"/>
      <c r="I330" s="10"/>
      <c r="J330" s="10"/>
      <c r="K330" s="10"/>
      <c r="L330" s="10"/>
      <c r="M330" s="9"/>
      <c r="N330" s="9"/>
      <c r="O330" s="3"/>
      <c r="P330" s="3"/>
      <c r="Q330" s="3"/>
      <c r="R330" s="3"/>
      <c r="S330" s="3"/>
      <c r="T330" s="3"/>
      <c r="U330" s="3"/>
      <c r="V330" s="3"/>
      <c r="W330" s="3"/>
      <c r="X330" s="3"/>
      <c r="Y330" s="3"/>
      <c r="Z330" s="3"/>
      <c r="AA330" s="3"/>
      <c r="AB330" s="3"/>
      <c r="AC330" s="3"/>
    </row>
    <row r="331" customFormat="false" ht="48.75" hidden="false" customHeight="true" outlineLevel="0" collapsed="false">
      <c r="A331" s="3"/>
      <c r="B331" s="139" t="s">
        <v>7030</v>
      </c>
      <c r="C331" s="113" t="s">
        <v>7031</v>
      </c>
      <c r="D331" s="109" t="s">
        <v>6946</v>
      </c>
      <c r="E331" s="109" t="s">
        <v>7032</v>
      </c>
      <c r="F331" s="109"/>
      <c r="G331" s="10"/>
      <c r="H331" s="10"/>
      <c r="I331" s="10"/>
      <c r="J331" s="10"/>
      <c r="K331" s="10"/>
      <c r="L331" s="10"/>
      <c r="M331" s="9"/>
      <c r="N331" s="9"/>
      <c r="O331" s="3"/>
      <c r="P331" s="3"/>
      <c r="Q331" s="3"/>
      <c r="R331" s="3"/>
      <c r="S331" s="3"/>
      <c r="T331" s="3"/>
      <c r="U331" s="3"/>
      <c r="V331" s="3"/>
      <c r="W331" s="3"/>
      <c r="X331" s="3"/>
      <c r="Y331" s="3"/>
      <c r="Z331" s="3"/>
      <c r="AA331" s="3"/>
      <c r="AB331" s="3"/>
      <c r="AC331" s="3"/>
    </row>
    <row r="332" customFormat="false" ht="126.75" hidden="false" customHeight="true" outlineLevel="0" collapsed="false">
      <c r="A332" s="3"/>
      <c r="B332" s="141" t="s">
        <v>261</v>
      </c>
      <c r="C332" s="117" t="s">
        <v>7033</v>
      </c>
      <c r="D332" s="110" t="s">
        <v>6946</v>
      </c>
      <c r="E332" s="110" t="s">
        <v>7034</v>
      </c>
      <c r="F332" s="110" t="s">
        <v>7035</v>
      </c>
      <c r="G332" s="10"/>
      <c r="H332" s="10"/>
      <c r="I332" s="10"/>
      <c r="J332" s="10"/>
      <c r="K332" s="10"/>
      <c r="L332" s="10"/>
      <c r="M332" s="9"/>
      <c r="N332" s="9"/>
      <c r="O332" s="3"/>
      <c r="P332" s="3"/>
      <c r="Q332" s="3"/>
      <c r="R332" s="3"/>
      <c r="S332" s="3"/>
      <c r="T332" s="3"/>
      <c r="U332" s="3"/>
      <c r="V332" s="3"/>
      <c r="W332" s="3"/>
      <c r="X332" s="3"/>
      <c r="Y332" s="3"/>
      <c r="Z332" s="3"/>
      <c r="AA332" s="3"/>
      <c r="AB332" s="3"/>
      <c r="AC332" s="3"/>
    </row>
    <row r="333" customFormat="false" ht="87.75" hidden="false" customHeight="true" outlineLevel="0" collapsed="false">
      <c r="A333" s="3"/>
      <c r="B333" s="139" t="s">
        <v>7036</v>
      </c>
      <c r="C333" s="113" t="s">
        <v>7037</v>
      </c>
      <c r="D333" s="109" t="s">
        <v>6946</v>
      </c>
      <c r="E333" s="109" t="s">
        <v>7038</v>
      </c>
      <c r="F333" s="109" t="s">
        <v>7039</v>
      </c>
      <c r="G333" s="10"/>
      <c r="H333" s="10"/>
      <c r="I333" s="10"/>
      <c r="J333" s="10"/>
      <c r="K333" s="10"/>
      <c r="L333" s="10"/>
      <c r="M333" s="9"/>
      <c r="N333" s="9"/>
      <c r="O333" s="3"/>
      <c r="P333" s="3"/>
      <c r="Q333" s="3"/>
      <c r="R333" s="3"/>
      <c r="S333" s="3"/>
      <c r="T333" s="3"/>
      <c r="U333" s="3"/>
      <c r="V333" s="3"/>
      <c r="W333" s="3"/>
      <c r="X333" s="3"/>
      <c r="Y333" s="3"/>
      <c r="Z333" s="3"/>
      <c r="AA333" s="3"/>
      <c r="AB333" s="3"/>
      <c r="AC333" s="3"/>
    </row>
    <row r="334" customFormat="false" ht="87.75" hidden="false" customHeight="true" outlineLevel="0" collapsed="false">
      <c r="A334" s="3"/>
      <c r="B334" s="141" t="s">
        <v>7043</v>
      </c>
      <c r="C334" s="117" t="s">
        <v>7044</v>
      </c>
      <c r="D334" s="110" t="s">
        <v>6935</v>
      </c>
      <c r="E334" s="110" t="s">
        <v>7045</v>
      </c>
      <c r="F334" s="110"/>
      <c r="G334" s="10"/>
      <c r="H334" s="10"/>
      <c r="I334" s="10"/>
      <c r="J334" s="10"/>
      <c r="K334" s="10"/>
      <c r="L334" s="10"/>
      <c r="M334" s="9"/>
      <c r="N334" s="9"/>
      <c r="O334" s="3"/>
      <c r="P334" s="3"/>
      <c r="Q334" s="3"/>
      <c r="R334" s="3"/>
      <c r="S334" s="3"/>
      <c r="T334" s="3"/>
      <c r="U334" s="3"/>
      <c r="V334" s="3"/>
      <c r="W334" s="3"/>
      <c r="X334" s="3"/>
      <c r="Y334" s="3"/>
      <c r="Z334" s="3"/>
      <c r="AA334" s="3"/>
      <c r="AB334" s="3"/>
      <c r="AC334" s="3"/>
    </row>
    <row r="335" customFormat="false" ht="30.75" hidden="false" customHeight="true" outlineLevel="0" collapsed="false">
      <c r="A335" s="3"/>
      <c r="B335" s="9"/>
      <c r="C335" s="9"/>
      <c r="D335" s="9"/>
      <c r="E335" s="9"/>
      <c r="F335" s="9"/>
      <c r="G335" s="10"/>
      <c r="H335" s="10"/>
      <c r="I335" s="10"/>
      <c r="J335" s="10"/>
      <c r="K335" s="10"/>
      <c r="L335" s="10"/>
      <c r="M335" s="9"/>
      <c r="N335" s="9"/>
      <c r="O335" s="3"/>
      <c r="P335" s="3"/>
      <c r="Q335" s="3"/>
      <c r="R335" s="3"/>
      <c r="S335" s="3"/>
      <c r="T335" s="3"/>
      <c r="U335" s="3"/>
      <c r="V335" s="3"/>
      <c r="W335" s="3"/>
      <c r="X335" s="3"/>
      <c r="Y335" s="3"/>
      <c r="Z335" s="3"/>
      <c r="AA335" s="3"/>
      <c r="AB335" s="3"/>
      <c r="AC335" s="3"/>
    </row>
    <row r="336" customFormat="false" ht="30.75" hidden="false" customHeight="true" outlineLevel="0" collapsed="false">
      <c r="A336" s="3"/>
      <c r="B336" s="9"/>
      <c r="C336" s="9"/>
      <c r="D336" s="9"/>
      <c r="E336" s="9"/>
      <c r="F336" s="9"/>
      <c r="G336" s="10"/>
      <c r="H336" s="10"/>
      <c r="I336" s="10"/>
      <c r="J336" s="10"/>
      <c r="K336" s="10"/>
      <c r="L336" s="10"/>
      <c r="M336" s="9"/>
      <c r="N336" s="9"/>
      <c r="O336" s="3"/>
      <c r="P336" s="3"/>
      <c r="Q336" s="3"/>
      <c r="R336" s="3"/>
      <c r="S336" s="3"/>
      <c r="T336" s="3"/>
      <c r="U336" s="3"/>
      <c r="V336" s="3"/>
      <c r="W336" s="3"/>
      <c r="X336" s="3"/>
      <c r="Y336" s="3"/>
      <c r="Z336" s="3"/>
      <c r="AA336" s="3"/>
      <c r="AB336" s="3"/>
      <c r="AC336" s="3"/>
    </row>
    <row r="337" customFormat="false" ht="30.75" hidden="false" customHeight="true" outlineLevel="0" collapsed="false">
      <c r="A337" s="3"/>
      <c r="B337" s="9"/>
      <c r="C337" s="9"/>
      <c r="D337" s="9"/>
      <c r="E337" s="9"/>
      <c r="F337" s="9"/>
      <c r="G337" s="10"/>
      <c r="H337" s="10"/>
      <c r="I337" s="10"/>
      <c r="J337" s="10"/>
      <c r="K337" s="10"/>
      <c r="L337" s="10"/>
      <c r="M337" s="9"/>
      <c r="N337" s="9"/>
      <c r="O337" s="3"/>
      <c r="P337" s="3"/>
      <c r="Q337" s="3"/>
      <c r="R337" s="3"/>
      <c r="S337" s="3"/>
      <c r="T337" s="3"/>
      <c r="U337" s="3"/>
      <c r="V337" s="3"/>
      <c r="W337" s="3"/>
      <c r="X337" s="3"/>
      <c r="Y337" s="3"/>
      <c r="Z337" s="3"/>
      <c r="AA337" s="3"/>
      <c r="AB337" s="3"/>
      <c r="AC337" s="3"/>
    </row>
    <row r="338" customFormat="false" ht="21.75" hidden="false" customHeight="true" outlineLevel="0" collapsed="false">
      <c r="A338" s="3"/>
      <c r="B338" s="9"/>
      <c r="C338" s="9"/>
      <c r="D338" s="9"/>
      <c r="E338" s="9"/>
      <c r="F338" s="9"/>
      <c r="G338" s="10"/>
      <c r="H338" s="10"/>
      <c r="I338" s="10"/>
      <c r="J338" s="10"/>
      <c r="K338" s="10"/>
      <c r="L338" s="10"/>
      <c r="M338" s="9"/>
      <c r="N338" s="9"/>
      <c r="O338" s="3"/>
      <c r="P338" s="3"/>
      <c r="Q338" s="3"/>
      <c r="R338" s="3"/>
      <c r="S338" s="3"/>
      <c r="T338" s="3"/>
      <c r="U338" s="3"/>
      <c r="V338" s="3"/>
      <c r="W338" s="3"/>
      <c r="X338" s="3"/>
      <c r="Y338" s="3"/>
      <c r="Z338" s="3"/>
      <c r="AA338" s="3"/>
      <c r="AB338" s="3"/>
      <c r="AC338" s="3"/>
    </row>
    <row r="339" customFormat="false" ht="21.75" hidden="false" customHeight="true" outlineLevel="0" collapsed="false">
      <c r="A339" s="3"/>
      <c r="B339" s="9"/>
      <c r="C339" s="9"/>
      <c r="D339" s="9"/>
      <c r="E339" s="9"/>
      <c r="F339" s="9"/>
      <c r="G339" s="10"/>
      <c r="H339" s="10"/>
      <c r="I339" s="10"/>
      <c r="J339" s="10"/>
      <c r="K339" s="10"/>
      <c r="L339" s="10"/>
      <c r="M339" s="9"/>
      <c r="N339" s="9"/>
      <c r="O339" s="3"/>
      <c r="P339" s="3"/>
      <c r="Q339" s="3"/>
      <c r="R339" s="3"/>
      <c r="S339" s="3"/>
      <c r="T339" s="3"/>
      <c r="U339" s="3"/>
      <c r="V339" s="3"/>
      <c r="W339" s="3"/>
      <c r="X339" s="3"/>
      <c r="Y339" s="3"/>
      <c r="Z339" s="3"/>
      <c r="AA339" s="3"/>
      <c r="AB339" s="3"/>
      <c r="AC339" s="3"/>
    </row>
    <row r="340" customFormat="false" ht="30.75" hidden="false" customHeight="true" outlineLevel="0" collapsed="false">
      <c r="A340" s="3"/>
      <c r="B340" s="143" t="s">
        <v>7079</v>
      </c>
      <c r="C340" s="9"/>
      <c r="D340" s="9"/>
      <c r="E340" s="9"/>
      <c r="F340" s="9"/>
      <c r="G340" s="10"/>
      <c r="H340" s="10"/>
      <c r="I340" s="10"/>
      <c r="J340" s="10"/>
      <c r="K340" s="10"/>
      <c r="L340" s="10"/>
      <c r="M340" s="9"/>
      <c r="N340" s="9"/>
      <c r="O340" s="3"/>
      <c r="P340" s="3"/>
      <c r="Q340" s="3"/>
      <c r="R340" s="3"/>
      <c r="S340" s="3"/>
      <c r="T340" s="3"/>
      <c r="U340" s="3"/>
      <c r="V340" s="3"/>
      <c r="W340" s="3"/>
      <c r="X340" s="3"/>
      <c r="Y340" s="3"/>
      <c r="Z340" s="3"/>
      <c r="AA340" s="3"/>
      <c r="AB340" s="3"/>
      <c r="AC340" s="3"/>
    </row>
    <row r="341" customFormat="false" ht="36" hidden="false" customHeight="true" outlineLevel="0" collapsed="false">
      <c r="A341" s="3"/>
      <c r="B341" s="9" t="s">
        <v>7080</v>
      </c>
      <c r="C341" s="9"/>
      <c r="D341" s="9"/>
      <c r="E341" s="9"/>
      <c r="F341" s="9"/>
      <c r="G341" s="10"/>
      <c r="H341" s="10"/>
      <c r="I341" s="10"/>
      <c r="J341" s="10"/>
      <c r="K341" s="10"/>
      <c r="L341" s="10"/>
      <c r="M341" s="9"/>
      <c r="N341" s="9"/>
      <c r="O341" s="3"/>
      <c r="P341" s="3"/>
      <c r="Q341" s="3"/>
      <c r="R341" s="3"/>
      <c r="S341" s="3"/>
      <c r="T341" s="3"/>
      <c r="U341" s="3"/>
      <c r="V341" s="3"/>
      <c r="W341" s="3"/>
      <c r="X341" s="3"/>
      <c r="Y341" s="3"/>
      <c r="Z341" s="3"/>
      <c r="AA341" s="3"/>
      <c r="AB341" s="3"/>
      <c r="AC341" s="3"/>
    </row>
    <row r="342" customFormat="false" ht="21.75" hidden="false" customHeight="true" outlineLevel="0" collapsed="false">
      <c r="A342" s="3"/>
      <c r="B342" s="9"/>
      <c r="C342" s="9"/>
      <c r="D342" s="9"/>
      <c r="E342" s="9"/>
      <c r="F342" s="9"/>
      <c r="G342" s="10"/>
      <c r="H342" s="10"/>
      <c r="I342" s="10"/>
      <c r="J342" s="10"/>
      <c r="K342" s="10"/>
      <c r="L342" s="10"/>
      <c r="M342" s="9"/>
      <c r="N342" s="9"/>
      <c r="O342" s="3"/>
      <c r="P342" s="3"/>
      <c r="Q342" s="3"/>
      <c r="R342" s="3"/>
      <c r="S342" s="3"/>
      <c r="T342" s="3"/>
      <c r="U342" s="3"/>
      <c r="V342" s="3"/>
      <c r="W342" s="3"/>
      <c r="X342" s="3"/>
      <c r="Y342" s="3"/>
      <c r="Z342" s="3"/>
      <c r="AA342" s="3"/>
      <c r="AB342" s="3"/>
      <c r="AC342" s="3"/>
    </row>
    <row r="343" customFormat="false" ht="25.5" hidden="false" customHeight="true" outlineLevel="0" collapsed="false">
      <c r="A343" s="3"/>
      <c r="B343" s="133" t="s">
        <v>7081</v>
      </c>
      <c r="C343" s="133"/>
      <c r="D343" s="133"/>
      <c r="E343" s="133"/>
      <c r="F343" s="133"/>
      <c r="G343" s="40"/>
      <c r="H343" s="40"/>
      <c r="I343" s="10"/>
      <c r="J343" s="10"/>
      <c r="K343" s="10"/>
      <c r="L343" s="10"/>
      <c r="M343" s="9"/>
      <c r="N343" s="9"/>
      <c r="O343" s="3"/>
      <c r="P343" s="3"/>
      <c r="Q343" s="3"/>
      <c r="R343" s="3"/>
      <c r="S343" s="3"/>
      <c r="T343" s="3"/>
      <c r="U343" s="3"/>
      <c r="V343" s="3"/>
      <c r="W343" s="3"/>
      <c r="X343" s="3"/>
      <c r="Y343" s="3"/>
      <c r="Z343" s="3"/>
      <c r="AA343" s="3"/>
      <c r="AB343" s="3"/>
      <c r="AC343" s="3"/>
    </row>
    <row r="344" customFormat="false" ht="36" hidden="false" customHeight="true" outlineLevel="0" collapsed="false">
      <c r="A344" s="3"/>
      <c r="B344" s="21" t="s">
        <v>6917</v>
      </c>
      <c r="C344" s="30" t="s">
        <v>230</v>
      </c>
      <c r="D344" s="30" t="s">
        <v>6918</v>
      </c>
      <c r="E344" s="30" t="s">
        <v>6903</v>
      </c>
      <c r="F344" s="30" t="s">
        <v>6919</v>
      </c>
      <c r="G344" s="30" t="s">
        <v>6920</v>
      </c>
      <c r="H344" s="30" t="s">
        <v>6921</v>
      </c>
      <c r="I344" s="30" t="s">
        <v>6922</v>
      </c>
      <c r="J344" s="30" t="s">
        <v>6923</v>
      </c>
      <c r="K344" s="30" t="s">
        <v>6924</v>
      </c>
      <c r="L344" s="30" t="s">
        <v>6925</v>
      </c>
      <c r="M344" s="30" t="s">
        <v>240</v>
      </c>
      <c r="N344" s="30" t="s">
        <v>242</v>
      </c>
      <c r="O344" s="3"/>
      <c r="P344" s="3"/>
      <c r="Q344" s="3"/>
      <c r="R344" s="3"/>
      <c r="S344" s="3"/>
      <c r="T344" s="3"/>
      <c r="U344" s="3"/>
      <c r="V344" s="3"/>
      <c r="W344" s="3"/>
      <c r="X344" s="3"/>
      <c r="Y344" s="3"/>
      <c r="Z344" s="3"/>
      <c r="AA344" s="3"/>
      <c r="AB344" s="3"/>
      <c r="AC344" s="3"/>
    </row>
    <row r="345" customFormat="false" ht="36" hidden="false" customHeight="true" outlineLevel="0" collapsed="false">
      <c r="A345" s="3"/>
      <c r="B345" s="139" t="s">
        <v>6459</v>
      </c>
      <c r="C345" s="109" t="s">
        <v>277</v>
      </c>
      <c r="D345" s="109" t="s">
        <v>607</v>
      </c>
      <c r="E345" s="109" t="s">
        <v>610</v>
      </c>
      <c r="F345" s="113" t="s">
        <v>2025</v>
      </c>
      <c r="G345" s="150" t="n">
        <v>46.99</v>
      </c>
      <c r="H345" s="91" t="s">
        <v>590</v>
      </c>
      <c r="I345" s="144" t="n">
        <v>6</v>
      </c>
      <c r="J345" s="91" t="s">
        <v>611</v>
      </c>
      <c r="K345" s="150" t="n">
        <v>7.83</v>
      </c>
      <c r="L345" s="91" t="s">
        <v>530</v>
      </c>
      <c r="M345" s="109" t="s">
        <v>608</v>
      </c>
      <c r="N345" s="109" t="s">
        <v>586</v>
      </c>
      <c r="O345" s="3"/>
      <c r="P345" s="3"/>
      <c r="Q345" s="3"/>
      <c r="R345" s="3"/>
      <c r="S345" s="3"/>
      <c r="T345" s="3"/>
      <c r="U345" s="3"/>
      <c r="V345" s="3"/>
      <c r="W345" s="3"/>
      <c r="X345" s="3"/>
      <c r="Y345" s="3"/>
      <c r="Z345" s="3"/>
      <c r="AA345" s="3"/>
      <c r="AB345" s="3"/>
      <c r="AC345" s="3"/>
    </row>
    <row r="346" customFormat="false" ht="36" hidden="false" customHeight="true" outlineLevel="0" collapsed="false">
      <c r="A346" s="3"/>
      <c r="B346" s="141" t="s">
        <v>6459</v>
      </c>
      <c r="C346" s="110" t="s">
        <v>257</v>
      </c>
      <c r="D346" s="110" t="s">
        <v>2027</v>
      </c>
      <c r="E346" s="110" t="s">
        <v>1576</v>
      </c>
      <c r="F346" s="117" t="s">
        <v>2029</v>
      </c>
      <c r="G346" s="151" t="n">
        <v>23</v>
      </c>
      <c r="H346" s="98" t="s">
        <v>590</v>
      </c>
      <c r="I346" s="146" t="n">
        <v>1</v>
      </c>
      <c r="J346" s="98"/>
      <c r="K346" s="151" t="n">
        <v>23</v>
      </c>
      <c r="L346" s="98" t="s">
        <v>530</v>
      </c>
      <c r="M346" s="110" t="s">
        <v>2028</v>
      </c>
      <c r="N346" s="110" t="s">
        <v>586</v>
      </c>
      <c r="O346" s="3"/>
      <c r="P346" s="3"/>
      <c r="Q346" s="3"/>
      <c r="R346" s="3"/>
      <c r="S346" s="3"/>
      <c r="T346" s="3"/>
      <c r="U346" s="3"/>
      <c r="V346" s="3"/>
      <c r="W346" s="3"/>
      <c r="X346" s="3"/>
      <c r="Y346" s="3"/>
      <c r="Z346" s="3"/>
      <c r="AA346" s="3"/>
      <c r="AB346" s="3"/>
      <c r="AC346" s="3"/>
    </row>
    <row r="347" customFormat="false" ht="36" hidden="false" customHeight="true" outlineLevel="0" collapsed="false">
      <c r="A347" s="3"/>
      <c r="B347" s="139" t="s">
        <v>6461</v>
      </c>
      <c r="C347" s="109" t="s">
        <v>277</v>
      </c>
      <c r="D347" s="109" t="s">
        <v>690</v>
      </c>
      <c r="E347" s="109" t="s">
        <v>642</v>
      </c>
      <c r="F347" s="113" t="s">
        <v>2030</v>
      </c>
      <c r="G347" s="150" t="n">
        <v>60.99</v>
      </c>
      <c r="H347" s="91" t="s">
        <v>590</v>
      </c>
      <c r="I347" s="144" t="n">
        <v>6</v>
      </c>
      <c r="J347" s="91" t="s">
        <v>611</v>
      </c>
      <c r="K347" s="150" t="n">
        <v>10.17</v>
      </c>
      <c r="L347" s="91" t="s">
        <v>629</v>
      </c>
      <c r="M347" s="109" t="s">
        <v>691</v>
      </c>
      <c r="N347" s="109" t="s">
        <v>586</v>
      </c>
      <c r="O347" s="3"/>
      <c r="P347" s="3"/>
      <c r="Q347" s="3"/>
      <c r="R347" s="3"/>
      <c r="S347" s="3"/>
      <c r="T347" s="3"/>
      <c r="U347" s="3"/>
      <c r="V347" s="3"/>
      <c r="W347" s="3"/>
      <c r="X347" s="3"/>
      <c r="Y347" s="3"/>
      <c r="Z347" s="3"/>
      <c r="AA347" s="3"/>
      <c r="AB347" s="3"/>
      <c r="AC347" s="3"/>
    </row>
    <row r="348" customFormat="false" ht="36" hidden="false" customHeight="true" outlineLevel="0" collapsed="false">
      <c r="A348" s="3"/>
      <c r="B348" s="141" t="s">
        <v>6461</v>
      </c>
      <c r="C348" s="110" t="s">
        <v>257</v>
      </c>
      <c r="D348" s="110" t="s">
        <v>2031</v>
      </c>
      <c r="E348" s="110" t="s">
        <v>1576</v>
      </c>
      <c r="F348" s="117" t="s">
        <v>2033</v>
      </c>
      <c r="G348" s="151" t="n">
        <v>21</v>
      </c>
      <c r="H348" s="98" t="s">
        <v>590</v>
      </c>
      <c r="I348" s="146" t="n">
        <v>1</v>
      </c>
      <c r="J348" s="98"/>
      <c r="K348" s="151" t="n">
        <v>21</v>
      </c>
      <c r="L348" s="98" t="s">
        <v>530</v>
      </c>
      <c r="M348" s="110" t="s">
        <v>2032</v>
      </c>
      <c r="N348" s="110" t="s">
        <v>586</v>
      </c>
      <c r="O348" s="3"/>
      <c r="P348" s="3"/>
      <c r="Q348" s="3"/>
      <c r="R348" s="3"/>
      <c r="S348" s="3"/>
      <c r="T348" s="3"/>
      <c r="U348" s="3"/>
      <c r="V348" s="3"/>
      <c r="W348" s="3"/>
      <c r="X348" s="3"/>
      <c r="Y348" s="3"/>
      <c r="Z348" s="3"/>
      <c r="AA348" s="3"/>
      <c r="AB348" s="3"/>
      <c r="AC348" s="3"/>
    </row>
    <row r="349" customFormat="false" ht="36" hidden="false" customHeight="true" outlineLevel="0" collapsed="false">
      <c r="A349" s="3"/>
      <c r="B349" s="139" t="s">
        <v>6462</v>
      </c>
      <c r="C349" s="109" t="s">
        <v>277</v>
      </c>
      <c r="D349" s="109" t="s">
        <v>751</v>
      </c>
      <c r="E349" s="109" t="s">
        <v>610</v>
      </c>
      <c r="F349" s="113" t="s">
        <v>2035</v>
      </c>
      <c r="G349" s="150" t="n">
        <v>39.99</v>
      </c>
      <c r="H349" s="91" t="s">
        <v>590</v>
      </c>
      <c r="I349" s="144" t="n">
        <v>12</v>
      </c>
      <c r="J349" s="91" t="s">
        <v>754</v>
      </c>
      <c r="K349" s="150" t="n">
        <v>3.33</v>
      </c>
      <c r="L349" s="91" t="s">
        <v>530</v>
      </c>
      <c r="M349" s="109" t="s">
        <v>2034</v>
      </c>
      <c r="N349" s="109" t="s">
        <v>586</v>
      </c>
      <c r="O349" s="3"/>
      <c r="P349" s="3"/>
      <c r="Q349" s="3"/>
      <c r="R349" s="3"/>
      <c r="S349" s="3"/>
      <c r="T349" s="3"/>
      <c r="U349" s="3"/>
      <c r="V349" s="3"/>
      <c r="W349" s="3"/>
      <c r="X349" s="3"/>
      <c r="Y349" s="3"/>
      <c r="Z349" s="3"/>
      <c r="AA349" s="3"/>
      <c r="AB349" s="3"/>
      <c r="AC349" s="3"/>
    </row>
    <row r="350" customFormat="false" ht="36" hidden="false" customHeight="true" outlineLevel="0" collapsed="false">
      <c r="A350" s="3"/>
      <c r="B350" s="141" t="s">
        <v>6462</v>
      </c>
      <c r="C350" s="110" t="s">
        <v>257</v>
      </c>
      <c r="D350" s="110" t="s">
        <v>2036</v>
      </c>
      <c r="E350" s="110" t="s">
        <v>388</v>
      </c>
      <c r="F350" s="117" t="s">
        <v>2038</v>
      </c>
      <c r="G350" s="151" t="n">
        <v>4.75</v>
      </c>
      <c r="H350" s="98" t="s">
        <v>590</v>
      </c>
      <c r="I350" s="146" t="n">
        <v>1</v>
      </c>
      <c r="J350" s="98"/>
      <c r="K350" s="151" t="n">
        <v>4.75</v>
      </c>
      <c r="L350" s="98" t="s">
        <v>530</v>
      </c>
      <c r="M350" s="110" t="s">
        <v>2037</v>
      </c>
      <c r="N350" s="110" t="s">
        <v>586</v>
      </c>
      <c r="O350" s="3"/>
      <c r="P350" s="3"/>
      <c r="Q350" s="3"/>
      <c r="R350" s="3"/>
      <c r="S350" s="3"/>
      <c r="T350" s="3"/>
      <c r="U350" s="3"/>
      <c r="V350" s="3"/>
      <c r="W350" s="3"/>
      <c r="X350" s="3"/>
      <c r="Y350" s="3"/>
      <c r="Z350" s="3"/>
      <c r="AA350" s="3"/>
      <c r="AB350" s="3"/>
      <c r="AC350" s="3"/>
    </row>
    <row r="351" customFormat="false" ht="36" hidden="false" customHeight="true" outlineLevel="0" collapsed="false">
      <c r="A351" s="3"/>
      <c r="B351" s="139" t="s">
        <v>6463</v>
      </c>
      <c r="C351" s="109" t="s">
        <v>277</v>
      </c>
      <c r="D351" s="109" t="s">
        <v>806</v>
      </c>
      <c r="E351" s="109" t="s">
        <v>610</v>
      </c>
      <c r="F351" s="113" t="s">
        <v>2040</v>
      </c>
      <c r="G351" s="150" t="n">
        <v>29.49</v>
      </c>
      <c r="H351" s="91" t="s">
        <v>590</v>
      </c>
      <c r="I351" s="144" t="n">
        <v>12</v>
      </c>
      <c r="J351" s="91" t="s">
        <v>809</v>
      </c>
      <c r="K351" s="150" t="n">
        <v>2.46</v>
      </c>
      <c r="L351" s="91" t="s">
        <v>530</v>
      </c>
      <c r="M351" s="109" t="s">
        <v>2039</v>
      </c>
      <c r="N351" s="109" t="s">
        <v>586</v>
      </c>
      <c r="O351" s="3"/>
      <c r="P351" s="3"/>
      <c r="Q351" s="3"/>
      <c r="R351" s="3"/>
      <c r="S351" s="3"/>
      <c r="T351" s="3"/>
      <c r="U351" s="3"/>
      <c r="V351" s="3"/>
      <c r="W351" s="3"/>
      <c r="X351" s="3"/>
      <c r="Y351" s="3"/>
      <c r="Z351" s="3"/>
      <c r="AA351" s="3"/>
      <c r="AB351" s="3"/>
      <c r="AC351" s="3"/>
    </row>
    <row r="352" customFormat="false" ht="33" hidden="false" customHeight="true" outlineLevel="0" collapsed="false">
      <c r="A352" s="3"/>
      <c r="B352" s="141" t="s">
        <v>6463</v>
      </c>
      <c r="C352" s="110" t="s">
        <v>257</v>
      </c>
      <c r="D352" s="110" t="s">
        <v>2041</v>
      </c>
      <c r="E352" s="110" t="s">
        <v>388</v>
      </c>
      <c r="F352" s="117" t="s">
        <v>2043</v>
      </c>
      <c r="G352" s="151" t="n">
        <v>5.55</v>
      </c>
      <c r="H352" s="98" t="s">
        <v>590</v>
      </c>
      <c r="I352" s="146" t="n">
        <v>1</v>
      </c>
      <c r="J352" s="98"/>
      <c r="K352" s="151" t="n">
        <v>5.55</v>
      </c>
      <c r="L352" s="98" t="s">
        <v>530</v>
      </c>
      <c r="M352" s="110" t="s">
        <v>2042</v>
      </c>
      <c r="N352" s="110" t="s">
        <v>586</v>
      </c>
      <c r="O352" s="3"/>
      <c r="P352" s="3"/>
      <c r="Q352" s="3"/>
      <c r="R352" s="3"/>
      <c r="S352" s="3"/>
      <c r="T352" s="3"/>
      <c r="U352" s="3"/>
      <c r="V352" s="3"/>
      <c r="W352" s="3"/>
      <c r="X352" s="3"/>
      <c r="Y352" s="3"/>
      <c r="Z352" s="3"/>
      <c r="AA352" s="3"/>
      <c r="AB352" s="3"/>
      <c r="AC352" s="3"/>
    </row>
    <row r="353" customFormat="false" ht="36" hidden="false" customHeight="true" outlineLevel="0" collapsed="false">
      <c r="A353" s="3"/>
      <c r="B353" s="139" t="s">
        <v>25</v>
      </c>
      <c r="C353" s="109" t="s">
        <v>277</v>
      </c>
      <c r="D353" s="109" t="s">
        <v>856</v>
      </c>
      <c r="E353" s="109" t="s">
        <v>610</v>
      </c>
      <c r="F353" s="113" t="s">
        <v>2044</v>
      </c>
      <c r="G353" s="150" t="n">
        <v>51.99</v>
      </c>
      <c r="H353" s="91" t="s">
        <v>590</v>
      </c>
      <c r="I353" s="144" t="n">
        <v>12</v>
      </c>
      <c r="J353" s="91" t="s">
        <v>754</v>
      </c>
      <c r="K353" s="150" t="n">
        <v>4.33</v>
      </c>
      <c r="L353" s="91" t="s">
        <v>702</v>
      </c>
      <c r="M353" s="109" t="s">
        <v>857</v>
      </c>
      <c r="N353" s="109" t="s">
        <v>586</v>
      </c>
      <c r="O353" s="3"/>
      <c r="P353" s="3"/>
      <c r="Q353" s="3"/>
      <c r="R353" s="3"/>
      <c r="S353" s="3"/>
      <c r="T353" s="3"/>
      <c r="U353" s="3"/>
      <c r="V353" s="3"/>
      <c r="W353" s="3"/>
      <c r="X353" s="3"/>
      <c r="Y353" s="3"/>
      <c r="Z353" s="3"/>
      <c r="AA353" s="3"/>
      <c r="AB353" s="3"/>
      <c r="AC353" s="3"/>
    </row>
    <row r="354" customFormat="false" ht="36" hidden="false" customHeight="true" outlineLevel="0" collapsed="false">
      <c r="A354" s="3"/>
      <c r="B354" s="141" t="s">
        <v>6465</v>
      </c>
      <c r="C354" s="110" t="s">
        <v>277</v>
      </c>
      <c r="D354" s="110" t="s">
        <v>901</v>
      </c>
      <c r="E354" s="110" t="s">
        <v>610</v>
      </c>
      <c r="F354" s="117" t="s">
        <v>2045</v>
      </c>
      <c r="G354" s="151" t="n">
        <v>35.99</v>
      </c>
      <c r="H354" s="98" t="s">
        <v>590</v>
      </c>
      <c r="I354" s="146" t="n">
        <v>6</v>
      </c>
      <c r="J354" s="98" t="s">
        <v>611</v>
      </c>
      <c r="K354" s="151" t="n">
        <v>6</v>
      </c>
      <c r="L354" s="98" t="s">
        <v>702</v>
      </c>
      <c r="M354" s="110" t="s">
        <v>902</v>
      </c>
      <c r="N354" s="110" t="s">
        <v>586</v>
      </c>
      <c r="O354" s="3"/>
      <c r="P354" s="3"/>
      <c r="Q354" s="3"/>
      <c r="R354" s="3"/>
      <c r="S354" s="3"/>
      <c r="T354" s="3"/>
      <c r="U354" s="3"/>
      <c r="V354" s="3"/>
      <c r="W354" s="3"/>
      <c r="X354" s="3"/>
      <c r="Y354" s="3"/>
      <c r="Z354" s="3"/>
      <c r="AA354" s="3"/>
      <c r="AB354" s="3"/>
      <c r="AC354" s="3"/>
    </row>
    <row r="355" customFormat="false" ht="36" hidden="false" customHeight="true" outlineLevel="0" collapsed="false">
      <c r="A355" s="3"/>
      <c r="B355" s="139" t="s">
        <v>6466</v>
      </c>
      <c r="C355" s="109" t="s">
        <v>277</v>
      </c>
      <c r="D355" s="109" t="s">
        <v>984</v>
      </c>
      <c r="E355" s="109" t="s">
        <v>610</v>
      </c>
      <c r="F355" s="113" t="s">
        <v>2046</v>
      </c>
      <c r="G355" s="150" t="n">
        <v>28.99</v>
      </c>
      <c r="H355" s="91" t="s">
        <v>590</v>
      </c>
      <c r="I355" s="144" t="n">
        <v>1</v>
      </c>
      <c r="J355" s="91"/>
      <c r="K355" s="150" t="n">
        <v>28.99</v>
      </c>
      <c r="L355" s="91" t="s">
        <v>530</v>
      </c>
      <c r="M355" s="109" t="s">
        <v>985</v>
      </c>
      <c r="N355" s="109" t="s">
        <v>586</v>
      </c>
      <c r="O355" s="3"/>
      <c r="P355" s="3"/>
      <c r="Q355" s="3"/>
      <c r="R355" s="3"/>
      <c r="S355" s="3"/>
      <c r="T355" s="3"/>
      <c r="U355" s="3"/>
      <c r="V355" s="3"/>
      <c r="W355" s="3"/>
      <c r="X355" s="3"/>
      <c r="Y355" s="3"/>
      <c r="Z355" s="3"/>
      <c r="AA355" s="3"/>
      <c r="AB355" s="3"/>
      <c r="AC355" s="3"/>
    </row>
    <row r="356" customFormat="false" ht="36" hidden="false" customHeight="true" outlineLevel="0" collapsed="false">
      <c r="A356" s="3"/>
      <c r="B356" s="141" t="s">
        <v>6467</v>
      </c>
      <c r="C356" s="110" t="s">
        <v>277</v>
      </c>
      <c r="D356" s="110" t="s">
        <v>1050</v>
      </c>
      <c r="E356" s="110" t="s">
        <v>610</v>
      </c>
      <c r="F356" s="117" t="s">
        <v>2047</v>
      </c>
      <c r="G356" s="151" t="n">
        <v>26.49</v>
      </c>
      <c r="H356" s="98" t="s">
        <v>590</v>
      </c>
      <c r="I356" s="146" t="n">
        <v>1</v>
      </c>
      <c r="J356" s="98"/>
      <c r="K356" s="151" t="n">
        <v>26.49</v>
      </c>
      <c r="L356" s="98" t="s">
        <v>530</v>
      </c>
      <c r="M356" s="110" t="s">
        <v>1051</v>
      </c>
      <c r="N356" s="110" t="s">
        <v>586</v>
      </c>
      <c r="O356" s="3"/>
      <c r="P356" s="3"/>
      <c r="Q356" s="3"/>
      <c r="R356" s="3"/>
      <c r="S356" s="3"/>
      <c r="T356" s="3"/>
      <c r="U356" s="3"/>
      <c r="V356" s="3"/>
      <c r="W356" s="3"/>
      <c r="X356" s="3"/>
      <c r="Y356" s="3"/>
      <c r="Z356" s="3"/>
      <c r="AA356" s="3"/>
      <c r="AB356" s="3"/>
      <c r="AC356" s="3"/>
    </row>
    <row r="357" customFormat="false" ht="36" hidden="false" customHeight="true" outlineLevel="0" collapsed="false">
      <c r="A357" s="3"/>
      <c r="B357" s="139" t="s">
        <v>6469</v>
      </c>
      <c r="C357" s="109" t="s">
        <v>277</v>
      </c>
      <c r="D357" s="109" t="s">
        <v>1118</v>
      </c>
      <c r="E357" s="109" t="s">
        <v>610</v>
      </c>
      <c r="F357" s="113" t="s">
        <v>2048</v>
      </c>
      <c r="G357" s="150" t="n">
        <v>29.49</v>
      </c>
      <c r="H357" s="91" t="s">
        <v>590</v>
      </c>
      <c r="I357" s="144" t="n">
        <v>1</v>
      </c>
      <c r="J357" s="91"/>
      <c r="K357" s="150" t="n">
        <v>29.49</v>
      </c>
      <c r="L357" s="91" t="s">
        <v>530</v>
      </c>
      <c r="M357" s="109" t="s">
        <v>1119</v>
      </c>
      <c r="N357" s="109" t="s">
        <v>586</v>
      </c>
      <c r="O357" s="3"/>
      <c r="P357" s="3"/>
      <c r="Q357" s="3"/>
      <c r="R357" s="3"/>
      <c r="S357" s="3"/>
      <c r="T357" s="3"/>
      <c r="U357" s="3"/>
      <c r="V357" s="3"/>
      <c r="W357" s="3"/>
      <c r="X357" s="3"/>
      <c r="Y357" s="3"/>
      <c r="Z357" s="3"/>
      <c r="AA357" s="3"/>
      <c r="AB357" s="3"/>
      <c r="AC357" s="3"/>
    </row>
    <row r="358" customFormat="false" ht="48.75" hidden="false" customHeight="true" outlineLevel="0" collapsed="false">
      <c r="A358" s="3"/>
      <c r="B358" s="141" t="s">
        <v>6471</v>
      </c>
      <c r="C358" s="110" t="s">
        <v>277</v>
      </c>
      <c r="D358" s="110" t="s">
        <v>1237</v>
      </c>
      <c r="E358" s="110" t="s">
        <v>610</v>
      </c>
      <c r="F358" s="117" t="s">
        <v>2049</v>
      </c>
      <c r="G358" s="151" t="n">
        <v>88.99</v>
      </c>
      <c r="H358" s="98" t="s">
        <v>590</v>
      </c>
      <c r="I358" s="146" t="n">
        <v>8</v>
      </c>
      <c r="J358" s="98" t="s">
        <v>1240</v>
      </c>
      <c r="K358" s="151" t="n">
        <v>11.12</v>
      </c>
      <c r="L358" s="98" t="s">
        <v>702</v>
      </c>
      <c r="M358" s="110" t="s">
        <v>1238</v>
      </c>
      <c r="N358" s="110" t="s">
        <v>586</v>
      </c>
      <c r="O358" s="3"/>
      <c r="P358" s="3"/>
      <c r="Q358" s="3"/>
      <c r="R358" s="3"/>
      <c r="S358" s="3"/>
      <c r="T358" s="3"/>
      <c r="U358" s="3"/>
      <c r="V358" s="3"/>
      <c r="W358" s="3"/>
      <c r="X358" s="3"/>
      <c r="Y358" s="3"/>
      <c r="Z358" s="3"/>
      <c r="AA358" s="3"/>
      <c r="AB358" s="3"/>
      <c r="AC358" s="3"/>
    </row>
    <row r="359" customFormat="false" ht="36" hidden="false" customHeight="true" outlineLevel="0" collapsed="false">
      <c r="A359" s="3"/>
      <c r="B359" s="139" t="s">
        <v>6474</v>
      </c>
      <c r="C359" s="109" t="s">
        <v>277</v>
      </c>
      <c r="D359" s="109" t="s">
        <v>1352</v>
      </c>
      <c r="E359" s="109" t="s">
        <v>610</v>
      </c>
      <c r="F359" s="113" t="s">
        <v>2050</v>
      </c>
      <c r="G359" s="150" t="n">
        <v>76.99</v>
      </c>
      <c r="H359" s="91" t="s">
        <v>590</v>
      </c>
      <c r="I359" s="144" t="n">
        <v>8</v>
      </c>
      <c r="J359" s="91" t="s">
        <v>1355</v>
      </c>
      <c r="K359" s="150" t="n">
        <v>9.62</v>
      </c>
      <c r="L359" s="91" t="s">
        <v>702</v>
      </c>
      <c r="M359" s="109" t="s">
        <v>1353</v>
      </c>
      <c r="N359" s="109" t="s">
        <v>586</v>
      </c>
      <c r="O359" s="3"/>
      <c r="P359" s="3"/>
      <c r="Q359" s="3"/>
      <c r="R359" s="3"/>
      <c r="S359" s="3"/>
      <c r="T359" s="3"/>
      <c r="U359" s="3"/>
      <c r="V359" s="3"/>
      <c r="W359" s="3"/>
      <c r="X359" s="3"/>
      <c r="Y359" s="3"/>
      <c r="Z359" s="3"/>
      <c r="AA359" s="3"/>
      <c r="AB359" s="3"/>
      <c r="AC359" s="3"/>
    </row>
    <row r="360" customFormat="false" ht="36" hidden="false" customHeight="true" outlineLevel="0" collapsed="false">
      <c r="A360" s="3"/>
      <c r="B360" s="141" t="s">
        <v>6475</v>
      </c>
      <c r="C360" s="110" t="s">
        <v>277</v>
      </c>
      <c r="D360" s="110" t="s">
        <v>1402</v>
      </c>
      <c r="E360" s="110" t="s">
        <v>610</v>
      </c>
      <c r="F360" s="117" t="s">
        <v>2052</v>
      </c>
      <c r="G360" s="151" t="n">
        <v>289.99</v>
      </c>
      <c r="H360" s="98" t="s">
        <v>590</v>
      </c>
      <c r="I360" s="146" t="n">
        <v>1</v>
      </c>
      <c r="J360" s="98"/>
      <c r="K360" s="151" t="n">
        <v>289.99</v>
      </c>
      <c r="L360" s="98" t="s">
        <v>530</v>
      </c>
      <c r="M360" s="110" t="s">
        <v>2051</v>
      </c>
      <c r="N360" s="110" t="s">
        <v>586</v>
      </c>
      <c r="O360" s="3"/>
      <c r="P360" s="3"/>
      <c r="Q360" s="3"/>
      <c r="R360" s="3"/>
      <c r="S360" s="3"/>
      <c r="T360" s="3"/>
      <c r="U360" s="3"/>
      <c r="V360" s="3"/>
      <c r="W360" s="3"/>
      <c r="X360" s="3"/>
      <c r="Y360" s="3"/>
      <c r="Z360" s="3"/>
      <c r="AA360" s="3"/>
      <c r="AB360" s="3"/>
      <c r="AC360" s="3"/>
    </row>
    <row r="361" customFormat="false" ht="36" hidden="false" customHeight="true" outlineLevel="0" collapsed="false">
      <c r="A361" s="3"/>
      <c r="B361" s="139" t="s">
        <v>6475</v>
      </c>
      <c r="C361" s="109" t="s">
        <v>257</v>
      </c>
      <c r="D361" s="109" t="s">
        <v>2053</v>
      </c>
      <c r="E361" s="109" t="s">
        <v>1576</v>
      </c>
      <c r="F361" s="113" t="s">
        <v>2055</v>
      </c>
      <c r="G361" s="150" t="n">
        <v>561</v>
      </c>
      <c r="H361" s="91" t="s">
        <v>590</v>
      </c>
      <c r="I361" s="144" t="n">
        <v>1</v>
      </c>
      <c r="J361" s="91"/>
      <c r="K361" s="150" t="n">
        <v>561</v>
      </c>
      <c r="L361" s="91" t="s">
        <v>629</v>
      </c>
      <c r="M361" s="109" t="s">
        <v>2054</v>
      </c>
      <c r="N361" s="109" t="s">
        <v>586</v>
      </c>
      <c r="O361" s="3"/>
      <c r="P361" s="3"/>
      <c r="Q361" s="3"/>
      <c r="R361" s="3"/>
      <c r="S361" s="3"/>
      <c r="T361" s="3"/>
      <c r="U361" s="3"/>
      <c r="V361" s="3"/>
      <c r="W361" s="3"/>
      <c r="X361" s="3"/>
      <c r="Y361" s="3"/>
      <c r="Z361" s="3"/>
      <c r="AA361" s="3"/>
      <c r="AB361" s="3"/>
      <c r="AC361" s="3"/>
    </row>
    <row r="362" customFormat="false" ht="36" hidden="false" customHeight="true" outlineLevel="0" collapsed="false">
      <c r="A362" s="3"/>
      <c r="B362" s="141" t="s">
        <v>6477</v>
      </c>
      <c r="C362" s="110" t="s">
        <v>277</v>
      </c>
      <c r="D362" s="110" t="s">
        <v>1461</v>
      </c>
      <c r="E362" s="110" t="s">
        <v>610</v>
      </c>
      <c r="F362" s="117" t="s">
        <v>2057</v>
      </c>
      <c r="G362" s="151" t="n">
        <v>43.99</v>
      </c>
      <c r="H362" s="98" t="s">
        <v>590</v>
      </c>
      <c r="I362" s="146" t="n">
        <v>6</v>
      </c>
      <c r="J362" s="98" t="s">
        <v>611</v>
      </c>
      <c r="K362" s="151" t="n">
        <v>7.33</v>
      </c>
      <c r="L362" s="98" t="s">
        <v>629</v>
      </c>
      <c r="M362" s="110" t="s">
        <v>2056</v>
      </c>
      <c r="N362" s="110" t="s">
        <v>586</v>
      </c>
      <c r="O362" s="3"/>
      <c r="P362" s="3"/>
      <c r="Q362" s="3"/>
      <c r="R362" s="3"/>
      <c r="S362" s="3"/>
      <c r="T362" s="3"/>
      <c r="U362" s="3"/>
      <c r="V362" s="3"/>
      <c r="W362" s="3"/>
      <c r="X362" s="3"/>
      <c r="Y362" s="3"/>
      <c r="Z362" s="3"/>
      <c r="AA362" s="3"/>
      <c r="AB362" s="3"/>
      <c r="AC362" s="3"/>
    </row>
    <row r="363" customFormat="false" ht="21.75" hidden="false" customHeight="true" outlineLevel="0" collapsed="false">
      <c r="A363" s="3"/>
      <c r="B363" s="3"/>
      <c r="C363" s="3"/>
      <c r="D363" s="3"/>
      <c r="E363" s="3"/>
      <c r="F363" s="3"/>
      <c r="G363" s="4"/>
      <c r="H363" s="4"/>
      <c r="I363" s="4"/>
      <c r="J363" s="4"/>
      <c r="K363" s="4"/>
      <c r="L363" s="4"/>
      <c r="M363" s="3"/>
      <c r="N363" s="3"/>
      <c r="O363" s="3"/>
      <c r="P363" s="3"/>
      <c r="Q363" s="3"/>
      <c r="R363" s="3"/>
      <c r="S363" s="3"/>
      <c r="T363" s="3"/>
      <c r="U363" s="3"/>
      <c r="V363" s="3"/>
      <c r="W363" s="3"/>
      <c r="X363" s="3"/>
      <c r="Y363" s="3"/>
      <c r="Z363" s="3"/>
      <c r="AA363" s="3"/>
      <c r="AB363" s="3"/>
      <c r="AC363" s="3"/>
    </row>
    <row r="364" customFormat="false" ht="21.75" hidden="false" customHeight="true" outlineLevel="0" collapsed="false">
      <c r="A364" s="3"/>
      <c r="B364" s="3"/>
      <c r="C364" s="3"/>
      <c r="D364" s="3"/>
      <c r="E364" s="3"/>
      <c r="F364" s="3"/>
      <c r="G364" s="4"/>
      <c r="H364" s="4"/>
      <c r="I364" s="4"/>
      <c r="J364" s="4"/>
      <c r="K364" s="4"/>
      <c r="L364" s="4"/>
      <c r="M364" s="3"/>
      <c r="N364" s="3"/>
      <c r="O364" s="3"/>
      <c r="P364" s="3"/>
      <c r="Q364" s="3"/>
      <c r="R364" s="3"/>
      <c r="S364" s="3"/>
      <c r="T364" s="3"/>
      <c r="U364" s="3"/>
      <c r="V364" s="3"/>
      <c r="W364" s="3"/>
      <c r="X364" s="3"/>
      <c r="Y364" s="3"/>
      <c r="Z364" s="3"/>
      <c r="AA364" s="3"/>
      <c r="AB364" s="3"/>
      <c r="AC364" s="3"/>
    </row>
    <row r="365" customFormat="false" ht="21.75" hidden="false" customHeight="true" outlineLevel="0" collapsed="false">
      <c r="A365" s="3"/>
      <c r="B365" s="3"/>
      <c r="C365" s="3"/>
      <c r="D365" s="3"/>
      <c r="E365" s="3"/>
      <c r="F365" s="3"/>
      <c r="G365" s="4"/>
      <c r="H365" s="4"/>
      <c r="I365" s="4"/>
      <c r="J365" s="4"/>
      <c r="K365" s="4"/>
      <c r="L365" s="4"/>
      <c r="M365" s="3"/>
      <c r="N365" s="3"/>
      <c r="O365" s="3"/>
      <c r="P365" s="3"/>
      <c r="Q365" s="3"/>
      <c r="R365" s="3"/>
      <c r="S365" s="3"/>
      <c r="T365" s="3"/>
      <c r="U365" s="3"/>
      <c r="V365" s="3"/>
      <c r="W365" s="3"/>
      <c r="X365" s="3"/>
      <c r="Y365" s="3"/>
      <c r="Z365" s="3"/>
      <c r="AA365" s="3"/>
      <c r="AB365" s="3"/>
      <c r="AC365" s="3"/>
    </row>
    <row r="366" customFormat="false" ht="21.75" hidden="false" customHeight="true" outlineLevel="0" collapsed="false">
      <c r="A366" s="3"/>
      <c r="B366" s="3"/>
      <c r="C366" s="3"/>
      <c r="D366" s="3"/>
      <c r="E366" s="3"/>
      <c r="F366" s="3"/>
      <c r="G366" s="4"/>
      <c r="H366" s="4"/>
      <c r="I366" s="4"/>
      <c r="J366" s="4"/>
      <c r="K366" s="4"/>
      <c r="L366" s="4"/>
      <c r="M366" s="3"/>
      <c r="N366" s="3"/>
      <c r="O366" s="3"/>
      <c r="P366" s="3"/>
      <c r="Q366" s="3"/>
      <c r="R366" s="3"/>
      <c r="S366" s="3"/>
      <c r="T366" s="3"/>
      <c r="U366" s="3"/>
      <c r="V366" s="3"/>
      <c r="W366" s="3"/>
      <c r="X366" s="3"/>
      <c r="Y366" s="3"/>
      <c r="Z366" s="3"/>
      <c r="AA366" s="3"/>
      <c r="AB366" s="3"/>
      <c r="AC366" s="3"/>
    </row>
    <row r="367" customFormat="false" ht="21.75" hidden="false" customHeight="true" outlineLevel="0" collapsed="false">
      <c r="A367" s="3"/>
      <c r="B367" s="3"/>
      <c r="C367" s="3"/>
      <c r="D367" s="3"/>
      <c r="E367" s="3"/>
      <c r="F367" s="3"/>
      <c r="G367" s="4"/>
      <c r="H367" s="4"/>
      <c r="I367" s="4"/>
      <c r="J367" s="4"/>
      <c r="K367" s="4"/>
      <c r="L367" s="4"/>
      <c r="M367" s="3"/>
      <c r="N367" s="3"/>
      <c r="O367" s="3"/>
      <c r="P367" s="3"/>
      <c r="Q367" s="3"/>
      <c r="R367" s="3"/>
      <c r="S367" s="3"/>
      <c r="T367" s="3"/>
      <c r="U367" s="3"/>
      <c r="V367" s="3"/>
      <c r="W367" s="3"/>
      <c r="X367" s="3"/>
      <c r="Y367" s="3"/>
      <c r="Z367" s="3"/>
      <c r="AA367" s="3"/>
      <c r="AB367" s="3"/>
      <c r="AC367" s="3"/>
    </row>
    <row r="368" customFormat="false" ht="21.75" hidden="false" customHeight="true" outlineLevel="0" collapsed="false">
      <c r="A368" s="3"/>
      <c r="B368" s="3"/>
      <c r="C368" s="3"/>
      <c r="D368" s="3"/>
      <c r="E368" s="3"/>
      <c r="F368" s="3"/>
      <c r="G368" s="4"/>
      <c r="H368" s="4"/>
      <c r="I368" s="4"/>
      <c r="J368" s="4"/>
      <c r="K368" s="4"/>
      <c r="L368" s="4"/>
      <c r="M368" s="3"/>
      <c r="N368" s="3"/>
      <c r="O368" s="3"/>
      <c r="P368" s="3"/>
      <c r="Q368" s="3"/>
      <c r="R368" s="3"/>
      <c r="S368" s="3"/>
      <c r="T368" s="3"/>
      <c r="U368" s="3"/>
      <c r="V368" s="3"/>
      <c r="W368" s="3"/>
      <c r="X368" s="3"/>
      <c r="Y368" s="3"/>
      <c r="Z368" s="3"/>
      <c r="AA368" s="3"/>
      <c r="AB368" s="3"/>
      <c r="AC368" s="3"/>
    </row>
    <row r="369" customFormat="false" ht="21.75" hidden="false" customHeight="true" outlineLevel="0" collapsed="false">
      <c r="A369" s="3"/>
      <c r="B369" s="3"/>
      <c r="C369" s="3"/>
      <c r="D369" s="3"/>
      <c r="E369" s="3"/>
      <c r="F369" s="3"/>
      <c r="G369" s="4"/>
      <c r="H369" s="4"/>
      <c r="I369" s="4"/>
      <c r="J369" s="4"/>
      <c r="K369" s="4"/>
      <c r="L369" s="4"/>
      <c r="M369" s="3"/>
      <c r="N369" s="3"/>
      <c r="O369" s="3"/>
      <c r="P369" s="3"/>
      <c r="Q369" s="3"/>
      <c r="R369" s="3"/>
      <c r="S369" s="3"/>
      <c r="T369" s="3"/>
      <c r="U369" s="3"/>
      <c r="V369" s="3"/>
      <c r="W369" s="3"/>
      <c r="X369" s="3"/>
      <c r="Y369" s="3"/>
      <c r="Z369" s="3"/>
      <c r="AA369" s="3"/>
      <c r="AB369" s="3"/>
      <c r="AC369" s="3"/>
    </row>
    <row r="370" customFormat="false" ht="21.75" hidden="false" customHeight="true" outlineLevel="0" collapsed="false">
      <c r="A370" s="3"/>
      <c r="B370" s="3"/>
      <c r="C370" s="3"/>
      <c r="D370" s="3"/>
      <c r="E370" s="3"/>
      <c r="F370" s="3"/>
      <c r="G370" s="4"/>
      <c r="H370" s="4"/>
      <c r="I370" s="4"/>
      <c r="J370" s="4"/>
      <c r="K370" s="4"/>
      <c r="L370" s="4"/>
      <c r="M370" s="3"/>
      <c r="N370" s="3"/>
      <c r="O370" s="3"/>
      <c r="P370" s="3"/>
      <c r="Q370" s="3"/>
      <c r="R370" s="3"/>
      <c r="S370" s="3"/>
      <c r="T370" s="3"/>
      <c r="U370" s="3"/>
      <c r="V370" s="3"/>
      <c r="W370" s="3"/>
      <c r="X370" s="3"/>
      <c r="Y370" s="3"/>
      <c r="Z370" s="3"/>
      <c r="AA370" s="3"/>
      <c r="AB370" s="3"/>
      <c r="AC370" s="3"/>
    </row>
    <row r="371" customFormat="false" ht="21.75" hidden="false" customHeight="true" outlineLevel="0" collapsed="false">
      <c r="A371" s="3"/>
      <c r="B371" s="3"/>
      <c r="C371" s="3"/>
      <c r="D371" s="3"/>
      <c r="E371" s="3"/>
      <c r="F371" s="3"/>
      <c r="G371" s="4"/>
      <c r="H371" s="4"/>
      <c r="I371" s="4"/>
      <c r="J371" s="4"/>
      <c r="K371" s="4"/>
      <c r="L371" s="4"/>
      <c r="M371" s="3"/>
      <c r="N371" s="3"/>
      <c r="O371" s="3"/>
      <c r="P371" s="3"/>
      <c r="Q371" s="3"/>
      <c r="R371" s="3"/>
      <c r="S371" s="3"/>
      <c r="T371" s="3"/>
      <c r="U371" s="3"/>
      <c r="V371" s="3"/>
      <c r="W371" s="3"/>
      <c r="X371" s="3"/>
      <c r="Y371" s="3"/>
      <c r="Z371" s="3"/>
      <c r="AA371" s="3"/>
      <c r="AB371" s="3"/>
      <c r="AC371" s="3"/>
    </row>
    <row r="372" customFormat="false" ht="21.75" hidden="false" customHeight="true" outlineLevel="0" collapsed="false">
      <c r="A372" s="3"/>
      <c r="B372" s="3"/>
      <c r="C372" s="3"/>
      <c r="D372" s="3"/>
      <c r="E372" s="3"/>
      <c r="F372" s="3"/>
      <c r="G372" s="4"/>
      <c r="H372" s="4"/>
      <c r="I372" s="4"/>
      <c r="J372" s="4"/>
      <c r="K372" s="4"/>
      <c r="L372" s="4"/>
      <c r="M372" s="3"/>
      <c r="N372" s="3"/>
      <c r="O372" s="3"/>
      <c r="P372" s="3"/>
      <c r="Q372" s="3"/>
      <c r="R372" s="3"/>
      <c r="S372" s="3"/>
      <c r="T372" s="3"/>
      <c r="U372" s="3"/>
      <c r="V372" s="3"/>
      <c r="W372" s="3"/>
      <c r="X372" s="3"/>
      <c r="Y372" s="3"/>
      <c r="Z372" s="3"/>
      <c r="AA372" s="3"/>
      <c r="AB372" s="3"/>
      <c r="AC372" s="3"/>
    </row>
    <row r="373" customFormat="false" ht="21.75" hidden="false" customHeight="true" outlineLevel="0" collapsed="false">
      <c r="A373" s="3"/>
      <c r="B373" s="3"/>
      <c r="C373" s="3"/>
      <c r="D373" s="3"/>
      <c r="E373" s="3"/>
      <c r="F373" s="3"/>
      <c r="G373" s="4"/>
      <c r="H373" s="4"/>
      <c r="I373" s="4"/>
      <c r="J373" s="4"/>
      <c r="K373" s="4"/>
      <c r="L373" s="4"/>
      <c r="M373" s="3"/>
      <c r="N373" s="3"/>
      <c r="O373" s="3"/>
      <c r="P373" s="3"/>
      <c r="Q373" s="3"/>
      <c r="R373" s="3"/>
      <c r="S373" s="3"/>
      <c r="T373" s="3"/>
      <c r="U373" s="3"/>
      <c r="V373" s="3"/>
      <c r="W373" s="3"/>
      <c r="X373" s="3"/>
      <c r="Y373" s="3"/>
      <c r="Z373" s="3"/>
      <c r="AA373" s="3"/>
      <c r="AB373" s="3"/>
      <c r="AC373" s="3"/>
    </row>
    <row r="374" customFormat="false" ht="21.75" hidden="false" customHeight="true" outlineLevel="0" collapsed="false">
      <c r="A374" s="3"/>
      <c r="B374" s="3"/>
      <c r="C374" s="3"/>
      <c r="D374" s="3"/>
      <c r="E374" s="3"/>
      <c r="F374" s="3"/>
      <c r="G374" s="4"/>
      <c r="H374" s="4"/>
      <c r="I374" s="4"/>
      <c r="J374" s="4"/>
      <c r="K374" s="4"/>
      <c r="L374" s="4"/>
      <c r="M374" s="3"/>
      <c r="N374" s="3"/>
      <c r="O374" s="3"/>
      <c r="P374" s="3"/>
      <c r="Q374" s="3"/>
      <c r="R374" s="3"/>
      <c r="S374" s="3"/>
      <c r="T374" s="3"/>
      <c r="U374" s="3"/>
      <c r="V374" s="3"/>
      <c r="W374" s="3"/>
      <c r="X374" s="3"/>
      <c r="Y374" s="3"/>
      <c r="Z374" s="3"/>
      <c r="AA374" s="3"/>
      <c r="AB374" s="3"/>
      <c r="AC374" s="3"/>
    </row>
    <row r="375" customFormat="false" ht="21.75" hidden="false" customHeight="true" outlineLevel="0" collapsed="false">
      <c r="A375" s="3"/>
      <c r="B375" s="3"/>
      <c r="C375" s="3"/>
      <c r="D375" s="3"/>
      <c r="E375" s="3"/>
      <c r="F375" s="3"/>
      <c r="G375" s="4"/>
      <c r="H375" s="4"/>
      <c r="I375" s="4"/>
      <c r="J375" s="4"/>
      <c r="K375" s="4"/>
      <c r="L375" s="4"/>
      <c r="M375" s="3"/>
      <c r="N375" s="3"/>
      <c r="O375" s="3"/>
      <c r="P375" s="3"/>
      <c r="Q375" s="3"/>
      <c r="R375" s="3"/>
      <c r="S375" s="3"/>
      <c r="T375" s="3"/>
      <c r="U375" s="3"/>
      <c r="V375" s="3"/>
      <c r="W375" s="3"/>
      <c r="X375" s="3"/>
      <c r="Y375" s="3"/>
      <c r="Z375" s="3"/>
      <c r="AA375" s="3"/>
      <c r="AB375" s="3"/>
      <c r="AC375" s="3"/>
    </row>
    <row r="376" customFormat="false" ht="21.75" hidden="false" customHeight="true" outlineLevel="0" collapsed="false">
      <c r="A376" s="3"/>
      <c r="B376" s="3"/>
      <c r="C376" s="3"/>
      <c r="D376" s="3"/>
      <c r="E376" s="3"/>
      <c r="F376" s="3"/>
      <c r="G376" s="4"/>
      <c r="H376" s="4"/>
      <c r="I376" s="4"/>
      <c r="J376" s="4"/>
      <c r="K376" s="4"/>
      <c r="L376" s="4"/>
      <c r="M376" s="3"/>
      <c r="N376" s="3"/>
      <c r="O376" s="3"/>
      <c r="P376" s="3"/>
      <c r="Q376" s="3"/>
      <c r="R376" s="3"/>
      <c r="S376" s="3"/>
      <c r="T376" s="3"/>
      <c r="U376" s="3"/>
      <c r="V376" s="3"/>
      <c r="W376" s="3"/>
      <c r="X376" s="3"/>
      <c r="Y376" s="3"/>
      <c r="Z376" s="3"/>
      <c r="AA376" s="3"/>
      <c r="AB376" s="3"/>
      <c r="AC376" s="3"/>
    </row>
    <row r="377" customFormat="false" ht="21.75" hidden="false" customHeight="true" outlineLevel="0" collapsed="false">
      <c r="A377" s="3"/>
      <c r="B377" s="3"/>
      <c r="C377" s="3"/>
      <c r="D377" s="3"/>
      <c r="E377" s="3"/>
      <c r="F377" s="3"/>
      <c r="G377" s="4"/>
      <c r="H377" s="4"/>
      <c r="I377" s="4"/>
      <c r="J377" s="4"/>
      <c r="K377" s="4"/>
      <c r="L377" s="4"/>
      <c r="M377" s="3"/>
      <c r="N377" s="3"/>
      <c r="O377" s="3"/>
      <c r="P377" s="3"/>
      <c r="Q377" s="3"/>
      <c r="R377" s="3"/>
      <c r="S377" s="3"/>
      <c r="T377" s="3"/>
      <c r="U377" s="3"/>
      <c r="V377" s="3"/>
      <c r="W377" s="3"/>
      <c r="X377" s="3"/>
      <c r="Y377" s="3"/>
      <c r="Z377" s="3"/>
      <c r="AA377" s="3"/>
      <c r="AB377" s="3"/>
      <c r="AC377" s="3"/>
    </row>
    <row r="378" customFormat="false" ht="21.75" hidden="false" customHeight="true" outlineLevel="0" collapsed="false">
      <c r="A378" s="3"/>
      <c r="B378" s="3"/>
      <c r="C378" s="3"/>
      <c r="D378" s="3"/>
      <c r="E378" s="3"/>
      <c r="F378" s="3"/>
      <c r="G378" s="4"/>
      <c r="H378" s="4"/>
      <c r="I378" s="4"/>
      <c r="J378" s="4"/>
      <c r="K378" s="4"/>
      <c r="L378" s="4"/>
      <c r="M378" s="3"/>
      <c r="N378" s="3"/>
      <c r="O378" s="3"/>
      <c r="P378" s="3"/>
      <c r="Q378" s="3"/>
      <c r="R378" s="3"/>
      <c r="S378" s="3"/>
      <c r="T378" s="3"/>
      <c r="U378" s="3"/>
      <c r="V378" s="3"/>
      <c r="W378" s="3"/>
      <c r="X378" s="3"/>
      <c r="Y378" s="3"/>
      <c r="Z378" s="3"/>
      <c r="AA378" s="3"/>
      <c r="AB378" s="3"/>
      <c r="AC378" s="3"/>
    </row>
    <row r="379" customFormat="false" ht="21.75" hidden="false" customHeight="true" outlineLevel="0" collapsed="false">
      <c r="A379" s="3"/>
      <c r="B379" s="3"/>
      <c r="C379" s="3"/>
      <c r="D379" s="3"/>
      <c r="E379" s="3"/>
      <c r="F379" s="3"/>
      <c r="G379" s="4"/>
      <c r="H379" s="4"/>
      <c r="I379" s="4"/>
      <c r="J379" s="4"/>
      <c r="K379" s="4"/>
      <c r="L379" s="4"/>
      <c r="M379" s="3"/>
      <c r="N379" s="3"/>
      <c r="O379" s="3"/>
      <c r="P379" s="3"/>
      <c r="Q379" s="3"/>
      <c r="R379" s="3"/>
      <c r="S379" s="3"/>
      <c r="T379" s="3"/>
      <c r="U379" s="3"/>
      <c r="V379" s="3"/>
      <c r="W379" s="3"/>
      <c r="X379" s="3"/>
      <c r="Y379" s="3"/>
      <c r="Z379" s="3"/>
      <c r="AA379" s="3"/>
      <c r="AB379" s="3"/>
      <c r="AC379" s="3"/>
    </row>
    <row r="380" customFormat="false" ht="21.75" hidden="false" customHeight="true" outlineLevel="0" collapsed="false">
      <c r="A380" s="3"/>
      <c r="B380" s="3"/>
      <c r="C380" s="3"/>
      <c r="D380" s="3"/>
      <c r="E380" s="3"/>
      <c r="F380" s="3"/>
      <c r="G380" s="4"/>
      <c r="H380" s="4"/>
      <c r="I380" s="4"/>
      <c r="J380" s="4"/>
      <c r="K380" s="4"/>
      <c r="L380" s="4"/>
      <c r="M380" s="3"/>
      <c r="N380" s="3"/>
      <c r="O380" s="3"/>
      <c r="P380" s="3"/>
      <c r="Q380" s="3"/>
      <c r="R380" s="3"/>
      <c r="S380" s="3"/>
      <c r="T380" s="3"/>
      <c r="U380" s="3"/>
      <c r="V380" s="3"/>
      <c r="W380" s="3"/>
      <c r="X380" s="3"/>
      <c r="Y380" s="3"/>
      <c r="Z380" s="3"/>
      <c r="AA380" s="3"/>
      <c r="AB380" s="3"/>
      <c r="AC380" s="3"/>
    </row>
    <row r="381" customFormat="false" ht="21.75" hidden="false" customHeight="true" outlineLevel="0" collapsed="false">
      <c r="A381" s="3"/>
      <c r="B381" s="3"/>
      <c r="C381" s="3"/>
      <c r="D381" s="3"/>
      <c r="E381" s="3"/>
      <c r="F381" s="3"/>
      <c r="G381" s="4"/>
      <c r="H381" s="4"/>
      <c r="I381" s="4"/>
      <c r="J381" s="4"/>
      <c r="K381" s="4"/>
      <c r="L381" s="4"/>
      <c r="M381" s="3"/>
      <c r="N381" s="3"/>
      <c r="O381" s="3"/>
      <c r="P381" s="3"/>
      <c r="Q381" s="3"/>
      <c r="R381" s="3"/>
      <c r="S381" s="3"/>
      <c r="T381" s="3"/>
      <c r="U381" s="3"/>
      <c r="V381" s="3"/>
      <c r="W381" s="3"/>
      <c r="X381" s="3"/>
      <c r="Y381" s="3"/>
      <c r="Z381" s="3"/>
      <c r="AA381" s="3"/>
      <c r="AB381" s="3"/>
      <c r="AC381" s="3"/>
    </row>
    <row r="382" customFormat="false" ht="21.75" hidden="false" customHeight="true" outlineLevel="0" collapsed="false">
      <c r="A382" s="3"/>
      <c r="B382" s="3"/>
      <c r="C382" s="3"/>
      <c r="D382" s="3"/>
      <c r="E382" s="3"/>
      <c r="F382" s="3"/>
      <c r="G382" s="4"/>
      <c r="H382" s="4"/>
      <c r="I382" s="4"/>
      <c r="J382" s="4"/>
      <c r="K382" s="4"/>
      <c r="L382" s="4"/>
      <c r="M382" s="3"/>
      <c r="N382" s="3"/>
      <c r="O382" s="3"/>
      <c r="P382" s="3"/>
      <c r="Q382" s="3"/>
      <c r="R382" s="3"/>
      <c r="S382" s="3"/>
      <c r="T382" s="3"/>
      <c r="U382" s="3"/>
      <c r="V382" s="3"/>
      <c r="W382" s="3"/>
      <c r="X382" s="3"/>
      <c r="Y382" s="3"/>
      <c r="Z382" s="3"/>
      <c r="AA382" s="3"/>
      <c r="AB382" s="3"/>
      <c r="AC382" s="3"/>
    </row>
    <row r="383" customFormat="false" ht="21.75" hidden="false" customHeight="true" outlineLevel="0" collapsed="false">
      <c r="A383" s="3"/>
      <c r="B383" s="3"/>
      <c r="C383" s="3"/>
      <c r="D383" s="3"/>
      <c r="E383" s="3"/>
      <c r="F383" s="3"/>
      <c r="G383" s="4"/>
      <c r="H383" s="4"/>
      <c r="I383" s="4"/>
      <c r="J383" s="4"/>
      <c r="K383" s="4"/>
      <c r="L383" s="4"/>
      <c r="M383" s="3"/>
      <c r="N383" s="3"/>
      <c r="O383" s="3"/>
      <c r="P383" s="3"/>
      <c r="Q383" s="3"/>
      <c r="R383" s="3"/>
      <c r="S383" s="3"/>
      <c r="T383" s="3"/>
      <c r="U383" s="3"/>
      <c r="V383" s="3"/>
      <c r="W383" s="3"/>
      <c r="X383" s="3"/>
      <c r="Y383" s="3"/>
      <c r="Z383" s="3"/>
      <c r="AA383" s="3"/>
      <c r="AB383" s="3"/>
      <c r="AC383" s="3"/>
    </row>
    <row r="384" customFormat="false" ht="21.75" hidden="false" customHeight="true" outlineLevel="0" collapsed="false">
      <c r="A384" s="3"/>
      <c r="B384" s="3"/>
      <c r="C384" s="3"/>
      <c r="D384" s="3"/>
      <c r="E384" s="3"/>
      <c r="F384" s="3"/>
      <c r="G384" s="4"/>
      <c r="H384" s="4"/>
      <c r="I384" s="4"/>
      <c r="J384" s="4"/>
      <c r="K384" s="4"/>
      <c r="L384" s="4"/>
      <c r="M384" s="3"/>
      <c r="N384" s="3"/>
      <c r="O384" s="3"/>
      <c r="P384" s="3"/>
      <c r="Q384" s="3"/>
      <c r="R384" s="3"/>
      <c r="S384" s="3"/>
      <c r="T384" s="3"/>
      <c r="U384" s="3"/>
      <c r="V384" s="3"/>
      <c r="W384" s="3"/>
      <c r="X384" s="3"/>
      <c r="Y384" s="3"/>
      <c r="Z384" s="3"/>
      <c r="AA384" s="3"/>
      <c r="AB384" s="3"/>
      <c r="AC384" s="3"/>
    </row>
    <row r="385" customFormat="false" ht="21.75" hidden="false" customHeight="true" outlineLevel="0" collapsed="false">
      <c r="A385" s="3"/>
      <c r="B385" s="3"/>
      <c r="C385" s="3"/>
      <c r="D385" s="3"/>
      <c r="E385" s="3"/>
      <c r="F385" s="3"/>
      <c r="G385" s="4"/>
      <c r="H385" s="4"/>
      <c r="I385" s="4"/>
      <c r="J385" s="4"/>
      <c r="K385" s="4"/>
      <c r="L385" s="4"/>
      <c r="M385" s="3"/>
      <c r="N385" s="3"/>
      <c r="O385" s="3"/>
      <c r="P385" s="3"/>
      <c r="Q385" s="3"/>
      <c r="R385" s="3"/>
      <c r="S385" s="3"/>
      <c r="T385" s="3"/>
      <c r="U385" s="3"/>
      <c r="V385" s="3"/>
      <c r="W385" s="3"/>
      <c r="X385" s="3"/>
      <c r="Y385" s="3"/>
      <c r="Z385" s="3"/>
      <c r="AA385" s="3"/>
      <c r="AB385" s="3"/>
      <c r="AC385" s="3"/>
    </row>
    <row r="386" customFormat="false" ht="21.75" hidden="false" customHeight="true" outlineLevel="0" collapsed="false">
      <c r="A386" s="3"/>
      <c r="B386" s="3"/>
      <c r="C386" s="3"/>
      <c r="D386" s="3"/>
      <c r="E386" s="3"/>
      <c r="F386" s="3"/>
      <c r="G386" s="4"/>
      <c r="H386" s="4"/>
      <c r="I386" s="4"/>
      <c r="J386" s="4"/>
      <c r="K386" s="4"/>
      <c r="L386" s="4"/>
      <c r="M386" s="3"/>
      <c r="N386" s="3"/>
      <c r="O386" s="3"/>
      <c r="P386" s="3"/>
      <c r="Q386" s="3"/>
      <c r="R386" s="3"/>
      <c r="S386" s="3"/>
      <c r="T386" s="3"/>
      <c r="U386" s="3"/>
      <c r="V386" s="3"/>
      <c r="W386" s="3"/>
      <c r="X386" s="3"/>
      <c r="Y386" s="3"/>
      <c r="Z386" s="3"/>
      <c r="AA386" s="3"/>
      <c r="AB386" s="3"/>
      <c r="AC386" s="3"/>
    </row>
    <row r="387" customFormat="false" ht="21.75" hidden="false" customHeight="true" outlineLevel="0" collapsed="false">
      <c r="A387" s="3"/>
      <c r="B387" s="3"/>
      <c r="C387" s="3"/>
      <c r="D387" s="3"/>
      <c r="E387" s="3"/>
      <c r="F387" s="3"/>
      <c r="G387" s="4"/>
      <c r="H387" s="4"/>
      <c r="I387" s="4"/>
      <c r="J387" s="4"/>
      <c r="K387" s="4"/>
      <c r="L387" s="4"/>
      <c r="M387" s="3"/>
      <c r="N387" s="3"/>
      <c r="O387" s="3"/>
      <c r="P387" s="3"/>
      <c r="Q387" s="3"/>
      <c r="R387" s="3"/>
      <c r="S387" s="3"/>
      <c r="T387" s="3"/>
      <c r="U387" s="3"/>
      <c r="V387" s="3"/>
      <c r="W387" s="3"/>
      <c r="X387" s="3"/>
      <c r="Y387" s="3"/>
      <c r="Z387" s="3"/>
      <c r="AA387" s="3"/>
      <c r="AB387" s="3"/>
      <c r="AC387" s="3"/>
    </row>
    <row r="388" customFormat="false" ht="21.75" hidden="false" customHeight="true" outlineLevel="0" collapsed="false">
      <c r="A388" s="3"/>
      <c r="B388" s="3"/>
      <c r="C388" s="3"/>
      <c r="D388" s="3"/>
      <c r="E388" s="3"/>
      <c r="F388" s="3"/>
      <c r="G388" s="4"/>
      <c r="H388" s="4"/>
      <c r="I388" s="4"/>
      <c r="J388" s="4"/>
      <c r="K388" s="4"/>
      <c r="L388" s="4"/>
      <c r="M388" s="3"/>
      <c r="N388" s="3"/>
      <c r="O388" s="3"/>
      <c r="P388" s="3"/>
      <c r="Q388" s="3"/>
      <c r="R388" s="3"/>
      <c r="S388" s="3"/>
      <c r="T388" s="3"/>
      <c r="U388" s="3"/>
      <c r="V388" s="3"/>
      <c r="W388" s="3"/>
      <c r="X388" s="3"/>
      <c r="Y388" s="3"/>
      <c r="Z388" s="3"/>
      <c r="AA388" s="3"/>
      <c r="AB388" s="3"/>
      <c r="AC388" s="3"/>
    </row>
    <row r="389" customFormat="false" ht="21.75" hidden="false" customHeight="true" outlineLevel="0" collapsed="false">
      <c r="A389" s="3"/>
      <c r="B389" s="3"/>
      <c r="C389" s="3"/>
      <c r="D389" s="3"/>
      <c r="E389" s="3"/>
      <c r="F389" s="3"/>
      <c r="G389" s="4"/>
      <c r="H389" s="4"/>
      <c r="I389" s="4"/>
      <c r="J389" s="4"/>
      <c r="K389" s="4"/>
      <c r="L389" s="4"/>
      <c r="M389" s="3"/>
      <c r="N389" s="3"/>
      <c r="O389" s="3"/>
      <c r="P389" s="3"/>
      <c r="Q389" s="3"/>
      <c r="R389" s="3"/>
      <c r="S389" s="3"/>
      <c r="T389" s="3"/>
      <c r="U389" s="3"/>
      <c r="V389" s="3"/>
      <c r="W389" s="3"/>
      <c r="X389" s="3"/>
      <c r="Y389" s="3"/>
      <c r="Z389" s="3"/>
      <c r="AA389" s="3"/>
      <c r="AB389" s="3"/>
      <c r="AC389" s="3"/>
    </row>
    <row r="390" customFormat="false" ht="21.75" hidden="false" customHeight="true" outlineLevel="0" collapsed="false">
      <c r="A390" s="3"/>
      <c r="B390" s="3"/>
      <c r="C390" s="3"/>
      <c r="D390" s="3"/>
      <c r="E390" s="3"/>
      <c r="F390" s="3"/>
      <c r="G390" s="4"/>
      <c r="H390" s="4"/>
      <c r="I390" s="4"/>
      <c r="J390" s="4"/>
      <c r="K390" s="4"/>
      <c r="L390" s="4"/>
      <c r="M390" s="3"/>
      <c r="N390" s="3"/>
      <c r="O390" s="3"/>
      <c r="P390" s="3"/>
      <c r="Q390" s="3"/>
      <c r="R390" s="3"/>
      <c r="S390" s="3"/>
      <c r="T390" s="3"/>
      <c r="U390" s="3"/>
      <c r="V390" s="3"/>
      <c r="W390" s="3"/>
      <c r="X390" s="3"/>
      <c r="Y390" s="3"/>
      <c r="Z390" s="3"/>
      <c r="AA390" s="3"/>
      <c r="AB390" s="3"/>
      <c r="AC390" s="3"/>
    </row>
    <row r="391" customFormat="false" ht="21.75" hidden="false" customHeight="true" outlineLevel="0" collapsed="false">
      <c r="A391" s="3"/>
      <c r="B391" s="3"/>
      <c r="C391" s="3"/>
      <c r="D391" s="3"/>
      <c r="E391" s="3"/>
      <c r="F391" s="3"/>
      <c r="G391" s="4"/>
      <c r="H391" s="4"/>
      <c r="I391" s="4"/>
      <c r="J391" s="4"/>
      <c r="K391" s="4"/>
      <c r="L391" s="4"/>
      <c r="M391" s="3"/>
      <c r="N391" s="3"/>
      <c r="O391" s="3"/>
      <c r="P391" s="3"/>
      <c r="Q391" s="3"/>
      <c r="R391" s="3"/>
      <c r="S391" s="3"/>
      <c r="T391" s="3"/>
      <c r="U391" s="3"/>
      <c r="V391" s="3"/>
      <c r="W391" s="3"/>
      <c r="X391" s="3"/>
      <c r="Y391" s="3"/>
      <c r="Z391" s="3"/>
      <c r="AA391" s="3"/>
      <c r="AB391" s="3"/>
      <c r="AC391" s="3"/>
    </row>
    <row r="392" customFormat="false" ht="21.75" hidden="false" customHeight="true" outlineLevel="0" collapsed="false">
      <c r="A392" s="3"/>
      <c r="B392" s="3"/>
      <c r="C392" s="3"/>
      <c r="D392" s="3"/>
      <c r="E392" s="3"/>
      <c r="F392" s="3"/>
      <c r="G392" s="4"/>
      <c r="H392" s="4"/>
      <c r="I392" s="4"/>
      <c r="J392" s="4"/>
      <c r="K392" s="4"/>
      <c r="L392" s="4"/>
      <c r="M392" s="3"/>
      <c r="N392" s="3"/>
      <c r="O392" s="3"/>
      <c r="P392" s="3"/>
      <c r="Q392" s="3"/>
      <c r="R392" s="3"/>
      <c r="S392" s="3"/>
      <c r="T392" s="3"/>
      <c r="U392" s="3"/>
      <c r="V392" s="3"/>
      <c r="W392" s="3"/>
      <c r="X392" s="3"/>
      <c r="Y392" s="3"/>
      <c r="Z392" s="3"/>
      <c r="AA392" s="3"/>
      <c r="AB392" s="3"/>
      <c r="AC392" s="3"/>
    </row>
    <row r="393" customFormat="false" ht="21.75" hidden="false" customHeight="true" outlineLevel="0" collapsed="false">
      <c r="A393" s="3"/>
      <c r="B393" s="3"/>
      <c r="C393" s="3"/>
      <c r="D393" s="3"/>
      <c r="E393" s="3"/>
      <c r="F393" s="3"/>
      <c r="G393" s="4"/>
      <c r="H393" s="4"/>
      <c r="I393" s="4"/>
      <c r="J393" s="4"/>
      <c r="K393" s="4"/>
      <c r="L393" s="4"/>
      <c r="M393" s="3"/>
      <c r="N393" s="3"/>
      <c r="O393" s="3"/>
      <c r="P393" s="3"/>
      <c r="Q393" s="3"/>
      <c r="R393" s="3"/>
      <c r="S393" s="3"/>
      <c r="T393" s="3"/>
      <c r="U393" s="3"/>
      <c r="V393" s="3"/>
      <c r="W393" s="3"/>
      <c r="X393" s="3"/>
      <c r="Y393" s="3"/>
      <c r="Z393" s="3"/>
      <c r="AA393" s="3"/>
      <c r="AB393" s="3"/>
      <c r="AC393" s="3"/>
    </row>
    <row r="394" customFormat="false" ht="21.75" hidden="false" customHeight="true" outlineLevel="0" collapsed="false">
      <c r="A394" s="3"/>
      <c r="B394" s="3"/>
      <c r="C394" s="3"/>
      <c r="D394" s="3"/>
      <c r="E394" s="3"/>
      <c r="F394" s="3"/>
      <c r="G394" s="4"/>
      <c r="H394" s="4"/>
      <c r="I394" s="4"/>
      <c r="J394" s="4"/>
      <c r="K394" s="4"/>
      <c r="L394" s="4"/>
      <c r="M394" s="3"/>
      <c r="N394" s="3"/>
      <c r="O394" s="3"/>
      <c r="P394" s="3"/>
      <c r="Q394" s="3"/>
      <c r="R394" s="3"/>
      <c r="S394" s="3"/>
      <c r="T394" s="3"/>
      <c r="U394" s="3"/>
      <c r="V394" s="3"/>
      <c r="W394" s="3"/>
      <c r="X394" s="3"/>
      <c r="Y394" s="3"/>
      <c r="Z394" s="3"/>
      <c r="AA394" s="3"/>
      <c r="AB394" s="3"/>
      <c r="AC394" s="3"/>
    </row>
    <row r="395" customFormat="false" ht="21.75" hidden="false" customHeight="true" outlineLevel="0" collapsed="false">
      <c r="A395" s="3"/>
      <c r="B395" s="3"/>
      <c r="C395" s="3"/>
      <c r="D395" s="3"/>
      <c r="E395" s="3"/>
      <c r="F395" s="3"/>
      <c r="G395" s="4"/>
      <c r="H395" s="4"/>
      <c r="I395" s="4"/>
      <c r="J395" s="4"/>
      <c r="K395" s="4"/>
      <c r="L395" s="4"/>
      <c r="M395" s="3"/>
      <c r="N395" s="3"/>
      <c r="O395" s="3"/>
      <c r="P395" s="3"/>
      <c r="Q395" s="3"/>
      <c r="R395" s="3"/>
      <c r="S395" s="3"/>
      <c r="T395" s="3"/>
      <c r="U395" s="3"/>
      <c r="V395" s="3"/>
      <c r="W395" s="3"/>
      <c r="X395" s="3"/>
      <c r="Y395" s="3"/>
      <c r="Z395" s="3"/>
      <c r="AA395" s="3"/>
      <c r="AB395" s="3"/>
      <c r="AC395" s="3"/>
    </row>
    <row r="396" customFormat="false" ht="21.75" hidden="false" customHeight="true" outlineLevel="0" collapsed="false">
      <c r="A396" s="3"/>
      <c r="B396" s="3"/>
      <c r="C396" s="3"/>
      <c r="D396" s="3"/>
      <c r="E396" s="3"/>
      <c r="F396" s="3"/>
      <c r="G396" s="4"/>
      <c r="H396" s="4"/>
      <c r="I396" s="4"/>
      <c r="J396" s="4"/>
      <c r="K396" s="4"/>
      <c r="L396" s="4"/>
      <c r="M396" s="3"/>
      <c r="N396" s="3"/>
      <c r="O396" s="3"/>
      <c r="P396" s="3"/>
      <c r="Q396" s="3"/>
      <c r="R396" s="3"/>
      <c r="S396" s="3"/>
      <c r="T396" s="3"/>
      <c r="U396" s="3"/>
      <c r="V396" s="3"/>
      <c r="W396" s="3"/>
      <c r="X396" s="3"/>
      <c r="Y396" s="3"/>
      <c r="Z396" s="3"/>
      <c r="AA396" s="3"/>
      <c r="AB396" s="3"/>
      <c r="AC396" s="3"/>
    </row>
    <row r="397" customFormat="false" ht="21.75" hidden="false" customHeight="true" outlineLevel="0" collapsed="false">
      <c r="A397" s="3"/>
      <c r="B397" s="3"/>
      <c r="C397" s="3"/>
      <c r="D397" s="3"/>
      <c r="E397" s="3"/>
      <c r="F397" s="3"/>
      <c r="G397" s="4"/>
      <c r="H397" s="4"/>
      <c r="I397" s="4"/>
      <c r="J397" s="4"/>
      <c r="K397" s="4"/>
      <c r="L397" s="4"/>
      <c r="M397" s="3"/>
      <c r="N397" s="3"/>
      <c r="O397" s="3"/>
      <c r="P397" s="3"/>
      <c r="Q397" s="3"/>
      <c r="R397" s="3"/>
      <c r="S397" s="3"/>
      <c r="T397" s="3"/>
      <c r="U397" s="3"/>
      <c r="V397" s="3"/>
      <c r="W397" s="3"/>
      <c r="X397" s="3"/>
      <c r="Y397" s="3"/>
      <c r="Z397" s="3"/>
      <c r="AA397" s="3"/>
      <c r="AB397" s="3"/>
      <c r="AC397" s="3"/>
    </row>
    <row r="398" customFormat="false" ht="21.75" hidden="false" customHeight="true" outlineLevel="0" collapsed="false">
      <c r="A398" s="3"/>
      <c r="B398" s="3"/>
      <c r="C398" s="3"/>
      <c r="D398" s="3"/>
      <c r="E398" s="3"/>
      <c r="F398" s="3"/>
      <c r="G398" s="4"/>
      <c r="H398" s="4"/>
      <c r="I398" s="4"/>
      <c r="J398" s="4"/>
      <c r="K398" s="4"/>
      <c r="L398" s="4"/>
      <c r="M398" s="3"/>
      <c r="N398" s="3"/>
      <c r="O398" s="3"/>
      <c r="P398" s="3"/>
      <c r="Q398" s="3"/>
      <c r="R398" s="3"/>
      <c r="S398" s="3"/>
      <c r="T398" s="3"/>
      <c r="U398" s="3"/>
      <c r="V398" s="3"/>
      <c r="W398" s="3"/>
      <c r="X398" s="3"/>
      <c r="Y398" s="3"/>
      <c r="Z398" s="3"/>
      <c r="AA398" s="3"/>
      <c r="AB398" s="3"/>
      <c r="AC398" s="3"/>
    </row>
    <row r="399" customFormat="false" ht="21.75" hidden="false" customHeight="true" outlineLevel="0" collapsed="false">
      <c r="A399" s="3"/>
      <c r="B399" s="3"/>
      <c r="C399" s="3"/>
      <c r="D399" s="3"/>
      <c r="E399" s="3"/>
      <c r="F399" s="3"/>
      <c r="G399" s="4"/>
      <c r="H399" s="4"/>
      <c r="I399" s="4"/>
      <c r="J399" s="4"/>
      <c r="K399" s="4"/>
      <c r="L399" s="4"/>
      <c r="M399" s="3"/>
      <c r="N399" s="3"/>
      <c r="O399" s="3"/>
      <c r="P399" s="3"/>
      <c r="Q399" s="3"/>
      <c r="R399" s="3"/>
      <c r="S399" s="3"/>
      <c r="T399" s="3"/>
      <c r="U399" s="3"/>
      <c r="V399" s="3"/>
      <c r="W399" s="3"/>
      <c r="X399" s="3"/>
      <c r="Y399" s="3"/>
      <c r="Z399" s="3"/>
      <c r="AA399" s="3"/>
      <c r="AB399" s="3"/>
      <c r="AC399" s="3"/>
    </row>
    <row r="400" customFormat="false" ht="21.75" hidden="false" customHeight="true" outlineLevel="0" collapsed="false">
      <c r="A400" s="3"/>
      <c r="B400" s="3"/>
      <c r="C400" s="3"/>
      <c r="D400" s="3"/>
      <c r="E400" s="3"/>
      <c r="F400" s="3"/>
      <c r="G400" s="4"/>
      <c r="H400" s="4"/>
      <c r="I400" s="4"/>
      <c r="J400" s="4"/>
      <c r="K400" s="4"/>
      <c r="L400" s="4"/>
      <c r="M400" s="3"/>
      <c r="N400" s="3"/>
      <c r="O400" s="3"/>
      <c r="P400" s="3"/>
      <c r="Q400" s="3"/>
      <c r="R400" s="3"/>
      <c r="S400" s="3"/>
      <c r="T400" s="3"/>
      <c r="U400" s="3"/>
      <c r="V400" s="3"/>
      <c r="W400" s="3"/>
      <c r="X400" s="3"/>
      <c r="Y400" s="3"/>
      <c r="Z400" s="3"/>
      <c r="AA400" s="3"/>
      <c r="AB400" s="3"/>
      <c r="AC400" s="3"/>
    </row>
    <row r="401" customFormat="false" ht="21.75" hidden="false" customHeight="true" outlineLevel="0" collapsed="false">
      <c r="A401" s="3"/>
      <c r="B401" s="3"/>
      <c r="C401" s="3"/>
      <c r="D401" s="3"/>
      <c r="E401" s="3"/>
      <c r="F401" s="3"/>
      <c r="G401" s="4"/>
      <c r="H401" s="4"/>
      <c r="I401" s="4"/>
      <c r="J401" s="4"/>
      <c r="K401" s="4"/>
      <c r="L401" s="4"/>
      <c r="M401" s="3"/>
      <c r="N401" s="3"/>
      <c r="O401" s="3"/>
      <c r="P401" s="3"/>
      <c r="Q401" s="3"/>
      <c r="R401" s="3"/>
      <c r="S401" s="3"/>
      <c r="T401" s="3"/>
      <c r="U401" s="3"/>
      <c r="V401" s="3"/>
      <c r="W401" s="3"/>
      <c r="X401" s="3"/>
      <c r="Y401" s="3"/>
      <c r="Z401" s="3"/>
      <c r="AA401" s="3"/>
      <c r="AB401" s="3"/>
      <c r="AC401" s="3"/>
    </row>
    <row r="402" customFormat="false" ht="21.75" hidden="false" customHeight="true" outlineLevel="0" collapsed="false">
      <c r="A402" s="3"/>
      <c r="B402" s="3"/>
      <c r="C402" s="3"/>
      <c r="D402" s="3"/>
      <c r="E402" s="3"/>
      <c r="F402" s="3"/>
      <c r="G402" s="4"/>
      <c r="H402" s="4"/>
      <c r="I402" s="4"/>
      <c r="J402" s="4"/>
      <c r="K402" s="4"/>
      <c r="L402" s="4"/>
      <c r="M402" s="3"/>
      <c r="N402" s="3"/>
      <c r="O402" s="3"/>
      <c r="P402" s="3"/>
      <c r="Q402" s="3"/>
      <c r="R402" s="3"/>
      <c r="S402" s="3"/>
      <c r="T402" s="3"/>
      <c r="U402" s="3"/>
      <c r="V402" s="3"/>
      <c r="W402" s="3"/>
      <c r="X402" s="3"/>
      <c r="Y402" s="3"/>
      <c r="Z402" s="3"/>
      <c r="AA402" s="3"/>
      <c r="AB402" s="3"/>
      <c r="AC402" s="3"/>
    </row>
    <row r="403" customFormat="false" ht="21.75" hidden="false" customHeight="true" outlineLevel="0" collapsed="false">
      <c r="A403" s="3"/>
      <c r="B403" s="3"/>
      <c r="C403" s="3"/>
      <c r="D403" s="3"/>
      <c r="E403" s="3"/>
      <c r="F403" s="3"/>
      <c r="G403" s="4"/>
      <c r="H403" s="4"/>
      <c r="I403" s="4"/>
      <c r="J403" s="4"/>
      <c r="K403" s="4"/>
      <c r="L403" s="4"/>
      <c r="M403" s="3"/>
      <c r="N403" s="3"/>
      <c r="O403" s="3"/>
      <c r="P403" s="3"/>
      <c r="Q403" s="3"/>
      <c r="R403" s="3"/>
      <c r="S403" s="3"/>
      <c r="T403" s="3"/>
      <c r="U403" s="3"/>
      <c r="V403" s="3"/>
      <c r="W403" s="3"/>
      <c r="X403" s="3"/>
      <c r="Y403" s="3"/>
      <c r="Z403" s="3"/>
      <c r="AA403" s="3"/>
      <c r="AB403" s="3"/>
      <c r="AC403" s="3"/>
    </row>
    <row r="404" customFormat="false" ht="21.75" hidden="false" customHeight="true" outlineLevel="0" collapsed="false">
      <c r="A404" s="3"/>
      <c r="B404" s="3"/>
      <c r="C404" s="3"/>
      <c r="D404" s="3"/>
      <c r="E404" s="3"/>
      <c r="F404" s="3"/>
      <c r="G404" s="4"/>
      <c r="H404" s="4"/>
      <c r="I404" s="4"/>
      <c r="J404" s="4"/>
      <c r="K404" s="4"/>
      <c r="L404" s="4"/>
      <c r="M404" s="3"/>
      <c r="N404" s="3"/>
      <c r="O404" s="3"/>
      <c r="P404" s="3"/>
      <c r="Q404" s="3"/>
      <c r="R404" s="3"/>
      <c r="S404" s="3"/>
      <c r="T404" s="3"/>
      <c r="U404" s="3"/>
      <c r="V404" s="3"/>
      <c r="W404" s="3"/>
      <c r="X404" s="3"/>
      <c r="Y404" s="3"/>
      <c r="Z404" s="3"/>
      <c r="AA404" s="3"/>
      <c r="AB404" s="3"/>
      <c r="AC404" s="3"/>
    </row>
    <row r="405" customFormat="false" ht="21.75" hidden="false" customHeight="true" outlineLevel="0" collapsed="false">
      <c r="A405" s="3"/>
      <c r="B405" s="3"/>
      <c r="C405" s="3"/>
      <c r="D405" s="3"/>
      <c r="E405" s="3"/>
      <c r="F405" s="3"/>
      <c r="G405" s="4"/>
      <c r="H405" s="4"/>
      <c r="I405" s="4"/>
      <c r="J405" s="4"/>
      <c r="K405" s="4"/>
      <c r="L405" s="4"/>
      <c r="M405" s="3"/>
      <c r="N405" s="3"/>
      <c r="O405" s="3"/>
      <c r="P405" s="3"/>
      <c r="Q405" s="3"/>
      <c r="R405" s="3"/>
      <c r="S405" s="3"/>
      <c r="T405" s="3"/>
      <c r="U405" s="3"/>
      <c r="V405" s="3"/>
      <c r="W405" s="3"/>
      <c r="X405" s="3"/>
      <c r="Y405" s="3"/>
      <c r="Z405" s="3"/>
      <c r="AA405" s="3"/>
      <c r="AB405" s="3"/>
      <c r="AC405" s="3"/>
    </row>
    <row r="406" customFormat="false" ht="21.75" hidden="false" customHeight="true" outlineLevel="0" collapsed="false">
      <c r="A406" s="3"/>
      <c r="B406" s="3"/>
      <c r="C406" s="3"/>
      <c r="D406" s="3"/>
      <c r="E406" s="3"/>
      <c r="F406" s="3"/>
      <c r="G406" s="4"/>
      <c r="H406" s="4"/>
      <c r="I406" s="4"/>
      <c r="J406" s="4"/>
      <c r="K406" s="4"/>
      <c r="L406" s="4"/>
      <c r="M406" s="3"/>
      <c r="N406" s="3"/>
      <c r="O406" s="3"/>
      <c r="P406" s="3"/>
      <c r="Q406" s="3"/>
      <c r="R406" s="3"/>
      <c r="S406" s="3"/>
      <c r="T406" s="3"/>
      <c r="U406" s="3"/>
      <c r="V406" s="3"/>
      <c r="W406" s="3"/>
      <c r="X406" s="3"/>
      <c r="Y406" s="3"/>
      <c r="Z406" s="3"/>
      <c r="AA406" s="3"/>
      <c r="AB406" s="3"/>
      <c r="AC406" s="3"/>
    </row>
    <row r="407" customFormat="false" ht="21.75" hidden="false" customHeight="true" outlineLevel="0" collapsed="false">
      <c r="A407" s="3"/>
      <c r="B407" s="3"/>
      <c r="C407" s="3"/>
      <c r="D407" s="3"/>
      <c r="E407" s="3"/>
      <c r="F407" s="3"/>
      <c r="G407" s="4"/>
      <c r="H407" s="4"/>
      <c r="I407" s="4"/>
      <c r="J407" s="4"/>
      <c r="K407" s="4"/>
      <c r="L407" s="4"/>
      <c r="M407" s="3"/>
      <c r="N407" s="3"/>
      <c r="O407" s="3"/>
      <c r="P407" s="3"/>
      <c r="Q407" s="3"/>
      <c r="R407" s="3"/>
      <c r="S407" s="3"/>
      <c r="T407" s="3"/>
      <c r="U407" s="3"/>
      <c r="V407" s="3"/>
      <c r="W407" s="3"/>
      <c r="X407" s="3"/>
      <c r="Y407" s="3"/>
      <c r="Z407" s="3"/>
      <c r="AA407" s="3"/>
      <c r="AB407" s="3"/>
      <c r="AC407" s="3"/>
    </row>
    <row r="408" customFormat="false" ht="21.75" hidden="false" customHeight="true" outlineLevel="0" collapsed="false">
      <c r="A408" s="3"/>
      <c r="B408" s="3"/>
      <c r="C408" s="3"/>
      <c r="D408" s="3"/>
      <c r="E408" s="3"/>
      <c r="F408" s="3"/>
      <c r="G408" s="4"/>
      <c r="H408" s="4"/>
      <c r="I408" s="4"/>
      <c r="J408" s="4"/>
      <c r="K408" s="4"/>
      <c r="L408" s="4"/>
      <c r="M408" s="3"/>
      <c r="N408" s="3"/>
      <c r="O408" s="3"/>
      <c r="P408" s="3"/>
      <c r="Q408" s="3"/>
      <c r="R408" s="3"/>
      <c r="S408" s="3"/>
      <c r="T408" s="3"/>
      <c r="U408" s="3"/>
      <c r="V408" s="3"/>
      <c r="W408" s="3"/>
      <c r="X408" s="3"/>
      <c r="Y408" s="3"/>
      <c r="Z408" s="3"/>
      <c r="AA408" s="3"/>
      <c r="AB408" s="3"/>
      <c r="AC408" s="3"/>
    </row>
    <row r="409" customFormat="false" ht="21.75" hidden="false" customHeight="true" outlineLevel="0" collapsed="false">
      <c r="A409" s="3"/>
      <c r="B409" s="3"/>
      <c r="C409" s="3"/>
      <c r="D409" s="3"/>
      <c r="E409" s="3"/>
      <c r="F409" s="3"/>
      <c r="G409" s="4"/>
      <c r="H409" s="4"/>
      <c r="I409" s="4"/>
      <c r="J409" s="4"/>
      <c r="K409" s="4"/>
      <c r="L409" s="4"/>
      <c r="M409" s="3"/>
      <c r="N409" s="3"/>
      <c r="O409" s="3"/>
      <c r="P409" s="3"/>
      <c r="Q409" s="3"/>
      <c r="R409" s="3"/>
      <c r="S409" s="3"/>
      <c r="T409" s="3"/>
      <c r="U409" s="3"/>
      <c r="V409" s="3"/>
      <c r="W409" s="3"/>
      <c r="X409" s="3"/>
      <c r="Y409" s="3"/>
      <c r="Z409" s="3"/>
      <c r="AA409" s="3"/>
      <c r="AB409" s="3"/>
      <c r="AC409" s="3"/>
    </row>
    <row r="410" customFormat="false" ht="21.75" hidden="false" customHeight="true" outlineLevel="0" collapsed="false">
      <c r="A410" s="3"/>
      <c r="B410" s="3"/>
      <c r="C410" s="3"/>
      <c r="D410" s="3"/>
      <c r="E410" s="3"/>
      <c r="F410" s="3"/>
      <c r="G410" s="4"/>
      <c r="H410" s="4"/>
      <c r="I410" s="4"/>
      <c r="J410" s="4"/>
      <c r="K410" s="4"/>
      <c r="L410" s="4"/>
      <c r="M410" s="3"/>
      <c r="N410" s="3"/>
      <c r="O410" s="3"/>
      <c r="P410" s="3"/>
      <c r="Q410" s="3"/>
      <c r="R410" s="3"/>
      <c r="S410" s="3"/>
      <c r="T410" s="3"/>
      <c r="U410" s="3"/>
      <c r="V410" s="3"/>
      <c r="W410" s="3"/>
      <c r="X410" s="3"/>
      <c r="Y410" s="3"/>
      <c r="Z410" s="3"/>
      <c r="AA410" s="3"/>
      <c r="AB410" s="3"/>
      <c r="AC410" s="3"/>
    </row>
    <row r="411" customFormat="false" ht="21.75" hidden="false" customHeight="true" outlineLevel="0" collapsed="false">
      <c r="A411" s="3"/>
      <c r="B411" s="3"/>
      <c r="C411" s="3"/>
      <c r="D411" s="3"/>
      <c r="E411" s="3"/>
      <c r="F411" s="3"/>
      <c r="G411" s="4"/>
      <c r="H411" s="4"/>
      <c r="I411" s="4"/>
      <c r="J411" s="4"/>
      <c r="K411" s="4"/>
      <c r="L411" s="4"/>
      <c r="M411" s="3"/>
      <c r="N411" s="3"/>
      <c r="O411" s="3"/>
      <c r="P411" s="3"/>
      <c r="Q411" s="3"/>
      <c r="R411" s="3"/>
      <c r="S411" s="3"/>
      <c r="T411" s="3"/>
      <c r="U411" s="3"/>
      <c r="V411" s="3"/>
      <c r="W411" s="3"/>
      <c r="X411" s="3"/>
      <c r="Y411" s="3"/>
      <c r="Z411" s="3"/>
      <c r="AA411" s="3"/>
      <c r="AB411" s="3"/>
      <c r="AC411" s="3"/>
    </row>
    <row r="412" customFormat="false" ht="21.75" hidden="false" customHeight="true" outlineLevel="0" collapsed="false">
      <c r="A412" s="3"/>
      <c r="B412" s="3"/>
      <c r="C412" s="3"/>
      <c r="D412" s="3"/>
      <c r="E412" s="3"/>
      <c r="F412" s="3"/>
      <c r="G412" s="4"/>
      <c r="H412" s="4"/>
      <c r="I412" s="4"/>
      <c r="J412" s="4"/>
      <c r="K412" s="4"/>
      <c r="L412" s="4"/>
      <c r="M412" s="3"/>
      <c r="N412" s="3"/>
      <c r="O412" s="3"/>
      <c r="P412" s="3"/>
      <c r="Q412" s="3"/>
      <c r="R412" s="3"/>
      <c r="S412" s="3"/>
      <c r="T412" s="3"/>
      <c r="U412" s="3"/>
      <c r="V412" s="3"/>
      <c r="W412" s="3"/>
      <c r="X412" s="3"/>
      <c r="Y412" s="3"/>
      <c r="Z412" s="3"/>
      <c r="AA412" s="3"/>
      <c r="AB412" s="3"/>
      <c r="AC412" s="3"/>
    </row>
    <row r="413" customFormat="false" ht="21.75" hidden="false" customHeight="true" outlineLevel="0" collapsed="false">
      <c r="A413" s="3"/>
      <c r="B413" s="3"/>
      <c r="C413" s="3"/>
      <c r="D413" s="3"/>
      <c r="E413" s="3"/>
      <c r="F413" s="3"/>
      <c r="G413" s="4"/>
      <c r="H413" s="4"/>
      <c r="I413" s="4"/>
      <c r="J413" s="4"/>
      <c r="K413" s="4"/>
      <c r="L413" s="4"/>
      <c r="M413" s="3"/>
      <c r="N413" s="3"/>
      <c r="O413" s="3"/>
      <c r="P413" s="3"/>
      <c r="Q413" s="3"/>
      <c r="R413" s="3"/>
      <c r="S413" s="3"/>
      <c r="T413" s="3"/>
      <c r="U413" s="3"/>
      <c r="V413" s="3"/>
      <c r="W413" s="3"/>
      <c r="X413" s="3"/>
      <c r="Y413" s="3"/>
      <c r="Z413" s="3"/>
      <c r="AA413" s="3"/>
      <c r="AB413" s="3"/>
      <c r="AC413" s="3"/>
    </row>
    <row r="414" customFormat="false" ht="21.75" hidden="false" customHeight="true" outlineLevel="0" collapsed="false">
      <c r="A414" s="3"/>
      <c r="B414" s="3"/>
      <c r="C414" s="3"/>
      <c r="D414" s="3"/>
      <c r="E414" s="3"/>
      <c r="F414" s="3"/>
      <c r="G414" s="4"/>
      <c r="H414" s="4"/>
      <c r="I414" s="4"/>
      <c r="J414" s="4"/>
      <c r="K414" s="4"/>
      <c r="L414" s="4"/>
      <c r="M414" s="3"/>
      <c r="N414" s="3"/>
      <c r="O414" s="3"/>
      <c r="P414" s="3"/>
      <c r="Q414" s="3"/>
      <c r="R414" s="3"/>
      <c r="S414" s="3"/>
      <c r="T414" s="3"/>
      <c r="U414" s="3"/>
      <c r="V414" s="3"/>
      <c r="W414" s="3"/>
      <c r="X414" s="3"/>
      <c r="Y414" s="3"/>
      <c r="Z414" s="3"/>
      <c r="AA414" s="3"/>
      <c r="AB414" s="3"/>
      <c r="AC414" s="3"/>
    </row>
    <row r="415" customFormat="false" ht="21.75" hidden="false" customHeight="true" outlineLevel="0" collapsed="false">
      <c r="A415" s="3"/>
      <c r="B415" s="3"/>
      <c r="C415" s="3"/>
      <c r="D415" s="3"/>
      <c r="E415" s="3"/>
      <c r="F415" s="3"/>
      <c r="G415" s="4"/>
      <c r="H415" s="4"/>
      <c r="I415" s="4"/>
      <c r="J415" s="4"/>
      <c r="K415" s="4"/>
      <c r="L415" s="4"/>
      <c r="M415" s="3"/>
      <c r="N415" s="3"/>
      <c r="O415" s="3"/>
      <c r="P415" s="3"/>
      <c r="Q415" s="3"/>
      <c r="R415" s="3"/>
      <c r="S415" s="3"/>
      <c r="T415" s="3"/>
      <c r="U415" s="3"/>
      <c r="V415" s="3"/>
      <c r="W415" s="3"/>
      <c r="X415" s="3"/>
      <c r="Y415" s="3"/>
      <c r="Z415" s="3"/>
      <c r="AA415" s="3"/>
      <c r="AB415" s="3"/>
      <c r="AC415" s="3"/>
    </row>
    <row r="416" customFormat="false" ht="21.75" hidden="false" customHeight="true" outlineLevel="0" collapsed="false">
      <c r="A416" s="3"/>
      <c r="B416" s="3"/>
      <c r="C416" s="3"/>
      <c r="D416" s="3"/>
      <c r="E416" s="3"/>
      <c r="F416" s="3"/>
      <c r="G416" s="4"/>
      <c r="H416" s="4"/>
      <c r="I416" s="4"/>
      <c r="J416" s="4"/>
      <c r="K416" s="4"/>
      <c r="L416" s="4"/>
      <c r="M416" s="3"/>
      <c r="N416" s="3"/>
      <c r="O416" s="3"/>
      <c r="P416" s="3"/>
      <c r="Q416" s="3"/>
      <c r="R416" s="3"/>
      <c r="S416" s="3"/>
      <c r="T416" s="3"/>
      <c r="U416" s="3"/>
      <c r="V416" s="3"/>
      <c r="W416" s="3"/>
      <c r="X416" s="3"/>
      <c r="Y416" s="3"/>
      <c r="Z416" s="3"/>
      <c r="AA416" s="3"/>
      <c r="AB416" s="3"/>
      <c r="AC416" s="3"/>
    </row>
    <row r="417" customFormat="false" ht="21.75" hidden="false" customHeight="true" outlineLevel="0" collapsed="false">
      <c r="A417" s="3"/>
      <c r="B417" s="3"/>
      <c r="C417" s="3"/>
      <c r="D417" s="3"/>
      <c r="E417" s="3"/>
      <c r="F417" s="3"/>
      <c r="G417" s="4"/>
      <c r="H417" s="4"/>
      <c r="I417" s="4"/>
      <c r="J417" s="4"/>
      <c r="K417" s="4"/>
      <c r="L417" s="4"/>
      <c r="M417" s="3"/>
      <c r="N417" s="3"/>
      <c r="O417" s="3"/>
      <c r="P417" s="3"/>
      <c r="Q417" s="3"/>
      <c r="R417" s="3"/>
      <c r="S417" s="3"/>
      <c r="T417" s="3"/>
      <c r="U417" s="3"/>
      <c r="V417" s="3"/>
      <c r="W417" s="3"/>
      <c r="X417" s="3"/>
      <c r="Y417" s="3"/>
      <c r="Z417" s="3"/>
      <c r="AA417" s="3"/>
      <c r="AB417" s="3"/>
      <c r="AC417" s="3"/>
    </row>
    <row r="418" customFormat="false" ht="21.75" hidden="false" customHeight="true" outlineLevel="0" collapsed="false">
      <c r="A418" s="3"/>
      <c r="B418" s="3"/>
      <c r="C418" s="3"/>
      <c r="D418" s="3"/>
      <c r="E418" s="3"/>
      <c r="F418" s="3"/>
      <c r="G418" s="4"/>
      <c r="H418" s="4"/>
      <c r="I418" s="4"/>
      <c r="J418" s="4"/>
      <c r="K418" s="4"/>
      <c r="L418" s="4"/>
      <c r="M418" s="3"/>
      <c r="N418" s="3"/>
      <c r="O418" s="3"/>
      <c r="P418" s="3"/>
      <c r="Q418" s="3"/>
      <c r="R418" s="3"/>
      <c r="S418" s="3"/>
      <c r="T418" s="3"/>
      <c r="U418" s="3"/>
      <c r="V418" s="3"/>
      <c r="W418" s="3"/>
      <c r="X418" s="3"/>
      <c r="Y418" s="3"/>
      <c r="Z418" s="3"/>
      <c r="AA418" s="3"/>
      <c r="AB418" s="3"/>
      <c r="AC418" s="3"/>
    </row>
    <row r="419" customFormat="false" ht="21.75" hidden="false" customHeight="true" outlineLevel="0" collapsed="false">
      <c r="A419" s="3"/>
      <c r="B419" s="3"/>
      <c r="C419" s="3"/>
      <c r="D419" s="3"/>
      <c r="E419" s="3"/>
      <c r="F419" s="3"/>
      <c r="G419" s="4"/>
      <c r="H419" s="4"/>
      <c r="I419" s="4"/>
      <c r="J419" s="4"/>
      <c r="K419" s="4"/>
      <c r="L419" s="4"/>
      <c r="M419" s="3"/>
      <c r="N419" s="3"/>
      <c r="O419" s="3"/>
      <c r="P419" s="3"/>
      <c r="Q419" s="3"/>
      <c r="R419" s="3"/>
      <c r="S419" s="3"/>
      <c r="T419" s="3"/>
      <c r="U419" s="3"/>
      <c r="V419" s="3"/>
      <c r="W419" s="3"/>
      <c r="X419" s="3"/>
      <c r="Y419" s="3"/>
      <c r="Z419" s="3"/>
      <c r="AA419" s="3"/>
      <c r="AB419" s="3"/>
      <c r="AC419" s="3"/>
    </row>
    <row r="420" customFormat="false" ht="21.75" hidden="false" customHeight="true" outlineLevel="0" collapsed="false">
      <c r="A420" s="3"/>
      <c r="B420" s="3"/>
      <c r="C420" s="3"/>
      <c r="D420" s="3"/>
      <c r="E420" s="3"/>
      <c r="F420" s="3"/>
      <c r="G420" s="4"/>
      <c r="H420" s="4"/>
      <c r="I420" s="4"/>
      <c r="J420" s="4"/>
      <c r="K420" s="4"/>
      <c r="L420" s="4"/>
      <c r="M420" s="3"/>
      <c r="N420" s="3"/>
      <c r="O420" s="3"/>
      <c r="P420" s="3"/>
      <c r="Q420" s="3"/>
      <c r="R420" s="3"/>
      <c r="S420" s="3"/>
      <c r="T420" s="3"/>
      <c r="U420" s="3"/>
      <c r="V420" s="3"/>
      <c r="W420" s="3"/>
      <c r="X420" s="3"/>
      <c r="Y420" s="3"/>
      <c r="Z420" s="3"/>
      <c r="AA420" s="3"/>
      <c r="AB420" s="3"/>
      <c r="AC420" s="3"/>
    </row>
    <row r="421" customFormat="false" ht="21.75" hidden="false" customHeight="true" outlineLevel="0" collapsed="false">
      <c r="A421" s="3"/>
      <c r="B421" s="3"/>
      <c r="C421" s="3"/>
      <c r="D421" s="3"/>
      <c r="E421" s="3"/>
      <c r="F421" s="3"/>
      <c r="G421" s="4"/>
      <c r="H421" s="4"/>
      <c r="I421" s="4"/>
      <c r="J421" s="4"/>
      <c r="K421" s="4"/>
      <c r="L421" s="4"/>
      <c r="M421" s="3"/>
      <c r="N421" s="3"/>
      <c r="O421" s="3"/>
      <c r="P421" s="3"/>
      <c r="Q421" s="3"/>
      <c r="R421" s="3"/>
      <c r="S421" s="3"/>
      <c r="T421" s="3"/>
      <c r="U421" s="3"/>
      <c r="V421" s="3"/>
      <c r="W421" s="3"/>
      <c r="X421" s="3"/>
      <c r="Y421" s="3"/>
      <c r="Z421" s="3"/>
      <c r="AA421" s="3"/>
      <c r="AB421" s="3"/>
      <c r="AC421" s="3"/>
    </row>
    <row r="422" customFormat="false" ht="21.75" hidden="false" customHeight="true" outlineLevel="0" collapsed="false">
      <c r="A422" s="3"/>
      <c r="B422" s="3"/>
      <c r="C422" s="3"/>
      <c r="D422" s="3"/>
      <c r="E422" s="3"/>
      <c r="F422" s="3"/>
      <c r="G422" s="4"/>
      <c r="H422" s="4"/>
      <c r="I422" s="4"/>
      <c r="J422" s="4"/>
      <c r="K422" s="4"/>
      <c r="L422" s="4"/>
      <c r="M422" s="3"/>
      <c r="N422" s="3"/>
      <c r="O422" s="3"/>
      <c r="P422" s="3"/>
      <c r="Q422" s="3"/>
      <c r="R422" s="3"/>
      <c r="S422" s="3"/>
      <c r="T422" s="3"/>
      <c r="U422" s="3"/>
      <c r="V422" s="3"/>
      <c r="W422" s="3"/>
      <c r="X422" s="3"/>
      <c r="Y422" s="3"/>
      <c r="Z422" s="3"/>
      <c r="AA422" s="3"/>
      <c r="AB422" s="3"/>
      <c r="AC422" s="3"/>
    </row>
    <row r="423" customFormat="false" ht="21.75" hidden="false" customHeight="true" outlineLevel="0" collapsed="false">
      <c r="A423" s="3"/>
      <c r="B423" s="3"/>
      <c r="C423" s="3"/>
      <c r="D423" s="3"/>
      <c r="E423" s="3"/>
      <c r="F423" s="3"/>
      <c r="G423" s="4"/>
      <c r="H423" s="4"/>
      <c r="I423" s="4"/>
      <c r="J423" s="4"/>
      <c r="K423" s="4"/>
      <c r="L423" s="4"/>
      <c r="M423" s="3"/>
      <c r="N423" s="3"/>
      <c r="O423" s="3"/>
      <c r="P423" s="3"/>
      <c r="Q423" s="3"/>
      <c r="R423" s="3"/>
      <c r="S423" s="3"/>
      <c r="T423" s="3"/>
      <c r="U423" s="3"/>
      <c r="V423" s="3"/>
      <c r="W423" s="3"/>
      <c r="X423" s="3"/>
      <c r="Y423" s="3"/>
      <c r="Z423" s="3"/>
      <c r="AA423" s="3"/>
      <c r="AB423" s="3"/>
      <c r="AC423" s="3"/>
    </row>
    <row r="424" customFormat="false" ht="21.75" hidden="false" customHeight="true" outlineLevel="0" collapsed="false">
      <c r="A424" s="3"/>
      <c r="B424" s="3"/>
      <c r="C424" s="3"/>
      <c r="D424" s="3"/>
      <c r="E424" s="3"/>
      <c r="F424" s="3"/>
      <c r="G424" s="4"/>
      <c r="H424" s="4"/>
      <c r="I424" s="4"/>
      <c r="J424" s="4"/>
      <c r="K424" s="4"/>
      <c r="L424" s="4"/>
      <c r="M424" s="3"/>
      <c r="N424" s="3"/>
      <c r="O424" s="3"/>
      <c r="P424" s="3"/>
      <c r="Q424" s="3"/>
      <c r="R424" s="3"/>
      <c r="S424" s="3"/>
      <c r="T424" s="3"/>
      <c r="U424" s="3"/>
      <c r="V424" s="3"/>
      <c r="W424" s="3"/>
      <c r="X424" s="3"/>
      <c r="Y424" s="3"/>
      <c r="Z424" s="3"/>
      <c r="AA424" s="3"/>
      <c r="AB424" s="3"/>
      <c r="AC424" s="3"/>
    </row>
    <row r="425" customFormat="false" ht="21.75" hidden="false" customHeight="true" outlineLevel="0" collapsed="false">
      <c r="A425" s="3"/>
      <c r="B425" s="3"/>
      <c r="C425" s="3"/>
      <c r="D425" s="3"/>
      <c r="E425" s="3"/>
      <c r="F425" s="3"/>
      <c r="G425" s="4"/>
      <c r="H425" s="4"/>
      <c r="I425" s="4"/>
      <c r="J425" s="4"/>
      <c r="K425" s="4"/>
      <c r="L425" s="4"/>
      <c r="M425" s="3"/>
      <c r="N425" s="3"/>
      <c r="O425" s="3"/>
      <c r="P425" s="3"/>
      <c r="Q425" s="3"/>
      <c r="R425" s="3"/>
      <c r="S425" s="3"/>
      <c r="T425" s="3"/>
      <c r="U425" s="3"/>
      <c r="V425" s="3"/>
      <c r="W425" s="3"/>
      <c r="X425" s="3"/>
      <c r="Y425" s="3"/>
      <c r="Z425" s="3"/>
      <c r="AA425" s="3"/>
      <c r="AB425" s="3"/>
      <c r="AC425" s="3"/>
    </row>
    <row r="426" customFormat="false" ht="21.75" hidden="false" customHeight="true" outlineLevel="0" collapsed="false">
      <c r="A426" s="3"/>
      <c r="B426" s="3"/>
      <c r="C426" s="3"/>
      <c r="D426" s="3"/>
      <c r="E426" s="3"/>
      <c r="F426" s="3"/>
      <c r="G426" s="4"/>
      <c r="H426" s="4"/>
      <c r="I426" s="4"/>
      <c r="J426" s="4"/>
      <c r="K426" s="4"/>
      <c r="L426" s="4"/>
      <c r="M426" s="3"/>
      <c r="N426" s="3"/>
      <c r="O426" s="3"/>
      <c r="P426" s="3"/>
      <c r="Q426" s="3"/>
      <c r="R426" s="3"/>
      <c r="S426" s="3"/>
      <c r="T426" s="3"/>
      <c r="U426" s="3"/>
      <c r="V426" s="3"/>
      <c r="W426" s="3"/>
      <c r="X426" s="3"/>
      <c r="Y426" s="3"/>
      <c r="Z426" s="3"/>
      <c r="AA426" s="3"/>
      <c r="AB426" s="3"/>
      <c r="AC426" s="3"/>
    </row>
    <row r="427" customFormat="false" ht="21.75" hidden="false" customHeight="true" outlineLevel="0" collapsed="false">
      <c r="A427" s="3"/>
      <c r="B427" s="3"/>
      <c r="C427" s="3"/>
      <c r="D427" s="3"/>
      <c r="E427" s="3"/>
      <c r="F427" s="3"/>
      <c r="G427" s="4"/>
      <c r="H427" s="4"/>
      <c r="I427" s="4"/>
      <c r="J427" s="4"/>
      <c r="K427" s="4"/>
      <c r="L427" s="4"/>
      <c r="M427" s="3"/>
      <c r="N427" s="3"/>
      <c r="O427" s="3"/>
      <c r="P427" s="3"/>
      <c r="Q427" s="3"/>
      <c r="R427" s="3"/>
      <c r="S427" s="3"/>
      <c r="T427" s="3"/>
      <c r="U427" s="3"/>
      <c r="V427" s="3"/>
      <c r="W427" s="3"/>
      <c r="X427" s="3"/>
      <c r="Y427" s="3"/>
      <c r="Z427" s="3"/>
      <c r="AA427" s="3"/>
      <c r="AB427" s="3"/>
      <c r="AC427" s="3"/>
    </row>
    <row r="428" customFormat="false" ht="21.75" hidden="false" customHeight="true" outlineLevel="0" collapsed="false">
      <c r="A428" s="3"/>
      <c r="B428" s="3"/>
      <c r="C428" s="3"/>
      <c r="D428" s="3"/>
      <c r="E428" s="3"/>
      <c r="F428" s="3"/>
      <c r="G428" s="4"/>
      <c r="H428" s="4"/>
      <c r="I428" s="4"/>
      <c r="J428" s="4"/>
      <c r="K428" s="4"/>
      <c r="L428" s="4"/>
      <c r="M428" s="3"/>
      <c r="N428" s="3"/>
      <c r="O428" s="3"/>
      <c r="P428" s="3"/>
      <c r="Q428" s="3"/>
      <c r="R428" s="3"/>
      <c r="S428" s="3"/>
      <c r="T428" s="3"/>
      <c r="U428" s="3"/>
      <c r="V428" s="3"/>
      <c r="W428" s="3"/>
      <c r="X428" s="3"/>
      <c r="Y428" s="3"/>
      <c r="Z428" s="3"/>
      <c r="AA428" s="3"/>
      <c r="AB428" s="3"/>
      <c r="AC428" s="3"/>
    </row>
    <row r="429" customFormat="false" ht="21.75" hidden="false" customHeight="true" outlineLevel="0" collapsed="false">
      <c r="A429" s="3"/>
      <c r="B429" s="3"/>
      <c r="C429" s="3"/>
      <c r="D429" s="3"/>
      <c r="E429" s="3"/>
      <c r="F429" s="3"/>
      <c r="G429" s="4"/>
      <c r="H429" s="4"/>
      <c r="I429" s="4"/>
      <c r="J429" s="4"/>
      <c r="K429" s="4"/>
      <c r="L429" s="4"/>
      <c r="M429" s="3"/>
      <c r="N429" s="3"/>
      <c r="O429" s="3"/>
      <c r="P429" s="3"/>
      <c r="Q429" s="3"/>
      <c r="R429" s="3"/>
      <c r="S429" s="3"/>
      <c r="T429" s="3"/>
      <c r="U429" s="3"/>
      <c r="V429" s="3"/>
      <c r="W429" s="3"/>
      <c r="X429" s="3"/>
      <c r="Y429" s="3"/>
      <c r="Z429" s="3"/>
      <c r="AA429" s="3"/>
      <c r="AB429" s="3"/>
      <c r="AC429" s="3"/>
    </row>
    <row r="430" customFormat="false" ht="21.75" hidden="false" customHeight="true" outlineLevel="0" collapsed="false">
      <c r="A430" s="3"/>
      <c r="B430" s="3"/>
      <c r="C430" s="3"/>
      <c r="D430" s="3"/>
      <c r="E430" s="3"/>
      <c r="F430" s="3"/>
      <c r="G430" s="4"/>
      <c r="H430" s="4"/>
      <c r="I430" s="4"/>
      <c r="J430" s="4"/>
      <c r="K430" s="4"/>
      <c r="L430" s="4"/>
      <c r="M430" s="3"/>
      <c r="N430" s="3"/>
      <c r="O430" s="3"/>
      <c r="P430" s="3"/>
      <c r="Q430" s="3"/>
      <c r="R430" s="3"/>
      <c r="S430" s="3"/>
      <c r="T430" s="3"/>
      <c r="U430" s="3"/>
      <c r="V430" s="3"/>
      <c r="W430" s="3"/>
      <c r="X430" s="3"/>
      <c r="Y430" s="3"/>
      <c r="Z430" s="3"/>
      <c r="AA430" s="3"/>
      <c r="AB430" s="3"/>
      <c r="AC430" s="3"/>
    </row>
    <row r="431" customFormat="false" ht="21.75" hidden="false" customHeight="true" outlineLevel="0" collapsed="false">
      <c r="A431" s="3"/>
      <c r="B431" s="3"/>
      <c r="C431" s="3"/>
      <c r="D431" s="3"/>
      <c r="E431" s="3"/>
      <c r="F431" s="3"/>
      <c r="G431" s="4"/>
      <c r="H431" s="4"/>
      <c r="I431" s="4"/>
      <c r="J431" s="4"/>
      <c r="K431" s="4"/>
      <c r="L431" s="4"/>
      <c r="M431" s="3"/>
      <c r="N431" s="3"/>
      <c r="O431" s="3"/>
      <c r="P431" s="3"/>
      <c r="Q431" s="3"/>
      <c r="R431" s="3"/>
      <c r="S431" s="3"/>
      <c r="T431" s="3"/>
      <c r="U431" s="3"/>
      <c r="V431" s="3"/>
      <c r="W431" s="3"/>
      <c r="X431" s="3"/>
      <c r="Y431" s="3"/>
      <c r="Z431" s="3"/>
      <c r="AA431" s="3"/>
      <c r="AB431" s="3"/>
      <c r="AC431" s="3"/>
    </row>
    <row r="432" customFormat="false" ht="21.75" hidden="false" customHeight="true" outlineLevel="0" collapsed="false">
      <c r="A432" s="3"/>
      <c r="B432" s="3"/>
      <c r="C432" s="3"/>
      <c r="D432" s="3"/>
      <c r="E432" s="3"/>
      <c r="F432" s="3"/>
      <c r="G432" s="4"/>
      <c r="H432" s="4"/>
      <c r="I432" s="4"/>
      <c r="J432" s="4"/>
      <c r="K432" s="4"/>
      <c r="L432" s="4"/>
      <c r="M432" s="3"/>
      <c r="N432" s="3"/>
      <c r="O432" s="3"/>
      <c r="P432" s="3"/>
      <c r="Q432" s="3"/>
      <c r="R432" s="3"/>
      <c r="S432" s="3"/>
      <c r="T432" s="3"/>
      <c r="U432" s="3"/>
      <c r="V432" s="3"/>
      <c r="W432" s="3"/>
      <c r="X432" s="3"/>
      <c r="Y432" s="3"/>
      <c r="Z432" s="3"/>
      <c r="AA432" s="3"/>
      <c r="AB432" s="3"/>
      <c r="AC432" s="3"/>
    </row>
    <row r="433" customFormat="false" ht="21.75" hidden="false" customHeight="true" outlineLevel="0" collapsed="false">
      <c r="A433" s="3"/>
      <c r="B433" s="3"/>
      <c r="C433" s="3"/>
      <c r="D433" s="3"/>
      <c r="E433" s="3"/>
      <c r="F433" s="3"/>
      <c r="G433" s="4"/>
      <c r="H433" s="4"/>
      <c r="I433" s="4"/>
      <c r="J433" s="4"/>
      <c r="K433" s="4"/>
      <c r="L433" s="4"/>
      <c r="M433" s="3"/>
      <c r="N433" s="3"/>
      <c r="O433" s="3"/>
      <c r="P433" s="3"/>
      <c r="Q433" s="3"/>
      <c r="R433" s="3"/>
      <c r="S433" s="3"/>
      <c r="T433" s="3"/>
      <c r="U433" s="3"/>
      <c r="V433" s="3"/>
      <c r="W433" s="3"/>
      <c r="X433" s="3"/>
      <c r="Y433" s="3"/>
      <c r="Z433" s="3"/>
      <c r="AA433" s="3"/>
      <c r="AB433" s="3"/>
      <c r="AC433" s="3"/>
    </row>
    <row r="434" customFormat="false" ht="21.75" hidden="false" customHeight="true" outlineLevel="0" collapsed="false">
      <c r="A434" s="3"/>
      <c r="B434" s="3"/>
      <c r="C434" s="3"/>
      <c r="D434" s="3"/>
      <c r="E434" s="3"/>
      <c r="F434" s="3"/>
      <c r="G434" s="4"/>
      <c r="H434" s="4"/>
      <c r="I434" s="4"/>
      <c r="J434" s="4"/>
      <c r="K434" s="4"/>
      <c r="L434" s="4"/>
      <c r="M434" s="3"/>
      <c r="N434" s="3"/>
      <c r="O434" s="3"/>
      <c r="P434" s="3"/>
      <c r="Q434" s="3"/>
      <c r="R434" s="3"/>
      <c r="S434" s="3"/>
      <c r="T434" s="3"/>
      <c r="U434" s="3"/>
      <c r="V434" s="3"/>
      <c r="W434" s="3"/>
      <c r="X434" s="3"/>
      <c r="Y434" s="3"/>
      <c r="Z434" s="3"/>
      <c r="AA434" s="3"/>
      <c r="AB434" s="3"/>
      <c r="AC434" s="3"/>
    </row>
    <row r="435" customFormat="false" ht="21.75" hidden="false" customHeight="true" outlineLevel="0" collapsed="false">
      <c r="A435" s="3"/>
      <c r="B435" s="3"/>
      <c r="C435" s="3"/>
      <c r="D435" s="3"/>
      <c r="E435" s="3"/>
      <c r="F435" s="3"/>
      <c r="G435" s="4"/>
      <c r="H435" s="4"/>
      <c r="I435" s="4"/>
      <c r="J435" s="4"/>
      <c r="K435" s="4"/>
      <c r="L435" s="4"/>
      <c r="M435" s="3"/>
      <c r="N435" s="3"/>
      <c r="O435" s="3"/>
      <c r="P435" s="3"/>
      <c r="Q435" s="3"/>
      <c r="R435" s="3"/>
      <c r="S435" s="3"/>
      <c r="T435" s="3"/>
      <c r="U435" s="3"/>
      <c r="V435" s="3"/>
      <c r="W435" s="3"/>
      <c r="X435" s="3"/>
      <c r="Y435" s="3"/>
      <c r="Z435" s="3"/>
      <c r="AA435" s="3"/>
      <c r="AB435" s="3"/>
      <c r="AC435" s="3"/>
    </row>
    <row r="436" customFormat="false" ht="21.75" hidden="false" customHeight="true" outlineLevel="0" collapsed="false">
      <c r="A436" s="3"/>
      <c r="B436" s="3"/>
      <c r="C436" s="3"/>
      <c r="D436" s="3"/>
      <c r="E436" s="3"/>
      <c r="F436" s="3"/>
      <c r="G436" s="4"/>
      <c r="H436" s="4"/>
      <c r="I436" s="4"/>
      <c r="J436" s="4"/>
      <c r="K436" s="4"/>
      <c r="L436" s="4"/>
      <c r="M436" s="3"/>
      <c r="N436" s="3"/>
      <c r="O436" s="3"/>
      <c r="P436" s="3"/>
      <c r="Q436" s="3"/>
      <c r="R436" s="3"/>
      <c r="S436" s="3"/>
      <c r="T436" s="3"/>
      <c r="U436" s="3"/>
      <c r="V436" s="3"/>
      <c r="W436" s="3"/>
      <c r="X436" s="3"/>
      <c r="Y436" s="3"/>
      <c r="Z436" s="3"/>
      <c r="AA436" s="3"/>
      <c r="AB436" s="3"/>
      <c r="AC436" s="3"/>
    </row>
    <row r="437" customFormat="false" ht="21.75" hidden="false" customHeight="true" outlineLevel="0" collapsed="false">
      <c r="A437" s="3"/>
      <c r="B437" s="3"/>
      <c r="C437" s="3"/>
      <c r="D437" s="3"/>
      <c r="E437" s="3"/>
      <c r="F437" s="3"/>
      <c r="G437" s="4"/>
      <c r="H437" s="4"/>
      <c r="I437" s="4"/>
      <c r="J437" s="4"/>
      <c r="K437" s="4"/>
      <c r="L437" s="4"/>
      <c r="M437" s="3"/>
      <c r="N437" s="3"/>
      <c r="O437" s="3"/>
      <c r="P437" s="3"/>
      <c r="Q437" s="3"/>
      <c r="R437" s="3"/>
      <c r="S437" s="3"/>
      <c r="T437" s="3"/>
      <c r="U437" s="3"/>
      <c r="V437" s="3"/>
      <c r="W437" s="3"/>
      <c r="X437" s="3"/>
      <c r="Y437" s="3"/>
      <c r="Z437" s="3"/>
      <c r="AA437" s="3"/>
      <c r="AB437" s="3"/>
      <c r="AC437" s="3"/>
    </row>
    <row r="438" customFormat="false" ht="21.75" hidden="false" customHeight="true" outlineLevel="0" collapsed="false">
      <c r="A438" s="3"/>
      <c r="B438" s="3"/>
      <c r="C438" s="3"/>
      <c r="D438" s="3"/>
      <c r="E438" s="3"/>
      <c r="F438" s="3"/>
      <c r="G438" s="4"/>
      <c r="H438" s="4"/>
      <c r="I438" s="4"/>
      <c r="J438" s="4"/>
      <c r="K438" s="4"/>
      <c r="L438" s="4"/>
      <c r="M438" s="3"/>
      <c r="N438" s="3"/>
      <c r="O438" s="3"/>
      <c r="P438" s="3"/>
      <c r="Q438" s="3"/>
      <c r="R438" s="3"/>
      <c r="S438" s="3"/>
      <c r="T438" s="3"/>
      <c r="U438" s="3"/>
      <c r="V438" s="3"/>
      <c r="W438" s="3"/>
      <c r="X438" s="3"/>
      <c r="Y438" s="3"/>
      <c r="Z438" s="3"/>
      <c r="AA438" s="3"/>
      <c r="AB438" s="3"/>
      <c r="AC438" s="3"/>
    </row>
    <row r="439" customFormat="false" ht="21.75" hidden="false" customHeight="true" outlineLevel="0" collapsed="false">
      <c r="A439" s="3"/>
      <c r="B439" s="3"/>
      <c r="C439" s="3"/>
      <c r="D439" s="3"/>
      <c r="E439" s="3"/>
      <c r="F439" s="3"/>
      <c r="G439" s="4"/>
      <c r="H439" s="4"/>
      <c r="I439" s="4"/>
      <c r="J439" s="4"/>
      <c r="K439" s="4"/>
      <c r="L439" s="4"/>
      <c r="M439" s="3"/>
      <c r="N439" s="3"/>
      <c r="O439" s="3"/>
      <c r="P439" s="3"/>
      <c r="Q439" s="3"/>
      <c r="R439" s="3"/>
      <c r="S439" s="3"/>
      <c r="T439" s="3"/>
      <c r="U439" s="3"/>
      <c r="V439" s="3"/>
      <c r="W439" s="3"/>
      <c r="X439" s="3"/>
      <c r="Y439" s="3"/>
      <c r="Z439" s="3"/>
      <c r="AA439" s="3"/>
      <c r="AB439" s="3"/>
      <c r="AC439" s="3"/>
    </row>
    <row r="440" customFormat="false" ht="21.75" hidden="false" customHeight="true" outlineLevel="0" collapsed="false">
      <c r="A440" s="3"/>
      <c r="B440" s="3"/>
      <c r="C440" s="3"/>
      <c r="D440" s="3"/>
      <c r="E440" s="3"/>
      <c r="F440" s="3"/>
      <c r="G440" s="4"/>
      <c r="H440" s="4"/>
      <c r="I440" s="4"/>
      <c r="J440" s="4"/>
      <c r="K440" s="4"/>
      <c r="L440" s="4"/>
      <c r="M440" s="3"/>
      <c r="N440" s="3"/>
      <c r="O440" s="3"/>
      <c r="P440" s="3"/>
      <c r="Q440" s="3"/>
      <c r="R440" s="3"/>
      <c r="S440" s="3"/>
      <c r="T440" s="3"/>
      <c r="U440" s="3"/>
      <c r="V440" s="3"/>
      <c r="W440" s="3"/>
      <c r="X440" s="3"/>
      <c r="Y440" s="3"/>
      <c r="Z440" s="3"/>
      <c r="AA440" s="3"/>
      <c r="AB440" s="3"/>
      <c r="AC440" s="3"/>
    </row>
    <row r="441" customFormat="false" ht="21.75" hidden="false" customHeight="true" outlineLevel="0" collapsed="false">
      <c r="A441" s="3"/>
      <c r="B441" s="3"/>
      <c r="C441" s="3"/>
      <c r="D441" s="3"/>
      <c r="E441" s="3"/>
      <c r="F441" s="3"/>
      <c r="G441" s="4"/>
      <c r="H441" s="4"/>
      <c r="I441" s="4"/>
      <c r="J441" s="4"/>
      <c r="K441" s="4"/>
      <c r="L441" s="4"/>
      <c r="M441" s="3"/>
      <c r="N441" s="3"/>
      <c r="O441" s="3"/>
      <c r="P441" s="3"/>
      <c r="Q441" s="3"/>
      <c r="R441" s="3"/>
      <c r="S441" s="3"/>
      <c r="T441" s="3"/>
      <c r="U441" s="3"/>
      <c r="V441" s="3"/>
      <c r="W441" s="3"/>
      <c r="X441" s="3"/>
      <c r="Y441" s="3"/>
      <c r="Z441" s="3"/>
      <c r="AA441" s="3"/>
      <c r="AB441" s="3"/>
      <c r="AC441" s="3"/>
    </row>
    <row r="442" customFormat="false" ht="21.75" hidden="false" customHeight="true" outlineLevel="0" collapsed="false">
      <c r="A442" s="3"/>
      <c r="B442" s="3"/>
      <c r="C442" s="3"/>
      <c r="D442" s="3"/>
      <c r="E442" s="3"/>
      <c r="F442" s="3"/>
      <c r="G442" s="4"/>
      <c r="H442" s="4"/>
      <c r="I442" s="4"/>
      <c r="J442" s="4"/>
      <c r="K442" s="4"/>
      <c r="L442" s="4"/>
      <c r="M442" s="3"/>
      <c r="N442" s="3"/>
      <c r="O442" s="3"/>
      <c r="P442" s="3"/>
      <c r="Q442" s="3"/>
      <c r="R442" s="3"/>
      <c r="S442" s="3"/>
      <c r="T442" s="3"/>
      <c r="U442" s="3"/>
      <c r="V442" s="3"/>
      <c r="W442" s="3"/>
      <c r="X442" s="3"/>
      <c r="Y442" s="3"/>
      <c r="Z442" s="3"/>
      <c r="AA442" s="3"/>
      <c r="AB442" s="3"/>
      <c r="AC442" s="3"/>
    </row>
    <row r="443" customFormat="false" ht="21.75" hidden="false" customHeight="true" outlineLevel="0" collapsed="false">
      <c r="A443" s="3"/>
      <c r="B443" s="3"/>
      <c r="C443" s="3"/>
      <c r="D443" s="3"/>
      <c r="E443" s="3"/>
      <c r="F443" s="3"/>
      <c r="G443" s="4"/>
      <c r="H443" s="4"/>
      <c r="I443" s="4"/>
      <c r="J443" s="4"/>
      <c r="K443" s="4"/>
      <c r="L443" s="4"/>
      <c r="M443" s="3"/>
      <c r="N443" s="3"/>
      <c r="O443" s="3"/>
      <c r="P443" s="3"/>
      <c r="Q443" s="3"/>
      <c r="R443" s="3"/>
      <c r="S443" s="3"/>
      <c r="T443" s="3"/>
      <c r="U443" s="3"/>
      <c r="V443" s="3"/>
      <c r="W443" s="3"/>
      <c r="X443" s="3"/>
      <c r="Y443" s="3"/>
      <c r="Z443" s="3"/>
      <c r="AA443" s="3"/>
      <c r="AB443" s="3"/>
      <c r="AC443" s="3"/>
    </row>
    <row r="444" customFormat="false" ht="21.75" hidden="false" customHeight="true" outlineLevel="0" collapsed="false">
      <c r="A444" s="3"/>
      <c r="B444" s="3"/>
      <c r="C444" s="3"/>
      <c r="D444" s="3"/>
      <c r="E444" s="3"/>
      <c r="F444" s="3"/>
      <c r="G444" s="4"/>
      <c r="H444" s="4"/>
      <c r="I444" s="4"/>
      <c r="J444" s="4"/>
      <c r="K444" s="4"/>
      <c r="L444" s="4"/>
      <c r="M444" s="3"/>
      <c r="N444" s="3"/>
      <c r="O444" s="3"/>
      <c r="P444" s="3"/>
      <c r="Q444" s="3"/>
      <c r="R444" s="3"/>
      <c r="S444" s="3"/>
      <c r="T444" s="3"/>
      <c r="U444" s="3"/>
      <c r="V444" s="3"/>
      <c r="W444" s="3"/>
      <c r="X444" s="3"/>
      <c r="Y444" s="3"/>
      <c r="Z444" s="3"/>
      <c r="AA444" s="3"/>
      <c r="AB444" s="3"/>
      <c r="AC444" s="3"/>
    </row>
    <row r="445" customFormat="false" ht="21.75" hidden="false" customHeight="true" outlineLevel="0" collapsed="false">
      <c r="A445" s="3"/>
      <c r="B445" s="3"/>
      <c r="C445" s="3"/>
      <c r="D445" s="3"/>
      <c r="E445" s="3"/>
      <c r="F445" s="3"/>
      <c r="G445" s="4"/>
      <c r="H445" s="4"/>
      <c r="I445" s="4"/>
      <c r="J445" s="4"/>
      <c r="K445" s="4"/>
      <c r="L445" s="4"/>
      <c r="M445" s="3"/>
      <c r="N445" s="3"/>
      <c r="O445" s="3"/>
      <c r="P445" s="3"/>
      <c r="Q445" s="3"/>
      <c r="R445" s="3"/>
      <c r="S445" s="3"/>
      <c r="T445" s="3"/>
      <c r="U445" s="3"/>
      <c r="V445" s="3"/>
      <c r="W445" s="3"/>
      <c r="X445" s="3"/>
      <c r="Y445" s="3"/>
      <c r="Z445" s="3"/>
      <c r="AA445" s="3"/>
      <c r="AB445" s="3"/>
      <c r="AC445" s="3"/>
    </row>
    <row r="446" customFormat="false" ht="21.75" hidden="false" customHeight="true" outlineLevel="0" collapsed="false">
      <c r="A446" s="3"/>
      <c r="B446" s="3"/>
      <c r="C446" s="3"/>
      <c r="D446" s="3"/>
      <c r="E446" s="3"/>
      <c r="F446" s="3"/>
      <c r="G446" s="4"/>
      <c r="H446" s="4"/>
      <c r="I446" s="4"/>
      <c r="J446" s="4"/>
      <c r="K446" s="4"/>
      <c r="L446" s="4"/>
      <c r="M446" s="3"/>
      <c r="N446" s="3"/>
      <c r="O446" s="3"/>
      <c r="P446" s="3"/>
      <c r="Q446" s="3"/>
      <c r="R446" s="3"/>
      <c r="S446" s="3"/>
      <c r="T446" s="3"/>
      <c r="U446" s="3"/>
      <c r="V446" s="3"/>
      <c r="W446" s="3"/>
      <c r="X446" s="3"/>
      <c r="Y446" s="3"/>
      <c r="Z446" s="3"/>
      <c r="AA446" s="3"/>
      <c r="AB446" s="3"/>
      <c r="AC446" s="3"/>
    </row>
    <row r="447" customFormat="false" ht="21.75" hidden="false" customHeight="true" outlineLevel="0" collapsed="false">
      <c r="A447" s="3"/>
      <c r="B447" s="3"/>
      <c r="C447" s="3"/>
      <c r="D447" s="3"/>
      <c r="E447" s="3"/>
      <c r="F447" s="3"/>
      <c r="G447" s="4"/>
      <c r="H447" s="4"/>
      <c r="I447" s="4"/>
      <c r="J447" s="4"/>
      <c r="K447" s="4"/>
      <c r="L447" s="4"/>
      <c r="M447" s="3"/>
      <c r="N447" s="3"/>
      <c r="O447" s="3"/>
      <c r="P447" s="3"/>
      <c r="Q447" s="3"/>
      <c r="R447" s="3"/>
      <c r="S447" s="3"/>
      <c r="T447" s="3"/>
      <c r="U447" s="3"/>
      <c r="V447" s="3"/>
      <c r="W447" s="3"/>
      <c r="X447" s="3"/>
      <c r="Y447" s="3"/>
      <c r="Z447" s="3"/>
      <c r="AA447" s="3"/>
      <c r="AB447" s="3"/>
      <c r="AC447" s="3"/>
    </row>
    <row r="448" customFormat="false" ht="21.75" hidden="false" customHeight="true" outlineLevel="0" collapsed="false">
      <c r="A448" s="3"/>
      <c r="B448" s="3"/>
      <c r="C448" s="3"/>
      <c r="D448" s="3"/>
      <c r="E448" s="3"/>
      <c r="F448" s="3"/>
      <c r="G448" s="4"/>
      <c r="H448" s="4"/>
      <c r="I448" s="4"/>
      <c r="J448" s="4"/>
      <c r="K448" s="4"/>
      <c r="L448" s="4"/>
      <c r="M448" s="3"/>
      <c r="N448" s="3"/>
      <c r="O448" s="3"/>
      <c r="P448" s="3"/>
      <c r="Q448" s="3"/>
      <c r="R448" s="3"/>
      <c r="S448" s="3"/>
      <c r="T448" s="3"/>
      <c r="U448" s="3"/>
      <c r="V448" s="3"/>
      <c r="W448" s="3"/>
      <c r="X448" s="3"/>
      <c r="Y448" s="3"/>
      <c r="Z448" s="3"/>
      <c r="AA448" s="3"/>
      <c r="AB448" s="3"/>
      <c r="AC448" s="3"/>
    </row>
    <row r="449" customFormat="false" ht="21.75" hidden="false" customHeight="true" outlineLevel="0" collapsed="false">
      <c r="A449" s="3"/>
      <c r="B449" s="3"/>
      <c r="C449" s="3"/>
      <c r="D449" s="3"/>
      <c r="E449" s="3"/>
      <c r="F449" s="3"/>
      <c r="G449" s="4"/>
      <c r="H449" s="4"/>
      <c r="I449" s="4"/>
      <c r="J449" s="4"/>
      <c r="K449" s="4"/>
      <c r="L449" s="4"/>
      <c r="M449" s="3"/>
      <c r="N449" s="3"/>
      <c r="O449" s="3"/>
      <c r="P449" s="3"/>
      <c r="Q449" s="3"/>
      <c r="R449" s="3"/>
      <c r="S449" s="3"/>
      <c r="T449" s="3"/>
      <c r="U449" s="3"/>
      <c r="V449" s="3"/>
      <c r="W449" s="3"/>
      <c r="X449" s="3"/>
      <c r="Y449" s="3"/>
      <c r="Z449" s="3"/>
      <c r="AA449" s="3"/>
      <c r="AB449" s="3"/>
      <c r="AC449" s="3"/>
    </row>
    <row r="450" customFormat="false" ht="21.75" hidden="false" customHeight="true" outlineLevel="0" collapsed="false">
      <c r="A450" s="3"/>
      <c r="B450" s="3"/>
      <c r="C450" s="3"/>
      <c r="D450" s="3"/>
      <c r="E450" s="3"/>
      <c r="F450" s="3"/>
      <c r="G450" s="4"/>
      <c r="H450" s="4"/>
      <c r="I450" s="4"/>
      <c r="J450" s="4"/>
      <c r="K450" s="4"/>
      <c r="L450" s="4"/>
      <c r="M450" s="3"/>
      <c r="N450" s="3"/>
      <c r="O450" s="3"/>
      <c r="P450" s="3"/>
      <c r="Q450" s="3"/>
      <c r="R450" s="3"/>
      <c r="S450" s="3"/>
      <c r="T450" s="3"/>
      <c r="U450" s="3"/>
      <c r="V450" s="3"/>
      <c r="W450" s="3"/>
      <c r="X450" s="3"/>
      <c r="Y450" s="3"/>
      <c r="Z450" s="3"/>
      <c r="AA450" s="3"/>
      <c r="AB450" s="3"/>
      <c r="AC450" s="3"/>
    </row>
    <row r="451" customFormat="false" ht="21.75" hidden="false" customHeight="true" outlineLevel="0" collapsed="false">
      <c r="A451" s="3"/>
      <c r="B451" s="3"/>
      <c r="C451" s="3"/>
      <c r="D451" s="3"/>
      <c r="E451" s="3"/>
      <c r="F451" s="3"/>
      <c r="G451" s="4"/>
      <c r="H451" s="4"/>
      <c r="I451" s="4"/>
      <c r="J451" s="4"/>
      <c r="K451" s="4"/>
      <c r="L451" s="4"/>
      <c r="M451" s="3"/>
      <c r="N451" s="3"/>
      <c r="O451" s="3"/>
      <c r="P451" s="3"/>
      <c r="Q451" s="3"/>
      <c r="R451" s="3"/>
      <c r="S451" s="3"/>
      <c r="T451" s="3"/>
      <c r="U451" s="3"/>
      <c r="V451" s="3"/>
      <c r="W451" s="3"/>
      <c r="X451" s="3"/>
      <c r="Y451" s="3"/>
      <c r="Z451" s="3"/>
      <c r="AA451" s="3"/>
      <c r="AB451" s="3"/>
      <c r="AC451" s="3"/>
    </row>
    <row r="452" customFormat="false" ht="21.75" hidden="false" customHeight="true" outlineLevel="0" collapsed="false">
      <c r="A452" s="3"/>
      <c r="B452" s="3"/>
      <c r="C452" s="3"/>
      <c r="D452" s="3"/>
      <c r="E452" s="3"/>
      <c r="F452" s="3"/>
      <c r="G452" s="4"/>
      <c r="H452" s="4"/>
      <c r="I452" s="4"/>
      <c r="J452" s="4"/>
      <c r="K452" s="4"/>
      <c r="L452" s="4"/>
      <c r="M452" s="3"/>
      <c r="N452" s="3"/>
      <c r="O452" s="3"/>
      <c r="P452" s="3"/>
      <c r="Q452" s="3"/>
      <c r="R452" s="3"/>
      <c r="S452" s="3"/>
      <c r="T452" s="3"/>
      <c r="U452" s="3"/>
      <c r="V452" s="3"/>
      <c r="W452" s="3"/>
      <c r="X452" s="3"/>
      <c r="Y452" s="3"/>
      <c r="Z452" s="3"/>
      <c r="AA452" s="3"/>
      <c r="AB452" s="3"/>
      <c r="AC452" s="3"/>
    </row>
    <row r="453" customFormat="false" ht="21.75" hidden="false" customHeight="true" outlineLevel="0" collapsed="false">
      <c r="A453" s="3"/>
      <c r="B453" s="3"/>
      <c r="C453" s="3"/>
      <c r="D453" s="3"/>
      <c r="E453" s="3"/>
      <c r="F453" s="3"/>
      <c r="G453" s="4"/>
      <c r="H453" s="4"/>
      <c r="I453" s="4"/>
      <c r="J453" s="4"/>
      <c r="K453" s="4"/>
      <c r="L453" s="4"/>
      <c r="M453" s="3"/>
      <c r="N453" s="3"/>
      <c r="O453" s="3"/>
      <c r="P453" s="3"/>
      <c r="Q453" s="3"/>
      <c r="R453" s="3"/>
      <c r="S453" s="3"/>
      <c r="T453" s="3"/>
      <c r="U453" s="3"/>
      <c r="V453" s="3"/>
      <c r="W453" s="3"/>
      <c r="X453" s="3"/>
      <c r="Y453" s="3"/>
      <c r="Z453" s="3"/>
      <c r="AA453" s="3"/>
      <c r="AB453" s="3"/>
      <c r="AC453" s="3"/>
    </row>
    <row r="454" customFormat="false" ht="21.75" hidden="false" customHeight="true" outlineLevel="0" collapsed="false">
      <c r="A454" s="3"/>
      <c r="B454" s="3"/>
      <c r="C454" s="3"/>
      <c r="D454" s="3"/>
      <c r="E454" s="3"/>
      <c r="F454" s="3"/>
      <c r="G454" s="4"/>
      <c r="H454" s="4"/>
      <c r="I454" s="4"/>
      <c r="J454" s="4"/>
      <c r="K454" s="4"/>
      <c r="L454" s="4"/>
      <c r="M454" s="3"/>
      <c r="N454" s="3"/>
      <c r="O454" s="3"/>
      <c r="P454" s="3"/>
      <c r="Q454" s="3"/>
      <c r="R454" s="3"/>
      <c r="S454" s="3"/>
      <c r="T454" s="3"/>
      <c r="U454" s="3"/>
      <c r="V454" s="3"/>
      <c r="W454" s="3"/>
      <c r="X454" s="3"/>
      <c r="Y454" s="3"/>
      <c r="Z454" s="3"/>
      <c r="AA454" s="3"/>
      <c r="AB454" s="3"/>
      <c r="AC454" s="3"/>
    </row>
    <row r="455" customFormat="false" ht="21.75" hidden="false" customHeight="true" outlineLevel="0" collapsed="false">
      <c r="A455" s="3"/>
      <c r="B455" s="3"/>
      <c r="C455" s="3"/>
      <c r="D455" s="3"/>
      <c r="E455" s="3"/>
      <c r="F455" s="3"/>
      <c r="G455" s="4"/>
      <c r="H455" s="4"/>
      <c r="I455" s="4"/>
      <c r="J455" s="4"/>
      <c r="K455" s="4"/>
      <c r="L455" s="4"/>
      <c r="M455" s="3"/>
      <c r="N455" s="3"/>
      <c r="O455" s="3"/>
      <c r="P455" s="3"/>
      <c r="Q455" s="3"/>
      <c r="R455" s="3"/>
      <c r="S455" s="3"/>
      <c r="T455" s="3"/>
      <c r="U455" s="3"/>
      <c r="V455" s="3"/>
      <c r="W455" s="3"/>
      <c r="X455" s="3"/>
      <c r="Y455" s="3"/>
      <c r="Z455" s="3"/>
      <c r="AA455" s="3"/>
      <c r="AB455" s="3"/>
      <c r="AC455" s="3"/>
    </row>
    <row r="456" customFormat="false" ht="21.75" hidden="false" customHeight="true" outlineLevel="0" collapsed="false">
      <c r="A456" s="3"/>
      <c r="B456" s="3"/>
      <c r="C456" s="3"/>
      <c r="D456" s="3"/>
      <c r="E456" s="3"/>
      <c r="F456" s="3"/>
      <c r="G456" s="4"/>
      <c r="H456" s="4"/>
      <c r="I456" s="4"/>
      <c r="J456" s="4"/>
      <c r="K456" s="4"/>
      <c r="L456" s="4"/>
      <c r="M456" s="3"/>
      <c r="N456" s="3"/>
      <c r="O456" s="3"/>
      <c r="P456" s="3"/>
      <c r="Q456" s="3"/>
      <c r="R456" s="3"/>
      <c r="S456" s="3"/>
      <c r="T456" s="3"/>
      <c r="U456" s="3"/>
      <c r="V456" s="3"/>
      <c r="W456" s="3"/>
      <c r="X456" s="3"/>
      <c r="Y456" s="3"/>
      <c r="Z456" s="3"/>
      <c r="AA456" s="3"/>
      <c r="AB456" s="3"/>
      <c r="AC456" s="3"/>
    </row>
    <row r="457" customFormat="false" ht="21.75" hidden="false" customHeight="true" outlineLevel="0" collapsed="false">
      <c r="A457" s="3"/>
      <c r="B457" s="3"/>
      <c r="C457" s="3"/>
      <c r="D457" s="3"/>
      <c r="E457" s="3"/>
      <c r="F457" s="3"/>
      <c r="G457" s="4"/>
      <c r="H457" s="4"/>
      <c r="I457" s="4"/>
      <c r="J457" s="4"/>
      <c r="K457" s="4"/>
      <c r="L457" s="4"/>
      <c r="M457" s="3"/>
      <c r="N457" s="3"/>
      <c r="O457" s="3"/>
      <c r="P457" s="3"/>
      <c r="Q457" s="3"/>
      <c r="R457" s="3"/>
      <c r="S457" s="3"/>
      <c r="T457" s="3"/>
      <c r="U457" s="3"/>
      <c r="V457" s="3"/>
      <c r="W457" s="3"/>
      <c r="X457" s="3"/>
      <c r="Y457" s="3"/>
      <c r="Z457" s="3"/>
      <c r="AA457" s="3"/>
      <c r="AB457" s="3"/>
      <c r="AC457" s="3"/>
    </row>
    <row r="458" customFormat="false" ht="21.75" hidden="false" customHeight="true" outlineLevel="0" collapsed="false">
      <c r="A458" s="3"/>
      <c r="B458" s="3"/>
      <c r="C458" s="3"/>
      <c r="D458" s="3"/>
      <c r="E458" s="3"/>
      <c r="F458" s="3"/>
      <c r="G458" s="4"/>
      <c r="H458" s="4"/>
      <c r="I458" s="4"/>
      <c r="J458" s="4"/>
      <c r="K458" s="4"/>
      <c r="L458" s="4"/>
      <c r="M458" s="3"/>
      <c r="N458" s="3"/>
      <c r="O458" s="3"/>
      <c r="P458" s="3"/>
      <c r="Q458" s="3"/>
      <c r="R458" s="3"/>
      <c r="S458" s="3"/>
      <c r="T458" s="3"/>
      <c r="U458" s="3"/>
      <c r="V458" s="3"/>
      <c r="W458" s="3"/>
      <c r="X458" s="3"/>
      <c r="Y458" s="3"/>
      <c r="Z458" s="3"/>
      <c r="AA458" s="3"/>
      <c r="AB458" s="3"/>
      <c r="AC458" s="3"/>
    </row>
    <row r="459" customFormat="false" ht="21.75" hidden="false" customHeight="true" outlineLevel="0" collapsed="false">
      <c r="A459" s="3"/>
      <c r="B459" s="3"/>
      <c r="C459" s="3"/>
      <c r="D459" s="3"/>
      <c r="E459" s="3"/>
      <c r="F459" s="3"/>
      <c r="G459" s="4"/>
      <c r="H459" s="4"/>
      <c r="I459" s="4"/>
      <c r="J459" s="4"/>
      <c r="K459" s="4"/>
      <c r="L459" s="4"/>
      <c r="M459" s="3"/>
      <c r="N459" s="3"/>
      <c r="O459" s="3"/>
      <c r="P459" s="3"/>
      <c r="Q459" s="3"/>
      <c r="R459" s="3"/>
      <c r="S459" s="3"/>
      <c r="T459" s="3"/>
      <c r="U459" s="3"/>
      <c r="V459" s="3"/>
      <c r="W459" s="3"/>
      <c r="X459" s="3"/>
      <c r="Y459" s="3"/>
      <c r="Z459" s="3"/>
      <c r="AA459" s="3"/>
      <c r="AB459" s="3"/>
      <c r="AC459" s="3"/>
    </row>
    <row r="460" customFormat="false" ht="21.75" hidden="false" customHeight="true" outlineLevel="0" collapsed="false">
      <c r="A460" s="3"/>
      <c r="B460" s="3"/>
      <c r="C460" s="3"/>
      <c r="D460" s="3"/>
      <c r="E460" s="3"/>
      <c r="F460" s="3"/>
      <c r="G460" s="4"/>
      <c r="H460" s="4"/>
      <c r="I460" s="4"/>
      <c r="J460" s="4"/>
      <c r="K460" s="4"/>
      <c r="L460" s="4"/>
      <c r="M460" s="3"/>
      <c r="N460" s="3"/>
      <c r="O460" s="3"/>
      <c r="P460" s="3"/>
      <c r="Q460" s="3"/>
      <c r="R460" s="3"/>
      <c r="S460" s="3"/>
      <c r="T460" s="3"/>
      <c r="U460" s="3"/>
      <c r="V460" s="3"/>
      <c r="W460" s="3"/>
      <c r="X460" s="3"/>
      <c r="Y460" s="3"/>
      <c r="Z460" s="3"/>
      <c r="AA460" s="3"/>
      <c r="AB460" s="3"/>
      <c r="AC460" s="3"/>
    </row>
    <row r="461" customFormat="false" ht="21.75" hidden="false" customHeight="true" outlineLevel="0" collapsed="false">
      <c r="A461" s="3"/>
      <c r="B461" s="3"/>
      <c r="C461" s="3"/>
      <c r="D461" s="3"/>
      <c r="E461" s="3"/>
      <c r="F461" s="3"/>
      <c r="G461" s="4"/>
      <c r="H461" s="4"/>
      <c r="I461" s="4"/>
      <c r="J461" s="4"/>
      <c r="K461" s="4"/>
      <c r="L461" s="4"/>
      <c r="M461" s="3"/>
      <c r="N461" s="3"/>
      <c r="O461" s="3"/>
      <c r="P461" s="3"/>
      <c r="Q461" s="3"/>
      <c r="R461" s="3"/>
      <c r="S461" s="3"/>
      <c r="T461" s="3"/>
      <c r="U461" s="3"/>
      <c r="V461" s="3"/>
      <c r="W461" s="3"/>
      <c r="X461" s="3"/>
      <c r="Y461" s="3"/>
      <c r="Z461" s="3"/>
      <c r="AA461" s="3"/>
      <c r="AB461" s="3"/>
      <c r="AC461" s="3"/>
    </row>
    <row r="462" customFormat="false" ht="21.75" hidden="false" customHeight="true" outlineLevel="0" collapsed="false">
      <c r="A462" s="3"/>
      <c r="B462" s="3"/>
      <c r="C462" s="3"/>
      <c r="D462" s="3"/>
      <c r="E462" s="3"/>
      <c r="F462" s="3"/>
      <c r="G462" s="4"/>
      <c r="H462" s="4"/>
      <c r="I462" s="4"/>
      <c r="J462" s="4"/>
      <c r="K462" s="4"/>
      <c r="L462" s="4"/>
      <c r="M462" s="3"/>
      <c r="N462" s="3"/>
      <c r="O462" s="3"/>
      <c r="P462" s="3"/>
      <c r="Q462" s="3"/>
      <c r="R462" s="3"/>
      <c r="S462" s="3"/>
      <c r="T462" s="3"/>
      <c r="U462" s="3"/>
      <c r="V462" s="3"/>
      <c r="W462" s="3"/>
      <c r="X462" s="3"/>
      <c r="Y462" s="3"/>
      <c r="Z462" s="3"/>
      <c r="AA462" s="3"/>
      <c r="AB462" s="3"/>
      <c r="AC462" s="3"/>
    </row>
    <row r="463" customFormat="false" ht="21.75" hidden="false" customHeight="true" outlineLevel="0" collapsed="false">
      <c r="A463" s="3"/>
      <c r="B463" s="3"/>
      <c r="C463" s="3"/>
      <c r="D463" s="3"/>
      <c r="E463" s="3"/>
      <c r="F463" s="3"/>
      <c r="G463" s="4"/>
      <c r="H463" s="4"/>
      <c r="I463" s="4"/>
      <c r="J463" s="4"/>
      <c r="K463" s="4"/>
      <c r="L463" s="4"/>
      <c r="M463" s="3"/>
      <c r="N463" s="3"/>
      <c r="O463" s="3"/>
      <c r="P463" s="3"/>
      <c r="Q463" s="3"/>
      <c r="R463" s="3"/>
      <c r="S463" s="3"/>
      <c r="T463" s="3"/>
      <c r="U463" s="3"/>
      <c r="V463" s="3"/>
      <c r="W463" s="3"/>
      <c r="X463" s="3"/>
      <c r="Y463" s="3"/>
      <c r="Z463" s="3"/>
      <c r="AA463" s="3"/>
      <c r="AB463" s="3"/>
      <c r="AC463" s="3"/>
    </row>
    <row r="464" customFormat="false" ht="21.75" hidden="false" customHeight="true" outlineLevel="0" collapsed="false">
      <c r="A464" s="3"/>
      <c r="B464" s="3"/>
      <c r="C464" s="3"/>
      <c r="D464" s="3"/>
      <c r="E464" s="3"/>
      <c r="F464" s="3"/>
      <c r="G464" s="4"/>
      <c r="H464" s="4"/>
      <c r="I464" s="4"/>
      <c r="J464" s="4"/>
      <c r="K464" s="4"/>
      <c r="L464" s="4"/>
      <c r="M464" s="3"/>
      <c r="N464" s="3"/>
      <c r="O464" s="3"/>
      <c r="P464" s="3"/>
      <c r="Q464" s="3"/>
      <c r="R464" s="3"/>
      <c r="S464" s="3"/>
      <c r="T464" s="3"/>
      <c r="U464" s="3"/>
      <c r="V464" s="3"/>
      <c r="W464" s="3"/>
      <c r="X464" s="3"/>
      <c r="Y464" s="3"/>
      <c r="Z464" s="3"/>
      <c r="AA464" s="3"/>
      <c r="AB464" s="3"/>
      <c r="AC464" s="3"/>
    </row>
    <row r="465" customFormat="false" ht="21.75" hidden="false" customHeight="true" outlineLevel="0" collapsed="false">
      <c r="A465" s="3"/>
      <c r="B465" s="3"/>
      <c r="C465" s="3"/>
      <c r="D465" s="3"/>
      <c r="E465" s="3"/>
      <c r="F465" s="3"/>
      <c r="G465" s="4"/>
      <c r="H465" s="4"/>
      <c r="I465" s="4"/>
      <c r="J465" s="4"/>
      <c r="K465" s="4"/>
      <c r="L465" s="4"/>
      <c r="M465" s="3"/>
      <c r="N465" s="3"/>
      <c r="O465" s="3"/>
      <c r="P465" s="3"/>
      <c r="Q465" s="3"/>
      <c r="R465" s="3"/>
      <c r="S465" s="3"/>
      <c r="T465" s="3"/>
      <c r="U465" s="3"/>
      <c r="V465" s="3"/>
      <c r="W465" s="3"/>
      <c r="X465" s="3"/>
      <c r="Y465" s="3"/>
      <c r="Z465" s="3"/>
      <c r="AA465" s="3"/>
      <c r="AB465" s="3"/>
      <c r="AC465" s="3"/>
    </row>
    <row r="466" customFormat="false" ht="21.75" hidden="false" customHeight="true" outlineLevel="0" collapsed="false">
      <c r="A466" s="3"/>
      <c r="B466" s="3"/>
      <c r="C466" s="3"/>
      <c r="D466" s="3"/>
      <c r="E466" s="3"/>
      <c r="F466" s="3"/>
      <c r="G466" s="4"/>
      <c r="H466" s="4"/>
      <c r="I466" s="4"/>
      <c r="J466" s="4"/>
      <c r="K466" s="4"/>
      <c r="L466" s="4"/>
      <c r="M466" s="3"/>
      <c r="N466" s="3"/>
      <c r="O466" s="3"/>
      <c r="P466" s="3"/>
      <c r="Q466" s="3"/>
      <c r="R466" s="3"/>
      <c r="S466" s="3"/>
      <c r="T466" s="3"/>
      <c r="U466" s="3"/>
      <c r="V466" s="3"/>
      <c r="W466" s="3"/>
      <c r="X466" s="3"/>
      <c r="Y466" s="3"/>
      <c r="Z466" s="3"/>
      <c r="AA466" s="3"/>
      <c r="AB466" s="3"/>
      <c r="AC466" s="3"/>
    </row>
    <row r="467" customFormat="false" ht="21.75" hidden="false" customHeight="true" outlineLevel="0" collapsed="false">
      <c r="A467" s="3"/>
      <c r="B467" s="3"/>
      <c r="C467" s="3"/>
      <c r="D467" s="3"/>
      <c r="E467" s="3"/>
      <c r="F467" s="3"/>
      <c r="G467" s="4"/>
      <c r="H467" s="4"/>
      <c r="I467" s="4"/>
      <c r="J467" s="4"/>
      <c r="K467" s="4"/>
      <c r="L467" s="4"/>
      <c r="M467" s="3"/>
      <c r="N467" s="3"/>
      <c r="O467" s="3"/>
      <c r="P467" s="3"/>
      <c r="Q467" s="3"/>
      <c r="R467" s="3"/>
      <c r="S467" s="3"/>
      <c r="T467" s="3"/>
      <c r="U467" s="3"/>
      <c r="V467" s="3"/>
      <c r="W467" s="3"/>
      <c r="X467" s="3"/>
      <c r="Y467" s="3"/>
      <c r="Z467" s="3"/>
      <c r="AA467" s="3"/>
      <c r="AB467" s="3"/>
      <c r="AC467" s="3"/>
    </row>
    <row r="468" customFormat="false" ht="21.75" hidden="false" customHeight="true" outlineLevel="0" collapsed="false">
      <c r="A468" s="3"/>
      <c r="B468" s="3"/>
      <c r="C468" s="3"/>
      <c r="D468" s="3"/>
      <c r="E468" s="3"/>
      <c r="F468" s="3"/>
      <c r="G468" s="4"/>
      <c r="H468" s="4"/>
      <c r="I468" s="4"/>
      <c r="J468" s="4"/>
      <c r="K468" s="4"/>
      <c r="L468" s="4"/>
      <c r="M468" s="3"/>
      <c r="N468" s="3"/>
      <c r="O468" s="3"/>
      <c r="P468" s="3"/>
      <c r="Q468" s="3"/>
      <c r="R468" s="3"/>
      <c r="S468" s="3"/>
      <c r="T468" s="3"/>
      <c r="U468" s="3"/>
      <c r="V468" s="3"/>
      <c r="W468" s="3"/>
      <c r="X468" s="3"/>
      <c r="Y468" s="3"/>
      <c r="Z468" s="3"/>
      <c r="AA468" s="3"/>
      <c r="AB468" s="3"/>
      <c r="AC468" s="3"/>
    </row>
    <row r="469" customFormat="false" ht="21.75" hidden="false" customHeight="true" outlineLevel="0" collapsed="false">
      <c r="A469" s="3"/>
      <c r="B469" s="3"/>
      <c r="C469" s="3"/>
      <c r="D469" s="3"/>
      <c r="E469" s="3"/>
      <c r="F469" s="3"/>
      <c r="G469" s="4"/>
      <c r="H469" s="4"/>
      <c r="I469" s="4"/>
      <c r="J469" s="4"/>
      <c r="K469" s="4"/>
      <c r="L469" s="4"/>
      <c r="M469" s="3"/>
      <c r="N469" s="3"/>
      <c r="O469" s="3"/>
      <c r="P469" s="3"/>
      <c r="Q469" s="3"/>
      <c r="R469" s="3"/>
      <c r="S469" s="3"/>
      <c r="T469" s="3"/>
      <c r="U469" s="3"/>
      <c r="V469" s="3"/>
      <c r="W469" s="3"/>
      <c r="X469" s="3"/>
      <c r="Y469" s="3"/>
      <c r="Z469" s="3"/>
      <c r="AA469" s="3"/>
      <c r="AB469" s="3"/>
      <c r="AC469" s="3"/>
    </row>
    <row r="470" customFormat="false" ht="21.75" hidden="false" customHeight="true" outlineLevel="0" collapsed="false">
      <c r="A470" s="3"/>
      <c r="B470" s="3"/>
      <c r="C470" s="3"/>
      <c r="D470" s="3"/>
      <c r="E470" s="3"/>
      <c r="F470" s="3"/>
      <c r="G470" s="4"/>
      <c r="H470" s="4"/>
      <c r="I470" s="4"/>
      <c r="J470" s="4"/>
      <c r="K470" s="4"/>
      <c r="L470" s="4"/>
      <c r="M470" s="3"/>
      <c r="N470" s="3"/>
      <c r="O470" s="3"/>
      <c r="P470" s="3"/>
      <c r="Q470" s="3"/>
      <c r="R470" s="3"/>
      <c r="S470" s="3"/>
      <c r="T470" s="3"/>
      <c r="U470" s="3"/>
      <c r="V470" s="3"/>
      <c r="W470" s="3"/>
      <c r="X470" s="3"/>
      <c r="Y470" s="3"/>
      <c r="Z470" s="3"/>
      <c r="AA470" s="3"/>
      <c r="AB470" s="3"/>
      <c r="AC470" s="3"/>
    </row>
    <row r="471" customFormat="false" ht="21.75" hidden="false" customHeight="true" outlineLevel="0" collapsed="false">
      <c r="A471" s="3"/>
      <c r="B471" s="3"/>
      <c r="C471" s="3"/>
      <c r="D471" s="3"/>
      <c r="E471" s="3"/>
      <c r="F471" s="3"/>
      <c r="G471" s="4"/>
      <c r="H471" s="4"/>
      <c r="I471" s="4"/>
      <c r="J471" s="4"/>
      <c r="K471" s="4"/>
      <c r="L471" s="4"/>
      <c r="M471" s="3"/>
      <c r="N471" s="3"/>
      <c r="O471" s="3"/>
      <c r="P471" s="3"/>
      <c r="Q471" s="3"/>
      <c r="R471" s="3"/>
      <c r="S471" s="3"/>
      <c r="T471" s="3"/>
      <c r="U471" s="3"/>
      <c r="V471" s="3"/>
      <c r="W471" s="3"/>
      <c r="X471" s="3"/>
      <c r="Y471" s="3"/>
      <c r="Z471" s="3"/>
      <c r="AA471" s="3"/>
      <c r="AB471" s="3"/>
      <c r="AC471" s="3"/>
    </row>
    <row r="472" customFormat="false" ht="21.75" hidden="false" customHeight="true" outlineLevel="0" collapsed="false">
      <c r="A472" s="3"/>
      <c r="B472" s="3"/>
      <c r="C472" s="3"/>
      <c r="D472" s="3"/>
      <c r="E472" s="3"/>
      <c r="F472" s="3"/>
      <c r="G472" s="4"/>
      <c r="H472" s="4"/>
      <c r="I472" s="4"/>
      <c r="J472" s="4"/>
      <c r="K472" s="4"/>
      <c r="L472" s="4"/>
      <c r="M472" s="3"/>
      <c r="N472" s="3"/>
      <c r="O472" s="3"/>
      <c r="P472" s="3"/>
      <c r="Q472" s="3"/>
      <c r="R472" s="3"/>
      <c r="S472" s="3"/>
      <c r="T472" s="3"/>
      <c r="U472" s="3"/>
      <c r="V472" s="3"/>
      <c r="W472" s="3"/>
      <c r="X472" s="3"/>
      <c r="Y472" s="3"/>
      <c r="Z472" s="3"/>
      <c r="AA472" s="3"/>
      <c r="AB472" s="3"/>
      <c r="AC472" s="3"/>
    </row>
    <row r="473" customFormat="false" ht="21.75" hidden="false" customHeight="true" outlineLevel="0" collapsed="false">
      <c r="A473" s="3"/>
      <c r="B473" s="3"/>
      <c r="C473" s="3"/>
      <c r="D473" s="3"/>
      <c r="E473" s="3"/>
      <c r="F473" s="3"/>
      <c r="G473" s="4"/>
      <c r="H473" s="4"/>
      <c r="I473" s="4"/>
      <c r="J473" s="4"/>
      <c r="K473" s="4"/>
      <c r="L473" s="4"/>
      <c r="M473" s="3"/>
      <c r="N473" s="3"/>
      <c r="O473" s="3"/>
      <c r="P473" s="3"/>
      <c r="Q473" s="3"/>
      <c r="R473" s="3"/>
      <c r="S473" s="3"/>
      <c r="T473" s="3"/>
      <c r="U473" s="3"/>
      <c r="V473" s="3"/>
      <c r="W473" s="3"/>
      <c r="X473" s="3"/>
      <c r="Y473" s="3"/>
      <c r="Z473" s="3"/>
      <c r="AA473" s="3"/>
      <c r="AB473" s="3"/>
      <c r="AC473" s="3"/>
    </row>
    <row r="474" customFormat="false" ht="21.75" hidden="false" customHeight="true" outlineLevel="0" collapsed="false">
      <c r="A474" s="3"/>
      <c r="B474" s="3"/>
      <c r="C474" s="3"/>
      <c r="D474" s="3"/>
      <c r="E474" s="3"/>
      <c r="F474" s="3"/>
      <c r="G474" s="4"/>
      <c r="H474" s="4"/>
      <c r="I474" s="4"/>
      <c r="J474" s="4"/>
      <c r="K474" s="4"/>
      <c r="L474" s="4"/>
      <c r="M474" s="3"/>
      <c r="N474" s="3"/>
      <c r="O474" s="3"/>
      <c r="P474" s="3"/>
      <c r="Q474" s="3"/>
      <c r="R474" s="3"/>
      <c r="S474" s="3"/>
      <c r="T474" s="3"/>
      <c r="U474" s="3"/>
      <c r="V474" s="3"/>
      <c r="W474" s="3"/>
      <c r="X474" s="3"/>
      <c r="Y474" s="3"/>
      <c r="Z474" s="3"/>
      <c r="AA474" s="3"/>
      <c r="AB474" s="3"/>
      <c r="AC474" s="3"/>
    </row>
    <row r="475" customFormat="false" ht="21.75" hidden="false" customHeight="true" outlineLevel="0" collapsed="false">
      <c r="A475" s="3"/>
      <c r="B475" s="3"/>
      <c r="C475" s="3"/>
      <c r="D475" s="3"/>
      <c r="E475" s="3"/>
      <c r="F475" s="3"/>
      <c r="G475" s="4"/>
      <c r="H475" s="4"/>
      <c r="I475" s="4"/>
      <c r="J475" s="4"/>
      <c r="K475" s="4"/>
      <c r="L475" s="4"/>
      <c r="M475" s="3"/>
      <c r="N475" s="3"/>
      <c r="O475" s="3"/>
      <c r="P475" s="3"/>
      <c r="Q475" s="3"/>
      <c r="R475" s="3"/>
      <c r="S475" s="3"/>
      <c r="T475" s="3"/>
      <c r="U475" s="3"/>
      <c r="V475" s="3"/>
      <c r="W475" s="3"/>
      <c r="X475" s="3"/>
      <c r="Y475" s="3"/>
      <c r="Z475" s="3"/>
      <c r="AA475" s="3"/>
      <c r="AB475" s="3"/>
      <c r="AC475" s="3"/>
    </row>
    <row r="476" customFormat="false" ht="21.75" hidden="false" customHeight="true" outlineLevel="0" collapsed="false">
      <c r="A476" s="3"/>
      <c r="B476" s="3"/>
      <c r="C476" s="3"/>
      <c r="D476" s="3"/>
      <c r="E476" s="3"/>
      <c r="F476" s="3"/>
      <c r="G476" s="4"/>
      <c r="H476" s="4"/>
      <c r="I476" s="4"/>
      <c r="J476" s="4"/>
      <c r="K476" s="4"/>
      <c r="L476" s="4"/>
      <c r="M476" s="3"/>
      <c r="N476" s="3"/>
      <c r="O476" s="3"/>
      <c r="P476" s="3"/>
      <c r="Q476" s="3"/>
      <c r="R476" s="3"/>
      <c r="S476" s="3"/>
      <c r="T476" s="3"/>
      <c r="U476" s="3"/>
      <c r="V476" s="3"/>
      <c r="W476" s="3"/>
      <c r="X476" s="3"/>
      <c r="Y476" s="3"/>
      <c r="Z476" s="3"/>
      <c r="AA476" s="3"/>
      <c r="AB476" s="3"/>
      <c r="AC476" s="3"/>
    </row>
    <row r="477" customFormat="false" ht="21.75" hidden="false" customHeight="true" outlineLevel="0" collapsed="false">
      <c r="A477" s="3"/>
      <c r="B477" s="3"/>
      <c r="C477" s="3"/>
      <c r="D477" s="3"/>
      <c r="E477" s="3"/>
      <c r="F477" s="3"/>
      <c r="G477" s="4"/>
      <c r="H477" s="4"/>
      <c r="I477" s="4"/>
      <c r="J477" s="4"/>
      <c r="K477" s="4"/>
      <c r="L477" s="4"/>
      <c r="M477" s="3"/>
      <c r="N477" s="3"/>
      <c r="O477" s="3"/>
      <c r="P477" s="3"/>
      <c r="Q477" s="3"/>
      <c r="R477" s="3"/>
      <c r="S477" s="3"/>
      <c r="T477" s="3"/>
      <c r="U477" s="3"/>
      <c r="V477" s="3"/>
      <c r="W477" s="3"/>
      <c r="X477" s="3"/>
      <c r="Y477" s="3"/>
      <c r="Z477" s="3"/>
      <c r="AA477" s="3"/>
      <c r="AB477" s="3"/>
      <c r="AC477" s="3"/>
    </row>
    <row r="478" customFormat="false" ht="21.75" hidden="false" customHeight="true" outlineLevel="0" collapsed="false">
      <c r="A478" s="3"/>
      <c r="B478" s="3"/>
      <c r="C478" s="3"/>
      <c r="D478" s="3"/>
      <c r="E478" s="3"/>
      <c r="F478" s="3"/>
      <c r="G478" s="4"/>
      <c r="H478" s="4"/>
      <c r="I478" s="4"/>
      <c r="J478" s="4"/>
      <c r="K478" s="4"/>
      <c r="L478" s="4"/>
      <c r="M478" s="3"/>
      <c r="N478" s="3"/>
      <c r="O478" s="3"/>
      <c r="P478" s="3"/>
      <c r="Q478" s="3"/>
      <c r="R478" s="3"/>
      <c r="S478" s="3"/>
      <c r="T478" s="3"/>
      <c r="U478" s="3"/>
      <c r="V478" s="3"/>
      <c r="W478" s="3"/>
      <c r="X478" s="3"/>
      <c r="Y478" s="3"/>
      <c r="Z478" s="3"/>
      <c r="AA478" s="3"/>
      <c r="AB478" s="3"/>
      <c r="AC478" s="3"/>
    </row>
    <row r="479" customFormat="false" ht="21.75" hidden="false" customHeight="true" outlineLevel="0" collapsed="false">
      <c r="A479" s="3"/>
      <c r="B479" s="3"/>
      <c r="C479" s="3"/>
      <c r="D479" s="3"/>
      <c r="E479" s="3"/>
      <c r="F479" s="3"/>
      <c r="G479" s="4"/>
      <c r="H479" s="4"/>
      <c r="I479" s="4"/>
      <c r="J479" s="4"/>
      <c r="K479" s="4"/>
      <c r="L479" s="4"/>
      <c r="M479" s="3"/>
      <c r="N479" s="3"/>
      <c r="O479" s="3"/>
      <c r="P479" s="3"/>
      <c r="Q479" s="3"/>
      <c r="R479" s="3"/>
      <c r="S479" s="3"/>
      <c r="T479" s="3"/>
      <c r="U479" s="3"/>
      <c r="V479" s="3"/>
      <c r="W479" s="3"/>
      <c r="X479" s="3"/>
      <c r="Y479" s="3"/>
      <c r="Z479" s="3"/>
      <c r="AA479" s="3"/>
      <c r="AB479" s="3"/>
      <c r="AC479" s="3"/>
    </row>
    <row r="480" customFormat="false" ht="21.75" hidden="false" customHeight="true" outlineLevel="0" collapsed="false">
      <c r="A480" s="3"/>
      <c r="B480" s="3"/>
      <c r="C480" s="3"/>
      <c r="D480" s="3"/>
      <c r="E480" s="3"/>
      <c r="F480" s="3"/>
      <c r="G480" s="4"/>
      <c r="H480" s="4"/>
      <c r="I480" s="4"/>
      <c r="J480" s="4"/>
      <c r="K480" s="4"/>
      <c r="L480" s="4"/>
      <c r="M480" s="3"/>
      <c r="N480" s="3"/>
      <c r="O480" s="3"/>
      <c r="P480" s="3"/>
      <c r="Q480" s="3"/>
      <c r="R480" s="3"/>
      <c r="S480" s="3"/>
      <c r="T480" s="3"/>
      <c r="U480" s="3"/>
      <c r="V480" s="3"/>
      <c r="W480" s="3"/>
      <c r="X480" s="3"/>
      <c r="Y480" s="3"/>
      <c r="Z480" s="3"/>
      <c r="AA480" s="3"/>
      <c r="AB480" s="3"/>
      <c r="AC480" s="3"/>
    </row>
    <row r="481" customFormat="false" ht="21.75" hidden="false" customHeight="true" outlineLevel="0" collapsed="false">
      <c r="A481" s="3"/>
      <c r="B481" s="3"/>
      <c r="C481" s="3"/>
      <c r="D481" s="3"/>
      <c r="E481" s="3"/>
      <c r="F481" s="3"/>
      <c r="G481" s="4"/>
      <c r="H481" s="4"/>
      <c r="I481" s="4"/>
      <c r="J481" s="4"/>
      <c r="K481" s="4"/>
      <c r="L481" s="4"/>
      <c r="M481" s="3"/>
      <c r="N481" s="3"/>
      <c r="O481" s="3"/>
      <c r="P481" s="3"/>
      <c r="Q481" s="3"/>
      <c r="R481" s="3"/>
      <c r="S481" s="3"/>
      <c r="T481" s="3"/>
      <c r="U481" s="3"/>
      <c r="V481" s="3"/>
      <c r="W481" s="3"/>
      <c r="X481" s="3"/>
      <c r="Y481" s="3"/>
      <c r="Z481" s="3"/>
      <c r="AA481" s="3"/>
      <c r="AB481" s="3"/>
      <c r="AC481" s="3"/>
    </row>
    <row r="482" customFormat="false" ht="21.75" hidden="false" customHeight="true" outlineLevel="0" collapsed="false">
      <c r="A482" s="3"/>
      <c r="B482" s="3"/>
      <c r="C482" s="3"/>
      <c r="D482" s="3"/>
      <c r="E482" s="3"/>
      <c r="F482" s="3"/>
      <c r="G482" s="4"/>
      <c r="H482" s="4"/>
      <c r="I482" s="4"/>
      <c r="J482" s="4"/>
      <c r="K482" s="4"/>
      <c r="L482" s="4"/>
      <c r="M482" s="3"/>
      <c r="N482" s="3"/>
      <c r="O482" s="3"/>
      <c r="P482" s="3"/>
      <c r="Q482" s="3"/>
      <c r="R482" s="3"/>
      <c r="S482" s="3"/>
      <c r="T482" s="3"/>
      <c r="U482" s="3"/>
      <c r="V482" s="3"/>
      <c r="W482" s="3"/>
      <c r="X482" s="3"/>
      <c r="Y482" s="3"/>
      <c r="Z482" s="3"/>
      <c r="AA482" s="3"/>
      <c r="AB482" s="3"/>
      <c r="AC482" s="3"/>
    </row>
    <row r="483" customFormat="false" ht="21.75" hidden="false" customHeight="true" outlineLevel="0" collapsed="false">
      <c r="A483" s="3"/>
      <c r="B483" s="3"/>
      <c r="C483" s="3"/>
      <c r="D483" s="3"/>
      <c r="E483" s="3"/>
      <c r="F483" s="3"/>
      <c r="G483" s="4"/>
      <c r="H483" s="4"/>
      <c r="I483" s="4"/>
      <c r="J483" s="4"/>
      <c r="K483" s="4"/>
      <c r="L483" s="4"/>
      <c r="M483" s="3"/>
      <c r="N483" s="3"/>
      <c r="O483" s="3"/>
      <c r="P483" s="3"/>
      <c r="Q483" s="3"/>
      <c r="R483" s="3"/>
      <c r="S483" s="3"/>
      <c r="T483" s="3"/>
      <c r="U483" s="3"/>
      <c r="V483" s="3"/>
      <c r="W483" s="3"/>
      <c r="X483" s="3"/>
      <c r="Y483" s="3"/>
      <c r="Z483" s="3"/>
      <c r="AA483" s="3"/>
      <c r="AB483" s="3"/>
      <c r="AC483" s="3"/>
    </row>
    <row r="484" customFormat="false" ht="21.75" hidden="false" customHeight="true" outlineLevel="0" collapsed="false">
      <c r="A484" s="3"/>
      <c r="B484" s="3"/>
      <c r="C484" s="3"/>
      <c r="D484" s="3"/>
      <c r="E484" s="3"/>
      <c r="F484" s="3"/>
      <c r="G484" s="4"/>
      <c r="H484" s="4"/>
      <c r="I484" s="4"/>
      <c r="J484" s="4"/>
      <c r="K484" s="4"/>
      <c r="L484" s="4"/>
      <c r="M484" s="3"/>
      <c r="N484" s="3"/>
      <c r="O484" s="3"/>
      <c r="P484" s="3"/>
      <c r="Q484" s="3"/>
      <c r="R484" s="3"/>
      <c r="S484" s="3"/>
      <c r="T484" s="3"/>
      <c r="U484" s="3"/>
      <c r="V484" s="3"/>
      <c r="W484" s="3"/>
      <c r="X484" s="3"/>
      <c r="Y484" s="3"/>
      <c r="Z484" s="3"/>
      <c r="AA484" s="3"/>
      <c r="AB484" s="3"/>
      <c r="AC484" s="3"/>
    </row>
    <row r="485" customFormat="false" ht="21.75" hidden="false" customHeight="true" outlineLevel="0" collapsed="false">
      <c r="A485" s="3"/>
      <c r="B485" s="3"/>
      <c r="C485" s="3"/>
      <c r="D485" s="3"/>
      <c r="E485" s="3"/>
      <c r="F485" s="3"/>
      <c r="G485" s="4"/>
      <c r="H485" s="4"/>
      <c r="I485" s="4"/>
      <c r="J485" s="4"/>
      <c r="K485" s="4"/>
      <c r="L485" s="4"/>
      <c r="M485" s="3"/>
      <c r="N485" s="3"/>
      <c r="O485" s="3"/>
      <c r="P485" s="3"/>
      <c r="Q485" s="3"/>
      <c r="R485" s="3"/>
      <c r="S485" s="3"/>
      <c r="T485" s="3"/>
      <c r="U485" s="3"/>
      <c r="V485" s="3"/>
      <c r="W485" s="3"/>
      <c r="X485" s="3"/>
      <c r="Y485" s="3"/>
      <c r="Z485" s="3"/>
      <c r="AA485" s="3"/>
      <c r="AB485" s="3"/>
      <c r="AC485" s="3"/>
    </row>
    <row r="486" customFormat="false" ht="21.75" hidden="false" customHeight="true" outlineLevel="0" collapsed="false">
      <c r="A486" s="3"/>
      <c r="B486" s="3"/>
      <c r="C486" s="3"/>
      <c r="D486" s="3"/>
      <c r="E486" s="3"/>
      <c r="F486" s="3"/>
      <c r="G486" s="4"/>
      <c r="H486" s="4"/>
      <c r="I486" s="4"/>
      <c r="J486" s="4"/>
      <c r="K486" s="4"/>
      <c r="L486" s="4"/>
      <c r="M486" s="3"/>
      <c r="N486" s="3"/>
      <c r="O486" s="3"/>
      <c r="P486" s="3"/>
      <c r="Q486" s="3"/>
      <c r="R486" s="3"/>
      <c r="S486" s="3"/>
      <c r="T486" s="3"/>
      <c r="U486" s="3"/>
      <c r="V486" s="3"/>
      <c r="W486" s="3"/>
      <c r="X486" s="3"/>
      <c r="Y486" s="3"/>
      <c r="Z486" s="3"/>
      <c r="AA486" s="3"/>
      <c r="AB486" s="3"/>
      <c r="AC486" s="3"/>
    </row>
    <row r="487" customFormat="false" ht="21.75" hidden="false" customHeight="true" outlineLevel="0" collapsed="false">
      <c r="A487" s="3"/>
      <c r="B487" s="3"/>
      <c r="C487" s="3"/>
      <c r="D487" s="3"/>
      <c r="E487" s="3"/>
      <c r="F487" s="3"/>
      <c r="G487" s="4"/>
      <c r="H487" s="4"/>
      <c r="I487" s="4"/>
      <c r="J487" s="4"/>
      <c r="K487" s="4"/>
      <c r="L487" s="4"/>
      <c r="M487" s="3"/>
      <c r="N487" s="3"/>
      <c r="O487" s="3"/>
      <c r="P487" s="3"/>
      <c r="Q487" s="3"/>
      <c r="R487" s="3"/>
      <c r="S487" s="3"/>
      <c r="T487" s="3"/>
      <c r="U487" s="3"/>
      <c r="V487" s="3"/>
      <c r="W487" s="3"/>
      <c r="X487" s="3"/>
      <c r="Y487" s="3"/>
      <c r="Z487" s="3"/>
      <c r="AA487" s="3"/>
      <c r="AB487" s="3"/>
      <c r="AC487" s="3"/>
    </row>
    <row r="488" customFormat="false" ht="21.75" hidden="false" customHeight="true" outlineLevel="0" collapsed="false">
      <c r="A488" s="3"/>
      <c r="B488" s="3"/>
      <c r="C488" s="3"/>
      <c r="D488" s="3"/>
      <c r="E488" s="3"/>
      <c r="F488" s="3"/>
      <c r="G488" s="4"/>
      <c r="H488" s="4"/>
      <c r="I488" s="4"/>
      <c r="J488" s="4"/>
      <c r="K488" s="4"/>
      <c r="L488" s="4"/>
      <c r="M488" s="3"/>
      <c r="N488" s="3"/>
      <c r="O488" s="3"/>
      <c r="P488" s="3"/>
      <c r="Q488" s="3"/>
      <c r="R488" s="3"/>
      <c r="S488" s="3"/>
      <c r="T488" s="3"/>
      <c r="U488" s="3"/>
      <c r="V488" s="3"/>
      <c r="W488" s="3"/>
      <c r="X488" s="3"/>
      <c r="Y488" s="3"/>
      <c r="Z488" s="3"/>
      <c r="AA488" s="3"/>
      <c r="AB488" s="3"/>
      <c r="AC488" s="3"/>
    </row>
    <row r="489" customFormat="false" ht="21.75" hidden="false" customHeight="true" outlineLevel="0" collapsed="false">
      <c r="A489" s="3"/>
      <c r="B489" s="3"/>
      <c r="C489" s="3"/>
      <c r="D489" s="3"/>
      <c r="E489" s="3"/>
      <c r="F489" s="3"/>
      <c r="G489" s="4"/>
      <c r="H489" s="4"/>
      <c r="I489" s="4"/>
      <c r="J489" s="4"/>
      <c r="K489" s="4"/>
      <c r="L489" s="4"/>
      <c r="M489" s="3"/>
      <c r="N489" s="3"/>
      <c r="O489" s="3"/>
      <c r="P489" s="3"/>
      <c r="Q489" s="3"/>
      <c r="R489" s="3"/>
      <c r="S489" s="3"/>
      <c r="T489" s="3"/>
      <c r="U489" s="3"/>
      <c r="V489" s="3"/>
      <c r="W489" s="3"/>
      <c r="X489" s="3"/>
      <c r="Y489" s="3"/>
      <c r="Z489" s="3"/>
      <c r="AA489" s="3"/>
      <c r="AB489" s="3"/>
      <c r="AC489" s="3"/>
    </row>
    <row r="490" customFormat="false" ht="21.75" hidden="false" customHeight="true" outlineLevel="0" collapsed="false">
      <c r="A490" s="3"/>
      <c r="B490" s="3"/>
      <c r="C490" s="3"/>
      <c r="D490" s="3"/>
      <c r="E490" s="3"/>
      <c r="F490" s="3"/>
      <c r="G490" s="4"/>
      <c r="H490" s="4"/>
      <c r="I490" s="4"/>
      <c r="J490" s="4"/>
      <c r="K490" s="4"/>
      <c r="L490" s="4"/>
      <c r="M490" s="3"/>
      <c r="N490" s="3"/>
      <c r="O490" s="3"/>
      <c r="P490" s="3"/>
      <c r="Q490" s="3"/>
      <c r="R490" s="3"/>
      <c r="S490" s="3"/>
      <c r="T490" s="3"/>
      <c r="U490" s="3"/>
      <c r="V490" s="3"/>
      <c r="W490" s="3"/>
      <c r="X490" s="3"/>
      <c r="Y490" s="3"/>
      <c r="Z490" s="3"/>
      <c r="AA490" s="3"/>
      <c r="AB490" s="3"/>
      <c r="AC490" s="3"/>
    </row>
    <row r="491" customFormat="false" ht="21.75" hidden="false" customHeight="true" outlineLevel="0" collapsed="false">
      <c r="A491" s="3"/>
      <c r="B491" s="3"/>
      <c r="C491" s="3"/>
      <c r="D491" s="3"/>
      <c r="E491" s="3"/>
      <c r="F491" s="3"/>
      <c r="G491" s="4"/>
      <c r="H491" s="4"/>
      <c r="I491" s="4"/>
      <c r="J491" s="4"/>
      <c r="K491" s="4"/>
      <c r="L491" s="4"/>
      <c r="M491" s="3"/>
      <c r="N491" s="3"/>
      <c r="O491" s="3"/>
      <c r="P491" s="3"/>
      <c r="Q491" s="3"/>
      <c r="R491" s="3"/>
      <c r="S491" s="3"/>
      <c r="T491" s="3"/>
      <c r="U491" s="3"/>
      <c r="V491" s="3"/>
      <c r="W491" s="3"/>
      <c r="X491" s="3"/>
      <c r="Y491" s="3"/>
      <c r="Z491" s="3"/>
      <c r="AA491" s="3"/>
      <c r="AB491" s="3"/>
      <c r="AC491" s="3"/>
    </row>
    <row r="492" customFormat="false" ht="21.75" hidden="false" customHeight="true" outlineLevel="0" collapsed="false">
      <c r="A492" s="3"/>
      <c r="B492" s="3"/>
      <c r="C492" s="3"/>
      <c r="D492" s="3"/>
      <c r="E492" s="3"/>
      <c r="F492" s="3"/>
      <c r="G492" s="4"/>
      <c r="H492" s="4"/>
      <c r="I492" s="4"/>
      <c r="J492" s="4"/>
      <c r="K492" s="4"/>
      <c r="L492" s="4"/>
      <c r="M492" s="3"/>
      <c r="N492" s="3"/>
      <c r="O492" s="3"/>
      <c r="P492" s="3"/>
      <c r="Q492" s="3"/>
      <c r="R492" s="3"/>
      <c r="S492" s="3"/>
      <c r="T492" s="3"/>
      <c r="U492" s="3"/>
      <c r="V492" s="3"/>
      <c r="W492" s="3"/>
      <c r="X492" s="3"/>
      <c r="Y492" s="3"/>
      <c r="Z492" s="3"/>
      <c r="AA492" s="3"/>
      <c r="AB492" s="3"/>
      <c r="AC492" s="3"/>
    </row>
    <row r="493" customFormat="false" ht="21.75" hidden="false" customHeight="true" outlineLevel="0" collapsed="false">
      <c r="A493" s="3"/>
      <c r="B493" s="3"/>
      <c r="C493" s="3"/>
      <c r="D493" s="3"/>
      <c r="E493" s="3"/>
      <c r="F493" s="3"/>
      <c r="G493" s="4"/>
      <c r="H493" s="4"/>
      <c r="I493" s="4"/>
      <c r="J493" s="4"/>
      <c r="K493" s="4"/>
      <c r="L493" s="4"/>
      <c r="M493" s="3"/>
      <c r="N493" s="3"/>
      <c r="O493" s="3"/>
      <c r="P493" s="3"/>
      <c r="Q493" s="3"/>
      <c r="R493" s="3"/>
      <c r="S493" s="3"/>
      <c r="T493" s="3"/>
      <c r="U493" s="3"/>
      <c r="V493" s="3"/>
      <c r="W493" s="3"/>
      <c r="X493" s="3"/>
      <c r="Y493" s="3"/>
      <c r="Z493" s="3"/>
      <c r="AA493" s="3"/>
      <c r="AB493" s="3"/>
      <c r="AC493" s="3"/>
    </row>
    <row r="494" customFormat="false" ht="21.75" hidden="false" customHeight="true" outlineLevel="0" collapsed="false">
      <c r="A494" s="3"/>
      <c r="B494" s="3"/>
      <c r="C494" s="3"/>
      <c r="D494" s="3"/>
      <c r="E494" s="3"/>
      <c r="F494" s="3"/>
      <c r="G494" s="4"/>
      <c r="H494" s="4"/>
      <c r="I494" s="4"/>
      <c r="J494" s="4"/>
      <c r="K494" s="4"/>
      <c r="L494" s="4"/>
      <c r="M494" s="3"/>
      <c r="N494" s="3"/>
      <c r="O494" s="3"/>
      <c r="P494" s="3"/>
      <c r="Q494" s="3"/>
      <c r="R494" s="3"/>
      <c r="S494" s="3"/>
      <c r="T494" s="3"/>
      <c r="U494" s="3"/>
      <c r="V494" s="3"/>
      <c r="W494" s="3"/>
      <c r="X494" s="3"/>
      <c r="Y494" s="3"/>
      <c r="Z494" s="3"/>
      <c r="AA494" s="3"/>
      <c r="AB494" s="3"/>
      <c r="AC494" s="3"/>
    </row>
    <row r="495" customFormat="false" ht="21.75" hidden="false" customHeight="true" outlineLevel="0" collapsed="false">
      <c r="A495" s="3"/>
      <c r="B495" s="3"/>
      <c r="C495" s="3"/>
      <c r="D495" s="3"/>
      <c r="E495" s="3"/>
      <c r="F495" s="3"/>
      <c r="G495" s="4"/>
      <c r="H495" s="4"/>
      <c r="I495" s="4"/>
      <c r="J495" s="4"/>
      <c r="K495" s="4"/>
      <c r="L495" s="4"/>
      <c r="M495" s="3"/>
      <c r="N495" s="3"/>
      <c r="O495" s="3"/>
      <c r="P495" s="3"/>
      <c r="Q495" s="3"/>
      <c r="R495" s="3"/>
      <c r="S495" s="3"/>
      <c r="T495" s="3"/>
      <c r="U495" s="3"/>
      <c r="V495" s="3"/>
      <c r="W495" s="3"/>
      <c r="X495" s="3"/>
      <c r="Y495" s="3"/>
      <c r="Z495" s="3"/>
      <c r="AA495" s="3"/>
      <c r="AB495" s="3"/>
      <c r="AC495" s="3"/>
    </row>
    <row r="496" customFormat="false" ht="21.75" hidden="false" customHeight="true" outlineLevel="0" collapsed="false">
      <c r="A496" s="3"/>
      <c r="B496" s="3"/>
      <c r="C496" s="3"/>
      <c r="D496" s="3"/>
      <c r="E496" s="3"/>
      <c r="F496" s="3"/>
      <c r="G496" s="4"/>
      <c r="H496" s="4"/>
      <c r="I496" s="4"/>
      <c r="J496" s="4"/>
      <c r="K496" s="4"/>
      <c r="L496" s="4"/>
      <c r="M496" s="3"/>
      <c r="N496" s="3"/>
      <c r="O496" s="3"/>
      <c r="P496" s="3"/>
      <c r="Q496" s="3"/>
      <c r="R496" s="3"/>
      <c r="S496" s="3"/>
      <c r="T496" s="3"/>
      <c r="U496" s="3"/>
      <c r="V496" s="3"/>
      <c r="W496" s="3"/>
      <c r="X496" s="3"/>
      <c r="Y496" s="3"/>
      <c r="Z496" s="3"/>
      <c r="AA496" s="3"/>
      <c r="AB496" s="3"/>
      <c r="AC496" s="3"/>
    </row>
    <row r="497" customFormat="false" ht="21.75" hidden="false" customHeight="true" outlineLevel="0" collapsed="false">
      <c r="A497" s="3"/>
      <c r="B497" s="3"/>
      <c r="C497" s="3"/>
      <c r="D497" s="3"/>
      <c r="E497" s="3"/>
      <c r="F497" s="3"/>
      <c r="G497" s="4"/>
      <c r="H497" s="4"/>
      <c r="I497" s="4"/>
      <c r="J497" s="4"/>
      <c r="K497" s="4"/>
      <c r="L497" s="4"/>
      <c r="M497" s="3"/>
      <c r="N497" s="3"/>
      <c r="O497" s="3"/>
      <c r="P497" s="3"/>
      <c r="Q497" s="3"/>
      <c r="R497" s="3"/>
      <c r="S497" s="3"/>
      <c r="T497" s="3"/>
      <c r="U497" s="3"/>
      <c r="V497" s="3"/>
      <c r="W497" s="3"/>
      <c r="X497" s="3"/>
      <c r="Y497" s="3"/>
      <c r="Z497" s="3"/>
      <c r="AA497" s="3"/>
      <c r="AB497" s="3"/>
      <c r="AC497" s="3"/>
    </row>
    <row r="498" customFormat="false" ht="21.75" hidden="false" customHeight="true" outlineLevel="0" collapsed="false">
      <c r="A498" s="3"/>
      <c r="B498" s="3"/>
      <c r="C498" s="3"/>
      <c r="D498" s="3"/>
      <c r="E498" s="3"/>
      <c r="F498" s="3"/>
      <c r="G498" s="4"/>
      <c r="H498" s="4"/>
      <c r="I498" s="4"/>
      <c r="J498" s="4"/>
      <c r="K498" s="4"/>
      <c r="L498" s="4"/>
      <c r="M498" s="3"/>
      <c r="N498" s="3"/>
      <c r="O498" s="3"/>
      <c r="P498" s="3"/>
      <c r="Q498" s="3"/>
      <c r="R498" s="3"/>
      <c r="S498" s="3"/>
      <c r="T498" s="3"/>
      <c r="U498" s="3"/>
      <c r="V498" s="3"/>
      <c r="W498" s="3"/>
      <c r="X498" s="3"/>
      <c r="Y498" s="3"/>
      <c r="Z498" s="3"/>
      <c r="AA498" s="3"/>
      <c r="AB498" s="3"/>
      <c r="AC498" s="3"/>
    </row>
    <row r="499" customFormat="false" ht="21.75" hidden="false" customHeight="true" outlineLevel="0" collapsed="false">
      <c r="A499" s="3"/>
      <c r="B499" s="3"/>
      <c r="C499" s="3"/>
      <c r="D499" s="3"/>
      <c r="E499" s="3"/>
      <c r="F499" s="3"/>
      <c r="G499" s="4"/>
      <c r="H499" s="4"/>
      <c r="I499" s="4"/>
      <c r="J499" s="4"/>
      <c r="K499" s="4"/>
      <c r="L499" s="4"/>
      <c r="M499" s="3"/>
      <c r="N499" s="3"/>
      <c r="O499" s="3"/>
      <c r="P499" s="3"/>
      <c r="Q499" s="3"/>
      <c r="R499" s="3"/>
      <c r="S499" s="3"/>
      <c r="T499" s="3"/>
      <c r="U499" s="3"/>
      <c r="V499" s="3"/>
      <c r="W499" s="3"/>
      <c r="X499" s="3"/>
      <c r="Y499" s="3"/>
      <c r="Z499" s="3"/>
      <c r="AA499" s="3"/>
      <c r="AB499" s="3"/>
      <c r="AC499" s="3"/>
    </row>
    <row r="500" customFormat="false" ht="21.75" hidden="false" customHeight="true" outlineLevel="0" collapsed="false">
      <c r="A500" s="3"/>
      <c r="B500" s="3"/>
      <c r="C500" s="3"/>
      <c r="D500" s="3"/>
      <c r="E500" s="3"/>
      <c r="F500" s="3"/>
      <c r="G500" s="4"/>
      <c r="H500" s="4"/>
      <c r="I500" s="4"/>
      <c r="J500" s="4"/>
      <c r="K500" s="4"/>
      <c r="L500" s="4"/>
      <c r="M500" s="3"/>
      <c r="N500" s="3"/>
      <c r="O500" s="3"/>
      <c r="P500" s="3"/>
      <c r="Q500" s="3"/>
      <c r="R500" s="3"/>
      <c r="S500" s="3"/>
      <c r="T500" s="3"/>
      <c r="U500" s="3"/>
      <c r="V500" s="3"/>
      <c r="W500" s="3"/>
      <c r="X500" s="3"/>
      <c r="Y500" s="3"/>
      <c r="Z500" s="3"/>
      <c r="AA500" s="3"/>
      <c r="AB500" s="3"/>
      <c r="AC5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A8BB"/>
    <pageSetUpPr fitToPage="false"/>
  </sheetPr>
  <dimension ref="A1:AC230"/>
  <sheetViews>
    <sheetView showFormulas="false" showGridLines="false" showRowColHeaders="true" showZeros="true" rightToLeft="false" tabSelected="false" showOutlineSymbols="true" defaultGridColor="true" view="normal" topLeftCell="F1" colorId="64" zoomScale="100" zoomScaleNormal="100" zoomScalePageLayoutView="100" workbookViewId="0">
      <selection pane="topLeft" activeCell="G1" activeCellId="0" sqref="G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 min="3" style="1" width="27"/>
    <col collapsed="false" customWidth="true" hidden="false" outlineLevel="0" max="4" min="4" style="1" width="56"/>
    <col collapsed="false" customWidth="true" hidden="false" outlineLevel="0" max="5" min="5" style="1" width="24"/>
    <col collapsed="false" customWidth="true" hidden="false" outlineLevel="0" max="6" min="6" style="1" width="70"/>
    <col collapsed="false" customWidth="true" hidden="false" outlineLevel="0" max="12" min="7" style="2" width="24"/>
    <col collapsed="false" customWidth="true" hidden="false" outlineLevel="0" max="13" min="13" style="1" width="80"/>
    <col collapsed="false" customWidth="true" hidden="false" outlineLevel="0" max="29" min="14" style="1" width="24"/>
  </cols>
  <sheetData>
    <row r="1" customFormat="false" ht="21.75" hidden="false" customHeight="true" outlineLevel="0" collapsed="false">
      <c r="A1" s="3"/>
      <c r="B1" s="3"/>
      <c r="C1" s="3"/>
      <c r="D1" s="3"/>
      <c r="E1" s="3"/>
      <c r="F1" s="3"/>
      <c r="G1" s="4"/>
      <c r="H1" s="4"/>
      <c r="I1" s="4"/>
      <c r="J1" s="4"/>
      <c r="K1" s="4"/>
      <c r="L1" s="4"/>
      <c r="M1" s="3"/>
      <c r="N1" s="3"/>
      <c r="O1" s="3"/>
      <c r="P1" s="3"/>
      <c r="Q1" s="3"/>
      <c r="R1" s="3"/>
      <c r="S1" s="3"/>
      <c r="T1" s="3"/>
      <c r="U1" s="3"/>
      <c r="V1" s="3"/>
      <c r="W1" s="3"/>
      <c r="X1" s="3"/>
      <c r="Y1" s="3"/>
      <c r="Z1" s="3"/>
      <c r="AA1" s="3"/>
      <c r="AB1" s="3"/>
      <c r="AC1" s="3"/>
    </row>
    <row r="2" customFormat="false" ht="28.5" hidden="false" customHeight="true" outlineLevel="0" collapsed="false">
      <c r="A2" s="3"/>
      <c r="B2" s="5" t="s">
        <v>7082</v>
      </c>
      <c r="C2" s="7"/>
      <c r="D2" s="7"/>
      <c r="E2" s="7"/>
      <c r="F2" s="7"/>
      <c r="G2" s="6"/>
      <c r="H2" s="6"/>
      <c r="I2" s="6"/>
      <c r="J2" s="6"/>
      <c r="K2" s="6"/>
      <c r="L2" s="6"/>
      <c r="M2" s="7"/>
      <c r="N2" s="7"/>
      <c r="O2" s="3"/>
      <c r="P2" s="3"/>
      <c r="Q2" s="3"/>
      <c r="R2" s="3"/>
      <c r="S2" s="3"/>
      <c r="T2" s="3"/>
      <c r="U2" s="3"/>
      <c r="V2" s="3"/>
      <c r="W2" s="3"/>
      <c r="X2" s="3"/>
      <c r="Y2" s="3"/>
      <c r="Z2" s="3"/>
      <c r="AA2" s="3"/>
      <c r="AB2" s="3"/>
      <c r="AC2" s="3"/>
    </row>
    <row r="3" customFormat="false" ht="22.5" hidden="false" customHeight="true" outlineLevel="0" collapsed="false">
      <c r="A3" s="3"/>
      <c r="B3" s="8" t="s">
        <v>612</v>
      </c>
      <c r="C3" s="7"/>
      <c r="D3" s="7"/>
      <c r="E3" s="7"/>
      <c r="F3" s="7"/>
      <c r="G3" s="6"/>
      <c r="H3" s="6"/>
      <c r="I3" s="6"/>
      <c r="J3" s="6"/>
      <c r="K3" s="6"/>
      <c r="L3" s="6"/>
      <c r="M3" s="7"/>
      <c r="N3" s="7"/>
      <c r="O3" s="3"/>
      <c r="P3" s="3"/>
      <c r="Q3" s="3"/>
      <c r="R3" s="3"/>
      <c r="S3" s="3"/>
      <c r="T3" s="3"/>
      <c r="U3" s="3"/>
      <c r="V3" s="3"/>
      <c r="W3" s="3"/>
      <c r="X3" s="3"/>
      <c r="Y3" s="3"/>
      <c r="Z3" s="3"/>
      <c r="AA3" s="3"/>
      <c r="AB3" s="3"/>
      <c r="AC3" s="3"/>
    </row>
    <row r="4" customFormat="false" ht="21.75" hidden="false" customHeight="true" outlineLevel="0" collapsed="false">
      <c r="A4" s="3"/>
      <c r="B4" s="9"/>
      <c r="C4" s="9"/>
      <c r="D4" s="9"/>
      <c r="E4" s="9"/>
      <c r="F4" s="9"/>
      <c r="G4" s="10"/>
      <c r="H4" s="10"/>
      <c r="I4" s="10"/>
      <c r="J4" s="10"/>
      <c r="K4" s="10"/>
      <c r="L4" s="10"/>
      <c r="M4" s="9"/>
      <c r="N4" s="9"/>
      <c r="O4" s="3"/>
      <c r="P4" s="3"/>
      <c r="Q4" s="3"/>
      <c r="R4" s="3"/>
      <c r="S4" s="3"/>
      <c r="T4" s="3"/>
      <c r="U4" s="3"/>
      <c r="V4" s="3"/>
      <c r="W4" s="3"/>
      <c r="X4" s="3"/>
      <c r="Y4" s="3"/>
      <c r="Z4" s="3"/>
      <c r="AA4" s="3"/>
      <c r="AB4" s="3"/>
      <c r="AC4" s="3"/>
    </row>
    <row r="5" customFormat="false" ht="21.75" hidden="false" customHeight="true" outlineLevel="0" collapsed="false">
      <c r="A5" s="3"/>
      <c r="B5" s="17" t="s">
        <v>6882</v>
      </c>
      <c r="C5" s="9"/>
      <c r="D5" s="9"/>
      <c r="E5" s="9"/>
      <c r="F5" s="9"/>
      <c r="G5" s="10"/>
      <c r="H5" s="10"/>
      <c r="I5" s="10"/>
      <c r="J5" s="10"/>
      <c r="K5" s="10"/>
      <c r="L5" s="10"/>
      <c r="M5" s="9"/>
      <c r="N5" s="9"/>
      <c r="O5" s="3"/>
      <c r="P5" s="3"/>
      <c r="Q5" s="3"/>
      <c r="R5" s="3"/>
      <c r="S5" s="3"/>
      <c r="T5" s="3"/>
      <c r="U5" s="3"/>
      <c r="V5" s="3"/>
      <c r="W5" s="3"/>
      <c r="X5" s="3"/>
      <c r="Y5" s="3"/>
      <c r="Z5" s="3"/>
      <c r="AA5" s="3"/>
      <c r="AB5" s="3"/>
      <c r="AC5" s="3"/>
    </row>
    <row r="6" customFormat="false" ht="21.75" hidden="false" customHeight="true" outlineLevel="0" collapsed="false">
      <c r="A6" s="3"/>
      <c r="B6" s="9"/>
      <c r="C6" s="9"/>
      <c r="D6" s="9"/>
      <c r="E6" s="9"/>
      <c r="F6" s="9"/>
      <c r="G6" s="10"/>
      <c r="H6" s="10"/>
      <c r="I6" s="10"/>
      <c r="J6" s="10"/>
      <c r="K6" s="10"/>
      <c r="L6" s="10"/>
      <c r="M6" s="9"/>
      <c r="N6" s="9"/>
      <c r="O6" s="3"/>
      <c r="P6" s="3"/>
      <c r="Q6" s="3"/>
      <c r="R6" s="3"/>
      <c r="S6" s="3"/>
      <c r="T6" s="3"/>
      <c r="U6" s="3"/>
      <c r="V6" s="3"/>
      <c r="W6" s="3"/>
      <c r="X6" s="3"/>
      <c r="Y6" s="3"/>
      <c r="Z6" s="3"/>
      <c r="AA6" s="3"/>
      <c r="AB6" s="3"/>
      <c r="AC6" s="3"/>
    </row>
    <row r="7" customFormat="false" ht="25.5" hidden="false" customHeight="true" outlineLevel="0" collapsed="false">
      <c r="A7" s="3"/>
      <c r="B7" s="133" t="s">
        <v>6883</v>
      </c>
      <c r="C7" s="133"/>
      <c r="D7" s="133"/>
      <c r="E7" s="133"/>
      <c r="F7" s="133"/>
      <c r="G7" s="40"/>
      <c r="H7" s="40"/>
      <c r="I7" s="10"/>
      <c r="J7" s="10"/>
      <c r="K7" s="10"/>
      <c r="L7" s="10"/>
      <c r="M7" s="9"/>
      <c r="N7" s="9"/>
      <c r="O7" s="3"/>
      <c r="P7" s="3"/>
      <c r="Q7" s="3"/>
      <c r="R7" s="3"/>
      <c r="S7" s="3"/>
      <c r="T7" s="3"/>
      <c r="U7" s="3"/>
      <c r="V7" s="3"/>
      <c r="W7" s="3"/>
      <c r="X7" s="3"/>
      <c r="Y7" s="3"/>
      <c r="Z7" s="3"/>
      <c r="AA7" s="3"/>
      <c r="AB7" s="3"/>
      <c r="AC7" s="3"/>
    </row>
    <row r="8" customFormat="false" ht="36" hidden="false" customHeight="true" outlineLevel="0" collapsed="false">
      <c r="A8" s="3"/>
      <c r="B8" s="21" t="s">
        <v>6917</v>
      </c>
      <c r="C8" s="30" t="s">
        <v>230</v>
      </c>
      <c r="D8" s="30" t="s">
        <v>6918</v>
      </c>
      <c r="E8" s="30" t="s">
        <v>6903</v>
      </c>
      <c r="F8" s="30" t="s">
        <v>6919</v>
      </c>
      <c r="G8" s="30" t="s">
        <v>6920</v>
      </c>
      <c r="H8" s="30" t="s">
        <v>6921</v>
      </c>
      <c r="I8" s="30" t="s">
        <v>6922</v>
      </c>
      <c r="J8" s="30" t="s">
        <v>6923</v>
      </c>
      <c r="K8" s="30" t="s">
        <v>6924</v>
      </c>
      <c r="L8" s="30" t="s">
        <v>6925</v>
      </c>
      <c r="M8" s="30" t="s">
        <v>240</v>
      </c>
      <c r="N8" s="30" t="s">
        <v>242</v>
      </c>
      <c r="O8" s="3"/>
      <c r="P8" s="3"/>
      <c r="Q8" s="3"/>
      <c r="R8" s="3"/>
      <c r="S8" s="3"/>
      <c r="T8" s="3"/>
      <c r="U8" s="3"/>
      <c r="V8" s="3"/>
      <c r="W8" s="3"/>
      <c r="X8" s="3"/>
      <c r="Y8" s="3"/>
      <c r="Z8" s="3"/>
      <c r="AA8" s="3"/>
      <c r="AB8" s="3"/>
      <c r="AC8" s="3"/>
    </row>
    <row r="9" customFormat="false" ht="36" hidden="false" customHeight="true" outlineLevel="0" collapsed="false">
      <c r="A9" s="3"/>
      <c r="B9" s="139" t="s">
        <v>6459</v>
      </c>
      <c r="C9" s="109" t="s">
        <v>317</v>
      </c>
      <c r="D9" s="109" t="s">
        <v>607</v>
      </c>
      <c r="E9" s="109" t="s">
        <v>610</v>
      </c>
      <c r="F9" s="113" t="s">
        <v>609</v>
      </c>
      <c r="G9" s="150" t="n">
        <v>44.99</v>
      </c>
      <c r="H9" s="91" t="s">
        <v>590</v>
      </c>
      <c r="I9" s="144" t="n">
        <v>6</v>
      </c>
      <c r="J9" s="91" t="s">
        <v>611</v>
      </c>
      <c r="K9" s="150" t="n">
        <v>7.5</v>
      </c>
      <c r="L9" s="91" t="s">
        <v>530</v>
      </c>
      <c r="M9" s="109" t="s">
        <v>608</v>
      </c>
      <c r="N9" s="109" t="s">
        <v>586</v>
      </c>
      <c r="O9" s="3"/>
      <c r="P9" s="3"/>
      <c r="Q9" s="3"/>
      <c r="R9" s="3"/>
      <c r="S9" s="3"/>
      <c r="T9" s="3"/>
      <c r="U9" s="3"/>
      <c r="V9" s="3"/>
      <c r="W9" s="3"/>
      <c r="X9" s="3"/>
      <c r="Y9" s="3"/>
      <c r="Z9" s="3"/>
      <c r="AA9" s="3"/>
      <c r="AB9" s="3"/>
      <c r="AC9" s="3"/>
    </row>
    <row r="10" customFormat="false" ht="36" hidden="false" customHeight="true" outlineLevel="0" collapsed="false">
      <c r="A10" s="3"/>
      <c r="B10" s="141" t="s">
        <v>6459</v>
      </c>
      <c r="C10" s="110" t="s">
        <v>311</v>
      </c>
      <c r="D10" s="110" t="s">
        <v>585</v>
      </c>
      <c r="E10" s="110" t="s">
        <v>589</v>
      </c>
      <c r="F10" s="117" t="s">
        <v>615</v>
      </c>
      <c r="G10" s="151" t="n">
        <v>14.29</v>
      </c>
      <c r="H10" s="98" t="s">
        <v>590</v>
      </c>
      <c r="I10" s="146" t="n">
        <v>1</v>
      </c>
      <c r="J10" s="98"/>
      <c r="K10" s="151" t="n">
        <v>14.29</v>
      </c>
      <c r="L10" s="98" t="s">
        <v>530</v>
      </c>
      <c r="M10" s="110" t="s">
        <v>614</v>
      </c>
      <c r="N10" s="110" t="s">
        <v>586</v>
      </c>
      <c r="O10" s="3"/>
      <c r="P10" s="3"/>
      <c r="Q10" s="3"/>
      <c r="R10" s="3"/>
      <c r="S10" s="3"/>
      <c r="T10" s="3"/>
      <c r="U10" s="3"/>
      <c r="V10" s="3"/>
      <c r="W10" s="3"/>
      <c r="X10" s="3"/>
      <c r="Y10" s="3"/>
      <c r="Z10" s="3"/>
      <c r="AA10" s="3"/>
      <c r="AB10" s="3"/>
      <c r="AC10" s="3"/>
    </row>
    <row r="11" customFormat="false" ht="36" hidden="false" customHeight="true" outlineLevel="0" collapsed="false">
      <c r="A11" s="3"/>
      <c r="B11" s="139" t="s">
        <v>6459</v>
      </c>
      <c r="C11" s="109" t="s">
        <v>309</v>
      </c>
      <c r="D11" s="109" t="s">
        <v>593</v>
      </c>
      <c r="E11" s="109" t="s">
        <v>388</v>
      </c>
      <c r="F11" s="113" t="s">
        <v>594</v>
      </c>
      <c r="G11" s="150" t="n">
        <v>22.43</v>
      </c>
      <c r="H11" s="91" t="s">
        <v>590</v>
      </c>
      <c r="I11" s="144" t="n">
        <v>1</v>
      </c>
      <c r="J11" s="91"/>
      <c r="K11" s="150" t="n">
        <v>22.43</v>
      </c>
      <c r="L11" s="91" t="s">
        <v>530</v>
      </c>
      <c r="M11" s="109"/>
      <c r="N11" s="109" t="s">
        <v>586</v>
      </c>
      <c r="O11" s="3"/>
      <c r="P11" s="3"/>
      <c r="Q11" s="3"/>
      <c r="R11" s="3"/>
      <c r="S11" s="3"/>
      <c r="T11" s="3"/>
      <c r="U11" s="3"/>
      <c r="V11" s="3"/>
      <c r="W11" s="3"/>
      <c r="X11" s="3"/>
      <c r="Y11" s="3"/>
      <c r="Z11" s="3"/>
      <c r="AA11" s="3"/>
      <c r="AB11" s="3"/>
      <c r="AC11" s="3"/>
    </row>
    <row r="12" customFormat="false" ht="36" hidden="false" customHeight="true" outlineLevel="0" collapsed="false">
      <c r="A12" s="3"/>
      <c r="B12" s="141" t="s">
        <v>6459</v>
      </c>
      <c r="C12" s="110" t="s">
        <v>313</v>
      </c>
      <c r="D12" s="110" t="s">
        <v>595</v>
      </c>
      <c r="E12" s="110" t="s">
        <v>598</v>
      </c>
      <c r="F12" s="117" t="s">
        <v>616</v>
      </c>
      <c r="G12" s="151" t="n">
        <v>12.39</v>
      </c>
      <c r="H12" s="98" t="s">
        <v>265</v>
      </c>
      <c r="I12" s="146" t="n">
        <v>1</v>
      </c>
      <c r="J12" s="98"/>
      <c r="K12" s="151" t="n">
        <v>10.41</v>
      </c>
      <c r="L12" s="98" t="s">
        <v>530</v>
      </c>
      <c r="M12" s="110"/>
      <c r="N12" s="110" t="s">
        <v>586</v>
      </c>
      <c r="O12" s="3"/>
      <c r="P12" s="3"/>
      <c r="Q12" s="3"/>
      <c r="R12" s="3"/>
      <c r="S12" s="3"/>
      <c r="T12" s="3"/>
      <c r="U12" s="3"/>
      <c r="V12" s="3"/>
      <c r="W12" s="3"/>
      <c r="X12" s="3"/>
      <c r="Y12" s="3"/>
      <c r="Z12" s="3"/>
      <c r="AA12" s="3"/>
      <c r="AB12" s="3"/>
      <c r="AC12" s="3"/>
    </row>
    <row r="13" customFormat="false" ht="36" hidden="false" customHeight="true" outlineLevel="0" collapsed="false">
      <c r="A13" s="3"/>
      <c r="B13" s="139" t="s">
        <v>6459</v>
      </c>
      <c r="C13" s="109" t="s">
        <v>321</v>
      </c>
      <c r="D13" s="109" t="s">
        <v>600</v>
      </c>
      <c r="E13" s="109" t="s">
        <v>603</v>
      </c>
      <c r="F13" s="113" t="s">
        <v>618</v>
      </c>
      <c r="G13" s="150" t="n">
        <v>14.07</v>
      </c>
      <c r="H13" s="91" t="s">
        <v>590</v>
      </c>
      <c r="I13" s="144" t="n">
        <v>1</v>
      </c>
      <c r="J13" s="91"/>
      <c r="K13" s="150" t="n">
        <v>14.07</v>
      </c>
      <c r="L13" s="91" t="s">
        <v>530</v>
      </c>
      <c r="M13" s="109" t="s">
        <v>617</v>
      </c>
      <c r="N13" s="109" t="s">
        <v>586</v>
      </c>
      <c r="O13" s="3"/>
      <c r="P13" s="3"/>
      <c r="Q13" s="3"/>
      <c r="R13" s="3"/>
      <c r="S13" s="3"/>
      <c r="T13" s="3"/>
      <c r="U13" s="3"/>
      <c r="V13" s="3"/>
      <c r="W13" s="3"/>
      <c r="X13" s="3"/>
      <c r="Y13" s="3"/>
      <c r="Z13" s="3"/>
      <c r="AA13" s="3"/>
      <c r="AB13" s="3"/>
      <c r="AC13" s="3"/>
    </row>
    <row r="14" customFormat="false" ht="36" hidden="false" customHeight="true" outlineLevel="0" collapsed="false">
      <c r="A14" s="3"/>
      <c r="B14" s="141" t="s">
        <v>6459</v>
      </c>
      <c r="C14" s="110" t="s">
        <v>329</v>
      </c>
      <c r="D14" s="110" t="s">
        <v>595</v>
      </c>
      <c r="E14" s="110" t="s">
        <v>598</v>
      </c>
      <c r="F14" s="117" t="s">
        <v>620</v>
      </c>
      <c r="G14" s="151" t="n">
        <v>7.26</v>
      </c>
      <c r="H14" s="98" t="s">
        <v>590</v>
      </c>
      <c r="I14" s="146" t="n">
        <v>1</v>
      </c>
      <c r="J14" s="98"/>
      <c r="K14" s="151" t="n">
        <v>7.26</v>
      </c>
      <c r="L14" s="98" t="s">
        <v>530</v>
      </c>
      <c r="M14" s="110" t="s">
        <v>619</v>
      </c>
      <c r="N14" s="110" t="s">
        <v>586</v>
      </c>
      <c r="O14" s="3"/>
      <c r="P14" s="3"/>
      <c r="Q14" s="3"/>
      <c r="R14" s="3"/>
      <c r="S14" s="3"/>
      <c r="T14" s="3"/>
      <c r="U14" s="3"/>
      <c r="V14" s="3"/>
      <c r="W14" s="3"/>
      <c r="X14" s="3"/>
      <c r="Y14" s="3"/>
      <c r="Z14" s="3"/>
      <c r="AA14" s="3"/>
      <c r="AB14" s="3"/>
      <c r="AC14" s="3"/>
    </row>
    <row r="15" customFormat="false" ht="36" hidden="false" customHeight="true" outlineLevel="0" collapsed="false">
      <c r="A15" s="3"/>
      <c r="B15" s="139" t="s">
        <v>6461</v>
      </c>
      <c r="C15" s="109" t="s">
        <v>296</v>
      </c>
      <c r="D15" s="109" t="s">
        <v>669</v>
      </c>
      <c r="E15" s="109"/>
      <c r="F15" s="113" t="s">
        <v>689</v>
      </c>
      <c r="G15" s="150" t="n">
        <v>7.29</v>
      </c>
      <c r="H15" s="91" t="s">
        <v>590</v>
      </c>
      <c r="I15" s="144" t="n">
        <v>1</v>
      </c>
      <c r="J15" s="91"/>
      <c r="K15" s="150" t="n">
        <v>7.29</v>
      </c>
      <c r="L15" s="91" t="s">
        <v>530</v>
      </c>
      <c r="M15" s="109" t="s">
        <v>670</v>
      </c>
      <c r="N15" s="109" t="s">
        <v>586</v>
      </c>
      <c r="O15" s="3"/>
      <c r="P15" s="3"/>
      <c r="Q15" s="3"/>
      <c r="R15" s="3"/>
      <c r="S15" s="3"/>
      <c r="T15" s="3"/>
      <c r="U15" s="3"/>
      <c r="V15" s="3"/>
      <c r="W15" s="3"/>
      <c r="X15" s="3"/>
      <c r="Y15" s="3"/>
      <c r="Z15" s="3"/>
      <c r="AA15" s="3"/>
      <c r="AB15" s="3"/>
      <c r="AC15" s="3"/>
    </row>
    <row r="16" customFormat="false" ht="36" hidden="false" customHeight="true" outlineLevel="0" collapsed="false">
      <c r="A16" s="3"/>
      <c r="B16" s="141" t="s">
        <v>6461</v>
      </c>
      <c r="C16" s="110" t="s">
        <v>317</v>
      </c>
      <c r="D16" s="110" t="s">
        <v>690</v>
      </c>
      <c r="E16" s="110" t="s">
        <v>642</v>
      </c>
      <c r="F16" s="117" t="s">
        <v>692</v>
      </c>
      <c r="G16" s="151" t="n">
        <v>56.99</v>
      </c>
      <c r="H16" s="98" t="s">
        <v>590</v>
      </c>
      <c r="I16" s="146" t="n">
        <v>6</v>
      </c>
      <c r="J16" s="98" t="s">
        <v>611</v>
      </c>
      <c r="K16" s="151" t="n">
        <v>9.5</v>
      </c>
      <c r="L16" s="98" t="s">
        <v>629</v>
      </c>
      <c r="M16" s="110" t="s">
        <v>691</v>
      </c>
      <c r="N16" s="110" t="s">
        <v>586</v>
      </c>
      <c r="O16" s="3"/>
      <c r="P16" s="3"/>
      <c r="Q16" s="3"/>
      <c r="R16" s="3"/>
      <c r="S16" s="3"/>
      <c r="T16" s="3"/>
      <c r="U16" s="3"/>
      <c r="V16" s="3"/>
      <c r="W16" s="3"/>
      <c r="X16" s="3"/>
      <c r="Y16" s="3"/>
      <c r="Z16" s="3"/>
      <c r="AA16" s="3"/>
      <c r="AB16" s="3"/>
      <c r="AC16" s="3"/>
    </row>
    <row r="17" customFormat="false" ht="36" hidden="false" customHeight="true" outlineLevel="0" collapsed="false">
      <c r="A17" s="3"/>
      <c r="B17" s="139" t="s">
        <v>6461</v>
      </c>
      <c r="C17" s="109" t="s">
        <v>311</v>
      </c>
      <c r="D17" s="109" t="s">
        <v>672</v>
      </c>
      <c r="E17" s="109" t="s">
        <v>598</v>
      </c>
      <c r="F17" s="113" t="s">
        <v>694</v>
      </c>
      <c r="G17" s="150" t="n">
        <v>9.59</v>
      </c>
      <c r="H17" s="91" t="s">
        <v>590</v>
      </c>
      <c r="I17" s="144" t="n">
        <v>1</v>
      </c>
      <c r="J17" s="91"/>
      <c r="K17" s="150" t="n">
        <v>9.59</v>
      </c>
      <c r="L17" s="91" t="s">
        <v>530</v>
      </c>
      <c r="M17" s="109" t="s">
        <v>693</v>
      </c>
      <c r="N17" s="109" t="s">
        <v>586</v>
      </c>
      <c r="O17" s="3"/>
      <c r="P17" s="3"/>
      <c r="Q17" s="3"/>
      <c r="R17" s="3"/>
      <c r="S17" s="3"/>
      <c r="T17" s="3"/>
      <c r="U17" s="3"/>
      <c r="V17" s="3"/>
      <c r="W17" s="3"/>
      <c r="X17" s="3"/>
      <c r="Y17" s="3"/>
      <c r="Z17" s="3"/>
      <c r="AA17" s="3"/>
      <c r="AB17" s="3"/>
      <c r="AC17" s="3"/>
    </row>
    <row r="18" customFormat="false" ht="36" hidden="false" customHeight="true" outlineLevel="0" collapsed="false">
      <c r="A18" s="3"/>
      <c r="B18" s="141" t="s">
        <v>6461</v>
      </c>
      <c r="C18" s="110" t="s">
        <v>309</v>
      </c>
      <c r="D18" s="110" t="s">
        <v>675</v>
      </c>
      <c r="E18" s="110" t="s">
        <v>388</v>
      </c>
      <c r="F18" s="117" t="s">
        <v>676</v>
      </c>
      <c r="G18" s="151" t="n">
        <v>18.75</v>
      </c>
      <c r="H18" s="98" t="s">
        <v>590</v>
      </c>
      <c r="I18" s="146" t="n">
        <v>1</v>
      </c>
      <c r="J18" s="98"/>
      <c r="K18" s="151" t="n">
        <v>18.75</v>
      </c>
      <c r="L18" s="98" t="s">
        <v>530</v>
      </c>
      <c r="M18" s="110"/>
      <c r="N18" s="110" t="s">
        <v>586</v>
      </c>
      <c r="O18" s="3"/>
      <c r="P18" s="3"/>
      <c r="Q18" s="3"/>
      <c r="R18" s="3"/>
      <c r="S18" s="3"/>
      <c r="T18" s="3"/>
      <c r="U18" s="3"/>
      <c r="V18" s="3"/>
      <c r="W18" s="3"/>
      <c r="X18" s="3"/>
      <c r="Y18" s="3"/>
      <c r="Z18" s="3"/>
      <c r="AA18" s="3"/>
      <c r="AB18" s="3"/>
      <c r="AC18" s="3"/>
    </row>
    <row r="19" customFormat="false" ht="36" hidden="false" customHeight="true" outlineLevel="0" collapsed="false">
      <c r="A19" s="3"/>
      <c r="B19" s="139" t="s">
        <v>6461</v>
      </c>
      <c r="C19" s="109" t="s">
        <v>313</v>
      </c>
      <c r="D19" s="109" t="s">
        <v>677</v>
      </c>
      <c r="E19" s="109" t="s">
        <v>598</v>
      </c>
      <c r="F19" s="113" t="s">
        <v>695</v>
      </c>
      <c r="G19" s="150" t="n">
        <v>10.09</v>
      </c>
      <c r="H19" s="91" t="s">
        <v>265</v>
      </c>
      <c r="I19" s="144" t="n">
        <v>1</v>
      </c>
      <c r="J19" s="91"/>
      <c r="K19" s="150" t="n">
        <v>8.48</v>
      </c>
      <c r="L19" s="91" t="s">
        <v>530</v>
      </c>
      <c r="M19" s="109"/>
      <c r="N19" s="109" t="s">
        <v>586</v>
      </c>
      <c r="O19" s="3"/>
      <c r="P19" s="3"/>
      <c r="Q19" s="3"/>
      <c r="R19" s="3"/>
      <c r="S19" s="3"/>
      <c r="T19" s="3"/>
      <c r="U19" s="3"/>
      <c r="V19" s="3"/>
      <c r="W19" s="3"/>
      <c r="X19" s="3"/>
      <c r="Y19" s="3"/>
      <c r="Z19" s="3"/>
      <c r="AA19" s="3"/>
      <c r="AB19" s="3"/>
      <c r="AC19" s="3"/>
    </row>
    <row r="20" customFormat="false" ht="36" hidden="false" customHeight="true" outlineLevel="0" collapsed="false">
      <c r="A20" s="3"/>
      <c r="B20" s="141" t="s">
        <v>6461</v>
      </c>
      <c r="C20" s="110" t="s">
        <v>321</v>
      </c>
      <c r="D20" s="110" t="s">
        <v>679</v>
      </c>
      <c r="E20" s="110" t="s">
        <v>603</v>
      </c>
      <c r="F20" s="117" t="s">
        <v>697</v>
      </c>
      <c r="G20" s="151" t="n">
        <v>10.17</v>
      </c>
      <c r="H20" s="98" t="s">
        <v>590</v>
      </c>
      <c r="I20" s="146" t="n">
        <v>1</v>
      </c>
      <c r="J20" s="98"/>
      <c r="K20" s="151" t="n">
        <v>10.17</v>
      </c>
      <c r="L20" s="98" t="s">
        <v>530</v>
      </c>
      <c r="M20" s="110" t="s">
        <v>696</v>
      </c>
      <c r="N20" s="110" t="s">
        <v>586</v>
      </c>
      <c r="O20" s="3"/>
      <c r="P20" s="3"/>
      <c r="Q20" s="3"/>
      <c r="R20" s="3"/>
      <c r="S20" s="3"/>
      <c r="T20" s="3"/>
      <c r="U20" s="3"/>
      <c r="V20" s="3"/>
      <c r="W20" s="3"/>
      <c r="X20" s="3"/>
      <c r="Y20" s="3"/>
      <c r="Z20" s="3"/>
      <c r="AA20" s="3"/>
      <c r="AB20" s="3"/>
      <c r="AC20" s="3"/>
    </row>
    <row r="21" customFormat="false" ht="36" hidden="false" customHeight="true" outlineLevel="0" collapsed="false">
      <c r="A21" s="3"/>
      <c r="B21" s="139" t="s">
        <v>6461</v>
      </c>
      <c r="C21" s="109" t="s">
        <v>329</v>
      </c>
      <c r="D21" s="109" t="s">
        <v>698</v>
      </c>
      <c r="E21" s="109" t="s">
        <v>598</v>
      </c>
      <c r="F21" s="113" t="s">
        <v>700</v>
      </c>
      <c r="G21" s="150" t="n">
        <v>5.82</v>
      </c>
      <c r="H21" s="91" t="s">
        <v>590</v>
      </c>
      <c r="I21" s="144" t="n">
        <v>1</v>
      </c>
      <c r="J21" s="91"/>
      <c r="K21" s="150" t="n">
        <v>5.82</v>
      </c>
      <c r="L21" s="91" t="s">
        <v>530</v>
      </c>
      <c r="M21" s="109" t="s">
        <v>699</v>
      </c>
      <c r="N21" s="109" t="s">
        <v>586</v>
      </c>
      <c r="O21" s="3"/>
      <c r="P21" s="3"/>
      <c r="Q21" s="3"/>
      <c r="R21" s="3"/>
      <c r="S21" s="3"/>
      <c r="T21" s="3"/>
      <c r="U21" s="3"/>
      <c r="V21" s="3"/>
      <c r="W21" s="3"/>
      <c r="X21" s="3"/>
      <c r="Y21" s="3"/>
      <c r="Z21" s="3"/>
      <c r="AA21" s="3"/>
      <c r="AB21" s="3"/>
      <c r="AC21" s="3"/>
    </row>
    <row r="22" customFormat="false" ht="36" hidden="false" customHeight="true" outlineLevel="0" collapsed="false">
      <c r="A22" s="3"/>
      <c r="B22" s="141" t="s">
        <v>6462</v>
      </c>
      <c r="C22" s="110" t="s">
        <v>317</v>
      </c>
      <c r="D22" s="110" t="s">
        <v>751</v>
      </c>
      <c r="E22" s="110" t="s">
        <v>610</v>
      </c>
      <c r="F22" s="117" t="s">
        <v>753</v>
      </c>
      <c r="G22" s="151" t="n">
        <v>37.99</v>
      </c>
      <c r="H22" s="98" t="s">
        <v>590</v>
      </c>
      <c r="I22" s="146" t="n">
        <v>12</v>
      </c>
      <c r="J22" s="98" t="s">
        <v>754</v>
      </c>
      <c r="K22" s="151" t="n">
        <v>3.17</v>
      </c>
      <c r="L22" s="98" t="s">
        <v>530</v>
      </c>
      <c r="M22" s="110" t="s">
        <v>752</v>
      </c>
      <c r="N22" s="110" t="s">
        <v>586</v>
      </c>
      <c r="O22" s="3"/>
      <c r="P22" s="3"/>
      <c r="Q22" s="3"/>
      <c r="R22" s="3"/>
      <c r="S22" s="3"/>
      <c r="T22" s="3"/>
      <c r="U22" s="3"/>
      <c r="V22" s="3"/>
      <c r="W22" s="3"/>
      <c r="X22" s="3"/>
      <c r="Y22" s="3"/>
      <c r="Z22" s="3"/>
      <c r="AA22" s="3"/>
      <c r="AB22" s="3"/>
      <c r="AC22" s="3"/>
    </row>
    <row r="23" customFormat="false" ht="36" hidden="false" customHeight="true" outlineLevel="0" collapsed="false">
      <c r="A23" s="3"/>
      <c r="B23" s="139" t="s">
        <v>6462</v>
      </c>
      <c r="C23" s="109" t="s">
        <v>311</v>
      </c>
      <c r="D23" s="109" t="s">
        <v>735</v>
      </c>
      <c r="E23" s="109" t="s">
        <v>565</v>
      </c>
      <c r="F23" s="113" t="s">
        <v>756</v>
      </c>
      <c r="G23" s="150" t="n">
        <v>17.29</v>
      </c>
      <c r="H23" s="91" t="s">
        <v>590</v>
      </c>
      <c r="I23" s="144" t="n">
        <v>1</v>
      </c>
      <c r="J23" s="91"/>
      <c r="K23" s="150" t="n">
        <v>17.29</v>
      </c>
      <c r="L23" s="91" t="s">
        <v>530</v>
      </c>
      <c r="M23" s="109" t="s">
        <v>755</v>
      </c>
      <c r="N23" s="109" t="s">
        <v>586</v>
      </c>
      <c r="O23" s="3"/>
      <c r="P23" s="3"/>
      <c r="Q23" s="3"/>
      <c r="R23" s="3"/>
      <c r="S23" s="3"/>
      <c r="T23" s="3"/>
      <c r="U23" s="3"/>
      <c r="V23" s="3"/>
      <c r="W23" s="3"/>
      <c r="X23" s="3"/>
      <c r="Y23" s="3"/>
      <c r="Z23" s="3"/>
      <c r="AA23" s="3"/>
      <c r="AB23" s="3"/>
      <c r="AC23" s="3"/>
    </row>
    <row r="24" customFormat="false" ht="36" hidden="false" customHeight="true" outlineLevel="0" collapsed="false">
      <c r="A24" s="3"/>
      <c r="B24" s="141" t="s">
        <v>6462</v>
      </c>
      <c r="C24" s="110" t="s">
        <v>309</v>
      </c>
      <c r="D24" s="110" t="s">
        <v>738</v>
      </c>
      <c r="E24" s="110" t="s">
        <v>388</v>
      </c>
      <c r="F24" s="117" t="s">
        <v>739</v>
      </c>
      <c r="G24" s="151" t="n">
        <v>18.6</v>
      </c>
      <c r="H24" s="98" t="s">
        <v>590</v>
      </c>
      <c r="I24" s="146" t="n">
        <v>1</v>
      </c>
      <c r="J24" s="98"/>
      <c r="K24" s="151" t="n">
        <v>18.6</v>
      </c>
      <c r="L24" s="98" t="s">
        <v>530</v>
      </c>
      <c r="M24" s="110"/>
      <c r="N24" s="110" t="s">
        <v>586</v>
      </c>
      <c r="O24" s="3"/>
      <c r="P24" s="3"/>
      <c r="Q24" s="3"/>
      <c r="R24" s="3"/>
      <c r="S24" s="3"/>
      <c r="T24" s="3"/>
      <c r="U24" s="3"/>
      <c r="V24" s="3"/>
      <c r="W24" s="3"/>
      <c r="X24" s="3"/>
      <c r="Y24" s="3"/>
      <c r="Z24" s="3"/>
      <c r="AA24" s="3"/>
      <c r="AB24" s="3"/>
      <c r="AC24" s="3"/>
    </row>
    <row r="25" customFormat="false" ht="36" hidden="false" customHeight="true" outlineLevel="0" collapsed="false">
      <c r="A25" s="3"/>
      <c r="B25" s="139" t="s">
        <v>6462</v>
      </c>
      <c r="C25" s="109" t="s">
        <v>313</v>
      </c>
      <c r="D25" s="109" t="s">
        <v>740</v>
      </c>
      <c r="E25" s="109" t="s">
        <v>642</v>
      </c>
      <c r="F25" s="113" t="s">
        <v>757</v>
      </c>
      <c r="G25" s="150" t="n">
        <v>6.98</v>
      </c>
      <c r="H25" s="91" t="s">
        <v>265</v>
      </c>
      <c r="I25" s="144" t="n">
        <v>1</v>
      </c>
      <c r="J25" s="91"/>
      <c r="K25" s="150" t="n">
        <v>5.87</v>
      </c>
      <c r="L25" s="91" t="s">
        <v>530</v>
      </c>
      <c r="M25" s="109" t="s">
        <v>741</v>
      </c>
      <c r="N25" s="109" t="s">
        <v>586</v>
      </c>
      <c r="O25" s="3"/>
      <c r="P25" s="3"/>
      <c r="Q25" s="3"/>
      <c r="R25" s="3"/>
      <c r="S25" s="3"/>
      <c r="T25" s="3"/>
      <c r="U25" s="3"/>
      <c r="V25" s="3"/>
      <c r="W25" s="3"/>
      <c r="X25" s="3"/>
      <c r="Y25" s="3"/>
      <c r="Z25" s="3"/>
      <c r="AA25" s="3"/>
      <c r="AB25" s="3"/>
      <c r="AC25" s="3"/>
    </row>
    <row r="26" customFormat="false" ht="36" hidden="false" customHeight="true" outlineLevel="0" collapsed="false">
      <c r="A26" s="3"/>
      <c r="B26" s="141" t="s">
        <v>6462</v>
      </c>
      <c r="C26" s="110" t="s">
        <v>321</v>
      </c>
      <c r="D26" s="110" t="s">
        <v>743</v>
      </c>
      <c r="E26" s="110" t="s">
        <v>646</v>
      </c>
      <c r="F26" s="117" t="s">
        <v>758</v>
      </c>
      <c r="G26" s="151" t="n">
        <v>10</v>
      </c>
      <c r="H26" s="98" t="s">
        <v>590</v>
      </c>
      <c r="I26" s="146" t="n">
        <v>1</v>
      </c>
      <c r="J26" s="98"/>
      <c r="K26" s="151" t="n">
        <v>10</v>
      </c>
      <c r="L26" s="98" t="s">
        <v>530</v>
      </c>
      <c r="M26" s="110"/>
      <c r="N26" s="110" t="s">
        <v>586</v>
      </c>
      <c r="O26" s="3"/>
      <c r="P26" s="3"/>
      <c r="Q26" s="3"/>
      <c r="R26" s="3"/>
      <c r="S26" s="3"/>
      <c r="T26" s="3"/>
      <c r="U26" s="3"/>
      <c r="V26" s="3"/>
      <c r="W26" s="3"/>
      <c r="X26" s="3"/>
      <c r="Y26" s="3"/>
      <c r="Z26" s="3"/>
      <c r="AA26" s="3"/>
      <c r="AB26" s="3"/>
      <c r="AC26" s="3"/>
    </row>
    <row r="27" customFormat="false" ht="36" hidden="false" customHeight="true" outlineLevel="0" collapsed="false">
      <c r="A27" s="3"/>
      <c r="B27" s="139" t="s">
        <v>6462</v>
      </c>
      <c r="C27" s="109" t="s">
        <v>329</v>
      </c>
      <c r="D27" s="109" t="s">
        <v>759</v>
      </c>
      <c r="E27" s="109" t="s">
        <v>642</v>
      </c>
      <c r="F27" s="113" t="s">
        <v>761</v>
      </c>
      <c r="G27" s="150" t="n">
        <v>3.59</v>
      </c>
      <c r="H27" s="91" t="s">
        <v>590</v>
      </c>
      <c r="I27" s="144" t="n">
        <v>1</v>
      </c>
      <c r="J27" s="91"/>
      <c r="K27" s="150" t="n">
        <v>3.59</v>
      </c>
      <c r="L27" s="91" t="s">
        <v>530</v>
      </c>
      <c r="M27" s="109" t="s">
        <v>760</v>
      </c>
      <c r="N27" s="109" t="s">
        <v>586</v>
      </c>
      <c r="O27" s="3"/>
      <c r="P27" s="3"/>
      <c r="Q27" s="3"/>
      <c r="R27" s="3"/>
      <c r="S27" s="3"/>
      <c r="T27" s="3"/>
      <c r="U27" s="3"/>
      <c r="V27" s="3"/>
      <c r="W27" s="3"/>
      <c r="X27" s="3"/>
      <c r="Y27" s="3"/>
      <c r="Z27" s="3"/>
      <c r="AA27" s="3"/>
      <c r="AB27" s="3"/>
      <c r="AC27" s="3"/>
    </row>
    <row r="28" customFormat="false" ht="36" hidden="false" customHeight="true" outlineLevel="0" collapsed="false">
      <c r="A28" s="3"/>
      <c r="B28" s="141" t="s">
        <v>6463</v>
      </c>
      <c r="C28" s="110" t="s">
        <v>317</v>
      </c>
      <c r="D28" s="110" t="s">
        <v>806</v>
      </c>
      <c r="E28" s="110" t="s">
        <v>610</v>
      </c>
      <c r="F28" s="117" t="s">
        <v>808</v>
      </c>
      <c r="G28" s="151" t="n">
        <v>27.99</v>
      </c>
      <c r="H28" s="98" t="s">
        <v>590</v>
      </c>
      <c r="I28" s="146" t="n">
        <v>12</v>
      </c>
      <c r="J28" s="98" t="s">
        <v>809</v>
      </c>
      <c r="K28" s="151" t="n">
        <v>2.33</v>
      </c>
      <c r="L28" s="98" t="s">
        <v>530</v>
      </c>
      <c r="M28" s="110" t="s">
        <v>807</v>
      </c>
      <c r="N28" s="110" t="s">
        <v>586</v>
      </c>
      <c r="O28" s="3"/>
      <c r="P28" s="3"/>
      <c r="Q28" s="3"/>
      <c r="R28" s="3"/>
      <c r="S28" s="3"/>
      <c r="T28" s="3"/>
      <c r="U28" s="3"/>
      <c r="V28" s="3"/>
      <c r="W28" s="3"/>
      <c r="X28" s="3"/>
      <c r="Y28" s="3"/>
      <c r="Z28" s="3"/>
      <c r="AA28" s="3"/>
      <c r="AB28" s="3"/>
      <c r="AC28" s="3"/>
    </row>
    <row r="29" customFormat="false" ht="36" hidden="false" customHeight="true" outlineLevel="0" collapsed="false">
      <c r="A29" s="3"/>
      <c r="B29" s="139" t="s">
        <v>6463</v>
      </c>
      <c r="C29" s="109" t="s">
        <v>311</v>
      </c>
      <c r="D29" s="109" t="s">
        <v>791</v>
      </c>
      <c r="E29" s="109" t="s">
        <v>589</v>
      </c>
      <c r="F29" s="113" t="s">
        <v>811</v>
      </c>
      <c r="G29" s="150" t="n">
        <v>5.29</v>
      </c>
      <c r="H29" s="91" t="s">
        <v>590</v>
      </c>
      <c r="I29" s="144" t="n">
        <v>1</v>
      </c>
      <c r="J29" s="91"/>
      <c r="K29" s="150" t="n">
        <v>5.29</v>
      </c>
      <c r="L29" s="91" t="s">
        <v>530</v>
      </c>
      <c r="M29" s="109" t="s">
        <v>792</v>
      </c>
      <c r="N29" s="109" t="s">
        <v>586</v>
      </c>
      <c r="O29" s="3"/>
      <c r="P29" s="3"/>
      <c r="Q29" s="3"/>
      <c r="R29" s="3"/>
      <c r="S29" s="3"/>
      <c r="T29" s="3"/>
      <c r="U29" s="3"/>
      <c r="V29" s="3"/>
      <c r="W29" s="3"/>
      <c r="X29" s="3"/>
      <c r="Y29" s="3"/>
      <c r="Z29" s="3"/>
      <c r="AA29" s="3"/>
      <c r="AB29" s="3"/>
      <c r="AC29" s="3"/>
    </row>
    <row r="30" customFormat="false" ht="36" hidden="false" customHeight="true" outlineLevel="0" collapsed="false">
      <c r="A30" s="3"/>
      <c r="B30" s="141" t="s">
        <v>6463</v>
      </c>
      <c r="C30" s="110" t="s">
        <v>309</v>
      </c>
      <c r="D30" s="110" t="s">
        <v>794</v>
      </c>
      <c r="E30" s="110" t="s">
        <v>388</v>
      </c>
      <c r="F30" s="117" t="s">
        <v>796</v>
      </c>
      <c r="G30" s="151" t="n">
        <v>16.66</v>
      </c>
      <c r="H30" s="98" t="s">
        <v>590</v>
      </c>
      <c r="I30" s="146" t="n">
        <v>1</v>
      </c>
      <c r="J30" s="98"/>
      <c r="K30" s="151" t="n">
        <v>16.66</v>
      </c>
      <c r="L30" s="98" t="s">
        <v>702</v>
      </c>
      <c r="M30" s="110" t="s">
        <v>795</v>
      </c>
      <c r="N30" s="110" t="s">
        <v>586</v>
      </c>
      <c r="O30" s="3"/>
      <c r="P30" s="3"/>
      <c r="Q30" s="3"/>
      <c r="R30" s="3"/>
      <c r="S30" s="3"/>
      <c r="T30" s="3"/>
      <c r="U30" s="3"/>
      <c r="V30" s="3"/>
      <c r="W30" s="3"/>
      <c r="X30" s="3"/>
      <c r="Y30" s="3"/>
      <c r="Z30" s="3"/>
      <c r="AA30" s="3"/>
      <c r="AB30" s="3"/>
      <c r="AC30" s="3"/>
    </row>
    <row r="31" customFormat="false" ht="36" hidden="false" customHeight="true" outlineLevel="0" collapsed="false">
      <c r="A31" s="3"/>
      <c r="B31" s="139" t="s">
        <v>6463</v>
      </c>
      <c r="C31" s="109" t="s">
        <v>313</v>
      </c>
      <c r="D31" s="109" t="s">
        <v>797</v>
      </c>
      <c r="E31" s="109" t="s">
        <v>642</v>
      </c>
      <c r="F31" s="113" t="s">
        <v>812</v>
      </c>
      <c r="G31" s="150" t="n">
        <v>11.09</v>
      </c>
      <c r="H31" s="91" t="s">
        <v>265</v>
      </c>
      <c r="I31" s="144" t="n">
        <v>1</v>
      </c>
      <c r="J31" s="91"/>
      <c r="K31" s="150" t="n">
        <v>9.32</v>
      </c>
      <c r="L31" s="91" t="s">
        <v>530</v>
      </c>
      <c r="M31" s="109" t="s">
        <v>798</v>
      </c>
      <c r="N31" s="109" t="s">
        <v>586</v>
      </c>
      <c r="O31" s="3"/>
      <c r="P31" s="3"/>
      <c r="Q31" s="3"/>
      <c r="R31" s="3"/>
      <c r="S31" s="3"/>
      <c r="T31" s="3"/>
      <c r="U31" s="3"/>
      <c r="V31" s="3"/>
      <c r="W31" s="3"/>
      <c r="X31" s="3"/>
      <c r="Y31" s="3"/>
      <c r="Z31" s="3"/>
      <c r="AA31" s="3"/>
      <c r="AB31" s="3"/>
      <c r="AC31" s="3"/>
    </row>
    <row r="32" customFormat="false" ht="36" hidden="false" customHeight="true" outlineLevel="0" collapsed="false">
      <c r="A32" s="3"/>
      <c r="B32" s="141" t="s">
        <v>6463</v>
      </c>
      <c r="C32" s="110" t="s">
        <v>321</v>
      </c>
      <c r="D32" s="110" t="s">
        <v>800</v>
      </c>
      <c r="E32" s="110" t="s">
        <v>603</v>
      </c>
      <c r="F32" s="117" t="s">
        <v>813</v>
      </c>
      <c r="G32" s="151" t="n">
        <v>7.5</v>
      </c>
      <c r="H32" s="98" t="s">
        <v>590</v>
      </c>
      <c r="I32" s="146" t="n">
        <v>1</v>
      </c>
      <c r="J32" s="98"/>
      <c r="K32" s="151" t="n">
        <v>7.5</v>
      </c>
      <c r="L32" s="98" t="s">
        <v>530</v>
      </c>
      <c r="M32" s="110"/>
      <c r="N32" s="110" t="s">
        <v>586</v>
      </c>
      <c r="O32" s="3"/>
      <c r="P32" s="3"/>
      <c r="Q32" s="3"/>
      <c r="R32" s="3"/>
      <c r="S32" s="3"/>
      <c r="T32" s="3"/>
      <c r="U32" s="3"/>
      <c r="V32" s="3"/>
      <c r="W32" s="3"/>
      <c r="X32" s="3"/>
      <c r="Y32" s="3"/>
      <c r="Z32" s="3"/>
      <c r="AA32" s="3"/>
      <c r="AB32" s="3"/>
      <c r="AC32" s="3"/>
    </row>
    <row r="33" customFormat="false" ht="36" hidden="false" customHeight="true" outlineLevel="0" collapsed="false">
      <c r="A33" s="3"/>
      <c r="B33" s="139" t="s">
        <v>6463</v>
      </c>
      <c r="C33" s="109" t="s">
        <v>329</v>
      </c>
      <c r="D33" s="109" t="s">
        <v>814</v>
      </c>
      <c r="E33" s="109" t="s">
        <v>817</v>
      </c>
      <c r="F33" s="113" t="s">
        <v>816</v>
      </c>
      <c r="G33" s="150" t="n">
        <v>4.99</v>
      </c>
      <c r="H33" s="91" t="s">
        <v>590</v>
      </c>
      <c r="I33" s="144" t="n">
        <v>1</v>
      </c>
      <c r="J33" s="91"/>
      <c r="K33" s="150" t="n">
        <v>4.99</v>
      </c>
      <c r="L33" s="91" t="s">
        <v>530</v>
      </c>
      <c r="M33" s="109" t="s">
        <v>815</v>
      </c>
      <c r="N33" s="109" t="s">
        <v>586</v>
      </c>
      <c r="O33" s="3"/>
      <c r="P33" s="3"/>
      <c r="Q33" s="3"/>
      <c r="R33" s="3"/>
      <c r="S33" s="3"/>
      <c r="T33" s="3"/>
      <c r="U33" s="3"/>
      <c r="V33" s="3"/>
      <c r="W33" s="3"/>
      <c r="X33" s="3"/>
      <c r="Y33" s="3"/>
      <c r="Z33" s="3"/>
      <c r="AA33" s="3"/>
      <c r="AB33" s="3"/>
      <c r="AC33" s="3"/>
    </row>
    <row r="34" customFormat="false" ht="36" hidden="false" customHeight="true" outlineLevel="0" collapsed="false">
      <c r="A34" s="3"/>
      <c r="B34" s="141" t="s">
        <v>25</v>
      </c>
      <c r="C34" s="110" t="s">
        <v>296</v>
      </c>
      <c r="D34" s="110" t="s">
        <v>839</v>
      </c>
      <c r="E34" s="110"/>
      <c r="F34" s="117" t="s">
        <v>854</v>
      </c>
      <c r="G34" s="151" t="n">
        <v>8.5</v>
      </c>
      <c r="H34" s="98" t="s">
        <v>590</v>
      </c>
      <c r="I34" s="146" t="n">
        <v>6</v>
      </c>
      <c r="J34" s="98" t="s">
        <v>611</v>
      </c>
      <c r="K34" s="151" t="n">
        <v>1.42</v>
      </c>
      <c r="L34" s="98" t="s">
        <v>702</v>
      </c>
      <c r="M34" s="110" t="s">
        <v>840</v>
      </c>
      <c r="N34" s="110" t="s">
        <v>586</v>
      </c>
      <c r="O34" s="3"/>
      <c r="P34" s="3"/>
      <c r="Q34" s="3"/>
      <c r="R34" s="3"/>
      <c r="S34" s="3"/>
      <c r="T34" s="3"/>
      <c r="U34" s="3"/>
      <c r="V34" s="3"/>
      <c r="W34" s="3"/>
      <c r="X34" s="3"/>
      <c r="Y34" s="3"/>
      <c r="Z34" s="3"/>
      <c r="AA34" s="3"/>
      <c r="AB34" s="3"/>
      <c r="AC34" s="3"/>
    </row>
    <row r="35" customFormat="false" ht="36" hidden="false" customHeight="true" outlineLevel="0" collapsed="false">
      <c r="A35" s="3"/>
      <c r="B35" s="139" t="s">
        <v>25</v>
      </c>
      <c r="C35" s="109" t="s">
        <v>317</v>
      </c>
      <c r="D35" s="109" t="s">
        <v>856</v>
      </c>
      <c r="E35" s="109" t="s">
        <v>610</v>
      </c>
      <c r="F35" s="113" t="s">
        <v>858</v>
      </c>
      <c r="G35" s="150" t="n">
        <v>47.99</v>
      </c>
      <c r="H35" s="91" t="s">
        <v>590</v>
      </c>
      <c r="I35" s="144" t="n">
        <v>12</v>
      </c>
      <c r="J35" s="91" t="s">
        <v>754</v>
      </c>
      <c r="K35" s="150" t="n">
        <v>4</v>
      </c>
      <c r="L35" s="91" t="s">
        <v>702</v>
      </c>
      <c r="M35" s="109" t="s">
        <v>857</v>
      </c>
      <c r="N35" s="109" t="s">
        <v>586</v>
      </c>
      <c r="O35" s="3"/>
      <c r="P35" s="3"/>
      <c r="Q35" s="3"/>
      <c r="R35" s="3"/>
      <c r="S35" s="3"/>
      <c r="T35" s="3"/>
      <c r="U35" s="3"/>
      <c r="V35" s="3"/>
      <c r="W35" s="3"/>
      <c r="X35" s="3"/>
      <c r="Y35" s="3"/>
      <c r="Z35" s="3"/>
      <c r="AA35" s="3"/>
      <c r="AB35" s="3"/>
      <c r="AC35" s="3"/>
    </row>
    <row r="36" customFormat="false" ht="36" hidden="false" customHeight="true" outlineLevel="0" collapsed="false">
      <c r="A36" s="3"/>
      <c r="B36" s="141" t="s">
        <v>25</v>
      </c>
      <c r="C36" s="110" t="s">
        <v>311</v>
      </c>
      <c r="D36" s="110" t="s">
        <v>842</v>
      </c>
      <c r="E36" s="110" t="s">
        <v>589</v>
      </c>
      <c r="F36" s="117" t="s">
        <v>859</v>
      </c>
      <c r="G36" s="151" t="n">
        <v>1.79</v>
      </c>
      <c r="H36" s="98" t="s">
        <v>590</v>
      </c>
      <c r="I36" s="146" t="n">
        <v>1</v>
      </c>
      <c r="J36" s="98"/>
      <c r="K36" s="151" t="n">
        <v>1.79</v>
      </c>
      <c r="L36" s="98" t="s">
        <v>530</v>
      </c>
      <c r="M36" s="110" t="s">
        <v>843</v>
      </c>
      <c r="N36" s="110" t="s">
        <v>586</v>
      </c>
      <c r="O36" s="3"/>
      <c r="P36" s="3"/>
      <c r="Q36" s="3"/>
      <c r="R36" s="3"/>
      <c r="S36" s="3"/>
      <c r="T36" s="3"/>
      <c r="U36" s="3"/>
      <c r="V36" s="3"/>
      <c r="W36" s="3"/>
      <c r="X36" s="3"/>
      <c r="Y36" s="3"/>
      <c r="Z36" s="3"/>
      <c r="AA36" s="3"/>
      <c r="AB36" s="3"/>
      <c r="AC36" s="3"/>
    </row>
    <row r="37" customFormat="false" ht="36" hidden="false" customHeight="true" outlineLevel="0" collapsed="false">
      <c r="A37" s="3"/>
      <c r="B37" s="139" t="s">
        <v>25</v>
      </c>
      <c r="C37" s="109" t="s">
        <v>309</v>
      </c>
      <c r="D37" s="109" t="s">
        <v>845</v>
      </c>
      <c r="E37" s="109" t="s">
        <v>646</v>
      </c>
      <c r="F37" s="113" t="s">
        <v>847</v>
      </c>
      <c r="G37" s="150" t="n">
        <v>2.32</v>
      </c>
      <c r="H37" s="91" t="s">
        <v>590</v>
      </c>
      <c r="I37" s="144" t="n">
        <v>1</v>
      </c>
      <c r="J37" s="91"/>
      <c r="K37" s="150" t="n">
        <v>2.32</v>
      </c>
      <c r="L37" s="91" t="s">
        <v>702</v>
      </c>
      <c r="M37" s="109" t="s">
        <v>846</v>
      </c>
      <c r="N37" s="109" t="s">
        <v>586</v>
      </c>
      <c r="O37" s="3"/>
      <c r="P37" s="3"/>
      <c r="Q37" s="3"/>
      <c r="R37" s="3"/>
      <c r="S37" s="3"/>
      <c r="T37" s="3"/>
      <c r="U37" s="3"/>
      <c r="V37" s="3"/>
      <c r="W37" s="3"/>
      <c r="X37" s="3"/>
      <c r="Y37" s="3"/>
      <c r="Z37" s="3"/>
      <c r="AA37" s="3"/>
      <c r="AB37" s="3"/>
      <c r="AC37" s="3"/>
    </row>
    <row r="38" customFormat="false" ht="36" hidden="false" customHeight="true" outlineLevel="0" collapsed="false">
      <c r="A38" s="3"/>
      <c r="B38" s="141" t="s">
        <v>25</v>
      </c>
      <c r="C38" s="110" t="s">
        <v>313</v>
      </c>
      <c r="D38" s="110" t="s">
        <v>848</v>
      </c>
      <c r="E38" s="110" t="s">
        <v>598</v>
      </c>
      <c r="F38" s="117" t="s">
        <v>860</v>
      </c>
      <c r="G38" s="151" t="n">
        <v>4.59</v>
      </c>
      <c r="H38" s="98" t="s">
        <v>265</v>
      </c>
      <c r="I38" s="146" t="n">
        <v>1</v>
      </c>
      <c r="J38" s="98"/>
      <c r="K38" s="151" t="n">
        <v>3.86</v>
      </c>
      <c r="L38" s="98" t="s">
        <v>702</v>
      </c>
      <c r="M38" s="110" t="s">
        <v>849</v>
      </c>
      <c r="N38" s="110" t="s">
        <v>586</v>
      </c>
      <c r="O38" s="3"/>
      <c r="P38" s="3"/>
      <c r="Q38" s="3"/>
      <c r="R38" s="3"/>
      <c r="S38" s="3"/>
      <c r="T38" s="3"/>
      <c r="U38" s="3"/>
      <c r="V38" s="3"/>
      <c r="W38" s="3"/>
      <c r="X38" s="3"/>
      <c r="Y38" s="3"/>
      <c r="Z38" s="3"/>
      <c r="AA38" s="3"/>
      <c r="AB38" s="3"/>
      <c r="AC38" s="3"/>
    </row>
    <row r="39" customFormat="false" ht="36" hidden="false" customHeight="true" outlineLevel="0" collapsed="false">
      <c r="A39" s="3"/>
      <c r="B39" s="139" t="s">
        <v>25</v>
      </c>
      <c r="C39" s="109" t="s">
        <v>321</v>
      </c>
      <c r="D39" s="109" t="s">
        <v>851</v>
      </c>
      <c r="E39" s="109" t="s">
        <v>662</v>
      </c>
      <c r="F39" s="113" t="s">
        <v>862</v>
      </c>
      <c r="G39" s="150" t="n">
        <v>8.73</v>
      </c>
      <c r="H39" s="91" t="s">
        <v>590</v>
      </c>
      <c r="I39" s="144" t="n">
        <v>6</v>
      </c>
      <c r="J39" s="91" t="s">
        <v>611</v>
      </c>
      <c r="K39" s="150" t="n">
        <v>1.46</v>
      </c>
      <c r="L39" s="91" t="s">
        <v>702</v>
      </c>
      <c r="M39" s="109" t="s">
        <v>861</v>
      </c>
      <c r="N39" s="109" t="s">
        <v>586</v>
      </c>
      <c r="O39" s="3"/>
      <c r="P39" s="3"/>
      <c r="Q39" s="3"/>
      <c r="R39" s="3"/>
      <c r="S39" s="3"/>
      <c r="T39" s="3"/>
      <c r="U39" s="3"/>
      <c r="V39" s="3"/>
      <c r="W39" s="3"/>
      <c r="X39" s="3"/>
      <c r="Y39" s="3"/>
      <c r="Z39" s="3"/>
      <c r="AA39" s="3"/>
      <c r="AB39" s="3"/>
      <c r="AC39" s="3"/>
    </row>
    <row r="40" customFormat="false" ht="36" hidden="false" customHeight="true" outlineLevel="0" collapsed="false">
      <c r="A40" s="3"/>
      <c r="B40" s="141" t="s">
        <v>25</v>
      </c>
      <c r="C40" s="110" t="s">
        <v>329</v>
      </c>
      <c r="D40" s="110" t="s">
        <v>863</v>
      </c>
      <c r="E40" s="110" t="s">
        <v>565</v>
      </c>
      <c r="F40" s="117" t="s">
        <v>865</v>
      </c>
      <c r="G40" s="151" t="n">
        <v>2.69</v>
      </c>
      <c r="H40" s="98" t="s">
        <v>590</v>
      </c>
      <c r="I40" s="146" t="n">
        <v>1</v>
      </c>
      <c r="J40" s="98"/>
      <c r="K40" s="151" t="n">
        <v>2.69</v>
      </c>
      <c r="L40" s="98" t="s">
        <v>702</v>
      </c>
      <c r="M40" s="110" t="s">
        <v>864</v>
      </c>
      <c r="N40" s="110" t="s">
        <v>586</v>
      </c>
      <c r="O40" s="3"/>
      <c r="P40" s="3"/>
      <c r="Q40" s="3"/>
      <c r="R40" s="3"/>
      <c r="S40" s="3"/>
      <c r="T40" s="3"/>
      <c r="U40" s="3"/>
      <c r="V40" s="3"/>
      <c r="W40" s="3"/>
      <c r="X40" s="3"/>
      <c r="Y40" s="3"/>
      <c r="Z40" s="3"/>
      <c r="AA40" s="3"/>
      <c r="AB40" s="3"/>
      <c r="AC40" s="3"/>
    </row>
    <row r="41" customFormat="false" ht="36" hidden="false" customHeight="true" outlineLevel="0" collapsed="false">
      <c r="A41" s="3"/>
      <c r="B41" s="139" t="s">
        <v>6465</v>
      </c>
      <c r="C41" s="109" t="s">
        <v>317</v>
      </c>
      <c r="D41" s="109" t="s">
        <v>901</v>
      </c>
      <c r="E41" s="109" t="s">
        <v>610</v>
      </c>
      <c r="F41" s="113" t="s">
        <v>903</v>
      </c>
      <c r="G41" s="150" t="n">
        <v>31.99</v>
      </c>
      <c r="H41" s="91" t="s">
        <v>590</v>
      </c>
      <c r="I41" s="144" t="n">
        <v>6</v>
      </c>
      <c r="J41" s="91" t="s">
        <v>611</v>
      </c>
      <c r="K41" s="150" t="n">
        <v>5.33</v>
      </c>
      <c r="L41" s="91" t="s">
        <v>702</v>
      </c>
      <c r="M41" s="109" t="s">
        <v>902</v>
      </c>
      <c r="N41" s="109" t="s">
        <v>586</v>
      </c>
      <c r="O41" s="3"/>
      <c r="P41" s="3"/>
      <c r="Q41" s="3"/>
      <c r="R41" s="3"/>
      <c r="S41" s="3"/>
      <c r="T41" s="3"/>
      <c r="U41" s="3"/>
      <c r="V41" s="3"/>
      <c r="W41" s="3"/>
      <c r="X41" s="3"/>
      <c r="Y41" s="3"/>
      <c r="Z41" s="3"/>
      <c r="AA41" s="3"/>
      <c r="AB41" s="3"/>
      <c r="AC41" s="3"/>
    </row>
    <row r="42" customFormat="false" ht="36" hidden="false" customHeight="true" outlineLevel="0" collapsed="false">
      <c r="A42" s="3"/>
      <c r="B42" s="141" t="s">
        <v>6465</v>
      </c>
      <c r="C42" s="110" t="s">
        <v>311</v>
      </c>
      <c r="D42" s="110" t="s">
        <v>889</v>
      </c>
      <c r="E42" s="110" t="s">
        <v>662</v>
      </c>
      <c r="F42" s="117" t="s">
        <v>904</v>
      </c>
      <c r="G42" s="151" t="n">
        <v>1.95</v>
      </c>
      <c r="H42" s="98" t="s">
        <v>590</v>
      </c>
      <c r="I42" s="146" t="n">
        <v>1</v>
      </c>
      <c r="J42" s="98"/>
      <c r="K42" s="151" t="n">
        <v>1.95</v>
      </c>
      <c r="L42" s="98" t="s">
        <v>702</v>
      </c>
      <c r="M42" s="110" t="s">
        <v>890</v>
      </c>
      <c r="N42" s="110" t="s">
        <v>586</v>
      </c>
      <c r="O42" s="3"/>
      <c r="P42" s="3"/>
      <c r="Q42" s="3"/>
      <c r="R42" s="3"/>
      <c r="S42" s="3"/>
      <c r="T42" s="3"/>
      <c r="U42" s="3"/>
      <c r="V42" s="3"/>
      <c r="W42" s="3"/>
      <c r="X42" s="3"/>
      <c r="Y42" s="3"/>
      <c r="Z42" s="3"/>
      <c r="AA42" s="3"/>
      <c r="AB42" s="3"/>
      <c r="AC42" s="3"/>
    </row>
    <row r="43" customFormat="false" ht="33" hidden="false" customHeight="true" outlineLevel="0" collapsed="false">
      <c r="A43" s="3"/>
      <c r="B43" s="139" t="s">
        <v>6465</v>
      </c>
      <c r="C43" s="109" t="s">
        <v>309</v>
      </c>
      <c r="D43" s="109" t="s">
        <v>892</v>
      </c>
      <c r="E43" s="109" t="s">
        <v>646</v>
      </c>
      <c r="F43" s="113" t="s">
        <v>894</v>
      </c>
      <c r="G43" s="150" t="n">
        <v>2.76</v>
      </c>
      <c r="H43" s="91" t="s">
        <v>590</v>
      </c>
      <c r="I43" s="144" t="n">
        <v>1</v>
      </c>
      <c r="J43" s="91"/>
      <c r="K43" s="150" t="n">
        <v>2.76</v>
      </c>
      <c r="L43" s="91" t="s">
        <v>702</v>
      </c>
      <c r="M43" s="109" t="s">
        <v>893</v>
      </c>
      <c r="N43" s="109" t="s">
        <v>586</v>
      </c>
      <c r="O43" s="3"/>
      <c r="P43" s="3"/>
      <c r="Q43" s="3"/>
      <c r="R43" s="3"/>
      <c r="S43" s="3"/>
      <c r="T43" s="3"/>
      <c r="U43" s="3"/>
      <c r="V43" s="3"/>
      <c r="W43" s="3"/>
      <c r="X43" s="3"/>
      <c r="Y43" s="3"/>
      <c r="Z43" s="3"/>
      <c r="AA43" s="3"/>
      <c r="AB43" s="3"/>
      <c r="AC43" s="3"/>
    </row>
    <row r="44" customFormat="false" ht="36" hidden="false" customHeight="true" outlineLevel="0" collapsed="false">
      <c r="A44" s="3"/>
      <c r="B44" s="141" t="s">
        <v>6465</v>
      </c>
      <c r="C44" s="110" t="s">
        <v>313</v>
      </c>
      <c r="D44" s="110" t="s">
        <v>895</v>
      </c>
      <c r="E44" s="110" t="s">
        <v>598</v>
      </c>
      <c r="F44" s="117" t="s">
        <v>905</v>
      </c>
      <c r="G44" s="151" t="n">
        <v>3.79</v>
      </c>
      <c r="H44" s="98" t="s">
        <v>265</v>
      </c>
      <c r="I44" s="146" t="n">
        <v>1</v>
      </c>
      <c r="J44" s="98"/>
      <c r="K44" s="151" t="n">
        <v>3.18</v>
      </c>
      <c r="L44" s="98" t="s">
        <v>702</v>
      </c>
      <c r="M44" s="110" t="s">
        <v>896</v>
      </c>
      <c r="N44" s="110" t="s">
        <v>586</v>
      </c>
      <c r="O44" s="3"/>
      <c r="P44" s="3"/>
      <c r="Q44" s="3"/>
      <c r="R44" s="3"/>
      <c r="S44" s="3"/>
      <c r="T44" s="3"/>
      <c r="U44" s="3"/>
      <c r="V44" s="3"/>
      <c r="W44" s="3"/>
      <c r="X44" s="3"/>
      <c r="Y44" s="3"/>
      <c r="Z44" s="3"/>
      <c r="AA44" s="3"/>
      <c r="AB44" s="3"/>
      <c r="AC44" s="3"/>
    </row>
    <row r="45" customFormat="false" ht="36" hidden="false" customHeight="true" outlineLevel="0" collapsed="false">
      <c r="A45" s="3"/>
      <c r="B45" s="139" t="s">
        <v>6465</v>
      </c>
      <c r="C45" s="109" t="s">
        <v>321</v>
      </c>
      <c r="D45" s="109" t="s">
        <v>898</v>
      </c>
      <c r="E45" s="109" t="s">
        <v>662</v>
      </c>
      <c r="F45" s="113" t="s">
        <v>907</v>
      </c>
      <c r="G45" s="150" t="n">
        <v>1.95</v>
      </c>
      <c r="H45" s="91" t="s">
        <v>590</v>
      </c>
      <c r="I45" s="144" t="n">
        <v>1</v>
      </c>
      <c r="J45" s="91"/>
      <c r="K45" s="150" t="n">
        <v>1.95</v>
      </c>
      <c r="L45" s="91" t="s">
        <v>702</v>
      </c>
      <c r="M45" s="109" t="s">
        <v>906</v>
      </c>
      <c r="N45" s="109" t="s">
        <v>586</v>
      </c>
      <c r="O45" s="3"/>
      <c r="P45" s="3"/>
      <c r="Q45" s="3"/>
      <c r="R45" s="3"/>
      <c r="S45" s="3"/>
      <c r="T45" s="3"/>
      <c r="U45" s="3"/>
      <c r="V45" s="3"/>
      <c r="W45" s="3"/>
      <c r="X45" s="3"/>
      <c r="Y45" s="3"/>
      <c r="Z45" s="3"/>
      <c r="AA45" s="3"/>
      <c r="AB45" s="3"/>
      <c r="AC45" s="3"/>
    </row>
    <row r="46" customFormat="false" ht="36" hidden="false" customHeight="true" outlineLevel="0" collapsed="false">
      <c r="A46" s="3"/>
      <c r="B46" s="141" t="s">
        <v>6465</v>
      </c>
      <c r="C46" s="110" t="s">
        <v>329</v>
      </c>
      <c r="D46" s="110" t="s">
        <v>908</v>
      </c>
      <c r="E46" s="110" t="s">
        <v>598</v>
      </c>
      <c r="F46" s="117" t="s">
        <v>910</v>
      </c>
      <c r="G46" s="151" t="n">
        <v>1.79</v>
      </c>
      <c r="H46" s="98" t="s">
        <v>590</v>
      </c>
      <c r="I46" s="146" t="n">
        <v>1</v>
      </c>
      <c r="J46" s="98"/>
      <c r="K46" s="151" t="n">
        <v>1.79</v>
      </c>
      <c r="L46" s="98" t="s">
        <v>702</v>
      </c>
      <c r="M46" s="110" t="s">
        <v>909</v>
      </c>
      <c r="N46" s="110" t="s">
        <v>586</v>
      </c>
      <c r="O46" s="3"/>
      <c r="P46" s="3"/>
      <c r="Q46" s="3"/>
      <c r="R46" s="3"/>
      <c r="S46" s="3"/>
      <c r="T46" s="3"/>
      <c r="U46" s="3"/>
      <c r="V46" s="3"/>
      <c r="W46" s="3"/>
      <c r="X46" s="3"/>
      <c r="Y46" s="3"/>
      <c r="Z46" s="3"/>
      <c r="AA46" s="3"/>
      <c r="AB46" s="3"/>
      <c r="AC46" s="3"/>
    </row>
    <row r="47" customFormat="false" ht="36" hidden="false" customHeight="true" outlineLevel="0" collapsed="false">
      <c r="A47" s="3"/>
      <c r="B47" s="139" t="s">
        <v>27</v>
      </c>
      <c r="C47" s="109" t="s">
        <v>311</v>
      </c>
      <c r="D47" s="109" t="s">
        <v>930</v>
      </c>
      <c r="E47" s="109" t="s">
        <v>589</v>
      </c>
      <c r="F47" s="113" t="s">
        <v>940</v>
      </c>
      <c r="G47" s="150" t="n">
        <v>3.89</v>
      </c>
      <c r="H47" s="91" t="s">
        <v>590</v>
      </c>
      <c r="I47" s="144" t="n">
        <v>1</v>
      </c>
      <c r="J47" s="91"/>
      <c r="K47" s="150" t="n">
        <v>3.89</v>
      </c>
      <c r="L47" s="91" t="s">
        <v>629</v>
      </c>
      <c r="M47" s="109" t="s">
        <v>939</v>
      </c>
      <c r="N47" s="109" t="s">
        <v>586</v>
      </c>
      <c r="O47" s="3"/>
      <c r="P47" s="3"/>
      <c r="Q47" s="3"/>
      <c r="R47" s="3"/>
      <c r="S47" s="3"/>
      <c r="T47" s="3"/>
      <c r="U47" s="3"/>
      <c r="V47" s="3"/>
      <c r="W47" s="3"/>
      <c r="X47" s="3"/>
      <c r="Y47" s="3"/>
      <c r="Z47" s="3"/>
      <c r="AA47" s="3"/>
      <c r="AB47" s="3"/>
      <c r="AC47" s="3"/>
    </row>
    <row r="48" customFormat="false" ht="36" hidden="false" customHeight="true" outlineLevel="0" collapsed="false">
      <c r="A48" s="3"/>
      <c r="B48" s="141" t="s">
        <v>27</v>
      </c>
      <c r="C48" s="110" t="s">
        <v>313</v>
      </c>
      <c r="D48" s="110" t="s">
        <v>933</v>
      </c>
      <c r="E48" s="110" t="s">
        <v>598</v>
      </c>
      <c r="F48" s="117" t="s">
        <v>941</v>
      </c>
      <c r="G48" s="151" t="n">
        <v>3.89</v>
      </c>
      <c r="H48" s="98" t="s">
        <v>265</v>
      </c>
      <c r="I48" s="146" t="n">
        <v>1</v>
      </c>
      <c r="J48" s="98"/>
      <c r="K48" s="151" t="n">
        <v>3.27</v>
      </c>
      <c r="L48" s="98" t="s">
        <v>629</v>
      </c>
      <c r="M48" s="110" t="s">
        <v>934</v>
      </c>
      <c r="N48" s="110" t="s">
        <v>586</v>
      </c>
      <c r="O48" s="3"/>
      <c r="P48" s="3"/>
      <c r="Q48" s="3"/>
      <c r="R48" s="3"/>
      <c r="S48" s="3"/>
      <c r="T48" s="3"/>
      <c r="U48" s="3"/>
      <c r="V48" s="3"/>
      <c r="W48" s="3"/>
      <c r="X48" s="3"/>
      <c r="Y48" s="3"/>
      <c r="Z48" s="3"/>
      <c r="AA48" s="3"/>
      <c r="AB48" s="3"/>
      <c r="AC48" s="3"/>
    </row>
    <row r="49" customFormat="false" ht="36" hidden="false" customHeight="true" outlineLevel="0" collapsed="false">
      <c r="A49" s="3"/>
      <c r="B49" s="139" t="s">
        <v>27</v>
      </c>
      <c r="C49" s="109" t="s">
        <v>321</v>
      </c>
      <c r="D49" s="109" t="s">
        <v>936</v>
      </c>
      <c r="E49" s="109" t="s">
        <v>589</v>
      </c>
      <c r="F49" s="113" t="s">
        <v>942</v>
      </c>
      <c r="G49" s="150" t="n">
        <v>4.44</v>
      </c>
      <c r="H49" s="91" t="s">
        <v>590</v>
      </c>
      <c r="I49" s="144" t="n">
        <v>1</v>
      </c>
      <c r="J49" s="91"/>
      <c r="K49" s="150" t="n">
        <v>4.44</v>
      </c>
      <c r="L49" s="91" t="s">
        <v>629</v>
      </c>
      <c r="M49" s="109" t="s">
        <v>937</v>
      </c>
      <c r="N49" s="109" t="s">
        <v>586</v>
      </c>
      <c r="O49" s="3"/>
      <c r="P49" s="3"/>
      <c r="Q49" s="3"/>
      <c r="R49" s="3"/>
      <c r="S49" s="3"/>
      <c r="T49" s="3"/>
      <c r="U49" s="3"/>
      <c r="V49" s="3"/>
      <c r="W49" s="3"/>
      <c r="X49" s="3"/>
      <c r="Y49" s="3"/>
      <c r="Z49" s="3"/>
      <c r="AA49" s="3"/>
      <c r="AB49" s="3"/>
      <c r="AC49" s="3"/>
    </row>
    <row r="50" customFormat="false" ht="36" hidden="false" customHeight="true" outlineLevel="0" collapsed="false">
      <c r="A50" s="3"/>
      <c r="B50" s="141" t="s">
        <v>27</v>
      </c>
      <c r="C50" s="110" t="s">
        <v>329</v>
      </c>
      <c r="D50" s="110" t="s">
        <v>943</v>
      </c>
      <c r="E50" s="110" t="s">
        <v>598</v>
      </c>
      <c r="F50" s="117" t="s">
        <v>945</v>
      </c>
      <c r="G50" s="151" t="n">
        <v>2.29</v>
      </c>
      <c r="H50" s="98" t="s">
        <v>590</v>
      </c>
      <c r="I50" s="146" t="n">
        <v>1</v>
      </c>
      <c r="J50" s="98"/>
      <c r="K50" s="151" t="n">
        <v>2.29</v>
      </c>
      <c r="L50" s="98" t="s">
        <v>629</v>
      </c>
      <c r="M50" s="110" t="s">
        <v>944</v>
      </c>
      <c r="N50" s="110" t="s">
        <v>586</v>
      </c>
      <c r="O50" s="3"/>
      <c r="P50" s="3"/>
      <c r="Q50" s="3"/>
      <c r="R50" s="3"/>
      <c r="S50" s="3"/>
      <c r="T50" s="3"/>
      <c r="U50" s="3"/>
      <c r="V50" s="3"/>
      <c r="W50" s="3"/>
      <c r="X50" s="3"/>
      <c r="Y50" s="3"/>
      <c r="Z50" s="3"/>
      <c r="AA50" s="3"/>
      <c r="AB50" s="3"/>
      <c r="AC50" s="3"/>
    </row>
    <row r="51" customFormat="false" ht="36" hidden="false" customHeight="true" outlineLevel="0" collapsed="false">
      <c r="A51" s="3"/>
      <c r="B51" s="139" t="s">
        <v>6466</v>
      </c>
      <c r="C51" s="109" t="s">
        <v>296</v>
      </c>
      <c r="D51" s="109" t="s">
        <v>965</v>
      </c>
      <c r="E51" s="109"/>
      <c r="F51" s="113" t="s">
        <v>983</v>
      </c>
      <c r="G51" s="150" t="n">
        <v>36.1</v>
      </c>
      <c r="H51" s="91" t="s">
        <v>590</v>
      </c>
      <c r="I51" s="144" t="n">
        <v>1</v>
      </c>
      <c r="J51" s="91"/>
      <c r="K51" s="150" t="n">
        <v>36.1</v>
      </c>
      <c r="L51" s="91" t="s">
        <v>702</v>
      </c>
      <c r="M51" s="109" t="s">
        <v>966</v>
      </c>
      <c r="N51" s="109" t="s">
        <v>586</v>
      </c>
      <c r="O51" s="3"/>
      <c r="P51" s="3"/>
      <c r="Q51" s="3"/>
      <c r="R51" s="3"/>
      <c r="S51" s="3"/>
      <c r="T51" s="3"/>
      <c r="U51" s="3"/>
      <c r="V51" s="3"/>
      <c r="W51" s="3"/>
      <c r="X51" s="3"/>
      <c r="Y51" s="3"/>
      <c r="Z51" s="3"/>
      <c r="AA51" s="3"/>
      <c r="AB51" s="3"/>
      <c r="AC51" s="3"/>
    </row>
    <row r="52" customFormat="false" ht="36" hidden="false" customHeight="true" outlineLevel="0" collapsed="false">
      <c r="A52" s="3"/>
      <c r="B52" s="141" t="s">
        <v>6466</v>
      </c>
      <c r="C52" s="110" t="s">
        <v>317</v>
      </c>
      <c r="D52" s="110" t="s">
        <v>984</v>
      </c>
      <c r="E52" s="110" t="s">
        <v>610</v>
      </c>
      <c r="F52" s="117" t="s">
        <v>986</v>
      </c>
      <c r="G52" s="151" t="n">
        <v>24.99</v>
      </c>
      <c r="H52" s="98" t="s">
        <v>590</v>
      </c>
      <c r="I52" s="146" t="n">
        <v>1</v>
      </c>
      <c r="J52" s="98"/>
      <c r="K52" s="151" t="n">
        <v>24.99</v>
      </c>
      <c r="L52" s="98" t="s">
        <v>530</v>
      </c>
      <c r="M52" s="110" t="s">
        <v>985</v>
      </c>
      <c r="N52" s="110" t="s">
        <v>586</v>
      </c>
      <c r="O52" s="3"/>
      <c r="P52" s="3"/>
      <c r="Q52" s="3"/>
      <c r="R52" s="3"/>
      <c r="S52" s="3"/>
      <c r="T52" s="3"/>
      <c r="U52" s="3"/>
      <c r="V52" s="3"/>
      <c r="W52" s="3"/>
      <c r="X52" s="3"/>
      <c r="Y52" s="3"/>
      <c r="Z52" s="3"/>
      <c r="AA52" s="3"/>
      <c r="AB52" s="3"/>
      <c r="AC52" s="3"/>
    </row>
    <row r="53" customFormat="false" ht="36" hidden="false" customHeight="true" outlineLevel="0" collapsed="false">
      <c r="A53" s="3"/>
      <c r="B53" s="139" t="s">
        <v>6466</v>
      </c>
      <c r="C53" s="109" t="s">
        <v>311</v>
      </c>
      <c r="D53" s="109" t="s">
        <v>968</v>
      </c>
      <c r="E53" s="109" t="s">
        <v>388</v>
      </c>
      <c r="F53" s="113" t="s">
        <v>987</v>
      </c>
      <c r="G53" s="150" t="n">
        <v>18.09</v>
      </c>
      <c r="H53" s="91" t="s">
        <v>590</v>
      </c>
      <c r="I53" s="144" t="n">
        <v>1</v>
      </c>
      <c r="J53" s="91"/>
      <c r="K53" s="150" t="n">
        <v>18.09</v>
      </c>
      <c r="L53" s="91" t="s">
        <v>530</v>
      </c>
      <c r="M53" s="109" t="s">
        <v>969</v>
      </c>
      <c r="N53" s="109" t="s">
        <v>586</v>
      </c>
      <c r="O53" s="3"/>
      <c r="P53" s="3"/>
      <c r="Q53" s="3"/>
      <c r="R53" s="3"/>
      <c r="S53" s="3"/>
      <c r="T53" s="3"/>
      <c r="U53" s="3"/>
      <c r="V53" s="3"/>
      <c r="W53" s="3"/>
      <c r="X53" s="3"/>
      <c r="Y53" s="3"/>
      <c r="Z53" s="3"/>
      <c r="AA53" s="3"/>
      <c r="AB53" s="3"/>
      <c r="AC53" s="3"/>
    </row>
    <row r="54" customFormat="false" ht="36" hidden="false" customHeight="true" outlineLevel="0" collapsed="false">
      <c r="A54" s="3"/>
      <c r="B54" s="141" t="s">
        <v>6466</v>
      </c>
      <c r="C54" s="110" t="s">
        <v>309</v>
      </c>
      <c r="D54" s="110" t="s">
        <v>971</v>
      </c>
      <c r="E54" s="110" t="s">
        <v>388</v>
      </c>
      <c r="F54" s="117" t="s">
        <v>973</v>
      </c>
      <c r="G54" s="151" t="n">
        <v>19.76</v>
      </c>
      <c r="H54" s="98" t="s">
        <v>590</v>
      </c>
      <c r="I54" s="146" t="n">
        <v>1</v>
      </c>
      <c r="J54" s="98"/>
      <c r="K54" s="151" t="n">
        <v>19.76</v>
      </c>
      <c r="L54" s="98" t="s">
        <v>530</v>
      </c>
      <c r="M54" s="110" t="s">
        <v>972</v>
      </c>
      <c r="N54" s="110" t="s">
        <v>586</v>
      </c>
      <c r="O54" s="3"/>
      <c r="P54" s="3"/>
      <c r="Q54" s="3"/>
      <c r="R54" s="3"/>
      <c r="S54" s="3"/>
      <c r="T54" s="3"/>
      <c r="U54" s="3"/>
      <c r="V54" s="3"/>
      <c r="W54" s="3"/>
      <c r="X54" s="3"/>
      <c r="Y54" s="3"/>
      <c r="Z54" s="3"/>
      <c r="AA54" s="3"/>
      <c r="AB54" s="3"/>
      <c r="AC54" s="3"/>
    </row>
    <row r="55" customFormat="false" ht="36" hidden="false" customHeight="true" outlineLevel="0" collapsed="false">
      <c r="A55" s="3"/>
      <c r="B55" s="139" t="s">
        <v>6466</v>
      </c>
      <c r="C55" s="109" t="s">
        <v>313</v>
      </c>
      <c r="D55" s="109" t="s">
        <v>974</v>
      </c>
      <c r="E55" s="109" t="s">
        <v>565</v>
      </c>
      <c r="F55" s="113" t="s">
        <v>989</v>
      </c>
      <c r="G55" s="150" t="n">
        <v>35.9</v>
      </c>
      <c r="H55" s="91" t="s">
        <v>265</v>
      </c>
      <c r="I55" s="144" t="n">
        <v>1</v>
      </c>
      <c r="J55" s="91"/>
      <c r="K55" s="150" t="n">
        <v>30.17</v>
      </c>
      <c r="L55" s="91" t="s">
        <v>702</v>
      </c>
      <c r="M55" s="109" t="s">
        <v>988</v>
      </c>
      <c r="N55" s="109" t="s">
        <v>586</v>
      </c>
      <c r="O55" s="3"/>
      <c r="P55" s="3"/>
      <c r="Q55" s="3"/>
      <c r="R55" s="3"/>
      <c r="S55" s="3"/>
      <c r="T55" s="3"/>
      <c r="U55" s="3"/>
      <c r="V55" s="3"/>
      <c r="W55" s="3"/>
      <c r="X55" s="3"/>
      <c r="Y55" s="3"/>
      <c r="Z55" s="3"/>
      <c r="AA55" s="3"/>
      <c r="AB55" s="3"/>
      <c r="AC55" s="3"/>
    </row>
    <row r="56" customFormat="false" ht="36" hidden="false" customHeight="true" outlineLevel="0" collapsed="false">
      <c r="A56" s="3"/>
      <c r="B56" s="141" t="s">
        <v>6466</v>
      </c>
      <c r="C56" s="110" t="s">
        <v>321</v>
      </c>
      <c r="D56" s="110" t="s">
        <v>977</v>
      </c>
      <c r="E56" s="110" t="s">
        <v>589</v>
      </c>
      <c r="F56" s="117" t="s">
        <v>991</v>
      </c>
      <c r="G56" s="151" t="n">
        <v>93.66</v>
      </c>
      <c r="H56" s="98" t="s">
        <v>590</v>
      </c>
      <c r="I56" s="146" t="n">
        <v>1</v>
      </c>
      <c r="J56" s="98"/>
      <c r="K56" s="151" t="n">
        <v>93.66</v>
      </c>
      <c r="L56" s="98" t="s">
        <v>702</v>
      </c>
      <c r="M56" s="110" t="s">
        <v>990</v>
      </c>
      <c r="N56" s="110" t="s">
        <v>586</v>
      </c>
      <c r="O56" s="3"/>
      <c r="P56" s="3"/>
      <c r="Q56" s="3"/>
      <c r="R56" s="3"/>
      <c r="S56" s="3"/>
      <c r="T56" s="3"/>
      <c r="U56" s="3"/>
      <c r="V56" s="3"/>
      <c r="W56" s="3"/>
      <c r="X56" s="3"/>
      <c r="Y56" s="3"/>
      <c r="Z56" s="3"/>
      <c r="AA56" s="3"/>
      <c r="AB56" s="3"/>
      <c r="AC56" s="3"/>
    </row>
    <row r="57" customFormat="false" ht="36" hidden="false" customHeight="true" outlineLevel="0" collapsed="false">
      <c r="A57" s="3"/>
      <c r="B57" s="139" t="s">
        <v>6466</v>
      </c>
      <c r="C57" s="109" t="s">
        <v>329</v>
      </c>
      <c r="D57" s="109" t="s">
        <v>992</v>
      </c>
      <c r="E57" s="109" t="s">
        <v>565</v>
      </c>
      <c r="F57" s="113" t="s">
        <v>994</v>
      </c>
      <c r="G57" s="150" t="n">
        <v>27.49</v>
      </c>
      <c r="H57" s="91" t="s">
        <v>590</v>
      </c>
      <c r="I57" s="144" t="n">
        <v>1</v>
      </c>
      <c r="J57" s="91"/>
      <c r="K57" s="150" t="n">
        <v>27.49</v>
      </c>
      <c r="L57" s="91" t="s">
        <v>702</v>
      </c>
      <c r="M57" s="109" t="s">
        <v>993</v>
      </c>
      <c r="N57" s="109" t="s">
        <v>586</v>
      </c>
      <c r="O57" s="3"/>
      <c r="P57" s="3"/>
      <c r="Q57" s="3"/>
      <c r="R57" s="3"/>
      <c r="S57" s="3"/>
      <c r="T57" s="3"/>
      <c r="U57" s="3"/>
      <c r="V57" s="3"/>
      <c r="W57" s="3"/>
      <c r="X57" s="3"/>
      <c r="Y57" s="3"/>
      <c r="Z57" s="3"/>
      <c r="AA57" s="3"/>
      <c r="AB57" s="3"/>
      <c r="AC57" s="3"/>
    </row>
    <row r="58" customFormat="false" ht="36" hidden="false" customHeight="true" outlineLevel="0" collapsed="false">
      <c r="A58" s="3"/>
      <c r="B58" s="141" t="s">
        <v>6467</v>
      </c>
      <c r="C58" s="110" t="s">
        <v>296</v>
      </c>
      <c r="D58" s="110" t="s">
        <v>1027</v>
      </c>
      <c r="E58" s="110" t="s">
        <v>1030</v>
      </c>
      <c r="F58" s="117" t="s">
        <v>1049</v>
      </c>
      <c r="G58" s="151" t="n">
        <v>26.95</v>
      </c>
      <c r="H58" s="98" t="s">
        <v>590</v>
      </c>
      <c r="I58" s="146" t="n">
        <v>1</v>
      </c>
      <c r="J58" s="98"/>
      <c r="K58" s="151" t="n">
        <v>26.95</v>
      </c>
      <c r="L58" s="98" t="s">
        <v>530</v>
      </c>
      <c r="M58" s="110" t="s">
        <v>1028</v>
      </c>
      <c r="N58" s="110" t="s">
        <v>586</v>
      </c>
      <c r="O58" s="3"/>
      <c r="P58" s="3"/>
      <c r="Q58" s="3"/>
      <c r="R58" s="3"/>
      <c r="S58" s="3"/>
      <c r="T58" s="3"/>
      <c r="U58" s="3"/>
      <c r="V58" s="3"/>
      <c r="W58" s="3"/>
      <c r="X58" s="3"/>
      <c r="Y58" s="3"/>
      <c r="Z58" s="3"/>
      <c r="AA58" s="3"/>
      <c r="AB58" s="3"/>
      <c r="AC58" s="3"/>
    </row>
    <row r="59" customFormat="false" ht="36" hidden="false" customHeight="true" outlineLevel="0" collapsed="false">
      <c r="A59" s="3"/>
      <c r="B59" s="139" t="s">
        <v>6467</v>
      </c>
      <c r="C59" s="109" t="s">
        <v>317</v>
      </c>
      <c r="D59" s="109" t="s">
        <v>1050</v>
      </c>
      <c r="E59" s="109" t="s">
        <v>610</v>
      </c>
      <c r="F59" s="113" t="s">
        <v>1052</v>
      </c>
      <c r="G59" s="150" t="n">
        <v>23.49</v>
      </c>
      <c r="H59" s="91" t="s">
        <v>590</v>
      </c>
      <c r="I59" s="144" t="n">
        <v>1</v>
      </c>
      <c r="J59" s="91"/>
      <c r="K59" s="150" t="n">
        <v>23.49</v>
      </c>
      <c r="L59" s="91" t="s">
        <v>530</v>
      </c>
      <c r="M59" s="109" t="s">
        <v>1051</v>
      </c>
      <c r="N59" s="109" t="s">
        <v>586</v>
      </c>
      <c r="O59" s="3"/>
      <c r="P59" s="3"/>
      <c r="Q59" s="3"/>
      <c r="R59" s="3"/>
      <c r="S59" s="3"/>
      <c r="T59" s="3"/>
      <c r="U59" s="3"/>
      <c r="V59" s="3"/>
      <c r="W59" s="3"/>
      <c r="X59" s="3"/>
      <c r="Y59" s="3"/>
      <c r="Z59" s="3"/>
      <c r="AA59" s="3"/>
      <c r="AB59" s="3"/>
      <c r="AC59" s="3"/>
    </row>
    <row r="60" customFormat="false" ht="36" hidden="false" customHeight="true" outlineLevel="0" collapsed="false">
      <c r="A60" s="3"/>
      <c r="B60" s="141" t="s">
        <v>6467</v>
      </c>
      <c r="C60" s="110" t="s">
        <v>311</v>
      </c>
      <c r="D60" s="110" t="s">
        <v>1031</v>
      </c>
      <c r="E60" s="110" t="s">
        <v>388</v>
      </c>
      <c r="F60" s="117" t="s">
        <v>1054</v>
      </c>
      <c r="G60" s="151" t="n">
        <v>17.29</v>
      </c>
      <c r="H60" s="98" t="s">
        <v>590</v>
      </c>
      <c r="I60" s="146" t="n">
        <v>1</v>
      </c>
      <c r="J60" s="98"/>
      <c r="K60" s="151" t="n">
        <v>17.29</v>
      </c>
      <c r="L60" s="98" t="s">
        <v>702</v>
      </c>
      <c r="M60" s="110" t="s">
        <v>1053</v>
      </c>
      <c r="N60" s="110" t="s">
        <v>586</v>
      </c>
      <c r="O60" s="3"/>
      <c r="P60" s="3"/>
      <c r="Q60" s="3"/>
      <c r="R60" s="3"/>
      <c r="S60" s="3"/>
      <c r="T60" s="3"/>
      <c r="U60" s="3"/>
      <c r="V60" s="3"/>
      <c r="W60" s="3"/>
      <c r="X60" s="3"/>
      <c r="Y60" s="3"/>
      <c r="Z60" s="3"/>
      <c r="AA60" s="3"/>
      <c r="AB60" s="3"/>
      <c r="AC60" s="3"/>
    </row>
    <row r="61" customFormat="false" ht="36" hidden="false" customHeight="true" outlineLevel="0" collapsed="false">
      <c r="A61" s="3"/>
      <c r="B61" s="139" t="s">
        <v>6467</v>
      </c>
      <c r="C61" s="109" t="s">
        <v>309</v>
      </c>
      <c r="D61" s="109" t="s">
        <v>1034</v>
      </c>
      <c r="E61" s="109" t="s">
        <v>388</v>
      </c>
      <c r="F61" s="113" t="s">
        <v>1036</v>
      </c>
      <c r="G61" s="150" t="n">
        <v>20.95</v>
      </c>
      <c r="H61" s="91" t="s">
        <v>590</v>
      </c>
      <c r="I61" s="144" t="n">
        <v>1</v>
      </c>
      <c r="J61" s="91"/>
      <c r="K61" s="150" t="n">
        <v>20.95</v>
      </c>
      <c r="L61" s="91" t="s">
        <v>702</v>
      </c>
      <c r="M61" s="109" t="s">
        <v>1035</v>
      </c>
      <c r="N61" s="109" t="s">
        <v>586</v>
      </c>
      <c r="O61" s="3"/>
      <c r="P61" s="3"/>
      <c r="Q61" s="3"/>
      <c r="R61" s="3"/>
      <c r="S61" s="3"/>
      <c r="T61" s="3"/>
      <c r="U61" s="3"/>
      <c r="V61" s="3"/>
      <c r="W61" s="3"/>
      <c r="X61" s="3"/>
      <c r="Y61" s="3"/>
      <c r="Z61" s="3"/>
      <c r="AA61" s="3"/>
      <c r="AB61" s="3"/>
      <c r="AC61" s="3"/>
    </row>
    <row r="62" customFormat="false" ht="36" hidden="false" customHeight="true" outlineLevel="0" collapsed="false">
      <c r="A62" s="3"/>
      <c r="B62" s="141" t="s">
        <v>6467</v>
      </c>
      <c r="C62" s="110" t="s">
        <v>313</v>
      </c>
      <c r="D62" s="110" t="s">
        <v>1037</v>
      </c>
      <c r="E62" s="110" t="s">
        <v>1030</v>
      </c>
      <c r="F62" s="117" t="s">
        <v>1055</v>
      </c>
      <c r="G62" s="151" t="n">
        <v>29.29</v>
      </c>
      <c r="H62" s="98" t="s">
        <v>265</v>
      </c>
      <c r="I62" s="146" t="n">
        <v>1</v>
      </c>
      <c r="J62" s="98"/>
      <c r="K62" s="151" t="n">
        <v>24.61</v>
      </c>
      <c r="L62" s="98" t="s">
        <v>530</v>
      </c>
      <c r="M62" s="110" t="s">
        <v>1038</v>
      </c>
      <c r="N62" s="110" t="s">
        <v>586</v>
      </c>
      <c r="O62" s="3"/>
      <c r="P62" s="3"/>
      <c r="Q62" s="3"/>
      <c r="R62" s="3"/>
      <c r="S62" s="3"/>
      <c r="T62" s="3"/>
      <c r="U62" s="3"/>
      <c r="V62" s="3"/>
      <c r="W62" s="3"/>
      <c r="X62" s="3"/>
      <c r="Y62" s="3"/>
      <c r="Z62" s="3"/>
      <c r="AA62" s="3"/>
      <c r="AB62" s="3"/>
      <c r="AC62" s="3"/>
    </row>
    <row r="63" customFormat="false" ht="36" hidden="false" customHeight="true" outlineLevel="0" collapsed="false">
      <c r="A63" s="3"/>
      <c r="B63" s="139" t="s">
        <v>6467</v>
      </c>
      <c r="C63" s="109" t="s">
        <v>321</v>
      </c>
      <c r="D63" s="109" t="s">
        <v>1040</v>
      </c>
      <c r="E63" s="109" t="s">
        <v>603</v>
      </c>
      <c r="F63" s="113" t="s">
        <v>1057</v>
      </c>
      <c r="G63" s="150" t="n">
        <v>22.09</v>
      </c>
      <c r="H63" s="91" t="s">
        <v>590</v>
      </c>
      <c r="I63" s="144" t="n">
        <v>1</v>
      </c>
      <c r="J63" s="91"/>
      <c r="K63" s="150" t="n">
        <v>22.09</v>
      </c>
      <c r="L63" s="91" t="s">
        <v>530</v>
      </c>
      <c r="M63" s="109" t="s">
        <v>1056</v>
      </c>
      <c r="N63" s="109" t="s">
        <v>586</v>
      </c>
      <c r="O63" s="3"/>
      <c r="P63" s="3"/>
      <c r="Q63" s="3"/>
      <c r="R63" s="3"/>
      <c r="S63" s="3"/>
      <c r="T63" s="3"/>
      <c r="U63" s="3"/>
      <c r="V63" s="3"/>
      <c r="W63" s="3"/>
      <c r="X63" s="3"/>
      <c r="Y63" s="3"/>
      <c r="Z63" s="3"/>
      <c r="AA63" s="3"/>
      <c r="AB63" s="3"/>
      <c r="AC63" s="3"/>
    </row>
    <row r="64" customFormat="false" ht="33" hidden="false" customHeight="true" outlineLevel="0" collapsed="false">
      <c r="A64" s="3"/>
      <c r="B64" s="141" t="s">
        <v>6467</v>
      </c>
      <c r="C64" s="110" t="s">
        <v>329</v>
      </c>
      <c r="D64" s="110" t="s">
        <v>1058</v>
      </c>
      <c r="E64" s="110" t="s">
        <v>1061</v>
      </c>
      <c r="F64" s="117" t="s">
        <v>1060</v>
      </c>
      <c r="G64" s="151" t="n">
        <v>31.04</v>
      </c>
      <c r="H64" s="98" t="s">
        <v>590</v>
      </c>
      <c r="I64" s="146" t="n">
        <v>1</v>
      </c>
      <c r="J64" s="98"/>
      <c r="K64" s="151" t="n">
        <v>31.04</v>
      </c>
      <c r="L64" s="98" t="s">
        <v>702</v>
      </c>
      <c r="M64" s="110" t="s">
        <v>1059</v>
      </c>
      <c r="N64" s="110" t="s">
        <v>586</v>
      </c>
      <c r="O64" s="3"/>
      <c r="P64" s="3"/>
      <c r="Q64" s="3"/>
      <c r="R64" s="3"/>
      <c r="S64" s="3"/>
      <c r="T64" s="3"/>
      <c r="U64" s="3"/>
      <c r="V64" s="3"/>
      <c r="W64" s="3"/>
      <c r="X64" s="3"/>
      <c r="Y64" s="3"/>
      <c r="Z64" s="3"/>
      <c r="AA64" s="3"/>
      <c r="AB64" s="3"/>
      <c r="AC64" s="3"/>
    </row>
    <row r="65" customFormat="false" ht="36" hidden="false" customHeight="true" outlineLevel="0" collapsed="false">
      <c r="A65" s="3"/>
      <c r="B65" s="139" t="s">
        <v>6469</v>
      </c>
      <c r="C65" s="109" t="s">
        <v>296</v>
      </c>
      <c r="D65" s="109" t="s">
        <v>1098</v>
      </c>
      <c r="E65" s="109"/>
      <c r="F65" s="113" t="s">
        <v>1117</v>
      </c>
      <c r="G65" s="150" t="n">
        <v>49.39</v>
      </c>
      <c r="H65" s="91" t="s">
        <v>590</v>
      </c>
      <c r="I65" s="144" t="n">
        <v>1</v>
      </c>
      <c r="J65" s="91"/>
      <c r="K65" s="150" t="n">
        <v>49.39</v>
      </c>
      <c r="L65" s="91" t="s">
        <v>702</v>
      </c>
      <c r="M65" s="109" t="s">
        <v>1099</v>
      </c>
      <c r="N65" s="109" t="s">
        <v>586</v>
      </c>
      <c r="O65" s="3"/>
      <c r="P65" s="3"/>
      <c r="Q65" s="3"/>
      <c r="R65" s="3"/>
      <c r="S65" s="3"/>
      <c r="T65" s="3"/>
      <c r="U65" s="3"/>
      <c r="V65" s="3"/>
      <c r="W65" s="3"/>
      <c r="X65" s="3"/>
      <c r="Y65" s="3"/>
      <c r="Z65" s="3"/>
      <c r="AA65" s="3"/>
      <c r="AB65" s="3"/>
      <c r="AC65" s="3"/>
    </row>
    <row r="66" customFormat="false" ht="36" hidden="false" customHeight="true" outlineLevel="0" collapsed="false">
      <c r="A66" s="3"/>
      <c r="B66" s="141" t="s">
        <v>6469</v>
      </c>
      <c r="C66" s="110" t="s">
        <v>317</v>
      </c>
      <c r="D66" s="110" t="s">
        <v>1118</v>
      </c>
      <c r="E66" s="110" t="s">
        <v>610</v>
      </c>
      <c r="F66" s="117" t="s">
        <v>1120</v>
      </c>
      <c r="G66" s="151" t="n">
        <v>28.49</v>
      </c>
      <c r="H66" s="98" t="s">
        <v>590</v>
      </c>
      <c r="I66" s="146" t="n">
        <v>1</v>
      </c>
      <c r="J66" s="98"/>
      <c r="K66" s="151" t="n">
        <v>28.49</v>
      </c>
      <c r="L66" s="98" t="s">
        <v>530</v>
      </c>
      <c r="M66" s="110" t="s">
        <v>1119</v>
      </c>
      <c r="N66" s="110" t="s">
        <v>586</v>
      </c>
      <c r="O66" s="3"/>
      <c r="P66" s="3"/>
      <c r="Q66" s="3"/>
      <c r="R66" s="3"/>
      <c r="S66" s="3"/>
      <c r="T66" s="3"/>
      <c r="U66" s="3"/>
      <c r="V66" s="3"/>
      <c r="W66" s="3"/>
      <c r="X66" s="3"/>
      <c r="Y66" s="3"/>
      <c r="Z66" s="3"/>
      <c r="AA66" s="3"/>
      <c r="AB66" s="3"/>
      <c r="AC66" s="3"/>
    </row>
    <row r="67" customFormat="false" ht="36" hidden="false" customHeight="true" outlineLevel="0" collapsed="false">
      <c r="A67" s="3"/>
      <c r="B67" s="139" t="s">
        <v>6469</v>
      </c>
      <c r="C67" s="109" t="s">
        <v>311</v>
      </c>
      <c r="D67" s="109" t="s">
        <v>1101</v>
      </c>
      <c r="E67" s="109" t="s">
        <v>1104</v>
      </c>
      <c r="F67" s="113" t="s">
        <v>1122</v>
      </c>
      <c r="G67" s="150" t="n">
        <v>45.9</v>
      </c>
      <c r="H67" s="91" t="s">
        <v>590</v>
      </c>
      <c r="I67" s="144" t="n">
        <v>1</v>
      </c>
      <c r="J67" s="91"/>
      <c r="K67" s="150" t="n">
        <v>45.9</v>
      </c>
      <c r="L67" s="91" t="s">
        <v>702</v>
      </c>
      <c r="M67" s="109" t="s">
        <v>1121</v>
      </c>
      <c r="N67" s="109" t="s">
        <v>586</v>
      </c>
      <c r="O67" s="3"/>
      <c r="P67" s="3"/>
      <c r="Q67" s="3"/>
      <c r="R67" s="3"/>
      <c r="S67" s="3"/>
      <c r="T67" s="3"/>
      <c r="U67" s="3"/>
      <c r="V67" s="3"/>
      <c r="W67" s="3"/>
      <c r="X67" s="3"/>
      <c r="Y67" s="3"/>
      <c r="Z67" s="3"/>
      <c r="AA67" s="3"/>
      <c r="AB67" s="3"/>
      <c r="AC67" s="3"/>
    </row>
    <row r="68" customFormat="false" ht="36" hidden="false" customHeight="true" outlineLevel="0" collapsed="false">
      <c r="A68" s="3"/>
      <c r="B68" s="141" t="s">
        <v>6469</v>
      </c>
      <c r="C68" s="110" t="s">
        <v>309</v>
      </c>
      <c r="D68" s="110" t="s">
        <v>1105</v>
      </c>
      <c r="E68" s="110" t="s">
        <v>388</v>
      </c>
      <c r="F68" s="117" t="s">
        <v>1107</v>
      </c>
      <c r="G68" s="151" t="n">
        <v>33.5</v>
      </c>
      <c r="H68" s="98" t="s">
        <v>590</v>
      </c>
      <c r="I68" s="146" t="n">
        <v>1</v>
      </c>
      <c r="J68" s="98"/>
      <c r="K68" s="151" t="n">
        <v>33.5</v>
      </c>
      <c r="L68" s="98" t="s">
        <v>702</v>
      </c>
      <c r="M68" s="110" t="s">
        <v>1106</v>
      </c>
      <c r="N68" s="110" t="s">
        <v>586</v>
      </c>
      <c r="O68" s="3"/>
      <c r="P68" s="3"/>
      <c r="Q68" s="3"/>
      <c r="R68" s="3"/>
      <c r="S68" s="3"/>
      <c r="T68" s="3"/>
      <c r="U68" s="3"/>
      <c r="V68" s="3"/>
      <c r="W68" s="3"/>
      <c r="X68" s="3"/>
      <c r="Y68" s="3"/>
      <c r="Z68" s="3"/>
      <c r="AA68" s="3"/>
      <c r="AB68" s="3"/>
      <c r="AC68" s="3"/>
    </row>
    <row r="69" customFormat="false" ht="36" hidden="false" customHeight="true" outlineLevel="0" collapsed="false">
      <c r="A69" s="3"/>
      <c r="B69" s="139" t="s">
        <v>6469</v>
      </c>
      <c r="C69" s="109" t="s">
        <v>313</v>
      </c>
      <c r="D69" s="109" t="s">
        <v>1108</v>
      </c>
      <c r="E69" s="109" t="s">
        <v>1030</v>
      </c>
      <c r="F69" s="113" t="s">
        <v>1123</v>
      </c>
      <c r="G69" s="150" t="n">
        <v>34.9</v>
      </c>
      <c r="H69" s="91" t="s">
        <v>265</v>
      </c>
      <c r="I69" s="144" t="n">
        <v>1</v>
      </c>
      <c r="J69" s="91"/>
      <c r="K69" s="150" t="n">
        <v>29.33</v>
      </c>
      <c r="L69" s="91" t="s">
        <v>702</v>
      </c>
      <c r="M69" s="109" t="s">
        <v>1109</v>
      </c>
      <c r="N69" s="109" t="s">
        <v>586</v>
      </c>
      <c r="O69" s="3"/>
      <c r="P69" s="3"/>
      <c r="Q69" s="3"/>
      <c r="R69" s="3"/>
      <c r="S69" s="3"/>
      <c r="T69" s="3"/>
      <c r="U69" s="3"/>
      <c r="V69" s="3"/>
      <c r="W69" s="3"/>
      <c r="X69" s="3"/>
      <c r="Y69" s="3"/>
      <c r="Z69" s="3"/>
      <c r="AA69" s="3"/>
      <c r="AB69" s="3"/>
      <c r="AC69" s="3"/>
    </row>
    <row r="70" customFormat="false" ht="36" hidden="false" customHeight="true" outlineLevel="0" collapsed="false">
      <c r="A70" s="3"/>
      <c r="B70" s="141" t="s">
        <v>6469</v>
      </c>
      <c r="C70" s="110" t="s">
        <v>321</v>
      </c>
      <c r="D70" s="110" t="s">
        <v>1111</v>
      </c>
      <c r="E70" s="110" t="s">
        <v>646</v>
      </c>
      <c r="F70" s="117" t="s">
        <v>1125</v>
      </c>
      <c r="G70" s="151" t="n">
        <v>35.05</v>
      </c>
      <c r="H70" s="98" t="s">
        <v>590</v>
      </c>
      <c r="I70" s="146" t="n">
        <v>1</v>
      </c>
      <c r="J70" s="98"/>
      <c r="K70" s="151" t="n">
        <v>35.05</v>
      </c>
      <c r="L70" s="98" t="s">
        <v>530</v>
      </c>
      <c r="M70" s="110" t="s">
        <v>1124</v>
      </c>
      <c r="N70" s="110" t="s">
        <v>586</v>
      </c>
      <c r="O70" s="3"/>
      <c r="P70" s="3"/>
      <c r="Q70" s="3"/>
      <c r="R70" s="3"/>
      <c r="S70" s="3"/>
      <c r="T70" s="3"/>
      <c r="U70" s="3"/>
      <c r="V70" s="3"/>
      <c r="W70" s="3"/>
      <c r="X70" s="3"/>
      <c r="Y70" s="3"/>
      <c r="Z70" s="3"/>
      <c r="AA70" s="3"/>
      <c r="AB70" s="3"/>
      <c r="AC70" s="3"/>
    </row>
    <row r="71" customFormat="false" ht="33" hidden="false" customHeight="true" outlineLevel="0" collapsed="false">
      <c r="A71" s="3"/>
      <c r="B71" s="139" t="s">
        <v>6469</v>
      </c>
      <c r="C71" s="109" t="s">
        <v>329</v>
      </c>
      <c r="D71" s="109" t="s">
        <v>1126</v>
      </c>
      <c r="E71" s="109" t="s">
        <v>1061</v>
      </c>
      <c r="F71" s="113" t="s">
        <v>1128</v>
      </c>
      <c r="G71" s="150" t="n">
        <v>57.99</v>
      </c>
      <c r="H71" s="91" t="s">
        <v>590</v>
      </c>
      <c r="I71" s="144" t="n">
        <v>1</v>
      </c>
      <c r="J71" s="91"/>
      <c r="K71" s="150" t="n">
        <v>57.99</v>
      </c>
      <c r="L71" s="91" t="s">
        <v>530</v>
      </c>
      <c r="M71" s="109" t="s">
        <v>1127</v>
      </c>
      <c r="N71" s="109" t="s">
        <v>586</v>
      </c>
      <c r="O71" s="3"/>
      <c r="P71" s="3"/>
      <c r="Q71" s="3"/>
      <c r="R71" s="3"/>
      <c r="S71" s="3"/>
      <c r="T71" s="3"/>
      <c r="U71" s="3"/>
      <c r="V71" s="3"/>
      <c r="W71" s="3"/>
      <c r="X71" s="3"/>
      <c r="Y71" s="3"/>
      <c r="Z71" s="3"/>
      <c r="AA71" s="3"/>
      <c r="AB71" s="3"/>
      <c r="AC71" s="3"/>
    </row>
    <row r="72" customFormat="false" ht="36" hidden="false" customHeight="true" outlineLevel="0" collapsed="false">
      <c r="A72" s="3"/>
      <c r="B72" s="141" t="s">
        <v>6470</v>
      </c>
      <c r="C72" s="110" t="s">
        <v>317</v>
      </c>
      <c r="D72" s="110" t="s">
        <v>1174</v>
      </c>
      <c r="E72" s="110" t="s">
        <v>610</v>
      </c>
      <c r="F72" s="117" t="s">
        <v>1176</v>
      </c>
      <c r="G72" s="151" t="n">
        <v>15.99</v>
      </c>
      <c r="H72" s="98" t="s">
        <v>590</v>
      </c>
      <c r="I72" s="146" t="n">
        <v>1</v>
      </c>
      <c r="J72" s="98"/>
      <c r="K72" s="151" t="n">
        <v>15.99</v>
      </c>
      <c r="L72" s="98" t="s">
        <v>629</v>
      </c>
      <c r="M72" s="110" t="s">
        <v>1175</v>
      </c>
      <c r="N72" s="110" t="s">
        <v>586</v>
      </c>
      <c r="O72" s="3"/>
      <c r="P72" s="3"/>
      <c r="Q72" s="3"/>
      <c r="R72" s="3"/>
      <c r="S72" s="3"/>
      <c r="T72" s="3"/>
      <c r="U72" s="3"/>
      <c r="V72" s="3"/>
      <c r="W72" s="3"/>
      <c r="X72" s="3"/>
      <c r="Y72" s="3"/>
      <c r="Z72" s="3"/>
      <c r="AA72" s="3"/>
      <c r="AB72" s="3"/>
      <c r="AC72" s="3"/>
    </row>
    <row r="73" customFormat="false" ht="36" hidden="false" customHeight="true" outlineLevel="0" collapsed="false">
      <c r="A73" s="3"/>
      <c r="B73" s="139" t="s">
        <v>6470</v>
      </c>
      <c r="C73" s="109" t="s">
        <v>311</v>
      </c>
      <c r="D73" s="109" t="s">
        <v>1158</v>
      </c>
      <c r="E73" s="109" t="s">
        <v>388</v>
      </c>
      <c r="F73" s="113" t="s">
        <v>1177</v>
      </c>
      <c r="G73" s="150" t="n">
        <v>8.09</v>
      </c>
      <c r="H73" s="91" t="s">
        <v>590</v>
      </c>
      <c r="I73" s="144" t="n">
        <v>1</v>
      </c>
      <c r="J73" s="91"/>
      <c r="K73" s="150" t="n">
        <v>8.09</v>
      </c>
      <c r="L73" s="91" t="s">
        <v>629</v>
      </c>
      <c r="M73" s="109" t="s">
        <v>1159</v>
      </c>
      <c r="N73" s="109" t="s">
        <v>586</v>
      </c>
      <c r="O73" s="3"/>
      <c r="P73" s="3"/>
      <c r="Q73" s="3"/>
      <c r="R73" s="3"/>
      <c r="S73" s="3"/>
      <c r="T73" s="3"/>
      <c r="U73" s="3"/>
      <c r="V73" s="3"/>
      <c r="W73" s="3"/>
      <c r="X73" s="3"/>
      <c r="Y73" s="3"/>
      <c r="Z73" s="3"/>
      <c r="AA73" s="3"/>
      <c r="AB73" s="3"/>
      <c r="AC73" s="3"/>
    </row>
    <row r="74" customFormat="false" ht="36" hidden="false" customHeight="true" outlineLevel="0" collapsed="false">
      <c r="A74" s="3"/>
      <c r="B74" s="141" t="s">
        <v>6470</v>
      </c>
      <c r="C74" s="110" t="s">
        <v>309</v>
      </c>
      <c r="D74" s="110" t="s">
        <v>1161</v>
      </c>
      <c r="E74" s="110" t="s">
        <v>388</v>
      </c>
      <c r="F74" s="117" t="s">
        <v>1163</v>
      </c>
      <c r="G74" s="151" t="n">
        <v>15.76</v>
      </c>
      <c r="H74" s="98" t="s">
        <v>590</v>
      </c>
      <c r="I74" s="146" t="n">
        <v>1</v>
      </c>
      <c r="J74" s="98"/>
      <c r="K74" s="151" t="n">
        <v>15.76</v>
      </c>
      <c r="L74" s="98" t="s">
        <v>530</v>
      </c>
      <c r="M74" s="110" t="s">
        <v>1162</v>
      </c>
      <c r="N74" s="110" t="s">
        <v>586</v>
      </c>
      <c r="O74" s="3"/>
      <c r="P74" s="3"/>
      <c r="Q74" s="3"/>
      <c r="R74" s="3"/>
      <c r="S74" s="3"/>
      <c r="T74" s="3"/>
      <c r="U74" s="3"/>
      <c r="V74" s="3"/>
      <c r="W74" s="3"/>
      <c r="X74" s="3"/>
      <c r="Y74" s="3"/>
      <c r="Z74" s="3"/>
      <c r="AA74" s="3"/>
      <c r="AB74" s="3"/>
      <c r="AC74" s="3"/>
    </row>
    <row r="75" customFormat="false" ht="36" hidden="false" customHeight="true" outlineLevel="0" collapsed="false">
      <c r="A75" s="3"/>
      <c r="B75" s="139" t="s">
        <v>6470</v>
      </c>
      <c r="C75" s="109" t="s">
        <v>313</v>
      </c>
      <c r="D75" s="109" t="s">
        <v>1164</v>
      </c>
      <c r="E75" s="109" t="s">
        <v>1167</v>
      </c>
      <c r="F75" s="113" t="s">
        <v>1178</v>
      </c>
      <c r="G75" s="150" t="n">
        <v>8.79</v>
      </c>
      <c r="H75" s="91" t="s">
        <v>265</v>
      </c>
      <c r="I75" s="144" t="n">
        <v>1</v>
      </c>
      <c r="J75" s="91"/>
      <c r="K75" s="150" t="n">
        <v>7.39</v>
      </c>
      <c r="L75" s="91" t="s">
        <v>702</v>
      </c>
      <c r="M75" s="109" t="s">
        <v>1165</v>
      </c>
      <c r="N75" s="109" t="s">
        <v>586</v>
      </c>
      <c r="O75" s="3"/>
      <c r="P75" s="3"/>
      <c r="Q75" s="3"/>
      <c r="R75" s="3"/>
      <c r="S75" s="3"/>
      <c r="T75" s="3"/>
      <c r="U75" s="3"/>
      <c r="V75" s="3"/>
      <c r="W75" s="3"/>
      <c r="X75" s="3"/>
      <c r="Y75" s="3"/>
      <c r="Z75" s="3"/>
      <c r="AA75" s="3"/>
      <c r="AB75" s="3"/>
      <c r="AC75" s="3"/>
    </row>
    <row r="76" customFormat="false" ht="36" hidden="false" customHeight="true" outlineLevel="0" collapsed="false">
      <c r="A76" s="3"/>
      <c r="B76" s="141" t="s">
        <v>6470</v>
      </c>
      <c r="C76" s="110" t="s">
        <v>321</v>
      </c>
      <c r="D76" s="110" t="s">
        <v>1168</v>
      </c>
      <c r="E76" s="110" t="s">
        <v>603</v>
      </c>
      <c r="F76" s="117" t="s">
        <v>1180</v>
      </c>
      <c r="G76" s="151" t="n">
        <v>8.74</v>
      </c>
      <c r="H76" s="98" t="s">
        <v>590</v>
      </c>
      <c r="I76" s="146" t="n">
        <v>1</v>
      </c>
      <c r="J76" s="98"/>
      <c r="K76" s="151" t="n">
        <v>8.74</v>
      </c>
      <c r="L76" s="98" t="s">
        <v>702</v>
      </c>
      <c r="M76" s="110" t="s">
        <v>1179</v>
      </c>
      <c r="N76" s="110" t="s">
        <v>586</v>
      </c>
      <c r="O76" s="3"/>
      <c r="P76" s="3"/>
      <c r="Q76" s="3"/>
      <c r="R76" s="3"/>
      <c r="S76" s="3"/>
      <c r="T76" s="3"/>
      <c r="U76" s="3"/>
      <c r="V76" s="3"/>
      <c r="W76" s="3"/>
      <c r="X76" s="3"/>
      <c r="Y76" s="3"/>
      <c r="Z76" s="3"/>
      <c r="AA76" s="3"/>
      <c r="AB76" s="3"/>
      <c r="AC76" s="3"/>
    </row>
    <row r="77" customFormat="false" ht="36" hidden="false" customHeight="true" outlineLevel="0" collapsed="false">
      <c r="A77" s="3"/>
      <c r="B77" s="139" t="s">
        <v>6470</v>
      </c>
      <c r="C77" s="109" t="s">
        <v>329</v>
      </c>
      <c r="D77" s="109" t="s">
        <v>1164</v>
      </c>
      <c r="E77" s="109" t="s">
        <v>1167</v>
      </c>
      <c r="F77" s="113" t="s">
        <v>1182</v>
      </c>
      <c r="G77" s="150" t="n">
        <v>4.89</v>
      </c>
      <c r="H77" s="91" t="s">
        <v>590</v>
      </c>
      <c r="I77" s="144" t="n">
        <v>1</v>
      </c>
      <c r="J77" s="91"/>
      <c r="K77" s="150" t="n">
        <v>4.89</v>
      </c>
      <c r="L77" s="91" t="s">
        <v>702</v>
      </c>
      <c r="M77" s="109" t="s">
        <v>1181</v>
      </c>
      <c r="N77" s="109" t="s">
        <v>586</v>
      </c>
      <c r="O77" s="3"/>
      <c r="P77" s="3"/>
      <c r="Q77" s="3"/>
      <c r="R77" s="3"/>
      <c r="S77" s="3"/>
      <c r="T77" s="3"/>
      <c r="U77" s="3"/>
      <c r="V77" s="3"/>
      <c r="W77" s="3"/>
      <c r="X77" s="3"/>
      <c r="Y77" s="3"/>
      <c r="Z77" s="3"/>
      <c r="AA77" s="3"/>
      <c r="AB77" s="3"/>
      <c r="AC77" s="3"/>
    </row>
    <row r="78" customFormat="false" ht="36" hidden="false" customHeight="true" outlineLevel="0" collapsed="false">
      <c r="A78" s="3"/>
      <c r="B78" s="141" t="s">
        <v>6471</v>
      </c>
      <c r="C78" s="110" t="s">
        <v>296</v>
      </c>
      <c r="D78" s="110" t="s">
        <v>1212</v>
      </c>
      <c r="E78" s="110" t="s">
        <v>1215</v>
      </c>
      <c r="F78" s="117" t="s">
        <v>1236</v>
      </c>
      <c r="G78" s="151" t="n">
        <v>13.95</v>
      </c>
      <c r="H78" s="98" t="s">
        <v>590</v>
      </c>
      <c r="I78" s="146" t="n">
        <v>1</v>
      </c>
      <c r="J78" s="98"/>
      <c r="K78" s="151" t="n">
        <v>13.95</v>
      </c>
      <c r="L78" s="98" t="s">
        <v>702</v>
      </c>
      <c r="M78" s="110" t="s">
        <v>1213</v>
      </c>
      <c r="N78" s="110" t="s">
        <v>586</v>
      </c>
      <c r="O78" s="3"/>
      <c r="P78" s="3"/>
      <c r="Q78" s="3"/>
      <c r="R78" s="3"/>
      <c r="S78" s="3"/>
      <c r="T78" s="3"/>
      <c r="U78" s="3"/>
      <c r="V78" s="3"/>
      <c r="W78" s="3"/>
      <c r="X78" s="3"/>
      <c r="Y78" s="3"/>
      <c r="Z78" s="3"/>
      <c r="AA78" s="3"/>
      <c r="AB78" s="3"/>
      <c r="AC78" s="3"/>
    </row>
    <row r="79" customFormat="false" ht="48.75" hidden="false" customHeight="true" outlineLevel="0" collapsed="false">
      <c r="A79" s="3"/>
      <c r="B79" s="139" t="s">
        <v>6471</v>
      </c>
      <c r="C79" s="109" t="s">
        <v>317</v>
      </c>
      <c r="D79" s="109" t="s">
        <v>1237</v>
      </c>
      <c r="E79" s="109" t="s">
        <v>610</v>
      </c>
      <c r="F79" s="113" t="s">
        <v>1239</v>
      </c>
      <c r="G79" s="150" t="n">
        <v>73.99</v>
      </c>
      <c r="H79" s="91" t="s">
        <v>590</v>
      </c>
      <c r="I79" s="144" t="n">
        <v>8</v>
      </c>
      <c r="J79" s="91" t="s">
        <v>1240</v>
      </c>
      <c r="K79" s="150" t="n">
        <v>9.25</v>
      </c>
      <c r="L79" s="91" t="s">
        <v>702</v>
      </c>
      <c r="M79" s="109" t="s">
        <v>1238</v>
      </c>
      <c r="N79" s="109" t="s">
        <v>586</v>
      </c>
      <c r="O79" s="3"/>
      <c r="P79" s="3"/>
      <c r="Q79" s="3"/>
      <c r="R79" s="3"/>
      <c r="S79" s="3"/>
      <c r="T79" s="3"/>
      <c r="U79" s="3"/>
      <c r="V79" s="3"/>
      <c r="W79" s="3"/>
      <c r="X79" s="3"/>
      <c r="Y79" s="3"/>
      <c r="Z79" s="3"/>
      <c r="AA79" s="3"/>
      <c r="AB79" s="3"/>
      <c r="AC79" s="3"/>
    </row>
    <row r="80" customFormat="false" ht="36" hidden="false" customHeight="true" outlineLevel="0" collapsed="false">
      <c r="A80" s="3"/>
      <c r="B80" s="141" t="s">
        <v>6471</v>
      </c>
      <c r="C80" s="110" t="s">
        <v>311</v>
      </c>
      <c r="D80" s="110" t="s">
        <v>1216</v>
      </c>
      <c r="E80" s="110" t="s">
        <v>388</v>
      </c>
      <c r="F80" s="117" t="s">
        <v>1241</v>
      </c>
      <c r="G80" s="151" t="n">
        <v>11.89</v>
      </c>
      <c r="H80" s="98" t="s">
        <v>590</v>
      </c>
      <c r="I80" s="146" t="n">
        <v>1</v>
      </c>
      <c r="J80" s="98"/>
      <c r="K80" s="151" t="n">
        <v>11.89</v>
      </c>
      <c r="L80" s="98" t="s">
        <v>702</v>
      </c>
      <c r="M80" s="110" t="s">
        <v>1217</v>
      </c>
      <c r="N80" s="110" t="s">
        <v>586</v>
      </c>
      <c r="O80" s="3"/>
      <c r="P80" s="3"/>
      <c r="Q80" s="3"/>
      <c r="R80" s="3"/>
      <c r="S80" s="3"/>
      <c r="T80" s="3"/>
      <c r="U80" s="3"/>
      <c r="V80" s="3"/>
      <c r="W80" s="3"/>
      <c r="X80" s="3"/>
      <c r="Y80" s="3"/>
      <c r="Z80" s="3"/>
      <c r="AA80" s="3"/>
      <c r="AB80" s="3"/>
      <c r="AC80" s="3"/>
    </row>
    <row r="81" customFormat="false" ht="36" hidden="false" customHeight="true" outlineLevel="0" collapsed="false">
      <c r="A81" s="3"/>
      <c r="B81" s="139" t="s">
        <v>6471</v>
      </c>
      <c r="C81" s="109" t="s">
        <v>309</v>
      </c>
      <c r="D81" s="109" t="s">
        <v>1219</v>
      </c>
      <c r="E81" s="109" t="s">
        <v>388</v>
      </c>
      <c r="F81" s="113" t="s">
        <v>1221</v>
      </c>
      <c r="G81" s="150" t="n">
        <v>21.38</v>
      </c>
      <c r="H81" s="91" t="s">
        <v>590</v>
      </c>
      <c r="I81" s="144" t="n">
        <v>1</v>
      </c>
      <c r="J81" s="91"/>
      <c r="K81" s="150" t="n">
        <v>21.38</v>
      </c>
      <c r="L81" s="91" t="s">
        <v>702</v>
      </c>
      <c r="M81" s="109" t="s">
        <v>1220</v>
      </c>
      <c r="N81" s="109" t="s">
        <v>586</v>
      </c>
      <c r="O81" s="3"/>
      <c r="P81" s="3"/>
      <c r="Q81" s="3"/>
      <c r="R81" s="3"/>
      <c r="S81" s="3"/>
      <c r="T81" s="3"/>
      <c r="U81" s="3"/>
      <c r="V81" s="3"/>
      <c r="W81" s="3"/>
      <c r="X81" s="3"/>
      <c r="Y81" s="3"/>
      <c r="Z81" s="3"/>
      <c r="AA81" s="3"/>
      <c r="AB81" s="3"/>
      <c r="AC81" s="3"/>
    </row>
    <row r="82" customFormat="false" ht="36" hidden="false" customHeight="true" outlineLevel="0" collapsed="false">
      <c r="A82" s="3"/>
      <c r="B82" s="141" t="s">
        <v>6471</v>
      </c>
      <c r="C82" s="110" t="s">
        <v>313</v>
      </c>
      <c r="D82" s="110" t="s">
        <v>1222</v>
      </c>
      <c r="E82" s="110" t="s">
        <v>1225</v>
      </c>
      <c r="F82" s="117" t="s">
        <v>1242</v>
      </c>
      <c r="G82" s="151" t="n">
        <v>31.9</v>
      </c>
      <c r="H82" s="98" t="s">
        <v>265</v>
      </c>
      <c r="I82" s="146" t="n">
        <v>1</v>
      </c>
      <c r="J82" s="98"/>
      <c r="K82" s="151" t="n">
        <v>26.81</v>
      </c>
      <c r="L82" s="98" t="s">
        <v>702</v>
      </c>
      <c r="M82" s="110" t="s">
        <v>1223</v>
      </c>
      <c r="N82" s="110" t="s">
        <v>586</v>
      </c>
      <c r="O82" s="3"/>
      <c r="P82" s="3"/>
      <c r="Q82" s="3"/>
      <c r="R82" s="3"/>
      <c r="S82" s="3"/>
      <c r="T82" s="3"/>
      <c r="U82" s="3"/>
      <c r="V82" s="3"/>
      <c r="W82" s="3"/>
      <c r="X82" s="3"/>
      <c r="Y82" s="3"/>
      <c r="Z82" s="3"/>
      <c r="AA82" s="3"/>
      <c r="AB82" s="3"/>
      <c r="AC82" s="3"/>
    </row>
    <row r="83" customFormat="false" ht="36" hidden="false" customHeight="true" outlineLevel="0" collapsed="false">
      <c r="A83" s="3"/>
      <c r="B83" s="139" t="s">
        <v>6471</v>
      </c>
      <c r="C83" s="109" t="s">
        <v>321</v>
      </c>
      <c r="D83" s="109" t="s">
        <v>1226</v>
      </c>
      <c r="E83" s="109" t="s">
        <v>733</v>
      </c>
      <c r="F83" s="113" t="s">
        <v>1244</v>
      </c>
      <c r="G83" s="150" t="n">
        <v>21.18</v>
      </c>
      <c r="H83" s="91" t="s">
        <v>590</v>
      </c>
      <c r="I83" s="144" t="n">
        <v>1</v>
      </c>
      <c r="J83" s="91"/>
      <c r="K83" s="150" t="n">
        <v>21.18</v>
      </c>
      <c r="L83" s="91" t="s">
        <v>702</v>
      </c>
      <c r="M83" s="109" t="s">
        <v>1243</v>
      </c>
      <c r="N83" s="109" t="s">
        <v>586</v>
      </c>
      <c r="O83" s="3"/>
      <c r="P83" s="3"/>
      <c r="Q83" s="3"/>
      <c r="R83" s="3"/>
      <c r="S83" s="3"/>
      <c r="T83" s="3"/>
      <c r="U83" s="3"/>
      <c r="V83" s="3"/>
      <c r="W83" s="3"/>
      <c r="X83" s="3"/>
      <c r="Y83" s="3"/>
      <c r="Z83" s="3"/>
      <c r="AA83" s="3"/>
      <c r="AB83" s="3"/>
      <c r="AC83" s="3"/>
    </row>
    <row r="84" customFormat="false" ht="33" hidden="false" customHeight="true" outlineLevel="0" collapsed="false">
      <c r="A84" s="3"/>
      <c r="B84" s="141" t="s">
        <v>6471</v>
      </c>
      <c r="C84" s="110" t="s">
        <v>329</v>
      </c>
      <c r="D84" s="110" t="s">
        <v>1245</v>
      </c>
      <c r="E84" s="110" t="s">
        <v>1225</v>
      </c>
      <c r="F84" s="117" t="s">
        <v>1246</v>
      </c>
      <c r="G84" s="151" t="n">
        <v>25.99</v>
      </c>
      <c r="H84" s="98" t="s">
        <v>590</v>
      </c>
      <c r="I84" s="146" t="n">
        <v>1</v>
      </c>
      <c r="J84" s="98"/>
      <c r="K84" s="151" t="n">
        <v>25.99</v>
      </c>
      <c r="L84" s="98" t="s">
        <v>702</v>
      </c>
      <c r="M84" s="110" t="s">
        <v>1223</v>
      </c>
      <c r="N84" s="110" t="s">
        <v>586</v>
      </c>
      <c r="O84" s="3"/>
      <c r="P84" s="3"/>
      <c r="Q84" s="3"/>
      <c r="R84" s="3"/>
      <c r="S84" s="3"/>
      <c r="T84" s="3"/>
      <c r="U84" s="3"/>
      <c r="V84" s="3"/>
      <c r="W84" s="3"/>
      <c r="X84" s="3"/>
      <c r="Y84" s="3"/>
      <c r="Z84" s="3"/>
      <c r="AA84" s="3"/>
      <c r="AB84" s="3"/>
      <c r="AC84" s="3"/>
    </row>
    <row r="85" customFormat="false" ht="36" hidden="false" customHeight="true" outlineLevel="0" collapsed="false">
      <c r="A85" s="3"/>
      <c r="B85" s="139" t="s">
        <v>6472</v>
      </c>
      <c r="C85" s="109" t="s">
        <v>311</v>
      </c>
      <c r="D85" s="109" t="s">
        <v>1293</v>
      </c>
      <c r="E85" s="109" t="s">
        <v>662</v>
      </c>
      <c r="F85" s="113" t="s">
        <v>1308</v>
      </c>
      <c r="G85" s="150" t="n">
        <v>8.69</v>
      </c>
      <c r="H85" s="91" t="s">
        <v>590</v>
      </c>
      <c r="I85" s="144" t="n">
        <v>1</v>
      </c>
      <c r="J85" s="91"/>
      <c r="K85" s="150" t="n">
        <v>8.69</v>
      </c>
      <c r="L85" s="91" t="s">
        <v>530</v>
      </c>
      <c r="M85" s="109" t="s">
        <v>1294</v>
      </c>
      <c r="N85" s="109" t="s">
        <v>586</v>
      </c>
      <c r="O85" s="3"/>
      <c r="P85" s="3"/>
      <c r="Q85" s="3"/>
      <c r="R85" s="3"/>
      <c r="S85" s="3"/>
      <c r="T85" s="3"/>
      <c r="U85" s="3"/>
      <c r="V85" s="3"/>
      <c r="W85" s="3"/>
      <c r="X85" s="3"/>
      <c r="Y85" s="3"/>
      <c r="Z85" s="3"/>
      <c r="AA85" s="3"/>
      <c r="AB85" s="3"/>
      <c r="AC85" s="3"/>
    </row>
    <row r="86" customFormat="false" ht="36" hidden="false" customHeight="true" outlineLevel="0" collapsed="false">
      <c r="A86" s="3"/>
      <c r="B86" s="141" t="s">
        <v>6472</v>
      </c>
      <c r="C86" s="110" t="s">
        <v>309</v>
      </c>
      <c r="D86" s="110" t="s">
        <v>1296</v>
      </c>
      <c r="E86" s="110" t="s">
        <v>646</v>
      </c>
      <c r="F86" s="117" t="s">
        <v>1298</v>
      </c>
      <c r="G86" s="151" t="n">
        <v>8</v>
      </c>
      <c r="H86" s="98" t="s">
        <v>590</v>
      </c>
      <c r="I86" s="146" t="n">
        <v>1</v>
      </c>
      <c r="J86" s="98"/>
      <c r="K86" s="151" t="n">
        <v>8</v>
      </c>
      <c r="L86" s="98" t="s">
        <v>530</v>
      </c>
      <c r="M86" s="110" t="s">
        <v>1297</v>
      </c>
      <c r="N86" s="110" t="s">
        <v>586</v>
      </c>
      <c r="O86" s="3"/>
      <c r="P86" s="3"/>
      <c r="Q86" s="3"/>
      <c r="R86" s="3"/>
      <c r="S86" s="3"/>
      <c r="T86" s="3"/>
      <c r="U86" s="3"/>
      <c r="V86" s="3"/>
      <c r="W86" s="3"/>
      <c r="X86" s="3"/>
      <c r="Y86" s="3"/>
      <c r="Z86" s="3"/>
      <c r="AA86" s="3"/>
      <c r="AB86" s="3"/>
      <c r="AC86" s="3"/>
    </row>
    <row r="87" customFormat="false" ht="36" hidden="false" customHeight="true" outlineLevel="0" collapsed="false">
      <c r="A87" s="3"/>
      <c r="B87" s="139" t="s">
        <v>6472</v>
      </c>
      <c r="C87" s="109" t="s">
        <v>313</v>
      </c>
      <c r="D87" s="109" t="s">
        <v>1299</v>
      </c>
      <c r="E87" s="109" t="s">
        <v>1225</v>
      </c>
      <c r="F87" s="113" t="s">
        <v>1309</v>
      </c>
      <c r="G87" s="150" t="n">
        <v>27.19</v>
      </c>
      <c r="H87" s="91" t="s">
        <v>265</v>
      </c>
      <c r="I87" s="144" t="n">
        <v>1</v>
      </c>
      <c r="J87" s="91"/>
      <c r="K87" s="150" t="n">
        <v>22.85</v>
      </c>
      <c r="L87" s="91" t="s">
        <v>530</v>
      </c>
      <c r="M87" s="109" t="s">
        <v>1300</v>
      </c>
      <c r="N87" s="109" t="s">
        <v>586</v>
      </c>
      <c r="O87" s="3"/>
      <c r="P87" s="3"/>
      <c r="Q87" s="3"/>
      <c r="R87" s="3"/>
      <c r="S87" s="3"/>
      <c r="T87" s="3"/>
      <c r="U87" s="3"/>
      <c r="V87" s="3"/>
      <c r="W87" s="3"/>
      <c r="X87" s="3"/>
      <c r="Y87" s="3"/>
      <c r="Z87" s="3"/>
      <c r="AA87" s="3"/>
      <c r="AB87" s="3"/>
      <c r="AC87" s="3"/>
    </row>
    <row r="88" customFormat="false" ht="36" hidden="false" customHeight="true" outlineLevel="0" collapsed="false">
      <c r="A88" s="3"/>
      <c r="B88" s="141" t="s">
        <v>6472</v>
      </c>
      <c r="C88" s="110" t="s">
        <v>321</v>
      </c>
      <c r="D88" s="110" t="s">
        <v>1302</v>
      </c>
      <c r="E88" s="110" t="s">
        <v>603</v>
      </c>
      <c r="F88" s="117" t="s">
        <v>1310</v>
      </c>
      <c r="G88" s="151" t="n">
        <v>7.95</v>
      </c>
      <c r="H88" s="98" t="s">
        <v>590</v>
      </c>
      <c r="I88" s="146" t="n">
        <v>1</v>
      </c>
      <c r="J88" s="98"/>
      <c r="K88" s="151" t="n">
        <v>7.95</v>
      </c>
      <c r="L88" s="98" t="s">
        <v>530</v>
      </c>
      <c r="M88" s="110"/>
      <c r="N88" s="110" t="s">
        <v>586</v>
      </c>
      <c r="O88" s="3"/>
      <c r="P88" s="3"/>
      <c r="Q88" s="3"/>
      <c r="R88" s="3"/>
      <c r="S88" s="3"/>
      <c r="T88" s="3"/>
      <c r="U88" s="3"/>
      <c r="V88" s="3"/>
      <c r="W88" s="3"/>
      <c r="X88" s="3"/>
      <c r="Y88" s="3"/>
      <c r="Z88" s="3"/>
      <c r="AA88" s="3"/>
      <c r="AB88" s="3"/>
      <c r="AC88" s="3"/>
    </row>
    <row r="89" customFormat="false" ht="36" hidden="false" customHeight="true" outlineLevel="0" collapsed="false">
      <c r="A89" s="3"/>
      <c r="B89" s="139" t="s">
        <v>6472</v>
      </c>
      <c r="C89" s="109" t="s">
        <v>329</v>
      </c>
      <c r="D89" s="109" t="s">
        <v>1311</v>
      </c>
      <c r="E89" s="109" t="s">
        <v>1225</v>
      </c>
      <c r="F89" s="113" t="s">
        <v>1312</v>
      </c>
      <c r="G89" s="150" t="n">
        <v>16.99</v>
      </c>
      <c r="H89" s="91" t="s">
        <v>590</v>
      </c>
      <c r="I89" s="144" t="n">
        <v>1</v>
      </c>
      <c r="J89" s="91"/>
      <c r="K89" s="150" t="n">
        <v>16.99</v>
      </c>
      <c r="L89" s="91" t="s">
        <v>530</v>
      </c>
      <c r="M89" s="109" t="s">
        <v>1024</v>
      </c>
      <c r="N89" s="109" t="s">
        <v>586</v>
      </c>
      <c r="O89" s="3"/>
      <c r="P89" s="3"/>
      <c r="Q89" s="3"/>
      <c r="R89" s="3"/>
      <c r="S89" s="3"/>
      <c r="T89" s="3"/>
      <c r="U89" s="3"/>
      <c r="V89" s="3"/>
      <c r="W89" s="3"/>
      <c r="X89" s="3"/>
      <c r="Y89" s="3"/>
      <c r="Z89" s="3"/>
      <c r="AA89" s="3"/>
      <c r="AB89" s="3"/>
      <c r="AC89" s="3"/>
    </row>
    <row r="90" customFormat="false" ht="36" hidden="false" customHeight="true" outlineLevel="0" collapsed="false">
      <c r="A90" s="3"/>
      <c r="B90" s="141" t="s">
        <v>6474</v>
      </c>
      <c r="C90" s="110" t="s">
        <v>296</v>
      </c>
      <c r="D90" s="110" t="s">
        <v>1331</v>
      </c>
      <c r="E90" s="110" t="s">
        <v>1215</v>
      </c>
      <c r="F90" s="117" t="s">
        <v>1351</v>
      </c>
      <c r="G90" s="151" t="n">
        <v>12.8</v>
      </c>
      <c r="H90" s="98" t="s">
        <v>590</v>
      </c>
      <c r="I90" s="146" t="n">
        <v>1</v>
      </c>
      <c r="J90" s="98"/>
      <c r="K90" s="151" t="n">
        <v>12.8</v>
      </c>
      <c r="L90" s="98" t="s">
        <v>530</v>
      </c>
      <c r="M90" s="110" t="s">
        <v>1332</v>
      </c>
      <c r="N90" s="110" t="s">
        <v>586</v>
      </c>
      <c r="O90" s="3"/>
      <c r="P90" s="3"/>
      <c r="Q90" s="3"/>
      <c r="R90" s="3"/>
      <c r="S90" s="3"/>
      <c r="T90" s="3"/>
      <c r="U90" s="3"/>
      <c r="V90" s="3"/>
      <c r="W90" s="3"/>
      <c r="X90" s="3"/>
      <c r="Y90" s="3"/>
      <c r="Z90" s="3"/>
      <c r="AA90" s="3"/>
      <c r="AB90" s="3"/>
      <c r="AC90" s="3"/>
    </row>
    <row r="91" customFormat="false" ht="36" hidden="false" customHeight="true" outlineLevel="0" collapsed="false">
      <c r="A91" s="3"/>
      <c r="B91" s="139" t="s">
        <v>6474</v>
      </c>
      <c r="C91" s="109" t="s">
        <v>317</v>
      </c>
      <c r="D91" s="109" t="s">
        <v>1352</v>
      </c>
      <c r="E91" s="109" t="s">
        <v>610</v>
      </c>
      <c r="F91" s="113" t="s">
        <v>1354</v>
      </c>
      <c r="G91" s="150" t="n">
        <v>74.99</v>
      </c>
      <c r="H91" s="91" t="s">
        <v>590</v>
      </c>
      <c r="I91" s="144" t="n">
        <v>8</v>
      </c>
      <c r="J91" s="91" t="s">
        <v>1355</v>
      </c>
      <c r="K91" s="150" t="n">
        <v>9.37</v>
      </c>
      <c r="L91" s="91" t="s">
        <v>702</v>
      </c>
      <c r="M91" s="109" t="s">
        <v>1353</v>
      </c>
      <c r="N91" s="109" t="s">
        <v>586</v>
      </c>
      <c r="O91" s="3"/>
      <c r="P91" s="3"/>
      <c r="Q91" s="3"/>
      <c r="R91" s="3"/>
      <c r="S91" s="3"/>
      <c r="T91" s="3"/>
      <c r="U91" s="3"/>
      <c r="V91" s="3"/>
      <c r="W91" s="3"/>
      <c r="X91" s="3"/>
      <c r="Y91" s="3"/>
      <c r="Z91" s="3"/>
      <c r="AA91" s="3"/>
      <c r="AB91" s="3"/>
      <c r="AC91" s="3"/>
    </row>
    <row r="92" customFormat="false" ht="36" hidden="false" customHeight="true" outlineLevel="0" collapsed="false">
      <c r="A92" s="3"/>
      <c r="B92" s="141" t="s">
        <v>6474</v>
      </c>
      <c r="C92" s="110" t="s">
        <v>311</v>
      </c>
      <c r="D92" s="110" t="s">
        <v>1334</v>
      </c>
      <c r="E92" s="110" t="s">
        <v>646</v>
      </c>
      <c r="F92" s="117" t="s">
        <v>1356</v>
      </c>
      <c r="G92" s="151" t="n">
        <v>9.99</v>
      </c>
      <c r="H92" s="98" t="s">
        <v>590</v>
      </c>
      <c r="I92" s="146" t="n">
        <v>1</v>
      </c>
      <c r="J92" s="98"/>
      <c r="K92" s="151" t="n">
        <v>9.99</v>
      </c>
      <c r="L92" s="98" t="s">
        <v>530</v>
      </c>
      <c r="M92" s="110"/>
      <c r="N92" s="110" t="s">
        <v>586</v>
      </c>
      <c r="O92" s="3"/>
      <c r="P92" s="3"/>
      <c r="Q92" s="3"/>
      <c r="R92" s="3"/>
      <c r="S92" s="3"/>
      <c r="T92" s="3"/>
      <c r="U92" s="3"/>
      <c r="V92" s="3"/>
      <c r="W92" s="3"/>
      <c r="X92" s="3"/>
      <c r="Y92" s="3"/>
      <c r="Z92" s="3"/>
      <c r="AA92" s="3"/>
      <c r="AB92" s="3"/>
      <c r="AC92" s="3"/>
    </row>
    <row r="93" customFormat="false" ht="36" hidden="false" customHeight="true" outlineLevel="0" collapsed="false">
      <c r="A93" s="3"/>
      <c r="B93" s="139" t="s">
        <v>6474</v>
      </c>
      <c r="C93" s="109" t="s">
        <v>309</v>
      </c>
      <c r="D93" s="109" t="s">
        <v>1337</v>
      </c>
      <c r="E93" s="109" t="s">
        <v>646</v>
      </c>
      <c r="F93" s="113" t="s">
        <v>1339</v>
      </c>
      <c r="G93" s="150" t="n">
        <v>9.88</v>
      </c>
      <c r="H93" s="91" t="s">
        <v>590</v>
      </c>
      <c r="I93" s="144" t="n">
        <v>1</v>
      </c>
      <c r="J93" s="91"/>
      <c r="K93" s="150" t="n">
        <v>9.88</v>
      </c>
      <c r="L93" s="91" t="s">
        <v>702</v>
      </c>
      <c r="M93" s="109" t="s">
        <v>1338</v>
      </c>
      <c r="N93" s="109" t="s">
        <v>586</v>
      </c>
      <c r="O93" s="3"/>
      <c r="P93" s="3"/>
      <c r="Q93" s="3"/>
      <c r="R93" s="3"/>
      <c r="S93" s="3"/>
      <c r="T93" s="3"/>
      <c r="U93" s="3"/>
      <c r="V93" s="3"/>
      <c r="W93" s="3"/>
      <c r="X93" s="3"/>
      <c r="Y93" s="3"/>
      <c r="Z93" s="3"/>
      <c r="AA93" s="3"/>
      <c r="AB93" s="3"/>
      <c r="AC93" s="3"/>
    </row>
    <row r="94" customFormat="false" ht="36" hidden="false" customHeight="true" outlineLevel="0" collapsed="false">
      <c r="A94" s="3"/>
      <c r="B94" s="141" t="s">
        <v>6474</v>
      </c>
      <c r="C94" s="110" t="s">
        <v>313</v>
      </c>
      <c r="D94" s="110" t="s">
        <v>1340</v>
      </c>
      <c r="E94" s="110" t="s">
        <v>1225</v>
      </c>
      <c r="F94" s="117" t="s">
        <v>1357</v>
      </c>
      <c r="G94" s="151" t="n">
        <v>31.9</v>
      </c>
      <c r="H94" s="98" t="s">
        <v>265</v>
      </c>
      <c r="I94" s="146" t="n">
        <v>1</v>
      </c>
      <c r="J94" s="98"/>
      <c r="K94" s="151" t="n">
        <v>26.81</v>
      </c>
      <c r="L94" s="98" t="s">
        <v>530</v>
      </c>
      <c r="M94" s="110" t="s">
        <v>1024</v>
      </c>
      <c r="N94" s="110" t="s">
        <v>586</v>
      </c>
      <c r="O94" s="3"/>
      <c r="P94" s="3"/>
      <c r="Q94" s="3"/>
      <c r="R94" s="3"/>
      <c r="S94" s="3"/>
      <c r="T94" s="3"/>
      <c r="U94" s="3"/>
      <c r="V94" s="3"/>
      <c r="W94" s="3"/>
      <c r="X94" s="3"/>
      <c r="Y94" s="3"/>
      <c r="Z94" s="3"/>
      <c r="AA94" s="3"/>
      <c r="AB94" s="3"/>
      <c r="AC94" s="3"/>
    </row>
    <row r="95" customFormat="false" ht="36" hidden="false" customHeight="true" outlineLevel="0" collapsed="false">
      <c r="A95" s="3"/>
      <c r="B95" s="139" t="s">
        <v>6474</v>
      </c>
      <c r="C95" s="109" t="s">
        <v>321</v>
      </c>
      <c r="D95" s="109" t="s">
        <v>1342</v>
      </c>
      <c r="E95" s="109" t="s">
        <v>662</v>
      </c>
      <c r="F95" s="113" t="s">
        <v>1358</v>
      </c>
      <c r="G95" s="150" t="n">
        <v>9.97</v>
      </c>
      <c r="H95" s="91" t="s">
        <v>590</v>
      </c>
      <c r="I95" s="144" t="n">
        <v>1</v>
      </c>
      <c r="J95" s="91"/>
      <c r="K95" s="150" t="n">
        <v>9.97</v>
      </c>
      <c r="L95" s="91" t="s">
        <v>530</v>
      </c>
      <c r="M95" s="109"/>
      <c r="N95" s="109" t="s">
        <v>586</v>
      </c>
      <c r="O95" s="3"/>
      <c r="P95" s="3"/>
      <c r="Q95" s="3"/>
      <c r="R95" s="3"/>
      <c r="S95" s="3"/>
      <c r="T95" s="3"/>
      <c r="U95" s="3"/>
      <c r="V95" s="3"/>
      <c r="W95" s="3"/>
      <c r="X95" s="3"/>
      <c r="Y95" s="3"/>
      <c r="Z95" s="3"/>
      <c r="AA95" s="3"/>
      <c r="AB95" s="3"/>
      <c r="AC95" s="3"/>
    </row>
    <row r="96" customFormat="false" ht="33" hidden="false" customHeight="true" outlineLevel="0" collapsed="false">
      <c r="A96" s="3"/>
      <c r="B96" s="141" t="s">
        <v>6474</v>
      </c>
      <c r="C96" s="110" t="s">
        <v>329</v>
      </c>
      <c r="D96" s="110" t="s">
        <v>1359</v>
      </c>
      <c r="E96" s="110" t="s">
        <v>1225</v>
      </c>
      <c r="F96" s="117" t="s">
        <v>1361</v>
      </c>
      <c r="G96" s="151" t="n">
        <v>25.99</v>
      </c>
      <c r="H96" s="98" t="s">
        <v>590</v>
      </c>
      <c r="I96" s="146" t="n">
        <v>1</v>
      </c>
      <c r="J96" s="98"/>
      <c r="K96" s="151" t="n">
        <v>25.99</v>
      </c>
      <c r="L96" s="98" t="s">
        <v>530</v>
      </c>
      <c r="M96" s="110" t="s">
        <v>1360</v>
      </c>
      <c r="N96" s="110" t="s">
        <v>586</v>
      </c>
      <c r="O96" s="3"/>
      <c r="P96" s="3"/>
      <c r="Q96" s="3"/>
      <c r="R96" s="3"/>
      <c r="S96" s="3"/>
      <c r="T96" s="3"/>
      <c r="U96" s="3"/>
      <c r="V96" s="3"/>
      <c r="W96" s="3"/>
      <c r="X96" s="3"/>
      <c r="Y96" s="3"/>
      <c r="Z96" s="3"/>
      <c r="AA96" s="3"/>
      <c r="AB96" s="3"/>
      <c r="AC96" s="3"/>
    </row>
    <row r="97" customFormat="false" ht="36" hidden="false" customHeight="true" outlineLevel="0" collapsed="false">
      <c r="A97" s="3"/>
      <c r="B97" s="139" t="s">
        <v>6475</v>
      </c>
      <c r="C97" s="109" t="s">
        <v>296</v>
      </c>
      <c r="D97" s="109" t="s">
        <v>1381</v>
      </c>
      <c r="E97" s="109" t="s">
        <v>388</v>
      </c>
      <c r="F97" s="113" t="s">
        <v>1401</v>
      </c>
      <c r="G97" s="150" t="n">
        <v>284</v>
      </c>
      <c r="H97" s="91" t="s">
        <v>590</v>
      </c>
      <c r="I97" s="144" t="n">
        <v>1</v>
      </c>
      <c r="J97" s="91"/>
      <c r="K97" s="150" t="n">
        <v>284</v>
      </c>
      <c r="L97" s="91" t="s">
        <v>702</v>
      </c>
      <c r="M97" s="109" t="s">
        <v>1382</v>
      </c>
      <c r="N97" s="109" t="s">
        <v>586</v>
      </c>
      <c r="O97" s="3"/>
      <c r="P97" s="3"/>
      <c r="Q97" s="3"/>
      <c r="R97" s="3"/>
      <c r="S97" s="3"/>
      <c r="T97" s="3"/>
      <c r="U97" s="3"/>
      <c r="V97" s="3"/>
      <c r="W97" s="3"/>
      <c r="X97" s="3"/>
      <c r="Y97" s="3"/>
      <c r="Z97" s="3"/>
      <c r="AA97" s="3"/>
      <c r="AB97" s="3"/>
      <c r="AC97" s="3"/>
    </row>
    <row r="98" customFormat="false" ht="36" hidden="false" customHeight="true" outlineLevel="0" collapsed="false">
      <c r="A98" s="3"/>
      <c r="B98" s="141" t="s">
        <v>6475</v>
      </c>
      <c r="C98" s="110" t="s">
        <v>317</v>
      </c>
      <c r="D98" s="110" t="s">
        <v>1402</v>
      </c>
      <c r="E98" s="110" t="s">
        <v>610</v>
      </c>
      <c r="F98" s="117" t="s">
        <v>1404</v>
      </c>
      <c r="G98" s="151" t="n">
        <v>274.99</v>
      </c>
      <c r="H98" s="98" t="s">
        <v>590</v>
      </c>
      <c r="I98" s="146" t="n">
        <v>1</v>
      </c>
      <c r="J98" s="98"/>
      <c r="K98" s="151" t="n">
        <v>274.99</v>
      </c>
      <c r="L98" s="98" t="s">
        <v>530</v>
      </c>
      <c r="M98" s="110" t="s">
        <v>1403</v>
      </c>
      <c r="N98" s="110" t="s">
        <v>586</v>
      </c>
      <c r="O98" s="3"/>
      <c r="P98" s="3"/>
      <c r="Q98" s="3"/>
      <c r="R98" s="3"/>
      <c r="S98" s="3"/>
      <c r="T98" s="3"/>
      <c r="U98" s="3"/>
      <c r="V98" s="3"/>
      <c r="W98" s="3"/>
      <c r="X98" s="3"/>
      <c r="Y98" s="3"/>
      <c r="Z98" s="3"/>
      <c r="AA98" s="3"/>
      <c r="AB98" s="3"/>
      <c r="AC98" s="3"/>
    </row>
    <row r="99" customFormat="false" ht="36" hidden="false" customHeight="true" outlineLevel="0" collapsed="false">
      <c r="A99" s="3"/>
      <c r="B99" s="139" t="s">
        <v>6475</v>
      </c>
      <c r="C99" s="109" t="s">
        <v>311</v>
      </c>
      <c r="D99" s="109" t="s">
        <v>1384</v>
      </c>
      <c r="E99" s="109" t="s">
        <v>311</v>
      </c>
      <c r="F99" s="113" t="s">
        <v>1406</v>
      </c>
      <c r="G99" s="150" t="n">
        <v>169.9</v>
      </c>
      <c r="H99" s="91" t="s">
        <v>590</v>
      </c>
      <c r="I99" s="144" t="n">
        <v>1</v>
      </c>
      <c r="J99" s="91"/>
      <c r="K99" s="150" t="n">
        <v>169.9</v>
      </c>
      <c r="L99" s="91" t="s">
        <v>530</v>
      </c>
      <c r="M99" s="109" t="s">
        <v>1405</v>
      </c>
      <c r="N99" s="109" t="s">
        <v>586</v>
      </c>
      <c r="O99" s="3"/>
      <c r="P99" s="3"/>
      <c r="Q99" s="3"/>
      <c r="R99" s="3"/>
      <c r="S99" s="3"/>
      <c r="T99" s="3"/>
      <c r="U99" s="3"/>
      <c r="V99" s="3"/>
      <c r="W99" s="3"/>
      <c r="X99" s="3"/>
      <c r="Y99" s="3"/>
      <c r="Z99" s="3"/>
      <c r="AA99" s="3"/>
      <c r="AB99" s="3"/>
      <c r="AC99" s="3"/>
    </row>
    <row r="100" customFormat="false" ht="36" hidden="false" customHeight="true" outlineLevel="0" collapsed="false">
      <c r="A100" s="3"/>
      <c r="B100" s="141" t="s">
        <v>6475</v>
      </c>
      <c r="C100" s="110" t="s">
        <v>309</v>
      </c>
      <c r="D100" s="110" t="s">
        <v>1388</v>
      </c>
      <c r="E100" s="110" t="s">
        <v>646</v>
      </c>
      <c r="F100" s="117" t="s">
        <v>1390</v>
      </c>
      <c r="G100" s="151" t="n">
        <v>229.14</v>
      </c>
      <c r="H100" s="98" t="s">
        <v>590</v>
      </c>
      <c r="I100" s="146" t="n">
        <v>1</v>
      </c>
      <c r="J100" s="98"/>
      <c r="K100" s="151" t="n">
        <v>229.14</v>
      </c>
      <c r="L100" s="98" t="s">
        <v>702</v>
      </c>
      <c r="M100" s="110" t="s">
        <v>1389</v>
      </c>
      <c r="N100" s="110" t="s">
        <v>586</v>
      </c>
      <c r="O100" s="3"/>
      <c r="P100" s="3"/>
      <c r="Q100" s="3"/>
      <c r="R100" s="3"/>
      <c r="S100" s="3"/>
      <c r="T100" s="3"/>
      <c r="U100" s="3"/>
      <c r="V100" s="3"/>
      <c r="W100" s="3"/>
      <c r="X100" s="3"/>
      <c r="Y100" s="3"/>
      <c r="Z100" s="3"/>
      <c r="AA100" s="3"/>
      <c r="AB100" s="3"/>
      <c r="AC100" s="3"/>
    </row>
    <row r="101" customFormat="false" ht="36" hidden="false" customHeight="true" outlineLevel="0" collapsed="false">
      <c r="A101" s="3"/>
      <c r="B101" s="139" t="s">
        <v>6475</v>
      </c>
      <c r="C101" s="109" t="s">
        <v>313</v>
      </c>
      <c r="D101" s="109" t="s">
        <v>1391</v>
      </c>
      <c r="E101" s="109" t="s">
        <v>642</v>
      </c>
      <c r="F101" s="113" t="s">
        <v>1409</v>
      </c>
      <c r="G101" s="150" t="n">
        <v>324.9</v>
      </c>
      <c r="H101" s="91" t="s">
        <v>265</v>
      </c>
      <c r="I101" s="144" t="n">
        <v>1</v>
      </c>
      <c r="J101" s="91"/>
      <c r="K101" s="150" t="n">
        <v>273.03</v>
      </c>
      <c r="L101" s="91" t="s">
        <v>530</v>
      </c>
      <c r="M101" s="109" t="s">
        <v>1408</v>
      </c>
      <c r="N101" s="109" t="s">
        <v>586</v>
      </c>
      <c r="O101" s="3"/>
      <c r="P101" s="3"/>
      <c r="Q101" s="3"/>
      <c r="R101" s="3"/>
      <c r="S101" s="3"/>
      <c r="T101" s="3"/>
      <c r="U101" s="3"/>
      <c r="V101" s="3"/>
      <c r="W101" s="3"/>
      <c r="X101" s="3"/>
      <c r="Y101" s="3"/>
      <c r="Z101" s="3"/>
      <c r="AA101" s="3"/>
      <c r="AB101" s="3"/>
      <c r="AC101" s="3"/>
    </row>
    <row r="102" customFormat="false" ht="36" hidden="false" customHeight="true" outlineLevel="0" collapsed="false">
      <c r="A102" s="3"/>
      <c r="B102" s="141" t="s">
        <v>6475</v>
      </c>
      <c r="C102" s="110" t="s">
        <v>321</v>
      </c>
      <c r="D102" s="110" t="s">
        <v>1394</v>
      </c>
      <c r="E102" s="110" t="s">
        <v>1397</v>
      </c>
      <c r="F102" s="117" t="s">
        <v>1410</v>
      </c>
      <c r="G102" s="151" t="n">
        <v>265.95</v>
      </c>
      <c r="H102" s="98" t="s">
        <v>590</v>
      </c>
      <c r="I102" s="146" t="n">
        <v>1</v>
      </c>
      <c r="J102" s="98"/>
      <c r="K102" s="151" t="n">
        <v>265.95</v>
      </c>
      <c r="L102" s="98" t="s">
        <v>530</v>
      </c>
      <c r="M102" s="110" t="s">
        <v>1395</v>
      </c>
      <c r="N102" s="110" t="s">
        <v>586</v>
      </c>
      <c r="O102" s="3"/>
      <c r="P102" s="3"/>
      <c r="Q102" s="3"/>
      <c r="R102" s="3"/>
      <c r="S102" s="3"/>
      <c r="T102" s="3"/>
      <c r="U102" s="3"/>
      <c r="V102" s="3"/>
      <c r="W102" s="3"/>
      <c r="X102" s="3"/>
      <c r="Y102" s="3"/>
      <c r="Z102" s="3"/>
      <c r="AA102" s="3"/>
      <c r="AB102" s="3"/>
      <c r="AC102" s="3"/>
    </row>
    <row r="103" customFormat="false" ht="36" hidden="false" customHeight="true" outlineLevel="0" collapsed="false">
      <c r="A103" s="3"/>
      <c r="B103" s="139" t="s">
        <v>6475</v>
      </c>
      <c r="C103" s="109" t="s">
        <v>329</v>
      </c>
      <c r="D103" s="109" t="s">
        <v>1411</v>
      </c>
      <c r="E103" s="109" t="s">
        <v>642</v>
      </c>
      <c r="F103" s="113" t="s">
        <v>1413</v>
      </c>
      <c r="G103" s="150" t="n">
        <v>239.99</v>
      </c>
      <c r="H103" s="91" t="s">
        <v>590</v>
      </c>
      <c r="I103" s="144" t="n">
        <v>1</v>
      </c>
      <c r="J103" s="91"/>
      <c r="K103" s="150" t="n">
        <v>239.99</v>
      </c>
      <c r="L103" s="91" t="s">
        <v>530</v>
      </c>
      <c r="M103" s="109" t="s">
        <v>1412</v>
      </c>
      <c r="N103" s="109" t="s">
        <v>586</v>
      </c>
      <c r="O103" s="3"/>
      <c r="P103" s="3"/>
      <c r="Q103" s="3"/>
      <c r="R103" s="3"/>
      <c r="S103" s="3"/>
      <c r="T103" s="3"/>
      <c r="U103" s="3"/>
      <c r="V103" s="3"/>
      <c r="W103" s="3"/>
      <c r="X103" s="3"/>
      <c r="Y103" s="3"/>
      <c r="Z103" s="3"/>
      <c r="AA103" s="3"/>
      <c r="AB103" s="3"/>
      <c r="AC103" s="3"/>
    </row>
    <row r="104" customFormat="false" ht="33" hidden="false" customHeight="true" outlineLevel="0" collapsed="false">
      <c r="A104" s="3"/>
      <c r="B104" s="141" t="s">
        <v>6477</v>
      </c>
      <c r="C104" s="110" t="s">
        <v>296</v>
      </c>
      <c r="D104" s="110" t="s">
        <v>1441</v>
      </c>
      <c r="E104" s="110"/>
      <c r="F104" s="117" t="s">
        <v>1460</v>
      </c>
      <c r="G104" s="151" t="n">
        <v>19.22</v>
      </c>
      <c r="H104" s="98" t="s">
        <v>590</v>
      </c>
      <c r="I104" s="146" t="n">
        <v>1</v>
      </c>
      <c r="J104" s="98"/>
      <c r="K104" s="151" t="n">
        <v>19.22</v>
      </c>
      <c r="L104" s="98" t="s">
        <v>629</v>
      </c>
      <c r="M104" s="110" t="s">
        <v>1442</v>
      </c>
      <c r="N104" s="110" t="s">
        <v>586</v>
      </c>
      <c r="O104" s="3"/>
      <c r="P104" s="3"/>
      <c r="Q104" s="3"/>
      <c r="R104" s="3"/>
      <c r="S104" s="3"/>
      <c r="T104" s="3"/>
      <c r="U104" s="3"/>
      <c r="V104" s="3"/>
      <c r="W104" s="3"/>
      <c r="X104" s="3"/>
      <c r="Y104" s="3"/>
      <c r="Z104" s="3"/>
      <c r="AA104" s="3"/>
      <c r="AB104" s="3"/>
      <c r="AC104" s="3"/>
    </row>
    <row r="105" customFormat="false" ht="36" hidden="false" customHeight="true" outlineLevel="0" collapsed="false">
      <c r="A105" s="3"/>
      <c r="B105" s="139" t="s">
        <v>6477</v>
      </c>
      <c r="C105" s="109" t="s">
        <v>317</v>
      </c>
      <c r="D105" s="109" t="s">
        <v>1461</v>
      </c>
      <c r="E105" s="109" t="s">
        <v>610</v>
      </c>
      <c r="F105" s="113" t="s">
        <v>1463</v>
      </c>
      <c r="G105" s="150" t="n">
        <v>34.99</v>
      </c>
      <c r="H105" s="91" t="s">
        <v>590</v>
      </c>
      <c r="I105" s="144" t="n">
        <v>6</v>
      </c>
      <c r="J105" s="91" t="s">
        <v>611</v>
      </c>
      <c r="K105" s="150" t="n">
        <v>5.83</v>
      </c>
      <c r="L105" s="91" t="s">
        <v>629</v>
      </c>
      <c r="M105" s="109" t="s">
        <v>1462</v>
      </c>
      <c r="N105" s="109" t="s">
        <v>586</v>
      </c>
      <c r="O105" s="3"/>
      <c r="P105" s="3"/>
      <c r="Q105" s="3"/>
      <c r="R105" s="3"/>
      <c r="S105" s="3"/>
      <c r="T105" s="3"/>
      <c r="U105" s="3"/>
      <c r="V105" s="3"/>
      <c r="W105" s="3"/>
      <c r="X105" s="3"/>
      <c r="Y105" s="3"/>
      <c r="Z105" s="3"/>
      <c r="AA105" s="3"/>
      <c r="AB105" s="3"/>
      <c r="AC105" s="3"/>
    </row>
    <row r="106" customFormat="false" ht="36" hidden="false" customHeight="true" outlineLevel="0" collapsed="false">
      <c r="A106" s="3"/>
      <c r="B106" s="141" t="s">
        <v>6477</v>
      </c>
      <c r="C106" s="110" t="s">
        <v>311</v>
      </c>
      <c r="D106" s="110" t="s">
        <v>1444</v>
      </c>
      <c r="E106" s="110" t="s">
        <v>603</v>
      </c>
      <c r="F106" s="117" t="s">
        <v>1465</v>
      </c>
      <c r="G106" s="151" t="n">
        <v>6.59</v>
      </c>
      <c r="H106" s="98" t="s">
        <v>590</v>
      </c>
      <c r="I106" s="146" t="n">
        <v>1</v>
      </c>
      <c r="J106" s="98"/>
      <c r="K106" s="151" t="n">
        <v>6.59</v>
      </c>
      <c r="L106" s="98" t="s">
        <v>629</v>
      </c>
      <c r="M106" s="110" t="s">
        <v>1464</v>
      </c>
      <c r="N106" s="110" t="s">
        <v>586</v>
      </c>
      <c r="O106" s="3"/>
      <c r="P106" s="3"/>
      <c r="Q106" s="3"/>
      <c r="R106" s="3"/>
      <c r="S106" s="3"/>
      <c r="T106" s="3"/>
      <c r="U106" s="3"/>
      <c r="V106" s="3"/>
      <c r="W106" s="3"/>
      <c r="X106" s="3"/>
      <c r="Y106" s="3"/>
      <c r="Z106" s="3"/>
      <c r="AA106" s="3"/>
      <c r="AB106" s="3"/>
      <c r="AC106" s="3"/>
    </row>
    <row r="107" customFormat="false" ht="36" hidden="false" customHeight="true" outlineLevel="0" collapsed="false">
      <c r="A107" s="3"/>
      <c r="B107" s="139" t="s">
        <v>6477</v>
      </c>
      <c r="C107" s="109" t="s">
        <v>309</v>
      </c>
      <c r="D107" s="109" t="s">
        <v>1447</v>
      </c>
      <c r="E107" s="109" t="s">
        <v>388</v>
      </c>
      <c r="F107" s="113" t="s">
        <v>1449</v>
      </c>
      <c r="G107" s="150" t="n">
        <v>15.25</v>
      </c>
      <c r="H107" s="91" t="s">
        <v>590</v>
      </c>
      <c r="I107" s="144" t="n">
        <v>1</v>
      </c>
      <c r="J107" s="91"/>
      <c r="K107" s="150" t="n">
        <v>15.25</v>
      </c>
      <c r="L107" s="91" t="s">
        <v>702</v>
      </c>
      <c r="M107" s="109" t="s">
        <v>1448</v>
      </c>
      <c r="N107" s="109" t="s">
        <v>586</v>
      </c>
      <c r="O107" s="3"/>
      <c r="P107" s="3"/>
      <c r="Q107" s="3"/>
      <c r="R107" s="3"/>
      <c r="S107" s="3"/>
      <c r="T107" s="3"/>
      <c r="U107" s="3"/>
      <c r="V107" s="3"/>
      <c r="W107" s="3"/>
      <c r="X107" s="3"/>
      <c r="Y107" s="3"/>
      <c r="Z107" s="3"/>
      <c r="AA107" s="3"/>
      <c r="AB107" s="3"/>
      <c r="AC107" s="3"/>
    </row>
    <row r="108" customFormat="false" ht="36" hidden="false" customHeight="true" outlineLevel="0" collapsed="false">
      <c r="A108" s="3"/>
      <c r="B108" s="141" t="s">
        <v>6477</v>
      </c>
      <c r="C108" s="110" t="s">
        <v>313</v>
      </c>
      <c r="D108" s="110" t="s">
        <v>1450</v>
      </c>
      <c r="E108" s="110" t="s">
        <v>1453</v>
      </c>
      <c r="F108" s="117" t="s">
        <v>1466</v>
      </c>
      <c r="G108" s="151" t="n">
        <v>8.89</v>
      </c>
      <c r="H108" s="98" t="s">
        <v>265</v>
      </c>
      <c r="I108" s="146" t="n">
        <v>1</v>
      </c>
      <c r="J108" s="98"/>
      <c r="K108" s="151" t="n">
        <v>7.47</v>
      </c>
      <c r="L108" s="98" t="s">
        <v>702</v>
      </c>
      <c r="M108" s="110" t="s">
        <v>1451</v>
      </c>
      <c r="N108" s="110" t="s">
        <v>586</v>
      </c>
      <c r="O108" s="3"/>
      <c r="P108" s="3"/>
      <c r="Q108" s="3"/>
      <c r="R108" s="3"/>
      <c r="S108" s="3"/>
      <c r="T108" s="3"/>
      <c r="U108" s="3"/>
      <c r="V108" s="3"/>
      <c r="W108" s="3"/>
      <c r="X108" s="3"/>
      <c r="Y108" s="3"/>
      <c r="Z108" s="3"/>
      <c r="AA108" s="3"/>
      <c r="AB108" s="3"/>
      <c r="AC108" s="3"/>
    </row>
    <row r="109" customFormat="false" ht="36" hidden="false" customHeight="true" outlineLevel="0" collapsed="false">
      <c r="A109" s="3"/>
      <c r="B109" s="139" t="s">
        <v>6477</v>
      </c>
      <c r="C109" s="109" t="s">
        <v>321</v>
      </c>
      <c r="D109" s="109" t="s">
        <v>1454</v>
      </c>
      <c r="E109" s="109" t="s">
        <v>642</v>
      </c>
      <c r="F109" s="113" t="s">
        <v>1467</v>
      </c>
      <c r="G109" s="150" t="n">
        <v>18.19</v>
      </c>
      <c r="H109" s="91" t="s">
        <v>590</v>
      </c>
      <c r="I109" s="144" t="n">
        <v>1</v>
      </c>
      <c r="J109" s="91"/>
      <c r="K109" s="150" t="n">
        <v>18.19</v>
      </c>
      <c r="L109" s="91" t="s">
        <v>629</v>
      </c>
      <c r="M109" s="109" t="s">
        <v>1455</v>
      </c>
      <c r="N109" s="109" t="s">
        <v>586</v>
      </c>
      <c r="O109" s="3"/>
      <c r="P109" s="3"/>
      <c r="Q109" s="3"/>
      <c r="R109" s="3"/>
      <c r="S109" s="3"/>
      <c r="T109" s="3"/>
      <c r="U109" s="3"/>
      <c r="V109" s="3"/>
      <c r="W109" s="3"/>
      <c r="X109" s="3"/>
      <c r="Y109" s="3"/>
      <c r="Z109" s="3"/>
      <c r="AA109" s="3"/>
      <c r="AB109" s="3"/>
      <c r="AC109" s="3"/>
    </row>
    <row r="110" customFormat="false" ht="36" hidden="false" customHeight="true" outlineLevel="0" collapsed="false">
      <c r="A110" s="3"/>
      <c r="B110" s="141" t="s">
        <v>6477</v>
      </c>
      <c r="C110" s="110" t="s">
        <v>329</v>
      </c>
      <c r="D110" s="110" t="s">
        <v>1468</v>
      </c>
      <c r="E110" s="110" t="s">
        <v>1471</v>
      </c>
      <c r="F110" s="117" t="s">
        <v>1470</v>
      </c>
      <c r="G110" s="151" t="n">
        <v>5.09</v>
      </c>
      <c r="H110" s="98" t="s">
        <v>590</v>
      </c>
      <c r="I110" s="146" t="n">
        <v>1</v>
      </c>
      <c r="J110" s="98"/>
      <c r="K110" s="151" t="n">
        <v>5.09</v>
      </c>
      <c r="L110" s="98" t="s">
        <v>702</v>
      </c>
      <c r="M110" s="110" t="s">
        <v>1469</v>
      </c>
      <c r="N110" s="110" t="s">
        <v>586</v>
      </c>
      <c r="O110" s="3"/>
      <c r="P110" s="3"/>
      <c r="Q110" s="3"/>
      <c r="R110" s="3"/>
      <c r="S110" s="3"/>
      <c r="T110" s="3"/>
      <c r="U110" s="3"/>
      <c r="V110" s="3"/>
      <c r="W110" s="3"/>
      <c r="X110" s="3"/>
      <c r="Y110" s="3"/>
      <c r="Z110" s="3"/>
      <c r="AA110" s="3"/>
      <c r="AB110" s="3"/>
      <c r="AC110" s="3"/>
    </row>
    <row r="111" customFormat="false" ht="36" hidden="false" customHeight="true" outlineLevel="0" collapsed="false">
      <c r="A111" s="3"/>
      <c r="B111" s="139" t="s">
        <v>6478</v>
      </c>
      <c r="C111" s="109" t="s">
        <v>296</v>
      </c>
      <c r="D111" s="109" t="s">
        <v>1502</v>
      </c>
      <c r="E111" s="109" t="s">
        <v>388</v>
      </c>
      <c r="F111" s="113" t="s">
        <v>1517</v>
      </c>
      <c r="G111" s="150" t="n">
        <v>36.09</v>
      </c>
      <c r="H111" s="91" t="s">
        <v>590</v>
      </c>
      <c r="I111" s="144" t="n">
        <v>1</v>
      </c>
      <c r="J111" s="91"/>
      <c r="K111" s="150" t="n">
        <v>36.09</v>
      </c>
      <c r="L111" s="91" t="s">
        <v>702</v>
      </c>
      <c r="M111" s="109" t="s">
        <v>1503</v>
      </c>
      <c r="N111" s="109" t="s">
        <v>586</v>
      </c>
      <c r="O111" s="3"/>
      <c r="P111" s="3"/>
      <c r="Q111" s="3"/>
      <c r="R111" s="3"/>
      <c r="S111" s="3"/>
      <c r="T111" s="3"/>
      <c r="U111" s="3"/>
      <c r="V111" s="3"/>
      <c r="W111" s="3"/>
      <c r="X111" s="3"/>
      <c r="Y111" s="3"/>
      <c r="Z111" s="3"/>
      <c r="AA111" s="3"/>
      <c r="AB111" s="3"/>
      <c r="AC111" s="3"/>
    </row>
    <row r="112" customFormat="false" ht="36" hidden="false" customHeight="true" outlineLevel="0" collapsed="false">
      <c r="A112" s="3"/>
      <c r="B112" s="141" t="s">
        <v>6478</v>
      </c>
      <c r="C112" s="110" t="s">
        <v>311</v>
      </c>
      <c r="D112" s="110" t="s">
        <v>1505</v>
      </c>
      <c r="E112" s="110" t="s">
        <v>662</v>
      </c>
      <c r="F112" s="117" t="s">
        <v>1518</v>
      </c>
      <c r="G112" s="151" t="n">
        <v>44.9</v>
      </c>
      <c r="H112" s="98" t="s">
        <v>590</v>
      </c>
      <c r="I112" s="146" t="n">
        <v>1</v>
      </c>
      <c r="J112" s="98"/>
      <c r="K112" s="151" t="n">
        <v>44.9</v>
      </c>
      <c r="L112" s="98" t="s">
        <v>629</v>
      </c>
      <c r="M112" s="110" t="s">
        <v>1506</v>
      </c>
      <c r="N112" s="110" t="s">
        <v>586</v>
      </c>
      <c r="O112" s="3"/>
      <c r="P112" s="3"/>
      <c r="Q112" s="3"/>
      <c r="R112" s="3"/>
      <c r="S112" s="3"/>
      <c r="T112" s="3"/>
      <c r="U112" s="3"/>
      <c r="V112" s="3"/>
      <c r="W112" s="3"/>
      <c r="X112" s="3"/>
      <c r="Y112" s="3"/>
      <c r="Z112" s="3"/>
      <c r="AA112" s="3"/>
      <c r="AB112" s="3"/>
      <c r="AC112" s="3"/>
    </row>
    <row r="113" customFormat="false" ht="36" hidden="false" customHeight="true" outlineLevel="0" collapsed="false">
      <c r="A113" s="3"/>
      <c r="B113" s="139" t="s">
        <v>6478</v>
      </c>
      <c r="C113" s="109" t="s">
        <v>309</v>
      </c>
      <c r="D113" s="109" t="s">
        <v>1508</v>
      </c>
      <c r="E113" s="109" t="s">
        <v>662</v>
      </c>
      <c r="F113" s="113" t="s">
        <v>1510</v>
      </c>
      <c r="G113" s="150" t="n">
        <v>26.19</v>
      </c>
      <c r="H113" s="91" t="s">
        <v>590</v>
      </c>
      <c r="I113" s="144" t="n">
        <v>1</v>
      </c>
      <c r="J113" s="91"/>
      <c r="K113" s="150" t="n">
        <v>26.19</v>
      </c>
      <c r="L113" s="91" t="s">
        <v>702</v>
      </c>
      <c r="M113" s="109" t="s">
        <v>1509</v>
      </c>
      <c r="N113" s="109" t="s">
        <v>586</v>
      </c>
      <c r="O113" s="3"/>
      <c r="P113" s="3"/>
      <c r="Q113" s="3"/>
      <c r="R113" s="3"/>
      <c r="S113" s="3"/>
      <c r="T113" s="3"/>
      <c r="U113" s="3"/>
      <c r="V113" s="3"/>
      <c r="W113" s="3"/>
      <c r="X113" s="3"/>
      <c r="Y113" s="3"/>
      <c r="Z113" s="3"/>
      <c r="AA113" s="3"/>
      <c r="AB113" s="3"/>
      <c r="AC113" s="3"/>
    </row>
    <row r="114" customFormat="false" ht="36" hidden="false" customHeight="true" outlineLevel="0" collapsed="false">
      <c r="A114" s="3"/>
      <c r="B114" s="141" t="s">
        <v>6478</v>
      </c>
      <c r="C114" s="110" t="s">
        <v>313</v>
      </c>
      <c r="D114" s="110" t="s">
        <v>1511</v>
      </c>
      <c r="E114" s="110" t="s">
        <v>642</v>
      </c>
      <c r="F114" s="117" t="s">
        <v>1520</v>
      </c>
      <c r="G114" s="151" t="n">
        <v>254.9</v>
      </c>
      <c r="H114" s="98" t="s">
        <v>265</v>
      </c>
      <c r="I114" s="146" t="n">
        <v>1</v>
      </c>
      <c r="J114" s="98"/>
      <c r="K114" s="151" t="n">
        <v>214.2</v>
      </c>
      <c r="L114" s="98" t="s">
        <v>629</v>
      </c>
      <c r="M114" s="110" t="s">
        <v>1512</v>
      </c>
      <c r="N114" s="110" t="s">
        <v>586</v>
      </c>
      <c r="O114" s="3"/>
      <c r="P114" s="3"/>
      <c r="Q114" s="3"/>
      <c r="R114" s="3"/>
      <c r="S114" s="3"/>
      <c r="T114" s="3"/>
      <c r="U114" s="3"/>
      <c r="V114" s="3"/>
      <c r="W114" s="3"/>
      <c r="X114" s="3"/>
      <c r="Y114" s="3"/>
      <c r="Z114" s="3"/>
      <c r="AA114" s="3"/>
      <c r="AB114" s="3"/>
      <c r="AC114" s="3"/>
    </row>
    <row r="115" customFormat="false" ht="36" hidden="false" customHeight="true" outlineLevel="0" collapsed="false">
      <c r="A115" s="3"/>
      <c r="B115" s="139" t="s">
        <v>6478</v>
      </c>
      <c r="C115" s="109" t="s">
        <v>321</v>
      </c>
      <c r="D115" s="109" t="s">
        <v>1514</v>
      </c>
      <c r="E115" s="109" t="s">
        <v>642</v>
      </c>
      <c r="F115" s="113" t="s">
        <v>1521</v>
      </c>
      <c r="G115" s="150" t="n">
        <v>176.33</v>
      </c>
      <c r="H115" s="91" t="s">
        <v>590</v>
      </c>
      <c r="I115" s="144" t="n">
        <v>1</v>
      </c>
      <c r="J115" s="91"/>
      <c r="K115" s="150" t="n">
        <v>176.33</v>
      </c>
      <c r="L115" s="91" t="s">
        <v>629</v>
      </c>
      <c r="M115" s="109" t="s">
        <v>1515</v>
      </c>
      <c r="N115" s="109" t="s">
        <v>586</v>
      </c>
      <c r="O115" s="3"/>
      <c r="P115" s="3"/>
      <c r="Q115" s="3"/>
      <c r="R115" s="3"/>
      <c r="S115" s="3"/>
      <c r="T115" s="3"/>
      <c r="U115" s="3"/>
      <c r="V115" s="3"/>
      <c r="W115" s="3"/>
      <c r="X115" s="3"/>
      <c r="Y115" s="3"/>
      <c r="Z115" s="3"/>
      <c r="AA115" s="3"/>
      <c r="AB115" s="3"/>
      <c r="AC115" s="3"/>
    </row>
    <row r="116" customFormat="false" ht="36" hidden="false" customHeight="true" outlineLevel="0" collapsed="false">
      <c r="A116" s="3"/>
      <c r="B116" s="141" t="s">
        <v>6478</v>
      </c>
      <c r="C116" s="110" t="s">
        <v>329</v>
      </c>
      <c r="D116" s="110" t="s">
        <v>1511</v>
      </c>
      <c r="E116" s="110" t="s">
        <v>642</v>
      </c>
      <c r="F116" s="117" t="s">
        <v>1523</v>
      </c>
      <c r="G116" s="151" t="n">
        <v>177.99</v>
      </c>
      <c r="H116" s="98" t="s">
        <v>590</v>
      </c>
      <c r="I116" s="146" t="n">
        <v>1</v>
      </c>
      <c r="J116" s="98"/>
      <c r="K116" s="151" t="n">
        <v>177.99</v>
      </c>
      <c r="L116" s="98" t="s">
        <v>629</v>
      </c>
      <c r="M116" s="110" t="s">
        <v>1522</v>
      </c>
      <c r="N116" s="110" t="s">
        <v>586</v>
      </c>
      <c r="O116" s="3"/>
      <c r="P116" s="3"/>
      <c r="Q116" s="3"/>
      <c r="R116" s="3"/>
      <c r="S116" s="3"/>
      <c r="T116" s="3"/>
      <c r="U116" s="3"/>
      <c r="V116" s="3"/>
      <c r="W116" s="3"/>
      <c r="X116" s="3"/>
      <c r="Y116" s="3"/>
      <c r="Z116" s="3"/>
      <c r="AA116" s="3"/>
      <c r="AB116" s="3"/>
      <c r="AC116" s="3"/>
    </row>
    <row r="117" customFormat="false" ht="30.75" hidden="false" customHeight="true" outlineLevel="0" collapsed="false">
      <c r="A117" s="3"/>
      <c r="B117" s="9"/>
      <c r="C117" s="9"/>
      <c r="D117" s="9"/>
      <c r="E117" s="9"/>
      <c r="F117" s="9"/>
      <c r="G117" s="10"/>
      <c r="H117" s="10"/>
      <c r="I117" s="10"/>
      <c r="J117" s="10"/>
      <c r="K117" s="10"/>
      <c r="L117" s="10"/>
      <c r="M117" s="9"/>
      <c r="N117" s="9"/>
      <c r="O117" s="3"/>
      <c r="P117" s="3"/>
      <c r="Q117" s="3"/>
      <c r="R117" s="3"/>
      <c r="S117" s="3"/>
      <c r="T117" s="3"/>
      <c r="U117" s="3"/>
      <c r="V117" s="3"/>
      <c r="W117" s="3"/>
      <c r="X117" s="3"/>
      <c r="Y117" s="3"/>
      <c r="Z117" s="3"/>
      <c r="AA117" s="3"/>
      <c r="AB117" s="3"/>
      <c r="AC117" s="3"/>
    </row>
    <row r="118" customFormat="false" ht="30.75" hidden="false" customHeight="true" outlineLevel="0" collapsed="false">
      <c r="A118" s="3"/>
      <c r="B118" s="9"/>
      <c r="C118" s="9"/>
      <c r="D118" s="9"/>
      <c r="E118" s="9"/>
      <c r="F118" s="9"/>
      <c r="G118" s="10"/>
      <c r="H118" s="10"/>
      <c r="I118" s="10"/>
      <c r="J118" s="10"/>
      <c r="K118" s="10"/>
      <c r="L118" s="10"/>
      <c r="M118" s="9"/>
      <c r="N118" s="9"/>
      <c r="O118" s="3"/>
      <c r="P118" s="3"/>
      <c r="Q118" s="3"/>
      <c r="R118" s="3"/>
      <c r="S118" s="3"/>
      <c r="T118" s="3"/>
      <c r="U118" s="3"/>
      <c r="V118" s="3"/>
      <c r="W118" s="3"/>
      <c r="X118" s="3"/>
      <c r="Y118" s="3"/>
      <c r="Z118" s="3"/>
      <c r="AA118" s="3"/>
      <c r="AB118" s="3"/>
      <c r="AC118" s="3"/>
    </row>
    <row r="119" customFormat="false" ht="30.75" hidden="false" customHeight="true" outlineLevel="0" collapsed="false">
      <c r="A119" s="3"/>
      <c r="B119" s="9"/>
      <c r="C119" s="9"/>
      <c r="D119" s="9"/>
      <c r="E119" s="9"/>
      <c r="F119" s="9"/>
      <c r="G119" s="10"/>
      <c r="H119" s="10"/>
      <c r="I119" s="10"/>
      <c r="J119" s="10"/>
      <c r="K119" s="10"/>
      <c r="L119" s="10"/>
      <c r="M119" s="9"/>
      <c r="N119" s="9"/>
      <c r="O119" s="3"/>
      <c r="P119" s="3"/>
      <c r="Q119" s="3"/>
      <c r="R119" s="3"/>
      <c r="S119" s="3"/>
      <c r="T119" s="3"/>
      <c r="U119" s="3"/>
      <c r="V119" s="3"/>
      <c r="W119" s="3"/>
      <c r="X119" s="3"/>
      <c r="Y119" s="3"/>
      <c r="Z119" s="3"/>
      <c r="AA119" s="3"/>
      <c r="AB119" s="3"/>
      <c r="AC119" s="3"/>
    </row>
    <row r="120" customFormat="false" ht="25.5" hidden="false" customHeight="true" outlineLevel="0" collapsed="false">
      <c r="A120" s="3"/>
      <c r="B120" s="133" t="s">
        <v>6926</v>
      </c>
      <c r="C120" s="133"/>
      <c r="D120" s="133"/>
      <c r="E120" s="133"/>
      <c r="F120" s="133"/>
      <c r="G120" s="40"/>
      <c r="H120" s="40"/>
      <c r="I120" s="10"/>
      <c r="J120" s="10"/>
      <c r="K120" s="10"/>
      <c r="L120" s="10"/>
      <c r="M120" s="9"/>
      <c r="N120" s="9"/>
      <c r="O120" s="3"/>
      <c r="P120" s="3"/>
      <c r="Q120" s="3"/>
      <c r="R120" s="3"/>
      <c r="S120" s="3"/>
      <c r="T120" s="3"/>
      <c r="U120" s="3"/>
      <c r="V120" s="3"/>
      <c r="W120" s="3"/>
      <c r="X120" s="3"/>
      <c r="Y120" s="3"/>
      <c r="Z120" s="3"/>
      <c r="AA120" s="3"/>
      <c r="AB120" s="3"/>
      <c r="AC120" s="3"/>
    </row>
    <row r="121" customFormat="false" ht="36" hidden="false" customHeight="true" outlineLevel="0" collapsed="false">
      <c r="A121" s="3"/>
      <c r="B121" s="123" t="s">
        <v>6927</v>
      </c>
      <c r="C121" s="22" t="s">
        <v>6928</v>
      </c>
      <c r="D121" s="22" t="s">
        <v>6929</v>
      </c>
      <c r="E121" s="22" t="s">
        <v>6930</v>
      </c>
      <c r="F121" s="22" t="s">
        <v>6931</v>
      </c>
      <c r="G121" s="22" t="s">
        <v>7083</v>
      </c>
      <c r="H121" s="22" t="s">
        <v>6933</v>
      </c>
      <c r="I121" s="22" t="s">
        <v>240</v>
      </c>
      <c r="J121" s="10"/>
      <c r="K121" s="10"/>
      <c r="L121" s="10"/>
      <c r="M121" s="9"/>
      <c r="N121" s="9"/>
      <c r="O121" s="3"/>
      <c r="P121" s="3"/>
      <c r="Q121" s="3"/>
      <c r="R121" s="3"/>
      <c r="S121" s="3"/>
      <c r="T121" s="3"/>
      <c r="U121" s="3"/>
      <c r="V121" s="3"/>
      <c r="W121" s="3"/>
      <c r="X121" s="3"/>
      <c r="Y121" s="3"/>
      <c r="Z121" s="3"/>
      <c r="AA121" s="3"/>
      <c r="AB121" s="3"/>
      <c r="AC121" s="3"/>
    </row>
    <row r="122" customFormat="false" ht="139.5" hidden="false" customHeight="true" outlineLevel="0" collapsed="false">
      <c r="A122" s="3"/>
      <c r="B122" s="139" t="s">
        <v>321</v>
      </c>
      <c r="C122" s="113" t="s">
        <v>7084</v>
      </c>
      <c r="D122" s="109" t="s">
        <v>6935</v>
      </c>
      <c r="E122" s="109" t="s">
        <v>6936</v>
      </c>
      <c r="F122" s="109" t="s">
        <v>7085</v>
      </c>
      <c r="G122" s="91" t="s">
        <v>7086</v>
      </c>
      <c r="H122" s="91" t="s">
        <v>5796</v>
      </c>
      <c r="I122" s="91" t="s">
        <v>7087</v>
      </c>
      <c r="J122" s="10"/>
      <c r="K122" s="10"/>
      <c r="L122" s="10"/>
      <c r="M122" s="9"/>
      <c r="N122" s="9"/>
      <c r="O122" s="3"/>
      <c r="P122" s="3"/>
      <c r="Q122" s="3"/>
      <c r="R122" s="3"/>
      <c r="S122" s="3"/>
      <c r="T122" s="3"/>
      <c r="U122" s="3"/>
      <c r="V122" s="3"/>
      <c r="W122" s="3"/>
      <c r="X122" s="3"/>
      <c r="Y122" s="3"/>
      <c r="Z122" s="3"/>
      <c r="AA122" s="3"/>
      <c r="AB122" s="3"/>
      <c r="AC122" s="3"/>
    </row>
    <row r="123" customFormat="false" ht="282.75" hidden="false" customHeight="true" outlineLevel="0" collapsed="false">
      <c r="A123" s="3"/>
      <c r="B123" s="141" t="s">
        <v>317</v>
      </c>
      <c r="C123" s="117" t="s">
        <v>7088</v>
      </c>
      <c r="D123" s="110" t="s">
        <v>6935</v>
      </c>
      <c r="E123" s="110" t="s">
        <v>6936</v>
      </c>
      <c r="F123" s="110" t="s">
        <v>7089</v>
      </c>
      <c r="G123" s="98" t="s">
        <v>7090</v>
      </c>
      <c r="H123" s="98" t="s">
        <v>7051</v>
      </c>
      <c r="I123" s="98" t="s">
        <v>7091</v>
      </c>
      <c r="J123" s="10"/>
      <c r="K123" s="10"/>
      <c r="L123" s="10"/>
      <c r="M123" s="9"/>
      <c r="N123" s="9"/>
      <c r="O123" s="3"/>
      <c r="P123" s="3"/>
      <c r="Q123" s="3"/>
      <c r="R123" s="3"/>
      <c r="S123" s="3"/>
      <c r="T123" s="3"/>
      <c r="U123" s="3"/>
      <c r="V123" s="3"/>
      <c r="W123" s="3"/>
      <c r="X123" s="3"/>
      <c r="Y123" s="3"/>
      <c r="Z123" s="3"/>
      <c r="AA123" s="3"/>
      <c r="AB123" s="3"/>
      <c r="AC123" s="3"/>
    </row>
    <row r="124" customFormat="false" ht="153" hidden="false" customHeight="true" outlineLevel="0" collapsed="false">
      <c r="A124" s="3"/>
      <c r="B124" s="139" t="s">
        <v>311</v>
      </c>
      <c r="C124" s="113" t="s">
        <v>7092</v>
      </c>
      <c r="D124" s="109" t="s">
        <v>6935</v>
      </c>
      <c r="E124" s="109" t="s">
        <v>6936</v>
      </c>
      <c r="F124" s="109" t="s">
        <v>7093</v>
      </c>
      <c r="G124" s="91" t="s">
        <v>7094</v>
      </c>
      <c r="H124" s="91" t="s">
        <v>7095</v>
      </c>
      <c r="I124" s="91" t="s">
        <v>7096</v>
      </c>
      <c r="J124" s="10"/>
      <c r="K124" s="10"/>
      <c r="L124" s="10"/>
      <c r="M124" s="9"/>
      <c r="N124" s="9"/>
      <c r="O124" s="3"/>
      <c r="P124" s="3"/>
      <c r="Q124" s="3"/>
      <c r="R124" s="3"/>
      <c r="S124" s="3"/>
      <c r="T124" s="3"/>
      <c r="U124" s="3"/>
      <c r="V124" s="3"/>
      <c r="W124" s="3"/>
      <c r="X124" s="3"/>
      <c r="Y124" s="3"/>
      <c r="Z124" s="3"/>
      <c r="AA124" s="3"/>
      <c r="AB124" s="3"/>
      <c r="AC124" s="3"/>
    </row>
    <row r="125" customFormat="false" ht="165.75" hidden="false" customHeight="true" outlineLevel="0" collapsed="false">
      <c r="A125" s="3"/>
      <c r="B125" s="141" t="s">
        <v>296</v>
      </c>
      <c r="C125" s="117" t="s">
        <v>7097</v>
      </c>
      <c r="D125" s="110" t="s">
        <v>6935</v>
      </c>
      <c r="E125" s="110" t="s">
        <v>6941</v>
      </c>
      <c r="F125" s="110" t="s">
        <v>7098</v>
      </c>
      <c r="G125" s="98" t="s">
        <v>7099</v>
      </c>
      <c r="H125" s="98" t="s">
        <v>5796</v>
      </c>
      <c r="I125" s="98" t="s">
        <v>7100</v>
      </c>
      <c r="J125" s="10"/>
      <c r="K125" s="10"/>
      <c r="L125" s="10"/>
      <c r="M125" s="9"/>
      <c r="N125" s="9"/>
      <c r="O125" s="3"/>
      <c r="P125" s="3"/>
      <c r="Q125" s="3"/>
      <c r="R125" s="3"/>
      <c r="S125" s="3"/>
      <c r="T125" s="3"/>
      <c r="U125" s="3"/>
      <c r="V125" s="3"/>
      <c r="W125" s="3"/>
      <c r="X125" s="3"/>
      <c r="Y125" s="3"/>
      <c r="Z125" s="3"/>
      <c r="AA125" s="3"/>
      <c r="AB125" s="3"/>
      <c r="AC125" s="3"/>
    </row>
    <row r="126" customFormat="false" ht="178.5" hidden="false" customHeight="true" outlineLevel="0" collapsed="false">
      <c r="A126" s="3"/>
      <c r="B126" s="139" t="s">
        <v>313</v>
      </c>
      <c r="C126" s="113" t="s">
        <v>7101</v>
      </c>
      <c r="D126" s="109" t="s">
        <v>6935</v>
      </c>
      <c r="E126" s="109" t="s">
        <v>6941</v>
      </c>
      <c r="F126" s="109" t="s">
        <v>7102</v>
      </c>
      <c r="G126" s="91" t="s">
        <v>7103</v>
      </c>
      <c r="H126" s="91" t="s">
        <v>5796</v>
      </c>
      <c r="I126" s="91" t="s">
        <v>7104</v>
      </c>
      <c r="J126" s="10"/>
      <c r="K126" s="10"/>
      <c r="L126" s="10"/>
      <c r="M126" s="9"/>
      <c r="N126" s="9"/>
      <c r="O126" s="3"/>
      <c r="P126" s="3"/>
      <c r="Q126" s="3"/>
      <c r="R126" s="3"/>
      <c r="S126" s="3"/>
      <c r="T126" s="3"/>
      <c r="U126" s="3"/>
      <c r="V126" s="3"/>
      <c r="W126" s="3"/>
      <c r="X126" s="3"/>
      <c r="Y126" s="3"/>
      <c r="Z126" s="3"/>
      <c r="AA126" s="3"/>
      <c r="AB126" s="3"/>
      <c r="AC126" s="3"/>
    </row>
    <row r="127" customFormat="false" ht="217.5" hidden="false" customHeight="true" outlineLevel="0" collapsed="false">
      <c r="A127" s="3"/>
      <c r="B127" s="141" t="s">
        <v>329</v>
      </c>
      <c r="C127" s="117" t="s">
        <v>7105</v>
      </c>
      <c r="D127" s="110" t="s">
        <v>6935</v>
      </c>
      <c r="E127" s="110" t="s">
        <v>6941</v>
      </c>
      <c r="F127" s="110" t="s">
        <v>7106</v>
      </c>
      <c r="G127" s="98" t="s">
        <v>7107</v>
      </c>
      <c r="H127" s="98" t="s">
        <v>6954</v>
      </c>
      <c r="I127" s="98" t="s">
        <v>7108</v>
      </c>
      <c r="J127" s="10"/>
      <c r="K127" s="10"/>
      <c r="L127" s="10"/>
      <c r="M127" s="9"/>
      <c r="N127" s="9"/>
      <c r="O127" s="3"/>
      <c r="P127" s="3"/>
      <c r="Q127" s="3"/>
      <c r="R127" s="3"/>
      <c r="S127" s="3"/>
      <c r="T127" s="3"/>
      <c r="U127" s="3"/>
      <c r="V127" s="3"/>
      <c r="W127" s="3"/>
      <c r="X127" s="3"/>
      <c r="Y127" s="3"/>
      <c r="Z127" s="3"/>
      <c r="AA127" s="3"/>
      <c r="AB127" s="3"/>
      <c r="AC127" s="3"/>
    </row>
    <row r="128" customFormat="false" ht="178.5" hidden="false" customHeight="true" outlineLevel="0" collapsed="false">
      <c r="A128" s="3"/>
      <c r="B128" s="139" t="s">
        <v>309</v>
      </c>
      <c r="C128" s="113" t="s">
        <v>6951</v>
      </c>
      <c r="D128" s="109" t="s">
        <v>6935</v>
      </c>
      <c r="E128" s="109" t="s">
        <v>6941</v>
      </c>
      <c r="F128" s="109" t="s">
        <v>7109</v>
      </c>
      <c r="G128" s="91" t="s">
        <v>7110</v>
      </c>
      <c r="H128" s="91" t="s">
        <v>6954</v>
      </c>
      <c r="I128" s="91" t="s">
        <v>7111</v>
      </c>
      <c r="J128" s="10"/>
      <c r="K128" s="10"/>
      <c r="L128" s="10"/>
      <c r="M128" s="9"/>
      <c r="N128" s="9"/>
      <c r="O128" s="3"/>
      <c r="P128" s="3"/>
      <c r="Q128" s="3"/>
      <c r="R128" s="3"/>
      <c r="S128" s="3"/>
      <c r="T128" s="3"/>
      <c r="U128" s="3"/>
      <c r="V128" s="3"/>
      <c r="W128" s="3"/>
      <c r="X128" s="3"/>
      <c r="Y128" s="3"/>
      <c r="Z128" s="3"/>
      <c r="AA128" s="3"/>
      <c r="AB128" s="3"/>
      <c r="AC128" s="3"/>
    </row>
    <row r="129" customFormat="false" ht="30.75" hidden="false" customHeight="true" outlineLevel="0" collapsed="false">
      <c r="A129" s="3"/>
      <c r="B129" s="9"/>
      <c r="C129" s="9"/>
      <c r="D129" s="9"/>
      <c r="E129" s="9"/>
      <c r="F129" s="9"/>
      <c r="G129" s="10"/>
      <c r="H129" s="10"/>
      <c r="I129" s="10"/>
      <c r="J129" s="10"/>
      <c r="K129" s="10"/>
      <c r="L129" s="10"/>
      <c r="M129" s="9"/>
      <c r="N129" s="9"/>
      <c r="O129" s="3"/>
      <c r="P129" s="3"/>
      <c r="Q129" s="3"/>
      <c r="R129" s="3"/>
      <c r="S129" s="3"/>
      <c r="T129" s="3"/>
      <c r="U129" s="3"/>
      <c r="V129" s="3"/>
      <c r="W129" s="3"/>
      <c r="X129" s="3"/>
      <c r="Y129" s="3"/>
      <c r="Z129" s="3"/>
      <c r="AA129" s="3"/>
      <c r="AB129" s="3"/>
      <c r="AC129" s="3"/>
    </row>
    <row r="130" customFormat="false" ht="30.75" hidden="false" customHeight="true" outlineLevel="0" collapsed="false">
      <c r="A130" s="3"/>
      <c r="B130" s="9"/>
      <c r="C130" s="9"/>
      <c r="D130" s="9"/>
      <c r="E130" s="9"/>
      <c r="F130" s="9"/>
      <c r="G130" s="10"/>
      <c r="H130" s="10"/>
      <c r="I130" s="10"/>
      <c r="J130" s="10"/>
      <c r="K130" s="10"/>
      <c r="L130" s="10"/>
      <c r="M130" s="9"/>
      <c r="N130" s="9"/>
      <c r="O130" s="3"/>
      <c r="P130" s="3"/>
      <c r="Q130" s="3"/>
      <c r="R130" s="3"/>
      <c r="S130" s="3"/>
      <c r="T130" s="3"/>
      <c r="U130" s="3"/>
      <c r="V130" s="3"/>
      <c r="W130" s="3"/>
      <c r="X130" s="3"/>
      <c r="Y130" s="3"/>
      <c r="Z130" s="3"/>
      <c r="AA130" s="3"/>
      <c r="AB130" s="3"/>
      <c r="AC130" s="3"/>
    </row>
    <row r="131" customFormat="false" ht="30.75" hidden="false" customHeight="true" outlineLevel="0" collapsed="false">
      <c r="A131" s="3"/>
      <c r="B131" s="9"/>
      <c r="C131" s="9"/>
      <c r="D131" s="9"/>
      <c r="E131" s="9"/>
      <c r="F131" s="9"/>
      <c r="G131" s="10"/>
      <c r="H131" s="10"/>
      <c r="I131" s="10"/>
      <c r="J131" s="10"/>
      <c r="K131" s="10"/>
      <c r="L131" s="10"/>
      <c r="M131" s="9"/>
      <c r="N131" s="9"/>
      <c r="O131" s="3"/>
      <c r="P131" s="3"/>
      <c r="Q131" s="3"/>
      <c r="R131" s="3"/>
      <c r="S131" s="3"/>
      <c r="T131" s="3"/>
      <c r="U131" s="3"/>
      <c r="V131" s="3"/>
      <c r="W131" s="3"/>
      <c r="X131" s="3"/>
      <c r="Y131" s="3"/>
      <c r="Z131" s="3"/>
      <c r="AA131" s="3"/>
      <c r="AB131" s="3"/>
      <c r="AC131" s="3"/>
    </row>
    <row r="132" customFormat="false" ht="25.5" hidden="false" customHeight="true" outlineLevel="0" collapsed="false">
      <c r="A132" s="3"/>
      <c r="B132" s="133" t="s">
        <v>6970</v>
      </c>
      <c r="C132" s="133"/>
      <c r="D132" s="133"/>
      <c r="E132" s="133"/>
      <c r="F132" s="133"/>
      <c r="G132" s="10"/>
      <c r="H132" s="10"/>
      <c r="I132" s="10"/>
      <c r="J132" s="10"/>
      <c r="K132" s="10"/>
      <c r="L132" s="10"/>
      <c r="M132" s="9"/>
      <c r="N132" s="9"/>
      <c r="O132" s="3"/>
      <c r="P132" s="3"/>
      <c r="Q132" s="3"/>
      <c r="R132" s="3"/>
      <c r="S132" s="3"/>
      <c r="T132" s="3"/>
      <c r="U132" s="3"/>
      <c r="V132" s="3"/>
      <c r="W132" s="3"/>
      <c r="X132" s="3"/>
      <c r="Y132" s="3"/>
      <c r="Z132" s="3"/>
      <c r="AA132" s="3"/>
      <c r="AB132" s="3"/>
      <c r="AC132" s="3"/>
    </row>
    <row r="133" customFormat="false" ht="36" hidden="false" customHeight="true" outlineLevel="0" collapsed="false">
      <c r="A133" s="3"/>
      <c r="B133" s="152" t="s">
        <v>6917</v>
      </c>
      <c r="C133" s="23" t="s">
        <v>6971</v>
      </c>
      <c r="D133" s="23" t="s">
        <v>6972</v>
      </c>
      <c r="E133" s="23" t="s">
        <v>6973</v>
      </c>
      <c r="F133" s="23" t="s">
        <v>6974</v>
      </c>
      <c r="G133" s="10"/>
      <c r="H133" s="10"/>
      <c r="I133" s="10"/>
      <c r="J133" s="10"/>
      <c r="K133" s="10"/>
      <c r="L133" s="10"/>
      <c r="M133" s="9"/>
      <c r="N133" s="9"/>
      <c r="O133" s="3"/>
      <c r="P133" s="3"/>
      <c r="Q133" s="3"/>
      <c r="R133" s="3"/>
      <c r="S133" s="3"/>
      <c r="T133" s="3"/>
      <c r="U133" s="3"/>
      <c r="V133" s="3"/>
      <c r="W133" s="3"/>
      <c r="X133" s="3"/>
      <c r="Y133" s="3"/>
      <c r="Z133" s="3"/>
      <c r="AA133" s="3"/>
      <c r="AB133" s="3"/>
      <c r="AC133" s="3"/>
    </row>
    <row r="134" customFormat="false" ht="36" hidden="false" customHeight="true" outlineLevel="0" collapsed="false">
      <c r="A134" s="3"/>
      <c r="B134" s="139" t="s">
        <v>6459</v>
      </c>
      <c r="C134" s="153" t="n">
        <v>7.26</v>
      </c>
      <c r="D134" s="153" t="n">
        <v>12.24</v>
      </c>
      <c r="E134" s="153" t="n">
        <v>22.43</v>
      </c>
      <c r="F134" s="109" t="s">
        <v>7112</v>
      </c>
      <c r="G134" s="10"/>
      <c r="H134" s="10"/>
      <c r="I134" s="10"/>
      <c r="J134" s="10"/>
      <c r="K134" s="10"/>
      <c r="L134" s="10"/>
      <c r="M134" s="9"/>
      <c r="N134" s="9"/>
      <c r="O134" s="3"/>
      <c r="P134" s="3"/>
      <c r="Q134" s="3"/>
      <c r="R134" s="3"/>
      <c r="S134" s="3"/>
      <c r="T134" s="3"/>
      <c r="U134" s="3"/>
      <c r="V134" s="3"/>
      <c r="W134" s="3"/>
      <c r="X134" s="3"/>
      <c r="Y134" s="3"/>
      <c r="Z134" s="3"/>
      <c r="AA134" s="3"/>
      <c r="AB134" s="3"/>
      <c r="AC134" s="3"/>
    </row>
    <row r="135" customFormat="false" ht="36" hidden="false" customHeight="true" outlineLevel="0" collapsed="false">
      <c r="A135" s="3"/>
      <c r="B135" s="141" t="s">
        <v>6461</v>
      </c>
      <c r="C135" s="154" t="n">
        <v>5.82</v>
      </c>
      <c r="D135" s="154" t="n">
        <v>9.04</v>
      </c>
      <c r="E135" s="154" t="n">
        <v>18.75</v>
      </c>
      <c r="F135" s="110" t="s">
        <v>7113</v>
      </c>
      <c r="G135" s="10"/>
      <c r="H135" s="10"/>
      <c r="I135" s="10"/>
      <c r="J135" s="10"/>
      <c r="K135" s="10"/>
      <c r="L135" s="10"/>
      <c r="M135" s="9"/>
      <c r="N135" s="9"/>
      <c r="O135" s="3"/>
      <c r="P135" s="3"/>
      <c r="Q135" s="3"/>
      <c r="R135" s="3"/>
      <c r="S135" s="3"/>
      <c r="T135" s="3"/>
      <c r="U135" s="3"/>
      <c r="V135" s="3"/>
      <c r="W135" s="3"/>
      <c r="X135" s="3"/>
      <c r="Y135" s="3"/>
      <c r="Z135" s="3"/>
      <c r="AA135" s="3"/>
      <c r="AB135" s="3"/>
      <c r="AC135" s="3"/>
    </row>
    <row r="136" customFormat="false" ht="36" hidden="false" customHeight="true" outlineLevel="0" collapsed="false">
      <c r="A136" s="3"/>
      <c r="B136" s="139" t="s">
        <v>6462</v>
      </c>
      <c r="C136" s="153" t="n">
        <v>3.17</v>
      </c>
      <c r="D136" s="153" t="n">
        <v>7.94</v>
      </c>
      <c r="E136" s="153" t="n">
        <v>18.6</v>
      </c>
      <c r="F136" s="109" t="s">
        <v>7112</v>
      </c>
      <c r="G136" s="10"/>
      <c r="H136" s="10"/>
      <c r="I136" s="10"/>
      <c r="J136" s="10"/>
      <c r="K136" s="10"/>
      <c r="L136" s="10"/>
      <c r="M136" s="9"/>
      <c r="N136" s="9"/>
      <c r="O136" s="3"/>
      <c r="P136" s="3"/>
      <c r="Q136" s="3"/>
      <c r="R136" s="3"/>
      <c r="S136" s="3"/>
      <c r="T136" s="3"/>
      <c r="U136" s="3"/>
      <c r="V136" s="3"/>
      <c r="W136" s="3"/>
      <c r="X136" s="3"/>
      <c r="Y136" s="3"/>
      <c r="Z136" s="3"/>
      <c r="AA136" s="3"/>
      <c r="AB136" s="3"/>
      <c r="AC136" s="3"/>
    </row>
    <row r="137" customFormat="false" ht="36" hidden="false" customHeight="true" outlineLevel="0" collapsed="false">
      <c r="A137" s="3"/>
      <c r="B137" s="141" t="s">
        <v>6463</v>
      </c>
      <c r="C137" s="154" t="n">
        <v>2.33</v>
      </c>
      <c r="D137" s="154" t="n">
        <v>6.39</v>
      </c>
      <c r="E137" s="154" t="n">
        <v>16.66</v>
      </c>
      <c r="F137" s="110" t="s">
        <v>7112</v>
      </c>
      <c r="G137" s="10"/>
      <c r="H137" s="10"/>
      <c r="I137" s="10"/>
      <c r="J137" s="10"/>
      <c r="K137" s="10"/>
      <c r="L137" s="10"/>
      <c r="M137" s="9"/>
      <c r="N137" s="9"/>
      <c r="O137" s="3"/>
      <c r="P137" s="3"/>
      <c r="Q137" s="3"/>
      <c r="R137" s="3"/>
      <c r="S137" s="3"/>
      <c r="T137" s="3"/>
      <c r="U137" s="3"/>
      <c r="V137" s="3"/>
      <c r="W137" s="3"/>
      <c r="X137" s="3"/>
      <c r="Y137" s="3"/>
      <c r="Z137" s="3"/>
      <c r="AA137" s="3"/>
      <c r="AB137" s="3"/>
      <c r="AC137" s="3"/>
    </row>
    <row r="138" customFormat="false" ht="36" hidden="false" customHeight="true" outlineLevel="0" collapsed="false">
      <c r="A138" s="3"/>
      <c r="B138" s="139" t="s">
        <v>25</v>
      </c>
      <c r="C138" s="153" t="n">
        <v>1.42</v>
      </c>
      <c r="D138" s="153" t="n">
        <v>2.32</v>
      </c>
      <c r="E138" s="153" t="n">
        <v>4</v>
      </c>
      <c r="F138" s="109" t="s">
        <v>7114</v>
      </c>
      <c r="G138" s="10"/>
      <c r="H138" s="10"/>
      <c r="I138" s="10"/>
      <c r="J138" s="10"/>
      <c r="K138" s="10"/>
      <c r="L138" s="10"/>
      <c r="M138" s="9"/>
      <c r="N138" s="9"/>
      <c r="O138" s="3"/>
      <c r="P138" s="3"/>
      <c r="Q138" s="3"/>
      <c r="R138" s="3"/>
      <c r="S138" s="3"/>
      <c r="T138" s="3"/>
      <c r="U138" s="3"/>
      <c r="V138" s="3"/>
      <c r="W138" s="3"/>
      <c r="X138" s="3"/>
      <c r="Y138" s="3"/>
      <c r="Z138" s="3"/>
      <c r="AA138" s="3"/>
      <c r="AB138" s="3"/>
      <c r="AC138" s="3"/>
    </row>
    <row r="139" customFormat="false" ht="36" hidden="false" customHeight="true" outlineLevel="0" collapsed="false">
      <c r="A139" s="3"/>
      <c r="B139" s="141" t="s">
        <v>6465</v>
      </c>
      <c r="C139" s="154" t="n">
        <v>1.79</v>
      </c>
      <c r="D139" s="154" t="n">
        <v>2.35</v>
      </c>
      <c r="E139" s="154" t="n">
        <v>5.33</v>
      </c>
      <c r="F139" s="110" t="s">
        <v>7112</v>
      </c>
      <c r="G139" s="10"/>
      <c r="H139" s="10"/>
      <c r="I139" s="10"/>
      <c r="J139" s="10"/>
      <c r="K139" s="10"/>
      <c r="L139" s="10"/>
      <c r="M139" s="9"/>
      <c r="N139" s="9"/>
      <c r="O139" s="3"/>
      <c r="P139" s="3"/>
      <c r="Q139" s="3"/>
      <c r="R139" s="3"/>
      <c r="S139" s="3"/>
      <c r="T139" s="3"/>
      <c r="U139" s="3"/>
      <c r="V139" s="3"/>
      <c r="W139" s="3"/>
      <c r="X139" s="3"/>
      <c r="Y139" s="3"/>
      <c r="Z139" s="3"/>
      <c r="AA139" s="3"/>
      <c r="AB139" s="3"/>
      <c r="AC139" s="3"/>
    </row>
    <row r="140" customFormat="false" ht="33" hidden="false" customHeight="true" outlineLevel="0" collapsed="false">
      <c r="A140" s="3"/>
      <c r="B140" s="139" t="s">
        <v>27</v>
      </c>
      <c r="C140" s="109"/>
      <c r="D140" s="109"/>
      <c r="E140" s="109"/>
      <c r="F140" s="109"/>
      <c r="G140" s="10"/>
      <c r="H140" s="10"/>
      <c r="I140" s="10"/>
      <c r="J140" s="10"/>
      <c r="K140" s="10"/>
      <c r="L140" s="10"/>
      <c r="M140" s="9"/>
      <c r="N140" s="9"/>
      <c r="O140" s="3"/>
      <c r="P140" s="3"/>
      <c r="Q140" s="3"/>
      <c r="R140" s="3"/>
      <c r="S140" s="3"/>
      <c r="T140" s="3"/>
      <c r="U140" s="3"/>
      <c r="V140" s="3"/>
      <c r="W140" s="3"/>
      <c r="X140" s="3"/>
      <c r="Y140" s="3"/>
      <c r="Z140" s="3"/>
      <c r="AA140" s="3"/>
      <c r="AB140" s="3"/>
      <c r="AC140" s="3"/>
    </row>
    <row r="141" customFormat="false" ht="36" hidden="false" customHeight="true" outlineLevel="0" collapsed="false">
      <c r="A141" s="3"/>
      <c r="B141" s="141" t="s">
        <v>6466</v>
      </c>
      <c r="C141" s="154" t="n">
        <v>18.09</v>
      </c>
      <c r="D141" s="154" t="n">
        <v>27.49</v>
      </c>
      <c r="E141" s="154" t="n">
        <v>93.66</v>
      </c>
      <c r="F141" s="110" t="s">
        <v>7114</v>
      </c>
      <c r="G141" s="10"/>
      <c r="H141" s="10"/>
      <c r="I141" s="10"/>
      <c r="J141" s="10"/>
      <c r="K141" s="10"/>
      <c r="L141" s="10"/>
      <c r="M141" s="9"/>
      <c r="N141" s="9"/>
      <c r="O141" s="3"/>
      <c r="P141" s="3"/>
      <c r="Q141" s="3"/>
      <c r="R141" s="3"/>
      <c r="S141" s="3"/>
      <c r="T141" s="3"/>
      <c r="U141" s="3"/>
      <c r="V141" s="3"/>
      <c r="W141" s="3"/>
      <c r="X141" s="3"/>
      <c r="Y141" s="3"/>
      <c r="Z141" s="3"/>
      <c r="AA141" s="3"/>
      <c r="AB141" s="3"/>
      <c r="AC141" s="3"/>
    </row>
    <row r="142" customFormat="false" ht="36" hidden="false" customHeight="true" outlineLevel="0" collapsed="false">
      <c r="A142" s="3"/>
      <c r="B142" s="139" t="s">
        <v>6467</v>
      </c>
      <c r="C142" s="153" t="n">
        <v>17.29</v>
      </c>
      <c r="D142" s="153" t="n">
        <v>23.49</v>
      </c>
      <c r="E142" s="153" t="n">
        <v>31.04</v>
      </c>
      <c r="F142" s="109" t="s">
        <v>7114</v>
      </c>
      <c r="G142" s="10"/>
      <c r="H142" s="10"/>
      <c r="I142" s="10"/>
      <c r="J142" s="10"/>
      <c r="K142" s="10"/>
      <c r="L142" s="10"/>
      <c r="M142" s="9"/>
      <c r="N142" s="9"/>
      <c r="O142" s="3"/>
      <c r="P142" s="3"/>
      <c r="Q142" s="3"/>
      <c r="R142" s="3"/>
      <c r="S142" s="3"/>
      <c r="T142" s="3"/>
      <c r="U142" s="3"/>
      <c r="V142" s="3"/>
      <c r="W142" s="3"/>
      <c r="X142" s="3"/>
      <c r="Y142" s="3"/>
      <c r="Z142" s="3"/>
      <c r="AA142" s="3"/>
      <c r="AB142" s="3"/>
      <c r="AC142" s="3"/>
    </row>
    <row r="143" customFormat="false" ht="36" hidden="false" customHeight="true" outlineLevel="0" collapsed="false">
      <c r="A143" s="3"/>
      <c r="B143" s="141" t="s">
        <v>6469</v>
      </c>
      <c r="C143" s="154" t="n">
        <v>28.49</v>
      </c>
      <c r="D143" s="154" t="n">
        <v>35.05</v>
      </c>
      <c r="E143" s="154" t="n">
        <v>57.99</v>
      </c>
      <c r="F143" s="110" t="s">
        <v>7114</v>
      </c>
      <c r="G143" s="10"/>
      <c r="H143" s="10"/>
      <c r="I143" s="10"/>
      <c r="J143" s="10"/>
      <c r="K143" s="10"/>
      <c r="L143" s="10"/>
      <c r="M143" s="9"/>
      <c r="N143" s="9"/>
      <c r="O143" s="3"/>
      <c r="P143" s="3"/>
      <c r="Q143" s="3"/>
      <c r="R143" s="3"/>
      <c r="S143" s="3"/>
      <c r="T143" s="3"/>
      <c r="U143" s="3"/>
      <c r="V143" s="3"/>
      <c r="W143" s="3"/>
      <c r="X143" s="3"/>
      <c r="Y143" s="3"/>
      <c r="Z143" s="3"/>
      <c r="AA143" s="3"/>
      <c r="AB143" s="3"/>
      <c r="AC143" s="3"/>
    </row>
    <row r="144" customFormat="false" ht="36" hidden="false" customHeight="true" outlineLevel="0" collapsed="false">
      <c r="A144" s="3"/>
      <c r="B144" s="139" t="s">
        <v>6470</v>
      </c>
      <c r="C144" s="153" t="n">
        <v>4.89</v>
      </c>
      <c r="D144" s="153" t="n">
        <v>8.06</v>
      </c>
      <c r="E144" s="153" t="n">
        <v>15.76</v>
      </c>
      <c r="F144" s="109" t="s">
        <v>7115</v>
      </c>
      <c r="G144" s="10"/>
      <c r="H144" s="10"/>
      <c r="I144" s="10"/>
      <c r="J144" s="10"/>
      <c r="K144" s="10"/>
      <c r="L144" s="10"/>
      <c r="M144" s="9"/>
      <c r="N144" s="9"/>
      <c r="O144" s="3"/>
      <c r="P144" s="3"/>
      <c r="Q144" s="3"/>
      <c r="R144" s="3"/>
      <c r="S144" s="3"/>
      <c r="T144" s="3"/>
      <c r="U144" s="3"/>
      <c r="V144" s="3"/>
      <c r="W144" s="3"/>
      <c r="X144" s="3"/>
      <c r="Y144" s="3"/>
      <c r="Z144" s="3"/>
      <c r="AA144" s="3"/>
      <c r="AB144" s="3"/>
      <c r="AC144" s="3"/>
    </row>
    <row r="145" customFormat="false" ht="36" hidden="false" customHeight="true" outlineLevel="0" collapsed="false">
      <c r="A145" s="3"/>
      <c r="B145" s="141" t="s">
        <v>6471</v>
      </c>
      <c r="C145" s="154" t="n">
        <v>9.25</v>
      </c>
      <c r="D145" s="154" t="n">
        <v>21.18</v>
      </c>
      <c r="E145" s="154" t="n">
        <v>26.81</v>
      </c>
      <c r="F145" s="110" t="s">
        <v>7114</v>
      </c>
      <c r="G145" s="10"/>
      <c r="H145" s="10"/>
      <c r="I145" s="10"/>
      <c r="J145" s="10"/>
      <c r="K145" s="10"/>
      <c r="L145" s="10"/>
      <c r="M145" s="9"/>
      <c r="N145" s="9"/>
      <c r="O145" s="3"/>
      <c r="P145" s="3"/>
      <c r="Q145" s="3"/>
      <c r="R145" s="3"/>
      <c r="S145" s="3"/>
      <c r="T145" s="3"/>
      <c r="U145" s="3"/>
      <c r="V145" s="3"/>
      <c r="W145" s="3"/>
      <c r="X145" s="3"/>
      <c r="Y145" s="3"/>
      <c r="Z145" s="3"/>
      <c r="AA145" s="3"/>
      <c r="AB145" s="3"/>
      <c r="AC145" s="3"/>
    </row>
    <row r="146" customFormat="false" ht="36" hidden="false" customHeight="true" outlineLevel="0" collapsed="false">
      <c r="A146" s="3"/>
      <c r="B146" s="139" t="s">
        <v>6472</v>
      </c>
      <c r="C146" s="153" t="n">
        <v>7.95</v>
      </c>
      <c r="D146" s="153" t="n">
        <v>8.69</v>
      </c>
      <c r="E146" s="153" t="n">
        <v>22.85</v>
      </c>
      <c r="F146" s="109" t="s">
        <v>7116</v>
      </c>
      <c r="G146" s="10"/>
      <c r="H146" s="10"/>
      <c r="I146" s="10"/>
      <c r="J146" s="10"/>
      <c r="K146" s="10"/>
      <c r="L146" s="10"/>
      <c r="M146" s="9"/>
      <c r="N146" s="9"/>
      <c r="O146" s="3"/>
      <c r="P146" s="3"/>
      <c r="Q146" s="3"/>
      <c r="R146" s="3"/>
      <c r="S146" s="3"/>
      <c r="T146" s="3"/>
      <c r="U146" s="3"/>
      <c r="V146" s="3"/>
      <c r="W146" s="3"/>
      <c r="X146" s="3"/>
      <c r="Y146" s="3"/>
      <c r="Z146" s="3"/>
      <c r="AA146" s="3"/>
      <c r="AB146" s="3"/>
      <c r="AC146" s="3"/>
    </row>
    <row r="147" customFormat="false" ht="36" hidden="false" customHeight="true" outlineLevel="0" collapsed="false">
      <c r="A147" s="3"/>
      <c r="B147" s="141" t="s">
        <v>6474</v>
      </c>
      <c r="C147" s="154" t="n">
        <v>9.37</v>
      </c>
      <c r="D147" s="154" t="n">
        <v>9.99</v>
      </c>
      <c r="E147" s="154" t="n">
        <v>26.81</v>
      </c>
      <c r="F147" s="110" t="s">
        <v>7114</v>
      </c>
      <c r="G147" s="10"/>
      <c r="H147" s="10"/>
      <c r="I147" s="10"/>
      <c r="J147" s="10"/>
      <c r="K147" s="10"/>
      <c r="L147" s="10"/>
      <c r="M147" s="9"/>
      <c r="N147" s="9"/>
      <c r="O147" s="3"/>
      <c r="P147" s="3"/>
      <c r="Q147" s="3"/>
      <c r="R147" s="3"/>
      <c r="S147" s="3"/>
      <c r="T147" s="3"/>
      <c r="U147" s="3"/>
      <c r="V147" s="3"/>
      <c r="W147" s="3"/>
      <c r="X147" s="3"/>
      <c r="Y147" s="3"/>
      <c r="Z147" s="3"/>
      <c r="AA147" s="3"/>
      <c r="AB147" s="3"/>
      <c r="AC147" s="3"/>
    </row>
    <row r="148" customFormat="false" ht="36" hidden="false" customHeight="true" outlineLevel="0" collapsed="false">
      <c r="A148" s="3"/>
      <c r="B148" s="139" t="s">
        <v>6475</v>
      </c>
      <c r="C148" s="153" t="n">
        <v>169.9</v>
      </c>
      <c r="D148" s="153" t="n">
        <v>265.95</v>
      </c>
      <c r="E148" s="153" t="n">
        <v>284</v>
      </c>
      <c r="F148" s="109" t="s">
        <v>7114</v>
      </c>
      <c r="G148" s="10"/>
      <c r="H148" s="10"/>
      <c r="I148" s="10"/>
      <c r="J148" s="10"/>
      <c r="K148" s="10"/>
      <c r="L148" s="10"/>
      <c r="M148" s="9"/>
      <c r="N148" s="9"/>
      <c r="O148" s="3"/>
      <c r="P148" s="3"/>
      <c r="Q148" s="3"/>
      <c r="R148" s="3"/>
      <c r="S148" s="3"/>
      <c r="T148" s="3"/>
      <c r="U148" s="3"/>
      <c r="V148" s="3"/>
      <c r="W148" s="3"/>
      <c r="X148" s="3"/>
      <c r="Y148" s="3"/>
      <c r="Z148" s="3"/>
      <c r="AA148" s="3"/>
      <c r="AB148" s="3"/>
      <c r="AC148" s="3"/>
    </row>
    <row r="149" customFormat="false" ht="36" hidden="false" customHeight="true" outlineLevel="0" collapsed="false">
      <c r="A149" s="3"/>
      <c r="B149" s="141" t="s">
        <v>6477</v>
      </c>
      <c r="C149" s="154" t="n">
        <v>5.09</v>
      </c>
      <c r="D149" s="154" t="n">
        <v>7.47</v>
      </c>
      <c r="E149" s="154" t="n">
        <v>15.25</v>
      </c>
      <c r="F149" s="110" t="s">
        <v>7117</v>
      </c>
      <c r="G149" s="10"/>
      <c r="H149" s="10"/>
      <c r="I149" s="10"/>
      <c r="J149" s="10"/>
      <c r="K149" s="10"/>
      <c r="L149" s="10"/>
      <c r="M149" s="9"/>
      <c r="N149" s="9"/>
      <c r="O149" s="3"/>
      <c r="P149" s="3"/>
      <c r="Q149" s="3"/>
      <c r="R149" s="3"/>
      <c r="S149" s="3"/>
      <c r="T149" s="3"/>
      <c r="U149" s="3"/>
      <c r="V149" s="3"/>
      <c r="W149" s="3"/>
      <c r="X149" s="3"/>
      <c r="Y149" s="3"/>
      <c r="Z149" s="3"/>
      <c r="AA149" s="3"/>
      <c r="AB149" s="3"/>
      <c r="AC149" s="3"/>
    </row>
    <row r="150" customFormat="false" ht="33" hidden="false" customHeight="true" outlineLevel="0" collapsed="false">
      <c r="A150" s="3"/>
      <c r="B150" s="139" t="s">
        <v>6478</v>
      </c>
      <c r="C150" s="153" t="n">
        <v>26.19</v>
      </c>
      <c r="D150" s="153" t="n">
        <v>31.14</v>
      </c>
      <c r="E150" s="153" t="n">
        <v>36.09</v>
      </c>
      <c r="F150" s="109" t="s">
        <v>7118</v>
      </c>
      <c r="G150" s="10"/>
      <c r="H150" s="10"/>
      <c r="I150" s="10"/>
      <c r="J150" s="10"/>
      <c r="K150" s="10"/>
      <c r="L150" s="10"/>
      <c r="M150" s="9"/>
      <c r="N150" s="9"/>
      <c r="O150" s="3"/>
      <c r="P150" s="3"/>
      <c r="Q150" s="3"/>
      <c r="R150" s="3"/>
      <c r="S150" s="3"/>
      <c r="T150" s="3"/>
      <c r="U150" s="3"/>
      <c r="V150" s="3"/>
      <c r="W150" s="3"/>
      <c r="X150" s="3"/>
      <c r="Y150" s="3"/>
      <c r="Z150" s="3"/>
      <c r="AA150" s="3"/>
      <c r="AB150" s="3"/>
      <c r="AC150" s="3"/>
    </row>
    <row r="151" customFormat="false" ht="48.75" hidden="false" customHeight="true" outlineLevel="0" collapsed="false">
      <c r="A151" s="3"/>
      <c r="B151" s="141" t="s">
        <v>7119</v>
      </c>
      <c r="C151" s="110"/>
      <c r="D151" s="110"/>
      <c r="E151" s="110"/>
      <c r="F151" s="110"/>
      <c r="G151" s="10"/>
      <c r="H151" s="10"/>
      <c r="I151" s="10"/>
      <c r="J151" s="10"/>
      <c r="K151" s="10"/>
      <c r="L151" s="10"/>
      <c r="M151" s="9"/>
      <c r="N151" s="9"/>
      <c r="O151" s="3"/>
      <c r="P151" s="3"/>
      <c r="Q151" s="3"/>
      <c r="R151" s="3"/>
      <c r="S151" s="3"/>
      <c r="T151" s="3"/>
      <c r="U151" s="3"/>
      <c r="V151" s="3"/>
      <c r="W151" s="3"/>
      <c r="X151" s="3"/>
      <c r="Y151" s="3"/>
      <c r="Z151" s="3"/>
      <c r="AA151" s="3"/>
      <c r="AB151" s="3"/>
      <c r="AC151" s="3"/>
    </row>
    <row r="152" customFormat="false" ht="30.75" hidden="false" customHeight="true" outlineLevel="0" collapsed="false">
      <c r="A152" s="3"/>
      <c r="B152" s="9"/>
      <c r="C152" s="9"/>
      <c r="D152" s="9"/>
      <c r="E152" s="9"/>
      <c r="F152" s="9"/>
      <c r="G152" s="10"/>
      <c r="H152" s="10"/>
      <c r="I152" s="10"/>
      <c r="J152" s="10"/>
      <c r="K152" s="10"/>
      <c r="L152" s="10"/>
      <c r="M152" s="9"/>
      <c r="N152" s="9"/>
      <c r="O152" s="3"/>
      <c r="P152" s="3"/>
      <c r="Q152" s="3"/>
      <c r="R152" s="3"/>
      <c r="S152" s="3"/>
      <c r="T152" s="3"/>
      <c r="U152" s="3"/>
      <c r="V152" s="3"/>
      <c r="W152" s="3"/>
      <c r="X152" s="3"/>
      <c r="Y152" s="3"/>
      <c r="Z152" s="3"/>
      <c r="AA152" s="3"/>
      <c r="AB152" s="3"/>
      <c r="AC152" s="3"/>
    </row>
    <row r="153" customFormat="false" ht="30.75" hidden="false" customHeight="true" outlineLevel="0" collapsed="false">
      <c r="A153" s="3"/>
      <c r="B153" s="9"/>
      <c r="C153" s="9"/>
      <c r="D153" s="9"/>
      <c r="E153" s="9"/>
      <c r="F153" s="9"/>
      <c r="G153" s="10"/>
      <c r="H153" s="10"/>
      <c r="I153" s="10"/>
      <c r="J153" s="10"/>
      <c r="K153" s="10"/>
      <c r="L153" s="10"/>
      <c r="M153" s="9"/>
      <c r="N153" s="9"/>
      <c r="O153" s="3"/>
      <c r="P153" s="3"/>
      <c r="Q153" s="3"/>
      <c r="R153" s="3"/>
      <c r="S153" s="3"/>
      <c r="T153" s="3"/>
      <c r="U153" s="3"/>
      <c r="V153" s="3"/>
      <c r="W153" s="3"/>
      <c r="X153" s="3"/>
      <c r="Y153" s="3"/>
      <c r="Z153" s="3"/>
      <c r="AA153" s="3"/>
      <c r="AB153" s="3"/>
      <c r="AC153" s="3"/>
    </row>
    <row r="154" customFormat="false" ht="30.75" hidden="false" customHeight="true" outlineLevel="0" collapsed="false">
      <c r="A154" s="3"/>
      <c r="B154" s="9"/>
      <c r="C154" s="9"/>
      <c r="D154" s="9"/>
      <c r="E154" s="9"/>
      <c r="F154" s="9"/>
      <c r="G154" s="10"/>
      <c r="H154" s="10"/>
      <c r="I154" s="10"/>
      <c r="J154" s="10"/>
      <c r="K154" s="10"/>
      <c r="L154" s="10"/>
      <c r="M154" s="9"/>
      <c r="N154" s="9"/>
      <c r="O154" s="3"/>
      <c r="P154" s="3"/>
      <c r="Q154" s="3"/>
      <c r="R154" s="3"/>
      <c r="S154" s="3"/>
      <c r="T154" s="3"/>
      <c r="U154" s="3"/>
      <c r="V154" s="3"/>
      <c r="W154" s="3"/>
      <c r="X154" s="3"/>
      <c r="Y154" s="3"/>
      <c r="Z154" s="3"/>
      <c r="AA154" s="3"/>
      <c r="AB154" s="3"/>
      <c r="AC154" s="3"/>
    </row>
    <row r="155" customFormat="false" ht="25.5" hidden="false" customHeight="true" outlineLevel="0" collapsed="false">
      <c r="A155" s="3"/>
      <c r="B155" s="133" t="s">
        <v>6986</v>
      </c>
      <c r="C155" s="133"/>
      <c r="D155" s="133"/>
      <c r="E155" s="133"/>
      <c r="F155" s="133"/>
      <c r="G155" s="10"/>
      <c r="H155" s="10"/>
      <c r="I155" s="10"/>
      <c r="J155" s="10"/>
      <c r="K155" s="10"/>
      <c r="L155" s="10"/>
      <c r="M155" s="9"/>
      <c r="N155" s="9"/>
      <c r="O155" s="3"/>
      <c r="P155" s="3"/>
      <c r="Q155" s="3"/>
      <c r="R155" s="3"/>
      <c r="S155" s="3"/>
      <c r="T155" s="3"/>
      <c r="U155" s="3"/>
      <c r="V155" s="3"/>
      <c r="W155" s="3"/>
      <c r="X155" s="3"/>
      <c r="Y155" s="3"/>
      <c r="Z155" s="3"/>
      <c r="AA155" s="3"/>
      <c r="AB155" s="3"/>
      <c r="AC155" s="3"/>
    </row>
    <row r="156" customFormat="false" ht="36" hidden="false" customHeight="true" outlineLevel="0" collapsed="false">
      <c r="A156" s="3"/>
      <c r="B156" s="121" t="s">
        <v>6927</v>
      </c>
      <c r="C156" s="26" t="s">
        <v>6928</v>
      </c>
      <c r="D156" s="26" t="s">
        <v>6929</v>
      </c>
      <c r="E156" s="26" t="s">
        <v>6987</v>
      </c>
      <c r="F156" s="26" t="s">
        <v>240</v>
      </c>
      <c r="G156" s="10"/>
      <c r="H156" s="10"/>
      <c r="I156" s="10"/>
      <c r="J156" s="10"/>
      <c r="K156" s="10"/>
      <c r="L156" s="10"/>
      <c r="M156" s="9"/>
      <c r="N156" s="9"/>
      <c r="O156" s="3"/>
      <c r="P156" s="3"/>
      <c r="Q156" s="3"/>
      <c r="R156" s="3"/>
      <c r="S156" s="3"/>
      <c r="T156" s="3"/>
      <c r="U156" s="3"/>
      <c r="V156" s="3"/>
      <c r="W156" s="3"/>
      <c r="X156" s="3"/>
      <c r="Y156" s="3"/>
      <c r="Z156" s="3"/>
      <c r="AA156" s="3"/>
      <c r="AB156" s="3"/>
      <c r="AC156" s="3"/>
    </row>
    <row r="157" customFormat="false" ht="243.75" hidden="false" customHeight="true" outlineLevel="0" collapsed="false">
      <c r="A157" s="3"/>
      <c r="B157" s="139" t="s">
        <v>7120</v>
      </c>
      <c r="C157" s="113" t="s">
        <v>7121</v>
      </c>
      <c r="D157" s="109" t="s">
        <v>6935</v>
      </c>
      <c r="E157" s="109" t="s">
        <v>7122</v>
      </c>
      <c r="F157" s="109" t="s">
        <v>7123</v>
      </c>
      <c r="G157" s="10"/>
      <c r="H157" s="10"/>
      <c r="I157" s="10"/>
      <c r="J157" s="10"/>
      <c r="K157" s="10"/>
      <c r="L157" s="10"/>
      <c r="M157" s="9"/>
      <c r="N157" s="9"/>
      <c r="O157" s="3"/>
      <c r="P157" s="3"/>
      <c r="Q157" s="3"/>
      <c r="R157" s="3"/>
      <c r="S157" s="3"/>
      <c r="T157" s="3"/>
      <c r="U157" s="3"/>
      <c r="V157" s="3"/>
      <c r="W157" s="3"/>
      <c r="X157" s="3"/>
      <c r="Y157" s="3"/>
      <c r="Z157" s="3"/>
      <c r="AA157" s="3"/>
      <c r="AB157" s="3"/>
      <c r="AC157" s="3"/>
    </row>
    <row r="158" customFormat="false" ht="282.75" hidden="false" customHeight="true" outlineLevel="0" collapsed="false">
      <c r="A158" s="3"/>
      <c r="B158" s="141" t="s">
        <v>7124</v>
      </c>
      <c r="C158" s="117" t="s">
        <v>7125</v>
      </c>
      <c r="D158" s="110" t="s">
        <v>6997</v>
      </c>
      <c r="E158" s="110" t="s">
        <v>7126</v>
      </c>
      <c r="F158" s="110" t="s">
        <v>7127</v>
      </c>
      <c r="G158" s="10"/>
      <c r="H158" s="10"/>
      <c r="I158" s="10"/>
      <c r="J158" s="10"/>
      <c r="K158" s="10"/>
      <c r="L158" s="10"/>
      <c r="M158" s="9"/>
      <c r="N158" s="9"/>
      <c r="O158" s="3"/>
      <c r="P158" s="3"/>
      <c r="Q158" s="3"/>
      <c r="R158" s="3"/>
      <c r="S158" s="3"/>
      <c r="T158" s="3"/>
      <c r="U158" s="3"/>
      <c r="V158" s="3"/>
      <c r="W158" s="3"/>
      <c r="X158" s="3"/>
      <c r="Y158" s="3"/>
      <c r="Z158" s="3"/>
      <c r="AA158" s="3"/>
      <c r="AB158" s="3"/>
      <c r="AC158" s="3"/>
    </row>
    <row r="159" customFormat="false" ht="30.75" hidden="false" customHeight="true" outlineLevel="0" collapsed="false">
      <c r="A159" s="3"/>
      <c r="B159" s="3"/>
      <c r="C159" s="3"/>
      <c r="D159" s="3"/>
      <c r="E159" s="3"/>
      <c r="F159" s="3"/>
      <c r="G159" s="4"/>
      <c r="H159" s="4"/>
      <c r="I159" s="4"/>
      <c r="J159" s="4"/>
      <c r="K159" s="4"/>
      <c r="L159" s="4"/>
      <c r="M159" s="3"/>
      <c r="N159" s="3"/>
      <c r="O159" s="3"/>
      <c r="P159" s="3"/>
      <c r="Q159" s="3"/>
      <c r="R159" s="3"/>
      <c r="S159" s="3"/>
      <c r="T159" s="3"/>
      <c r="U159" s="3"/>
      <c r="V159" s="3"/>
      <c r="W159" s="3"/>
      <c r="X159" s="3"/>
      <c r="Y159" s="3"/>
      <c r="Z159" s="3"/>
      <c r="AA159" s="3"/>
      <c r="AB159" s="3"/>
      <c r="AC159" s="3"/>
    </row>
    <row r="160" customFormat="false" ht="30.75" hidden="false" customHeight="true" outlineLevel="0" collapsed="false">
      <c r="A160" s="3"/>
      <c r="B160" s="3"/>
      <c r="C160" s="3"/>
      <c r="D160" s="3"/>
      <c r="E160" s="3"/>
      <c r="F160" s="3"/>
      <c r="G160" s="4"/>
      <c r="H160" s="4"/>
      <c r="I160" s="4"/>
      <c r="J160" s="4"/>
      <c r="K160" s="4"/>
      <c r="L160" s="4"/>
      <c r="M160" s="3"/>
      <c r="N160" s="3"/>
      <c r="O160" s="3"/>
      <c r="P160" s="3"/>
      <c r="Q160" s="3"/>
      <c r="R160" s="3"/>
      <c r="S160" s="3"/>
      <c r="T160" s="3"/>
      <c r="U160" s="3"/>
      <c r="V160" s="3"/>
      <c r="W160" s="3"/>
      <c r="X160" s="3"/>
      <c r="Y160" s="3"/>
      <c r="Z160" s="3"/>
      <c r="AA160" s="3"/>
      <c r="AB160" s="3"/>
      <c r="AC160" s="3"/>
    </row>
    <row r="161" customFormat="false" ht="30.75" hidden="false" customHeight="true" outlineLevel="0" collapsed="false">
      <c r="A161" s="3"/>
      <c r="B161" s="3"/>
      <c r="C161" s="3"/>
      <c r="D161" s="3"/>
      <c r="E161" s="3"/>
      <c r="F161" s="3"/>
      <c r="G161" s="4"/>
      <c r="H161" s="4"/>
      <c r="I161" s="4"/>
      <c r="J161" s="4"/>
      <c r="K161" s="4"/>
      <c r="L161" s="4"/>
      <c r="M161" s="3"/>
      <c r="N161" s="3"/>
      <c r="O161" s="3"/>
      <c r="P161" s="3"/>
      <c r="Q161" s="3"/>
      <c r="R161" s="3"/>
      <c r="S161" s="3"/>
      <c r="T161" s="3"/>
      <c r="U161" s="3"/>
      <c r="V161" s="3"/>
      <c r="W161" s="3"/>
      <c r="X161" s="3"/>
      <c r="Y161" s="3"/>
      <c r="Z161" s="3"/>
      <c r="AA161" s="3"/>
      <c r="AB161" s="3"/>
      <c r="AC161" s="3"/>
    </row>
    <row r="162" customFormat="false" ht="21.75" hidden="false" customHeight="true" outlineLevel="0" collapsed="false">
      <c r="A162" s="3"/>
      <c r="B162" s="3"/>
      <c r="C162" s="3"/>
      <c r="D162" s="3"/>
      <c r="E162" s="3"/>
      <c r="F162" s="3"/>
      <c r="G162" s="4"/>
      <c r="H162" s="4"/>
      <c r="I162" s="4"/>
      <c r="J162" s="4"/>
      <c r="K162" s="4"/>
      <c r="L162" s="4"/>
      <c r="M162" s="3"/>
      <c r="N162" s="3"/>
      <c r="O162" s="3"/>
      <c r="P162" s="3"/>
      <c r="Q162" s="3"/>
      <c r="R162" s="3"/>
      <c r="S162" s="3"/>
      <c r="T162" s="3"/>
      <c r="U162" s="3"/>
      <c r="V162" s="3"/>
      <c r="W162" s="3"/>
      <c r="X162" s="3"/>
      <c r="Y162" s="3"/>
      <c r="Z162" s="3"/>
      <c r="AA162" s="3"/>
      <c r="AB162" s="3"/>
      <c r="AC162" s="3"/>
    </row>
    <row r="163" customFormat="false" ht="21.75" hidden="false" customHeight="true" outlineLevel="0" collapsed="false">
      <c r="A163" s="3"/>
      <c r="B163" s="3"/>
      <c r="C163" s="3"/>
      <c r="D163" s="3"/>
      <c r="E163" s="3"/>
      <c r="F163" s="3"/>
      <c r="G163" s="4"/>
      <c r="H163" s="4"/>
      <c r="I163" s="4"/>
      <c r="J163" s="4"/>
      <c r="K163" s="4"/>
      <c r="L163" s="4"/>
      <c r="M163" s="3"/>
      <c r="N163" s="3"/>
      <c r="O163" s="3"/>
      <c r="P163" s="3"/>
      <c r="Q163" s="3"/>
      <c r="R163" s="3"/>
      <c r="S163" s="3"/>
      <c r="T163" s="3"/>
      <c r="U163" s="3"/>
      <c r="V163" s="3"/>
      <c r="W163" s="3"/>
      <c r="X163" s="3"/>
      <c r="Y163" s="3"/>
      <c r="Z163" s="3"/>
      <c r="AA163" s="3"/>
      <c r="AB163" s="3"/>
      <c r="AC163" s="3"/>
    </row>
    <row r="164" customFormat="false" ht="21.75" hidden="false" customHeight="true" outlineLevel="0" collapsed="false">
      <c r="A164" s="3"/>
      <c r="B164" s="3"/>
      <c r="C164" s="3"/>
      <c r="D164" s="3"/>
      <c r="E164" s="3"/>
      <c r="F164" s="3"/>
      <c r="G164" s="4"/>
      <c r="H164" s="4"/>
      <c r="I164" s="4"/>
      <c r="J164" s="4"/>
      <c r="K164" s="4"/>
      <c r="L164" s="4"/>
      <c r="M164" s="3"/>
      <c r="N164" s="3"/>
      <c r="O164" s="3"/>
      <c r="P164" s="3"/>
      <c r="Q164" s="3"/>
      <c r="R164" s="3"/>
      <c r="S164" s="3"/>
      <c r="T164" s="3"/>
      <c r="U164" s="3"/>
      <c r="V164" s="3"/>
      <c r="W164" s="3"/>
      <c r="X164" s="3"/>
      <c r="Y164" s="3"/>
      <c r="Z164" s="3"/>
      <c r="AA164" s="3"/>
      <c r="AB164" s="3"/>
      <c r="AC164" s="3"/>
    </row>
    <row r="165" customFormat="false" ht="21.75" hidden="false" customHeight="true" outlineLevel="0" collapsed="false">
      <c r="A165" s="3"/>
      <c r="B165" s="3"/>
      <c r="C165" s="3"/>
      <c r="D165" s="3"/>
      <c r="E165" s="3"/>
      <c r="F165" s="3"/>
      <c r="G165" s="4"/>
      <c r="H165" s="4"/>
      <c r="I165" s="4"/>
      <c r="J165" s="4"/>
      <c r="K165" s="4"/>
      <c r="L165" s="4"/>
      <c r="M165" s="3"/>
      <c r="N165" s="3"/>
      <c r="O165" s="3"/>
      <c r="P165" s="3"/>
      <c r="Q165" s="3"/>
      <c r="R165" s="3"/>
      <c r="S165" s="3"/>
      <c r="T165" s="3"/>
      <c r="U165" s="3"/>
      <c r="V165" s="3"/>
      <c r="W165" s="3"/>
      <c r="X165" s="3"/>
      <c r="Y165" s="3"/>
      <c r="Z165" s="3"/>
      <c r="AA165" s="3"/>
      <c r="AB165" s="3"/>
      <c r="AC165" s="3"/>
    </row>
    <row r="166" customFormat="false" ht="21.75" hidden="false" customHeight="true" outlineLevel="0" collapsed="false">
      <c r="A166" s="3"/>
      <c r="B166" s="3"/>
      <c r="C166" s="3"/>
      <c r="D166" s="3"/>
      <c r="E166" s="3"/>
      <c r="F166" s="3"/>
      <c r="G166" s="4"/>
      <c r="H166" s="4"/>
      <c r="I166" s="4"/>
      <c r="J166" s="4"/>
      <c r="K166" s="4"/>
      <c r="L166" s="4"/>
      <c r="M166" s="3"/>
      <c r="N166" s="3"/>
      <c r="O166" s="3"/>
      <c r="P166" s="3"/>
      <c r="Q166" s="3"/>
      <c r="R166" s="3"/>
      <c r="S166" s="3"/>
      <c r="T166" s="3"/>
      <c r="U166" s="3"/>
      <c r="V166" s="3"/>
      <c r="W166" s="3"/>
      <c r="X166" s="3"/>
      <c r="Y166" s="3"/>
      <c r="Z166" s="3"/>
      <c r="AA166" s="3"/>
      <c r="AB166" s="3"/>
      <c r="AC166" s="3"/>
    </row>
    <row r="167" customFormat="false" ht="21.75" hidden="false" customHeight="true" outlineLevel="0" collapsed="false">
      <c r="A167" s="3"/>
      <c r="B167" s="3"/>
      <c r="C167" s="3"/>
      <c r="D167" s="3"/>
      <c r="E167" s="3"/>
      <c r="F167" s="3"/>
      <c r="G167" s="4"/>
      <c r="H167" s="4"/>
      <c r="I167" s="4"/>
      <c r="J167" s="4"/>
      <c r="K167" s="4"/>
      <c r="L167" s="4"/>
      <c r="M167" s="3"/>
      <c r="N167" s="3"/>
      <c r="O167" s="3"/>
      <c r="P167" s="3"/>
      <c r="Q167" s="3"/>
      <c r="R167" s="3"/>
      <c r="S167" s="3"/>
      <c r="T167" s="3"/>
      <c r="U167" s="3"/>
      <c r="V167" s="3"/>
      <c r="W167" s="3"/>
      <c r="X167" s="3"/>
      <c r="Y167" s="3"/>
      <c r="Z167" s="3"/>
      <c r="AA167" s="3"/>
      <c r="AB167" s="3"/>
      <c r="AC167" s="3"/>
    </row>
    <row r="168" customFormat="false" ht="21.75" hidden="false" customHeight="true" outlineLevel="0" collapsed="false">
      <c r="A168" s="3"/>
      <c r="B168" s="3"/>
      <c r="C168" s="3"/>
      <c r="D168" s="3"/>
      <c r="E168" s="3"/>
      <c r="F168" s="3"/>
      <c r="G168" s="4"/>
      <c r="H168" s="4"/>
      <c r="I168" s="4"/>
      <c r="J168" s="4"/>
      <c r="K168" s="4"/>
      <c r="L168" s="4"/>
      <c r="M168" s="3"/>
      <c r="N168" s="3"/>
      <c r="O168" s="3"/>
      <c r="P168" s="3"/>
      <c r="Q168" s="3"/>
      <c r="R168" s="3"/>
      <c r="S168" s="3"/>
      <c r="T168" s="3"/>
      <c r="U168" s="3"/>
      <c r="V168" s="3"/>
      <c r="W168" s="3"/>
      <c r="X168" s="3"/>
      <c r="Y168" s="3"/>
      <c r="Z168" s="3"/>
      <c r="AA168" s="3"/>
      <c r="AB168" s="3"/>
      <c r="AC168" s="3"/>
    </row>
    <row r="169" customFormat="false" ht="21.75" hidden="false" customHeight="true" outlineLevel="0" collapsed="false">
      <c r="A169" s="3"/>
      <c r="B169" s="3"/>
      <c r="C169" s="3"/>
      <c r="D169" s="3"/>
      <c r="E169" s="3"/>
      <c r="F169" s="3"/>
      <c r="G169" s="4"/>
      <c r="H169" s="4"/>
      <c r="I169" s="4"/>
      <c r="J169" s="4"/>
      <c r="K169" s="4"/>
      <c r="L169" s="4"/>
      <c r="M169" s="3"/>
      <c r="N169" s="3"/>
      <c r="O169" s="3"/>
      <c r="P169" s="3"/>
      <c r="Q169" s="3"/>
      <c r="R169" s="3"/>
      <c r="S169" s="3"/>
      <c r="T169" s="3"/>
      <c r="U169" s="3"/>
      <c r="V169" s="3"/>
      <c r="W169" s="3"/>
      <c r="X169" s="3"/>
      <c r="Y169" s="3"/>
      <c r="Z169" s="3"/>
      <c r="AA169" s="3"/>
      <c r="AB169" s="3"/>
      <c r="AC169" s="3"/>
    </row>
    <row r="170" customFormat="false" ht="21.75" hidden="false" customHeight="true" outlineLevel="0" collapsed="false">
      <c r="A170" s="3"/>
      <c r="B170" s="3"/>
      <c r="C170" s="3"/>
      <c r="D170" s="3"/>
      <c r="E170" s="3"/>
      <c r="F170" s="3"/>
      <c r="G170" s="4"/>
      <c r="H170" s="4"/>
      <c r="I170" s="4"/>
      <c r="J170" s="4"/>
      <c r="K170" s="4"/>
      <c r="L170" s="4"/>
      <c r="M170" s="3"/>
      <c r="N170" s="3"/>
      <c r="O170" s="3"/>
      <c r="P170" s="3"/>
      <c r="Q170" s="3"/>
      <c r="R170" s="3"/>
      <c r="S170" s="3"/>
      <c r="T170" s="3"/>
      <c r="U170" s="3"/>
      <c r="V170" s="3"/>
      <c r="W170" s="3"/>
      <c r="X170" s="3"/>
      <c r="Y170" s="3"/>
      <c r="Z170" s="3"/>
      <c r="AA170" s="3"/>
      <c r="AB170" s="3"/>
      <c r="AC170" s="3"/>
    </row>
    <row r="171" customFormat="false" ht="21.75" hidden="false" customHeight="true" outlineLevel="0" collapsed="false">
      <c r="A171" s="3"/>
      <c r="B171" s="3"/>
      <c r="C171" s="3"/>
      <c r="D171" s="3"/>
      <c r="E171" s="3"/>
      <c r="F171" s="3"/>
      <c r="G171" s="4"/>
      <c r="H171" s="4"/>
      <c r="I171" s="4"/>
      <c r="J171" s="4"/>
      <c r="K171" s="4"/>
      <c r="L171" s="4"/>
      <c r="M171" s="3"/>
      <c r="N171" s="3"/>
      <c r="O171" s="3"/>
      <c r="P171" s="3"/>
      <c r="Q171" s="3"/>
      <c r="R171" s="3"/>
      <c r="S171" s="3"/>
      <c r="T171" s="3"/>
      <c r="U171" s="3"/>
      <c r="V171" s="3"/>
      <c r="W171" s="3"/>
      <c r="X171" s="3"/>
      <c r="Y171" s="3"/>
      <c r="Z171" s="3"/>
      <c r="AA171" s="3"/>
      <c r="AB171" s="3"/>
      <c r="AC171" s="3"/>
    </row>
    <row r="172" customFormat="false" ht="21.75" hidden="false" customHeight="true" outlineLevel="0" collapsed="false">
      <c r="A172" s="3"/>
      <c r="B172" s="3"/>
      <c r="C172" s="3"/>
      <c r="D172" s="3"/>
      <c r="E172" s="3"/>
      <c r="F172" s="3"/>
      <c r="G172" s="4"/>
      <c r="H172" s="4"/>
      <c r="I172" s="4"/>
      <c r="J172" s="4"/>
      <c r="K172" s="4"/>
      <c r="L172" s="4"/>
      <c r="M172" s="3"/>
      <c r="N172" s="3"/>
      <c r="O172" s="3"/>
      <c r="P172" s="3"/>
      <c r="Q172" s="3"/>
      <c r="R172" s="3"/>
      <c r="S172" s="3"/>
      <c r="T172" s="3"/>
      <c r="U172" s="3"/>
      <c r="V172" s="3"/>
      <c r="W172" s="3"/>
      <c r="X172" s="3"/>
      <c r="Y172" s="3"/>
      <c r="Z172" s="3"/>
      <c r="AA172" s="3"/>
      <c r="AB172" s="3"/>
      <c r="AC172" s="3"/>
    </row>
    <row r="173" customFormat="false" ht="21.75" hidden="false" customHeight="true" outlineLevel="0" collapsed="false">
      <c r="A173" s="3"/>
      <c r="B173" s="3"/>
      <c r="C173" s="3"/>
      <c r="D173" s="3"/>
      <c r="E173" s="3"/>
      <c r="F173" s="3"/>
      <c r="G173" s="4"/>
      <c r="H173" s="4"/>
      <c r="I173" s="4"/>
      <c r="J173" s="4"/>
      <c r="K173" s="4"/>
      <c r="L173" s="4"/>
      <c r="M173" s="3"/>
      <c r="N173" s="3"/>
      <c r="O173" s="3"/>
      <c r="P173" s="3"/>
      <c r="Q173" s="3"/>
      <c r="R173" s="3"/>
      <c r="S173" s="3"/>
      <c r="T173" s="3"/>
      <c r="U173" s="3"/>
      <c r="V173" s="3"/>
      <c r="W173" s="3"/>
      <c r="X173" s="3"/>
      <c r="Y173" s="3"/>
      <c r="Z173" s="3"/>
      <c r="AA173" s="3"/>
      <c r="AB173" s="3"/>
      <c r="AC173" s="3"/>
    </row>
    <row r="174" customFormat="false" ht="21.75" hidden="false" customHeight="true" outlineLevel="0" collapsed="false">
      <c r="A174" s="3"/>
      <c r="B174" s="3"/>
      <c r="C174" s="3"/>
      <c r="D174" s="3"/>
      <c r="E174" s="3"/>
      <c r="F174" s="3"/>
      <c r="G174" s="4"/>
      <c r="H174" s="4"/>
      <c r="I174" s="4"/>
      <c r="J174" s="4"/>
      <c r="K174" s="4"/>
      <c r="L174" s="4"/>
      <c r="M174" s="3"/>
      <c r="N174" s="3"/>
      <c r="O174" s="3"/>
      <c r="P174" s="3"/>
      <c r="Q174" s="3"/>
      <c r="R174" s="3"/>
      <c r="S174" s="3"/>
      <c r="T174" s="3"/>
      <c r="U174" s="3"/>
      <c r="V174" s="3"/>
      <c r="W174" s="3"/>
      <c r="X174" s="3"/>
      <c r="Y174" s="3"/>
      <c r="Z174" s="3"/>
      <c r="AA174" s="3"/>
      <c r="AB174" s="3"/>
      <c r="AC174" s="3"/>
    </row>
    <row r="175" customFormat="false" ht="21.75" hidden="false" customHeight="true" outlineLevel="0" collapsed="false">
      <c r="A175" s="3"/>
      <c r="B175" s="3"/>
      <c r="C175" s="3"/>
      <c r="D175" s="3"/>
      <c r="E175" s="3"/>
      <c r="F175" s="3"/>
      <c r="G175" s="4"/>
      <c r="H175" s="4"/>
      <c r="I175" s="4"/>
      <c r="J175" s="4"/>
      <c r="K175" s="4"/>
      <c r="L175" s="4"/>
      <c r="M175" s="3"/>
      <c r="N175" s="3"/>
      <c r="O175" s="3"/>
      <c r="P175" s="3"/>
      <c r="Q175" s="3"/>
      <c r="R175" s="3"/>
      <c r="S175" s="3"/>
      <c r="T175" s="3"/>
      <c r="U175" s="3"/>
      <c r="V175" s="3"/>
      <c r="W175" s="3"/>
      <c r="X175" s="3"/>
      <c r="Y175" s="3"/>
      <c r="Z175" s="3"/>
      <c r="AA175" s="3"/>
      <c r="AB175" s="3"/>
      <c r="AC175" s="3"/>
    </row>
    <row r="176" customFormat="false" ht="21.75" hidden="false" customHeight="true" outlineLevel="0" collapsed="false">
      <c r="A176" s="3"/>
      <c r="B176" s="3"/>
      <c r="C176" s="3"/>
      <c r="D176" s="3"/>
      <c r="E176" s="3"/>
      <c r="F176" s="3"/>
      <c r="G176" s="4"/>
      <c r="H176" s="4"/>
      <c r="I176" s="4"/>
      <c r="J176" s="4"/>
      <c r="K176" s="4"/>
      <c r="L176" s="4"/>
      <c r="M176" s="3"/>
      <c r="N176" s="3"/>
      <c r="O176" s="3"/>
      <c r="P176" s="3"/>
      <c r="Q176" s="3"/>
      <c r="R176" s="3"/>
      <c r="S176" s="3"/>
      <c r="T176" s="3"/>
      <c r="U176" s="3"/>
      <c r="V176" s="3"/>
      <c r="W176" s="3"/>
      <c r="X176" s="3"/>
      <c r="Y176" s="3"/>
      <c r="Z176" s="3"/>
      <c r="AA176" s="3"/>
      <c r="AB176" s="3"/>
      <c r="AC176" s="3"/>
    </row>
    <row r="177" customFormat="false" ht="21.75" hidden="false" customHeight="true" outlineLevel="0" collapsed="false">
      <c r="A177" s="3"/>
      <c r="B177" s="3"/>
      <c r="C177" s="3"/>
      <c r="D177" s="3"/>
      <c r="E177" s="3"/>
      <c r="F177" s="3"/>
      <c r="G177" s="4"/>
      <c r="H177" s="4"/>
      <c r="I177" s="4"/>
      <c r="J177" s="4"/>
      <c r="K177" s="4"/>
      <c r="L177" s="4"/>
      <c r="M177" s="3"/>
      <c r="N177" s="3"/>
      <c r="O177" s="3"/>
      <c r="P177" s="3"/>
      <c r="Q177" s="3"/>
      <c r="R177" s="3"/>
      <c r="S177" s="3"/>
      <c r="T177" s="3"/>
      <c r="U177" s="3"/>
      <c r="V177" s="3"/>
      <c r="W177" s="3"/>
      <c r="X177" s="3"/>
      <c r="Y177" s="3"/>
      <c r="Z177" s="3"/>
      <c r="AA177" s="3"/>
      <c r="AB177" s="3"/>
      <c r="AC177" s="3"/>
    </row>
    <row r="178" customFormat="false" ht="21.75" hidden="false" customHeight="true" outlineLevel="0" collapsed="false">
      <c r="A178" s="3"/>
      <c r="B178" s="3"/>
      <c r="C178" s="3"/>
      <c r="D178" s="3"/>
      <c r="E178" s="3"/>
      <c r="F178" s="3"/>
      <c r="G178" s="4"/>
      <c r="H178" s="4"/>
      <c r="I178" s="4"/>
      <c r="J178" s="4"/>
      <c r="K178" s="4"/>
      <c r="L178" s="4"/>
      <c r="M178" s="3"/>
      <c r="N178" s="3"/>
      <c r="O178" s="3"/>
      <c r="P178" s="3"/>
      <c r="Q178" s="3"/>
      <c r="R178" s="3"/>
      <c r="S178" s="3"/>
      <c r="T178" s="3"/>
      <c r="U178" s="3"/>
      <c r="V178" s="3"/>
      <c r="W178" s="3"/>
      <c r="X178" s="3"/>
      <c r="Y178" s="3"/>
      <c r="Z178" s="3"/>
      <c r="AA178" s="3"/>
      <c r="AB178" s="3"/>
      <c r="AC178" s="3"/>
    </row>
    <row r="179" customFormat="false" ht="21.75" hidden="false" customHeight="true" outlineLevel="0" collapsed="false">
      <c r="A179" s="3"/>
      <c r="B179" s="3"/>
      <c r="C179" s="3"/>
      <c r="D179" s="3"/>
      <c r="E179" s="3"/>
      <c r="F179" s="3"/>
      <c r="G179" s="4"/>
      <c r="H179" s="4"/>
      <c r="I179" s="4"/>
      <c r="J179" s="4"/>
      <c r="K179" s="4"/>
      <c r="L179" s="4"/>
      <c r="M179" s="3"/>
      <c r="N179" s="3"/>
      <c r="O179" s="3"/>
      <c r="P179" s="3"/>
      <c r="Q179" s="3"/>
      <c r="R179" s="3"/>
      <c r="S179" s="3"/>
      <c r="T179" s="3"/>
      <c r="U179" s="3"/>
      <c r="V179" s="3"/>
      <c r="W179" s="3"/>
      <c r="X179" s="3"/>
      <c r="Y179" s="3"/>
      <c r="Z179" s="3"/>
      <c r="AA179" s="3"/>
      <c r="AB179" s="3"/>
      <c r="AC179" s="3"/>
    </row>
    <row r="180" customFormat="false" ht="21.75" hidden="false" customHeight="true" outlineLevel="0" collapsed="false">
      <c r="A180" s="3"/>
      <c r="B180" s="3"/>
      <c r="C180" s="3"/>
      <c r="D180" s="3"/>
      <c r="E180" s="3"/>
      <c r="F180" s="3"/>
      <c r="G180" s="4"/>
      <c r="H180" s="4"/>
      <c r="I180" s="4"/>
      <c r="J180" s="4"/>
      <c r="K180" s="4"/>
      <c r="L180" s="4"/>
      <c r="M180" s="3"/>
      <c r="N180" s="3"/>
      <c r="O180" s="3"/>
      <c r="P180" s="3"/>
      <c r="Q180" s="3"/>
      <c r="R180" s="3"/>
      <c r="S180" s="3"/>
      <c r="T180" s="3"/>
      <c r="U180" s="3"/>
      <c r="V180" s="3"/>
      <c r="W180" s="3"/>
      <c r="X180" s="3"/>
      <c r="Y180" s="3"/>
      <c r="Z180" s="3"/>
      <c r="AA180" s="3"/>
      <c r="AB180" s="3"/>
      <c r="AC180" s="3"/>
    </row>
    <row r="181" customFormat="false" ht="21.75" hidden="false" customHeight="true" outlineLevel="0" collapsed="false">
      <c r="A181" s="3"/>
      <c r="B181" s="3"/>
      <c r="C181" s="3"/>
      <c r="D181" s="3"/>
      <c r="E181" s="3"/>
      <c r="F181" s="3"/>
      <c r="G181" s="4"/>
      <c r="H181" s="4"/>
      <c r="I181" s="4"/>
      <c r="J181" s="4"/>
      <c r="K181" s="4"/>
      <c r="L181" s="4"/>
      <c r="M181" s="3"/>
      <c r="N181" s="3"/>
      <c r="O181" s="3"/>
      <c r="P181" s="3"/>
      <c r="Q181" s="3"/>
      <c r="R181" s="3"/>
      <c r="S181" s="3"/>
      <c r="T181" s="3"/>
      <c r="U181" s="3"/>
      <c r="V181" s="3"/>
      <c r="W181" s="3"/>
      <c r="X181" s="3"/>
      <c r="Y181" s="3"/>
      <c r="Z181" s="3"/>
      <c r="AA181" s="3"/>
      <c r="AB181" s="3"/>
      <c r="AC181" s="3"/>
    </row>
    <row r="182" customFormat="false" ht="21.75" hidden="false" customHeight="true" outlineLevel="0" collapsed="false">
      <c r="A182" s="3"/>
      <c r="B182" s="3"/>
      <c r="C182" s="3"/>
      <c r="D182" s="3"/>
      <c r="E182" s="3"/>
      <c r="F182" s="3"/>
      <c r="G182" s="4"/>
      <c r="H182" s="4"/>
      <c r="I182" s="4"/>
      <c r="J182" s="4"/>
      <c r="K182" s="4"/>
      <c r="L182" s="4"/>
      <c r="M182" s="3"/>
      <c r="N182" s="3"/>
      <c r="O182" s="3"/>
      <c r="P182" s="3"/>
      <c r="Q182" s="3"/>
      <c r="R182" s="3"/>
      <c r="S182" s="3"/>
      <c r="T182" s="3"/>
      <c r="U182" s="3"/>
      <c r="V182" s="3"/>
      <c r="W182" s="3"/>
      <c r="X182" s="3"/>
      <c r="Y182" s="3"/>
      <c r="Z182" s="3"/>
      <c r="AA182" s="3"/>
      <c r="AB182" s="3"/>
      <c r="AC182" s="3"/>
    </row>
    <row r="183" customFormat="false" ht="21.75" hidden="false" customHeight="true" outlineLevel="0" collapsed="false">
      <c r="A183" s="3"/>
      <c r="B183" s="3"/>
      <c r="C183" s="3"/>
      <c r="D183" s="3"/>
      <c r="E183" s="3"/>
      <c r="F183" s="3"/>
      <c r="G183" s="4"/>
      <c r="H183" s="4"/>
      <c r="I183" s="4"/>
      <c r="J183" s="4"/>
      <c r="K183" s="4"/>
      <c r="L183" s="4"/>
      <c r="M183" s="3"/>
      <c r="N183" s="3"/>
      <c r="O183" s="3"/>
      <c r="P183" s="3"/>
      <c r="Q183" s="3"/>
      <c r="R183" s="3"/>
      <c r="S183" s="3"/>
      <c r="T183" s="3"/>
      <c r="U183" s="3"/>
      <c r="V183" s="3"/>
      <c r="W183" s="3"/>
      <c r="X183" s="3"/>
      <c r="Y183" s="3"/>
      <c r="Z183" s="3"/>
      <c r="AA183" s="3"/>
      <c r="AB183" s="3"/>
      <c r="AC183" s="3"/>
    </row>
    <row r="184" customFormat="false" ht="21.75" hidden="false" customHeight="true" outlineLevel="0" collapsed="false">
      <c r="A184" s="3"/>
      <c r="B184" s="3"/>
      <c r="C184" s="3"/>
      <c r="D184" s="3"/>
      <c r="E184" s="3"/>
      <c r="F184" s="3"/>
      <c r="G184" s="4"/>
      <c r="H184" s="4"/>
      <c r="I184" s="4"/>
      <c r="J184" s="4"/>
      <c r="K184" s="4"/>
      <c r="L184" s="4"/>
      <c r="M184" s="3"/>
      <c r="N184" s="3"/>
      <c r="O184" s="3"/>
      <c r="P184" s="3"/>
      <c r="Q184" s="3"/>
      <c r="R184" s="3"/>
      <c r="S184" s="3"/>
      <c r="T184" s="3"/>
      <c r="U184" s="3"/>
      <c r="V184" s="3"/>
      <c r="W184" s="3"/>
      <c r="X184" s="3"/>
      <c r="Y184" s="3"/>
      <c r="Z184" s="3"/>
      <c r="AA184" s="3"/>
      <c r="AB184" s="3"/>
      <c r="AC184" s="3"/>
    </row>
    <row r="185" customFormat="false" ht="21.75" hidden="false" customHeight="true" outlineLevel="0" collapsed="false">
      <c r="A185" s="3"/>
      <c r="B185" s="3"/>
      <c r="C185" s="3"/>
      <c r="D185" s="3"/>
      <c r="E185" s="3"/>
      <c r="F185" s="3"/>
      <c r="G185" s="4"/>
      <c r="H185" s="4"/>
      <c r="I185" s="4"/>
      <c r="J185" s="4"/>
      <c r="K185" s="4"/>
      <c r="L185" s="4"/>
      <c r="M185" s="3"/>
      <c r="N185" s="3"/>
      <c r="O185" s="3"/>
      <c r="P185" s="3"/>
      <c r="Q185" s="3"/>
      <c r="R185" s="3"/>
      <c r="S185" s="3"/>
      <c r="T185" s="3"/>
      <c r="U185" s="3"/>
      <c r="V185" s="3"/>
      <c r="W185" s="3"/>
      <c r="X185" s="3"/>
      <c r="Y185" s="3"/>
      <c r="Z185" s="3"/>
      <c r="AA185" s="3"/>
      <c r="AB185" s="3"/>
      <c r="AC185" s="3"/>
    </row>
    <row r="186" customFormat="false" ht="21.75" hidden="false" customHeight="true" outlineLevel="0" collapsed="false">
      <c r="A186" s="3"/>
      <c r="B186" s="3"/>
      <c r="C186" s="3"/>
      <c r="D186" s="3"/>
      <c r="E186" s="3"/>
      <c r="F186" s="3"/>
      <c r="G186" s="4"/>
      <c r="H186" s="4"/>
      <c r="I186" s="4"/>
      <c r="J186" s="4"/>
      <c r="K186" s="4"/>
      <c r="L186" s="4"/>
      <c r="M186" s="3"/>
      <c r="N186" s="3"/>
      <c r="O186" s="3"/>
      <c r="P186" s="3"/>
      <c r="Q186" s="3"/>
      <c r="R186" s="3"/>
      <c r="S186" s="3"/>
      <c r="T186" s="3"/>
      <c r="U186" s="3"/>
      <c r="V186" s="3"/>
      <c r="W186" s="3"/>
      <c r="X186" s="3"/>
      <c r="Y186" s="3"/>
      <c r="Z186" s="3"/>
      <c r="AA186" s="3"/>
      <c r="AB186" s="3"/>
      <c r="AC186" s="3"/>
    </row>
    <row r="187" customFormat="false" ht="21.75" hidden="false" customHeight="true" outlineLevel="0" collapsed="false">
      <c r="A187" s="3"/>
      <c r="B187" s="3"/>
      <c r="C187" s="3"/>
      <c r="D187" s="3"/>
      <c r="E187" s="3"/>
      <c r="F187" s="3"/>
      <c r="G187" s="4"/>
      <c r="H187" s="4"/>
      <c r="I187" s="4"/>
      <c r="J187" s="4"/>
      <c r="K187" s="4"/>
      <c r="L187" s="4"/>
      <c r="M187" s="3"/>
      <c r="N187" s="3"/>
      <c r="O187" s="3"/>
      <c r="P187" s="3"/>
      <c r="Q187" s="3"/>
      <c r="R187" s="3"/>
      <c r="S187" s="3"/>
      <c r="T187" s="3"/>
      <c r="U187" s="3"/>
      <c r="V187" s="3"/>
      <c r="W187" s="3"/>
      <c r="X187" s="3"/>
      <c r="Y187" s="3"/>
      <c r="Z187" s="3"/>
      <c r="AA187" s="3"/>
      <c r="AB187" s="3"/>
      <c r="AC187" s="3"/>
    </row>
    <row r="188" customFormat="false" ht="21.75" hidden="false" customHeight="true" outlineLevel="0" collapsed="false">
      <c r="A188" s="3"/>
      <c r="B188" s="3"/>
      <c r="C188" s="3"/>
      <c r="D188" s="3"/>
      <c r="E188" s="3"/>
      <c r="F188" s="3"/>
      <c r="G188" s="4"/>
      <c r="H188" s="4"/>
      <c r="I188" s="4"/>
      <c r="J188" s="4"/>
      <c r="K188" s="4"/>
      <c r="L188" s="4"/>
      <c r="M188" s="3"/>
      <c r="N188" s="3"/>
      <c r="O188" s="3"/>
      <c r="P188" s="3"/>
      <c r="Q188" s="3"/>
      <c r="R188" s="3"/>
      <c r="S188" s="3"/>
      <c r="T188" s="3"/>
      <c r="U188" s="3"/>
      <c r="V188" s="3"/>
      <c r="W188" s="3"/>
      <c r="X188" s="3"/>
      <c r="Y188" s="3"/>
      <c r="Z188" s="3"/>
      <c r="AA188" s="3"/>
      <c r="AB188" s="3"/>
      <c r="AC188" s="3"/>
    </row>
    <row r="189" customFormat="false" ht="21.75" hidden="false" customHeight="true" outlineLevel="0" collapsed="false">
      <c r="A189" s="3"/>
      <c r="B189" s="3"/>
      <c r="C189" s="3"/>
      <c r="D189" s="3"/>
      <c r="E189" s="3"/>
      <c r="F189" s="3"/>
      <c r="G189" s="4"/>
      <c r="H189" s="4"/>
      <c r="I189" s="4"/>
      <c r="J189" s="4"/>
      <c r="K189" s="4"/>
      <c r="L189" s="4"/>
      <c r="M189" s="3"/>
      <c r="N189" s="3"/>
      <c r="O189" s="3"/>
      <c r="P189" s="3"/>
      <c r="Q189" s="3"/>
      <c r="R189" s="3"/>
      <c r="S189" s="3"/>
      <c r="T189" s="3"/>
      <c r="U189" s="3"/>
      <c r="V189" s="3"/>
      <c r="W189" s="3"/>
      <c r="X189" s="3"/>
      <c r="Y189" s="3"/>
      <c r="Z189" s="3"/>
      <c r="AA189" s="3"/>
      <c r="AB189" s="3"/>
      <c r="AC189" s="3"/>
    </row>
    <row r="190" customFormat="false" ht="21.75" hidden="false" customHeight="true" outlineLevel="0" collapsed="false">
      <c r="A190" s="3"/>
      <c r="B190" s="3"/>
      <c r="C190" s="3"/>
      <c r="D190" s="3"/>
      <c r="E190" s="3"/>
      <c r="F190" s="3"/>
      <c r="G190" s="4"/>
      <c r="H190" s="4"/>
      <c r="I190" s="4"/>
      <c r="J190" s="4"/>
      <c r="K190" s="4"/>
      <c r="L190" s="4"/>
      <c r="M190" s="3"/>
      <c r="N190" s="3"/>
      <c r="O190" s="3"/>
      <c r="P190" s="3"/>
      <c r="Q190" s="3"/>
      <c r="R190" s="3"/>
      <c r="S190" s="3"/>
      <c r="T190" s="3"/>
      <c r="U190" s="3"/>
      <c r="V190" s="3"/>
      <c r="W190" s="3"/>
      <c r="X190" s="3"/>
      <c r="Y190" s="3"/>
      <c r="Z190" s="3"/>
      <c r="AA190" s="3"/>
      <c r="AB190" s="3"/>
      <c r="AC190" s="3"/>
    </row>
    <row r="191" customFormat="false" ht="21.75" hidden="false" customHeight="true" outlineLevel="0" collapsed="false">
      <c r="A191" s="3"/>
      <c r="B191" s="3"/>
      <c r="C191" s="3"/>
      <c r="D191" s="3"/>
      <c r="E191" s="3"/>
      <c r="F191" s="3"/>
      <c r="G191" s="4"/>
      <c r="H191" s="4"/>
      <c r="I191" s="4"/>
      <c r="J191" s="4"/>
      <c r="K191" s="4"/>
      <c r="L191" s="4"/>
      <c r="M191" s="3"/>
      <c r="N191" s="3"/>
      <c r="O191" s="3"/>
      <c r="P191" s="3"/>
      <c r="Q191" s="3"/>
      <c r="R191" s="3"/>
      <c r="S191" s="3"/>
      <c r="T191" s="3"/>
      <c r="U191" s="3"/>
      <c r="V191" s="3"/>
      <c r="W191" s="3"/>
      <c r="X191" s="3"/>
      <c r="Y191" s="3"/>
      <c r="Z191" s="3"/>
      <c r="AA191" s="3"/>
      <c r="AB191" s="3"/>
      <c r="AC191" s="3"/>
    </row>
    <row r="192" customFormat="false" ht="21.75" hidden="false" customHeight="true" outlineLevel="0" collapsed="false">
      <c r="A192" s="3"/>
      <c r="B192" s="3"/>
      <c r="C192" s="3"/>
      <c r="D192" s="3"/>
      <c r="E192" s="3"/>
      <c r="F192" s="3"/>
      <c r="G192" s="4"/>
      <c r="H192" s="4"/>
      <c r="I192" s="4"/>
      <c r="J192" s="4"/>
      <c r="K192" s="4"/>
      <c r="L192" s="4"/>
      <c r="M192" s="3"/>
      <c r="N192" s="3"/>
      <c r="O192" s="3"/>
      <c r="P192" s="3"/>
      <c r="Q192" s="3"/>
      <c r="R192" s="3"/>
      <c r="S192" s="3"/>
      <c r="T192" s="3"/>
      <c r="U192" s="3"/>
      <c r="V192" s="3"/>
      <c r="W192" s="3"/>
      <c r="X192" s="3"/>
      <c r="Y192" s="3"/>
      <c r="Z192" s="3"/>
      <c r="AA192" s="3"/>
      <c r="AB192" s="3"/>
      <c r="AC192" s="3"/>
    </row>
    <row r="193" customFormat="false" ht="21.75" hidden="false" customHeight="true" outlineLevel="0" collapsed="false">
      <c r="A193" s="3"/>
      <c r="B193" s="3"/>
      <c r="C193" s="3"/>
      <c r="D193" s="3"/>
      <c r="E193" s="3"/>
      <c r="F193" s="3"/>
      <c r="G193" s="4"/>
      <c r="H193" s="4"/>
      <c r="I193" s="4"/>
      <c r="J193" s="4"/>
      <c r="K193" s="4"/>
      <c r="L193" s="4"/>
      <c r="M193" s="3"/>
      <c r="N193" s="3"/>
      <c r="O193" s="3"/>
      <c r="P193" s="3"/>
      <c r="Q193" s="3"/>
      <c r="R193" s="3"/>
      <c r="S193" s="3"/>
      <c r="T193" s="3"/>
      <c r="U193" s="3"/>
      <c r="V193" s="3"/>
      <c r="W193" s="3"/>
      <c r="X193" s="3"/>
      <c r="Y193" s="3"/>
      <c r="Z193" s="3"/>
      <c r="AA193" s="3"/>
      <c r="AB193" s="3"/>
      <c r="AC193" s="3"/>
    </row>
    <row r="194" customFormat="false" ht="21.75" hidden="false" customHeight="true" outlineLevel="0" collapsed="false">
      <c r="A194" s="3"/>
      <c r="B194" s="3"/>
      <c r="C194" s="3"/>
      <c r="D194" s="3"/>
      <c r="E194" s="3"/>
      <c r="F194" s="3"/>
      <c r="G194" s="4"/>
      <c r="H194" s="4"/>
      <c r="I194" s="4"/>
      <c r="J194" s="4"/>
      <c r="K194" s="4"/>
      <c r="L194" s="4"/>
      <c r="M194" s="3"/>
      <c r="N194" s="3"/>
      <c r="O194" s="3"/>
      <c r="P194" s="3"/>
      <c r="Q194" s="3"/>
      <c r="R194" s="3"/>
      <c r="S194" s="3"/>
      <c r="T194" s="3"/>
      <c r="U194" s="3"/>
      <c r="V194" s="3"/>
      <c r="W194" s="3"/>
      <c r="X194" s="3"/>
      <c r="Y194" s="3"/>
      <c r="Z194" s="3"/>
      <c r="AA194" s="3"/>
      <c r="AB194" s="3"/>
      <c r="AC194" s="3"/>
    </row>
    <row r="195" customFormat="false" ht="21.75" hidden="false" customHeight="true" outlineLevel="0" collapsed="false">
      <c r="A195" s="3"/>
      <c r="B195" s="3"/>
      <c r="C195" s="3"/>
      <c r="D195" s="3"/>
      <c r="E195" s="3"/>
      <c r="F195" s="3"/>
      <c r="G195" s="4"/>
      <c r="H195" s="4"/>
      <c r="I195" s="4"/>
      <c r="J195" s="4"/>
      <c r="K195" s="4"/>
      <c r="L195" s="4"/>
      <c r="M195" s="3"/>
      <c r="N195" s="3"/>
      <c r="O195" s="3"/>
      <c r="P195" s="3"/>
      <c r="Q195" s="3"/>
      <c r="R195" s="3"/>
      <c r="S195" s="3"/>
      <c r="T195" s="3"/>
      <c r="U195" s="3"/>
      <c r="V195" s="3"/>
      <c r="W195" s="3"/>
      <c r="X195" s="3"/>
      <c r="Y195" s="3"/>
      <c r="Z195" s="3"/>
      <c r="AA195" s="3"/>
      <c r="AB195" s="3"/>
      <c r="AC195" s="3"/>
    </row>
    <row r="196" customFormat="false" ht="21.75" hidden="false" customHeight="true" outlineLevel="0" collapsed="false">
      <c r="A196" s="3"/>
      <c r="B196" s="3"/>
      <c r="C196" s="3"/>
      <c r="D196" s="3"/>
      <c r="E196" s="3"/>
      <c r="F196" s="3"/>
      <c r="G196" s="4"/>
      <c r="H196" s="4"/>
      <c r="I196" s="4"/>
      <c r="J196" s="4"/>
      <c r="K196" s="4"/>
      <c r="L196" s="4"/>
      <c r="M196" s="3"/>
      <c r="N196" s="3"/>
      <c r="O196" s="3"/>
      <c r="P196" s="3"/>
      <c r="Q196" s="3"/>
      <c r="R196" s="3"/>
      <c r="S196" s="3"/>
      <c r="T196" s="3"/>
      <c r="U196" s="3"/>
      <c r="V196" s="3"/>
      <c r="W196" s="3"/>
      <c r="X196" s="3"/>
      <c r="Y196" s="3"/>
      <c r="Z196" s="3"/>
      <c r="AA196" s="3"/>
      <c r="AB196" s="3"/>
      <c r="AC196" s="3"/>
    </row>
    <row r="197" customFormat="false" ht="21.75" hidden="false" customHeight="true" outlineLevel="0" collapsed="false">
      <c r="A197" s="3"/>
      <c r="B197" s="3"/>
      <c r="C197" s="3"/>
      <c r="D197" s="3"/>
      <c r="E197" s="3"/>
      <c r="F197" s="3"/>
      <c r="G197" s="4"/>
      <c r="H197" s="4"/>
      <c r="I197" s="4"/>
      <c r="J197" s="4"/>
      <c r="K197" s="4"/>
      <c r="L197" s="4"/>
      <c r="M197" s="3"/>
      <c r="N197" s="3"/>
      <c r="O197" s="3"/>
      <c r="P197" s="3"/>
      <c r="Q197" s="3"/>
      <c r="R197" s="3"/>
      <c r="S197" s="3"/>
      <c r="T197" s="3"/>
      <c r="U197" s="3"/>
      <c r="V197" s="3"/>
      <c r="W197" s="3"/>
      <c r="X197" s="3"/>
      <c r="Y197" s="3"/>
      <c r="Z197" s="3"/>
      <c r="AA197" s="3"/>
      <c r="AB197" s="3"/>
      <c r="AC197" s="3"/>
    </row>
    <row r="198" customFormat="false" ht="21.75" hidden="false" customHeight="true" outlineLevel="0" collapsed="false">
      <c r="A198" s="3"/>
      <c r="B198" s="3"/>
      <c r="C198" s="3"/>
      <c r="D198" s="3"/>
      <c r="E198" s="3"/>
      <c r="F198" s="3"/>
      <c r="G198" s="4"/>
      <c r="H198" s="4"/>
      <c r="I198" s="4"/>
      <c r="J198" s="4"/>
      <c r="K198" s="4"/>
      <c r="L198" s="4"/>
      <c r="M198" s="3"/>
      <c r="N198" s="3"/>
      <c r="O198" s="3"/>
      <c r="P198" s="3"/>
      <c r="Q198" s="3"/>
      <c r="R198" s="3"/>
      <c r="S198" s="3"/>
      <c r="T198" s="3"/>
      <c r="U198" s="3"/>
      <c r="V198" s="3"/>
      <c r="W198" s="3"/>
      <c r="X198" s="3"/>
      <c r="Y198" s="3"/>
      <c r="Z198" s="3"/>
      <c r="AA198" s="3"/>
      <c r="AB198" s="3"/>
      <c r="AC198" s="3"/>
    </row>
    <row r="199" customFormat="false" ht="21.75" hidden="false" customHeight="true" outlineLevel="0" collapsed="false">
      <c r="A199" s="3"/>
      <c r="B199" s="3"/>
      <c r="C199" s="3"/>
      <c r="D199" s="3"/>
      <c r="E199" s="3"/>
      <c r="F199" s="3"/>
      <c r="G199" s="4"/>
      <c r="H199" s="4"/>
      <c r="I199" s="4"/>
      <c r="J199" s="4"/>
      <c r="K199" s="4"/>
      <c r="L199" s="4"/>
      <c r="M199" s="3"/>
      <c r="N199" s="3"/>
      <c r="O199" s="3"/>
      <c r="P199" s="3"/>
      <c r="Q199" s="3"/>
      <c r="R199" s="3"/>
      <c r="S199" s="3"/>
      <c r="T199" s="3"/>
      <c r="U199" s="3"/>
      <c r="V199" s="3"/>
      <c r="W199" s="3"/>
      <c r="X199" s="3"/>
      <c r="Y199" s="3"/>
      <c r="Z199" s="3"/>
      <c r="AA199" s="3"/>
      <c r="AB199" s="3"/>
      <c r="AC199" s="3"/>
    </row>
    <row r="200" customFormat="false" ht="21.75" hidden="false" customHeight="true" outlineLevel="0" collapsed="false">
      <c r="A200" s="3"/>
      <c r="B200" s="3"/>
      <c r="C200" s="3"/>
      <c r="D200" s="3"/>
      <c r="E200" s="3"/>
      <c r="F200" s="3"/>
      <c r="G200" s="4"/>
      <c r="H200" s="4"/>
      <c r="I200" s="4"/>
      <c r="J200" s="4"/>
      <c r="K200" s="4"/>
      <c r="L200" s="4"/>
      <c r="M200" s="3"/>
      <c r="N200" s="3"/>
      <c r="O200" s="3"/>
      <c r="P200" s="3"/>
      <c r="Q200" s="3"/>
      <c r="R200" s="3"/>
      <c r="S200" s="3"/>
      <c r="T200" s="3"/>
      <c r="U200" s="3"/>
      <c r="V200" s="3"/>
      <c r="W200" s="3"/>
      <c r="X200" s="3"/>
      <c r="Y200" s="3"/>
      <c r="Z200" s="3"/>
      <c r="AA200" s="3"/>
      <c r="AB200" s="3"/>
      <c r="AC200" s="3"/>
    </row>
    <row r="201" customFormat="false" ht="21.75" hidden="false" customHeight="true" outlineLevel="0" collapsed="false">
      <c r="A201" s="3"/>
      <c r="B201" s="3"/>
      <c r="C201" s="3"/>
      <c r="D201" s="3"/>
      <c r="E201" s="3"/>
      <c r="F201" s="3"/>
      <c r="G201" s="4"/>
      <c r="H201" s="4"/>
      <c r="I201" s="4"/>
      <c r="J201" s="4"/>
      <c r="K201" s="4"/>
      <c r="L201" s="4"/>
      <c r="M201" s="3"/>
      <c r="N201" s="3"/>
      <c r="O201" s="3"/>
      <c r="P201" s="3"/>
      <c r="Q201" s="3"/>
      <c r="R201" s="3"/>
      <c r="S201" s="3"/>
      <c r="T201" s="3"/>
      <c r="U201" s="3"/>
      <c r="V201" s="3"/>
      <c r="W201" s="3"/>
      <c r="X201" s="3"/>
      <c r="Y201" s="3"/>
      <c r="Z201" s="3"/>
      <c r="AA201" s="3"/>
      <c r="AB201" s="3"/>
      <c r="AC201" s="3"/>
    </row>
    <row r="202" customFormat="false" ht="21.75" hidden="false" customHeight="true" outlineLevel="0" collapsed="false">
      <c r="A202" s="3"/>
      <c r="B202" s="3"/>
      <c r="C202" s="3"/>
      <c r="D202" s="3"/>
      <c r="E202" s="3"/>
      <c r="F202" s="3"/>
      <c r="G202" s="4"/>
      <c r="H202" s="4"/>
      <c r="I202" s="4"/>
      <c r="J202" s="4"/>
      <c r="K202" s="4"/>
      <c r="L202" s="4"/>
      <c r="M202" s="3"/>
      <c r="N202" s="3"/>
      <c r="O202" s="3"/>
      <c r="P202" s="3"/>
      <c r="Q202" s="3"/>
      <c r="R202" s="3"/>
      <c r="S202" s="3"/>
      <c r="T202" s="3"/>
      <c r="U202" s="3"/>
      <c r="V202" s="3"/>
      <c r="W202" s="3"/>
      <c r="X202" s="3"/>
      <c r="Y202" s="3"/>
      <c r="Z202" s="3"/>
      <c r="AA202" s="3"/>
      <c r="AB202" s="3"/>
      <c r="AC202" s="3"/>
    </row>
    <row r="203" customFormat="false" ht="21.75" hidden="false" customHeight="true" outlineLevel="0" collapsed="false">
      <c r="A203" s="3"/>
      <c r="B203" s="3"/>
      <c r="C203" s="3"/>
      <c r="D203" s="3"/>
      <c r="E203" s="3"/>
      <c r="F203" s="3"/>
      <c r="G203" s="4"/>
      <c r="H203" s="4"/>
      <c r="I203" s="4"/>
      <c r="J203" s="4"/>
      <c r="K203" s="4"/>
      <c r="L203" s="4"/>
      <c r="M203" s="3"/>
      <c r="N203" s="3"/>
      <c r="O203" s="3"/>
      <c r="P203" s="3"/>
      <c r="Q203" s="3"/>
      <c r="R203" s="3"/>
      <c r="S203" s="3"/>
      <c r="T203" s="3"/>
      <c r="U203" s="3"/>
      <c r="V203" s="3"/>
      <c r="W203" s="3"/>
      <c r="X203" s="3"/>
      <c r="Y203" s="3"/>
      <c r="Z203" s="3"/>
      <c r="AA203" s="3"/>
      <c r="AB203" s="3"/>
      <c r="AC203" s="3"/>
    </row>
    <row r="204" customFormat="false" ht="21.75" hidden="false" customHeight="true" outlineLevel="0" collapsed="false">
      <c r="A204" s="3"/>
      <c r="B204" s="3"/>
      <c r="C204" s="3"/>
      <c r="D204" s="3"/>
      <c r="E204" s="3"/>
      <c r="F204" s="3"/>
      <c r="G204" s="4"/>
      <c r="H204" s="4"/>
      <c r="I204" s="4"/>
      <c r="J204" s="4"/>
      <c r="K204" s="4"/>
      <c r="L204" s="4"/>
      <c r="M204" s="3"/>
      <c r="N204" s="3"/>
      <c r="O204" s="3"/>
      <c r="P204" s="3"/>
      <c r="Q204" s="3"/>
      <c r="R204" s="3"/>
      <c r="S204" s="3"/>
      <c r="T204" s="3"/>
      <c r="U204" s="3"/>
      <c r="V204" s="3"/>
      <c r="W204" s="3"/>
      <c r="X204" s="3"/>
      <c r="Y204" s="3"/>
      <c r="Z204" s="3"/>
      <c r="AA204" s="3"/>
      <c r="AB204" s="3"/>
      <c r="AC204" s="3"/>
    </row>
    <row r="205" customFormat="false" ht="21.75" hidden="false" customHeight="true" outlineLevel="0" collapsed="false">
      <c r="A205" s="3"/>
      <c r="B205" s="3"/>
      <c r="C205" s="3"/>
      <c r="D205" s="3"/>
      <c r="E205" s="3"/>
      <c r="F205" s="3"/>
      <c r="G205" s="4"/>
      <c r="H205" s="4"/>
      <c r="I205" s="4"/>
      <c r="J205" s="4"/>
      <c r="K205" s="4"/>
      <c r="L205" s="4"/>
      <c r="M205" s="3"/>
      <c r="N205" s="3"/>
      <c r="O205" s="3"/>
      <c r="P205" s="3"/>
      <c r="Q205" s="3"/>
      <c r="R205" s="3"/>
      <c r="S205" s="3"/>
      <c r="T205" s="3"/>
      <c r="U205" s="3"/>
      <c r="V205" s="3"/>
      <c r="W205" s="3"/>
      <c r="X205" s="3"/>
      <c r="Y205" s="3"/>
      <c r="Z205" s="3"/>
      <c r="AA205" s="3"/>
      <c r="AB205" s="3"/>
      <c r="AC205" s="3"/>
    </row>
    <row r="206" customFormat="false" ht="21.75" hidden="false" customHeight="true" outlineLevel="0" collapsed="false">
      <c r="A206" s="3"/>
      <c r="B206" s="3"/>
      <c r="C206" s="3"/>
      <c r="D206" s="3"/>
      <c r="E206" s="3"/>
      <c r="F206" s="3"/>
      <c r="G206" s="4"/>
      <c r="H206" s="4"/>
      <c r="I206" s="4"/>
      <c r="J206" s="4"/>
      <c r="K206" s="4"/>
      <c r="L206" s="4"/>
      <c r="M206" s="3"/>
      <c r="N206" s="3"/>
      <c r="O206" s="3"/>
      <c r="P206" s="3"/>
      <c r="Q206" s="3"/>
      <c r="R206" s="3"/>
      <c r="S206" s="3"/>
      <c r="T206" s="3"/>
      <c r="U206" s="3"/>
      <c r="V206" s="3"/>
      <c r="W206" s="3"/>
      <c r="X206" s="3"/>
      <c r="Y206" s="3"/>
      <c r="Z206" s="3"/>
      <c r="AA206" s="3"/>
      <c r="AB206" s="3"/>
      <c r="AC206" s="3"/>
    </row>
    <row r="207" customFormat="false" ht="21.75" hidden="false" customHeight="true" outlineLevel="0" collapsed="false">
      <c r="A207" s="3"/>
      <c r="B207" s="3"/>
      <c r="C207" s="3"/>
      <c r="D207" s="3"/>
      <c r="E207" s="3"/>
      <c r="F207" s="3"/>
      <c r="G207" s="4"/>
      <c r="H207" s="4"/>
      <c r="I207" s="4"/>
      <c r="J207" s="4"/>
      <c r="K207" s="4"/>
      <c r="L207" s="4"/>
      <c r="M207" s="3"/>
      <c r="N207" s="3"/>
      <c r="O207" s="3"/>
      <c r="P207" s="3"/>
      <c r="Q207" s="3"/>
      <c r="R207" s="3"/>
      <c r="S207" s="3"/>
      <c r="T207" s="3"/>
      <c r="U207" s="3"/>
      <c r="V207" s="3"/>
      <c r="W207" s="3"/>
      <c r="X207" s="3"/>
      <c r="Y207" s="3"/>
      <c r="Z207" s="3"/>
      <c r="AA207" s="3"/>
      <c r="AB207" s="3"/>
      <c r="AC207" s="3"/>
    </row>
    <row r="208" customFormat="false" ht="21.75" hidden="false" customHeight="true" outlineLevel="0" collapsed="false">
      <c r="A208" s="3"/>
      <c r="B208" s="3"/>
      <c r="C208" s="3"/>
      <c r="D208" s="3"/>
      <c r="E208" s="3"/>
      <c r="F208" s="3"/>
      <c r="G208" s="4"/>
      <c r="H208" s="4"/>
      <c r="I208" s="4"/>
      <c r="J208" s="4"/>
      <c r="K208" s="4"/>
      <c r="L208" s="4"/>
      <c r="M208" s="3"/>
      <c r="N208" s="3"/>
      <c r="O208" s="3"/>
      <c r="P208" s="3"/>
      <c r="Q208" s="3"/>
      <c r="R208" s="3"/>
      <c r="S208" s="3"/>
      <c r="T208" s="3"/>
      <c r="U208" s="3"/>
      <c r="V208" s="3"/>
      <c r="W208" s="3"/>
      <c r="X208" s="3"/>
      <c r="Y208" s="3"/>
      <c r="Z208" s="3"/>
      <c r="AA208" s="3"/>
      <c r="AB208" s="3"/>
      <c r="AC208" s="3"/>
    </row>
    <row r="209" customFormat="false" ht="21.75" hidden="false" customHeight="true" outlineLevel="0" collapsed="false">
      <c r="A209" s="3"/>
      <c r="B209" s="3"/>
      <c r="C209" s="3"/>
      <c r="D209" s="3"/>
      <c r="E209" s="3"/>
      <c r="F209" s="3"/>
      <c r="G209" s="4"/>
      <c r="H209" s="4"/>
      <c r="I209" s="4"/>
      <c r="J209" s="4"/>
      <c r="K209" s="4"/>
      <c r="L209" s="4"/>
      <c r="M209" s="3"/>
      <c r="N209" s="3"/>
      <c r="O209" s="3"/>
      <c r="P209" s="3"/>
      <c r="Q209" s="3"/>
      <c r="R209" s="3"/>
      <c r="S209" s="3"/>
      <c r="T209" s="3"/>
      <c r="U209" s="3"/>
      <c r="V209" s="3"/>
      <c r="W209" s="3"/>
      <c r="X209" s="3"/>
      <c r="Y209" s="3"/>
      <c r="Z209" s="3"/>
      <c r="AA209" s="3"/>
      <c r="AB209" s="3"/>
      <c r="AC209" s="3"/>
    </row>
    <row r="210" customFormat="false" ht="21.75" hidden="false" customHeight="true" outlineLevel="0" collapsed="false">
      <c r="A210" s="3"/>
      <c r="B210" s="3"/>
      <c r="C210" s="3"/>
      <c r="D210" s="3"/>
      <c r="E210" s="3"/>
      <c r="F210" s="3"/>
      <c r="G210" s="4"/>
      <c r="H210" s="4"/>
      <c r="I210" s="4"/>
      <c r="J210" s="4"/>
      <c r="K210" s="4"/>
      <c r="L210" s="4"/>
      <c r="M210" s="3"/>
      <c r="N210" s="3"/>
      <c r="O210" s="3"/>
      <c r="P210" s="3"/>
      <c r="Q210" s="3"/>
      <c r="R210" s="3"/>
      <c r="S210" s="3"/>
      <c r="T210" s="3"/>
      <c r="U210" s="3"/>
      <c r="V210" s="3"/>
      <c r="W210" s="3"/>
      <c r="X210" s="3"/>
      <c r="Y210" s="3"/>
      <c r="Z210" s="3"/>
      <c r="AA210" s="3"/>
      <c r="AB210" s="3"/>
      <c r="AC210" s="3"/>
    </row>
    <row r="211" customFormat="false" ht="21.75" hidden="false" customHeight="true" outlineLevel="0" collapsed="false">
      <c r="A211" s="3"/>
      <c r="B211" s="3"/>
      <c r="C211" s="3"/>
      <c r="D211" s="3"/>
      <c r="E211" s="3"/>
      <c r="F211" s="3"/>
      <c r="G211" s="4"/>
      <c r="H211" s="4"/>
      <c r="I211" s="4"/>
      <c r="J211" s="4"/>
      <c r="K211" s="4"/>
      <c r="L211" s="4"/>
      <c r="M211" s="3"/>
      <c r="N211" s="3"/>
      <c r="O211" s="3"/>
      <c r="P211" s="3"/>
      <c r="Q211" s="3"/>
      <c r="R211" s="3"/>
      <c r="S211" s="3"/>
      <c r="T211" s="3"/>
      <c r="U211" s="3"/>
      <c r="V211" s="3"/>
      <c r="W211" s="3"/>
      <c r="X211" s="3"/>
      <c r="Y211" s="3"/>
      <c r="Z211" s="3"/>
      <c r="AA211" s="3"/>
      <c r="AB211" s="3"/>
      <c r="AC211" s="3"/>
    </row>
    <row r="212" customFormat="false" ht="21.75" hidden="false" customHeight="true" outlineLevel="0" collapsed="false">
      <c r="A212" s="3"/>
      <c r="B212" s="3"/>
      <c r="C212" s="3"/>
      <c r="D212" s="3"/>
      <c r="E212" s="3"/>
      <c r="F212" s="3"/>
      <c r="G212" s="4"/>
      <c r="H212" s="4"/>
      <c r="I212" s="4"/>
      <c r="J212" s="4"/>
      <c r="K212" s="4"/>
      <c r="L212" s="4"/>
      <c r="M212" s="3"/>
      <c r="N212" s="3"/>
      <c r="O212" s="3"/>
      <c r="P212" s="3"/>
      <c r="Q212" s="3"/>
      <c r="R212" s="3"/>
      <c r="S212" s="3"/>
      <c r="T212" s="3"/>
      <c r="U212" s="3"/>
      <c r="V212" s="3"/>
      <c r="W212" s="3"/>
      <c r="X212" s="3"/>
      <c r="Y212" s="3"/>
      <c r="Z212" s="3"/>
      <c r="AA212" s="3"/>
      <c r="AB212" s="3"/>
      <c r="AC212" s="3"/>
    </row>
    <row r="213" customFormat="false" ht="21.75" hidden="false" customHeight="true" outlineLevel="0" collapsed="false">
      <c r="A213" s="3"/>
      <c r="B213" s="3"/>
      <c r="C213" s="3"/>
      <c r="D213" s="3"/>
      <c r="E213" s="3"/>
      <c r="F213" s="3"/>
      <c r="G213" s="4"/>
      <c r="H213" s="4"/>
      <c r="I213" s="4"/>
      <c r="J213" s="4"/>
      <c r="K213" s="4"/>
      <c r="L213" s="4"/>
      <c r="M213" s="3"/>
      <c r="N213" s="3"/>
      <c r="O213" s="3"/>
      <c r="P213" s="3"/>
      <c r="Q213" s="3"/>
      <c r="R213" s="3"/>
      <c r="S213" s="3"/>
      <c r="T213" s="3"/>
      <c r="U213" s="3"/>
      <c r="V213" s="3"/>
      <c r="W213" s="3"/>
      <c r="X213" s="3"/>
      <c r="Y213" s="3"/>
      <c r="Z213" s="3"/>
      <c r="AA213" s="3"/>
      <c r="AB213" s="3"/>
      <c r="AC213" s="3"/>
    </row>
    <row r="214" customFormat="false" ht="21.75" hidden="false" customHeight="true" outlineLevel="0" collapsed="false">
      <c r="A214" s="3"/>
      <c r="B214" s="3"/>
      <c r="C214" s="3"/>
      <c r="D214" s="3"/>
      <c r="E214" s="3"/>
      <c r="F214" s="3"/>
      <c r="G214" s="4"/>
      <c r="H214" s="4"/>
      <c r="I214" s="4"/>
      <c r="J214" s="4"/>
      <c r="K214" s="4"/>
      <c r="L214" s="4"/>
      <c r="M214" s="3"/>
      <c r="N214" s="3"/>
      <c r="O214" s="3"/>
      <c r="P214" s="3"/>
      <c r="Q214" s="3"/>
      <c r="R214" s="3"/>
      <c r="S214" s="3"/>
      <c r="T214" s="3"/>
      <c r="U214" s="3"/>
      <c r="V214" s="3"/>
      <c r="W214" s="3"/>
      <c r="X214" s="3"/>
      <c r="Y214" s="3"/>
      <c r="Z214" s="3"/>
      <c r="AA214" s="3"/>
      <c r="AB214" s="3"/>
      <c r="AC214" s="3"/>
    </row>
    <row r="215" customFormat="false" ht="21.75" hidden="false" customHeight="true" outlineLevel="0" collapsed="false">
      <c r="A215" s="3"/>
      <c r="B215" s="3"/>
      <c r="C215" s="3"/>
      <c r="D215" s="3"/>
      <c r="E215" s="3"/>
      <c r="F215" s="3"/>
      <c r="G215" s="4"/>
      <c r="H215" s="4"/>
      <c r="I215" s="4"/>
      <c r="J215" s="4"/>
      <c r="K215" s="4"/>
      <c r="L215" s="4"/>
      <c r="M215" s="3"/>
      <c r="N215" s="3"/>
      <c r="O215" s="3"/>
      <c r="P215" s="3"/>
      <c r="Q215" s="3"/>
      <c r="R215" s="3"/>
      <c r="S215" s="3"/>
      <c r="T215" s="3"/>
      <c r="U215" s="3"/>
      <c r="V215" s="3"/>
      <c r="W215" s="3"/>
      <c r="X215" s="3"/>
      <c r="Y215" s="3"/>
      <c r="Z215" s="3"/>
      <c r="AA215" s="3"/>
      <c r="AB215" s="3"/>
      <c r="AC215" s="3"/>
    </row>
    <row r="216" customFormat="false" ht="21.75" hidden="false" customHeight="true" outlineLevel="0" collapsed="false">
      <c r="A216" s="3"/>
      <c r="B216" s="3"/>
      <c r="C216" s="3"/>
      <c r="D216" s="3"/>
      <c r="E216" s="3"/>
      <c r="F216" s="3"/>
      <c r="G216" s="4"/>
      <c r="H216" s="4"/>
      <c r="I216" s="4"/>
      <c r="J216" s="4"/>
      <c r="K216" s="4"/>
      <c r="L216" s="4"/>
      <c r="M216" s="3"/>
      <c r="N216" s="3"/>
      <c r="O216" s="3"/>
      <c r="P216" s="3"/>
      <c r="Q216" s="3"/>
      <c r="R216" s="3"/>
      <c r="S216" s="3"/>
      <c r="T216" s="3"/>
      <c r="U216" s="3"/>
      <c r="V216" s="3"/>
      <c r="W216" s="3"/>
      <c r="X216" s="3"/>
      <c r="Y216" s="3"/>
      <c r="Z216" s="3"/>
      <c r="AA216" s="3"/>
      <c r="AB216" s="3"/>
      <c r="AC216" s="3"/>
    </row>
    <row r="217" customFormat="false" ht="21.75" hidden="false" customHeight="true" outlineLevel="0" collapsed="false">
      <c r="A217" s="3"/>
      <c r="B217" s="3"/>
      <c r="C217" s="3"/>
      <c r="D217" s="3"/>
      <c r="E217" s="3"/>
      <c r="F217" s="3"/>
      <c r="G217" s="4"/>
      <c r="H217" s="4"/>
      <c r="I217" s="4"/>
      <c r="J217" s="4"/>
      <c r="K217" s="4"/>
      <c r="L217" s="4"/>
      <c r="M217" s="3"/>
      <c r="N217" s="3"/>
      <c r="O217" s="3"/>
      <c r="P217" s="3"/>
      <c r="Q217" s="3"/>
      <c r="R217" s="3"/>
      <c r="S217" s="3"/>
      <c r="T217" s="3"/>
      <c r="U217" s="3"/>
      <c r="V217" s="3"/>
      <c r="W217" s="3"/>
      <c r="X217" s="3"/>
      <c r="Y217" s="3"/>
      <c r="Z217" s="3"/>
      <c r="AA217" s="3"/>
      <c r="AB217" s="3"/>
      <c r="AC217" s="3"/>
    </row>
    <row r="218" customFormat="false" ht="21.75" hidden="false" customHeight="true" outlineLevel="0" collapsed="false">
      <c r="A218" s="3"/>
      <c r="B218" s="3"/>
      <c r="C218" s="3"/>
      <c r="D218" s="3"/>
      <c r="E218" s="3"/>
      <c r="F218" s="3"/>
      <c r="G218" s="4"/>
      <c r="H218" s="4"/>
      <c r="I218" s="4"/>
      <c r="J218" s="4"/>
      <c r="K218" s="4"/>
      <c r="L218" s="4"/>
      <c r="M218" s="3"/>
      <c r="N218" s="3"/>
      <c r="O218" s="3"/>
      <c r="P218" s="3"/>
      <c r="Q218" s="3"/>
      <c r="R218" s="3"/>
      <c r="S218" s="3"/>
      <c r="T218" s="3"/>
      <c r="U218" s="3"/>
      <c r="V218" s="3"/>
      <c r="W218" s="3"/>
      <c r="X218" s="3"/>
      <c r="Y218" s="3"/>
      <c r="Z218" s="3"/>
      <c r="AA218" s="3"/>
      <c r="AB218" s="3"/>
      <c r="AC218" s="3"/>
    </row>
    <row r="219" customFormat="false" ht="21.75" hidden="false" customHeight="true" outlineLevel="0" collapsed="false">
      <c r="A219" s="3"/>
      <c r="B219" s="3"/>
      <c r="C219" s="3"/>
      <c r="D219" s="3"/>
      <c r="E219" s="3"/>
      <c r="F219" s="3"/>
      <c r="G219" s="4"/>
      <c r="H219" s="4"/>
      <c r="I219" s="4"/>
      <c r="J219" s="4"/>
      <c r="K219" s="4"/>
      <c r="L219" s="4"/>
      <c r="M219" s="3"/>
      <c r="N219" s="3"/>
      <c r="O219" s="3"/>
      <c r="P219" s="3"/>
      <c r="Q219" s="3"/>
      <c r="R219" s="3"/>
      <c r="S219" s="3"/>
      <c r="T219" s="3"/>
      <c r="U219" s="3"/>
      <c r="V219" s="3"/>
      <c r="W219" s="3"/>
      <c r="X219" s="3"/>
      <c r="Y219" s="3"/>
      <c r="Z219" s="3"/>
      <c r="AA219" s="3"/>
      <c r="AB219" s="3"/>
      <c r="AC219" s="3"/>
    </row>
    <row r="220" customFormat="false" ht="21.75" hidden="false" customHeight="true" outlineLevel="0" collapsed="false">
      <c r="A220" s="3"/>
      <c r="B220" s="3"/>
      <c r="C220" s="3"/>
      <c r="D220" s="3"/>
      <c r="E220" s="3"/>
      <c r="F220" s="3"/>
      <c r="G220" s="4"/>
      <c r="H220" s="4"/>
      <c r="I220" s="4"/>
      <c r="J220" s="4"/>
      <c r="K220" s="4"/>
      <c r="L220" s="4"/>
      <c r="M220" s="3"/>
      <c r="N220" s="3"/>
      <c r="O220" s="3"/>
      <c r="P220" s="3"/>
      <c r="Q220" s="3"/>
      <c r="R220" s="3"/>
      <c r="S220" s="3"/>
      <c r="T220" s="3"/>
      <c r="U220" s="3"/>
      <c r="V220" s="3"/>
      <c r="W220" s="3"/>
      <c r="X220" s="3"/>
      <c r="Y220" s="3"/>
      <c r="Z220" s="3"/>
      <c r="AA220" s="3"/>
      <c r="AB220" s="3"/>
      <c r="AC220" s="3"/>
    </row>
    <row r="221" customFormat="false" ht="21.75" hidden="false" customHeight="true" outlineLevel="0" collapsed="false">
      <c r="A221" s="3"/>
      <c r="B221" s="3"/>
      <c r="C221" s="3"/>
      <c r="D221" s="3"/>
      <c r="E221" s="3"/>
      <c r="F221" s="3"/>
      <c r="G221" s="4"/>
      <c r="H221" s="4"/>
      <c r="I221" s="4"/>
      <c r="J221" s="4"/>
      <c r="K221" s="4"/>
      <c r="L221" s="4"/>
      <c r="M221" s="3"/>
      <c r="N221" s="3"/>
      <c r="O221" s="3"/>
      <c r="P221" s="3"/>
      <c r="Q221" s="3"/>
      <c r="R221" s="3"/>
      <c r="S221" s="3"/>
      <c r="T221" s="3"/>
      <c r="U221" s="3"/>
      <c r="V221" s="3"/>
      <c r="W221" s="3"/>
      <c r="X221" s="3"/>
      <c r="Y221" s="3"/>
      <c r="Z221" s="3"/>
      <c r="AA221" s="3"/>
      <c r="AB221" s="3"/>
      <c r="AC221" s="3"/>
    </row>
    <row r="222" customFormat="false" ht="21.75" hidden="false" customHeight="true" outlineLevel="0" collapsed="false">
      <c r="A222" s="3"/>
      <c r="B222" s="3"/>
      <c r="C222" s="3"/>
      <c r="D222" s="3"/>
      <c r="E222" s="3"/>
      <c r="F222" s="3"/>
      <c r="G222" s="4"/>
      <c r="H222" s="4"/>
      <c r="I222" s="4"/>
      <c r="J222" s="4"/>
      <c r="K222" s="4"/>
      <c r="L222" s="4"/>
      <c r="M222" s="3"/>
      <c r="N222" s="3"/>
      <c r="O222" s="3"/>
      <c r="P222" s="3"/>
      <c r="Q222" s="3"/>
      <c r="R222" s="3"/>
      <c r="S222" s="3"/>
      <c r="T222" s="3"/>
      <c r="U222" s="3"/>
      <c r="V222" s="3"/>
      <c r="W222" s="3"/>
      <c r="X222" s="3"/>
      <c r="Y222" s="3"/>
      <c r="Z222" s="3"/>
      <c r="AA222" s="3"/>
      <c r="AB222" s="3"/>
      <c r="AC222" s="3"/>
    </row>
    <row r="223" customFormat="false" ht="21.75" hidden="false" customHeight="true" outlineLevel="0" collapsed="false">
      <c r="A223" s="3"/>
      <c r="B223" s="3"/>
      <c r="C223" s="3"/>
      <c r="D223" s="3"/>
      <c r="E223" s="3"/>
      <c r="F223" s="3"/>
      <c r="G223" s="4"/>
      <c r="H223" s="4"/>
      <c r="I223" s="4"/>
      <c r="J223" s="4"/>
      <c r="K223" s="4"/>
      <c r="L223" s="4"/>
      <c r="M223" s="3"/>
      <c r="N223" s="3"/>
      <c r="O223" s="3"/>
      <c r="P223" s="3"/>
      <c r="Q223" s="3"/>
      <c r="R223" s="3"/>
      <c r="S223" s="3"/>
      <c r="T223" s="3"/>
      <c r="U223" s="3"/>
      <c r="V223" s="3"/>
      <c r="W223" s="3"/>
      <c r="X223" s="3"/>
      <c r="Y223" s="3"/>
      <c r="Z223" s="3"/>
      <c r="AA223" s="3"/>
      <c r="AB223" s="3"/>
      <c r="AC223" s="3"/>
    </row>
    <row r="224" customFormat="false" ht="21.75" hidden="false" customHeight="true" outlineLevel="0" collapsed="false">
      <c r="A224" s="3"/>
      <c r="B224" s="3"/>
      <c r="C224" s="3"/>
      <c r="D224" s="3"/>
      <c r="E224" s="3"/>
      <c r="F224" s="3"/>
      <c r="G224" s="4"/>
      <c r="H224" s="4"/>
      <c r="I224" s="4"/>
      <c r="J224" s="4"/>
      <c r="K224" s="4"/>
      <c r="L224" s="4"/>
      <c r="M224" s="3"/>
      <c r="N224" s="3"/>
      <c r="O224" s="3"/>
      <c r="P224" s="3"/>
      <c r="Q224" s="3"/>
      <c r="R224" s="3"/>
      <c r="S224" s="3"/>
      <c r="T224" s="3"/>
      <c r="U224" s="3"/>
      <c r="V224" s="3"/>
      <c r="W224" s="3"/>
      <c r="X224" s="3"/>
      <c r="Y224" s="3"/>
      <c r="Z224" s="3"/>
      <c r="AA224" s="3"/>
      <c r="AB224" s="3"/>
      <c r="AC224" s="3"/>
    </row>
    <row r="225" customFormat="false" ht="21.75" hidden="false" customHeight="true" outlineLevel="0" collapsed="false">
      <c r="A225" s="3"/>
      <c r="B225" s="3"/>
      <c r="C225" s="3"/>
      <c r="D225" s="3"/>
      <c r="E225" s="3"/>
      <c r="F225" s="3"/>
      <c r="G225" s="4"/>
      <c r="H225" s="4"/>
      <c r="I225" s="4"/>
      <c r="J225" s="4"/>
      <c r="K225" s="4"/>
      <c r="L225" s="4"/>
      <c r="M225" s="3"/>
      <c r="N225" s="3"/>
      <c r="O225" s="3"/>
      <c r="P225" s="3"/>
      <c r="Q225" s="3"/>
      <c r="R225" s="3"/>
      <c r="S225" s="3"/>
      <c r="T225" s="3"/>
      <c r="U225" s="3"/>
      <c r="V225" s="3"/>
      <c r="W225" s="3"/>
      <c r="X225" s="3"/>
      <c r="Y225" s="3"/>
      <c r="Z225" s="3"/>
      <c r="AA225" s="3"/>
      <c r="AB225" s="3"/>
      <c r="AC225" s="3"/>
    </row>
    <row r="226" customFormat="false" ht="21.75" hidden="false" customHeight="true" outlineLevel="0" collapsed="false">
      <c r="A226" s="3"/>
      <c r="B226" s="3"/>
      <c r="C226" s="3"/>
      <c r="D226" s="3"/>
      <c r="E226" s="3"/>
      <c r="F226" s="3"/>
      <c r="G226" s="4"/>
      <c r="H226" s="4"/>
      <c r="I226" s="4"/>
      <c r="J226" s="4"/>
      <c r="K226" s="4"/>
      <c r="L226" s="4"/>
      <c r="M226" s="3"/>
      <c r="N226" s="3"/>
      <c r="O226" s="3"/>
      <c r="P226" s="3"/>
      <c r="Q226" s="3"/>
      <c r="R226" s="3"/>
      <c r="S226" s="3"/>
      <c r="T226" s="3"/>
      <c r="U226" s="3"/>
      <c r="V226" s="3"/>
      <c r="W226" s="3"/>
      <c r="X226" s="3"/>
      <c r="Y226" s="3"/>
      <c r="Z226" s="3"/>
      <c r="AA226" s="3"/>
      <c r="AB226" s="3"/>
      <c r="AC226" s="3"/>
    </row>
    <row r="227" customFormat="false" ht="21.75" hidden="false" customHeight="true" outlineLevel="0" collapsed="false">
      <c r="A227" s="3"/>
      <c r="B227" s="3"/>
      <c r="C227" s="3"/>
      <c r="D227" s="3"/>
      <c r="E227" s="3"/>
      <c r="F227" s="3"/>
      <c r="G227" s="4"/>
      <c r="H227" s="4"/>
      <c r="I227" s="4"/>
      <c r="J227" s="4"/>
      <c r="K227" s="4"/>
      <c r="L227" s="4"/>
      <c r="M227" s="3"/>
      <c r="N227" s="3"/>
      <c r="O227" s="3"/>
      <c r="P227" s="3"/>
      <c r="Q227" s="3"/>
      <c r="R227" s="3"/>
      <c r="S227" s="3"/>
      <c r="T227" s="3"/>
      <c r="U227" s="3"/>
      <c r="V227" s="3"/>
      <c r="W227" s="3"/>
      <c r="X227" s="3"/>
      <c r="Y227" s="3"/>
      <c r="Z227" s="3"/>
      <c r="AA227" s="3"/>
      <c r="AB227" s="3"/>
      <c r="AC227" s="3"/>
    </row>
    <row r="228" customFormat="false" ht="21.75" hidden="false" customHeight="true" outlineLevel="0" collapsed="false">
      <c r="A228" s="3"/>
      <c r="B228" s="3"/>
      <c r="C228" s="3"/>
      <c r="D228" s="3"/>
      <c r="E228" s="3"/>
      <c r="F228" s="3"/>
      <c r="G228" s="4"/>
      <c r="H228" s="4"/>
      <c r="I228" s="4"/>
      <c r="J228" s="4"/>
      <c r="K228" s="4"/>
      <c r="L228" s="4"/>
      <c r="M228" s="3"/>
      <c r="N228" s="3"/>
      <c r="O228" s="3"/>
      <c r="P228" s="3"/>
      <c r="Q228" s="3"/>
      <c r="R228" s="3"/>
      <c r="S228" s="3"/>
      <c r="T228" s="3"/>
      <c r="U228" s="3"/>
      <c r="V228" s="3"/>
      <c r="W228" s="3"/>
      <c r="X228" s="3"/>
      <c r="Y228" s="3"/>
      <c r="Z228" s="3"/>
      <c r="AA228" s="3"/>
      <c r="AB228" s="3"/>
      <c r="AC228" s="3"/>
    </row>
    <row r="229" customFormat="false" ht="21.75" hidden="false" customHeight="true" outlineLevel="0" collapsed="false">
      <c r="A229" s="3"/>
      <c r="B229" s="3"/>
      <c r="C229" s="3"/>
      <c r="D229" s="3"/>
      <c r="E229" s="3"/>
      <c r="F229" s="3"/>
      <c r="G229" s="4"/>
      <c r="H229" s="4"/>
      <c r="I229" s="4"/>
      <c r="J229" s="4"/>
      <c r="K229" s="4"/>
      <c r="L229" s="4"/>
      <c r="M229" s="3"/>
      <c r="N229" s="3"/>
      <c r="O229" s="3"/>
      <c r="P229" s="3"/>
      <c r="Q229" s="3"/>
      <c r="R229" s="3"/>
      <c r="S229" s="3"/>
      <c r="T229" s="3"/>
      <c r="U229" s="3"/>
      <c r="V229" s="3"/>
      <c r="W229" s="3"/>
      <c r="X229" s="3"/>
      <c r="Y229" s="3"/>
      <c r="Z229" s="3"/>
      <c r="AA229" s="3"/>
      <c r="AB229" s="3"/>
      <c r="AC229" s="3"/>
    </row>
    <row r="230" customFormat="false" ht="21.75" hidden="false" customHeight="true" outlineLevel="0" collapsed="false">
      <c r="A230" s="3"/>
      <c r="B230" s="3"/>
      <c r="C230" s="3"/>
      <c r="D230" s="3"/>
      <c r="E230" s="3"/>
      <c r="F230" s="3"/>
      <c r="G230" s="4"/>
      <c r="H230" s="4"/>
      <c r="I230" s="4"/>
      <c r="J230" s="4"/>
      <c r="K230" s="4"/>
      <c r="L230" s="4"/>
      <c r="M230" s="3"/>
      <c r="N230" s="3"/>
      <c r="O230" s="3"/>
      <c r="P230" s="3"/>
      <c r="Q230" s="3"/>
      <c r="R230" s="3"/>
      <c r="S230" s="3"/>
      <c r="T230" s="3"/>
      <c r="U230" s="3"/>
      <c r="V230" s="3"/>
      <c r="W230" s="3"/>
      <c r="X230" s="3"/>
      <c r="Y230" s="3"/>
      <c r="Z230" s="3"/>
      <c r="AA230" s="3"/>
      <c r="AB230" s="3"/>
      <c r="AC23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A8BB"/>
    <pageSetUpPr fitToPage="false"/>
  </sheetPr>
  <dimension ref="A1:AC500"/>
  <sheetViews>
    <sheetView showFormulas="false" showGridLines="false" showRowColHeaders="true" showZeros="true" rightToLeft="false" tabSelected="false" showOutlineSymbols="true" defaultGridColor="true" view="normal" topLeftCell="F1" colorId="64" zoomScale="100" zoomScaleNormal="100" zoomScalePageLayoutView="100" workbookViewId="0">
      <selection pane="topLeft" activeCell="G1" activeCellId="0" sqref="G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52"/>
    <col collapsed="false" customWidth="true" hidden="false" outlineLevel="0" max="3" min="3" style="1" width="27"/>
    <col collapsed="false" customWidth="true" hidden="false" outlineLevel="0" max="4" min="4" style="1" width="56"/>
    <col collapsed="false" customWidth="true" hidden="false" outlineLevel="0" max="5" min="5" style="1" width="24"/>
    <col collapsed="false" customWidth="true" hidden="false" outlineLevel="0" max="6" min="6" style="1" width="70"/>
    <col collapsed="false" customWidth="true" hidden="false" outlineLevel="0" max="12" min="7" style="2" width="24"/>
    <col collapsed="false" customWidth="true" hidden="false" outlineLevel="0" max="14" min="13" style="1" width="24"/>
    <col collapsed="false" customWidth="true" hidden="false" outlineLevel="0" max="15" min="15" style="1" width="80"/>
    <col collapsed="false" customWidth="true" hidden="false" outlineLevel="0" max="29" min="16" style="1" width="24"/>
  </cols>
  <sheetData>
    <row r="1" customFormat="false" ht="21.75" hidden="false" customHeight="true" outlineLevel="0" collapsed="false">
      <c r="A1" s="3"/>
      <c r="B1" s="3"/>
      <c r="C1" s="3"/>
      <c r="D1" s="3"/>
      <c r="E1" s="3"/>
      <c r="F1" s="3"/>
      <c r="G1" s="4"/>
      <c r="H1" s="4"/>
      <c r="I1" s="4"/>
      <c r="J1" s="4"/>
      <c r="K1" s="4"/>
      <c r="L1" s="4"/>
      <c r="M1" s="3"/>
      <c r="N1" s="3"/>
      <c r="O1" s="3"/>
      <c r="P1" s="3"/>
      <c r="Q1" s="3"/>
      <c r="R1" s="3"/>
      <c r="S1" s="3"/>
      <c r="T1" s="3"/>
      <c r="U1" s="3"/>
      <c r="V1" s="3"/>
      <c r="W1" s="3"/>
      <c r="X1" s="3"/>
      <c r="Y1" s="3"/>
      <c r="Z1" s="3"/>
      <c r="AA1" s="3"/>
      <c r="AB1" s="3"/>
      <c r="AC1" s="3"/>
    </row>
    <row r="2" customFormat="false" ht="28.5" hidden="false" customHeight="true" outlineLevel="0" collapsed="false">
      <c r="A2" s="3"/>
      <c r="B2" s="5" t="s">
        <v>7128</v>
      </c>
      <c r="C2" s="7"/>
      <c r="D2" s="7"/>
      <c r="E2" s="7"/>
      <c r="F2" s="7"/>
      <c r="G2" s="6"/>
      <c r="H2" s="6"/>
      <c r="I2" s="6"/>
      <c r="J2" s="6"/>
      <c r="K2" s="6"/>
      <c r="L2" s="6"/>
      <c r="M2" s="7"/>
      <c r="N2" s="7"/>
      <c r="O2" s="7"/>
      <c r="P2" s="7"/>
      <c r="Q2" s="7"/>
      <c r="R2" s="7"/>
      <c r="S2" s="7"/>
      <c r="T2" s="7"/>
      <c r="U2" s="7"/>
      <c r="V2" s="3"/>
      <c r="W2" s="3"/>
      <c r="X2" s="3"/>
      <c r="Y2" s="3"/>
      <c r="Z2" s="3"/>
      <c r="AA2" s="3"/>
      <c r="AB2" s="3"/>
      <c r="AC2" s="3"/>
    </row>
    <row r="3" customFormat="false" ht="22.5" hidden="false" customHeight="true" outlineLevel="0" collapsed="false">
      <c r="A3" s="3"/>
      <c r="B3" s="8" t="s">
        <v>626</v>
      </c>
      <c r="C3" s="7"/>
      <c r="D3" s="7"/>
      <c r="E3" s="7"/>
      <c r="F3" s="7"/>
      <c r="G3" s="6"/>
      <c r="H3" s="6"/>
      <c r="I3" s="6"/>
      <c r="J3" s="6"/>
      <c r="K3" s="6"/>
      <c r="L3" s="6"/>
      <c r="M3" s="7"/>
      <c r="N3" s="7"/>
      <c r="O3" s="7"/>
      <c r="P3" s="7"/>
      <c r="Q3" s="7"/>
      <c r="R3" s="7"/>
      <c r="S3" s="7"/>
      <c r="T3" s="7"/>
      <c r="U3" s="7"/>
      <c r="V3" s="3"/>
      <c r="W3" s="3"/>
      <c r="X3" s="3"/>
      <c r="Y3" s="3"/>
      <c r="Z3" s="3"/>
      <c r="AA3" s="3"/>
      <c r="AB3" s="3"/>
      <c r="AC3" s="3"/>
    </row>
    <row r="4" customFormat="false" ht="21.75" hidden="false" customHeight="true" outlineLevel="0" collapsed="false">
      <c r="A4" s="3"/>
      <c r="B4" s="9"/>
      <c r="C4" s="9"/>
      <c r="D4" s="9"/>
      <c r="E4" s="9"/>
      <c r="F4" s="9"/>
      <c r="G4" s="10"/>
      <c r="H4" s="10"/>
      <c r="I4" s="10"/>
      <c r="J4" s="10"/>
      <c r="K4" s="10"/>
      <c r="L4" s="10"/>
      <c r="M4" s="9"/>
      <c r="N4" s="9"/>
      <c r="O4" s="9"/>
      <c r="P4" s="9"/>
      <c r="Q4" s="9"/>
      <c r="R4" s="9"/>
      <c r="S4" s="9"/>
      <c r="T4" s="9"/>
      <c r="U4" s="9"/>
      <c r="V4" s="3"/>
      <c r="W4" s="3"/>
      <c r="X4" s="3"/>
      <c r="Y4" s="3"/>
      <c r="Z4" s="3"/>
      <c r="AA4" s="3"/>
      <c r="AB4" s="3"/>
      <c r="AC4" s="3"/>
    </row>
    <row r="5" customFormat="false" ht="21.75" hidden="false" customHeight="true" outlineLevel="0" collapsed="false">
      <c r="A5" s="3"/>
      <c r="B5" s="17" t="s">
        <v>7129</v>
      </c>
      <c r="C5" s="9"/>
      <c r="D5" s="9"/>
      <c r="E5" s="9"/>
      <c r="F5" s="9"/>
      <c r="G5" s="10"/>
      <c r="H5" s="10"/>
      <c r="I5" s="10"/>
      <c r="J5" s="10"/>
      <c r="K5" s="10"/>
      <c r="L5" s="10"/>
      <c r="M5" s="9"/>
      <c r="N5" s="9"/>
      <c r="O5" s="9"/>
      <c r="P5" s="9"/>
      <c r="Q5" s="9"/>
      <c r="R5" s="9"/>
      <c r="S5" s="9"/>
      <c r="T5" s="9"/>
      <c r="U5" s="9"/>
      <c r="V5" s="3"/>
      <c r="W5" s="3"/>
      <c r="X5" s="3"/>
      <c r="Y5" s="3"/>
      <c r="Z5" s="3"/>
      <c r="AA5" s="3"/>
      <c r="AB5" s="3"/>
      <c r="AC5" s="3"/>
    </row>
    <row r="6" customFormat="false" ht="21.75" hidden="false" customHeight="true" outlineLevel="0" collapsed="false">
      <c r="A6" s="3"/>
      <c r="B6" s="9"/>
      <c r="C6" s="9"/>
      <c r="D6" s="9"/>
      <c r="E6" s="9"/>
      <c r="F6" s="9"/>
      <c r="G6" s="10"/>
      <c r="H6" s="10"/>
      <c r="I6" s="10"/>
      <c r="J6" s="10"/>
      <c r="K6" s="10"/>
      <c r="L6" s="10"/>
      <c r="M6" s="9"/>
      <c r="N6" s="9"/>
      <c r="O6" s="9"/>
      <c r="P6" s="9"/>
      <c r="Q6" s="9"/>
      <c r="R6" s="9"/>
      <c r="S6" s="9"/>
      <c r="T6" s="9"/>
      <c r="U6" s="9"/>
      <c r="V6" s="3"/>
      <c r="W6" s="3"/>
      <c r="X6" s="3"/>
      <c r="Y6" s="3"/>
      <c r="Z6" s="3"/>
      <c r="AA6" s="3"/>
      <c r="AB6" s="3"/>
      <c r="AC6" s="3"/>
    </row>
    <row r="7" customFormat="false" ht="25.5" hidden="false" customHeight="true" outlineLevel="0" collapsed="false">
      <c r="A7" s="3"/>
      <c r="B7" s="133" t="s">
        <v>6883</v>
      </c>
      <c r="C7" s="133"/>
      <c r="D7" s="133"/>
      <c r="E7" s="133"/>
      <c r="F7" s="133"/>
      <c r="G7" s="40"/>
      <c r="H7" s="40"/>
      <c r="I7" s="10"/>
      <c r="J7" s="10"/>
      <c r="K7" s="10"/>
      <c r="L7" s="10"/>
      <c r="M7" s="9"/>
      <c r="N7" s="9"/>
      <c r="O7" s="9"/>
      <c r="P7" s="9"/>
      <c r="Q7" s="9"/>
      <c r="R7" s="9"/>
      <c r="S7" s="9"/>
      <c r="T7" s="9"/>
      <c r="U7" s="9"/>
      <c r="V7" s="3"/>
      <c r="W7" s="3"/>
      <c r="X7" s="3"/>
      <c r="Y7" s="3"/>
      <c r="Z7" s="3"/>
      <c r="AA7" s="3"/>
      <c r="AB7" s="3"/>
      <c r="AC7" s="3"/>
    </row>
    <row r="8" customFormat="false" ht="36" hidden="false" customHeight="true" outlineLevel="0" collapsed="false">
      <c r="A8" s="3"/>
      <c r="B8" s="21" t="s">
        <v>6917</v>
      </c>
      <c r="C8" s="30" t="s">
        <v>230</v>
      </c>
      <c r="D8" s="30" t="s">
        <v>6918</v>
      </c>
      <c r="E8" s="30" t="s">
        <v>6903</v>
      </c>
      <c r="F8" s="30" t="s">
        <v>6919</v>
      </c>
      <c r="G8" s="30" t="s">
        <v>6632</v>
      </c>
      <c r="H8" s="30" t="s">
        <v>232</v>
      </c>
      <c r="I8" s="30" t="s">
        <v>6921</v>
      </c>
      <c r="J8" s="30" t="s">
        <v>7130</v>
      </c>
      <c r="K8" s="30" t="s">
        <v>6922</v>
      </c>
      <c r="L8" s="30" t="s">
        <v>7131</v>
      </c>
      <c r="M8" s="30" t="s">
        <v>7132</v>
      </c>
      <c r="N8" s="30" t="s">
        <v>6925</v>
      </c>
      <c r="O8" s="30" t="s">
        <v>240</v>
      </c>
      <c r="P8" s="30" t="s">
        <v>242</v>
      </c>
      <c r="Q8" s="30" t="s">
        <v>7133</v>
      </c>
      <c r="R8" s="30" t="s">
        <v>7134</v>
      </c>
      <c r="S8" s="30" t="s">
        <v>7135</v>
      </c>
      <c r="T8" s="30" t="s">
        <v>7136</v>
      </c>
      <c r="U8" s="30" t="s">
        <v>7137</v>
      </c>
      <c r="V8" s="3"/>
      <c r="W8" s="3"/>
      <c r="X8" s="3"/>
      <c r="Y8" s="3"/>
      <c r="Z8" s="3"/>
      <c r="AA8" s="3"/>
      <c r="AB8" s="3"/>
      <c r="AC8" s="3"/>
    </row>
    <row r="9" customFormat="false" ht="61.5" hidden="false" customHeight="true" outlineLevel="0" collapsed="false">
      <c r="A9" s="3"/>
      <c r="B9" s="139" t="s">
        <v>6459</v>
      </c>
      <c r="C9" s="109" t="s">
        <v>354</v>
      </c>
      <c r="D9" s="109" t="s">
        <v>622</v>
      </c>
      <c r="E9" s="109" t="s">
        <v>610</v>
      </c>
      <c r="F9" s="113" t="s">
        <v>624</v>
      </c>
      <c r="G9" s="92" t="n">
        <v>1143.69</v>
      </c>
      <c r="H9" s="91" t="s">
        <v>333</v>
      </c>
      <c r="I9" s="91" t="s">
        <v>590</v>
      </c>
      <c r="J9" s="155" t="n">
        <v>0.19</v>
      </c>
      <c r="K9" s="144" t="n">
        <v>6</v>
      </c>
      <c r="L9" s="91" t="s">
        <v>625</v>
      </c>
      <c r="M9" s="156" t="n">
        <v>190.62</v>
      </c>
      <c r="N9" s="109" t="s">
        <v>530</v>
      </c>
      <c r="O9" s="109" t="s">
        <v>623</v>
      </c>
      <c r="P9" s="109" t="s">
        <v>586</v>
      </c>
      <c r="Q9" s="156" t="s">
        <v>538</v>
      </c>
      <c r="R9" s="156" t="s">
        <v>538</v>
      </c>
      <c r="S9" s="109" t="n">
        <v>190.62</v>
      </c>
      <c r="T9" s="109" t="s">
        <v>538</v>
      </c>
      <c r="U9" s="109" t="s">
        <v>538</v>
      </c>
      <c r="V9" s="3"/>
      <c r="W9" s="3"/>
      <c r="X9" s="3"/>
      <c r="Y9" s="3"/>
      <c r="Z9" s="3"/>
      <c r="AA9" s="3"/>
      <c r="AB9" s="3"/>
      <c r="AC9" s="3"/>
    </row>
    <row r="10" customFormat="false" ht="61.5" hidden="false" customHeight="true" outlineLevel="0" collapsed="false">
      <c r="A10" s="3"/>
      <c r="B10" s="141" t="s">
        <v>6459</v>
      </c>
      <c r="C10" s="110" t="s">
        <v>332</v>
      </c>
      <c r="D10" s="110" t="s">
        <v>628</v>
      </c>
      <c r="E10" s="110"/>
      <c r="F10" s="117" t="s">
        <v>631</v>
      </c>
      <c r="G10" s="99" t="n">
        <v>289</v>
      </c>
      <c r="H10" s="98" t="s">
        <v>333</v>
      </c>
      <c r="I10" s="98" t="s">
        <v>590</v>
      </c>
      <c r="J10" s="157" t="n">
        <v>0.21</v>
      </c>
      <c r="K10" s="146" t="n">
        <v>1</v>
      </c>
      <c r="L10" s="98" t="s">
        <v>632</v>
      </c>
      <c r="M10" s="158" t="n">
        <v>289</v>
      </c>
      <c r="N10" s="110" t="s">
        <v>629</v>
      </c>
      <c r="O10" s="110" t="s">
        <v>630</v>
      </c>
      <c r="P10" s="110" t="s">
        <v>586</v>
      </c>
      <c r="Q10" s="158" t="s">
        <v>538</v>
      </c>
      <c r="R10" s="158" t="s">
        <v>577</v>
      </c>
      <c r="S10" s="110" t="n">
        <v>289</v>
      </c>
      <c r="T10" s="110" t="s">
        <v>538</v>
      </c>
      <c r="U10" s="110" t="s">
        <v>577</v>
      </c>
      <c r="V10" s="3"/>
      <c r="W10" s="3"/>
      <c r="X10" s="3"/>
      <c r="Y10" s="3"/>
      <c r="Z10" s="3"/>
      <c r="AA10" s="3"/>
      <c r="AB10" s="3"/>
      <c r="AC10" s="3"/>
    </row>
    <row r="11" customFormat="false" ht="61.5" hidden="false" customHeight="true" outlineLevel="0" collapsed="false">
      <c r="A11" s="3"/>
      <c r="B11" s="139" t="s">
        <v>6459</v>
      </c>
      <c r="C11" s="109" t="s">
        <v>342</v>
      </c>
      <c r="D11" s="109" t="s">
        <v>633</v>
      </c>
      <c r="E11" s="109" t="s">
        <v>388</v>
      </c>
      <c r="F11" s="113" t="s">
        <v>635</v>
      </c>
      <c r="G11" s="92" t="n">
        <v>262</v>
      </c>
      <c r="H11" s="91" t="s">
        <v>333</v>
      </c>
      <c r="I11" s="91" t="s">
        <v>590</v>
      </c>
      <c r="J11" s="155" t="n">
        <v>0.21</v>
      </c>
      <c r="K11" s="144" t="n">
        <v>1</v>
      </c>
      <c r="L11" s="91" t="s">
        <v>632</v>
      </c>
      <c r="M11" s="156" t="n">
        <v>262</v>
      </c>
      <c r="N11" s="109" t="s">
        <v>530</v>
      </c>
      <c r="O11" s="109" t="s">
        <v>634</v>
      </c>
      <c r="P11" s="109" t="s">
        <v>586</v>
      </c>
      <c r="Q11" s="156" t="s">
        <v>538</v>
      </c>
      <c r="R11" s="156" t="s">
        <v>538</v>
      </c>
      <c r="S11" s="109" t="n">
        <v>262</v>
      </c>
      <c r="T11" s="109" t="s">
        <v>538</v>
      </c>
      <c r="U11" s="109" t="s">
        <v>538</v>
      </c>
      <c r="V11" s="3"/>
      <c r="W11" s="3"/>
      <c r="X11" s="3"/>
      <c r="Y11" s="3"/>
      <c r="Z11" s="3"/>
      <c r="AA11" s="3"/>
      <c r="AB11" s="3"/>
      <c r="AC11" s="3"/>
    </row>
    <row r="12" customFormat="false" ht="61.5" hidden="false" customHeight="true" outlineLevel="0" collapsed="false">
      <c r="A12" s="3"/>
      <c r="B12" s="141" t="s">
        <v>6459</v>
      </c>
      <c r="C12" s="110" t="s">
        <v>346</v>
      </c>
      <c r="D12" s="110" t="s">
        <v>636</v>
      </c>
      <c r="E12" s="110" t="s">
        <v>565</v>
      </c>
      <c r="F12" s="117" t="s">
        <v>638</v>
      </c>
      <c r="G12" s="99" t="n">
        <v>502</v>
      </c>
      <c r="H12" s="98" t="s">
        <v>333</v>
      </c>
      <c r="I12" s="98" t="s">
        <v>265</v>
      </c>
      <c r="J12" s="157" t="n">
        <v>0.21</v>
      </c>
      <c r="K12" s="146" t="n">
        <v>1</v>
      </c>
      <c r="L12" s="98" t="s">
        <v>632</v>
      </c>
      <c r="M12" s="158" t="n">
        <v>414.88</v>
      </c>
      <c r="N12" s="110" t="s">
        <v>530</v>
      </c>
      <c r="O12" s="110" t="s">
        <v>637</v>
      </c>
      <c r="P12" s="110" t="s">
        <v>586</v>
      </c>
      <c r="Q12" s="158" t="s">
        <v>538</v>
      </c>
      <c r="R12" s="158" t="s">
        <v>538</v>
      </c>
      <c r="S12" s="110" t="n">
        <v>414.88</v>
      </c>
      <c r="T12" s="110" t="s">
        <v>538</v>
      </c>
      <c r="U12" s="110" t="s">
        <v>538</v>
      </c>
      <c r="V12" s="3"/>
      <c r="W12" s="3"/>
      <c r="X12" s="3"/>
      <c r="Y12" s="3"/>
      <c r="Z12" s="3"/>
      <c r="AA12" s="3"/>
      <c r="AB12" s="3"/>
      <c r="AC12" s="3"/>
    </row>
    <row r="13" customFormat="false" ht="61.5" hidden="false" customHeight="true" outlineLevel="0" collapsed="false">
      <c r="A13" s="3"/>
      <c r="B13" s="139" t="s">
        <v>6459</v>
      </c>
      <c r="C13" s="109" t="s">
        <v>361</v>
      </c>
      <c r="D13" s="109" t="s">
        <v>639</v>
      </c>
      <c r="E13" s="109" t="s">
        <v>642</v>
      </c>
      <c r="F13" s="113" t="s">
        <v>641</v>
      </c>
      <c r="G13" s="92" t="n">
        <v>401</v>
      </c>
      <c r="H13" s="91" t="s">
        <v>333</v>
      </c>
      <c r="I13" s="91" t="s">
        <v>265</v>
      </c>
      <c r="J13" s="155" t="n">
        <v>0.21</v>
      </c>
      <c r="K13" s="144" t="n">
        <v>1</v>
      </c>
      <c r="L13" s="91" t="s">
        <v>632</v>
      </c>
      <c r="M13" s="156" t="n">
        <v>331.4</v>
      </c>
      <c r="N13" s="109" t="s">
        <v>530</v>
      </c>
      <c r="O13" s="109" t="s">
        <v>640</v>
      </c>
      <c r="P13" s="109" t="s">
        <v>586</v>
      </c>
      <c r="Q13" s="156" t="s">
        <v>538</v>
      </c>
      <c r="R13" s="156" t="s">
        <v>538</v>
      </c>
      <c r="S13" s="109" t="n">
        <v>331.4</v>
      </c>
      <c r="T13" s="109" t="s">
        <v>538</v>
      </c>
      <c r="U13" s="109" t="s">
        <v>538</v>
      </c>
      <c r="V13" s="3"/>
      <c r="W13" s="3"/>
      <c r="X13" s="3"/>
      <c r="Y13" s="3"/>
      <c r="Z13" s="3"/>
      <c r="AA13" s="3"/>
      <c r="AB13" s="3"/>
      <c r="AC13" s="3"/>
    </row>
    <row r="14" customFormat="false" ht="61.5" hidden="false" customHeight="true" outlineLevel="0" collapsed="false">
      <c r="A14" s="3"/>
      <c r="B14" s="141" t="s">
        <v>6461</v>
      </c>
      <c r="C14" s="110" t="s">
        <v>354</v>
      </c>
      <c r="D14" s="110" t="s">
        <v>701</v>
      </c>
      <c r="E14" s="110" t="s">
        <v>642</v>
      </c>
      <c r="F14" s="117" t="s">
        <v>704</v>
      </c>
      <c r="G14" s="99" t="n">
        <v>1460.1</v>
      </c>
      <c r="H14" s="98" t="s">
        <v>333</v>
      </c>
      <c r="I14" s="98" t="s">
        <v>590</v>
      </c>
      <c r="J14" s="157" t="n">
        <v>0.19</v>
      </c>
      <c r="K14" s="146" t="n">
        <v>6</v>
      </c>
      <c r="L14" s="98" t="s">
        <v>625</v>
      </c>
      <c r="M14" s="158" t="n">
        <v>243.35</v>
      </c>
      <c r="N14" s="110" t="s">
        <v>702</v>
      </c>
      <c r="O14" s="110" t="s">
        <v>703</v>
      </c>
      <c r="P14" s="110" t="s">
        <v>586</v>
      </c>
      <c r="Q14" s="158" t="s">
        <v>538</v>
      </c>
      <c r="R14" s="158" t="s">
        <v>538</v>
      </c>
      <c r="S14" s="110" t="n">
        <v>243.35</v>
      </c>
      <c r="T14" s="110" t="s">
        <v>538</v>
      </c>
      <c r="U14" s="110" t="s">
        <v>538</v>
      </c>
      <c r="V14" s="3"/>
      <c r="W14" s="3"/>
      <c r="X14" s="3"/>
      <c r="Y14" s="3"/>
      <c r="Z14" s="3"/>
      <c r="AA14" s="3"/>
      <c r="AB14" s="3"/>
      <c r="AC14" s="3"/>
    </row>
    <row r="15" customFormat="false" ht="61.5" hidden="false" customHeight="true" outlineLevel="0" collapsed="false">
      <c r="A15" s="3"/>
      <c r="B15" s="139" t="s">
        <v>6461</v>
      </c>
      <c r="C15" s="109" t="s">
        <v>332</v>
      </c>
      <c r="D15" s="109" t="s">
        <v>705</v>
      </c>
      <c r="E15" s="109"/>
      <c r="F15" s="113" t="s">
        <v>707</v>
      </c>
      <c r="G15" s="92" t="n">
        <v>270</v>
      </c>
      <c r="H15" s="91" t="s">
        <v>333</v>
      </c>
      <c r="I15" s="91" t="s">
        <v>590</v>
      </c>
      <c r="J15" s="155" t="n">
        <v>0.21</v>
      </c>
      <c r="K15" s="144" t="n">
        <v>1</v>
      </c>
      <c r="L15" s="91" t="s">
        <v>632</v>
      </c>
      <c r="M15" s="156" t="n">
        <v>270</v>
      </c>
      <c r="N15" s="109" t="s">
        <v>530</v>
      </c>
      <c r="O15" s="109" t="s">
        <v>706</v>
      </c>
      <c r="P15" s="109" t="s">
        <v>586</v>
      </c>
      <c r="Q15" s="156" t="s">
        <v>538</v>
      </c>
      <c r="R15" s="156" t="s">
        <v>538</v>
      </c>
      <c r="S15" s="109" t="n">
        <v>270</v>
      </c>
      <c r="T15" s="109" t="s">
        <v>538</v>
      </c>
      <c r="U15" s="109" t="s">
        <v>538</v>
      </c>
      <c r="V15" s="3"/>
      <c r="W15" s="3"/>
      <c r="X15" s="3"/>
      <c r="Y15" s="3"/>
      <c r="Z15" s="3"/>
      <c r="AA15" s="3"/>
      <c r="AB15" s="3"/>
      <c r="AC15" s="3"/>
    </row>
    <row r="16" customFormat="false" ht="61.5" hidden="false" customHeight="true" outlineLevel="0" collapsed="false">
      <c r="A16" s="3"/>
      <c r="B16" s="141" t="s">
        <v>6461</v>
      </c>
      <c r="C16" s="110" t="s">
        <v>342</v>
      </c>
      <c r="D16" s="110" t="s">
        <v>708</v>
      </c>
      <c r="E16" s="110" t="s">
        <v>711</v>
      </c>
      <c r="F16" s="117" t="s">
        <v>710</v>
      </c>
      <c r="G16" s="99" t="n">
        <v>239</v>
      </c>
      <c r="H16" s="98" t="s">
        <v>333</v>
      </c>
      <c r="I16" s="98" t="s">
        <v>590</v>
      </c>
      <c r="J16" s="157" t="n">
        <v>0.21</v>
      </c>
      <c r="K16" s="146" t="n">
        <v>1</v>
      </c>
      <c r="L16" s="98" t="s">
        <v>632</v>
      </c>
      <c r="M16" s="158" t="n">
        <v>239</v>
      </c>
      <c r="N16" s="110" t="s">
        <v>530</v>
      </c>
      <c r="O16" s="110" t="s">
        <v>709</v>
      </c>
      <c r="P16" s="110" t="s">
        <v>586</v>
      </c>
      <c r="Q16" s="158" t="s">
        <v>538</v>
      </c>
      <c r="R16" s="158" t="s">
        <v>538</v>
      </c>
      <c r="S16" s="110" t="n">
        <v>239</v>
      </c>
      <c r="T16" s="110" t="s">
        <v>538</v>
      </c>
      <c r="U16" s="110" t="s">
        <v>538</v>
      </c>
      <c r="V16" s="3"/>
      <c r="W16" s="3"/>
      <c r="X16" s="3"/>
      <c r="Y16" s="3"/>
      <c r="Z16" s="3"/>
      <c r="AA16" s="3"/>
      <c r="AB16" s="3"/>
      <c r="AC16" s="3"/>
    </row>
    <row r="17" customFormat="false" ht="75" hidden="false" customHeight="true" outlineLevel="0" collapsed="false">
      <c r="A17" s="3"/>
      <c r="B17" s="139" t="s">
        <v>6461</v>
      </c>
      <c r="C17" s="109" t="s">
        <v>346</v>
      </c>
      <c r="D17" s="109" t="s">
        <v>712</v>
      </c>
      <c r="E17" s="109" t="s">
        <v>565</v>
      </c>
      <c r="F17" s="113" t="s">
        <v>714</v>
      </c>
      <c r="G17" s="92" t="n">
        <v>464</v>
      </c>
      <c r="H17" s="91" t="s">
        <v>333</v>
      </c>
      <c r="I17" s="91" t="s">
        <v>265</v>
      </c>
      <c r="J17" s="155" t="n">
        <v>0.21</v>
      </c>
      <c r="K17" s="144" t="n">
        <v>1</v>
      </c>
      <c r="L17" s="91" t="s">
        <v>632</v>
      </c>
      <c r="M17" s="156" t="n">
        <v>383.47</v>
      </c>
      <c r="N17" s="109" t="s">
        <v>530</v>
      </c>
      <c r="O17" s="109" t="s">
        <v>713</v>
      </c>
      <c r="P17" s="109" t="s">
        <v>586</v>
      </c>
      <c r="Q17" s="156" t="s">
        <v>538</v>
      </c>
      <c r="R17" s="156" t="s">
        <v>538</v>
      </c>
      <c r="S17" s="109" t="n">
        <v>383.47</v>
      </c>
      <c r="T17" s="109" t="s">
        <v>538</v>
      </c>
      <c r="U17" s="109" t="s">
        <v>538</v>
      </c>
      <c r="V17" s="3"/>
      <c r="W17" s="3"/>
      <c r="X17" s="3"/>
      <c r="Y17" s="3"/>
      <c r="Z17" s="3"/>
      <c r="AA17" s="3"/>
      <c r="AB17" s="3"/>
      <c r="AC17" s="3"/>
    </row>
    <row r="18" customFormat="false" ht="75" hidden="false" customHeight="true" outlineLevel="0" collapsed="false">
      <c r="A18" s="3"/>
      <c r="B18" s="141" t="s">
        <v>6461</v>
      </c>
      <c r="C18" s="110" t="s">
        <v>361</v>
      </c>
      <c r="D18" s="110" t="s">
        <v>715</v>
      </c>
      <c r="E18" s="110" t="s">
        <v>642</v>
      </c>
      <c r="F18" s="117" t="s">
        <v>717</v>
      </c>
      <c r="G18" s="99" t="n">
        <v>356</v>
      </c>
      <c r="H18" s="98" t="s">
        <v>333</v>
      </c>
      <c r="I18" s="98" t="s">
        <v>265</v>
      </c>
      <c r="J18" s="157" t="n">
        <v>0.21</v>
      </c>
      <c r="K18" s="146" t="n">
        <v>1</v>
      </c>
      <c r="L18" s="98" t="s">
        <v>632</v>
      </c>
      <c r="M18" s="158" t="n">
        <v>294.21</v>
      </c>
      <c r="N18" s="110" t="s">
        <v>530</v>
      </c>
      <c r="O18" s="110" t="s">
        <v>716</v>
      </c>
      <c r="P18" s="110" t="s">
        <v>586</v>
      </c>
      <c r="Q18" s="158" t="s">
        <v>538</v>
      </c>
      <c r="R18" s="158" t="s">
        <v>538</v>
      </c>
      <c r="S18" s="110" t="n">
        <v>294.21</v>
      </c>
      <c r="T18" s="110" t="s">
        <v>538</v>
      </c>
      <c r="U18" s="110" t="s">
        <v>538</v>
      </c>
      <c r="V18" s="3"/>
      <c r="W18" s="3"/>
      <c r="X18" s="3"/>
      <c r="Y18" s="3"/>
      <c r="Z18" s="3"/>
      <c r="AA18" s="3"/>
      <c r="AB18" s="3"/>
      <c r="AC18" s="3"/>
    </row>
    <row r="19" customFormat="false" ht="75" hidden="false" customHeight="true" outlineLevel="0" collapsed="false">
      <c r="A19" s="3"/>
      <c r="B19" s="139" t="s">
        <v>6462</v>
      </c>
      <c r="C19" s="109" t="s">
        <v>354</v>
      </c>
      <c r="D19" s="109" t="s">
        <v>762</v>
      </c>
      <c r="E19" s="109" t="s">
        <v>610</v>
      </c>
      <c r="F19" s="113" t="s">
        <v>764</v>
      </c>
      <c r="G19" s="92" t="n">
        <v>973.32</v>
      </c>
      <c r="H19" s="91" t="s">
        <v>333</v>
      </c>
      <c r="I19" s="91" t="s">
        <v>590</v>
      </c>
      <c r="J19" s="155" t="n">
        <v>0.19</v>
      </c>
      <c r="K19" s="144" t="n">
        <v>12</v>
      </c>
      <c r="L19" s="91" t="s">
        <v>625</v>
      </c>
      <c r="M19" s="156" t="n">
        <v>81.11</v>
      </c>
      <c r="N19" s="109" t="s">
        <v>530</v>
      </c>
      <c r="O19" s="109" t="s">
        <v>763</v>
      </c>
      <c r="P19" s="109" t="s">
        <v>586</v>
      </c>
      <c r="Q19" s="156" t="s">
        <v>538</v>
      </c>
      <c r="R19" s="156" t="s">
        <v>538</v>
      </c>
      <c r="S19" s="109" t="n">
        <v>81.11</v>
      </c>
      <c r="T19" s="109" t="s">
        <v>538</v>
      </c>
      <c r="U19" s="109" t="s">
        <v>538</v>
      </c>
      <c r="V19" s="3"/>
      <c r="W19" s="3"/>
      <c r="X19" s="3"/>
      <c r="Y19" s="3"/>
      <c r="Z19" s="3"/>
      <c r="AA19" s="3"/>
      <c r="AB19" s="3"/>
      <c r="AC19" s="3"/>
    </row>
    <row r="20" customFormat="false" ht="75" hidden="false" customHeight="true" outlineLevel="0" collapsed="false">
      <c r="A20" s="3"/>
      <c r="B20" s="141" t="s">
        <v>6462</v>
      </c>
      <c r="C20" s="110" t="s">
        <v>332</v>
      </c>
      <c r="D20" s="110" t="s">
        <v>765</v>
      </c>
      <c r="E20" s="110"/>
      <c r="F20" s="117" t="s">
        <v>767</v>
      </c>
      <c r="G20" s="99" t="n">
        <v>100</v>
      </c>
      <c r="H20" s="98" t="s">
        <v>333</v>
      </c>
      <c r="I20" s="98" t="s">
        <v>590</v>
      </c>
      <c r="J20" s="157" t="n">
        <v>0.21</v>
      </c>
      <c r="K20" s="146" t="n">
        <v>1</v>
      </c>
      <c r="L20" s="98" t="s">
        <v>632</v>
      </c>
      <c r="M20" s="158" t="n">
        <v>100</v>
      </c>
      <c r="N20" s="110" t="s">
        <v>530</v>
      </c>
      <c r="O20" s="110" t="s">
        <v>766</v>
      </c>
      <c r="P20" s="110" t="s">
        <v>586</v>
      </c>
      <c r="Q20" s="158" t="s">
        <v>538</v>
      </c>
      <c r="R20" s="158" t="s">
        <v>538</v>
      </c>
      <c r="S20" s="110" t="n">
        <v>100</v>
      </c>
      <c r="T20" s="110" t="s">
        <v>538</v>
      </c>
      <c r="U20" s="110" t="s">
        <v>538</v>
      </c>
      <c r="V20" s="3"/>
      <c r="W20" s="3"/>
      <c r="X20" s="3"/>
      <c r="Y20" s="3"/>
      <c r="Z20" s="3"/>
      <c r="AA20" s="3"/>
      <c r="AB20" s="3"/>
      <c r="AC20" s="3"/>
    </row>
    <row r="21" customFormat="false" ht="75" hidden="false" customHeight="true" outlineLevel="0" collapsed="false">
      <c r="A21" s="3"/>
      <c r="B21" s="139" t="s">
        <v>6462</v>
      </c>
      <c r="C21" s="109" t="s">
        <v>342</v>
      </c>
      <c r="D21" s="109" t="s">
        <v>768</v>
      </c>
      <c r="E21" s="109" t="s">
        <v>711</v>
      </c>
      <c r="F21" s="113" t="s">
        <v>770</v>
      </c>
      <c r="G21" s="92" t="n">
        <v>99</v>
      </c>
      <c r="H21" s="91" t="s">
        <v>333</v>
      </c>
      <c r="I21" s="91" t="s">
        <v>590</v>
      </c>
      <c r="J21" s="155" t="n">
        <v>0.21</v>
      </c>
      <c r="K21" s="144" t="n">
        <v>1</v>
      </c>
      <c r="L21" s="91" t="s">
        <v>632</v>
      </c>
      <c r="M21" s="156" t="n">
        <v>99</v>
      </c>
      <c r="N21" s="109" t="s">
        <v>530</v>
      </c>
      <c r="O21" s="109" t="s">
        <v>769</v>
      </c>
      <c r="P21" s="109" t="s">
        <v>586</v>
      </c>
      <c r="Q21" s="156" t="s">
        <v>538</v>
      </c>
      <c r="R21" s="156" t="s">
        <v>538</v>
      </c>
      <c r="S21" s="109" t="n">
        <v>99</v>
      </c>
      <c r="T21" s="109" t="s">
        <v>538</v>
      </c>
      <c r="U21" s="109" t="s">
        <v>538</v>
      </c>
      <c r="V21" s="3"/>
      <c r="W21" s="3"/>
      <c r="X21" s="3"/>
      <c r="Y21" s="3"/>
      <c r="Z21" s="3"/>
      <c r="AA21" s="3"/>
      <c r="AB21" s="3"/>
      <c r="AC21" s="3"/>
    </row>
    <row r="22" customFormat="false" ht="75" hidden="false" customHeight="true" outlineLevel="0" collapsed="false">
      <c r="A22" s="3"/>
      <c r="B22" s="141" t="s">
        <v>6462</v>
      </c>
      <c r="C22" s="110" t="s">
        <v>346</v>
      </c>
      <c r="D22" s="110" t="s">
        <v>771</v>
      </c>
      <c r="E22" s="110" t="s">
        <v>662</v>
      </c>
      <c r="F22" s="117" t="s">
        <v>773</v>
      </c>
      <c r="G22" s="99" t="n">
        <v>180</v>
      </c>
      <c r="H22" s="98" t="s">
        <v>333</v>
      </c>
      <c r="I22" s="98" t="s">
        <v>265</v>
      </c>
      <c r="J22" s="157" t="n">
        <v>0.21</v>
      </c>
      <c r="K22" s="146" t="n">
        <v>1</v>
      </c>
      <c r="L22" s="98" t="s">
        <v>632</v>
      </c>
      <c r="M22" s="158" t="n">
        <v>148.76</v>
      </c>
      <c r="N22" s="110" t="s">
        <v>530</v>
      </c>
      <c r="O22" s="110" t="s">
        <v>772</v>
      </c>
      <c r="P22" s="110" t="s">
        <v>586</v>
      </c>
      <c r="Q22" s="158" t="s">
        <v>538</v>
      </c>
      <c r="R22" s="158" t="s">
        <v>538</v>
      </c>
      <c r="S22" s="110" t="n">
        <v>148.76</v>
      </c>
      <c r="T22" s="110" t="s">
        <v>538</v>
      </c>
      <c r="U22" s="110" t="s">
        <v>538</v>
      </c>
      <c r="V22" s="3"/>
      <c r="W22" s="3"/>
      <c r="X22" s="3"/>
      <c r="Y22" s="3"/>
      <c r="Z22" s="3"/>
      <c r="AA22" s="3"/>
      <c r="AB22" s="3"/>
      <c r="AC22" s="3"/>
    </row>
    <row r="23" customFormat="false" ht="75" hidden="false" customHeight="true" outlineLevel="0" collapsed="false">
      <c r="A23" s="3"/>
      <c r="B23" s="139" t="s">
        <v>6462</v>
      </c>
      <c r="C23" s="109" t="s">
        <v>361</v>
      </c>
      <c r="D23" s="109" t="s">
        <v>774</v>
      </c>
      <c r="E23" s="109" t="s">
        <v>642</v>
      </c>
      <c r="F23" s="113" t="s">
        <v>776</v>
      </c>
      <c r="G23" s="92" t="n">
        <v>143</v>
      </c>
      <c r="H23" s="91" t="s">
        <v>333</v>
      </c>
      <c r="I23" s="91" t="s">
        <v>265</v>
      </c>
      <c r="J23" s="155" t="n">
        <v>0.21</v>
      </c>
      <c r="K23" s="144" t="n">
        <v>1</v>
      </c>
      <c r="L23" s="91" t="s">
        <v>632</v>
      </c>
      <c r="M23" s="156" t="n">
        <v>118.18</v>
      </c>
      <c r="N23" s="109" t="s">
        <v>530</v>
      </c>
      <c r="O23" s="109" t="s">
        <v>775</v>
      </c>
      <c r="P23" s="109" t="s">
        <v>586</v>
      </c>
      <c r="Q23" s="156" t="s">
        <v>538</v>
      </c>
      <c r="R23" s="156" t="s">
        <v>538</v>
      </c>
      <c r="S23" s="109" t="n">
        <v>118.18</v>
      </c>
      <c r="T23" s="109" t="s">
        <v>538</v>
      </c>
      <c r="U23" s="109" t="s">
        <v>538</v>
      </c>
      <c r="V23" s="3"/>
      <c r="W23" s="3"/>
      <c r="X23" s="3"/>
      <c r="Y23" s="3"/>
      <c r="Z23" s="3"/>
      <c r="AA23" s="3"/>
      <c r="AB23" s="3"/>
      <c r="AC23" s="3"/>
    </row>
    <row r="24" customFormat="false" ht="75" hidden="false" customHeight="true" outlineLevel="0" collapsed="false">
      <c r="A24" s="3"/>
      <c r="B24" s="141" t="s">
        <v>6463</v>
      </c>
      <c r="C24" s="110" t="s">
        <v>354</v>
      </c>
      <c r="D24" s="110" t="s">
        <v>818</v>
      </c>
      <c r="E24" s="110" t="s">
        <v>642</v>
      </c>
      <c r="F24" s="117" t="s">
        <v>820</v>
      </c>
      <c r="G24" s="99" t="n">
        <v>802.94</v>
      </c>
      <c r="H24" s="98" t="s">
        <v>333</v>
      </c>
      <c r="I24" s="98" t="s">
        <v>590</v>
      </c>
      <c r="J24" s="157" t="n">
        <v>0.19</v>
      </c>
      <c r="K24" s="146" t="n">
        <v>6</v>
      </c>
      <c r="L24" s="98" t="s">
        <v>625</v>
      </c>
      <c r="M24" s="158" t="n">
        <v>133.82</v>
      </c>
      <c r="N24" s="110" t="s">
        <v>530</v>
      </c>
      <c r="O24" s="110" t="s">
        <v>819</v>
      </c>
      <c r="P24" s="110" t="s">
        <v>586</v>
      </c>
      <c r="Q24" s="158" t="s">
        <v>538</v>
      </c>
      <c r="R24" s="158" t="s">
        <v>538</v>
      </c>
      <c r="S24" s="110" t="n">
        <v>133.82</v>
      </c>
      <c r="T24" s="110" t="s">
        <v>538</v>
      </c>
      <c r="U24" s="110" t="s">
        <v>538</v>
      </c>
      <c r="V24" s="3"/>
      <c r="W24" s="3"/>
      <c r="X24" s="3"/>
      <c r="Y24" s="3"/>
      <c r="Z24" s="3"/>
      <c r="AA24" s="3"/>
      <c r="AB24" s="3"/>
      <c r="AC24" s="3"/>
    </row>
    <row r="25" customFormat="false" ht="75" hidden="false" customHeight="true" outlineLevel="0" collapsed="false">
      <c r="A25" s="3"/>
      <c r="B25" s="139" t="s">
        <v>6463</v>
      </c>
      <c r="C25" s="109" t="s">
        <v>332</v>
      </c>
      <c r="D25" s="109" t="s">
        <v>821</v>
      </c>
      <c r="E25" s="109"/>
      <c r="F25" s="113" t="s">
        <v>823</v>
      </c>
      <c r="G25" s="92" t="n">
        <v>105</v>
      </c>
      <c r="H25" s="91" t="s">
        <v>333</v>
      </c>
      <c r="I25" s="91" t="s">
        <v>590</v>
      </c>
      <c r="J25" s="155" t="n">
        <v>0.21</v>
      </c>
      <c r="K25" s="144" t="n">
        <v>1</v>
      </c>
      <c r="L25" s="91" t="s">
        <v>632</v>
      </c>
      <c r="M25" s="156" t="n">
        <v>105</v>
      </c>
      <c r="N25" s="109" t="s">
        <v>530</v>
      </c>
      <c r="O25" s="109" t="s">
        <v>822</v>
      </c>
      <c r="P25" s="109" t="s">
        <v>586</v>
      </c>
      <c r="Q25" s="156" t="s">
        <v>538</v>
      </c>
      <c r="R25" s="156" t="s">
        <v>538</v>
      </c>
      <c r="S25" s="109" t="n">
        <v>105</v>
      </c>
      <c r="T25" s="109" t="s">
        <v>538</v>
      </c>
      <c r="U25" s="109" t="s">
        <v>538</v>
      </c>
      <c r="V25" s="3"/>
      <c r="W25" s="3"/>
      <c r="X25" s="3"/>
      <c r="Y25" s="3"/>
      <c r="Z25" s="3"/>
      <c r="AA25" s="3"/>
      <c r="AB25" s="3"/>
      <c r="AC25" s="3"/>
    </row>
    <row r="26" customFormat="false" ht="75" hidden="false" customHeight="true" outlineLevel="0" collapsed="false">
      <c r="A26" s="3"/>
      <c r="B26" s="141" t="s">
        <v>6463</v>
      </c>
      <c r="C26" s="110" t="s">
        <v>342</v>
      </c>
      <c r="D26" s="110" t="s">
        <v>824</v>
      </c>
      <c r="E26" s="110" t="s">
        <v>662</v>
      </c>
      <c r="F26" s="117" t="s">
        <v>826</v>
      </c>
      <c r="G26" s="99" t="n">
        <v>97</v>
      </c>
      <c r="H26" s="98" t="s">
        <v>333</v>
      </c>
      <c r="I26" s="98" t="s">
        <v>590</v>
      </c>
      <c r="J26" s="157" t="n">
        <v>0.21</v>
      </c>
      <c r="K26" s="146" t="n">
        <v>1</v>
      </c>
      <c r="L26" s="98" t="s">
        <v>632</v>
      </c>
      <c r="M26" s="158" t="n">
        <v>97</v>
      </c>
      <c r="N26" s="110" t="s">
        <v>530</v>
      </c>
      <c r="O26" s="110" t="s">
        <v>825</v>
      </c>
      <c r="P26" s="110" t="s">
        <v>586</v>
      </c>
      <c r="Q26" s="158" t="s">
        <v>538</v>
      </c>
      <c r="R26" s="158" t="s">
        <v>538</v>
      </c>
      <c r="S26" s="110" t="n">
        <v>97</v>
      </c>
      <c r="T26" s="110" t="s">
        <v>538</v>
      </c>
      <c r="U26" s="110" t="s">
        <v>538</v>
      </c>
      <c r="V26" s="3"/>
      <c r="W26" s="3"/>
      <c r="X26" s="3"/>
      <c r="Y26" s="3"/>
      <c r="Z26" s="3"/>
      <c r="AA26" s="3"/>
      <c r="AB26" s="3"/>
      <c r="AC26" s="3"/>
    </row>
    <row r="27" customFormat="false" ht="75" hidden="false" customHeight="true" outlineLevel="0" collapsed="false">
      <c r="A27" s="3"/>
      <c r="B27" s="139" t="s">
        <v>6463</v>
      </c>
      <c r="C27" s="109" t="s">
        <v>346</v>
      </c>
      <c r="D27" s="109" t="s">
        <v>827</v>
      </c>
      <c r="E27" s="109" t="s">
        <v>783</v>
      </c>
      <c r="F27" s="113" t="s">
        <v>829</v>
      </c>
      <c r="G27" s="92" t="n">
        <v>350</v>
      </c>
      <c r="H27" s="91" t="s">
        <v>333</v>
      </c>
      <c r="I27" s="91" t="s">
        <v>265</v>
      </c>
      <c r="J27" s="155" t="n">
        <v>0.21</v>
      </c>
      <c r="K27" s="144" t="n">
        <v>1</v>
      </c>
      <c r="L27" s="91" t="s">
        <v>632</v>
      </c>
      <c r="M27" s="156" t="n">
        <v>289.26</v>
      </c>
      <c r="N27" s="109" t="s">
        <v>530</v>
      </c>
      <c r="O27" s="109" t="s">
        <v>828</v>
      </c>
      <c r="P27" s="109" t="s">
        <v>586</v>
      </c>
      <c r="Q27" s="156" t="s">
        <v>538</v>
      </c>
      <c r="R27" s="156" t="s">
        <v>538</v>
      </c>
      <c r="S27" s="109" t="n">
        <v>289.26</v>
      </c>
      <c r="T27" s="109" t="s">
        <v>538</v>
      </c>
      <c r="U27" s="109" t="s">
        <v>538</v>
      </c>
      <c r="V27" s="3"/>
      <c r="W27" s="3"/>
      <c r="X27" s="3"/>
      <c r="Y27" s="3"/>
      <c r="Z27" s="3"/>
      <c r="AA27" s="3"/>
      <c r="AB27" s="3"/>
      <c r="AC27" s="3"/>
    </row>
    <row r="28" customFormat="false" ht="75" hidden="false" customHeight="true" outlineLevel="0" collapsed="false">
      <c r="A28" s="3"/>
      <c r="B28" s="141" t="s">
        <v>6463</v>
      </c>
      <c r="C28" s="110" t="s">
        <v>361</v>
      </c>
      <c r="D28" s="110" t="s">
        <v>830</v>
      </c>
      <c r="E28" s="110" t="s">
        <v>642</v>
      </c>
      <c r="F28" s="117" t="s">
        <v>832</v>
      </c>
      <c r="G28" s="99" t="n">
        <v>204</v>
      </c>
      <c r="H28" s="98" t="s">
        <v>333</v>
      </c>
      <c r="I28" s="98" t="s">
        <v>265</v>
      </c>
      <c r="J28" s="157" t="n">
        <v>0.21</v>
      </c>
      <c r="K28" s="146" t="n">
        <v>1</v>
      </c>
      <c r="L28" s="98" t="s">
        <v>632</v>
      </c>
      <c r="M28" s="158" t="n">
        <v>168.6</v>
      </c>
      <c r="N28" s="110" t="s">
        <v>702</v>
      </c>
      <c r="O28" s="110" t="s">
        <v>831</v>
      </c>
      <c r="P28" s="110" t="s">
        <v>586</v>
      </c>
      <c r="Q28" s="158" t="s">
        <v>538</v>
      </c>
      <c r="R28" s="158" t="s">
        <v>538</v>
      </c>
      <c r="S28" s="110" t="n">
        <v>168.6</v>
      </c>
      <c r="T28" s="110" t="s">
        <v>538</v>
      </c>
      <c r="U28" s="110" t="s">
        <v>538</v>
      </c>
      <c r="V28" s="3"/>
      <c r="W28" s="3"/>
      <c r="X28" s="3"/>
      <c r="Y28" s="3"/>
      <c r="Z28" s="3"/>
      <c r="AA28" s="3"/>
      <c r="AB28" s="3"/>
      <c r="AC28" s="3"/>
    </row>
    <row r="29" customFormat="false" ht="75" hidden="false" customHeight="true" outlineLevel="0" collapsed="false">
      <c r="A29" s="3"/>
      <c r="B29" s="139" t="s">
        <v>7138</v>
      </c>
      <c r="C29" s="109" t="s">
        <v>354</v>
      </c>
      <c r="D29" s="109" t="s">
        <v>866</v>
      </c>
      <c r="E29" s="109" t="s">
        <v>610</v>
      </c>
      <c r="F29" s="113" t="s">
        <v>868</v>
      </c>
      <c r="G29" s="92" t="n">
        <v>1241.05</v>
      </c>
      <c r="H29" s="91" t="s">
        <v>333</v>
      </c>
      <c r="I29" s="91" t="s">
        <v>590</v>
      </c>
      <c r="J29" s="155" t="n">
        <v>0.19</v>
      </c>
      <c r="K29" s="144" t="n">
        <v>12</v>
      </c>
      <c r="L29" s="91" t="s">
        <v>625</v>
      </c>
      <c r="M29" s="156" t="n">
        <v>103.42</v>
      </c>
      <c r="N29" s="109" t="s">
        <v>702</v>
      </c>
      <c r="O29" s="109" t="s">
        <v>867</v>
      </c>
      <c r="P29" s="109" t="s">
        <v>586</v>
      </c>
      <c r="Q29" s="156" t="s">
        <v>538</v>
      </c>
      <c r="R29" s="156" t="s">
        <v>538</v>
      </c>
      <c r="S29" s="109" t="n">
        <v>103.42</v>
      </c>
      <c r="T29" s="109" t="s">
        <v>538</v>
      </c>
      <c r="U29" s="109" t="s">
        <v>538</v>
      </c>
      <c r="V29" s="3"/>
      <c r="W29" s="3"/>
      <c r="X29" s="3"/>
      <c r="Y29" s="3"/>
      <c r="Z29" s="3"/>
      <c r="AA29" s="3"/>
      <c r="AB29" s="3"/>
      <c r="AC29" s="3"/>
    </row>
    <row r="30" customFormat="false" ht="75" hidden="false" customHeight="true" outlineLevel="0" collapsed="false">
      <c r="A30" s="3"/>
      <c r="B30" s="141" t="s">
        <v>7138</v>
      </c>
      <c r="C30" s="110" t="s">
        <v>332</v>
      </c>
      <c r="D30" s="110" t="s">
        <v>869</v>
      </c>
      <c r="E30" s="110"/>
      <c r="F30" s="117" t="s">
        <v>871</v>
      </c>
      <c r="G30" s="99" t="n">
        <v>29</v>
      </c>
      <c r="H30" s="98" t="s">
        <v>333</v>
      </c>
      <c r="I30" s="98" t="s">
        <v>590</v>
      </c>
      <c r="J30" s="157" t="n">
        <v>0.21</v>
      </c>
      <c r="K30" s="146" t="n">
        <v>1</v>
      </c>
      <c r="L30" s="98" t="s">
        <v>632</v>
      </c>
      <c r="M30" s="158" t="n">
        <v>29</v>
      </c>
      <c r="N30" s="110" t="s">
        <v>629</v>
      </c>
      <c r="O30" s="110" t="s">
        <v>870</v>
      </c>
      <c r="P30" s="110" t="s">
        <v>586</v>
      </c>
      <c r="Q30" s="158" t="s">
        <v>538</v>
      </c>
      <c r="R30" s="158" t="s">
        <v>577</v>
      </c>
      <c r="S30" s="110" t="n">
        <v>29</v>
      </c>
      <c r="T30" s="110" t="s">
        <v>538</v>
      </c>
      <c r="U30" s="110" t="s">
        <v>577</v>
      </c>
      <c r="V30" s="3"/>
      <c r="W30" s="3"/>
      <c r="X30" s="3"/>
      <c r="Y30" s="3"/>
      <c r="Z30" s="3"/>
      <c r="AA30" s="3"/>
      <c r="AB30" s="3"/>
      <c r="AC30" s="3"/>
    </row>
    <row r="31" customFormat="false" ht="75" hidden="false" customHeight="true" outlineLevel="0" collapsed="false">
      <c r="A31" s="3"/>
      <c r="B31" s="139" t="s">
        <v>7138</v>
      </c>
      <c r="C31" s="109" t="s">
        <v>342</v>
      </c>
      <c r="D31" s="109" t="s">
        <v>872</v>
      </c>
      <c r="E31" s="109" t="s">
        <v>875</v>
      </c>
      <c r="F31" s="113" t="s">
        <v>874</v>
      </c>
      <c r="G31" s="92" t="n">
        <v>352</v>
      </c>
      <c r="H31" s="91" t="s">
        <v>333</v>
      </c>
      <c r="I31" s="91" t="s">
        <v>590</v>
      </c>
      <c r="J31" s="155" t="n">
        <v>0.21</v>
      </c>
      <c r="K31" s="144" t="n">
        <v>1</v>
      </c>
      <c r="L31" s="91" t="s">
        <v>632</v>
      </c>
      <c r="M31" s="156" t="n">
        <v>352</v>
      </c>
      <c r="N31" s="109" t="s">
        <v>702</v>
      </c>
      <c r="O31" s="109" t="s">
        <v>873</v>
      </c>
      <c r="P31" s="109" t="s">
        <v>586</v>
      </c>
      <c r="Q31" s="156" t="s">
        <v>538</v>
      </c>
      <c r="R31" s="156" t="s">
        <v>538</v>
      </c>
      <c r="S31" s="109" t="n">
        <v>352</v>
      </c>
      <c r="T31" s="109" t="s">
        <v>538</v>
      </c>
      <c r="U31" s="109" t="s">
        <v>538</v>
      </c>
      <c r="V31" s="3"/>
      <c r="W31" s="3"/>
      <c r="X31" s="3"/>
      <c r="Y31" s="3"/>
      <c r="Z31" s="3"/>
      <c r="AA31" s="3"/>
      <c r="AB31" s="3"/>
      <c r="AC31" s="3"/>
    </row>
    <row r="32" customFormat="false" ht="75" hidden="false" customHeight="true" outlineLevel="0" collapsed="false">
      <c r="A32" s="3"/>
      <c r="B32" s="141" t="s">
        <v>7138</v>
      </c>
      <c r="C32" s="110" t="s">
        <v>346</v>
      </c>
      <c r="D32" s="110" t="s">
        <v>876</v>
      </c>
      <c r="E32" s="110" t="s">
        <v>589</v>
      </c>
      <c r="F32" s="117" t="s">
        <v>878</v>
      </c>
      <c r="G32" s="99" t="n">
        <v>313</v>
      </c>
      <c r="H32" s="98" t="s">
        <v>333</v>
      </c>
      <c r="I32" s="98" t="s">
        <v>265</v>
      </c>
      <c r="J32" s="157" t="n">
        <v>0.21</v>
      </c>
      <c r="K32" s="146" t="n">
        <v>1</v>
      </c>
      <c r="L32" s="98" t="s">
        <v>632</v>
      </c>
      <c r="M32" s="158" t="n">
        <v>258.68</v>
      </c>
      <c r="N32" s="110" t="s">
        <v>702</v>
      </c>
      <c r="O32" s="110" t="s">
        <v>877</v>
      </c>
      <c r="P32" s="110" t="s">
        <v>586</v>
      </c>
      <c r="Q32" s="158" t="s">
        <v>538</v>
      </c>
      <c r="R32" s="158" t="s">
        <v>538</v>
      </c>
      <c r="S32" s="110" t="n">
        <v>258.68</v>
      </c>
      <c r="T32" s="110" t="s">
        <v>538</v>
      </c>
      <c r="U32" s="110" t="s">
        <v>538</v>
      </c>
      <c r="V32" s="3"/>
      <c r="W32" s="3"/>
      <c r="X32" s="3"/>
      <c r="Y32" s="3"/>
      <c r="Z32" s="3"/>
      <c r="AA32" s="3"/>
      <c r="AB32" s="3"/>
      <c r="AC32" s="3"/>
    </row>
    <row r="33" customFormat="false" ht="75" hidden="false" customHeight="true" outlineLevel="0" collapsed="false">
      <c r="A33" s="3"/>
      <c r="B33" s="139" t="s">
        <v>7138</v>
      </c>
      <c r="C33" s="109" t="s">
        <v>361</v>
      </c>
      <c r="D33" s="109" t="s">
        <v>879</v>
      </c>
      <c r="E33" s="109" t="s">
        <v>882</v>
      </c>
      <c r="F33" s="113" t="s">
        <v>881</v>
      </c>
      <c r="G33" s="92" t="n">
        <v>58</v>
      </c>
      <c r="H33" s="91" t="s">
        <v>333</v>
      </c>
      <c r="I33" s="91" t="s">
        <v>265</v>
      </c>
      <c r="J33" s="155" t="n">
        <v>0.21</v>
      </c>
      <c r="K33" s="144" t="n">
        <v>1</v>
      </c>
      <c r="L33" s="91" t="s">
        <v>632</v>
      </c>
      <c r="M33" s="156" t="n">
        <v>47.93</v>
      </c>
      <c r="N33" s="109" t="s">
        <v>629</v>
      </c>
      <c r="O33" s="109" t="s">
        <v>880</v>
      </c>
      <c r="P33" s="109" t="s">
        <v>586</v>
      </c>
      <c r="Q33" s="156" t="s">
        <v>538</v>
      </c>
      <c r="R33" s="156" t="s">
        <v>577</v>
      </c>
      <c r="S33" s="109" t="n">
        <v>47.93</v>
      </c>
      <c r="T33" s="109" t="s">
        <v>538</v>
      </c>
      <c r="U33" s="109" t="s">
        <v>577</v>
      </c>
      <c r="V33" s="3"/>
      <c r="W33" s="3"/>
      <c r="X33" s="3"/>
      <c r="Y33" s="3"/>
      <c r="Z33" s="3"/>
      <c r="AA33" s="3"/>
      <c r="AB33" s="3"/>
      <c r="AC33" s="3"/>
    </row>
    <row r="34" customFormat="false" ht="75" hidden="false" customHeight="true" outlineLevel="0" collapsed="false">
      <c r="A34" s="3"/>
      <c r="B34" s="141" t="s">
        <v>7139</v>
      </c>
      <c r="C34" s="110" t="s">
        <v>354</v>
      </c>
      <c r="D34" s="110" t="s">
        <v>911</v>
      </c>
      <c r="E34" s="110" t="s">
        <v>610</v>
      </c>
      <c r="F34" s="117" t="s">
        <v>913</v>
      </c>
      <c r="G34" s="99" t="n">
        <v>851.62</v>
      </c>
      <c r="H34" s="98" t="s">
        <v>333</v>
      </c>
      <c r="I34" s="98" t="s">
        <v>590</v>
      </c>
      <c r="J34" s="157" t="n">
        <v>0.19</v>
      </c>
      <c r="K34" s="146" t="n">
        <v>6</v>
      </c>
      <c r="L34" s="98" t="s">
        <v>625</v>
      </c>
      <c r="M34" s="158" t="n">
        <v>141.94</v>
      </c>
      <c r="N34" s="110" t="s">
        <v>702</v>
      </c>
      <c r="O34" s="110" t="s">
        <v>912</v>
      </c>
      <c r="P34" s="110" t="s">
        <v>586</v>
      </c>
      <c r="Q34" s="158" t="s">
        <v>538</v>
      </c>
      <c r="R34" s="158" t="s">
        <v>538</v>
      </c>
      <c r="S34" s="110" t="n">
        <v>141.94</v>
      </c>
      <c r="T34" s="110" t="s">
        <v>538</v>
      </c>
      <c r="U34" s="110" t="s">
        <v>538</v>
      </c>
      <c r="V34" s="3"/>
      <c r="W34" s="3"/>
      <c r="X34" s="3"/>
      <c r="Y34" s="3"/>
      <c r="Z34" s="3"/>
      <c r="AA34" s="3"/>
      <c r="AB34" s="3"/>
      <c r="AC34" s="3"/>
    </row>
    <row r="35" customFormat="false" ht="75" hidden="false" customHeight="true" outlineLevel="0" collapsed="false">
      <c r="A35" s="3"/>
      <c r="B35" s="139" t="s">
        <v>7139</v>
      </c>
      <c r="C35" s="109" t="s">
        <v>342</v>
      </c>
      <c r="D35" s="109" t="s">
        <v>914</v>
      </c>
      <c r="E35" s="109" t="s">
        <v>662</v>
      </c>
      <c r="F35" s="113" t="s">
        <v>916</v>
      </c>
      <c r="G35" s="92" t="n">
        <v>73</v>
      </c>
      <c r="H35" s="91" t="s">
        <v>333</v>
      </c>
      <c r="I35" s="91" t="s">
        <v>590</v>
      </c>
      <c r="J35" s="155" t="n">
        <v>0.21</v>
      </c>
      <c r="K35" s="144" t="n">
        <v>1</v>
      </c>
      <c r="L35" s="91" t="s">
        <v>632</v>
      </c>
      <c r="M35" s="156" t="n">
        <v>73</v>
      </c>
      <c r="N35" s="109" t="s">
        <v>702</v>
      </c>
      <c r="O35" s="109" t="s">
        <v>915</v>
      </c>
      <c r="P35" s="109" t="s">
        <v>586</v>
      </c>
      <c r="Q35" s="156" t="s">
        <v>538</v>
      </c>
      <c r="R35" s="156" t="s">
        <v>538</v>
      </c>
      <c r="S35" s="109" t="n">
        <v>73</v>
      </c>
      <c r="T35" s="109" t="s">
        <v>538</v>
      </c>
      <c r="U35" s="109" t="s">
        <v>538</v>
      </c>
      <c r="V35" s="3"/>
      <c r="W35" s="3"/>
      <c r="X35" s="3"/>
      <c r="Y35" s="3"/>
      <c r="Z35" s="3"/>
      <c r="AA35" s="3"/>
      <c r="AB35" s="3"/>
      <c r="AC35" s="3"/>
    </row>
    <row r="36" customFormat="false" ht="75" hidden="false" customHeight="true" outlineLevel="0" collapsed="false">
      <c r="A36" s="3"/>
      <c r="B36" s="141" t="s">
        <v>7139</v>
      </c>
      <c r="C36" s="110" t="s">
        <v>346</v>
      </c>
      <c r="D36" s="110" t="s">
        <v>917</v>
      </c>
      <c r="E36" s="110" t="s">
        <v>589</v>
      </c>
      <c r="F36" s="117" t="s">
        <v>919</v>
      </c>
      <c r="G36" s="99" t="n">
        <v>446</v>
      </c>
      <c r="H36" s="98" t="s">
        <v>333</v>
      </c>
      <c r="I36" s="98" t="s">
        <v>265</v>
      </c>
      <c r="J36" s="157" t="n">
        <v>0.21</v>
      </c>
      <c r="K36" s="146" t="n">
        <v>1</v>
      </c>
      <c r="L36" s="98" t="s">
        <v>632</v>
      </c>
      <c r="M36" s="158" t="n">
        <v>368.6</v>
      </c>
      <c r="N36" s="110" t="s">
        <v>702</v>
      </c>
      <c r="O36" s="110" t="s">
        <v>918</v>
      </c>
      <c r="P36" s="110" t="s">
        <v>586</v>
      </c>
      <c r="Q36" s="158" t="s">
        <v>538</v>
      </c>
      <c r="R36" s="158" t="s">
        <v>538</v>
      </c>
      <c r="S36" s="110" t="n">
        <v>368.6</v>
      </c>
      <c r="T36" s="110" t="s">
        <v>538</v>
      </c>
      <c r="U36" s="110" t="s">
        <v>538</v>
      </c>
      <c r="V36" s="3"/>
      <c r="W36" s="3"/>
      <c r="X36" s="3"/>
      <c r="Y36" s="3"/>
      <c r="Z36" s="3"/>
      <c r="AA36" s="3"/>
      <c r="AB36" s="3"/>
      <c r="AC36" s="3"/>
    </row>
    <row r="37" customFormat="false" ht="75" hidden="false" customHeight="true" outlineLevel="0" collapsed="false">
      <c r="A37" s="3"/>
      <c r="B37" s="139" t="s">
        <v>7139</v>
      </c>
      <c r="C37" s="109" t="s">
        <v>361</v>
      </c>
      <c r="D37" s="109" t="s">
        <v>920</v>
      </c>
      <c r="E37" s="109" t="s">
        <v>361</v>
      </c>
      <c r="F37" s="113" t="s">
        <v>922</v>
      </c>
      <c r="G37" s="92" t="n">
        <v>48</v>
      </c>
      <c r="H37" s="91" t="s">
        <v>333</v>
      </c>
      <c r="I37" s="91" t="s">
        <v>265</v>
      </c>
      <c r="J37" s="155" t="n">
        <v>0.21</v>
      </c>
      <c r="K37" s="144" t="n">
        <v>1</v>
      </c>
      <c r="L37" s="91" t="s">
        <v>632</v>
      </c>
      <c r="M37" s="156" t="n">
        <v>39.67</v>
      </c>
      <c r="N37" s="109" t="s">
        <v>702</v>
      </c>
      <c r="O37" s="109" t="s">
        <v>921</v>
      </c>
      <c r="P37" s="109" t="s">
        <v>586</v>
      </c>
      <c r="Q37" s="156" t="s">
        <v>538</v>
      </c>
      <c r="R37" s="156" t="s">
        <v>538</v>
      </c>
      <c r="S37" s="109" t="n">
        <v>39.67</v>
      </c>
      <c r="T37" s="109" t="s">
        <v>538</v>
      </c>
      <c r="U37" s="109" t="s">
        <v>538</v>
      </c>
      <c r="V37" s="3"/>
      <c r="W37" s="3"/>
      <c r="X37" s="3"/>
      <c r="Y37" s="3"/>
      <c r="Z37" s="3"/>
      <c r="AA37" s="3"/>
      <c r="AB37" s="3"/>
      <c r="AC37" s="3"/>
    </row>
    <row r="38" customFormat="false" ht="75" hidden="false" customHeight="true" outlineLevel="0" collapsed="false">
      <c r="A38" s="3"/>
      <c r="B38" s="141" t="s">
        <v>7140</v>
      </c>
      <c r="C38" s="110" t="s">
        <v>346</v>
      </c>
      <c r="D38" s="110" t="s">
        <v>946</v>
      </c>
      <c r="E38" s="110" t="s">
        <v>565</v>
      </c>
      <c r="F38" s="117" t="s">
        <v>948</v>
      </c>
      <c r="G38" s="99" t="n">
        <v>156</v>
      </c>
      <c r="H38" s="98" t="s">
        <v>333</v>
      </c>
      <c r="I38" s="98" t="s">
        <v>265</v>
      </c>
      <c r="J38" s="157" t="n">
        <v>0.21</v>
      </c>
      <c r="K38" s="146" t="n">
        <v>1</v>
      </c>
      <c r="L38" s="98" t="s">
        <v>632</v>
      </c>
      <c r="M38" s="158" t="n">
        <v>128.93</v>
      </c>
      <c r="N38" s="110" t="s">
        <v>629</v>
      </c>
      <c r="O38" s="110" t="s">
        <v>947</v>
      </c>
      <c r="P38" s="110" t="s">
        <v>586</v>
      </c>
      <c r="Q38" s="158" t="s">
        <v>538</v>
      </c>
      <c r="R38" s="158" t="s">
        <v>577</v>
      </c>
      <c r="S38" s="110" t="n">
        <v>128.93</v>
      </c>
      <c r="T38" s="110" t="s">
        <v>538</v>
      </c>
      <c r="U38" s="110" t="s">
        <v>577</v>
      </c>
      <c r="V38" s="3"/>
      <c r="W38" s="3"/>
      <c r="X38" s="3"/>
      <c r="Y38" s="3"/>
      <c r="Z38" s="3"/>
      <c r="AA38" s="3"/>
      <c r="AB38" s="3"/>
      <c r="AC38" s="3"/>
    </row>
    <row r="39" customFormat="false" ht="75" hidden="false" customHeight="true" outlineLevel="0" collapsed="false">
      <c r="A39" s="3"/>
      <c r="B39" s="139" t="s">
        <v>6466</v>
      </c>
      <c r="C39" s="109" t="s">
        <v>354</v>
      </c>
      <c r="D39" s="109" t="s">
        <v>995</v>
      </c>
      <c r="E39" s="109" t="s">
        <v>610</v>
      </c>
      <c r="F39" s="113" t="s">
        <v>997</v>
      </c>
      <c r="G39" s="92" t="n">
        <v>997.66</v>
      </c>
      <c r="H39" s="91" t="s">
        <v>333</v>
      </c>
      <c r="I39" s="91" t="s">
        <v>590</v>
      </c>
      <c r="J39" s="155" t="n">
        <v>0.19</v>
      </c>
      <c r="K39" s="144" t="n">
        <v>1</v>
      </c>
      <c r="L39" s="91" t="s">
        <v>632</v>
      </c>
      <c r="M39" s="156" t="n">
        <v>997.66</v>
      </c>
      <c r="N39" s="109" t="s">
        <v>530</v>
      </c>
      <c r="O39" s="109" t="s">
        <v>996</v>
      </c>
      <c r="P39" s="109" t="s">
        <v>586</v>
      </c>
      <c r="Q39" s="156" t="s">
        <v>538</v>
      </c>
      <c r="R39" s="156" t="s">
        <v>538</v>
      </c>
      <c r="S39" s="109" t="n">
        <v>997.66</v>
      </c>
      <c r="T39" s="109" t="s">
        <v>538</v>
      </c>
      <c r="U39" s="109" t="s">
        <v>538</v>
      </c>
      <c r="V39" s="3"/>
      <c r="W39" s="3"/>
      <c r="X39" s="3"/>
      <c r="Y39" s="3"/>
      <c r="Z39" s="3"/>
      <c r="AA39" s="3"/>
      <c r="AB39" s="3"/>
      <c r="AC39" s="3"/>
    </row>
    <row r="40" customFormat="false" ht="75" hidden="false" customHeight="true" outlineLevel="0" collapsed="false">
      <c r="A40" s="3"/>
      <c r="B40" s="141" t="s">
        <v>6466</v>
      </c>
      <c r="C40" s="110" t="s">
        <v>342</v>
      </c>
      <c r="D40" s="110" t="s">
        <v>998</v>
      </c>
      <c r="E40" s="110" t="s">
        <v>388</v>
      </c>
      <c r="F40" s="117" t="s">
        <v>1000</v>
      </c>
      <c r="G40" s="99" t="n">
        <v>636</v>
      </c>
      <c r="H40" s="98" t="s">
        <v>333</v>
      </c>
      <c r="I40" s="98" t="s">
        <v>590</v>
      </c>
      <c r="J40" s="157" t="n">
        <v>0.21</v>
      </c>
      <c r="K40" s="146" t="n">
        <v>1</v>
      </c>
      <c r="L40" s="98" t="s">
        <v>632</v>
      </c>
      <c r="M40" s="158" t="n">
        <v>636</v>
      </c>
      <c r="N40" s="110" t="s">
        <v>702</v>
      </c>
      <c r="O40" s="110" t="s">
        <v>999</v>
      </c>
      <c r="P40" s="110" t="s">
        <v>586</v>
      </c>
      <c r="Q40" s="158" t="s">
        <v>538</v>
      </c>
      <c r="R40" s="158" t="s">
        <v>538</v>
      </c>
      <c r="S40" s="110" t="n">
        <v>636</v>
      </c>
      <c r="T40" s="110" t="s">
        <v>538</v>
      </c>
      <c r="U40" s="110" t="s">
        <v>538</v>
      </c>
      <c r="V40" s="3"/>
      <c r="W40" s="3"/>
      <c r="X40" s="3"/>
      <c r="Y40" s="3"/>
      <c r="Z40" s="3"/>
      <c r="AA40" s="3"/>
      <c r="AB40" s="3"/>
      <c r="AC40" s="3"/>
    </row>
    <row r="41" customFormat="false" ht="75" hidden="false" customHeight="true" outlineLevel="0" collapsed="false">
      <c r="A41" s="3"/>
      <c r="B41" s="139" t="s">
        <v>6466</v>
      </c>
      <c r="C41" s="109" t="s">
        <v>346</v>
      </c>
      <c r="D41" s="109" t="s">
        <v>1001</v>
      </c>
      <c r="E41" s="109" t="s">
        <v>646</v>
      </c>
      <c r="F41" s="113" t="s">
        <v>1003</v>
      </c>
      <c r="G41" s="92" t="n">
        <v>1446</v>
      </c>
      <c r="H41" s="91" t="s">
        <v>333</v>
      </c>
      <c r="I41" s="91" t="s">
        <v>265</v>
      </c>
      <c r="J41" s="155" t="n">
        <v>0.21</v>
      </c>
      <c r="K41" s="144" t="n">
        <v>1</v>
      </c>
      <c r="L41" s="91" t="s">
        <v>632</v>
      </c>
      <c r="M41" s="156" t="n">
        <v>1195.04</v>
      </c>
      <c r="N41" s="109" t="s">
        <v>702</v>
      </c>
      <c r="O41" s="109" t="s">
        <v>1002</v>
      </c>
      <c r="P41" s="109" t="s">
        <v>586</v>
      </c>
      <c r="Q41" s="156" t="s">
        <v>538</v>
      </c>
      <c r="R41" s="156" t="s">
        <v>538</v>
      </c>
      <c r="S41" s="109" t="n">
        <v>1195.04</v>
      </c>
      <c r="T41" s="109" t="s">
        <v>538</v>
      </c>
      <c r="U41" s="109" t="s">
        <v>538</v>
      </c>
      <c r="V41" s="3"/>
      <c r="W41" s="3"/>
      <c r="X41" s="3"/>
      <c r="Y41" s="3"/>
      <c r="Z41" s="3"/>
      <c r="AA41" s="3"/>
      <c r="AB41" s="3"/>
      <c r="AC41" s="3"/>
    </row>
    <row r="42" customFormat="false" ht="75" hidden="false" customHeight="true" outlineLevel="0" collapsed="false">
      <c r="A42" s="3"/>
      <c r="B42" s="141" t="s">
        <v>6466</v>
      </c>
      <c r="C42" s="110" t="s">
        <v>361</v>
      </c>
      <c r="D42" s="110" t="s">
        <v>1004</v>
      </c>
      <c r="E42" s="110" t="s">
        <v>361</v>
      </c>
      <c r="F42" s="117" t="s">
        <v>1006</v>
      </c>
      <c r="G42" s="99" t="n">
        <v>877</v>
      </c>
      <c r="H42" s="98" t="s">
        <v>333</v>
      </c>
      <c r="I42" s="98" t="s">
        <v>265</v>
      </c>
      <c r="J42" s="157" t="n">
        <v>0.21</v>
      </c>
      <c r="K42" s="146" t="n">
        <v>1</v>
      </c>
      <c r="L42" s="98" t="s">
        <v>632</v>
      </c>
      <c r="M42" s="158" t="n">
        <v>724.79</v>
      </c>
      <c r="N42" s="110" t="s">
        <v>629</v>
      </c>
      <c r="O42" s="110" t="s">
        <v>1005</v>
      </c>
      <c r="P42" s="110" t="s">
        <v>586</v>
      </c>
      <c r="Q42" s="158" t="s">
        <v>538</v>
      </c>
      <c r="R42" s="158" t="s">
        <v>577</v>
      </c>
      <c r="S42" s="110" t="n">
        <v>724.79</v>
      </c>
      <c r="T42" s="110" t="s">
        <v>538</v>
      </c>
      <c r="U42" s="110" t="s">
        <v>577</v>
      </c>
      <c r="V42" s="3"/>
      <c r="W42" s="3"/>
      <c r="X42" s="3"/>
      <c r="Y42" s="3"/>
      <c r="Z42" s="3"/>
      <c r="AA42" s="3"/>
      <c r="AB42" s="3"/>
      <c r="AC42" s="3"/>
    </row>
    <row r="43" customFormat="false" ht="75" hidden="false" customHeight="true" outlineLevel="0" collapsed="false">
      <c r="A43" s="3"/>
      <c r="B43" s="139" t="s">
        <v>7141</v>
      </c>
      <c r="C43" s="109" t="s">
        <v>354</v>
      </c>
      <c r="D43" s="109" t="s">
        <v>1062</v>
      </c>
      <c r="E43" s="109" t="s">
        <v>610</v>
      </c>
      <c r="F43" s="113" t="s">
        <v>1064</v>
      </c>
      <c r="G43" s="92" t="n">
        <v>632.57</v>
      </c>
      <c r="H43" s="91" t="s">
        <v>333</v>
      </c>
      <c r="I43" s="91" t="s">
        <v>590</v>
      </c>
      <c r="J43" s="155" t="n">
        <v>0.19</v>
      </c>
      <c r="K43" s="144" t="n">
        <v>1</v>
      </c>
      <c r="L43" s="91" t="s">
        <v>632</v>
      </c>
      <c r="M43" s="156" t="n">
        <v>632.57</v>
      </c>
      <c r="N43" s="109" t="s">
        <v>530</v>
      </c>
      <c r="O43" s="109" t="s">
        <v>1063</v>
      </c>
      <c r="P43" s="109" t="s">
        <v>586</v>
      </c>
      <c r="Q43" s="156" t="s">
        <v>538</v>
      </c>
      <c r="R43" s="156" t="s">
        <v>538</v>
      </c>
      <c r="S43" s="109" t="n">
        <v>632.57</v>
      </c>
      <c r="T43" s="109" t="s">
        <v>538</v>
      </c>
      <c r="U43" s="109" t="s">
        <v>538</v>
      </c>
      <c r="V43" s="3"/>
      <c r="W43" s="3"/>
      <c r="X43" s="3"/>
      <c r="Y43" s="3"/>
      <c r="Z43" s="3"/>
      <c r="AA43" s="3"/>
      <c r="AB43" s="3"/>
      <c r="AC43" s="3"/>
    </row>
    <row r="44" customFormat="false" ht="75" hidden="false" customHeight="true" outlineLevel="0" collapsed="false">
      <c r="A44" s="3"/>
      <c r="B44" s="141" t="s">
        <v>7141</v>
      </c>
      <c r="C44" s="110" t="s">
        <v>332</v>
      </c>
      <c r="D44" s="110" t="s">
        <v>1065</v>
      </c>
      <c r="E44" s="110"/>
      <c r="F44" s="117" t="s">
        <v>1067</v>
      </c>
      <c r="G44" s="99" t="n">
        <v>1090</v>
      </c>
      <c r="H44" s="98" t="s">
        <v>333</v>
      </c>
      <c r="I44" s="98" t="s">
        <v>590</v>
      </c>
      <c r="J44" s="157" t="n">
        <v>0.21</v>
      </c>
      <c r="K44" s="146" t="n">
        <v>1</v>
      </c>
      <c r="L44" s="98" t="s">
        <v>632</v>
      </c>
      <c r="M44" s="158" t="n">
        <v>1090</v>
      </c>
      <c r="N44" s="110" t="s">
        <v>530</v>
      </c>
      <c r="O44" s="110" t="s">
        <v>1066</v>
      </c>
      <c r="P44" s="110" t="s">
        <v>586</v>
      </c>
      <c r="Q44" s="158" t="s">
        <v>538</v>
      </c>
      <c r="R44" s="158" t="s">
        <v>538</v>
      </c>
      <c r="S44" s="110" t="n">
        <v>1090</v>
      </c>
      <c r="T44" s="110" t="s">
        <v>538</v>
      </c>
      <c r="U44" s="110" t="s">
        <v>538</v>
      </c>
      <c r="V44" s="3"/>
      <c r="W44" s="3"/>
      <c r="X44" s="3"/>
      <c r="Y44" s="3"/>
      <c r="Z44" s="3"/>
      <c r="AA44" s="3"/>
      <c r="AB44" s="3"/>
      <c r="AC44" s="3"/>
    </row>
    <row r="45" customFormat="false" ht="75" hidden="false" customHeight="true" outlineLevel="0" collapsed="false">
      <c r="A45" s="3"/>
      <c r="B45" s="139" t="s">
        <v>7141</v>
      </c>
      <c r="C45" s="109" t="s">
        <v>342</v>
      </c>
      <c r="D45" s="109" t="s">
        <v>1068</v>
      </c>
      <c r="E45" s="109" t="s">
        <v>646</v>
      </c>
      <c r="F45" s="113" t="s">
        <v>1070</v>
      </c>
      <c r="G45" s="92" t="n">
        <v>1172</v>
      </c>
      <c r="H45" s="91" t="s">
        <v>333</v>
      </c>
      <c r="I45" s="91" t="s">
        <v>590</v>
      </c>
      <c r="J45" s="155" t="n">
        <v>0.21</v>
      </c>
      <c r="K45" s="144" t="n">
        <v>1</v>
      </c>
      <c r="L45" s="91" t="s">
        <v>632</v>
      </c>
      <c r="M45" s="156" t="n">
        <v>1172</v>
      </c>
      <c r="N45" s="109" t="s">
        <v>702</v>
      </c>
      <c r="O45" s="109" t="s">
        <v>1069</v>
      </c>
      <c r="P45" s="109" t="s">
        <v>586</v>
      </c>
      <c r="Q45" s="156" t="s">
        <v>538</v>
      </c>
      <c r="R45" s="156" t="s">
        <v>538</v>
      </c>
      <c r="S45" s="109" t="n">
        <v>1172</v>
      </c>
      <c r="T45" s="109" t="s">
        <v>538</v>
      </c>
      <c r="U45" s="109" t="s">
        <v>538</v>
      </c>
      <c r="V45" s="3"/>
      <c r="W45" s="3"/>
      <c r="X45" s="3"/>
      <c r="Y45" s="3"/>
      <c r="Z45" s="3"/>
      <c r="AA45" s="3"/>
      <c r="AB45" s="3"/>
      <c r="AC45" s="3"/>
    </row>
    <row r="46" customFormat="false" ht="75" hidden="false" customHeight="true" outlineLevel="0" collapsed="false">
      <c r="A46" s="3"/>
      <c r="B46" s="141" t="s">
        <v>7141</v>
      </c>
      <c r="C46" s="110" t="s">
        <v>346</v>
      </c>
      <c r="D46" s="110" t="s">
        <v>1071</v>
      </c>
      <c r="E46" s="110" t="s">
        <v>1074</v>
      </c>
      <c r="F46" s="117" t="s">
        <v>1073</v>
      </c>
      <c r="G46" s="99" t="n">
        <v>1531</v>
      </c>
      <c r="H46" s="98" t="s">
        <v>333</v>
      </c>
      <c r="I46" s="98" t="s">
        <v>265</v>
      </c>
      <c r="J46" s="157" t="n">
        <v>0.21</v>
      </c>
      <c r="K46" s="146" t="n">
        <v>1</v>
      </c>
      <c r="L46" s="98" t="s">
        <v>632</v>
      </c>
      <c r="M46" s="158" t="n">
        <v>1265.29</v>
      </c>
      <c r="N46" s="110" t="s">
        <v>702</v>
      </c>
      <c r="O46" s="110" t="s">
        <v>1072</v>
      </c>
      <c r="P46" s="110" t="s">
        <v>586</v>
      </c>
      <c r="Q46" s="158" t="s">
        <v>538</v>
      </c>
      <c r="R46" s="158" t="s">
        <v>538</v>
      </c>
      <c r="S46" s="110" t="n">
        <v>1265.29</v>
      </c>
      <c r="T46" s="110" t="s">
        <v>538</v>
      </c>
      <c r="U46" s="110" t="s">
        <v>538</v>
      </c>
      <c r="V46" s="3"/>
      <c r="W46" s="3"/>
      <c r="X46" s="3"/>
      <c r="Y46" s="3"/>
      <c r="Z46" s="3"/>
      <c r="AA46" s="3"/>
      <c r="AB46" s="3"/>
      <c r="AC46" s="3"/>
    </row>
    <row r="47" customFormat="false" ht="75" hidden="false" customHeight="true" outlineLevel="0" collapsed="false">
      <c r="A47" s="3"/>
      <c r="B47" s="139" t="s">
        <v>7141</v>
      </c>
      <c r="C47" s="109" t="s">
        <v>361</v>
      </c>
      <c r="D47" s="109" t="s">
        <v>1075</v>
      </c>
      <c r="E47" s="109" t="s">
        <v>361</v>
      </c>
      <c r="F47" s="113" t="s">
        <v>1077</v>
      </c>
      <c r="G47" s="92" t="n">
        <v>1016</v>
      </c>
      <c r="H47" s="91" t="s">
        <v>333</v>
      </c>
      <c r="I47" s="91" t="s">
        <v>265</v>
      </c>
      <c r="J47" s="155" t="n">
        <v>0.21</v>
      </c>
      <c r="K47" s="144" t="n">
        <v>1</v>
      </c>
      <c r="L47" s="91" t="s">
        <v>632</v>
      </c>
      <c r="M47" s="156" t="n">
        <v>839.67</v>
      </c>
      <c r="N47" s="109" t="s">
        <v>629</v>
      </c>
      <c r="O47" s="109" t="s">
        <v>1076</v>
      </c>
      <c r="P47" s="109" t="s">
        <v>586</v>
      </c>
      <c r="Q47" s="156" t="s">
        <v>538</v>
      </c>
      <c r="R47" s="156" t="s">
        <v>577</v>
      </c>
      <c r="S47" s="109" t="n">
        <v>839.67</v>
      </c>
      <c r="T47" s="109" t="s">
        <v>538</v>
      </c>
      <c r="U47" s="109" t="s">
        <v>577</v>
      </c>
      <c r="V47" s="3"/>
      <c r="W47" s="3"/>
      <c r="X47" s="3"/>
      <c r="Y47" s="3"/>
      <c r="Z47" s="3"/>
      <c r="AA47" s="3"/>
      <c r="AB47" s="3"/>
      <c r="AC47" s="3"/>
    </row>
    <row r="48" customFormat="false" ht="75" hidden="false" customHeight="true" outlineLevel="0" collapsed="false">
      <c r="A48" s="3"/>
      <c r="B48" s="141" t="s">
        <v>7142</v>
      </c>
      <c r="C48" s="110" t="s">
        <v>354</v>
      </c>
      <c r="D48" s="110" t="s">
        <v>1129</v>
      </c>
      <c r="E48" s="110" t="s">
        <v>610</v>
      </c>
      <c r="F48" s="117" t="s">
        <v>1131</v>
      </c>
      <c r="G48" s="99" t="n">
        <v>717.76</v>
      </c>
      <c r="H48" s="98" t="s">
        <v>333</v>
      </c>
      <c r="I48" s="98" t="s">
        <v>590</v>
      </c>
      <c r="J48" s="157" t="n">
        <v>0.19</v>
      </c>
      <c r="K48" s="146" t="n">
        <v>1</v>
      </c>
      <c r="L48" s="98" t="s">
        <v>632</v>
      </c>
      <c r="M48" s="158" t="n">
        <v>717.76</v>
      </c>
      <c r="N48" s="110" t="s">
        <v>530</v>
      </c>
      <c r="O48" s="110" t="s">
        <v>1130</v>
      </c>
      <c r="P48" s="110" t="s">
        <v>586</v>
      </c>
      <c r="Q48" s="158" t="s">
        <v>538</v>
      </c>
      <c r="R48" s="158" t="s">
        <v>538</v>
      </c>
      <c r="S48" s="110" t="n">
        <v>717.76</v>
      </c>
      <c r="T48" s="110" t="s">
        <v>538</v>
      </c>
      <c r="U48" s="110" t="s">
        <v>538</v>
      </c>
      <c r="V48" s="3"/>
      <c r="W48" s="3"/>
      <c r="X48" s="3"/>
      <c r="Y48" s="3"/>
      <c r="Z48" s="3"/>
      <c r="AA48" s="3"/>
      <c r="AB48" s="3"/>
      <c r="AC48" s="3"/>
    </row>
    <row r="49" customFormat="false" ht="75" hidden="false" customHeight="true" outlineLevel="0" collapsed="false">
      <c r="A49" s="3"/>
      <c r="B49" s="139" t="s">
        <v>7142</v>
      </c>
      <c r="C49" s="109" t="s">
        <v>332</v>
      </c>
      <c r="D49" s="109" t="s">
        <v>1132</v>
      </c>
      <c r="E49" s="109"/>
      <c r="F49" s="113" t="s">
        <v>1134</v>
      </c>
      <c r="G49" s="92" t="n">
        <v>1350</v>
      </c>
      <c r="H49" s="91" t="s">
        <v>333</v>
      </c>
      <c r="I49" s="91" t="s">
        <v>590</v>
      </c>
      <c r="J49" s="155" t="n">
        <v>0.21</v>
      </c>
      <c r="K49" s="144" t="n">
        <v>1</v>
      </c>
      <c r="L49" s="91" t="s">
        <v>632</v>
      </c>
      <c r="M49" s="156" t="n">
        <v>1350</v>
      </c>
      <c r="N49" s="109" t="s">
        <v>530</v>
      </c>
      <c r="O49" s="109" t="s">
        <v>1133</v>
      </c>
      <c r="P49" s="109" t="s">
        <v>586</v>
      </c>
      <c r="Q49" s="156" t="s">
        <v>538</v>
      </c>
      <c r="R49" s="156" t="s">
        <v>538</v>
      </c>
      <c r="S49" s="109" t="n">
        <v>1350</v>
      </c>
      <c r="T49" s="109" t="s">
        <v>538</v>
      </c>
      <c r="U49" s="109" t="s">
        <v>538</v>
      </c>
      <c r="V49" s="3"/>
      <c r="W49" s="3"/>
      <c r="X49" s="3"/>
      <c r="Y49" s="3"/>
      <c r="Z49" s="3"/>
      <c r="AA49" s="3"/>
      <c r="AB49" s="3"/>
      <c r="AC49" s="3"/>
    </row>
    <row r="50" customFormat="false" ht="75" hidden="false" customHeight="true" outlineLevel="0" collapsed="false">
      <c r="A50" s="3"/>
      <c r="B50" s="141" t="s">
        <v>7142</v>
      </c>
      <c r="C50" s="110" t="s">
        <v>342</v>
      </c>
      <c r="D50" s="110" t="s">
        <v>1135</v>
      </c>
      <c r="E50" s="110" t="s">
        <v>1138</v>
      </c>
      <c r="F50" s="117" t="s">
        <v>1137</v>
      </c>
      <c r="G50" s="99" t="n">
        <v>574</v>
      </c>
      <c r="H50" s="98" t="s">
        <v>333</v>
      </c>
      <c r="I50" s="98" t="s">
        <v>590</v>
      </c>
      <c r="J50" s="157" t="n">
        <v>0.21</v>
      </c>
      <c r="K50" s="146" t="n">
        <v>1</v>
      </c>
      <c r="L50" s="98" t="s">
        <v>632</v>
      </c>
      <c r="M50" s="158" t="n">
        <v>574</v>
      </c>
      <c r="N50" s="110" t="s">
        <v>530</v>
      </c>
      <c r="O50" s="110" t="s">
        <v>1136</v>
      </c>
      <c r="P50" s="110" t="s">
        <v>586</v>
      </c>
      <c r="Q50" s="158" t="s">
        <v>538</v>
      </c>
      <c r="R50" s="158" t="s">
        <v>538</v>
      </c>
      <c r="S50" s="110" t="n">
        <v>574</v>
      </c>
      <c r="T50" s="110" t="s">
        <v>538</v>
      </c>
      <c r="U50" s="110" t="s">
        <v>538</v>
      </c>
      <c r="V50" s="3"/>
      <c r="W50" s="3"/>
      <c r="X50" s="3"/>
      <c r="Y50" s="3"/>
      <c r="Z50" s="3"/>
      <c r="AA50" s="3"/>
      <c r="AB50" s="3"/>
      <c r="AC50" s="3"/>
    </row>
    <row r="51" customFormat="false" ht="75" hidden="false" customHeight="true" outlineLevel="0" collapsed="false">
      <c r="A51" s="3"/>
      <c r="B51" s="139" t="s">
        <v>7142</v>
      </c>
      <c r="C51" s="109" t="s">
        <v>346</v>
      </c>
      <c r="D51" s="109" t="s">
        <v>1139</v>
      </c>
      <c r="E51" s="109" t="s">
        <v>1074</v>
      </c>
      <c r="F51" s="113" t="s">
        <v>1141</v>
      </c>
      <c r="G51" s="92" t="n">
        <v>2225</v>
      </c>
      <c r="H51" s="91" t="s">
        <v>333</v>
      </c>
      <c r="I51" s="91" t="s">
        <v>265</v>
      </c>
      <c r="J51" s="155" t="n">
        <v>0.21</v>
      </c>
      <c r="K51" s="144" t="n">
        <v>1</v>
      </c>
      <c r="L51" s="91" t="s">
        <v>632</v>
      </c>
      <c r="M51" s="156" t="n">
        <v>1838.84</v>
      </c>
      <c r="N51" s="109" t="s">
        <v>702</v>
      </c>
      <c r="O51" s="109" t="s">
        <v>1140</v>
      </c>
      <c r="P51" s="109" t="s">
        <v>586</v>
      </c>
      <c r="Q51" s="156" t="s">
        <v>538</v>
      </c>
      <c r="R51" s="156" t="s">
        <v>538</v>
      </c>
      <c r="S51" s="109" t="n">
        <v>1838.84</v>
      </c>
      <c r="T51" s="109" t="s">
        <v>538</v>
      </c>
      <c r="U51" s="109" t="s">
        <v>538</v>
      </c>
      <c r="V51" s="3"/>
      <c r="W51" s="3"/>
      <c r="X51" s="3"/>
      <c r="Y51" s="3"/>
      <c r="Z51" s="3"/>
      <c r="AA51" s="3"/>
      <c r="AB51" s="3"/>
      <c r="AC51" s="3"/>
    </row>
    <row r="52" customFormat="false" ht="75" hidden="false" customHeight="true" outlineLevel="0" collapsed="false">
      <c r="A52" s="3"/>
      <c r="B52" s="141" t="s">
        <v>7142</v>
      </c>
      <c r="C52" s="110" t="s">
        <v>361</v>
      </c>
      <c r="D52" s="110" t="s">
        <v>1142</v>
      </c>
      <c r="E52" s="110" t="s">
        <v>361</v>
      </c>
      <c r="F52" s="117" t="s">
        <v>1144</v>
      </c>
      <c r="G52" s="99" t="n">
        <v>1440</v>
      </c>
      <c r="H52" s="98" t="s">
        <v>333</v>
      </c>
      <c r="I52" s="98" t="s">
        <v>265</v>
      </c>
      <c r="J52" s="157" t="n">
        <v>0.21</v>
      </c>
      <c r="K52" s="146" t="n">
        <v>1</v>
      </c>
      <c r="L52" s="98" t="s">
        <v>632</v>
      </c>
      <c r="M52" s="158" t="n">
        <v>1190.08</v>
      </c>
      <c r="N52" s="110" t="s">
        <v>530</v>
      </c>
      <c r="O52" s="110" t="s">
        <v>1143</v>
      </c>
      <c r="P52" s="110" t="s">
        <v>586</v>
      </c>
      <c r="Q52" s="158" t="s">
        <v>538</v>
      </c>
      <c r="R52" s="158" t="s">
        <v>538</v>
      </c>
      <c r="S52" s="110" t="n">
        <v>1190.08</v>
      </c>
      <c r="T52" s="110" t="s">
        <v>538</v>
      </c>
      <c r="U52" s="110" t="s">
        <v>538</v>
      </c>
      <c r="V52" s="3"/>
      <c r="W52" s="3"/>
      <c r="X52" s="3"/>
      <c r="Y52" s="3"/>
      <c r="Z52" s="3"/>
      <c r="AA52" s="3"/>
      <c r="AB52" s="3"/>
      <c r="AC52" s="3"/>
    </row>
    <row r="53" customFormat="false" ht="75" hidden="false" customHeight="true" outlineLevel="0" collapsed="false">
      <c r="A53" s="3"/>
      <c r="B53" s="139" t="s">
        <v>7143</v>
      </c>
      <c r="C53" s="109" t="s">
        <v>354</v>
      </c>
      <c r="D53" s="109" t="s">
        <v>1183</v>
      </c>
      <c r="E53" s="109" t="s">
        <v>610</v>
      </c>
      <c r="F53" s="113" t="s">
        <v>1185</v>
      </c>
      <c r="G53" s="92" t="n">
        <v>437.86</v>
      </c>
      <c r="H53" s="91" t="s">
        <v>333</v>
      </c>
      <c r="I53" s="91" t="s">
        <v>590</v>
      </c>
      <c r="J53" s="155" t="n">
        <v>0.19</v>
      </c>
      <c r="K53" s="144" t="n">
        <v>1</v>
      </c>
      <c r="L53" s="91" t="s">
        <v>632</v>
      </c>
      <c r="M53" s="156" t="n">
        <v>437.86</v>
      </c>
      <c r="N53" s="109" t="s">
        <v>629</v>
      </c>
      <c r="O53" s="109" t="s">
        <v>1184</v>
      </c>
      <c r="P53" s="109" t="s">
        <v>586</v>
      </c>
      <c r="Q53" s="156" t="s">
        <v>538</v>
      </c>
      <c r="R53" s="156" t="s">
        <v>577</v>
      </c>
      <c r="S53" s="109" t="n">
        <v>437.86</v>
      </c>
      <c r="T53" s="109" t="s">
        <v>538</v>
      </c>
      <c r="U53" s="109" t="s">
        <v>577</v>
      </c>
      <c r="V53" s="3"/>
      <c r="W53" s="3"/>
      <c r="X53" s="3"/>
      <c r="Y53" s="3"/>
      <c r="Z53" s="3"/>
      <c r="AA53" s="3"/>
      <c r="AB53" s="3"/>
      <c r="AC53" s="3"/>
    </row>
    <row r="54" customFormat="false" ht="75" hidden="false" customHeight="true" outlineLevel="0" collapsed="false">
      <c r="A54" s="3"/>
      <c r="B54" s="141" t="s">
        <v>7143</v>
      </c>
      <c r="C54" s="110" t="s">
        <v>342</v>
      </c>
      <c r="D54" s="110" t="s">
        <v>1186</v>
      </c>
      <c r="E54" s="110" t="s">
        <v>388</v>
      </c>
      <c r="F54" s="117" t="s">
        <v>1188</v>
      </c>
      <c r="G54" s="99" t="n">
        <v>159</v>
      </c>
      <c r="H54" s="98" t="s">
        <v>333</v>
      </c>
      <c r="I54" s="98" t="s">
        <v>590</v>
      </c>
      <c r="J54" s="157" t="n">
        <v>0.21</v>
      </c>
      <c r="K54" s="146" t="n">
        <v>1</v>
      </c>
      <c r="L54" s="98" t="s">
        <v>632</v>
      </c>
      <c r="M54" s="158" t="n">
        <v>159</v>
      </c>
      <c r="N54" s="110" t="s">
        <v>702</v>
      </c>
      <c r="O54" s="110" t="s">
        <v>1187</v>
      </c>
      <c r="P54" s="110" t="s">
        <v>586</v>
      </c>
      <c r="Q54" s="158" t="s">
        <v>538</v>
      </c>
      <c r="R54" s="158" t="s">
        <v>538</v>
      </c>
      <c r="S54" s="110" t="n">
        <v>159</v>
      </c>
      <c r="T54" s="110" t="s">
        <v>538</v>
      </c>
      <c r="U54" s="110" t="s">
        <v>538</v>
      </c>
      <c r="V54" s="3"/>
      <c r="W54" s="3"/>
      <c r="X54" s="3"/>
      <c r="Y54" s="3"/>
      <c r="Z54" s="3"/>
      <c r="AA54" s="3"/>
      <c r="AB54" s="3"/>
      <c r="AC54" s="3"/>
    </row>
    <row r="55" customFormat="false" ht="75" hidden="false" customHeight="true" outlineLevel="0" collapsed="false">
      <c r="A55" s="3"/>
      <c r="B55" s="139" t="s">
        <v>7143</v>
      </c>
      <c r="C55" s="109" t="s">
        <v>346</v>
      </c>
      <c r="D55" s="109" t="s">
        <v>1189</v>
      </c>
      <c r="E55" s="109" t="s">
        <v>388</v>
      </c>
      <c r="F55" s="113" t="s">
        <v>1191</v>
      </c>
      <c r="G55" s="92" t="n">
        <v>183</v>
      </c>
      <c r="H55" s="91" t="s">
        <v>333</v>
      </c>
      <c r="I55" s="91" t="s">
        <v>265</v>
      </c>
      <c r="J55" s="155" t="n">
        <v>0.21</v>
      </c>
      <c r="K55" s="144" t="n">
        <v>1</v>
      </c>
      <c r="L55" s="91" t="s">
        <v>632</v>
      </c>
      <c r="M55" s="156" t="n">
        <v>151.24</v>
      </c>
      <c r="N55" s="109" t="s">
        <v>702</v>
      </c>
      <c r="O55" s="109" t="s">
        <v>1190</v>
      </c>
      <c r="P55" s="109" t="s">
        <v>586</v>
      </c>
      <c r="Q55" s="156" t="s">
        <v>538</v>
      </c>
      <c r="R55" s="156" t="s">
        <v>538</v>
      </c>
      <c r="S55" s="109" t="n">
        <v>151.24</v>
      </c>
      <c r="T55" s="109" t="s">
        <v>538</v>
      </c>
      <c r="U55" s="109" t="s">
        <v>538</v>
      </c>
      <c r="V55" s="3"/>
      <c r="W55" s="3"/>
      <c r="X55" s="3"/>
      <c r="Y55" s="3"/>
      <c r="Z55" s="3"/>
      <c r="AA55" s="3"/>
      <c r="AB55" s="3"/>
      <c r="AC55" s="3"/>
    </row>
    <row r="56" customFormat="false" ht="75" hidden="false" customHeight="true" outlineLevel="0" collapsed="false">
      <c r="A56" s="3"/>
      <c r="B56" s="141" t="s">
        <v>7143</v>
      </c>
      <c r="C56" s="110" t="s">
        <v>361</v>
      </c>
      <c r="D56" s="110" t="s">
        <v>1192</v>
      </c>
      <c r="E56" s="110" t="s">
        <v>361</v>
      </c>
      <c r="F56" s="117" t="s">
        <v>1194</v>
      </c>
      <c r="G56" s="99" t="n">
        <v>115</v>
      </c>
      <c r="H56" s="98" t="s">
        <v>333</v>
      </c>
      <c r="I56" s="98" t="s">
        <v>265</v>
      </c>
      <c r="J56" s="157" t="n">
        <v>0.21</v>
      </c>
      <c r="K56" s="146" t="n">
        <v>1</v>
      </c>
      <c r="L56" s="98" t="s">
        <v>632</v>
      </c>
      <c r="M56" s="158" t="n">
        <v>95.04</v>
      </c>
      <c r="N56" s="110" t="s">
        <v>702</v>
      </c>
      <c r="O56" s="110" t="s">
        <v>1193</v>
      </c>
      <c r="P56" s="110" t="s">
        <v>586</v>
      </c>
      <c r="Q56" s="158" t="s">
        <v>538</v>
      </c>
      <c r="R56" s="158" t="s">
        <v>538</v>
      </c>
      <c r="S56" s="110" t="n">
        <v>95.04</v>
      </c>
      <c r="T56" s="110" t="s">
        <v>538</v>
      </c>
      <c r="U56" s="110" t="s">
        <v>538</v>
      </c>
      <c r="V56" s="3"/>
      <c r="W56" s="3"/>
      <c r="X56" s="3"/>
      <c r="Y56" s="3"/>
      <c r="Z56" s="3"/>
      <c r="AA56" s="3"/>
      <c r="AB56" s="3"/>
      <c r="AC56" s="3"/>
    </row>
    <row r="57" customFormat="false" ht="75" hidden="false" customHeight="true" outlineLevel="0" collapsed="false">
      <c r="A57" s="3"/>
      <c r="B57" s="139" t="s">
        <v>7144</v>
      </c>
      <c r="C57" s="109" t="s">
        <v>354</v>
      </c>
      <c r="D57" s="109" t="s">
        <v>1247</v>
      </c>
      <c r="E57" s="109" t="s">
        <v>610</v>
      </c>
      <c r="F57" s="113" t="s">
        <v>1249</v>
      </c>
      <c r="G57" s="92" t="n">
        <v>2044.23</v>
      </c>
      <c r="H57" s="91" t="s">
        <v>333</v>
      </c>
      <c r="I57" s="91" t="s">
        <v>590</v>
      </c>
      <c r="J57" s="155" t="n">
        <v>0.19</v>
      </c>
      <c r="K57" s="144" t="n">
        <v>8</v>
      </c>
      <c r="L57" s="91" t="s">
        <v>625</v>
      </c>
      <c r="M57" s="156" t="n">
        <v>255.53</v>
      </c>
      <c r="N57" s="109" t="s">
        <v>702</v>
      </c>
      <c r="O57" s="109" t="s">
        <v>1248</v>
      </c>
      <c r="P57" s="109" t="s">
        <v>586</v>
      </c>
      <c r="Q57" s="156" t="s">
        <v>538</v>
      </c>
      <c r="R57" s="156" t="s">
        <v>538</v>
      </c>
      <c r="S57" s="109" t="n">
        <v>255.53</v>
      </c>
      <c r="T57" s="109" t="s">
        <v>538</v>
      </c>
      <c r="U57" s="109" t="s">
        <v>538</v>
      </c>
      <c r="V57" s="3"/>
      <c r="W57" s="3"/>
      <c r="X57" s="3"/>
      <c r="Y57" s="3"/>
      <c r="Z57" s="3"/>
      <c r="AA57" s="3"/>
      <c r="AB57" s="3"/>
      <c r="AC57" s="3"/>
    </row>
    <row r="58" customFormat="false" ht="75" hidden="false" customHeight="true" outlineLevel="0" collapsed="false">
      <c r="A58" s="3"/>
      <c r="B58" s="141" t="s">
        <v>7144</v>
      </c>
      <c r="C58" s="110" t="s">
        <v>332</v>
      </c>
      <c r="D58" s="110" t="s">
        <v>1250</v>
      </c>
      <c r="E58" s="110"/>
      <c r="F58" s="117" t="s">
        <v>1252</v>
      </c>
      <c r="G58" s="99" t="n">
        <v>390</v>
      </c>
      <c r="H58" s="98" t="s">
        <v>333</v>
      </c>
      <c r="I58" s="98" t="s">
        <v>590</v>
      </c>
      <c r="J58" s="157" t="n">
        <v>0.21</v>
      </c>
      <c r="K58" s="146" t="n">
        <v>1</v>
      </c>
      <c r="L58" s="98" t="s">
        <v>632</v>
      </c>
      <c r="M58" s="158" t="n">
        <v>390</v>
      </c>
      <c r="N58" s="110" t="s">
        <v>702</v>
      </c>
      <c r="O58" s="110" t="s">
        <v>1251</v>
      </c>
      <c r="P58" s="110" t="s">
        <v>586</v>
      </c>
      <c r="Q58" s="158" t="s">
        <v>538</v>
      </c>
      <c r="R58" s="158" t="s">
        <v>538</v>
      </c>
      <c r="S58" s="110" t="n">
        <v>390</v>
      </c>
      <c r="T58" s="110" t="s">
        <v>538</v>
      </c>
      <c r="U58" s="110" t="s">
        <v>538</v>
      </c>
      <c r="V58" s="3"/>
      <c r="W58" s="3"/>
      <c r="X58" s="3"/>
      <c r="Y58" s="3"/>
      <c r="Z58" s="3"/>
      <c r="AA58" s="3"/>
      <c r="AB58" s="3"/>
      <c r="AC58" s="3"/>
    </row>
    <row r="59" customFormat="false" ht="75" hidden="false" customHeight="true" outlineLevel="0" collapsed="false">
      <c r="A59" s="3"/>
      <c r="B59" s="139" t="s">
        <v>7144</v>
      </c>
      <c r="C59" s="109" t="s">
        <v>342</v>
      </c>
      <c r="D59" s="109" t="s">
        <v>1253</v>
      </c>
      <c r="E59" s="109" t="s">
        <v>733</v>
      </c>
      <c r="F59" s="113" t="s">
        <v>1255</v>
      </c>
      <c r="G59" s="92" t="n">
        <v>463</v>
      </c>
      <c r="H59" s="91" t="s">
        <v>333</v>
      </c>
      <c r="I59" s="91" t="s">
        <v>590</v>
      </c>
      <c r="J59" s="155" t="n">
        <v>0.21</v>
      </c>
      <c r="K59" s="144" t="n">
        <v>1</v>
      </c>
      <c r="L59" s="91" t="s">
        <v>632</v>
      </c>
      <c r="M59" s="156" t="n">
        <v>463</v>
      </c>
      <c r="N59" s="109" t="s">
        <v>702</v>
      </c>
      <c r="O59" s="109" t="s">
        <v>1254</v>
      </c>
      <c r="P59" s="109" t="s">
        <v>586</v>
      </c>
      <c r="Q59" s="156" t="s">
        <v>538</v>
      </c>
      <c r="R59" s="156" t="s">
        <v>538</v>
      </c>
      <c r="S59" s="109" t="n">
        <v>463</v>
      </c>
      <c r="T59" s="109" t="s">
        <v>538</v>
      </c>
      <c r="U59" s="109" t="s">
        <v>538</v>
      </c>
      <c r="V59" s="3"/>
      <c r="W59" s="3"/>
      <c r="X59" s="3"/>
      <c r="Y59" s="3"/>
      <c r="Z59" s="3"/>
      <c r="AA59" s="3"/>
      <c r="AB59" s="3"/>
      <c r="AC59" s="3"/>
    </row>
    <row r="60" customFormat="false" ht="75" hidden="false" customHeight="true" outlineLevel="0" collapsed="false">
      <c r="A60" s="3"/>
      <c r="B60" s="141" t="s">
        <v>7144</v>
      </c>
      <c r="C60" s="110" t="s">
        <v>346</v>
      </c>
      <c r="D60" s="110" t="s">
        <v>1256</v>
      </c>
      <c r="E60" s="110" t="s">
        <v>565</v>
      </c>
      <c r="F60" s="117" t="s">
        <v>1258</v>
      </c>
      <c r="G60" s="99" t="n">
        <v>546</v>
      </c>
      <c r="H60" s="98" t="s">
        <v>333</v>
      </c>
      <c r="I60" s="98" t="s">
        <v>265</v>
      </c>
      <c r="J60" s="157" t="n">
        <v>0.21</v>
      </c>
      <c r="K60" s="146" t="n">
        <v>1</v>
      </c>
      <c r="L60" s="98" t="s">
        <v>632</v>
      </c>
      <c r="M60" s="158" t="n">
        <v>451.24</v>
      </c>
      <c r="N60" s="110" t="s">
        <v>530</v>
      </c>
      <c r="O60" s="110" t="s">
        <v>1257</v>
      </c>
      <c r="P60" s="110" t="s">
        <v>586</v>
      </c>
      <c r="Q60" s="158" t="s">
        <v>538</v>
      </c>
      <c r="R60" s="158" t="s">
        <v>538</v>
      </c>
      <c r="S60" s="110" t="n">
        <v>451.24</v>
      </c>
      <c r="T60" s="110" t="s">
        <v>538</v>
      </c>
      <c r="U60" s="110" t="s">
        <v>538</v>
      </c>
      <c r="V60" s="3"/>
      <c r="W60" s="3"/>
      <c r="X60" s="3"/>
      <c r="Y60" s="3"/>
      <c r="Z60" s="3"/>
      <c r="AA60" s="3"/>
      <c r="AB60" s="3"/>
      <c r="AC60" s="3"/>
    </row>
    <row r="61" customFormat="false" ht="75" hidden="false" customHeight="true" outlineLevel="0" collapsed="false">
      <c r="A61" s="3"/>
      <c r="B61" s="139" t="s">
        <v>7144</v>
      </c>
      <c r="C61" s="109" t="s">
        <v>361</v>
      </c>
      <c r="D61" s="109" t="s">
        <v>1259</v>
      </c>
      <c r="E61" s="109" t="s">
        <v>361</v>
      </c>
      <c r="F61" s="113" t="s">
        <v>1261</v>
      </c>
      <c r="G61" s="92" t="n">
        <v>339</v>
      </c>
      <c r="H61" s="91" t="s">
        <v>333</v>
      </c>
      <c r="I61" s="91" t="s">
        <v>265</v>
      </c>
      <c r="J61" s="155" t="n">
        <v>0.21</v>
      </c>
      <c r="K61" s="144" t="n">
        <v>1</v>
      </c>
      <c r="L61" s="91" t="s">
        <v>632</v>
      </c>
      <c r="M61" s="156" t="n">
        <v>280.17</v>
      </c>
      <c r="N61" s="109" t="s">
        <v>629</v>
      </c>
      <c r="O61" s="109" t="s">
        <v>1260</v>
      </c>
      <c r="P61" s="109" t="s">
        <v>586</v>
      </c>
      <c r="Q61" s="156" t="s">
        <v>538</v>
      </c>
      <c r="R61" s="156" t="s">
        <v>577</v>
      </c>
      <c r="S61" s="109" t="n">
        <v>280.17</v>
      </c>
      <c r="T61" s="109" t="s">
        <v>538</v>
      </c>
      <c r="U61" s="109" t="s">
        <v>577</v>
      </c>
      <c r="V61" s="3"/>
      <c r="W61" s="3"/>
      <c r="X61" s="3"/>
      <c r="Y61" s="3"/>
      <c r="Z61" s="3"/>
      <c r="AA61" s="3"/>
      <c r="AB61" s="3"/>
      <c r="AC61" s="3"/>
    </row>
    <row r="62" customFormat="false" ht="75" hidden="false" customHeight="true" outlineLevel="0" collapsed="false">
      <c r="A62" s="3"/>
      <c r="B62" s="141" t="s">
        <v>7145</v>
      </c>
      <c r="C62" s="110" t="s">
        <v>342</v>
      </c>
      <c r="D62" s="110" t="s">
        <v>1313</v>
      </c>
      <c r="E62" s="110" t="s">
        <v>361</v>
      </c>
      <c r="F62" s="117" t="s">
        <v>1315</v>
      </c>
      <c r="G62" s="99" t="n">
        <v>195</v>
      </c>
      <c r="H62" s="98" t="s">
        <v>333</v>
      </c>
      <c r="I62" s="98" t="s">
        <v>590</v>
      </c>
      <c r="J62" s="157" t="n">
        <v>0.21</v>
      </c>
      <c r="K62" s="146" t="n">
        <v>1</v>
      </c>
      <c r="L62" s="98" t="s">
        <v>632</v>
      </c>
      <c r="M62" s="158" t="n">
        <v>195</v>
      </c>
      <c r="N62" s="110" t="s">
        <v>530</v>
      </c>
      <c r="O62" s="110" t="s">
        <v>1314</v>
      </c>
      <c r="P62" s="110" t="s">
        <v>586</v>
      </c>
      <c r="Q62" s="158" t="s">
        <v>538</v>
      </c>
      <c r="R62" s="158" t="s">
        <v>538</v>
      </c>
      <c r="S62" s="110" t="n">
        <v>195</v>
      </c>
      <c r="T62" s="110" t="s">
        <v>538</v>
      </c>
      <c r="U62" s="110" t="s">
        <v>538</v>
      </c>
      <c r="V62" s="3"/>
      <c r="W62" s="3"/>
      <c r="X62" s="3"/>
      <c r="Y62" s="3"/>
      <c r="Z62" s="3"/>
      <c r="AA62" s="3"/>
      <c r="AB62" s="3"/>
      <c r="AC62" s="3"/>
    </row>
    <row r="63" customFormat="false" ht="75" hidden="false" customHeight="true" outlineLevel="0" collapsed="false">
      <c r="A63" s="3"/>
      <c r="B63" s="139" t="s">
        <v>7145</v>
      </c>
      <c r="C63" s="109" t="s">
        <v>346</v>
      </c>
      <c r="D63" s="109" t="s">
        <v>1316</v>
      </c>
      <c r="E63" s="109" t="s">
        <v>565</v>
      </c>
      <c r="F63" s="113" t="s">
        <v>1318</v>
      </c>
      <c r="G63" s="92" t="n">
        <v>324</v>
      </c>
      <c r="H63" s="91" t="s">
        <v>333</v>
      </c>
      <c r="I63" s="91" t="s">
        <v>265</v>
      </c>
      <c r="J63" s="155" t="n">
        <v>0.21</v>
      </c>
      <c r="K63" s="144" t="n">
        <v>1</v>
      </c>
      <c r="L63" s="91" t="s">
        <v>632</v>
      </c>
      <c r="M63" s="156" t="n">
        <v>267.77</v>
      </c>
      <c r="N63" s="109" t="s">
        <v>530</v>
      </c>
      <c r="O63" s="109" t="s">
        <v>1317</v>
      </c>
      <c r="P63" s="109" t="s">
        <v>586</v>
      </c>
      <c r="Q63" s="156" t="s">
        <v>538</v>
      </c>
      <c r="R63" s="156" t="s">
        <v>538</v>
      </c>
      <c r="S63" s="109" t="n">
        <v>267.77</v>
      </c>
      <c r="T63" s="109" t="s">
        <v>538</v>
      </c>
      <c r="U63" s="109" t="s">
        <v>538</v>
      </c>
      <c r="V63" s="3"/>
      <c r="W63" s="3"/>
      <c r="X63" s="3"/>
      <c r="Y63" s="3"/>
      <c r="Z63" s="3"/>
      <c r="AA63" s="3"/>
      <c r="AB63" s="3"/>
      <c r="AC63" s="3"/>
    </row>
    <row r="64" customFormat="false" ht="75" hidden="false" customHeight="true" outlineLevel="0" collapsed="false">
      <c r="A64" s="3"/>
      <c r="B64" s="141" t="s">
        <v>7145</v>
      </c>
      <c r="C64" s="110" t="s">
        <v>361</v>
      </c>
      <c r="D64" s="110" t="s">
        <v>1319</v>
      </c>
      <c r="E64" s="110" t="s">
        <v>361</v>
      </c>
      <c r="F64" s="117" t="s">
        <v>1321</v>
      </c>
      <c r="G64" s="99" t="n">
        <v>236</v>
      </c>
      <c r="H64" s="98" t="s">
        <v>333</v>
      </c>
      <c r="I64" s="98" t="s">
        <v>265</v>
      </c>
      <c r="J64" s="157" t="n">
        <v>0.21</v>
      </c>
      <c r="K64" s="146" t="n">
        <v>1</v>
      </c>
      <c r="L64" s="98" t="s">
        <v>632</v>
      </c>
      <c r="M64" s="158" t="n">
        <v>195.04</v>
      </c>
      <c r="N64" s="110" t="s">
        <v>530</v>
      </c>
      <c r="O64" s="110" t="s">
        <v>1320</v>
      </c>
      <c r="P64" s="110" t="s">
        <v>586</v>
      </c>
      <c r="Q64" s="158" t="s">
        <v>538</v>
      </c>
      <c r="R64" s="158" t="s">
        <v>538</v>
      </c>
      <c r="S64" s="110" t="n">
        <v>195.04</v>
      </c>
      <c r="T64" s="110" t="s">
        <v>538</v>
      </c>
      <c r="U64" s="110" t="s">
        <v>538</v>
      </c>
      <c r="V64" s="3"/>
      <c r="W64" s="3"/>
      <c r="X64" s="3"/>
      <c r="Y64" s="3"/>
      <c r="Z64" s="3"/>
      <c r="AA64" s="3"/>
      <c r="AB64" s="3"/>
      <c r="AC64" s="3"/>
    </row>
    <row r="65" customFormat="false" ht="75" hidden="false" customHeight="true" outlineLevel="0" collapsed="false">
      <c r="A65" s="3"/>
      <c r="B65" s="139" t="s">
        <v>7146</v>
      </c>
      <c r="C65" s="109" t="s">
        <v>354</v>
      </c>
      <c r="D65" s="109" t="s">
        <v>1362</v>
      </c>
      <c r="E65" s="109" t="s">
        <v>610</v>
      </c>
      <c r="F65" s="113" t="s">
        <v>1364</v>
      </c>
      <c r="G65" s="92" t="n">
        <v>1752.16</v>
      </c>
      <c r="H65" s="91" t="s">
        <v>333</v>
      </c>
      <c r="I65" s="91" t="s">
        <v>590</v>
      </c>
      <c r="J65" s="155" t="n">
        <v>0.19</v>
      </c>
      <c r="K65" s="144" t="n">
        <v>8</v>
      </c>
      <c r="L65" s="91" t="s">
        <v>625</v>
      </c>
      <c r="M65" s="156" t="n">
        <v>219.02</v>
      </c>
      <c r="N65" s="109" t="s">
        <v>702</v>
      </c>
      <c r="O65" s="109" t="s">
        <v>1363</v>
      </c>
      <c r="P65" s="109" t="s">
        <v>586</v>
      </c>
      <c r="Q65" s="156" t="s">
        <v>538</v>
      </c>
      <c r="R65" s="156" t="s">
        <v>538</v>
      </c>
      <c r="S65" s="109" t="n">
        <v>219.02</v>
      </c>
      <c r="T65" s="109" t="s">
        <v>538</v>
      </c>
      <c r="U65" s="109" t="s">
        <v>538</v>
      </c>
      <c r="V65" s="3"/>
      <c r="W65" s="3"/>
      <c r="X65" s="3"/>
      <c r="Y65" s="3"/>
      <c r="Z65" s="3"/>
      <c r="AA65" s="3"/>
      <c r="AB65" s="3"/>
      <c r="AC65" s="3"/>
    </row>
    <row r="66" customFormat="false" ht="75" hidden="false" customHeight="true" outlineLevel="0" collapsed="false">
      <c r="A66" s="3"/>
      <c r="B66" s="141" t="s">
        <v>7146</v>
      </c>
      <c r="C66" s="110" t="s">
        <v>332</v>
      </c>
      <c r="D66" s="110" t="s">
        <v>1250</v>
      </c>
      <c r="E66" s="110"/>
      <c r="F66" s="117" t="s">
        <v>1252</v>
      </c>
      <c r="G66" s="99" t="n">
        <v>390</v>
      </c>
      <c r="H66" s="98" t="s">
        <v>333</v>
      </c>
      <c r="I66" s="98" t="s">
        <v>590</v>
      </c>
      <c r="J66" s="157" t="n">
        <v>0.21</v>
      </c>
      <c r="K66" s="146" t="n">
        <v>1</v>
      </c>
      <c r="L66" s="98" t="s">
        <v>632</v>
      </c>
      <c r="M66" s="158" t="n">
        <v>390</v>
      </c>
      <c r="N66" s="110" t="s">
        <v>629</v>
      </c>
      <c r="O66" s="110" t="s">
        <v>1365</v>
      </c>
      <c r="P66" s="110" t="s">
        <v>586</v>
      </c>
      <c r="Q66" s="158" t="s">
        <v>538</v>
      </c>
      <c r="R66" s="158" t="s">
        <v>577</v>
      </c>
      <c r="S66" s="110" t="n">
        <v>390</v>
      </c>
      <c r="T66" s="110" t="s">
        <v>538</v>
      </c>
      <c r="U66" s="110" t="s">
        <v>577</v>
      </c>
      <c r="V66" s="3"/>
      <c r="W66" s="3"/>
      <c r="X66" s="3"/>
      <c r="Y66" s="3"/>
      <c r="Z66" s="3"/>
      <c r="AA66" s="3"/>
      <c r="AB66" s="3"/>
      <c r="AC66" s="3"/>
    </row>
    <row r="67" customFormat="false" ht="75" hidden="false" customHeight="true" outlineLevel="0" collapsed="false">
      <c r="A67" s="3"/>
      <c r="B67" s="139" t="s">
        <v>7146</v>
      </c>
      <c r="C67" s="109" t="s">
        <v>342</v>
      </c>
      <c r="D67" s="109" t="s">
        <v>1366</v>
      </c>
      <c r="E67" s="109" t="s">
        <v>646</v>
      </c>
      <c r="F67" s="113" t="s">
        <v>1368</v>
      </c>
      <c r="G67" s="92" t="n">
        <v>391</v>
      </c>
      <c r="H67" s="91" t="s">
        <v>333</v>
      </c>
      <c r="I67" s="91" t="s">
        <v>590</v>
      </c>
      <c r="J67" s="155" t="n">
        <v>0.21</v>
      </c>
      <c r="K67" s="144" t="n">
        <v>1</v>
      </c>
      <c r="L67" s="91" t="s">
        <v>632</v>
      </c>
      <c r="M67" s="156" t="n">
        <v>391</v>
      </c>
      <c r="N67" s="109" t="s">
        <v>530</v>
      </c>
      <c r="O67" s="109" t="s">
        <v>1367</v>
      </c>
      <c r="P67" s="109" t="s">
        <v>586</v>
      </c>
      <c r="Q67" s="156" t="s">
        <v>538</v>
      </c>
      <c r="R67" s="156" t="s">
        <v>538</v>
      </c>
      <c r="S67" s="109" t="n">
        <v>391</v>
      </c>
      <c r="T67" s="109" t="s">
        <v>538</v>
      </c>
      <c r="U67" s="109" t="s">
        <v>538</v>
      </c>
      <c r="V67" s="3"/>
      <c r="W67" s="3"/>
      <c r="X67" s="3"/>
      <c r="Y67" s="3"/>
      <c r="Z67" s="3"/>
      <c r="AA67" s="3"/>
      <c r="AB67" s="3"/>
      <c r="AC67" s="3"/>
    </row>
    <row r="68" customFormat="false" ht="75" hidden="false" customHeight="true" outlineLevel="0" collapsed="false">
      <c r="A68" s="3"/>
      <c r="B68" s="141" t="s">
        <v>7146</v>
      </c>
      <c r="C68" s="110" t="s">
        <v>346</v>
      </c>
      <c r="D68" s="110" t="s">
        <v>1369</v>
      </c>
      <c r="E68" s="110" t="s">
        <v>1372</v>
      </c>
      <c r="F68" s="117" t="s">
        <v>1371</v>
      </c>
      <c r="G68" s="99" t="n">
        <v>285</v>
      </c>
      <c r="H68" s="98" t="s">
        <v>333</v>
      </c>
      <c r="I68" s="98" t="s">
        <v>265</v>
      </c>
      <c r="J68" s="157" t="n">
        <v>0.21</v>
      </c>
      <c r="K68" s="146" t="n">
        <v>1</v>
      </c>
      <c r="L68" s="98" t="s">
        <v>632</v>
      </c>
      <c r="M68" s="158" t="n">
        <v>235.54</v>
      </c>
      <c r="N68" s="110" t="s">
        <v>702</v>
      </c>
      <c r="O68" s="110" t="s">
        <v>1370</v>
      </c>
      <c r="P68" s="110" t="s">
        <v>586</v>
      </c>
      <c r="Q68" s="158" t="s">
        <v>538</v>
      </c>
      <c r="R68" s="158" t="s">
        <v>538</v>
      </c>
      <c r="S68" s="110" t="n">
        <v>235.54</v>
      </c>
      <c r="T68" s="110" t="s">
        <v>538</v>
      </c>
      <c r="U68" s="110" t="s">
        <v>538</v>
      </c>
      <c r="V68" s="3"/>
      <c r="W68" s="3"/>
      <c r="X68" s="3"/>
      <c r="Y68" s="3"/>
      <c r="Z68" s="3"/>
      <c r="AA68" s="3"/>
      <c r="AB68" s="3"/>
      <c r="AC68" s="3"/>
    </row>
    <row r="69" customFormat="false" ht="75" hidden="false" customHeight="true" outlineLevel="0" collapsed="false">
      <c r="A69" s="3"/>
      <c r="B69" s="139" t="s">
        <v>7146</v>
      </c>
      <c r="C69" s="109" t="s">
        <v>361</v>
      </c>
      <c r="D69" s="109" t="s">
        <v>1259</v>
      </c>
      <c r="E69" s="109" t="s">
        <v>361</v>
      </c>
      <c r="F69" s="113" t="s">
        <v>1261</v>
      </c>
      <c r="G69" s="92" t="n">
        <v>339</v>
      </c>
      <c r="H69" s="91" t="s">
        <v>333</v>
      </c>
      <c r="I69" s="91" t="s">
        <v>265</v>
      </c>
      <c r="J69" s="155" t="n">
        <v>0.21</v>
      </c>
      <c r="K69" s="144" t="n">
        <v>1</v>
      </c>
      <c r="L69" s="91" t="s">
        <v>632</v>
      </c>
      <c r="M69" s="156" t="n">
        <v>280.17</v>
      </c>
      <c r="N69" s="109" t="s">
        <v>702</v>
      </c>
      <c r="O69" s="109" t="s">
        <v>1373</v>
      </c>
      <c r="P69" s="109" t="s">
        <v>586</v>
      </c>
      <c r="Q69" s="156" t="s">
        <v>538</v>
      </c>
      <c r="R69" s="156" t="s">
        <v>538</v>
      </c>
      <c r="S69" s="109" t="n">
        <v>280.17</v>
      </c>
      <c r="T69" s="109" t="s">
        <v>538</v>
      </c>
      <c r="U69" s="109" t="s">
        <v>538</v>
      </c>
      <c r="V69" s="3"/>
      <c r="W69" s="3"/>
      <c r="X69" s="3"/>
      <c r="Y69" s="3"/>
      <c r="Z69" s="3"/>
      <c r="AA69" s="3"/>
      <c r="AB69" s="3"/>
      <c r="AC69" s="3"/>
    </row>
    <row r="70" customFormat="false" ht="75" hidden="false" customHeight="true" outlineLevel="0" collapsed="false">
      <c r="A70" s="3"/>
      <c r="B70" s="141" t="s">
        <v>7147</v>
      </c>
      <c r="C70" s="110" t="s">
        <v>354</v>
      </c>
      <c r="D70" s="110" t="s">
        <v>1414</v>
      </c>
      <c r="E70" s="110" t="s">
        <v>642</v>
      </c>
      <c r="F70" s="117" t="s">
        <v>1416</v>
      </c>
      <c r="G70" s="99" t="n">
        <v>4088.71</v>
      </c>
      <c r="H70" s="98" t="s">
        <v>333</v>
      </c>
      <c r="I70" s="98" t="s">
        <v>590</v>
      </c>
      <c r="J70" s="157" t="n">
        <v>0.19</v>
      </c>
      <c r="K70" s="146" t="n">
        <v>1</v>
      </c>
      <c r="L70" s="98" t="s">
        <v>632</v>
      </c>
      <c r="M70" s="158" t="n">
        <v>4088.71</v>
      </c>
      <c r="N70" s="110" t="s">
        <v>530</v>
      </c>
      <c r="O70" s="110" t="s">
        <v>1415</v>
      </c>
      <c r="P70" s="110" t="s">
        <v>586</v>
      </c>
      <c r="Q70" s="158" t="s">
        <v>538</v>
      </c>
      <c r="R70" s="158" t="s">
        <v>538</v>
      </c>
      <c r="S70" s="110" t="n">
        <v>4088.71</v>
      </c>
      <c r="T70" s="110" t="s">
        <v>538</v>
      </c>
      <c r="U70" s="110" t="s">
        <v>538</v>
      </c>
      <c r="V70" s="3"/>
      <c r="W70" s="3"/>
      <c r="X70" s="3"/>
      <c r="Y70" s="3"/>
      <c r="Z70" s="3"/>
      <c r="AA70" s="3"/>
      <c r="AB70" s="3"/>
      <c r="AC70" s="3"/>
    </row>
    <row r="71" customFormat="false" ht="75" hidden="false" customHeight="true" outlineLevel="0" collapsed="false">
      <c r="A71" s="3"/>
      <c r="B71" s="139" t="s">
        <v>7147</v>
      </c>
      <c r="C71" s="109" t="s">
        <v>332</v>
      </c>
      <c r="D71" s="109" t="s">
        <v>1417</v>
      </c>
      <c r="E71" s="109" t="s">
        <v>1420</v>
      </c>
      <c r="F71" s="113" t="s">
        <v>1419</v>
      </c>
      <c r="G71" s="92" t="n">
        <v>5900</v>
      </c>
      <c r="H71" s="91" t="s">
        <v>333</v>
      </c>
      <c r="I71" s="91" t="s">
        <v>590</v>
      </c>
      <c r="J71" s="155" t="n">
        <v>0.21</v>
      </c>
      <c r="K71" s="144" t="n">
        <v>1</v>
      </c>
      <c r="L71" s="91" t="s">
        <v>632</v>
      </c>
      <c r="M71" s="156" t="n">
        <v>5900</v>
      </c>
      <c r="N71" s="109" t="s">
        <v>702</v>
      </c>
      <c r="O71" s="109" t="s">
        <v>1418</v>
      </c>
      <c r="P71" s="109" t="s">
        <v>586</v>
      </c>
      <c r="Q71" s="156" t="s">
        <v>538</v>
      </c>
      <c r="R71" s="156" t="s">
        <v>538</v>
      </c>
      <c r="S71" s="109" t="n">
        <v>5900</v>
      </c>
      <c r="T71" s="109" t="s">
        <v>538</v>
      </c>
      <c r="U71" s="109" t="s">
        <v>538</v>
      </c>
      <c r="V71" s="3"/>
      <c r="W71" s="3"/>
      <c r="X71" s="3"/>
      <c r="Y71" s="3"/>
      <c r="Z71" s="3"/>
      <c r="AA71" s="3"/>
      <c r="AB71" s="3"/>
      <c r="AC71" s="3"/>
    </row>
    <row r="72" customFormat="false" ht="75" hidden="false" customHeight="true" outlineLevel="0" collapsed="false">
      <c r="A72" s="3"/>
      <c r="B72" s="141" t="s">
        <v>7147</v>
      </c>
      <c r="C72" s="110" t="s">
        <v>342</v>
      </c>
      <c r="D72" s="110" t="s">
        <v>1421</v>
      </c>
      <c r="E72" s="110" t="s">
        <v>642</v>
      </c>
      <c r="F72" s="117" t="s">
        <v>1423</v>
      </c>
      <c r="G72" s="99" t="n">
        <v>5706</v>
      </c>
      <c r="H72" s="98" t="s">
        <v>333</v>
      </c>
      <c r="I72" s="98" t="s">
        <v>590</v>
      </c>
      <c r="J72" s="157" t="n">
        <v>0.21</v>
      </c>
      <c r="K72" s="146" t="n">
        <v>1</v>
      </c>
      <c r="L72" s="98" t="s">
        <v>632</v>
      </c>
      <c r="M72" s="158" t="n">
        <v>5706</v>
      </c>
      <c r="N72" s="110" t="s">
        <v>530</v>
      </c>
      <c r="O72" s="110" t="s">
        <v>1422</v>
      </c>
      <c r="P72" s="110" t="s">
        <v>586</v>
      </c>
      <c r="Q72" s="158" t="s">
        <v>538</v>
      </c>
      <c r="R72" s="158" t="s">
        <v>538</v>
      </c>
      <c r="S72" s="110" t="n">
        <v>5706</v>
      </c>
      <c r="T72" s="110" t="s">
        <v>538</v>
      </c>
      <c r="U72" s="110" t="s">
        <v>538</v>
      </c>
      <c r="V72" s="3"/>
      <c r="W72" s="3"/>
      <c r="X72" s="3"/>
      <c r="Y72" s="3"/>
      <c r="Z72" s="3"/>
      <c r="AA72" s="3"/>
      <c r="AB72" s="3"/>
      <c r="AC72" s="3"/>
    </row>
    <row r="73" customFormat="false" ht="75" hidden="false" customHeight="true" outlineLevel="0" collapsed="false">
      <c r="A73" s="3"/>
      <c r="B73" s="139" t="s">
        <v>7147</v>
      </c>
      <c r="C73" s="109" t="s">
        <v>346</v>
      </c>
      <c r="D73" s="109" t="s">
        <v>1424</v>
      </c>
      <c r="E73" s="109" t="s">
        <v>642</v>
      </c>
      <c r="F73" s="113" t="s">
        <v>1426</v>
      </c>
      <c r="G73" s="92" t="n">
        <v>5446</v>
      </c>
      <c r="H73" s="91" t="s">
        <v>333</v>
      </c>
      <c r="I73" s="91" t="s">
        <v>265</v>
      </c>
      <c r="J73" s="155" t="n">
        <v>0.21</v>
      </c>
      <c r="K73" s="144" t="n">
        <v>1</v>
      </c>
      <c r="L73" s="91" t="s">
        <v>632</v>
      </c>
      <c r="M73" s="156" t="n">
        <v>4500.83</v>
      </c>
      <c r="N73" s="109" t="s">
        <v>702</v>
      </c>
      <c r="O73" s="109" t="s">
        <v>1425</v>
      </c>
      <c r="P73" s="109" t="s">
        <v>586</v>
      </c>
      <c r="Q73" s="156" t="s">
        <v>538</v>
      </c>
      <c r="R73" s="156" t="s">
        <v>538</v>
      </c>
      <c r="S73" s="109" t="n">
        <v>4500.83</v>
      </c>
      <c r="T73" s="109" t="s">
        <v>538</v>
      </c>
      <c r="U73" s="109" t="s">
        <v>538</v>
      </c>
      <c r="V73" s="3"/>
      <c r="W73" s="3"/>
      <c r="X73" s="3"/>
      <c r="Y73" s="3"/>
      <c r="Z73" s="3"/>
      <c r="AA73" s="3"/>
      <c r="AB73" s="3"/>
      <c r="AC73" s="3"/>
    </row>
    <row r="74" customFormat="false" ht="75" hidden="false" customHeight="true" outlineLevel="0" collapsed="false">
      <c r="A74" s="3"/>
      <c r="B74" s="141" t="s">
        <v>7147</v>
      </c>
      <c r="C74" s="110" t="s">
        <v>361</v>
      </c>
      <c r="D74" s="110" t="s">
        <v>1427</v>
      </c>
      <c r="E74" s="110" t="s">
        <v>642</v>
      </c>
      <c r="F74" s="117" t="s">
        <v>1429</v>
      </c>
      <c r="G74" s="99" t="n">
        <v>6904</v>
      </c>
      <c r="H74" s="98" t="s">
        <v>333</v>
      </c>
      <c r="I74" s="98" t="s">
        <v>265</v>
      </c>
      <c r="J74" s="157" t="n">
        <v>0.21</v>
      </c>
      <c r="K74" s="146" t="n">
        <v>1</v>
      </c>
      <c r="L74" s="98" t="s">
        <v>632</v>
      </c>
      <c r="M74" s="158" t="n">
        <v>5705.79</v>
      </c>
      <c r="N74" s="110" t="s">
        <v>530</v>
      </c>
      <c r="O74" s="110" t="s">
        <v>1428</v>
      </c>
      <c r="P74" s="110" t="s">
        <v>586</v>
      </c>
      <c r="Q74" s="158" t="s">
        <v>538</v>
      </c>
      <c r="R74" s="158" t="s">
        <v>538</v>
      </c>
      <c r="S74" s="110" t="n">
        <v>5705.79</v>
      </c>
      <c r="T74" s="110" t="s">
        <v>538</v>
      </c>
      <c r="U74" s="110" t="s">
        <v>538</v>
      </c>
      <c r="V74" s="3"/>
      <c r="W74" s="3"/>
      <c r="X74" s="3"/>
      <c r="Y74" s="3"/>
      <c r="Z74" s="3"/>
      <c r="AA74" s="3"/>
      <c r="AB74" s="3"/>
      <c r="AC74" s="3"/>
    </row>
    <row r="75" customFormat="false" ht="75" hidden="false" customHeight="true" outlineLevel="0" collapsed="false">
      <c r="A75" s="3"/>
      <c r="B75" s="139" t="s">
        <v>7148</v>
      </c>
      <c r="C75" s="109" t="s">
        <v>354</v>
      </c>
      <c r="D75" s="109" t="s">
        <v>1472</v>
      </c>
      <c r="E75" s="109" t="s">
        <v>610</v>
      </c>
      <c r="F75" s="113" t="s">
        <v>1474</v>
      </c>
      <c r="G75" s="92" t="n">
        <v>1825.18</v>
      </c>
      <c r="H75" s="91" t="s">
        <v>333</v>
      </c>
      <c r="I75" s="91" t="s">
        <v>590</v>
      </c>
      <c r="J75" s="155" t="n">
        <v>0.19</v>
      </c>
      <c r="K75" s="144" t="n">
        <v>10</v>
      </c>
      <c r="L75" s="91" t="s">
        <v>625</v>
      </c>
      <c r="M75" s="156" t="n">
        <v>182.52</v>
      </c>
      <c r="N75" s="109" t="s">
        <v>530</v>
      </c>
      <c r="O75" s="109" t="s">
        <v>1473</v>
      </c>
      <c r="P75" s="109" t="s">
        <v>586</v>
      </c>
      <c r="Q75" s="156" t="s">
        <v>538</v>
      </c>
      <c r="R75" s="156" t="s">
        <v>538</v>
      </c>
      <c r="S75" s="109" t="n">
        <v>182.52</v>
      </c>
      <c r="T75" s="109" t="s">
        <v>538</v>
      </c>
      <c r="U75" s="109" t="s">
        <v>538</v>
      </c>
      <c r="V75" s="3"/>
      <c r="W75" s="3"/>
      <c r="X75" s="3"/>
      <c r="Y75" s="3"/>
      <c r="Z75" s="3"/>
      <c r="AA75" s="3"/>
      <c r="AB75" s="3"/>
      <c r="AC75" s="3"/>
    </row>
    <row r="76" customFormat="false" ht="75" hidden="false" customHeight="true" outlineLevel="0" collapsed="false">
      <c r="A76" s="3"/>
      <c r="B76" s="141" t="s">
        <v>7148</v>
      </c>
      <c r="C76" s="110" t="s">
        <v>332</v>
      </c>
      <c r="D76" s="110" t="s">
        <v>1475</v>
      </c>
      <c r="E76" s="110"/>
      <c r="F76" s="117" t="s">
        <v>1477</v>
      </c>
      <c r="G76" s="99" t="n">
        <v>300</v>
      </c>
      <c r="H76" s="98" t="s">
        <v>333</v>
      </c>
      <c r="I76" s="98" t="s">
        <v>590</v>
      </c>
      <c r="J76" s="157" t="n">
        <v>0.21</v>
      </c>
      <c r="K76" s="146" t="n">
        <v>1</v>
      </c>
      <c r="L76" s="98" t="s">
        <v>632</v>
      </c>
      <c r="M76" s="158" t="n">
        <v>300</v>
      </c>
      <c r="N76" s="110" t="s">
        <v>530</v>
      </c>
      <c r="O76" s="110" t="s">
        <v>1476</v>
      </c>
      <c r="P76" s="110" t="s">
        <v>586</v>
      </c>
      <c r="Q76" s="158" t="s">
        <v>538</v>
      </c>
      <c r="R76" s="158" t="s">
        <v>538</v>
      </c>
      <c r="S76" s="110" t="n">
        <v>300</v>
      </c>
      <c r="T76" s="110" t="s">
        <v>538</v>
      </c>
      <c r="U76" s="110" t="s">
        <v>538</v>
      </c>
      <c r="V76" s="3"/>
      <c r="W76" s="3"/>
      <c r="X76" s="3"/>
      <c r="Y76" s="3"/>
      <c r="Z76" s="3"/>
      <c r="AA76" s="3"/>
      <c r="AB76" s="3"/>
      <c r="AC76" s="3"/>
    </row>
    <row r="77" customFormat="false" ht="75" hidden="false" customHeight="true" outlineLevel="0" collapsed="false">
      <c r="A77" s="3"/>
      <c r="B77" s="139" t="s">
        <v>7148</v>
      </c>
      <c r="C77" s="109" t="s">
        <v>342</v>
      </c>
      <c r="D77" s="109" t="s">
        <v>1478</v>
      </c>
      <c r="E77" s="109" t="s">
        <v>642</v>
      </c>
      <c r="F77" s="113" t="s">
        <v>1480</v>
      </c>
      <c r="G77" s="92" t="n">
        <v>239</v>
      </c>
      <c r="H77" s="91" t="s">
        <v>333</v>
      </c>
      <c r="I77" s="91" t="s">
        <v>590</v>
      </c>
      <c r="J77" s="155" t="n">
        <v>0.21</v>
      </c>
      <c r="K77" s="144" t="n">
        <v>1</v>
      </c>
      <c r="L77" s="91" t="s">
        <v>632</v>
      </c>
      <c r="M77" s="156" t="n">
        <v>239</v>
      </c>
      <c r="N77" s="109" t="s">
        <v>629</v>
      </c>
      <c r="O77" s="109" t="s">
        <v>1479</v>
      </c>
      <c r="P77" s="109" t="s">
        <v>586</v>
      </c>
      <c r="Q77" s="156" t="s">
        <v>538</v>
      </c>
      <c r="R77" s="156" t="s">
        <v>577</v>
      </c>
      <c r="S77" s="109" t="n">
        <v>239</v>
      </c>
      <c r="T77" s="109" t="s">
        <v>538</v>
      </c>
      <c r="U77" s="109" t="s">
        <v>577</v>
      </c>
      <c r="V77" s="3"/>
      <c r="W77" s="3"/>
      <c r="X77" s="3"/>
      <c r="Y77" s="3"/>
      <c r="Z77" s="3"/>
      <c r="AA77" s="3"/>
      <c r="AB77" s="3"/>
      <c r="AC77" s="3"/>
    </row>
    <row r="78" customFormat="false" ht="75" hidden="false" customHeight="true" outlineLevel="0" collapsed="false">
      <c r="A78" s="3"/>
      <c r="B78" s="141" t="s">
        <v>7148</v>
      </c>
      <c r="C78" s="110" t="s">
        <v>346</v>
      </c>
      <c r="D78" s="110" t="s">
        <v>1481</v>
      </c>
      <c r="E78" s="110" t="s">
        <v>642</v>
      </c>
      <c r="F78" s="117" t="s">
        <v>1483</v>
      </c>
      <c r="G78" s="99" t="n">
        <v>575</v>
      </c>
      <c r="H78" s="98" t="s">
        <v>333</v>
      </c>
      <c r="I78" s="98" t="s">
        <v>265</v>
      </c>
      <c r="J78" s="157" t="n">
        <v>0.21</v>
      </c>
      <c r="K78" s="146" t="n">
        <v>1</v>
      </c>
      <c r="L78" s="98" t="s">
        <v>632</v>
      </c>
      <c r="M78" s="158" t="n">
        <v>475.21</v>
      </c>
      <c r="N78" s="110" t="s">
        <v>629</v>
      </c>
      <c r="O78" s="110" t="s">
        <v>1482</v>
      </c>
      <c r="P78" s="110" t="s">
        <v>586</v>
      </c>
      <c r="Q78" s="158" t="s">
        <v>538</v>
      </c>
      <c r="R78" s="158" t="s">
        <v>577</v>
      </c>
      <c r="S78" s="110" t="n">
        <v>475.21</v>
      </c>
      <c r="T78" s="110" t="s">
        <v>538</v>
      </c>
      <c r="U78" s="110" t="s">
        <v>577</v>
      </c>
      <c r="V78" s="3"/>
      <c r="W78" s="3"/>
      <c r="X78" s="3"/>
      <c r="Y78" s="3"/>
      <c r="Z78" s="3"/>
      <c r="AA78" s="3"/>
      <c r="AB78" s="3"/>
      <c r="AC78" s="3"/>
    </row>
    <row r="79" customFormat="false" ht="75" hidden="false" customHeight="true" outlineLevel="0" collapsed="false">
      <c r="A79" s="3"/>
      <c r="B79" s="139" t="s">
        <v>7148</v>
      </c>
      <c r="C79" s="109" t="s">
        <v>361</v>
      </c>
      <c r="D79" s="109" t="s">
        <v>1484</v>
      </c>
      <c r="E79" s="109" t="s">
        <v>642</v>
      </c>
      <c r="F79" s="113" t="s">
        <v>1486</v>
      </c>
      <c r="G79" s="92" t="n">
        <v>289</v>
      </c>
      <c r="H79" s="91" t="s">
        <v>333</v>
      </c>
      <c r="I79" s="91" t="s">
        <v>265</v>
      </c>
      <c r="J79" s="155" t="n">
        <v>0.21</v>
      </c>
      <c r="K79" s="144" t="n">
        <v>1</v>
      </c>
      <c r="L79" s="91" t="s">
        <v>632</v>
      </c>
      <c r="M79" s="156" t="n">
        <v>238.84</v>
      </c>
      <c r="N79" s="109" t="s">
        <v>629</v>
      </c>
      <c r="O79" s="109" t="s">
        <v>1485</v>
      </c>
      <c r="P79" s="109" t="s">
        <v>586</v>
      </c>
      <c r="Q79" s="156" t="s">
        <v>538</v>
      </c>
      <c r="R79" s="156" t="s">
        <v>577</v>
      </c>
      <c r="S79" s="109" t="n">
        <v>238.84</v>
      </c>
      <c r="T79" s="109" t="s">
        <v>538</v>
      </c>
      <c r="U79" s="109" t="s">
        <v>577</v>
      </c>
      <c r="V79" s="3"/>
      <c r="W79" s="3"/>
      <c r="X79" s="3"/>
      <c r="Y79" s="3"/>
      <c r="Z79" s="3"/>
      <c r="AA79" s="3"/>
      <c r="AB79" s="3"/>
      <c r="AC79" s="3"/>
    </row>
    <row r="80" customFormat="false" ht="75" hidden="false" customHeight="true" outlineLevel="0" collapsed="false">
      <c r="A80" s="3"/>
      <c r="B80" s="141" t="s">
        <v>6478</v>
      </c>
      <c r="C80" s="110" t="s">
        <v>346</v>
      </c>
      <c r="D80" s="110" t="s">
        <v>1524</v>
      </c>
      <c r="E80" s="110" t="s">
        <v>1527</v>
      </c>
      <c r="F80" s="117" t="s">
        <v>1526</v>
      </c>
      <c r="G80" s="99" t="n">
        <v>2150</v>
      </c>
      <c r="H80" s="98" t="s">
        <v>333</v>
      </c>
      <c r="I80" s="98" t="s">
        <v>265</v>
      </c>
      <c r="J80" s="157" t="n">
        <v>0.21</v>
      </c>
      <c r="K80" s="146" t="n">
        <v>1</v>
      </c>
      <c r="L80" s="98" t="s">
        <v>632</v>
      </c>
      <c r="M80" s="158" t="n">
        <v>1776.86</v>
      </c>
      <c r="N80" s="110" t="s">
        <v>629</v>
      </c>
      <c r="O80" s="110" t="s">
        <v>1525</v>
      </c>
      <c r="P80" s="110" t="s">
        <v>586</v>
      </c>
      <c r="Q80" s="158" t="s">
        <v>538</v>
      </c>
      <c r="R80" s="158" t="s">
        <v>577</v>
      </c>
      <c r="S80" s="110" t="n">
        <v>1776.86</v>
      </c>
      <c r="T80" s="110" t="s">
        <v>538</v>
      </c>
      <c r="U80" s="110" t="s">
        <v>577</v>
      </c>
      <c r="V80" s="3"/>
      <c r="W80" s="3"/>
      <c r="X80" s="3"/>
      <c r="Y80" s="3"/>
      <c r="Z80" s="3"/>
      <c r="AA80" s="3"/>
      <c r="AB80" s="3"/>
      <c r="AC80" s="3"/>
    </row>
    <row r="81" customFormat="false" ht="30.75" hidden="false" customHeight="true" outlineLevel="0" collapsed="false">
      <c r="A81" s="3"/>
      <c r="B81" s="9"/>
      <c r="C81" s="9"/>
      <c r="D81" s="9"/>
      <c r="E81" s="9"/>
      <c r="F81" s="9"/>
      <c r="G81" s="10"/>
      <c r="H81" s="10"/>
      <c r="I81" s="10"/>
      <c r="J81" s="10"/>
      <c r="K81" s="10"/>
      <c r="L81" s="10"/>
      <c r="M81" s="9"/>
      <c r="N81" s="9"/>
      <c r="O81" s="9"/>
      <c r="P81" s="9"/>
      <c r="Q81" s="9"/>
      <c r="R81" s="9"/>
      <c r="S81" s="9"/>
      <c r="T81" s="9"/>
      <c r="U81" s="9"/>
      <c r="V81" s="3"/>
      <c r="W81" s="3"/>
      <c r="X81" s="3"/>
      <c r="Y81" s="3"/>
      <c r="Z81" s="3"/>
      <c r="AA81" s="3"/>
      <c r="AB81" s="3"/>
      <c r="AC81" s="3"/>
    </row>
    <row r="82" customFormat="false" ht="30.75" hidden="false" customHeight="true" outlineLevel="0" collapsed="false">
      <c r="A82" s="3"/>
      <c r="B82" s="9"/>
      <c r="C82" s="9"/>
      <c r="D82" s="9"/>
      <c r="E82" s="9"/>
      <c r="F82" s="9"/>
      <c r="G82" s="10"/>
      <c r="H82" s="10"/>
      <c r="I82" s="10"/>
      <c r="J82" s="10"/>
      <c r="K82" s="10"/>
      <c r="L82" s="10"/>
      <c r="M82" s="9"/>
      <c r="N82" s="9"/>
      <c r="O82" s="9"/>
      <c r="P82" s="9"/>
      <c r="Q82" s="9"/>
      <c r="R82" s="9"/>
      <c r="S82" s="9"/>
      <c r="T82" s="9"/>
      <c r="U82" s="9"/>
      <c r="V82" s="3"/>
      <c r="W82" s="3"/>
      <c r="X82" s="3"/>
      <c r="Y82" s="3"/>
      <c r="Z82" s="3"/>
      <c r="AA82" s="3"/>
      <c r="AB82" s="3"/>
      <c r="AC82" s="3"/>
    </row>
    <row r="83" customFormat="false" ht="30.75" hidden="false" customHeight="true" outlineLevel="0" collapsed="false">
      <c r="A83" s="3"/>
      <c r="B83" s="9"/>
      <c r="C83" s="9"/>
      <c r="D83" s="9"/>
      <c r="E83" s="9"/>
      <c r="F83" s="9"/>
      <c r="G83" s="10"/>
      <c r="H83" s="10"/>
      <c r="I83" s="10"/>
      <c r="J83" s="10"/>
      <c r="K83" s="10"/>
      <c r="L83" s="10"/>
      <c r="M83" s="9"/>
      <c r="N83" s="9"/>
      <c r="O83" s="9"/>
      <c r="P83" s="9"/>
      <c r="Q83" s="9"/>
      <c r="R83" s="9"/>
      <c r="S83" s="9"/>
      <c r="T83" s="9"/>
      <c r="U83" s="9"/>
      <c r="V83" s="3"/>
      <c r="W83" s="3"/>
      <c r="X83" s="3"/>
      <c r="Y83" s="3"/>
      <c r="Z83" s="3"/>
      <c r="AA83" s="3"/>
      <c r="AB83" s="3"/>
      <c r="AC83" s="3"/>
    </row>
    <row r="84" customFormat="false" ht="25.5" hidden="false" customHeight="true" outlineLevel="0" collapsed="false">
      <c r="A84" s="3"/>
      <c r="B84" s="133" t="s">
        <v>6926</v>
      </c>
      <c r="C84" s="133"/>
      <c r="D84" s="133"/>
      <c r="E84" s="133"/>
      <c r="F84" s="133"/>
      <c r="G84" s="40"/>
      <c r="H84" s="40"/>
      <c r="I84" s="10"/>
      <c r="J84" s="10"/>
      <c r="K84" s="10"/>
      <c r="L84" s="10"/>
      <c r="M84" s="9"/>
      <c r="N84" s="9"/>
      <c r="O84" s="9"/>
      <c r="P84" s="9"/>
      <c r="Q84" s="9"/>
      <c r="R84" s="9"/>
      <c r="S84" s="9"/>
      <c r="T84" s="9"/>
      <c r="U84" s="9"/>
      <c r="V84" s="3"/>
      <c r="W84" s="3"/>
      <c r="X84" s="3"/>
      <c r="Y84" s="3"/>
      <c r="Z84" s="3"/>
      <c r="AA84" s="3"/>
      <c r="AB84" s="3"/>
      <c r="AC84" s="3"/>
    </row>
    <row r="85" customFormat="false" ht="36" hidden="false" customHeight="true" outlineLevel="0" collapsed="false">
      <c r="A85" s="3"/>
      <c r="B85" s="123" t="s">
        <v>6927</v>
      </c>
      <c r="C85" s="22" t="s">
        <v>6928</v>
      </c>
      <c r="D85" s="22" t="s">
        <v>7149</v>
      </c>
      <c r="E85" s="22" t="s">
        <v>6930</v>
      </c>
      <c r="F85" s="22" t="s">
        <v>7150</v>
      </c>
      <c r="G85" s="22" t="s">
        <v>7151</v>
      </c>
      <c r="H85" s="22" t="s">
        <v>7152</v>
      </c>
      <c r="I85" s="22" t="s">
        <v>7153</v>
      </c>
      <c r="J85" s="22" t="s">
        <v>7154</v>
      </c>
      <c r="K85" s="22" t="s">
        <v>7155</v>
      </c>
      <c r="L85" s="22" t="s">
        <v>7156</v>
      </c>
      <c r="M85" s="22" t="s">
        <v>7157</v>
      </c>
      <c r="N85" s="22" t="s">
        <v>240</v>
      </c>
      <c r="O85" s="22" t="s">
        <v>7158</v>
      </c>
      <c r="P85" s="9"/>
      <c r="Q85" s="9"/>
      <c r="R85" s="9"/>
      <c r="S85" s="9"/>
      <c r="T85" s="9"/>
      <c r="U85" s="9"/>
      <c r="V85" s="3"/>
      <c r="W85" s="3"/>
      <c r="X85" s="3"/>
      <c r="Y85" s="3"/>
      <c r="Z85" s="3"/>
      <c r="AA85" s="3"/>
      <c r="AB85" s="3"/>
      <c r="AC85" s="3"/>
    </row>
    <row r="86" customFormat="false" ht="139.5" hidden="false" customHeight="true" outlineLevel="0" collapsed="false">
      <c r="A86" s="3"/>
      <c r="B86" s="139" t="s">
        <v>361</v>
      </c>
      <c r="C86" s="113" t="s">
        <v>7159</v>
      </c>
      <c r="D86" s="109" t="s">
        <v>6946</v>
      </c>
      <c r="E86" s="109" t="s">
        <v>7160</v>
      </c>
      <c r="F86" s="109" t="s">
        <v>7161</v>
      </c>
      <c r="G86" s="91" t="s">
        <v>7162</v>
      </c>
      <c r="H86" s="91" t="s">
        <v>7163</v>
      </c>
      <c r="I86" s="91" t="s">
        <v>7164</v>
      </c>
      <c r="J86" s="91" t="s">
        <v>7165</v>
      </c>
      <c r="K86" s="91" t="s">
        <v>7166</v>
      </c>
      <c r="L86" s="159" t="s">
        <v>7167</v>
      </c>
      <c r="M86" s="156" t="s">
        <v>538</v>
      </c>
      <c r="N86" s="109" t="s">
        <v>7168</v>
      </c>
      <c r="O86" s="109" t="s">
        <v>538</v>
      </c>
      <c r="P86" s="9"/>
      <c r="Q86" s="9"/>
      <c r="R86" s="9"/>
      <c r="S86" s="9"/>
      <c r="T86" s="9"/>
      <c r="U86" s="9"/>
      <c r="V86" s="3"/>
      <c r="W86" s="3"/>
      <c r="X86" s="3"/>
      <c r="Y86" s="3"/>
      <c r="Z86" s="3"/>
      <c r="AA86" s="3"/>
      <c r="AB86" s="3"/>
      <c r="AC86" s="3"/>
    </row>
    <row r="87" customFormat="false" ht="204.75" hidden="false" customHeight="true" outlineLevel="0" collapsed="false">
      <c r="A87" s="3"/>
      <c r="B87" s="141" t="s">
        <v>332</v>
      </c>
      <c r="C87" s="117" t="s">
        <v>7169</v>
      </c>
      <c r="D87" s="110" t="s">
        <v>6946</v>
      </c>
      <c r="E87" s="110" t="s">
        <v>7170</v>
      </c>
      <c r="F87" s="110" t="s">
        <v>7171</v>
      </c>
      <c r="G87" s="98" t="s">
        <v>7172</v>
      </c>
      <c r="H87" s="98" t="s">
        <v>7173</v>
      </c>
      <c r="I87" s="98" t="s">
        <v>7174</v>
      </c>
      <c r="J87" s="98" t="s">
        <v>7175</v>
      </c>
      <c r="K87" s="98" t="s">
        <v>7176</v>
      </c>
      <c r="L87" s="160" t="s">
        <v>7177</v>
      </c>
      <c r="M87" s="158" t="s">
        <v>538</v>
      </c>
      <c r="N87" s="110" t="s">
        <v>7178</v>
      </c>
      <c r="O87" s="110" t="s">
        <v>538</v>
      </c>
      <c r="P87" s="9"/>
      <c r="Q87" s="9"/>
      <c r="R87" s="9"/>
      <c r="S87" s="9"/>
      <c r="T87" s="9"/>
      <c r="U87" s="9"/>
      <c r="V87" s="3"/>
      <c r="W87" s="3"/>
      <c r="X87" s="3"/>
      <c r="Y87" s="3"/>
      <c r="Z87" s="3"/>
      <c r="AA87" s="3"/>
      <c r="AB87" s="3"/>
      <c r="AC87" s="3"/>
    </row>
    <row r="88" customFormat="false" ht="178.5" hidden="false" customHeight="true" outlineLevel="0" collapsed="false">
      <c r="A88" s="3"/>
      <c r="B88" s="139" t="s">
        <v>346</v>
      </c>
      <c r="C88" s="113" t="s">
        <v>7179</v>
      </c>
      <c r="D88" s="109" t="s">
        <v>6946</v>
      </c>
      <c r="E88" s="109" t="s">
        <v>7180</v>
      </c>
      <c r="F88" s="109" t="s">
        <v>7181</v>
      </c>
      <c r="G88" s="91" t="s">
        <v>7182</v>
      </c>
      <c r="H88" s="91" t="s">
        <v>7183</v>
      </c>
      <c r="I88" s="91" t="s">
        <v>7184</v>
      </c>
      <c r="J88" s="91" t="s">
        <v>7185</v>
      </c>
      <c r="K88" s="91" t="s">
        <v>7166</v>
      </c>
      <c r="L88" s="159" t="s">
        <v>7186</v>
      </c>
      <c r="M88" s="156" t="s">
        <v>538</v>
      </c>
      <c r="N88" s="109" t="s">
        <v>7187</v>
      </c>
      <c r="O88" s="109" t="s">
        <v>538</v>
      </c>
      <c r="P88" s="9"/>
      <c r="Q88" s="9"/>
      <c r="R88" s="9"/>
      <c r="S88" s="9"/>
      <c r="T88" s="9"/>
      <c r="U88" s="9"/>
      <c r="V88" s="3"/>
      <c r="W88" s="3"/>
      <c r="X88" s="3"/>
      <c r="Y88" s="3"/>
      <c r="Z88" s="3"/>
      <c r="AA88" s="3"/>
      <c r="AB88" s="3"/>
      <c r="AC88" s="3"/>
    </row>
    <row r="89" customFormat="false" ht="243.75" hidden="false" customHeight="true" outlineLevel="0" collapsed="false">
      <c r="A89" s="3"/>
      <c r="B89" s="141" t="s">
        <v>342</v>
      </c>
      <c r="C89" s="117" t="s">
        <v>7188</v>
      </c>
      <c r="D89" s="110" t="s">
        <v>6946</v>
      </c>
      <c r="E89" s="110" t="s">
        <v>7189</v>
      </c>
      <c r="F89" s="110" t="s">
        <v>7190</v>
      </c>
      <c r="G89" s="98" t="s">
        <v>7191</v>
      </c>
      <c r="H89" s="98" t="s">
        <v>7192</v>
      </c>
      <c r="I89" s="98" t="s">
        <v>7193</v>
      </c>
      <c r="J89" s="98" t="s">
        <v>7194</v>
      </c>
      <c r="K89" s="98" t="s">
        <v>7195</v>
      </c>
      <c r="L89" s="160" t="s">
        <v>7196</v>
      </c>
      <c r="M89" s="158" t="s">
        <v>538</v>
      </c>
      <c r="N89" s="110" t="s">
        <v>7197</v>
      </c>
      <c r="O89" s="110" t="s">
        <v>538</v>
      </c>
      <c r="P89" s="9"/>
      <c r="Q89" s="9"/>
      <c r="R89" s="9"/>
      <c r="S89" s="9"/>
      <c r="T89" s="9"/>
      <c r="U89" s="9"/>
      <c r="V89" s="3"/>
      <c r="W89" s="3"/>
      <c r="X89" s="3"/>
      <c r="Y89" s="3"/>
      <c r="Z89" s="3"/>
      <c r="AA89" s="3"/>
      <c r="AB89" s="3"/>
      <c r="AC89" s="3"/>
    </row>
    <row r="90" customFormat="false" ht="321.75" hidden="false" customHeight="true" outlineLevel="0" collapsed="false">
      <c r="A90" s="3"/>
      <c r="B90" s="139" t="s">
        <v>354</v>
      </c>
      <c r="C90" s="113" t="s">
        <v>7198</v>
      </c>
      <c r="D90" s="109" t="s">
        <v>6935</v>
      </c>
      <c r="E90" s="109" t="s">
        <v>7199</v>
      </c>
      <c r="F90" s="109" t="s">
        <v>7200</v>
      </c>
      <c r="G90" s="91" t="s">
        <v>7201</v>
      </c>
      <c r="H90" s="91" t="s">
        <v>7202</v>
      </c>
      <c r="I90" s="91" t="s">
        <v>7203</v>
      </c>
      <c r="J90" s="91" t="s">
        <v>7204</v>
      </c>
      <c r="K90" s="91" t="s">
        <v>7205</v>
      </c>
      <c r="L90" s="159" t="s">
        <v>7206</v>
      </c>
      <c r="M90" s="156" t="s">
        <v>538</v>
      </c>
      <c r="N90" s="109" t="s">
        <v>7207</v>
      </c>
      <c r="O90" s="109" t="s">
        <v>538</v>
      </c>
      <c r="P90" s="9"/>
      <c r="Q90" s="9"/>
      <c r="R90" s="9"/>
      <c r="S90" s="9"/>
      <c r="T90" s="9"/>
      <c r="U90" s="9"/>
      <c r="V90" s="3"/>
      <c r="W90" s="3"/>
      <c r="X90" s="3"/>
      <c r="Y90" s="3"/>
      <c r="Z90" s="3"/>
      <c r="AA90" s="3"/>
      <c r="AB90" s="3"/>
      <c r="AC90" s="3"/>
    </row>
    <row r="91" customFormat="false" ht="178.5" hidden="false" customHeight="true" outlineLevel="0" collapsed="false">
      <c r="A91" s="3"/>
      <c r="B91" s="141" t="s">
        <v>7208</v>
      </c>
      <c r="C91" s="117" t="s">
        <v>7209</v>
      </c>
      <c r="D91" s="110" t="s">
        <v>6946</v>
      </c>
      <c r="E91" s="110" t="s">
        <v>7210</v>
      </c>
      <c r="F91" s="110" t="s">
        <v>7211</v>
      </c>
      <c r="G91" s="98" t="s">
        <v>7212</v>
      </c>
      <c r="H91" s="98" t="s">
        <v>7213</v>
      </c>
      <c r="I91" s="98" t="s">
        <v>7214</v>
      </c>
      <c r="J91" s="98" t="s">
        <v>7214</v>
      </c>
      <c r="K91" s="98" t="s">
        <v>7215</v>
      </c>
      <c r="L91" s="160" t="s">
        <v>7216</v>
      </c>
      <c r="M91" s="110" t="s">
        <v>577</v>
      </c>
      <c r="N91" s="110" t="s">
        <v>7217</v>
      </c>
      <c r="O91" s="110" t="s">
        <v>577</v>
      </c>
      <c r="P91" s="9"/>
      <c r="Q91" s="9"/>
      <c r="R91" s="9"/>
      <c r="S91" s="9"/>
      <c r="T91" s="9"/>
      <c r="U91" s="9"/>
      <c r="V91" s="3"/>
      <c r="W91" s="3"/>
      <c r="X91" s="3"/>
      <c r="Y91" s="3"/>
      <c r="Z91" s="3"/>
      <c r="AA91" s="3"/>
      <c r="AB91" s="3"/>
      <c r="AC91" s="3"/>
    </row>
    <row r="92" customFormat="false" ht="282.75" hidden="false" customHeight="true" outlineLevel="0" collapsed="false">
      <c r="A92" s="3"/>
      <c r="B92" s="139" t="s">
        <v>7218</v>
      </c>
      <c r="C92" s="113" t="s">
        <v>7219</v>
      </c>
      <c r="D92" s="109" t="s">
        <v>6946</v>
      </c>
      <c r="E92" s="109" t="s">
        <v>7220</v>
      </c>
      <c r="F92" s="109" t="s">
        <v>7221</v>
      </c>
      <c r="G92" s="91" t="s">
        <v>376</v>
      </c>
      <c r="H92" s="91" t="s">
        <v>376</v>
      </c>
      <c r="I92" s="91" t="s">
        <v>376</v>
      </c>
      <c r="J92" s="91" t="s">
        <v>376</v>
      </c>
      <c r="K92" s="91" t="s">
        <v>376</v>
      </c>
      <c r="L92" s="159" t="s">
        <v>7219</v>
      </c>
      <c r="M92" s="109" t="s">
        <v>577</v>
      </c>
      <c r="N92" s="109" t="s">
        <v>7222</v>
      </c>
      <c r="O92" s="109" t="s">
        <v>577</v>
      </c>
      <c r="P92" s="9"/>
      <c r="Q92" s="9"/>
      <c r="R92" s="9"/>
      <c r="S92" s="9"/>
      <c r="T92" s="9"/>
      <c r="U92" s="9"/>
      <c r="V92" s="3"/>
      <c r="W92" s="3"/>
      <c r="X92" s="3"/>
      <c r="Y92" s="3"/>
      <c r="Z92" s="3"/>
      <c r="AA92" s="3"/>
      <c r="AB92" s="3"/>
      <c r="AC92" s="3"/>
    </row>
    <row r="93" customFormat="false" ht="30.75" hidden="false" customHeight="true" outlineLevel="0" collapsed="false">
      <c r="A93" s="3"/>
      <c r="B93" s="9"/>
      <c r="C93" s="9"/>
      <c r="D93" s="9"/>
      <c r="E93" s="9"/>
      <c r="F93" s="9"/>
      <c r="G93" s="10"/>
      <c r="H93" s="10"/>
      <c r="I93" s="10"/>
      <c r="J93" s="10"/>
      <c r="K93" s="10"/>
      <c r="L93" s="10"/>
      <c r="M93" s="9"/>
      <c r="N93" s="9"/>
      <c r="O93" s="9"/>
      <c r="P93" s="9"/>
      <c r="Q93" s="9"/>
      <c r="R93" s="9"/>
      <c r="S93" s="9"/>
      <c r="T93" s="9"/>
      <c r="U93" s="9"/>
      <c r="V93" s="3"/>
      <c r="W93" s="3"/>
      <c r="X93" s="3"/>
      <c r="Y93" s="3"/>
      <c r="Z93" s="3"/>
      <c r="AA93" s="3"/>
      <c r="AB93" s="3"/>
      <c r="AC93" s="3"/>
    </row>
    <row r="94" customFormat="false" ht="30.75" hidden="false" customHeight="true" outlineLevel="0" collapsed="false">
      <c r="A94" s="3"/>
      <c r="B94" s="9"/>
      <c r="C94" s="9"/>
      <c r="D94" s="9"/>
      <c r="E94" s="9"/>
      <c r="F94" s="9"/>
      <c r="G94" s="10"/>
      <c r="H94" s="10"/>
      <c r="I94" s="10"/>
      <c r="J94" s="10"/>
      <c r="K94" s="10"/>
      <c r="L94" s="10"/>
      <c r="M94" s="9"/>
      <c r="N94" s="9"/>
      <c r="O94" s="9"/>
      <c r="P94" s="9"/>
      <c r="Q94" s="9"/>
      <c r="R94" s="9"/>
      <c r="S94" s="9"/>
      <c r="T94" s="9"/>
      <c r="U94" s="9"/>
      <c r="V94" s="3"/>
      <c r="W94" s="3"/>
      <c r="X94" s="3"/>
      <c r="Y94" s="3"/>
      <c r="Z94" s="3"/>
      <c r="AA94" s="3"/>
      <c r="AB94" s="3"/>
      <c r="AC94" s="3"/>
    </row>
    <row r="95" customFormat="false" ht="30.75" hidden="false" customHeight="true" outlineLevel="0" collapsed="false">
      <c r="A95" s="3"/>
      <c r="B95" s="9"/>
      <c r="C95" s="9"/>
      <c r="D95" s="9"/>
      <c r="E95" s="9"/>
      <c r="F95" s="9"/>
      <c r="G95" s="10"/>
      <c r="H95" s="10"/>
      <c r="I95" s="10"/>
      <c r="J95" s="10"/>
      <c r="K95" s="10"/>
      <c r="L95" s="10"/>
      <c r="M95" s="9"/>
      <c r="N95" s="9"/>
      <c r="O95" s="9"/>
      <c r="P95" s="9"/>
      <c r="Q95" s="9"/>
      <c r="R95" s="9"/>
      <c r="S95" s="9"/>
      <c r="T95" s="9"/>
      <c r="U95" s="9"/>
      <c r="V95" s="3"/>
      <c r="W95" s="3"/>
      <c r="X95" s="3"/>
      <c r="Y95" s="3"/>
      <c r="Z95" s="3"/>
      <c r="AA95" s="3"/>
      <c r="AB95" s="3"/>
      <c r="AC95" s="3"/>
    </row>
    <row r="96" customFormat="false" ht="25.5" hidden="false" customHeight="true" outlineLevel="0" collapsed="false">
      <c r="A96" s="3"/>
      <c r="B96" s="133" t="s">
        <v>6970</v>
      </c>
      <c r="C96" s="133"/>
      <c r="D96" s="133"/>
      <c r="E96" s="133"/>
      <c r="F96" s="133"/>
      <c r="G96" s="40"/>
      <c r="H96" s="40"/>
      <c r="I96" s="10"/>
      <c r="J96" s="10"/>
      <c r="K96" s="10"/>
      <c r="L96" s="10"/>
      <c r="M96" s="9"/>
      <c r="N96" s="9"/>
      <c r="O96" s="9"/>
      <c r="P96" s="9"/>
      <c r="Q96" s="9"/>
      <c r="R96" s="9"/>
      <c r="S96" s="9"/>
      <c r="T96" s="9"/>
      <c r="U96" s="9"/>
      <c r="V96" s="3"/>
      <c r="W96" s="3"/>
      <c r="X96" s="3"/>
      <c r="Y96" s="3"/>
      <c r="Z96" s="3"/>
      <c r="AA96" s="3"/>
      <c r="AB96" s="3"/>
      <c r="AC96" s="3"/>
    </row>
    <row r="97" customFormat="false" ht="36" hidden="false" customHeight="true" outlineLevel="0" collapsed="false">
      <c r="A97" s="3"/>
      <c r="B97" s="152" t="s">
        <v>7223</v>
      </c>
      <c r="C97" s="23" t="s">
        <v>7224</v>
      </c>
      <c r="D97" s="23" t="s">
        <v>7225</v>
      </c>
      <c r="E97" s="23" t="s">
        <v>7226</v>
      </c>
      <c r="F97" s="23" t="s">
        <v>7227</v>
      </c>
      <c r="G97" s="23" t="s">
        <v>7228</v>
      </c>
      <c r="H97" s="23" t="s">
        <v>7229</v>
      </c>
      <c r="I97" s="23" t="s">
        <v>7230</v>
      </c>
      <c r="J97" s="23" t="s">
        <v>7231</v>
      </c>
      <c r="K97" s="10"/>
      <c r="L97" s="10"/>
      <c r="M97" s="9"/>
      <c r="N97" s="9"/>
      <c r="O97" s="9"/>
      <c r="P97" s="9"/>
      <c r="Q97" s="9"/>
      <c r="R97" s="9"/>
      <c r="S97" s="9"/>
      <c r="T97" s="9"/>
      <c r="U97" s="9"/>
      <c r="V97" s="3"/>
      <c r="W97" s="3"/>
      <c r="X97" s="3"/>
      <c r="Y97" s="3"/>
      <c r="Z97" s="3"/>
      <c r="AA97" s="3"/>
      <c r="AB97" s="3"/>
      <c r="AC97" s="3"/>
    </row>
    <row r="98" customFormat="false" ht="61.5" hidden="false" customHeight="true" outlineLevel="0" collapsed="false">
      <c r="A98" s="3"/>
      <c r="B98" s="139" t="s">
        <v>6459</v>
      </c>
      <c r="C98" s="156" t="n">
        <v>190.62</v>
      </c>
      <c r="D98" s="156" t="n">
        <v>296.7</v>
      </c>
      <c r="E98" s="156" t="n">
        <v>414.88</v>
      </c>
      <c r="F98" s="156" t="s">
        <v>7232</v>
      </c>
      <c r="G98" s="91" t="n">
        <v>190.62</v>
      </c>
      <c r="H98" s="91" t="n">
        <v>296.7</v>
      </c>
      <c r="I98" s="91" t="n">
        <v>414.88</v>
      </c>
      <c r="J98" s="91" t="s">
        <v>7232</v>
      </c>
      <c r="K98" s="10"/>
      <c r="L98" s="10"/>
      <c r="M98" s="9"/>
      <c r="N98" s="9"/>
      <c r="O98" s="9"/>
      <c r="P98" s="9"/>
      <c r="Q98" s="9"/>
      <c r="R98" s="9"/>
      <c r="S98" s="9"/>
      <c r="T98" s="9"/>
      <c r="U98" s="9"/>
      <c r="V98" s="3"/>
      <c r="W98" s="3"/>
      <c r="X98" s="3"/>
      <c r="Y98" s="3"/>
      <c r="Z98" s="3"/>
      <c r="AA98" s="3"/>
      <c r="AB98" s="3"/>
      <c r="AC98" s="3"/>
    </row>
    <row r="99" customFormat="false" ht="61.5" hidden="false" customHeight="true" outlineLevel="0" collapsed="false">
      <c r="A99" s="3"/>
      <c r="B99" s="141" t="s">
        <v>6461</v>
      </c>
      <c r="C99" s="158" t="n">
        <v>239</v>
      </c>
      <c r="D99" s="158" t="n">
        <v>270</v>
      </c>
      <c r="E99" s="158" t="n">
        <v>383.47</v>
      </c>
      <c r="F99" s="158" t="s">
        <v>7233</v>
      </c>
      <c r="G99" s="98" t="n">
        <v>239</v>
      </c>
      <c r="H99" s="98" t="n">
        <v>270</v>
      </c>
      <c r="I99" s="98" t="n">
        <v>383.47</v>
      </c>
      <c r="J99" s="98" t="s">
        <v>7233</v>
      </c>
      <c r="K99" s="10"/>
      <c r="L99" s="10"/>
      <c r="M99" s="9"/>
      <c r="N99" s="9"/>
      <c r="O99" s="9"/>
      <c r="P99" s="9"/>
      <c r="Q99" s="9"/>
      <c r="R99" s="9"/>
      <c r="S99" s="9"/>
      <c r="T99" s="9"/>
      <c r="U99" s="9"/>
      <c r="V99" s="3"/>
      <c r="W99" s="3"/>
      <c r="X99" s="3"/>
      <c r="Y99" s="3"/>
      <c r="Z99" s="3"/>
      <c r="AA99" s="3"/>
      <c r="AB99" s="3"/>
      <c r="AC99" s="3"/>
    </row>
    <row r="100" customFormat="false" ht="61.5" hidden="false" customHeight="true" outlineLevel="0" collapsed="false">
      <c r="A100" s="3"/>
      <c r="B100" s="139" t="s">
        <v>6462</v>
      </c>
      <c r="C100" s="156" t="n">
        <v>81.11</v>
      </c>
      <c r="D100" s="156" t="n">
        <v>100</v>
      </c>
      <c r="E100" s="156" t="n">
        <v>148.76</v>
      </c>
      <c r="F100" s="156" t="s">
        <v>7233</v>
      </c>
      <c r="G100" s="91" t="n">
        <v>81.11</v>
      </c>
      <c r="H100" s="91" t="n">
        <v>100</v>
      </c>
      <c r="I100" s="91" t="n">
        <v>148.76</v>
      </c>
      <c r="J100" s="91" t="s">
        <v>7233</v>
      </c>
      <c r="K100" s="10"/>
      <c r="L100" s="10"/>
      <c r="M100" s="9"/>
      <c r="N100" s="9"/>
      <c r="O100" s="9"/>
      <c r="P100" s="9"/>
      <c r="Q100" s="9"/>
      <c r="R100" s="9"/>
      <c r="S100" s="9"/>
      <c r="T100" s="9"/>
      <c r="U100" s="9"/>
      <c r="V100" s="3"/>
      <c r="W100" s="3"/>
      <c r="X100" s="3"/>
      <c r="Y100" s="3"/>
      <c r="Z100" s="3"/>
      <c r="AA100" s="3"/>
      <c r="AB100" s="3"/>
      <c r="AC100" s="3"/>
    </row>
    <row r="101" customFormat="false" ht="61.5" hidden="false" customHeight="true" outlineLevel="0" collapsed="false">
      <c r="A101" s="3"/>
      <c r="B101" s="141" t="s">
        <v>6463</v>
      </c>
      <c r="C101" s="158" t="n">
        <v>97</v>
      </c>
      <c r="D101" s="158" t="n">
        <v>133.82</v>
      </c>
      <c r="E101" s="158" t="n">
        <v>289.26</v>
      </c>
      <c r="F101" s="158" t="s">
        <v>7233</v>
      </c>
      <c r="G101" s="98" t="n">
        <v>97</v>
      </c>
      <c r="H101" s="98" t="n">
        <v>133.82</v>
      </c>
      <c r="I101" s="98" t="n">
        <v>289.26</v>
      </c>
      <c r="J101" s="98" t="s">
        <v>7233</v>
      </c>
      <c r="K101" s="10"/>
      <c r="L101" s="10"/>
      <c r="M101" s="9"/>
      <c r="N101" s="9"/>
      <c r="O101" s="9"/>
      <c r="P101" s="9"/>
      <c r="Q101" s="9"/>
      <c r="R101" s="9"/>
      <c r="S101" s="9"/>
      <c r="T101" s="9"/>
      <c r="U101" s="9"/>
      <c r="V101" s="3"/>
      <c r="W101" s="3"/>
      <c r="X101" s="3"/>
      <c r="Y101" s="3"/>
      <c r="Z101" s="3"/>
      <c r="AA101" s="3"/>
      <c r="AB101" s="3"/>
      <c r="AC101" s="3"/>
    </row>
    <row r="102" customFormat="false" ht="61.5" hidden="false" customHeight="true" outlineLevel="0" collapsed="false">
      <c r="A102" s="3"/>
      <c r="B102" s="139" t="s">
        <v>7138</v>
      </c>
      <c r="C102" s="156" t="n">
        <v>103.42</v>
      </c>
      <c r="D102" s="156" t="n">
        <v>258.68</v>
      </c>
      <c r="E102" s="156" t="n">
        <v>352</v>
      </c>
      <c r="F102" s="156" t="s">
        <v>7234</v>
      </c>
      <c r="G102" s="91" t="n">
        <v>103.42</v>
      </c>
      <c r="H102" s="91" t="n">
        <v>258.68</v>
      </c>
      <c r="I102" s="91" t="n">
        <v>352</v>
      </c>
      <c r="J102" s="91" t="s">
        <v>7234</v>
      </c>
      <c r="K102" s="10"/>
      <c r="L102" s="10"/>
      <c r="M102" s="9"/>
      <c r="N102" s="9"/>
      <c r="O102" s="9"/>
      <c r="P102" s="9"/>
      <c r="Q102" s="9"/>
      <c r="R102" s="9"/>
      <c r="S102" s="9"/>
      <c r="T102" s="9"/>
      <c r="U102" s="9"/>
      <c r="V102" s="3"/>
      <c r="W102" s="3"/>
      <c r="X102" s="3"/>
      <c r="Y102" s="3"/>
      <c r="Z102" s="3"/>
      <c r="AA102" s="3"/>
      <c r="AB102" s="3"/>
      <c r="AC102" s="3"/>
    </row>
    <row r="103" customFormat="false" ht="61.5" hidden="false" customHeight="true" outlineLevel="0" collapsed="false">
      <c r="A103" s="3"/>
      <c r="B103" s="141" t="s">
        <v>7139</v>
      </c>
      <c r="C103" s="158" t="n">
        <v>39.67</v>
      </c>
      <c r="D103" s="158" t="n">
        <v>107.47</v>
      </c>
      <c r="E103" s="158" t="n">
        <v>368.6</v>
      </c>
      <c r="F103" s="158" t="s">
        <v>7232</v>
      </c>
      <c r="G103" s="98" t="n">
        <v>39.67</v>
      </c>
      <c r="H103" s="98" t="n">
        <v>107.47</v>
      </c>
      <c r="I103" s="98" t="n">
        <v>368.6</v>
      </c>
      <c r="J103" s="98" t="s">
        <v>7232</v>
      </c>
      <c r="K103" s="10"/>
      <c r="L103" s="10"/>
      <c r="M103" s="9"/>
      <c r="N103" s="9"/>
      <c r="O103" s="9"/>
      <c r="P103" s="9"/>
      <c r="Q103" s="9"/>
      <c r="R103" s="9"/>
      <c r="S103" s="9"/>
      <c r="T103" s="9"/>
      <c r="U103" s="9"/>
      <c r="V103" s="3"/>
      <c r="W103" s="3"/>
      <c r="X103" s="3"/>
      <c r="Y103" s="3"/>
      <c r="Z103" s="3"/>
      <c r="AA103" s="3"/>
      <c r="AB103" s="3"/>
      <c r="AC103" s="3"/>
    </row>
    <row r="104" customFormat="false" ht="61.5" hidden="false" customHeight="true" outlineLevel="0" collapsed="false">
      <c r="A104" s="3"/>
      <c r="B104" s="139" t="s">
        <v>7140</v>
      </c>
      <c r="C104" s="156"/>
      <c r="D104" s="156"/>
      <c r="E104" s="156"/>
      <c r="F104" s="156"/>
      <c r="G104" s="91"/>
      <c r="H104" s="91"/>
      <c r="I104" s="91"/>
      <c r="J104" s="91"/>
      <c r="K104" s="10"/>
      <c r="L104" s="10"/>
      <c r="M104" s="9"/>
      <c r="N104" s="9"/>
      <c r="O104" s="9"/>
      <c r="P104" s="9"/>
      <c r="Q104" s="9"/>
      <c r="R104" s="9"/>
      <c r="S104" s="9"/>
      <c r="T104" s="9"/>
      <c r="U104" s="9"/>
      <c r="V104" s="3"/>
      <c r="W104" s="3"/>
      <c r="X104" s="3"/>
      <c r="Y104" s="3"/>
      <c r="Z104" s="3"/>
      <c r="AA104" s="3"/>
      <c r="AB104" s="3"/>
      <c r="AC104" s="3"/>
    </row>
    <row r="105" customFormat="false" ht="61.5" hidden="false" customHeight="true" outlineLevel="0" collapsed="false">
      <c r="A105" s="3"/>
      <c r="B105" s="141" t="s">
        <v>6466</v>
      </c>
      <c r="C105" s="158" t="n">
        <v>636</v>
      </c>
      <c r="D105" s="158" t="n">
        <v>997.66</v>
      </c>
      <c r="E105" s="158" t="n">
        <v>1195.04</v>
      </c>
      <c r="F105" s="158" t="s">
        <v>7234</v>
      </c>
      <c r="G105" s="98" t="n">
        <v>636</v>
      </c>
      <c r="H105" s="98" t="n">
        <v>997.66</v>
      </c>
      <c r="I105" s="98" t="n">
        <v>1195.04</v>
      </c>
      <c r="J105" s="98" t="s">
        <v>7234</v>
      </c>
      <c r="K105" s="10"/>
      <c r="L105" s="10"/>
      <c r="M105" s="9"/>
      <c r="N105" s="9"/>
      <c r="O105" s="9"/>
      <c r="P105" s="9"/>
      <c r="Q105" s="9"/>
      <c r="R105" s="9"/>
      <c r="S105" s="9"/>
      <c r="T105" s="9"/>
      <c r="U105" s="9"/>
      <c r="V105" s="3"/>
      <c r="W105" s="3"/>
      <c r="X105" s="3"/>
      <c r="Y105" s="3"/>
      <c r="Z105" s="3"/>
      <c r="AA105" s="3"/>
      <c r="AB105" s="3"/>
      <c r="AC105" s="3"/>
    </row>
    <row r="106" customFormat="false" ht="75" hidden="false" customHeight="true" outlineLevel="0" collapsed="false">
      <c r="A106" s="3"/>
      <c r="B106" s="139" t="s">
        <v>7141</v>
      </c>
      <c r="C106" s="156" t="n">
        <v>632.57</v>
      </c>
      <c r="D106" s="156" t="n">
        <v>1131</v>
      </c>
      <c r="E106" s="156" t="n">
        <v>1265.29</v>
      </c>
      <c r="F106" s="156" t="s">
        <v>7235</v>
      </c>
      <c r="G106" s="91" t="n">
        <v>632.57</v>
      </c>
      <c r="H106" s="91" t="n">
        <v>1131</v>
      </c>
      <c r="I106" s="91" t="n">
        <v>1265.29</v>
      </c>
      <c r="J106" s="91" t="s">
        <v>7235</v>
      </c>
      <c r="K106" s="10"/>
      <c r="L106" s="10"/>
      <c r="M106" s="9"/>
      <c r="N106" s="9"/>
      <c r="O106" s="9"/>
      <c r="P106" s="9"/>
      <c r="Q106" s="9"/>
      <c r="R106" s="9"/>
      <c r="S106" s="9"/>
      <c r="T106" s="9"/>
      <c r="U106" s="9"/>
      <c r="V106" s="3"/>
      <c r="W106" s="3"/>
      <c r="X106" s="3"/>
      <c r="Y106" s="3"/>
      <c r="Z106" s="3"/>
      <c r="AA106" s="3"/>
      <c r="AB106" s="3"/>
      <c r="AC106" s="3"/>
    </row>
    <row r="107" customFormat="false" ht="75" hidden="false" customHeight="true" outlineLevel="0" collapsed="false">
      <c r="A107" s="3"/>
      <c r="B107" s="141" t="s">
        <v>7142</v>
      </c>
      <c r="C107" s="158" t="n">
        <v>574</v>
      </c>
      <c r="D107" s="158" t="n">
        <v>1190.08</v>
      </c>
      <c r="E107" s="158" t="n">
        <v>1838.84</v>
      </c>
      <c r="F107" s="158" t="s">
        <v>7233</v>
      </c>
      <c r="G107" s="98" t="n">
        <v>574</v>
      </c>
      <c r="H107" s="98" t="n">
        <v>1190.08</v>
      </c>
      <c r="I107" s="98" t="n">
        <v>1838.84</v>
      </c>
      <c r="J107" s="98" t="s">
        <v>7233</v>
      </c>
      <c r="K107" s="10"/>
      <c r="L107" s="10"/>
      <c r="M107" s="9"/>
      <c r="N107" s="9"/>
      <c r="O107" s="9"/>
      <c r="P107" s="9"/>
      <c r="Q107" s="9"/>
      <c r="R107" s="9"/>
      <c r="S107" s="9"/>
      <c r="T107" s="9"/>
      <c r="U107" s="9"/>
      <c r="V107" s="3"/>
      <c r="W107" s="3"/>
      <c r="X107" s="3"/>
      <c r="Y107" s="3"/>
      <c r="Z107" s="3"/>
      <c r="AA107" s="3"/>
      <c r="AB107" s="3"/>
      <c r="AC107" s="3"/>
    </row>
    <row r="108" customFormat="false" ht="75" hidden="false" customHeight="true" outlineLevel="0" collapsed="false">
      <c r="A108" s="3"/>
      <c r="B108" s="139" t="s">
        <v>7143</v>
      </c>
      <c r="C108" s="156" t="n">
        <v>95.04</v>
      </c>
      <c r="D108" s="156" t="n">
        <v>151.24</v>
      </c>
      <c r="E108" s="156" t="n">
        <v>159</v>
      </c>
      <c r="F108" s="156" t="s">
        <v>7236</v>
      </c>
      <c r="G108" s="91" t="n">
        <v>95.04</v>
      </c>
      <c r="H108" s="91" t="n">
        <v>151.24</v>
      </c>
      <c r="I108" s="91" t="n">
        <v>159</v>
      </c>
      <c r="J108" s="91" t="s">
        <v>7236</v>
      </c>
      <c r="K108" s="10"/>
      <c r="L108" s="10"/>
      <c r="M108" s="9"/>
      <c r="N108" s="9"/>
      <c r="O108" s="9"/>
      <c r="P108" s="9"/>
      <c r="Q108" s="9"/>
      <c r="R108" s="9"/>
      <c r="S108" s="9"/>
      <c r="T108" s="9"/>
      <c r="U108" s="9"/>
      <c r="V108" s="3"/>
      <c r="W108" s="3"/>
      <c r="X108" s="3"/>
      <c r="Y108" s="3"/>
      <c r="Z108" s="3"/>
      <c r="AA108" s="3"/>
      <c r="AB108" s="3"/>
      <c r="AC108" s="3"/>
    </row>
    <row r="109" customFormat="false" ht="75" hidden="false" customHeight="true" outlineLevel="0" collapsed="false">
      <c r="A109" s="3"/>
      <c r="B109" s="141" t="s">
        <v>7144</v>
      </c>
      <c r="C109" s="158" t="n">
        <v>255.53</v>
      </c>
      <c r="D109" s="158" t="n">
        <v>420.62</v>
      </c>
      <c r="E109" s="158" t="n">
        <v>463</v>
      </c>
      <c r="F109" s="158" t="s">
        <v>7235</v>
      </c>
      <c r="G109" s="98" t="n">
        <v>255.53</v>
      </c>
      <c r="H109" s="98" t="n">
        <v>420.62</v>
      </c>
      <c r="I109" s="98" t="n">
        <v>463</v>
      </c>
      <c r="J109" s="98" t="s">
        <v>7235</v>
      </c>
      <c r="K109" s="10"/>
      <c r="L109" s="10"/>
      <c r="M109" s="9"/>
      <c r="N109" s="9"/>
      <c r="O109" s="9"/>
      <c r="P109" s="9"/>
      <c r="Q109" s="9"/>
      <c r="R109" s="9"/>
      <c r="S109" s="9"/>
      <c r="T109" s="9"/>
      <c r="U109" s="9"/>
      <c r="V109" s="3"/>
      <c r="W109" s="3"/>
      <c r="X109" s="3"/>
      <c r="Y109" s="3"/>
      <c r="Z109" s="3"/>
      <c r="AA109" s="3"/>
      <c r="AB109" s="3"/>
      <c r="AC109" s="3"/>
    </row>
    <row r="110" customFormat="false" ht="75" hidden="false" customHeight="true" outlineLevel="0" collapsed="false">
      <c r="A110" s="3"/>
      <c r="B110" s="139" t="s">
        <v>7145</v>
      </c>
      <c r="C110" s="156" t="n">
        <v>195</v>
      </c>
      <c r="D110" s="156" t="n">
        <v>195.04</v>
      </c>
      <c r="E110" s="156" t="n">
        <v>267.77</v>
      </c>
      <c r="F110" s="156" t="s">
        <v>7236</v>
      </c>
      <c r="G110" s="91" t="n">
        <v>195</v>
      </c>
      <c r="H110" s="91" t="n">
        <v>195.04</v>
      </c>
      <c r="I110" s="91" t="n">
        <v>267.77</v>
      </c>
      <c r="J110" s="91" t="s">
        <v>7236</v>
      </c>
      <c r="K110" s="10"/>
      <c r="L110" s="10"/>
      <c r="M110" s="9"/>
      <c r="N110" s="9"/>
      <c r="O110" s="9"/>
      <c r="P110" s="9"/>
      <c r="Q110" s="9"/>
      <c r="R110" s="9"/>
      <c r="S110" s="9"/>
      <c r="T110" s="9"/>
      <c r="U110" s="9"/>
      <c r="V110" s="3"/>
      <c r="W110" s="3"/>
      <c r="X110" s="3"/>
      <c r="Y110" s="3"/>
      <c r="Z110" s="3"/>
      <c r="AA110" s="3"/>
      <c r="AB110" s="3"/>
      <c r="AC110" s="3"/>
    </row>
    <row r="111" customFormat="false" ht="75" hidden="false" customHeight="true" outlineLevel="0" collapsed="false">
      <c r="A111" s="3"/>
      <c r="B111" s="141" t="s">
        <v>7146</v>
      </c>
      <c r="C111" s="158" t="n">
        <v>219.02</v>
      </c>
      <c r="D111" s="158" t="n">
        <v>257.855</v>
      </c>
      <c r="E111" s="158" t="n">
        <v>391</v>
      </c>
      <c r="F111" s="158" t="s">
        <v>7232</v>
      </c>
      <c r="G111" s="98" t="n">
        <v>219.02</v>
      </c>
      <c r="H111" s="98" t="n">
        <v>257.855</v>
      </c>
      <c r="I111" s="98" t="n">
        <v>391</v>
      </c>
      <c r="J111" s="98" t="s">
        <v>7232</v>
      </c>
      <c r="K111" s="10"/>
      <c r="L111" s="10"/>
      <c r="M111" s="9"/>
      <c r="N111" s="9"/>
      <c r="O111" s="9"/>
      <c r="P111" s="9"/>
      <c r="Q111" s="9"/>
      <c r="R111" s="9"/>
      <c r="S111" s="9"/>
      <c r="T111" s="9"/>
      <c r="U111" s="9"/>
      <c r="V111" s="3"/>
      <c r="W111" s="3"/>
      <c r="X111" s="3"/>
      <c r="Y111" s="3"/>
      <c r="Z111" s="3"/>
      <c r="AA111" s="3"/>
      <c r="AB111" s="3"/>
      <c r="AC111" s="3"/>
    </row>
    <row r="112" customFormat="false" ht="75" hidden="false" customHeight="true" outlineLevel="0" collapsed="false">
      <c r="A112" s="3"/>
      <c r="B112" s="139" t="s">
        <v>7147</v>
      </c>
      <c r="C112" s="156" t="n">
        <v>4088.71</v>
      </c>
      <c r="D112" s="156" t="n">
        <v>5705.79</v>
      </c>
      <c r="E112" s="156" t="n">
        <v>5900</v>
      </c>
      <c r="F112" s="156" t="s">
        <v>7233</v>
      </c>
      <c r="G112" s="91" t="n">
        <v>4088.71</v>
      </c>
      <c r="H112" s="91" t="n">
        <v>5705.79</v>
      </c>
      <c r="I112" s="91" t="n">
        <v>5900</v>
      </c>
      <c r="J112" s="91" t="s">
        <v>7233</v>
      </c>
      <c r="K112" s="10"/>
      <c r="L112" s="10"/>
      <c r="M112" s="9"/>
      <c r="N112" s="9"/>
      <c r="O112" s="9"/>
      <c r="P112" s="9"/>
      <c r="Q112" s="9"/>
      <c r="R112" s="9"/>
      <c r="S112" s="9"/>
      <c r="T112" s="9"/>
      <c r="U112" s="9"/>
      <c r="V112" s="3"/>
      <c r="W112" s="3"/>
      <c r="X112" s="3"/>
      <c r="Y112" s="3"/>
      <c r="Z112" s="3"/>
      <c r="AA112" s="3"/>
      <c r="AB112" s="3"/>
      <c r="AC112" s="3"/>
    </row>
    <row r="113" customFormat="false" ht="75" hidden="false" customHeight="true" outlineLevel="0" collapsed="false">
      <c r="A113" s="3"/>
      <c r="B113" s="141" t="s">
        <v>7148</v>
      </c>
      <c r="C113" s="158" t="n">
        <v>182.52</v>
      </c>
      <c r="D113" s="158" t="n">
        <v>241.26</v>
      </c>
      <c r="E113" s="158" t="n">
        <v>300</v>
      </c>
      <c r="F113" s="158" t="s">
        <v>7237</v>
      </c>
      <c r="G113" s="98" t="n">
        <v>182.52</v>
      </c>
      <c r="H113" s="98" t="n">
        <v>241.26</v>
      </c>
      <c r="I113" s="98" t="n">
        <v>300</v>
      </c>
      <c r="J113" s="98" t="s">
        <v>7237</v>
      </c>
      <c r="K113" s="10"/>
      <c r="L113" s="10"/>
      <c r="M113" s="9"/>
      <c r="N113" s="9"/>
      <c r="O113" s="9"/>
      <c r="P113" s="9"/>
      <c r="Q113" s="9"/>
      <c r="R113" s="9"/>
      <c r="S113" s="9"/>
      <c r="T113" s="9"/>
      <c r="U113" s="9"/>
      <c r="V113" s="3"/>
      <c r="W113" s="3"/>
      <c r="X113" s="3"/>
      <c r="Y113" s="3"/>
      <c r="Z113" s="3"/>
      <c r="AA113" s="3"/>
      <c r="AB113" s="3"/>
      <c r="AC113" s="3"/>
    </row>
    <row r="114" customFormat="false" ht="75" hidden="false" customHeight="true" outlineLevel="0" collapsed="false">
      <c r="A114" s="3"/>
      <c r="B114" s="139" t="s">
        <v>6478</v>
      </c>
      <c r="C114" s="156"/>
      <c r="D114" s="156"/>
      <c r="E114" s="156"/>
      <c r="F114" s="156"/>
      <c r="G114" s="91"/>
      <c r="H114" s="91"/>
      <c r="I114" s="91"/>
      <c r="J114" s="91"/>
      <c r="K114" s="10"/>
      <c r="L114" s="10"/>
      <c r="M114" s="9"/>
      <c r="N114" s="9"/>
      <c r="O114" s="9"/>
      <c r="P114" s="9"/>
      <c r="Q114" s="9"/>
      <c r="R114" s="9"/>
      <c r="S114" s="9"/>
      <c r="T114" s="9"/>
      <c r="U114" s="9"/>
      <c r="V114" s="3"/>
      <c r="W114" s="3"/>
      <c r="X114" s="3"/>
      <c r="Y114" s="3"/>
      <c r="Z114" s="3"/>
      <c r="AA114" s="3"/>
      <c r="AB114" s="3"/>
      <c r="AC114" s="3"/>
    </row>
    <row r="115" customFormat="false" ht="30.75" hidden="false" customHeight="true" outlineLevel="0" collapsed="false">
      <c r="A115" s="3"/>
      <c r="B115" s="9"/>
      <c r="C115" s="9"/>
      <c r="D115" s="9"/>
      <c r="E115" s="9"/>
      <c r="F115" s="9"/>
      <c r="G115" s="10"/>
      <c r="H115" s="10"/>
      <c r="I115" s="10"/>
      <c r="J115" s="10"/>
      <c r="K115" s="10"/>
      <c r="L115" s="10"/>
      <c r="M115" s="9"/>
      <c r="N115" s="9"/>
      <c r="O115" s="9"/>
      <c r="P115" s="9"/>
      <c r="Q115" s="9"/>
      <c r="R115" s="9"/>
      <c r="S115" s="9"/>
      <c r="T115" s="9"/>
      <c r="U115" s="9"/>
      <c r="V115" s="3"/>
      <c r="W115" s="3"/>
      <c r="X115" s="3"/>
      <c r="Y115" s="3"/>
      <c r="Z115" s="3"/>
      <c r="AA115" s="3"/>
      <c r="AB115" s="3"/>
      <c r="AC115" s="3"/>
    </row>
    <row r="116" customFormat="false" ht="30.75" hidden="false" customHeight="true" outlineLevel="0" collapsed="false">
      <c r="A116" s="3"/>
      <c r="B116" s="161" t="s">
        <v>7238</v>
      </c>
      <c r="C116" s="161"/>
      <c r="D116" s="161"/>
      <c r="E116" s="161"/>
      <c r="F116" s="161"/>
      <c r="G116" s="161"/>
      <c r="H116" s="161"/>
      <c r="I116" s="161"/>
      <c r="J116" s="161"/>
      <c r="K116" s="10"/>
      <c r="L116" s="10"/>
      <c r="M116" s="9"/>
      <c r="N116" s="9"/>
      <c r="O116" s="9"/>
      <c r="P116" s="9"/>
      <c r="Q116" s="9"/>
      <c r="R116" s="9"/>
      <c r="S116" s="9"/>
      <c r="T116" s="9"/>
      <c r="U116" s="9"/>
      <c r="V116" s="3"/>
      <c r="W116" s="3"/>
      <c r="X116" s="3"/>
      <c r="Y116" s="3"/>
      <c r="Z116" s="3"/>
      <c r="AA116" s="3"/>
      <c r="AB116" s="3"/>
      <c r="AC116" s="3"/>
    </row>
    <row r="117" customFormat="false" ht="78" hidden="false" customHeight="true" outlineLevel="0" collapsed="false">
      <c r="A117" s="3"/>
      <c r="B117" s="161" t="s">
        <v>7239</v>
      </c>
      <c r="C117" s="161"/>
      <c r="D117" s="161"/>
      <c r="E117" s="161"/>
      <c r="F117" s="161"/>
      <c r="G117" s="161"/>
      <c r="H117" s="161"/>
      <c r="I117" s="161"/>
      <c r="J117" s="161"/>
      <c r="K117" s="10"/>
      <c r="L117" s="10"/>
      <c r="M117" s="9"/>
      <c r="N117" s="9"/>
      <c r="O117" s="9"/>
      <c r="P117" s="9"/>
      <c r="Q117" s="9"/>
      <c r="R117" s="9"/>
      <c r="S117" s="9"/>
      <c r="T117" s="9"/>
      <c r="U117" s="9"/>
      <c r="V117" s="3"/>
      <c r="W117" s="3"/>
      <c r="X117" s="3"/>
      <c r="Y117" s="3"/>
      <c r="Z117" s="3"/>
      <c r="AA117" s="3"/>
      <c r="AB117" s="3"/>
      <c r="AC117" s="3"/>
    </row>
    <row r="118" customFormat="false" ht="63.75" hidden="false" customHeight="true" outlineLevel="0" collapsed="false">
      <c r="A118" s="3"/>
      <c r="B118" s="161" t="s">
        <v>7240</v>
      </c>
      <c r="C118" s="161"/>
      <c r="D118" s="161"/>
      <c r="E118" s="161"/>
      <c r="F118" s="161"/>
      <c r="G118" s="161"/>
      <c r="H118" s="161"/>
      <c r="I118" s="161"/>
      <c r="J118" s="161"/>
      <c r="K118" s="10"/>
      <c r="L118" s="10"/>
      <c r="M118" s="9"/>
      <c r="N118" s="9"/>
      <c r="O118" s="9"/>
      <c r="P118" s="9"/>
      <c r="Q118" s="9"/>
      <c r="R118" s="9"/>
      <c r="S118" s="9"/>
      <c r="T118" s="9"/>
      <c r="U118" s="9"/>
      <c r="V118" s="3"/>
      <c r="W118" s="3"/>
      <c r="X118" s="3"/>
      <c r="Y118" s="3"/>
      <c r="Z118" s="3"/>
      <c r="AA118" s="3"/>
      <c r="AB118" s="3"/>
      <c r="AC118" s="3"/>
    </row>
    <row r="119" customFormat="false" ht="49.5" hidden="false" customHeight="true" outlineLevel="0" collapsed="false">
      <c r="A119" s="3"/>
      <c r="B119" s="161" t="s">
        <v>7241</v>
      </c>
      <c r="C119" s="161"/>
      <c r="D119" s="161"/>
      <c r="E119" s="161"/>
      <c r="F119" s="161"/>
      <c r="G119" s="161"/>
      <c r="H119" s="161"/>
      <c r="I119" s="161"/>
      <c r="J119" s="161"/>
      <c r="K119" s="10"/>
      <c r="L119" s="10"/>
      <c r="M119" s="9"/>
      <c r="N119" s="9"/>
      <c r="O119" s="9"/>
      <c r="P119" s="9"/>
      <c r="Q119" s="9"/>
      <c r="R119" s="9"/>
      <c r="S119" s="9"/>
      <c r="T119" s="9"/>
      <c r="U119" s="9"/>
      <c r="V119" s="3"/>
      <c r="W119" s="3"/>
      <c r="X119" s="3"/>
      <c r="Y119" s="3"/>
      <c r="Z119" s="3"/>
      <c r="AA119" s="3"/>
      <c r="AB119" s="3"/>
      <c r="AC119" s="3"/>
    </row>
    <row r="120" customFormat="false" ht="63.75" hidden="false" customHeight="true" outlineLevel="0" collapsed="false">
      <c r="A120" s="3"/>
      <c r="B120" s="161" t="s">
        <v>7242</v>
      </c>
      <c r="C120" s="161"/>
      <c r="D120" s="161"/>
      <c r="E120" s="161"/>
      <c r="F120" s="161"/>
      <c r="G120" s="161"/>
      <c r="H120" s="161"/>
      <c r="I120" s="161"/>
      <c r="J120" s="161"/>
      <c r="K120" s="10"/>
      <c r="L120" s="10"/>
      <c r="M120" s="9"/>
      <c r="N120" s="9"/>
      <c r="O120" s="9"/>
      <c r="P120" s="9"/>
      <c r="Q120" s="9"/>
      <c r="R120" s="9"/>
      <c r="S120" s="9"/>
      <c r="T120" s="9"/>
      <c r="U120" s="9"/>
      <c r="V120" s="3"/>
      <c r="W120" s="3"/>
      <c r="X120" s="3"/>
      <c r="Y120" s="3"/>
      <c r="Z120" s="3"/>
      <c r="AA120" s="3"/>
      <c r="AB120" s="3"/>
      <c r="AC120" s="3"/>
    </row>
    <row r="121" customFormat="false" ht="78" hidden="false" customHeight="true" outlineLevel="0" collapsed="false">
      <c r="A121" s="3"/>
      <c r="B121" s="161" t="s">
        <v>7243</v>
      </c>
      <c r="C121" s="161"/>
      <c r="D121" s="161"/>
      <c r="E121" s="161"/>
      <c r="F121" s="161"/>
      <c r="G121" s="161"/>
      <c r="H121" s="161"/>
      <c r="I121" s="161"/>
      <c r="J121" s="161"/>
      <c r="K121" s="10"/>
      <c r="L121" s="10"/>
      <c r="M121" s="9"/>
      <c r="N121" s="9"/>
      <c r="O121" s="9"/>
      <c r="P121" s="9"/>
      <c r="Q121" s="9"/>
      <c r="R121" s="9"/>
      <c r="S121" s="9"/>
      <c r="T121" s="9"/>
      <c r="U121" s="9"/>
      <c r="V121" s="3"/>
      <c r="W121" s="3"/>
      <c r="X121" s="3"/>
      <c r="Y121" s="3"/>
      <c r="Z121" s="3"/>
      <c r="AA121" s="3"/>
      <c r="AB121" s="3"/>
      <c r="AC121" s="3"/>
    </row>
    <row r="122" customFormat="false" ht="63.75" hidden="false" customHeight="true" outlineLevel="0" collapsed="false">
      <c r="A122" s="3"/>
      <c r="B122" s="161" t="s">
        <v>7244</v>
      </c>
      <c r="C122" s="161"/>
      <c r="D122" s="161"/>
      <c r="E122" s="161"/>
      <c r="F122" s="161"/>
      <c r="G122" s="161"/>
      <c r="H122" s="161"/>
      <c r="I122" s="161"/>
      <c r="J122" s="161"/>
      <c r="K122" s="10"/>
      <c r="L122" s="10"/>
      <c r="M122" s="9"/>
      <c r="N122" s="9"/>
      <c r="O122" s="9"/>
      <c r="P122" s="9"/>
      <c r="Q122" s="9"/>
      <c r="R122" s="9"/>
      <c r="S122" s="9"/>
      <c r="T122" s="9"/>
      <c r="U122" s="9"/>
      <c r="V122" s="3"/>
      <c r="W122" s="3"/>
      <c r="X122" s="3"/>
      <c r="Y122" s="3"/>
      <c r="Z122" s="3"/>
      <c r="AA122" s="3"/>
      <c r="AB122" s="3"/>
      <c r="AC122" s="3"/>
    </row>
    <row r="123" customFormat="false" ht="30.75" hidden="false" customHeight="true" outlineLevel="0" collapsed="false">
      <c r="A123" s="3"/>
      <c r="B123" s="9"/>
      <c r="C123" s="9"/>
      <c r="D123" s="9"/>
      <c r="E123" s="9"/>
      <c r="F123" s="9"/>
      <c r="G123" s="10"/>
      <c r="H123" s="10"/>
      <c r="I123" s="10"/>
      <c r="J123" s="10"/>
      <c r="K123" s="10"/>
      <c r="L123" s="10"/>
      <c r="M123" s="9"/>
      <c r="N123" s="9"/>
      <c r="O123" s="9"/>
      <c r="P123" s="9"/>
      <c r="Q123" s="9"/>
      <c r="R123" s="9"/>
      <c r="S123" s="9"/>
      <c r="T123" s="9"/>
      <c r="U123" s="9"/>
      <c r="V123" s="3"/>
      <c r="W123" s="3"/>
      <c r="X123" s="3"/>
      <c r="Y123" s="3"/>
      <c r="Z123" s="3"/>
      <c r="AA123" s="3"/>
      <c r="AB123" s="3"/>
      <c r="AC123" s="3"/>
    </row>
    <row r="124" customFormat="false" ht="30.75" hidden="false" customHeight="true" outlineLevel="0" collapsed="false">
      <c r="A124" s="3"/>
      <c r="B124" s="9"/>
      <c r="C124" s="9"/>
      <c r="D124" s="9"/>
      <c r="E124" s="9"/>
      <c r="F124" s="9"/>
      <c r="G124" s="10"/>
      <c r="H124" s="10"/>
      <c r="I124" s="10"/>
      <c r="J124" s="10"/>
      <c r="K124" s="10"/>
      <c r="L124" s="10"/>
      <c r="M124" s="9"/>
      <c r="N124" s="9"/>
      <c r="O124" s="9"/>
      <c r="P124" s="9"/>
      <c r="Q124" s="9"/>
      <c r="R124" s="9"/>
      <c r="S124" s="9"/>
      <c r="T124" s="9"/>
      <c r="U124" s="9"/>
      <c r="V124" s="3"/>
      <c r="W124" s="3"/>
      <c r="X124" s="3"/>
      <c r="Y124" s="3"/>
      <c r="Z124" s="3"/>
      <c r="AA124" s="3"/>
      <c r="AB124" s="3"/>
      <c r="AC124" s="3"/>
    </row>
    <row r="125" customFormat="false" ht="25.5" hidden="false" customHeight="true" outlineLevel="0" collapsed="false">
      <c r="A125" s="3"/>
      <c r="B125" s="133" t="s">
        <v>6986</v>
      </c>
      <c r="C125" s="133"/>
      <c r="D125" s="133"/>
      <c r="E125" s="133"/>
      <c r="F125" s="133"/>
      <c r="G125" s="10"/>
      <c r="H125" s="10"/>
      <c r="I125" s="10"/>
      <c r="J125" s="10"/>
      <c r="K125" s="10"/>
      <c r="L125" s="10"/>
      <c r="M125" s="9"/>
      <c r="N125" s="9"/>
      <c r="O125" s="9"/>
      <c r="P125" s="9"/>
      <c r="Q125" s="9"/>
      <c r="R125" s="9"/>
      <c r="S125" s="9"/>
      <c r="T125" s="9"/>
      <c r="U125" s="9"/>
      <c r="V125" s="3"/>
      <c r="W125" s="3"/>
      <c r="X125" s="3"/>
      <c r="Y125" s="3"/>
      <c r="Z125" s="3"/>
      <c r="AA125" s="3"/>
      <c r="AB125" s="3"/>
      <c r="AC125" s="3"/>
    </row>
    <row r="126" customFormat="false" ht="36" hidden="false" customHeight="true" outlineLevel="0" collapsed="false">
      <c r="A126" s="3"/>
      <c r="B126" s="121" t="s">
        <v>230</v>
      </c>
      <c r="C126" s="26" t="s">
        <v>6928</v>
      </c>
      <c r="D126" s="26" t="s">
        <v>6595</v>
      </c>
      <c r="E126" s="26" t="s">
        <v>242</v>
      </c>
      <c r="F126" s="26" t="s">
        <v>240</v>
      </c>
      <c r="G126" s="10"/>
      <c r="H126" s="10"/>
      <c r="I126" s="10"/>
      <c r="J126" s="10"/>
      <c r="K126" s="10"/>
      <c r="L126" s="10"/>
      <c r="M126" s="9"/>
      <c r="N126" s="9"/>
      <c r="O126" s="9"/>
      <c r="P126" s="9"/>
      <c r="Q126" s="9"/>
      <c r="R126" s="9"/>
      <c r="S126" s="9"/>
      <c r="T126" s="9"/>
      <c r="U126" s="9"/>
      <c r="V126" s="3"/>
      <c r="W126" s="3"/>
      <c r="X126" s="3"/>
      <c r="Y126" s="3"/>
      <c r="Z126" s="3"/>
      <c r="AA126" s="3"/>
      <c r="AB126" s="3"/>
      <c r="AC126" s="3"/>
    </row>
    <row r="127" customFormat="false" ht="61.5" hidden="false" customHeight="true" outlineLevel="0" collapsed="false">
      <c r="A127" s="3"/>
      <c r="B127" s="139" t="s">
        <v>7208</v>
      </c>
      <c r="C127" s="113" t="s">
        <v>7245</v>
      </c>
      <c r="D127" s="109" t="s">
        <v>7246</v>
      </c>
      <c r="E127" s="109" t="s">
        <v>586</v>
      </c>
      <c r="F127" s="109" t="s">
        <v>7247</v>
      </c>
      <c r="G127" s="10"/>
      <c r="H127" s="10"/>
      <c r="I127" s="10"/>
      <c r="J127" s="10"/>
      <c r="K127" s="10"/>
      <c r="L127" s="10"/>
      <c r="M127" s="9"/>
      <c r="N127" s="9"/>
      <c r="O127" s="9"/>
      <c r="P127" s="9"/>
      <c r="Q127" s="9"/>
      <c r="R127" s="9"/>
      <c r="S127" s="9"/>
      <c r="T127" s="9"/>
      <c r="U127" s="9"/>
      <c r="V127" s="3"/>
      <c r="W127" s="3"/>
      <c r="X127" s="3"/>
      <c r="Y127" s="3"/>
      <c r="Z127" s="3"/>
      <c r="AA127" s="3"/>
      <c r="AB127" s="3"/>
      <c r="AC127" s="3"/>
    </row>
    <row r="128" customFormat="false" ht="48.75" hidden="false" customHeight="true" outlineLevel="0" collapsed="false">
      <c r="A128" s="3"/>
      <c r="B128" s="141" t="s">
        <v>7208</v>
      </c>
      <c r="C128" s="117" t="s">
        <v>7248</v>
      </c>
      <c r="D128" s="110" t="s">
        <v>7249</v>
      </c>
      <c r="E128" s="110" t="s">
        <v>586</v>
      </c>
      <c r="F128" s="110"/>
      <c r="G128" s="10"/>
      <c r="H128" s="10"/>
      <c r="I128" s="10"/>
      <c r="J128" s="10"/>
      <c r="K128" s="10"/>
      <c r="L128" s="10"/>
      <c r="M128" s="9"/>
      <c r="N128" s="9"/>
      <c r="O128" s="9"/>
      <c r="P128" s="9"/>
      <c r="Q128" s="9"/>
      <c r="R128" s="9"/>
      <c r="S128" s="9"/>
      <c r="T128" s="9"/>
      <c r="U128" s="9"/>
      <c r="V128" s="3"/>
      <c r="W128" s="3"/>
      <c r="X128" s="3"/>
      <c r="Y128" s="3"/>
      <c r="Z128" s="3"/>
      <c r="AA128" s="3"/>
      <c r="AB128" s="3"/>
      <c r="AC128" s="3"/>
    </row>
    <row r="129" customFormat="false" ht="61.5" hidden="false" customHeight="true" outlineLevel="0" collapsed="false">
      <c r="A129" s="3"/>
      <c r="B129" s="139" t="s">
        <v>7218</v>
      </c>
      <c r="C129" s="113" t="s">
        <v>7219</v>
      </c>
      <c r="D129" s="109" t="s">
        <v>7250</v>
      </c>
      <c r="E129" s="109" t="s">
        <v>586</v>
      </c>
      <c r="F129" s="109" t="s">
        <v>7251</v>
      </c>
      <c r="G129" s="10"/>
      <c r="H129" s="10"/>
      <c r="I129" s="10"/>
      <c r="J129" s="10"/>
      <c r="K129" s="10"/>
      <c r="L129" s="10"/>
      <c r="M129" s="9"/>
      <c r="N129" s="9"/>
      <c r="O129" s="9"/>
      <c r="P129" s="9"/>
      <c r="Q129" s="9"/>
      <c r="R129" s="9"/>
      <c r="S129" s="9"/>
      <c r="T129" s="9"/>
      <c r="U129" s="9"/>
      <c r="V129" s="3"/>
      <c r="W129" s="3"/>
      <c r="X129" s="3"/>
      <c r="Y129" s="3"/>
      <c r="Z129" s="3"/>
      <c r="AA129" s="3"/>
      <c r="AB129" s="3"/>
      <c r="AC129" s="3"/>
    </row>
    <row r="130" customFormat="false" ht="36" hidden="false" customHeight="true" outlineLevel="0" collapsed="false">
      <c r="A130" s="3"/>
      <c r="B130" s="141" t="s">
        <v>7218</v>
      </c>
      <c r="C130" s="117" t="s">
        <v>7252</v>
      </c>
      <c r="D130" s="110" t="s">
        <v>7253</v>
      </c>
      <c r="E130" s="110" t="s">
        <v>586</v>
      </c>
      <c r="F130" s="110"/>
      <c r="G130" s="10"/>
      <c r="H130" s="10"/>
      <c r="I130" s="10"/>
      <c r="J130" s="10"/>
      <c r="K130" s="10"/>
      <c r="L130" s="10"/>
      <c r="M130" s="9"/>
      <c r="N130" s="9"/>
      <c r="O130" s="9"/>
      <c r="P130" s="9"/>
      <c r="Q130" s="9"/>
      <c r="R130" s="9"/>
      <c r="S130" s="9"/>
      <c r="T130" s="9"/>
      <c r="U130" s="9"/>
      <c r="V130" s="3"/>
      <c r="W130" s="3"/>
      <c r="X130" s="3"/>
      <c r="Y130" s="3"/>
      <c r="Z130" s="3"/>
      <c r="AA130" s="3"/>
      <c r="AB130" s="3"/>
      <c r="AC130" s="3"/>
    </row>
    <row r="131" customFormat="false" ht="48.75" hidden="false" customHeight="true" outlineLevel="0" collapsed="false">
      <c r="A131" s="3"/>
      <c r="B131" s="139" t="s">
        <v>354</v>
      </c>
      <c r="C131" s="113" t="s">
        <v>7254</v>
      </c>
      <c r="D131" s="109" t="s">
        <v>7255</v>
      </c>
      <c r="E131" s="109" t="s">
        <v>586</v>
      </c>
      <c r="F131" s="109" t="s">
        <v>7256</v>
      </c>
      <c r="G131" s="10"/>
      <c r="H131" s="10"/>
      <c r="I131" s="10"/>
      <c r="J131" s="10"/>
      <c r="K131" s="10"/>
      <c r="L131" s="10"/>
      <c r="M131" s="9"/>
      <c r="N131" s="9"/>
      <c r="O131" s="9"/>
      <c r="P131" s="9"/>
      <c r="Q131" s="9"/>
      <c r="R131" s="9"/>
      <c r="S131" s="9"/>
      <c r="T131" s="9"/>
      <c r="U131" s="9"/>
      <c r="V131" s="3"/>
      <c r="W131" s="3"/>
      <c r="X131" s="3"/>
      <c r="Y131" s="3"/>
      <c r="Z131" s="3"/>
      <c r="AA131" s="3"/>
      <c r="AB131" s="3"/>
      <c r="AC131" s="3"/>
    </row>
    <row r="132" customFormat="false" ht="87.75" hidden="false" customHeight="true" outlineLevel="0" collapsed="false">
      <c r="A132" s="3"/>
      <c r="B132" s="141" t="s">
        <v>354</v>
      </c>
      <c r="C132" s="117" t="s">
        <v>7257</v>
      </c>
      <c r="D132" s="110" t="s">
        <v>7258</v>
      </c>
      <c r="E132" s="110" t="s">
        <v>586</v>
      </c>
      <c r="F132" s="110" t="s">
        <v>7259</v>
      </c>
      <c r="G132" s="10"/>
      <c r="H132" s="10"/>
      <c r="I132" s="10"/>
      <c r="J132" s="10"/>
      <c r="K132" s="10"/>
      <c r="L132" s="10"/>
      <c r="M132" s="9"/>
      <c r="N132" s="9"/>
      <c r="O132" s="9"/>
      <c r="P132" s="9"/>
      <c r="Q132" s="9"/>
      <c r="R132" s="9"/>
      <c r="S132" s="9"/>
      <c r="T132" s="9"/>
      <c r="U132" s="9"/>
      <c r="V132" s="3"/>
      <c r="W132" s="3"/>
      <c r="X132" s="3"/>
      <c r="Y132" s="3"/>
      <c r="Z132" s="3"/>
      <c r="AA132" s="3"/>
      <c r="AB132" s="3"/>
      <c r="AC132" s="3"/>
    </row>
    <row r="133" customFormat="false" ht="61.5" hidden="false" customHeight="true" outlineLevel="0" collapsed="false">
      <c r="A133" s="3"/>
      <c r="B133" s="139" t="s">
        <v>342</v>
      </c>
      <c r="C133" s="113" t="s">
        <v>7260</v>
      </c>
      <c r="D133" s="109" t="s">
        <v>7261</v>
      </c>
      <c r="E133" s="109" t="s">
        <v>586</v>
      </c>
      <c r="F133" s="109" t="s">
        <v>7262</v>
      </c>
      <c r="G133" s="10"/>
      <c r="H133" s="10"/>
      <c r="I133" s="10"/>
      <c r="J133" s="10"/>
      <c r="K133" s="10"/>
      <c r="L133" s="10"/>
      <c r="M133" s="9"/>
      <c r="N133" s="9"/>
      <c r="O133" s="9"/>
      <c r="P133" s="9"/>
      <c r="Q133" s="9"/>
      <c r="R133" s="9"/>
      <c r="S133" s="9"/>
      <c r="T133" s="9"/>
      <c r="U133" s="9"/>
      <c r="V133" s="3"/>
      <c r="W133" s="3"/>
      <c r="X133" s="3"/>
      <c r="Y133" s="3"/>
      <c r="Z133" s="3"/>
      <c r="AA133" s="3"/>
      <c r="AB133" s="3"/>
      <c r="AC133" s="3"/>
    </row>
    <row r="134" customFormat="false" ht="30.75" hidden="false" customHeight="true" outlineLevel="0" collapsed="false">
      <c r="A134" s="3"/>
      <c r="B134" s="9"/>
      <c r="C134" s="9"/>
      <c r="D134" s="9"/>
      <c r="E134" s="9"/>
      <c r="F134" s="9"/>
      <c r="G134" s="10"/>
      <c r="H134" s="10"/>
      <c r="I134" s="10"/>
      <c r="J134" s="10"/>
      <c r="K134" s="10"/>
      <c r="L134" s="10"/>
      <c r="M134" s="9"/>
      <c r="N134" s="9"/>
      <c r="O134" s="9"/>
      <c r="P134" s="9"/>
      <c r="Q134" s="9"/>
      <c r="R134" s="9"/>
      <c r="S134" s="9"/>
      <c r="T134" s="9"/>
      <c r="U134" s="9"/>
      <c r="V134" s="3"/>
      <c r="W134" s="3"/>
      <c r="X134" s="3"/>
      <c r="Y134" s="3"/>
      <c r="Z134" s="3"/>
      <c r="AA134" s="3"/>
      <c r="AB134" s="3"/>
      <c r="AC134" s="3"/>
    </row>
    <row r="135" customFormat="false" ht="30.75" hidden="false" customHeight="true" outlineLevel="0" collapsed="false">
      <c r="A135" s="3"/>
      <c r="B135" s="9"/>
      <c r="C135" s="9"/>
      <c r="D135" s="9"/>
      <c r="E135" s="9"/>
      <c r="F135" s="9"/>
      <c r="G135" s="10"/>
      <c r="H135" s="10"/>
      <c r="I135" s="10"/>
      <c r="J135" s="10"/>
      <c r="K135" s="10"/>
      <c r="L135" s="10"/>
      <c r="M135" s="9"/>
      <c r="N135" s="9"/>
      <c r="O135" s="9"/>
      <c r="P135" s="9"/>
      <c r="Q135" s="9"/>
      <c r="R135" s="9"/>
      <c r="S135" s="9"/>
      <c r="T135" s="9"/>
      <c r="U135" s="9"/>
      <c r="V135" s="3"/>
      <c r="W135" s="3"/>
      <c r="X135" s="3"/>
      <c r="Y135" s="3"/>
      <c r="Z135" s="3"/>
      <c r="AA135" s="3"/>
      <c r="AB135" s="3"/>
      <c r="AC135" s="3"/>
    </row>
    <row r="136" customFormat="false" ht="30.75" hidden="false" customHeight="true" outlineLevel="0" collapsed="false">
      <c r="A136" s="3"/>
      <c r="B136" s="9"/>
      <c r="C136" s="9"/>
      <c r="D136" s="9"/>
      <c r="E136" s="9"/>
      <c r="F136" s="9"/>
      <c r="G136" s="10"/>
      <c r="H136" s="10"/>
      <c r="I136" s="10"/>
      <c r="J136" s="10"/>
      <c r="K136" s="10"/>
      <c r="L136" s="10"/>
      <c r="M136" s="9"/>
      <c r="N136" s="9"/>
      <c r="O136" s="9"/>
      <c r="P136" s="9"/>
      <c r="Q136" s="9"/>
      <c r="R136" s="9"/>
      <c r="S136" s="9"/>
      <c r="T136" s="9"/>
      <c r="U136" s="9"/>
      <c r="V136" s="3"/>
      <c r="W136" s="3"/>
      <c r="X136" s="3"/>
      <c r="Y136" s="3"/>
      <c r="Z136" s="3"/>
      <c r="AA136" s="3"/>
      <c r="AB136" s="3"/>
      <c r="AC136" s="3"/>
    </row>
    <row r="137" customFormat="false" ht="30.75" hidden="false" customHeight="true" outlineLevel="0" collapsed="false">
      <c r="A137" s="3"/>
      <c r="B137" s="143" t="s">
        <v>54</v>
      </c>
      <c r="C137" s="9"/>
      <c r="D137" s="9"/>
      <c r="E137" s="9"/>
      <c r="F137" s="9"/>
      <c r="G137" s="10"/>
      <c r="H137" s="10"/>
      <c r="I137" s="10"/>
      <c r="J137" s="10"/>
      <c r="K137" s="10"/>
      <c r="L137" s="10"/>
      <c r="M137" s="9"/>
      <c r="N137" s="9"/>
      <c r="O137" s="9"/>
      <c r="P137" s="9"/>
      <c r="Q137" s="9"/>
      <c r="R137" s="9"/>
      <c r="S137" s="9"/>
      <c r="T137" s="9"/>
      <c r="U137" s="9"/>
      <c r="V137" s="3"/>
      <c r="W137" s="3"/>
      <c r="X137" s="3"/>
      <c r="Y137" s="3"/>
      <c r="Z137" s="3"/>
      <c r="AA137" s="3"/>
      <c r="AB137" s="3"/>
      <c r="AC137" s="3"/>
    </row>
    <row r="138" customFormat="false" ht="36" hidden="false" customHeight="true" outlineLevel="0" collapsed="false">
      <c r="A138" s="3"/>
      <c r="B138" s="9" t="s">
        <v>7263</v>
      </c>
      <c r="C138" s="9"/>
      <c r="D138" s="9"/>
      <c r="E138" s="9"/>
      <c r="F138" s="9"/>
      <c r="G138" s="10"/>
      <c r="H138" s="10"/>
      <c r="I138" s="10"/>
      <c r="J138" s="10"/>
      <c r="K138" s="10"/>
      <c r="L138" s="10"/>
      <c r="M138" s="9"/>
      <c r="N138" s="9"/>
      <c r="O138" s="9"/>
      <c r="P138" s="9"/>
      <c r="Q138" s="9"/>
      <c r="R138" s="9"/>
      <c r="S138" s="9"/>
      <c r="T138" s="9"/>
      <c r="U138" s="9"/>
      <c r="V138" s="3"/>
      <c r="W138" s="3"/>
      <c r="X138" s="3"/>
      <c r="Y138" s="3"/>
      <c r="Z138" s="3"/>
      <c r="AA138" s="3"/>
      <c r="AB138" s="3"/>
      <c r="AC138" s="3"/>
    </row>
    <row r="139" customFormat="false" ht="30.75" hidden="false" customHeight="true" outlineLevel="0" collapsed="false">
      <c r="A139" s="3"/>
      <c r="B139" s="9"/>
      <c r="C139" s="9"/>
      <c r="D139" s="9"/>
      <c r="E139" s="9"/>
      <c r="F139" s="9"/>
      <c r="G139" s="10"/>
      <c r="H139" s="10"/>
      <c r="I139" s="10"/>
      <c r="J139" s="10"/>
      <c r="K139" s="10"/>
      <c r="L139" s="10"/>
      <c r="M139" s="9"/>
      <c r="N139" s="9"/>
      <c r="O139" s="9"/>
      <c r="P139" s="9"/>
      <c r="Q139" s="9"/>
      <c r="R139" s="9"/>
      <c r="S139" s="9"/>
      <c r="T139" s="9"/>
      <c r="U139" s="9"/>
      <c r="V139" s="3"/>
      <c r="W139" s="3"/>
      <c r="X139" s="3"/>
      <c r="Y139" s="3"/>
      <c r="Z139" s="3"/>
      <c r="AA139" s="3"/>
      <c r="AB139" s="3"/>
      <c r="AC139" s="3"/>
    </row>
    <row r="140" customFormat="false" ht="25.5" hidden="false" customHeight="true" outlineLevel="0" collapsed="false">
      <c r="A140" s="3"/>
      <c r="B140" s="133" t="s">
        <v>7047</v>
      </c>
      <c r="C140" s="133"/>
      <c r="D140" s="133"/>
      <c r="E140" s="133"/>
      <c r="F140" s="133"/>
      <c r="G140" s="40"/>
      <c r="H140" s="40"/>
      <c r="I140" s="10"/>
      <c r="J140" s="10"/>
      <c r="K140" s="10"/>
      <c r="L140" s="10"/>
      <c r="M140" s="9"/>
      <c r="N140" s="9"/>
      <c r="O140" s="9"/>
      <c r="P140" s="9"/>
      <c r="Q140" s="9"/>
      <c r="R140" s="9"/>
      <c r="S140" s="9"/>
      <c r="T140" s="9"/>
      <c r="U140" s="9"/>
      <c r="V140" s="3"/>
      <c r="W140" s="3"/>
      <c r="X140" s="3"/>
      <c r="Y140" s="3"/>
      <c r="Z140" s="3"/>
      <c r="AA140" s="3"/>
      <c r="AB140" s="3"/>
      <c r="AC140" s="3"/>
    </row>
    <row r="141" customFormat="false" ht="36" hidden="false" customHeight="true" outlineLevel="0" collapsed="false">
      <c r="A141" s="3"/>
      <c r="B141" s="21" t="s">
        <v>6917</v>
      </c>
      <c r="C141" s="30" t="s">
        <v>230</v>
      </c>
      <c r="D141" s="30" t="s">
        <v>6918</v>
      </c>
      <c r="E141" s="30" t="s">
        <v>6903</v>
      </c>
      <c r="F141" s="30" t="s">
        <v>6919</v>
      </c>
      <c r="G141" s="30" t="s">
        <v>6632</v>
      </c>
      <c r="H141" s="30" t="s">
        <v>232</v>
      </c>
      <c r="I141" s="30" t="s">
        <v>6921</v>
      </c>
      <c r="J141" s="30" t="s">
        <v>7130</v>
      </c>
      <c r="K141" s="30" t="s">
        <v>6922</v>
      </c>
      <c r="L141" s="30" t="s">
        <v>7131</v>
      </c>
      <c r="M141" s="30" t="s">
        <v>7132</v>
      </c>
      <c r="N141" s="30" t="s">
        <v>6925</v>
      </c>
      <c r="O141" s="30" t="s">
        <v>240</v>
      </c>
      <c r="P141" s="30" t="s">
        <v>242</v>
      </c>
      <c r="Q141" s="30" t="s">
        <v>7133</v>
      </c>
      <c r="R141" s="30" t="s">
        <v>7134</v>
      </c>
      <c r="S141" s="30" t="s">
        <v>7135</v>
      </c>
      <c r="T141" s="30" t="s">
        <v>7136</v>
      </c>
      <c r="U141" s="30" t="s">
        <v>7137</v>
      </c>
      <c r="V141" s="3"/>
      <c r="W141" s="3"/>
      <c r="X141" s="3"/>
      <c r="Y141" s="3"/>
      <c r="Z141" s="3"/>
      <c r="AA141" s="3"/>
      <c r="AB141" s="3"/>
      <c r="AC141" s="3"/>
    </row>
    <row r="142" customFormat="false" ht="75" hidden="false" customHeight="true" outlineLevel="0" collapsed="false">
      <c r="A142" s="3"/>
      <c r="B142" s="139" t="s">
        <v>6479</v>
      </c>
      <c r="C142" s="109" t="s">
        <v>354</v>
      </c>
      <c r="D142" s="109" t="s">
        <v>1552</v>
      </c>
      <c r="E142" s="109" t="s">
        <v>610</v>
      </c>
      <c r="F142" s="113" t="s">
        <v>1554</v>
      </c>
      <c r="G142" s="92" t="n">
        <v>1046.33</v>
      </c>
      <c r="H142" s="91" t="s">
        <v>333</v>
      </c>
      <c r="I142" s="91" t="s">
        <v>590</v>
      </c>
      <c r="J142" s="155" t="n">
        <v>0.19</v>
      </c>
      <c r="K142" s="144" t="n">
        <v>6</v>
      </c>
      <c r="L142" s="91" t="s">
        <v>625</v>
      </c>
      <c r="M142" s="156" t="n">
        <v>174.39</v>
      </c>
      <c r="N142" s="109" t="s">
        <v>530</v>
      </c>
      <c r="O142" s="109" t="s">
        <v>1553</v>
      </c>
      <c r="P142" s="109" t="s">
        <v>586</v>
      </c>
      <c r="Q142" s="156" t="s">
        <v>538</v>
      </c>
      <c r="R142" s="156" t="s">
        <v>538</v>
      </c>
      <c r="S142" s="109" t="n">
        <v>174.39</v>
      </c>
      <c r="T142" s="109" t="s">
        <v>538</v>
      </c>
      <c r="U142" s="109" t="s">
        <v>538</v>
      </c>
      <c r="V142" s="3"/>
      <c r="W142" s="3"/>
      <c r="X142" s="3"/>
      <c r="Y142" s="3"/>
      <c r="Z142" s="3"/>
      <c r="AA142" s="3"/>
      <c r="AB142" s="3"/>
      <c r="AC142" s="3"/>
    </row>
    <row r="143" customFormat="false" ht="75" hidden="false" customHeight="true" outlineLevel="0" collapsed="false">
      <c r="A143" s="3"/>
      <c r="B143" s="141" t="s">
        <v>6479</v>
      </c>
      <c r="C143" s="110" t="s">
        <v>332</v>
      </c>
      <c r="D143" s="110" t="s">
        <v>1556</v>
      </c>
      <c r="E143" s="110"/>
      <c r="F143" s="117" t="s">
        <v>1558</v>
      </c>
      <c r="G143" s="99" t="n">
        <v>220</v>
      </c>
      <c r="H143" s="98" t="s">
        <v>333</v>
      </c>
      <c r="I143" s="98" t="s">
        <v>590</v>
      </c>
      <c r="J143" s="157" t="n">
        <v>0.21</v>
      </c>
      <c r="K143" s="146" t="n">
        <v>1</v>
      </c>
      <c r="L143" s="98" t="s">
        <v>632</v>
      </c>
      <c r="M143" s="158" t="n">
        <v>220</v>
      </c>
      <c r="N143" s="110" t="s">
        <v>629</v>
      </c>
      <c r="O143" s="110" t="s">
        <v>1557</v>
      </c>
      <c r="P143" s="110" t="s">
        <v>586</v>
      </c>
      <c r="Q143" s="158" t="s">
        <v>538</v>
      </c>
      <c r="R143" s="158" t="s">
        <v>577</v>
      </c>
      <c r="S143" s="110" t="n">
        <v>220</v>
      </c>
      <c r="T143" s="110" t="s">
        <v>538</v>
      </c>
      <c r="U143" s="110" t="s">
        <v>577</v>
      </c>
      <c r="V143" s="3"/>
      <c r="W143" s="3"/>
      <c r="X143" s="3"/>
      <c r="Y143" s="3"/>
      <c r="Z143" s="3"/>
      <c r="AA143" s="3"/>
      <c r="AB143" s="3"/>
      <c r="AC143" s="3"/>
    </row>
    <row r="144" customFormat="false" ht="75" hidden="false" customHeight="true" outlineLevel="0" collapsed="false">
      <c r="A144" s="3"/>
      <c r="B144" s="139" t="s">
        <v>6479</v>
      </c>
      <c r="C144" s="109" t="s">
        <v>342</v>
      </c>
      <c r="D144" s="109" t="s">
        <v>1559</v>
      </c>
      <c r="E144" s="109" t="s">
        <v>733</v>
      </c>
      <c r="F144" s="113" t="s">
        <v>1561</v>
      </c>
      <c r="G144" s="92" t="n">
        <v>215</v>
      </c>
      <c r="H144" s="91" t="s">
        <v>333</v>
      </c>
      <c r="I144" s="91" t="s">
        <v>265</v>
      </c>
      <c r="J144" s="155" t="n">
        <v>0.21</v>
      </c>
      <c r="K144" s="144" t="n">
        <v>1</v>
      </c>
      <c r="L144" s="91" t="s">
        <v>632</v>
      </c>
      <c r="M144" s="156" t="n">
        <v>177.69</v>
      </c>
      <c r="N144" s="109" t="s">
        <v>530</v>
      </c>
      <c r="O144" s="109" t="s">
        <v>1560</v>
      </c>
      <c r="P144" s="109" t="s">
        <v>586</v>
      </c>
      <c r="Q144" s="156" t="s">
        <v>538</v>
      </c>
      <c r="R144" s="156" t="s">
        <v>538</v>
      </c>
      <c r="S144" s="109" t="n">
        <v>177.69</v>
      </c>
      <c r="T144" s="109" t="s">
        <v>538</v>
      </c>
      <c r="U144" s="109" t="s">
        <v>538</v>
      </c>
      <c r="V144" s="3"/>
      <c r="W144" s="3"/>
      <c r="X144" s="3"/>
      <c r="Y144" s="3"/>
      <c r="Z144" s="3"/>
      <c r="AA144" s="3"/>
      <c r="AB144" s="3"/>
      <c r="AC144" s="3"/>
    </row>
    <row r="145" customFormat="false" ht="75" hidden="false" customHeight="true" outlineLevel="0" collapsed="false">
      <c r="A145" s="3"/>
      <c r="B145" s="141" t="s">
        <v>6479</v>
      </c>
      <c r="C145" s="110" t="s">
        <v>346</v>
      </c>
      <c r="D145" s="110" t="s">
        <v>1562</v>
      </c>
      <c r="E145" s="110" t="s">
        <v>731</v>
      </c>
      <c r="F145" s="117" t="s">
        <v>1564</v>
      </c>
      <c r="G145" s="99" t="n">
        <v>443</v>
      </c>
      <c r="H145" s="98" t="s">
        <v>333</v>
      </c>
      <c r="I145" s="98" t="s">
        <v>265</v>
      </c>
      <c r="J145" s="157" t="n">
        <v>0.21</v>
      </c>
      <c r="K145" s="146" t="n">
        <v>1</v>
      </c>
      <c r="L145" s="98" t="s">
        <v>632</v>
      </c>
      <c r="M145" s="158" t="n">
        <v>366.12</v>
      </c>
      <c r="N145" s="110" t="s">
        <v>530</v>
      </c>
      <c r="O145" s="110" t="s">
        <v>1563</v>
      </c>
      <c r="P145" s="110" t="s">
        <v>586</v>
      </c>
      <c r="Q145" s="158" t="s">
        <v>538</v>
      </c>
      <c r="R145" s="158" t="s">
        <v>538</v>
      </c>
      <c r="S145" s="110" t="n">
        <v>366.12</v>
      </c>
      <c r="T145" s="110" t="s">
        <v>538</v>
      </c>
      <c r="U145" s="110" t="s">
        <v>538</v>
      </c>
      <c r="V145" s="3"/>
      <c r="W145" s="3"/>
      <c r="X145" s="3"/>
      <c r="Y145" s="3"/>
      <c r="Z145" s="3"/>
      <c r="AA145" s="3"/>
      <c r="AB145" s="3"/>
      <c r="AC145" s="3"/>
    </row>
    <row r="146" customFormat="false" ht="75" hidden="false" customHeight="true" outlineLevel="0" collapsed="false">
      <c r="A146" s="3"/>
      <c r="B146" s="139" t="s">
        <v>6479</v>
      </c>
      <c r="C146" s="109" t="s">
        <v>361</v>
      </c>
      <c r="D146" s="109" t="s">
        <v>1565</v>
      </c>
      <c r="E146" s="109" t="s">
        <v>642</v>
      </c>
      <c r="F146" s="113" t="s">
        <v>1567</v>
      </c>
      <c r="G146" s="92" t="n">
        <v>234</v>
      </c>
      <c r="H146" s="91" t="s">
        <v>333</v>
      </c>
      <c r="I146" s="91" t="s">
        <v>265</v>
      </c>
      <c r="J146" s="155" t="n">
        <v>0.21</v>
      </c>
      <c r="K146" s="144" t="n">
        <v>1</v>
      </c>
      <c r="L146" s="91" t="s">
        <v>632</v>
      </c>
      <c r="M146" s="156" t="n">
        <v>193.39</v>
      </c>
      <c r="N146" s="109" t="s">
        <v>530</v>
      </c>
      <c r="O146" s="109" t="s">
        <v>1566</v>
      </c>
      <c r="P146" s="109" t="s">
        <v>586</v>
      </c>
      <c r="Q146" s="156" t="s">
        <v>538</v>
      </c>
      <c r="R146" s="156" t="s">
        <v>538</v>
      </c>
      <c r="S146" s="109" t="n">
        <v>193.39</v>
      </c>
      <c r="T146" s="109" t="s">
        <v>538</v>
      </c>
      <c r="U146" s="109" t="s">
        <v>538</v>
      </c>
      <c r="V146" s="3"/>
      <c r="W146" s="3"/>
      <c r="X146" s="3"/>
      <c r="Y146" s="3"/>
      <c r="Z146" s="3"/>
      <c r="AA146" s="3"/>
      <c r="AB146" s="3"/>
      <c r="AC146" s="3"/>
    </row>
    <row r="147" customFormat="false" ht="75" hidden="false" customHeight="true" outlineLevel="0" collapsed="false">
      <c r="A147" s="3"/>
      <c r="B147" s="141" t="s">
        <v>6481</v>
      </c>
      <c r="C147" s="110" t="s">
        <v>354</v>
      </c>
      <c r="D147" s="110" t="s">
        <v>1595</v>
      </c>
      <c r="E147" s="110" t="s">
        <v>610</v>
      </c>
      <c r="F147" s="117" t="s">
        <v>1597</v>
      </c>
      <c r="G147" s="99" t="n">
        <v>1606.13</v>
      </c>
      <c r="H147" s="98" t="s">
        <v>333</v>
      </c>
      <c r="I147" s="98" t="s">
        <v>590</v>
      </c>
      <c r="J147" s="157" t="n">
        <v>0.19</v>
      </c>
      <c r="K147" s="146" t="n">
        <v>12</v>
      </c>
      <c r="L147" s="98" t="s">
        <v>625</v>
      </c>
      <c r="M147" s="158" t="n">
        <v>133.84</v>
      </c>
      <c r="N147" s="110" t="s">
        <v>530</v>
      </c>
      <c r="O147" s="110" t="s">
        <v>1596</v>
      </c>
      <c r="P147" s="110" t="s">
        <v>586</v>
      </c>
      <c r="Q147" s="158" t="s">
        <v>538</v>
      </c>
      <c r="R147" s="158" t="s">
        <v>538</v>
      </c>
      <c r="S147" s="110" t="n">
        <v>133.84</v>
      </c>
      <c r="T147" s="110" t="s">
        <v>538</v>
      </c>
      <c r="U147" s="110" t="s">
        <v>538</v>
      </c>
      <c r="V147" s="3"/>
      <c r="W147" s="3"/>
      <c r="X147" s="3"/>
      <c r="Y147" s="3"/>
      <c r="Z147" s="3"/>
      <c r="AA147" s="3"/>
      <c r="AB147" s="3"/>
      <c r="AC147" s="3"/>
    </row>
    <row r="148" customFormat="false" ht="75" hidden="false" customHeight="true" outlineLevel="0" collapsed="false">
      <c r="A148" s="3"/>
      <c r="B148" s="139" t="s">
        <v>6481</v>
      </c>
      <c r="C148" s="109" t="s">
        <v>332</v>
      </c>
      <c r="D148" s="109" t="s">
        <v>1598</v>
      </c>
      <c r="E148" s="109"/>
      <c r="F148" s="113" t="s">
        <v>1600</v>
      </c>
      <c r="G148" s="92" t="n">
        <v>159</v>
      </c>
      <c r="H148" s="91" t="s">
        <v>333</v>
      </c>
      <c r="I148" s="91" t="s">
        <v>590</v>
      </c>
      <c r="J148" s="155" t="n">
        <v>0.21</v>
      </c>
      <c r="K148" s="144" t="n">
        <v>1</v>
      </c>
      <c r="L148" s="91" t="s">
        <v>632</v>
      </c>
      <c r="M148" s="156" t="n">
        <v>159</v>
      </c>
      <c r="N148" s="109" t="s">
        <v>530</v>
      </c>
      <c r="O148" s="109" t="s">
        <v>1599</v>
      </c>
      <c r="P148" s="109" t="s">
        <v>586</v>
      </c>
      <c r="Q148" s="156" t="s">
        <v>538</v>
      </c>
      <c r="R148" s="156" t="s">
        <v>538</v>
      </c>
      <c r="S148" s="109" t="n">
        <v>159</v>
      </c>
      <c r="T148" s="109" t="s">
        <v>538</v>
      </c>
      <c r="U148" s="109" t="s">
        <v>538</v>
      </c>
      <c r="V148" s="3"/>
      <c r="W148" s="3"/>
      <c r="X148" s="3"/>
      <c r="Y148" s="3"/>
      <c r="Z148" s="3"/>
      <c r="AA148" s="3"/>
      <c r="AB148" s="3"/>
      <c r="AC148" s="3"/>
    </row>
    <row r="149" customFormat="false" ht="75" hidden="false" customHeight="true" outlineLevel="0" collapsed="false">
      <c r="A149" s="3"/>
      <c r="B149" s="141" t="s">
        <v>6481</v>
      </c>
      <c r="C149" s="110" t="s">
        <v>342</v>
      </c>
      <c r="D149" s="110" t="s">
        <v>1601</v>
      </c>
      <c r="E149" s="110" t="s">
        <v>1138</v>
      </c>
      <c r="F149" s="117" t="s">
        <v>1603</v>
      </c>
      <c r="G149" s="99" t="n">
        <v>134</v>
      </c>
      <c r="H149" s="98" t="s">
        <v>333</v>
      </c>
      <c r="I149" s="98" t="s">
        <v>265</v>
      </c>
      <c r="J149" s="157" t="n">
        <v>0.21</v>
      </c>
      <c r="K149" s="146" t="n">
        <v>1</v>
      </c>
      <c r="L149" s="98" t="s">
        <v>632</v>
      </c>
      <c r="M149" s="158" t="n">
        <v>110.74</v>
      </c>
      <c r="N149" s="110" t="s">
        <v>530</v>
      </c>
      <c r="O149" s="110" t="s">
        <v>1602</v>
      </c>
      <c r="P149" s="110" t="s">
        <v>586</v>
      </c>
      <c r="Q149" s="158" t="s">
        <v>538</v>
      </c>
      <c r="R149" s="158" t="s">
        <v>538</v>
      </c>
      <c r="S149" s="110" t="n">
        <v>110.74</v>
      </c>
      <c r="T149" s="110" t="s">
        <v>538</v>
      </c>
      <c r="U149" s="110" t="s">
        <v>538</v>
      </c>
      <c r="V149" s="3"/>
      <c r="W149" s="3"/>
      <c r="X149" s="3"/>
      <c r="Y149" s="3"/>
      <c r="Z149" s="3"/>
      <c r="AA149" s="3"/>
      <c r="AB149" s="3"/>
      <c r="AC149" s="3"/>
    </row>
    <row r="150" customFormat="false" ht="75" hidden="false" customHeight="true" outlineLevel="0" collapsed="false">
      <c r="A150" s="3"/>
      <c r="B150" s="139" t="s">
        <v>6481</v>
      </c>
      <c r="C150" s="109" t="s">
        <v>346</v>
      </c>
      <c r="D150" s="109" t="s">
        <v>1604</v>
      </c>
      <c r="E150" s="109" t="s">
        <v>565</v>
      </c>
      <c r="F150" s="113" t="s">
        <v>1606</v>
      </c>
      <c r="G150" s="92" t="n">
        <v>283</v>
      </c>
      <c r="H150" s="91" t="s">
        <v>333</v>
      </c>
      <c r="I150" s="91" t="s">
        <v>265</v>
      </c>
      <c r="J150" s="155" t="n">
        <v>0.21</v>
      </c>
      <c r="K150" s="144" t="n">
        <v>1</v>
      </c>
      <c r="L150" s="91" t="s">
        <v>632</v>
      </c>
      <c r="M150" s="156" t="n">
        <v>233.88</v>
      </c>
      <c r="N150" s="109" t="s">
        <v>530</v>
      </c>
      <c r="O150" s="109" t="s">
        <v>1605</v>
      </c>
      <c r="P150" s="109" t="s">
        <v>586</v>
      </c>
      <c r="Q150" s="156" t="s">
        <v>538</v>
      </c>
      <c r="R150" s="156" t="s">
        <v>538</v>
      </c>
      <c r="S150" s="109" t="n">
        <v>233.88</v>
      </c>
      <c r="T150" s="109" t="s">
        <v>538</v>
      </c>
      <c r="U150" s="109" t="s">
        <v>538</v>
      </c>
      <c r="V150" s="3"/>
      <c r="W150" s="3"/>
      <c r="X150" s="3"/>
      <c r="Y150" s="3"/>
      <c r="Z150" s="3"/>
      <c r="AA150" s="3"/>
      <c r="AB150" s="3"/>
      <c r="AC150" s="3"/>
    </row>
    <row r="151" customFormat="false" ht="75" hidden="false" customHeight="true" outlineLevel="0" collapsed="false">
      <c r="A151" s="3"/>
      <c r="B151" s="141" t="s">
        <v>6481</v>
      </c>
      <c r="C151" s="110" t="s">
        <v>361</v>
      </c>
      <c r="D151" s="110" t="s">
        <v>1607</v>
      </c>
      <c r="E151" s="110" t="s">
        <v>642</v>
      </c>
      <c r="F151" s="117" t="s">
        <v>1609</v>
      </c>
      <c r="G151" s="99" t="n">
        <v>229</v>
      </c>
      <c r="H151" s="98" t="s">
        <v>333</v>
      </c>
      <c r="I151" s="98" t="s">
        <v>265</v>
      </c>
      <c r="J151" s="157" t="n">
        <v>0.21</v>
      </c>
      <c r="K151" s="146" t="n">
        <v>1</v>
      </c>
      <c r="L151" s="98" t="s">
        <v>632</v>
      </c>
      <c r="M151" s="158" t="n">
        <v>189.26</v>
      </c>
      <c r="N151" s="110" t="s">
        <v>530</v>
      </c>
      <c r="O151" s="110" t="s">
        <v>1608</v>
      </c>
      <c r="P151" s="110" t="s">
        <v>586</v>
      </c>
      <c r="Q151" s="158" t="s">
        <v>538</v>
      </c>
      <c r="R151" s="158" t="s">
        <v>538</v>
      </c>
      <c r="S151" s="110" t="n">
        <v>189.26</v>
      </c>
      <c r="T151" s="110" t="s">
        <v>538</v>
      </c>
      <c r="U151" s="110" t="s">
        <v>538</v>
      </c>
      <c r="V151" s="3"/>
      <c r="W151" s="3"/>
      <c r="X151" s="3"/>
      <c r="Y151" s="3"/>
      <c r="Z151" s="3"/>
      <c r="AA151" s="3"/>
      <c r="AB151" s="3"/>
      <c r="AC151" s="3"/>
    </row>
    <row r="152" customFormat="false" ht="75" hidden="false" customHeight="true" outlineLevel="0" collapsed="false">
      <c r="A152" s="3"/>
      <c r="B152" s="139" t="s">
        <v>6482</v>
      </c>
      <c r="C152" s="109" t="s">
        <v>354</v>
      </c>
      <c r="D152" s="109" t="s">
        <v>1632</v>
      </c>
      <c r="E152" s="109" t="s">
        <v>610</v>
      </c>
      <c r="F152" s="113" t="s">
        <v>1634</v>
      </c>
      <c r="G152" s="92" t="n">
        <v>1216.71</v>
      </c>
      <c r="H152" s="91" t="s">
        <v>333</v>
      </c>
      <c r="I152" s="91" t="s">
        <v>590</v>
      </c>
      <c r="J152" s="155" t="n">
        <v>0.19</v>
      </c>
      <c r="K152" s="144" t="n">
        <v>12</v>
      </c>
      <c r="L152" s="91" t="s">
        <v>625</v>
      </c>
      <c r="M152" s="156" t="n">
        <v>101.39</v>
      </c>
      <c r="N152" s="109" t="s">
        <v>530</v>
      </c>
      <c r="O152" s="109" t="s">
        <v>1633</v>
      </c>
      <c r="P152" s="109" t="s">
        <v>586</v>
      </c>
      <c r="Q152" s="156" t="s">
        <v>538</v>
      </c>
      <c r="R152" s="156" t="s">
        <v>538</v>
      </c>
      <c r="S152" s="109" t="n">
        <v>101.39</v>
      </c>
      <c r="T152" s="109" t="s">
        <v>538</v>
      </c>
      <c r="U152" s="109" t="s">
        <v>538</v>
      </c>
      <c r="V152" s="3"/>
      <c r="W152" s="3"/>
      <c r="X152" s="3"/>
      <c r="Y152" s="3"/>
      <c r="Z152" s="3"/>
      <c r="AA152" s="3"/>
      <c r="AB152" s="3"/>
      <c r="AC152" s="3"/>
    </row>
    <row r="153" customFormat="false" ht="75" hidden="false" customHeight="true" outlineLevel="0" collapsed="false">
      <c r="A153" s="3"/>
      <c r="B153" s="141" t="s">
        <v>6482</v>
      </c>
      <c r="C153" s="110" t="s">
        <v>332</v>
      </c>
      <c r="D153" s="110" t="s">
        <v>1635</v>
      </c>
      <c r="E153" s="110"/>
      <c r="F153" s="117" t="s">
        <v>1637</v>
      </c>
      <c r="G153" s="99" t="n">
        <v>140</v>
      </c>
      <c r="H153" s="98" t="s">
        <v>333</v>
      </c>
      <c r="I153" s="98" t="s">
        <v>590</v>
      </c>
      <c r="J153" s="157" t="n">
        <v>0.21</v>
      </c>
      <c r="K153" s="146" t="n">
        <v>1</v>
      </c>
      <c r="L153" s="98" t="s">
        <v>632</v>
      </c>
      <c r="M153" s="158" t="n">
        <v>140</v>
      </c>
      <c r="N153" s="110" t="s">
        <v>530</v>
      </c>
      <c r="O153" s="110" t="s">
        <v>1636</v>
      </c>
      <c r="P153" s="110" t="s">
        <v>586</v>
      </c>
      <c r="Q153" s="158" t="s">
        <v>538</v>
      </c>
      <c r="R153" s="158" t="s">
        <v>538</v>
      </c>
      <c r="S153" s="110" t="n">
        <v>140</v>
      </c>
      <c r="T153" s="110" t="s">
        <v>538</v>
      </c>
      <c r="U153" s="110" t="s">
        <v>538</v>
      </c>
      <c r="V153" s="3"/>
      <c r="W153" s="3"/>
      <c r="X153" s="3"/>
      <c r="Y153" s="3"/>
      <c r="Z153" s="3"/>
      <c r="AA153" s="3"/>
      <c r="AB153" s="3"/>
      <c r="AC153" s="3"/>
    </row>
    <row r="154" customFormat="false" ht="75" hidden="false" customHeight="true" outlineLevel="0" collapsed="false">
      <c r="A154" s="3"/>
      <c r="B154" s="139" t="s">
        <v>6482</v>
      </c>
      <c r="C154" s="109" t="s">
        <v>342</v>
      </c>
      <c r="D154" s="109" t="s">
        <v>1638</v>
      </c>
      <c r="E154" s="109" t="s">
        <v>733</v>
      </c>
      <c r="F154" s="113" t="s">
        <v>1640</v>
      </c>
      <c r="G154" s="92" t="n">
        <v>162</v>
      </c>
      <c r="H154" s="91" t="s">
        <v>333</v>
      </c>
      <c r="I154" s="91" t="s">
        <v>265</v>
      </c>
      <c r="J154" s="155" t="n">
        <v>0.21</v>
      </c>
      <c r="K154" s="144" t="n">
        <v>1</v>
      </c>
      <c r="L154" s="91" t="s">
        <v>632</v>
      </c>
      <c r="M154" s="156" t="n">
        <v>133.88</v>
      </c>
      <c r="N154" s="109" t="s">
        <v>530</v>
      </c>
      <c r="O154" s="109" t="s">
        <v>1639</v>
      </c>
      <c r="P154" s="109" t="s">
        <v>586</v>
      </c>
      <c r="Q154" s="156" t="s">
        <v>538</v>
      </c>
      <c r="R154" s="156" t="s">
        <v>538</v>
      </c>
      <c r="S154" s="109" t="n">
        <v>133.88</v>
      </c>
      <c r="T154" s="109" t="s">
        <v>538</v>
      </c>
      <c r="U154" s="109" t="s">
        <v>538</v>
      </c>
      <c r="V154" s="3"/>
      <c r="W154" s="3"/>
      <c r="X154" s="3"/>
      <c r="Y154" s="3"/>
      <c r="Z154" s="3"/>
      <c r="AA154" s="3"/>
      <c r="AB154" s="3"/>
      <c r="AC154" s="3"/>
    </row>
    <row r="155" customFormat="false" ht="75" hidden="false" customHeight="true" outlineLevel="0" collapsed="false">
      <c r="A155" s="3"/>
      <c r="B155" s="141" t="s">
        <v>6482</v>
      </c>
      <c r="C155" s="110" t="s">
        <v>346</v>
      </c>
      <c r="D155" s="110" t="s">
        <v>1641</v>
      </c>
      <c r="E155" s="110" t="s">
        <v>731</v>
      </c>
      <c r="F155" s="117" t="s">
        <v>1643</v>
      </c>
      <c r="G155" s="99" t="n">
        <v>334</v>
      </c>
      <c r="H155" s="98" t="s">
        <v>333</v>
      </c>
      <c r="I155" s="98" t="s">
        <v>265</v>
      </c>
      <c r="J155" s="157" t="n">
        <v>0.21</v>
      </c>
      <c r="K155" s="146" t="n">
        <v>1</v>
      </c>
      <c r="L155" s="98" t="s">
        <v>632</v>
      </c>
      <c r="M155" s="158" t="n">
        <v>276.03</v>
      </c>
      <c r="N155" s="110" t="s">
        <v>530</v>
      </c>
      <c r="O155" s="110" t="s">
        <v>1642</v>
      </c>
      <c r="P155" s="110" t="s">
        <v>586</v>
      </c>
      <c r="Q155" s="158" t="s">
        <v>538</v>
      </c>
      <c r="R155" s="158" t="s">
        <v>538</v>
      </c>
      <c r="S155" s="110" t="n">
        <v>276.03</v>
      </c>
      <c r="T155" s="110" t="s">
        <v>538</v>
      </c>
      <c r="U155" s="110" t="s">
        <v>538</v>
      </c>
      <c r="V155" s="3"/>
      <c r="W155" s="3"/>
      <c r="X155" s="3"/>
      <c r="Y155" s="3"/>
      <c r="Z155" s="3"/>
      <c r="AA155" s="3"/>
      <c r="AB155" s="3"/>
      <c r="AC155" s="3"/>
    </row>
    <row r="156" customFormat="false" ht="75" hidden="false" customHeight="true" outlineLevel="0" collapsed="false">
      <c r="A156" s="3"/>
      <c r="B156" s="139" t="s">
        <v>6482</v>
      </c>
      <c r="C156" s="109" t="s">
        <v>361</v>
      </c>
      <c r="D156" s="109" t="s">
        <v>1644</v>
      </c>
      <c r="E156" s="109" t="s">
        <v>642</v>
      </c>
      <c r="F156" s="113" t="s">
        <v>1646</v>
      </c>
      <c r="G156" s="92" t="n">
        <v>227</v>
      </c>
      <c r="H156" s="91" t="s">
        <v>333</v>
      </c>
      <c r="I156" s="91" t="s">
        <v>265</v>
      </c>
      <c r="J156" s="155" t="n">
        <v>0.21</v>
      </c>
      <c r="K156" s="144" t="n">
        <v>1</v>
      </c>
      <c r="L156" s="91" t="s">
        <v>632</v>
      </c>
      <c r="M156" s="156" t="n">
        <v>187.6</v>
      </c>
      <c r="N156" s="109" t="s">
        <v>530</v>
      </c>
      <c r="O156" s="109" t="s">
        <v>1645</v>
      </c>
      <c r="P156" s="109" t="s">
        <v>586</v>
      </c>
      <c r="Q156" s="156" t="s">
        <v>538</v>
      </c>
      <c r="R156" s="156" t="s">
        <v>538</v>
      </c>
      <c r="S156" s="109" t="n">
        <v>187.6</v>
      </c>
      <c r="T156" s="109" t="s">
        <v>538</v>
      </c>
      <c r="U156" s="109" t="s">
        <v>538</v>
      </c>
      <c r="V156" s="3"/>
      <c r="W156" s="3"/>
      <c r="X156" s="3"/>
      <c r="Y156" s="3"/>
      <c r="Z156" s="3"/>
      <c r="AA156" s="3"/>
      <c r="AB156" s="3"/>
      <c r="AC156" s="3"/>
    </row>
    <row r="157" customFormat="false" ht="75" hidden="false" customHeight="true" outlineLevel="0" collapsed="false">
      <c r="A157" s="3"/>
      <c r="B157" s="141" t="s">
        <v>6483</v>
      </c>
      <c r="C157" s="110" t="s">
        <v>354</v>
      </c>
      <c r="D157" s="110" t="s">
        <v>1669</v>
      </c>
      <c r="E157" s="110" t="s">
        <v>610</v>
      </c>
      <c r="F157" s="117" t="s">
        <v>1671</v>
      </c>
      <c r="G157" s="99" t="n">
        <v>1679.15</v>
      </c>
      <c r="H157" s="98" t="s">
        <v>333</v>
      </c>
      <c r="I157" s="98" t="s">
        <v>590</v>
      </c>
      <c r="J157" s="157" t="n">
        <v>0.19</v>
      </c>
      <c r="K157" s="146" t="n">
        <v>6</v>
      </c>
      <c r="L157" s="98" t="s">
        <v>625</v>
      </c>
      <c r="M157" s="158" t="n">
        <v>279.86</v>
      </c>
      <c r="N157" s="110" t="s">
        <v>702</v>
      </c>
      <c r="O157" s="110" t="s">
        <v>1670</v>
      </c>
      <c r="P157" s="110" t="s">
        <v>586</v>
      </c>
      <c r="Q157" s="158" t="s">
        <v>538</v>
      </c>
      <c r="R157" s="158" t="s">
        <v>538</v>
      </c>
      <c r="S157" s="110" t="n">
        <v>279.86</v>
      </c>
      <c r="T157" s="110" t="s">
        <v>538</v>
      </c>
      <c r="U157" s="110" t="s">
        <v>538</v>
      </c>
      <c r="V157" s="3"/>
      <c r="W157" s="3"/>
      <c r="X157" s="3"/>
      <c r="Y157" s="3"/>
      <c r="Z157" s="3"/>
      <c r="AA157" s="3"/>
      <c r="AB157" s="3"/>
      <c r="AC157" s="3"/>
    </row>
    <row r="158" customFormat="false" ht="75" hidden="false" customHeight="true" outlineLevel="0" collapsed="false">
      <c r="A158" s="3"/>
      <c r="B158" s="139" t="s">
        <v>6483</v>
      </c>
      <c r="C158" s="109" t="s">
        <v>332</v>
      </c>
      <c r="D158" s="109" t="s">
        <v>1672</v>
      </c>
      <c r="E158" s="109"/>
      <c r="F158" s="113" t="s">
        <v>1674</v>
      </c>
      <c r="G158" s="92" t="n">
        <v>249</v>
      </c>
      <c r="H158" s="91" t="s">
        <v>333</v>
      </c>
      <c r="I158" s="91" t="s">
        <v>590</v>
      </c>
      <c r="J158" s="155" t="n">
        <v>0.21</v>
      </c>
      <c r="K158" s="144" t="n">
        <v>1</v>
      </c>
      <c r="L158" s="91" t="s">
        <v>632</v>
      </c>
      <c r="M158" s="156" t="n">
        <v>249</v>
      </c>
      <c r="N158" s="109" t="s">
        <v>530</v>
      </c>
      <c r="O158" s="109" t="s">
        <v>1673</v>
      </c>
      <c r="P158" s="109" t="s">
        <v>586</v>
      </c>
      <c r="Q158" s="156" t="s">
        <v>538</v>
      </c>
      <c r="R158" s="156" t="s">
        <v>538</v>
      </c>
      <c r="S158" s="109" t="n">
        <v>249</v>
      </c>
      <c r="T158" s="109" t="s">
        <v>538</v>
      </c>
      <c r="U158" s="109" t="s">
        <v>538</v>
      </c>
      <c r="V158" s="3"/>
      <c r="W158" s="3"/>
      <c r="X158" s="3"/>
      <c r="Y158" s="3"/>
      <c r="Z158" s="3"/>
      <c r="AA158" s="3"/>
      <c r="AB158" s="3"/>
      <c r="AC158" s="3"/>
    </row>
    <row r="159" customFormat="false" ht="75" hidden="false" customHeight="true" outlineLevel="0" collapsed="false">
      <c r="A159" s="3"/>
      <c r="B159" s="141" t="s">
        <v>6483</v>
      </c>
      <c r="C159" s="110" t="s">
        <v>342</v>
      </c>
      <c r="D159" s="110" t="s">
        <v>1675</v>
      </c>
      <c r="E159" s="110" t="s">
        <v>733</v>
      </c>
      <c r="F159" s="117" t="s">
        <v>1677</v>
      </c>
      <c r="G159" s="99" t="n">
        <v>293</v>
      </c>
      <c r="H159" s="98" t="s">
        <v>333</v>
      </c>
      <c r="I159" s="98" t="s">
        <v>265</v>
      </c>
      <c r="J159" s="157" t="n">
        <v>0.21</v>
      </c>
      <c r="K159" s="146" t="n">
        <v>1</v>
      </c>
      <c r="L159" s="98" t="s">
        <v>632</v>
      </c>
      <c r="M159" s="158" t="n">
        <v>242.15</v>
      </c>
      <c r="N159" s="110" t="s">
        <v>530</v>
      </c>
      <c r="O159" s="110" t="s">
        <v>1676</v>
      </c>
      <c r="P159" s="110" t="s">
        <v>586</v>
      </c>
      <c r="Q159" s="158" t="s">
        <v>538</v>
      </c>
      <c r="R159" s="158" t="s">
        <v>538</v>
      </c>
      <c r="S159" s="110" t="n">
        <v>242.15</v>
      </c>
      <c r="T159" s="110" t="s">
        <v>538</v>
      </c>
      <c r="U159" s="110" t="s">
        <v>538</v>
      </c>
      <c r="V159" s="3"/>
      <c r="W159" s="3"/>
      <c r="X159" s="3"/>
      <c r="Y159" s="3"/>
      <c r="Z159" s="3"/>
      <c r="AA159" s="3"/>
      <c r="AB159" s="3"/>
      <c r="AC159" s="3"/>
    </row>
    <row r="160" customFormat="false" ht="75" hidden="false" customHeight="true" outlineLevel="0" collapsed="false">
      <c r="A160" s="3"/>
      <c r="B160" s="139" t="s">
        <v>6483</v>
      </c>
      <c r="C160" s="109" t="s">
        <v>346</v>
      </c>
      <c r="D160" s="109" t="s">
        <v>1678</v>
      </c>
      <c r="E160" s="109" t="s">
        <v>565</v>
      </c>
      <c r="F160" s="113" t="s">
        <v>1680</v>
      </c>
      <c r="G160" s="92" t="n">
        <v>380</v>
      </c>
      <c r="H160" s="91" t="s">
        <v>333</v>
      </c>
      <c r="I160" s="91" t="s">
        <v>265</v>
      </c>
      <c r="J160" s="155" t="n">
        <v>0.21</v>
      </c>
      <c r="K160" s="144" t="n">
        <v>1</v>
      </c>
      <c r="L160" s="91" t="s">
        <v>632</v>
      </c>
      <c r="M160" s="156" t="n">
        <v>314.05</v>
      </c>
      <c r="N160" s="109" t="s">
        <v>530</v>
      </c>
      <c r="O160" s="109" t="s">
        <v>1679</v>
      </c>
      <c r="P160" s="109" t="s">
        <v>586</v>
      </c>
      <c r="Q160" s="156" t="s">
        <v>538</v>
      </c>
      <c r="R160" s="156" t="s">
        <v>538</v>
      </c>
      <c r="S160" s="109" t="n">
        <v>314.05</v>
      </c>
      <c r="T160" s="109" t="s">
        <v>538</v>
      </c>
      <c r="U160" s="109" t="s">
        <v>538</v>
      </c>
      <c r="V160" s="3"/>
      <c r="W160" s="3"/>
      <c r="X160" s="3"/>
      <c r="Y160" s="3"/>
      <c r="Z160" s="3"/>
      <c r="AA160" s="3"/>
      <c r="AB160" s="3"/>
      <c r="AC160" s="3"/>
    </row>
    <row r="161" customFormat="false" ht="75" hidden="false" customHeight="true" outlineLevel="0" collapsed="false">
      <c r="A161" s="3"/>
      <c r="B161" s="141" t="s">
        <v>6483</v>
      </c>
      <c r="C161" s="110" t="s">
        <v>361</v>
      </c>
      <c r="D161" s="110" t="s">
        <v>1681</v>
      </c>
      <c r="E161" s="110" t="s">
        <v>642</v>
      </c>
      <c r="F161" s="117" t="s">
        <v>1683</v>
      </c>
      <c r="G161" s="99" t="n">
        <v>357</v>
      </c>
      <c r="H161" s="98" t="s">
        <v>333</v>
      </c>
      <c r="I161" s="98" t="s">
        <v>265</v>
      </c>
      <c r="J161" s="157" t="n">
        <v>0.21</v>
      </c>
      <c r="K161" s="146" t="n">
        <v>1</v>
      </c>
      <c r="L161" s="98" t="s">
        <v>632</v>
      </c>
      <c r="M161" s="158" t="n">
        <v>295.04</v>
      </c>
      <c r="N161" s="110" t="s">
        <v>530</v>
      </c>
      <c r="O161" s="110" t="s">
        <v>1682</v>
      </c>
      <c r="P161" s="110" t="s">
        <v>586</v>
      </c>
      <c r="Q161" s="158" t="s">
        <v>538</v>
      </c>
      <c r="R161" s="158" t="s">
        <v>538</v>
      </c>
      <c r="S161" s="110" t="n">
        <v>295.04</v>
      </c>
      <c r="T161" s="110" t="s">
        <v>538</v>
      </c>
      <c r="U161" s="110" t="s">
        <v>538</v>
      </c>
      <c r="V161" s="3"/>
      <c r="W161" s="3"/>
      <c r="X161" s="3"/>
      <c r="Y161" s="3"/>
      <c r="Z161" s="3"/>
      <c r="AA161" s="3"/>
      <c r="AB161" s="3"/>
      <c r="AC161" s="3"/>
    </row>
    <row r="162" customFormat="false" ht="75" hidden="false" customHeight="true" outlineLevel="0" collapsed="false">
      <c r="A162" s="3"/>
      <c r="B162" s="139" t="s">
        <v>6484</v>
      </c>
      <c r="C162" s="109" t="s">
        <v>354</v>
      </c>
      <c r="D162" s="109" t="s">
        <v>1704</v>
      </c>
      <c r="E162" s="109" t="s">
        <v>610</v>
      </c>
      <c r="F162" s="113" t="s">
        <v>1705</v>
      </c>
      <c r="G162" s="92" t="n">
        <v>1070.67</v>
      </c>
      <c r="H162" s="91" t="s">
        <v>333</v>
      </c>
      <c r="I162" s="91" t="s">
        <v>590</v>
      </c>
      <c r="J162" s="155" t="n">
        <v>0.19</v>
      </c>
      <c r="K162" s="144" t="n">
        <v>12</v>
      </c>
      <c r="L162" s="91" t="s">
        <v>625</v>
      </c>
      <c r="M162" s="156" t="n">
        <v>89.22</v>
      </c>
      <c r="N162" s="109" t="s">
        <v>530</v>
      </c>
      <c r="O162" s="109"/>
      <c r="P162" s="109" t="s">
        <v>586</v>
      </c>
      <c r="Q162" s="156" t="s">
        <v>538</v>
      </c>
      <c r="R162" s="156" t="s">
        <v>538</v>
      </c>
      <c r="S162" s="109" t="n">
        <v>89.22</v>
      </c>
      <c r="T162" s="109" t="s">
        <v>538</v>
      </c>
      <c r="U162" s="109" t="s">
        <v>538</v>
      </c>
      <c r="V162" s="3"/>
      <c r="W162" s="3"/>
      <c r="X162" s="3"/>
      <c r="Y162" s="3"/>
      <c r="Z162" s="3"/>
      <c r="AA162" s="3"/>
      <c r="AB162" s="3"/>
      <c r="AC162" s="3"/>
    </row>
    <row r="163" customFormat="false" ht="75" hidden="false" customHeight="true" outlineLevel="0" collapsed="false">
      <c r="A163" s="3"/>
      <c r="B163" s="141" t="s">
        <v>6484</v>
      </c>
      <c r="C163" s="110" t="s">
        <v>332</v>
      </c>
      <c r="D163" s="110" t="s">
        <v>1706</v>
      </c>
      <c r="E163" s="110"/>
      <c r="F163" s="117" t="s">
        <v>1708</v>
      </c>
      <c r="G163" s="99" t="n">
        <v>75</v>
      </c>
      <c r="H163" s="98" t="s">
        <v>333</v>
      </c>
      <c r="I163" s="98" t="s">
        <v>590</v>
      </c>
      <c r="J163" s="157" t="n">
        <v>0.21</v>
      </c>
      <c r="K163" s="146" t="n">
        <v>1</v>
      </c>
      <c r="L163" s="98" t="s">
        <v>632</v>
      </c>
      <c r="M163" s="158" t="n">
        <v>75</v>
      </c>
      <c r="N163" s="110" t="s">
        <v>530</v>
      </c>
      <c r="O163" s="110" t="s">
        <v>1707</v>
      </c>
      <c r="P163" s="110" t="s">
        <v>586</v>
      </c>
      <c r="Q163" s="158" t="s">
        <v>538</v>
      </c>
      <c r="R163" s="158" t="s">
        <v>538</v>
      </c>
      <c r="S163" s="110" t="n">
        <v>75</v>
      </c>
      <c r="T163" s="110" t="s">
        <v>538</v>
      </c>
      <c r="U163" s="110" t="s">
        <v>538</v>
      </c>
      <c r="V163" s="3"/>
      <c r="W163" s="3"/>
      <c r="X163" s="3"/>
      <c r="Y163" s="3"/>
      <c r="Z163" s="3"/>
      <c r="AA163" s="3"/>
      <c r="AB163" s="3"/>
      <c r="AC163" s="3"/>
    </row>
    <row r="164" customFormat="false" ht="75" hidden="false" customHeight="true" outlineLevel="0" collapsed="false">
      <c r="A164" s="3"/>
      <c r="B164" s="139" t="s">
        <v>6484</v>
      </c>
      <c r="C164" s="109" t="s">
        <v>342</v>
      </c>
      <c r="D164" s="109" t="s">
        <v>1709</v>
      </c>
      <c r="E164" s="109" t="s">
        <v>733</v>
      </c>
      <c r="F164" s="113" t="s">
        <v>1711</v>
      </c>
      <c r="G164" s="92" t="n">
        <v>57</v>
      </c>
      <c r="H164" s="91" t="s">
        <v>333</v>
      </c>
      <c r="I164" s="91" t="s">
        <v>265</v>
      </c>
      <c r="J164" s="155" t="n">
        <v>0.21</v>
      </c>
      <c r="K164" s="144" t="n">
        <v>1</v>
      </c>
      <c r="L164" s="91" t="s">
        <v>632</v>
      </c>
      <c r="M164" s="156" t="n">
        <v>47.11</v>
      </c>
      <c r="N164" s="109" t="s">
        <v>530</v>
      </c>
      <c r="O164" s="109" t="s">
        <v>1710</v>
      </c>
      <c r="P164" s="109" t="s">
        <v>586</v>
      </c>
      <c r="Q164" s="156" t="s">
        <v>538</v>
      </c>
      <c r="R164" s="156" t="s">
        <v>538</v>
      </c>
      <c r="S164" s="109" t="n">
        <v>47.11</v>
      </c>
      <c r="T164" s="109" t="s">
        <v>538</v>
      </c>
      <c r="U164" s="109" t="s">
        <v>538</v>
      </c>
      <c r="V164" s="3"/>
      <c r="W164" s="3"/>
      <c r="X164" s="3"/>
      <c r="Y164" s="3"/>
      <c r="Z164" s="3"/>
      <c r="AA164" s="3"/>
      <c r="AB164" s="3"/>
      <c r="AC164" s="3"/>
    </row>
    <row r="165" customFormat="false" ht="75" hidden="false" customHeight="true" outlineLevel="0" collapsed="false">
      <c r="A165" s="3"/>
      <c r="B165" s="141" t="s">
        <v>6484</v>
      </c>
      <c r="C165" s="110" t="s">
        <v>346</v>
      </c>
      <c r="D165" s="110" t="s">
        <v>1712</v>
      </c>
      <c r="E165" s="110" t="s">
        <v>731</v>
      </c>
      <c r="F165" s="117" t="s">
        <v>1714</v>
      </c>
      <c r="G165" s="99" t="n">
        <v>130</v>
      </c>
      <c r="H165" s="98" t="s">
        <v>333</v>
      </c>
      <c r="I165" s="98" t="s">
        <v>265</v>
      </c>
      <c r="J165" s="157" t="n">
        <v>0.21</v>
      </c>
      <c r="K165" s="146" t="n">
        <v>1</v>
      </c>
      <c r="L165" s="98" t="s">
        <v>632</v>
      </c>
      <c r="M165" s="158" t="n">
        <v>107.44</v>
      </c>
      <c r="N165" s="110" t="s">
        <v>530</v>
      </c>
      <c r="O165" s="110" t="s">
        <v>1713</v>
      </c>
      <c r="P165" s="110" t="s">
        <v>586</v>
      </c>
      <c r="Q165" s="158" t="s">
        <v>538</v>
      </c>
      <c r="R165" s="158" t="s">
        <v>538</v>
      </c>
      <c r="S165" s="110" t="n">
        <v>107.44</v>
      </c>
      <c r="T165" s="110" t="s">
        <v>538</v>
      </c>
      <c r="U165" s="110" t="s">
        <v>538</v>
      </c>
      <c r="V165" s="3"/>
      <c r="W165" s="3"/>
      <c r="X165" s="3"/>
      <c r="Y165" s="3"/>
      <c r="Z165" s="3"/>
      <c r="AA165" s="3"/>
      <c r="AB165" s="3"/>
      <c r="AC165" s="3"/>
    </row>
    <row r="166" customFormat="false" ht="75" hidden="false" customHeight="true" outlineLevel="0" collapsed="false">
      <c r="A166" s="3"/>
      <c r="B166" s="139" t="s">
        <v>6484</v>
      </c>
      <c r="C166" s="109" t="s">
        <v>361</v>
      </c>
      <c r="D166" s="109" t="s">
        <v>1715</v>
      </c>
      <c r="E166" s="109" t="s">
        <v>642</v>
      </c>
      <c r="F166" s="113" t="s">
        <v>1717</v>
      </c>
      <c r="G166" s="92" t="n">
        <v>94</v>
      </c>
      <c r="H166" s="91" t="s">
        <v>333</v>
      </c>
      <c r="I166" s="91" t="s">
        <v>265</v>
      </c>
      <c r="J166" s="155" t="n">
        <v>0.21</v>
      </c>
      <c r="K166" s="144" t="n">
        <v>1</v>
      </c>
      <c r="L166" s="91" t="s">
        <v>632</v>
      </c>
      <c r="M166" s="156" t="n">
        <v>77.69</v>
      </c>
      <c r="N166" s="109" t="s">
        <v>530</v>
      </c>
      <c r="O166" s="109" t="s">
        <v>1716</v>
      </c>
      <c r="P166" s="109" t="s">
        <v>586</v>
      </c>
      <c r="Q166" s="156" t="s">
        <v>538</v>
      </c>
      <c r="R166" s="156" t="s">
        <v>538</v>
      </c>
      <c r="S166" s="109" t="n">
        <v>77.69</v>
      </c>
      <c r="T166" s="109" t="s">
        <v>538</v>
      </c>
      <c r="U166" s="109" t="s">
        <v>538</v>
      </c>
      <c r="V166" s="3"/>
      <c r="W166" s="3"/>
      <c r="X166" s="3"/>
      <c r="Y166" s="3"/>
      <c r="Z166" s="3"/>
      <c r="AA166" s="3"/>
      <c r="AB166" s="3"/>
      <c r="AC166" s="3"/>
    </row>
    <row r="167" customFormat="false" ht="75" hidden="false" customHeight="true" outlineLevel="0" collapsed="false">
      <c r="A167" s="3"/>
      <c r="B167" s="141" t="s">
        <v>6485</v>
      </c>
      <c r="C167" s="110" t="s">
        <v>354</v>
      </c>
      <c r="D167" s="110" t="s">
        <v>1736</v>
      </c>
      <c r="E167" s="110" t="s">
        <v>610</v>
      </c>
      <c r="F167" s="117" t="s">
        <v>1737</v>
      </c>
      <c r="G167" s="99" t="n">
        <v>997.66</v>
      </c>
      <c r="H167" s="98" t="s">
        <v>333</v>
      </c>
      <c r="I167" s="98" t="s">
        <v>590</v>
      </c>
      <c r="J167" s="157" t="n">
        <v>0.19</v>
      </c>
      <c r="K167" s="146" t="n">
        <v>12</v>
      </c>
      <c r="L167" s="98" t="s">
        <v>625</v>
      </c>
      <c r="M167" s="158" t="n">
        <v>83.14</v>
      </c>
      <c r="N167" s="110" t="s">
        <v>530</v>
      </c>
      <c r="O167" s="110"/>
      <c r="P167" s="110" t="s">
        <v>586</v>
      </c>
      <c r="Q167" s="158" t="s">
        <v>538</v>
      </c>
      <c r="R167" s="158" t="s">
        <v>538</v>
      </c>
      <c r="S167" s="110" t="n">
        <v>83.14</v>
      </c>
      <c r="T167" s="110" t="s">
        <v>538</v>
      </c>
      <c r="U167" s="110" t="s">
        <v>538</v>
      </c>
      <c r="V167" s="3"/>
      <c r="W167" s="3"/>
      <c r="X167" s="3"/>
      <c r="Y167" s="3"/>
      <c r="Z167" s="3"/>
      <c r="AA167" s="3"/>
      <c r="AB167" s="3"/>
      <c r="AC167" s="3"/>
    </row>
    <row r="168" customFormat="false" ht="75" hidden="false" customHeight="true" outlineLevel="0" collapsed="false">
      <c r="A168" s="3"/>
      <c r="B168" s="139" t="s">
        <v>6485</v>
      </c>
      <c r="C168" s="109" t="s">
        <v>342</v>
      </c>
      <c r="D168" s="109" t="s">
        <v>1738</v>
      </c>
      <c r="E168" s="109" t="s">
        <v>733</v>
      </c>
      <c r="F168" s="113" t="s">
        <v>1740</v>
      </c>
      <c r="G168" s="92" t="n">
        <v>83</v>
      </c>
      <c r="H168" s="91" t="s">
        <v>333</v>
      </c>
      <c r="I168" s="91" t="s">
        <v>265</v>
      </c>
      <c r="J168" s="155" t="n">
        <v>0.21</v>
      </c>
      <c r="K168" s="144" t="n">
        <v>1</v>
      </c>
      <c r="L168" s="91" t="s">
        <v>632</v>
      </c>
      <c r="M168" s="156" t="n">
        <v>68.6</v>
      </c>
      <c r="N168" s="109" t="s">
        <v>530</v>
      </c>
      <c r="O168" s="109" t="s">
        <v>1739</v>
      </c>
      <c r="P168" s="109" t="s">
        <v>586</v>
      </c>
      <c r="Q168" s="156" t="s">
        <v>538</v>
      </c>
      <c r="R168" s="156" t="s">
        <v>538</v>
      </c>
      <c r="S168" s="109" t="n">
        <v>68.6</v>
      </c>
      <c r="T168" s="109" t="s">
        <v>538</v>
      </c>
      <c r="U168" s="109" t="s">
        <v>538</v>
      </c>
      <c r="V168" s="3"/>
      <c r="W168" s="3"/>
      <c r="X168" s="3"/>
      <c r="Y168" s="3"/>
      <c r="Z168" s="3"/>
      <c r="AA168" s="3"/>
      <c r="AB168" s="3"/>
      <c r="AC168" s="3"/>
    </row>
    <row r="169" customFormat="false" ht="75" hidden="false" customHeight="true" outlineLevel="0" collapsed="false">
      <c r="A169" s="3"/>
      <c r="B169" s="141" t="s">
        <v>6485</v>
      </c>
      <c r="C169" s="110" t="s">
        <v>346</v>
      </c>
      <c r="D169" s="110" t="s">
        <v>1741</v>
      </c>
      <c r="E169" s="110" t="s">
        <v>662</v>
      </c>
      <c r="F169" s="117" t="s">
        <v>1743</v>
      </c>
      <c r="G169" s="99" t="n">
        <v>124</v>
      </c>
      <c r="H169" s="98" t="s">
        <v>333</v>
      </c>
      <c r="I169" s="98" t="s">
        <v>265</v>
      </c>
      <c r="J169" s="157" t="n">
        <v>0.21</v>
      </c>
      <c r="K169" s="146" t="n">
        <v>1</v>
      </c>
      <c r="L169" s="98" t="s">
        <v>632</v>
      </c>
      <c r="M169" s="158" t="n">
        <v>102.48</v>
      </c>
      <c r="N169" s="110" t="s">
        <v>530</v>
      </c>
      <c r="O169" s="110" t="s">
        <v>1742</v>
      </c>
      <c r="P169" s="110" t="s">
        <v>586</v>
      </c>
      <c r="Q169" s="158" t="s">
        <v>538</v>
      </c>
      <c r="R169" s="158" t="s">
        <v>538</v>
      </c>
      <c r="S169" s="110" t="n">
        <v>102.48</v>
      </c>
      <c r="T169" s="110" t="s">
        <v>538</v>
      </c>
      <c r="U169" s="110" t="s">
        <v>538</v>
      </c>
      <c r="V169" s="3"/>
      <c r="W169" s="3"/>
      <c r="X169" s="3"/>
      <c r="Y169" s="3"/>
      <c r="Z169" s="3"/>
      <c r="AA169" s="3"/>
      <c r="AB169" s="3"/>
      <c r="AC169" s="3"/>
    </row>
    <row r="170" customFormat="false" ht="75" hidden="false" customHeight="true" outlineLevel="0" collapsed="false">
      <c r="A170" s="3"/>
      <c r="B170" s="139" t="s">
        <v>6485</v>
      </c>
      <c r="C170" s="109" t="s">
        <v>361</v>
      </c>
      <c r="D170" s="109" t="s">
        <v>1744</v>
      </c>
      <c r="E170" s="109" t="s">
        <v>642</v>
      </c>
      <c r="F170" s="113" t="s">
        <v>1746</v>
      </c>
      <c r="G170" s="92" t="n">
        <v>105</v>
      </c>
      <c r="H170" s="91" t="s">
        <v>333</v>
      </c>
      <c r="I170" s="91" t="s">
        <v>265</v>
      </c>
      <c r="J170" s="155" t="n">
        <v>0.21</v>
      </c>
      <c r="K170" s="144" t="n">
        <v>1</v>
      </c>
      <c r="L170" s="91" t="s">
        <v>632</v>
      </c>
      <c r="M170" s="156" t="n">
        <v>86.78</v>
      </c>
      <c r="N170" s="109" t="s">
        <v>530</v>
      </c>
      <c r="O170" s="109" t="s">
        <v>1745</v>
      </c>
      <c r="P170" s="109" t="s">
        <v>586</v>
      </c>
      <c r="Q170" s="156" t="s">
        <v>538</v>
      </c>
      <c r="R170" s="156" t="s">
        <v>538</v>
      </c>
      <c r="S170" s="109" t="n">
        <v>86.78</v>
      </c>
      <c r="T170" s="109" t="s">
        <v>538</v>
      </c>
      <c r="U170" s="109" t="s">
        <v>538</v>
      </c>
      <c r="V170" s="3"/>
      <c r="W170" s="3"/>
      <c r="X170" s="3"/>
      <c r="Y170" s="3"/>
      <c r="Z170" s="3"/>
      <c r="AA170" s="3"/>
      <c r="AB170" s="3"/>
      <c r="AC170" s="3"/>
    </row>
    <row r="171" customFormat="false" ht="75" hidden="false" customHeight="true" outlineLevel="0" collapsed="false">
      <c r="A171" s="3"/>
      <c r="B171" s="141" t="s">
        <v>52</v>
      </c>
      <c r="C171" s="110" t="s">
        <v>332</v>
      </c>
      <c r="D171" s="110" t="s">
        <v>869</v>
      </c>
      <c r="E171" s="110"/>
      <c r="F171" s="117" t="s">
        <v>871</v>
      </c>
      <c r="G171" s="99" t="n">
        <v>29</v>
      </c>
      <c r="H171" s="98" t="s">
        <v>333</v>
      </c>
      <c r="I171" s="98" t="s">
        <v>590</v>
      </c>
      <c r="J171" s="157" t="n">
        <v>0.21</v>
      </c>
      <c r="K171" s="146" t="n">
        <v>1</v>
      </c>
      <c r="L171" s="98" t="s">
        <v>632</v>
      </c>
      <c r="M171" s="158" t="n">
        <v>29</v>
      </c>
      <c r="N171" s="110" t="s">
        <v>629</v>
      </c>
      <c r="O171" s="110" t="s">
        <v>1762</v>
      </c>
      <c r="P171" s="110" t="s">
        <v>586</v>
      </c>
      <c r="Q171" s="158" t="s">
        <v>538</v>
      </c>
      <c r="R171" s="158" t="s">
        <v>577</v>
      </c>
      <c r="S171" s="110" t="n">
        <v>29</v>
      </c>
      <c r="T171" s="110" t="s">
        <v>538</v>
      </c>
      <c r="U171" s="110" t="s">
        <v>577</v>
      </c>
      <c r="V171" s="3"/>
      <c r="W171" s="3"/>
      <c r="X171" s="3"/>
      <c r="Y171" s="3"/>
      <c r="Z171" s="3"/>
      <c r="AA171" s="3"/>
      <c r="AB171" s="3"/>
      <c r="AC171" s="3"/>
    </row>
    <row r="172" customFormat="false" ht="75" hidden="false" customHeight="true" outlineLevel="0" collapsed="false">
      <c r="A172" s="3"/>
      <c r="B172" s="139" t="s">
        <v>52</v>
      </c>
      <c r="C172" s="109" t="s">
        <v>342</v>
      </c>
      <c r="D172" s="109" t="s">
        <v>1763</v>
      </c>
      <c r="E172" s="109" t="s">
        <v>646</v>
      </c>
      <c r="F172" s="113" t="s">
        <v>1765</v>
      </c>
      <c r="G172" s="92" t="n">
        <v>43</v>
      </c>
      <c r="H172" s="91" t="s">
        <v>333</v>
      </c>
      <c r="I172" s="91" t="s">
        <v>265</v>
      </c>
      <c r="J172" s="155" t="n">
        <v>0.21</v>
      </c>
      <c r="K172" s="144" t="n">
        <v>1</v>
      </c>
      <c r="L172" s="91" t="s">
        <v>632</v>
      </c>
      <c r="M172" s="156" t="n">
        <v>35.54</v>
      </c>
      <c r="N172" s="109" t="s">
        <v>702</v>
      </c>
      <c r="O172" s="109" t="s">
        <v>1764</v>
      </c>
      <c r="P172" s="109" t="s">
        <v>586</v>
      </c>
      <c r="Q172" s="156" t="s">
        <v>538</v>
      </c>
      <c r="R172" s="156" t="s">
        <v>538</v>
      </c>
      <c r="S172" s="109" t="n">
        <v>35.54</v>
      </c>
      <c r="T172" s="109" t="s">
        <v>538</v>
      </c>
      <c r="U172" s="109" t="s">
        <v>538</v>
      </c>
      <c r="V172" s="3"/>
      <c r="W172" s="3"/>
      <c r="X172" s="3"/>
      <c r="Y172" s="3"/>
      <c r="Z172" s="3"/>
      <c r="AA172" s="3"/>
      <c r="AB172" s="3"/>
      <c r="AC172" s="3"/>
    </row>
    <row r="173" customFormat="false" ht="75" hidden="false" customHeight="true" outlineLevel="0" collapsed="false">
      <c r="A173" s="3"/>
      <c r="B173" s="141" t="s">
        <v>52</v>
      </c>
      <c r="C173" s="110" t="s">
        <v>346</v>
      </c>
      <c r="D173" s="110" t="s">
        <v>1766</v>
      </c>
      <c r="E173" s="110" t="s">
        <v>565</v>
      </c>
      <c r="F173" s="117" t="s">
        <v>1768</v>
      </c>
      <c r="G173" s="99" t="n">
        <v>99</v>
      </c>
      <c r="H173" s="98" t="s">
        <v>333</v>
      </c>
      <c r="I173" s="98" t="s">
        <v>265</v>
      </c>
      <c r="J173" s="157" t="n">
        <v>0.21</v>
      </c>
      <c r="K173" s="146" t="n">
        <v>1</v>
      </c>
      <c r="L173" s="98" t="s">
        <v>632</v>
      </c>
      <c r="M173" s="158" t="n">
        <v>81.82</v>
      </c>
      <c r="N173" s="110" t="s">
        <v>702</v>
      </c>
      <c r="O173" s="110" t="s">
        <v>1767</v>
      </c>
      <c r="P173" s="110" t="s">
        <v>586</v>
      </c>
      <c r="Q173" s="158" t="s">
        <v>538</v>
      </c>
      <c r="R173" s="158" t="s">
        <v>538</v>
      </c>
      <c r="S173" s="110" t="n">
        <v>81.82</v>
      </c>
      <c r="T173" s="110" t="s">
        <v>538</v>
      </c>
      <c r="U173" s="110" t="s">
        <v>538</v>
      </c>
      <c r="V173" s="3"/>
      <c r="W173" s="3"/>
      <c r="X173" s="3"/>
      <c r="Y173" s="3"/>
      <c r="Z173" s="3"/>
      <c r="AA173" s="3"/>
      <c r="AB173" s="3"/>
      <c r="AC173" s="3"/>
    </row>
    <row r="174" customFormat="false" ht="75" hidden="false" customHeight="true" outlineLevel="0" collapsed="false">
      <c r="A174" s="3"/>
      <c r="B174" s="139" t="s">
        <v>52</v>
      </c>
      <c r="C174" s="109" t="s">
        <v>361</v>
      </c>
      <c r="D174" s="109" t="s">
        <v>1769</v>
      </c>
      <c r="E174" s="109" t="s">
        <v>882</v>
      </c>
      <c r="F174" s="113" t="s">
        <v>1771</v>
      </c>
      <c r="G174" s="92" t="n">
        <v>52</v>
      </c>
      <c r="H174" s="91" t="s">
        <v>333</v>
      </c>
      <c r="I174" s="91" t="s">
        <v>265</v>
      </c>
      <c r="J174" s="155" t="n">
        <v>0.21</v>
      </c>
      <c r="K174" s="144" t="n">
        <v>1</v>
      </c>
      <c r="L174" s="91" t="s">
        <v>632</v>
      </c>
      <c r="M174" s="156" t="n">
        <v>42.98</v>
      </c>
      <c r="N174" s="109" t="s">
        <v>702</v>
      </c>
      <c r="O174" s="109" t="s">
        <v>1770</v>
      </c>
      <c r="P174" s="109" t="s">
        <v>586</v>
      </c>
      <c r="Q174" s="156" t="s">
        <v>538</v>
      </c>
      <c r="R174" s="156" t="s">
        <v>538</v>
      </c>
      <c r="S174" s="109" t="n">
        <v>42.98</v>
      </c>
      <c r="T174" s="109" t="s">
        <v>538</v>
      </c>
      <c r="U174" s="109" t="s">
        <v>538</v>
      </c>
      <c r="V174" s="3"/>
      <c r="W174" s="3"/>
      <c r="X174" s="3"/>
      <c r="Y174" s="3"/>
      <c r="Z174" s="3"/>
      <c r="AA174" s="3"/>
      <c r="AB174" s="3"/>
      <c r="AC174" s="3"/>
    </row>
    <row r="175" customFormat="false" ht="75" hidden="false" customHeight="true" outlineLevel="0" collapsed="false">
      <c r="A175" s="3"/>
      <c r="B175" s="141" t="s">
        <v>53</v>
      </c>
      <c r="C175" s="110" t="s">
        <v>354</v>
      </c>
      <c r="D175" s="110" t="s">
        <v>1790</v>
      </c>
      <c r="E175" s="110" t="s">
        <v>610</v>
      </c>
      <c r="F175" s="117" t="s">
        <v>1792</v>
      </c>
      <c r="G175" s="99" t="n">
        <v>827.28</v>
      </c>
      <c r="H175" s="98" t="s">
        <v>333</v>
      </c>
      <c r="I175" s="98" t="s">
        <v>590</v>
      </c>
      <c r="J175" s="157" t="n">
        <v>0.19</v>
      </c>
      <c r="K175" s="146" t="n">
        <v>6</v>
      </c>
      <c r="L175" s="98" t="s">
        <v>625</v>
      </c>
      <c r="M175" s="158" t="n">
        <v>137.88</v>
      </c>
      <c r="N175" s="110" t="s">
        <v>702</v>
      </c>
      <c r="O175" s="110" t="s">
        <v>1791</v>
      </c>
      <c r="P175" s="110" t="s">
        <v>586</v>
      </c>
      <c r="Q175" s="158" t="s">
        <v>538</v>
      </c>
      <c r="R175" s="158" t="s">
        <v>538</v>
      </c>
      <c r="S175" s="110" t="n">
        <v>137.88</v>
      </c>
      <c r="T175" s="110" t="s">
        <v>538</v>
      </c>
      <c r="U175" s="110" t="s">
        <v>538</v>
      </c>
      <c r="V175" s="3"/>
      <c r="W175" s="3"/>
      <c r="X175" s="3"/>
      <c r="Y175" s="3"/>
      <c r="Z175" s="3"/>
      <c r="AA175" s="3"/>
      <c r="AB175" s="3"/>
      <c r="AC175" s="3"/>
    </row>
    <row r="176" customFormat="false" ht="75" hidden="false" customHeight="true" outlineLevel="0" collapsed="false">
      <c r="A176" s="3"/>
      <c r="B176" s="139" t="s">
        <v>53</v>
      </c>
      <c r="C176" s="109" t="s">
        <v>332</v>
      </c>
      <c r="D176" s="109" t="s">
        <v>1793</v>
      </c>
      <c r="E176" s="109"/>
      <c r="F176" s="113" t="s">
        <v>1795</v>
      </c>
      <c r="G176" s="92" t="n">
        <v>39</v>
      </c>
      <c r="H176" s="91" t="s">
        <v>333</v>
      </c>
      <c r="I176" s="91" t="s">
        <v>590</v>
      </c>
      <c r="J176" s="155" t="n">
        <v>0.21</v>
      </c>
      <c r="K176" s="144" t="n">
        <v>1</v>
      </c>
      <c r="L176" s="91" t="s">
        <v>632</v>
      </c>
      <c r="M176" s="156" t="n">
        <v>39</v>
      </c>
      <c r="N176" s="109" t="s">
        <v>702</v>
      </c>
      <c r="O176" s="109" t="s">
        <v>1794</v>
      </c>
      <c r="P176" s="109" t="s">
        <v>586</v>
      </c>
      <c r="Q176" s="156" t="s">
        <v>538</v>
      </c>
      <c r="R176" s="156" t="s">
        <v>538</v>
      </c>
      <c r="S176" s="109" t="n">
        <v>39</v>
      </c>
      <c r="T176" s="109" t="s">
        <v>538</v>
      </c>
      <c r="U176" s="109" t="s">
        <v>538</v>
      </c>
      <c r="V176" s="3"/>
      <c r="W176" s="3"/>
      <c r="X176" s="3"/>
      <c r="Y176" s="3"/>
      <c r="Z176" s="3"/>
      <c r="AA176" s="3"/>
      <c r="AB176" s="3"/>
      <c r="AC176" s="3"/>
    </row>
    <row r="177" customFormat="false" ht="75" hidden="false" customHeight="true" outlineLevel="0" collapsed="false">
      <c r="A177" s="3"/>
      <c r="B177" s="141" t="s">
        <v>53</v>
      </c>
      <c r="C177" s="110" t="s">
        <v>342</v>
      </c>
      <c r="D177" s="110" t="s">
        <v>1796</v>
      </c>
      <c r="E177" s="110" t="s">
        <v>361</v>
      </c>
      <c r="F177" s="117" t="s">
        <v>1798</v>
      </c>
      <c r="G177" s="99" t="n">
        <v>34</v>
      </c>
      <c r="H177" s="98" t="s">
        <v>333</v>
      </c>
      <c r="I177" s="98" t="s">
        <v>265</v>
      </c>
      <c r="J177" s="157" t="n">
        <v>0.21</v>
      </c>
      <c r="K177" s="146" t="n">
        <v>1</v>
      </c>
      <c r="L177" s="98" t="s">
        <v>632</v>
      </c>
      <c r="M177" s="158" t="n">
        <v>28.1</v>
      </c>
      <c r="N177" s="110" t="s">
        <v>702</v>
      </c>
      <c r="O177" s="110" t="s">
        <v>1797</v>
      </c>
      <c r="P177" s="110" t="s">
        <v>586</v>
      </c>
      <c r="Q177" s="158" t="s">
        <v>538</v>
      </c>
      <c r="R177" s="158" t="s">
        <v>538</v>
      </c>
      <c r="S177" s="110" t="n">
        <v>28.1</v>
      </c>
      <c r="T177" s="110" t="s">
        <v>538</v>
      </c>
      <c r="U177" s="110" t="s">
        <v>538</v>
      </c>
      <c r="V177" s="3"/>
      <c r="W177" s="3"/>
      <c r="X177" s="3"/>
      <c r="Y177" s="3"/>
      <c r="Z177" s="3"/>
      <c r="AA177" s="3"/>
      <c r="AB177" s="3"/>
      <c r="AC177" s="3"/>
    </row>
    <row r="178" customFormat="false" ht="75" hidden="false" customHeight="true" outlineLevel="0" collapsed="false">
      <c r="A178" s="3"/>
      <c r="B178" s="139" t="s">
        <v>53</v>
      </c>
      <c r="C178" s="109" t="s">
        <v>346</v>
      </c>
      <c r="D178" s="109" t="s">
        <v>1799</v>
      </c>
      <c r="E178" s="109" t="s">
        <v>565</v>
      </c>
      <c r="F178" s="113" t="s">
        <v>1801</v>
      </c>
      <c r="G178" s="92" t="n">
        <v>154</v>
      </c>
      <c r="H178" s="91" t="s">
        <v>333</v>
      </c>
      <c r="I178" s="91" t="s">
        <v>265</v>
      </c>
      <c r="J178" s="155" t="n">
        <v>0.21</v>
      </c>
      <c r="K178" s="144" t="n">
        <v>1</v>
      </c>
      <c r="L178" s="91" t="s">
        <v>632</v>
      </c>
      <c r="M178" s="156" t="n">
        <v>127.27</v>
      </c>
      <c r="N178" s="109" t="s">
        <v>702</v>
      </c>
      <c r="O178" s="109" t="s">
        <v>1800</v>
      </c>
      <c r="P178" s="109" t="s">
        <v>586</v>
      </c>
      <c r="Q178" s="156" t="s">
        <v>538</v>
      </c>
      <c r="R178" s="156" t="s">
        <v>538</v>
      </c>
      <c r="S178" s="109" t="n">
        <v>127.27</v>
      </c>
      <c r="T178" s="109" t="s">
        <v>538</v>
      </c>
      <c r="U178" s="109" t="s">
        <v>538</v>
      </c>
      <c r="V178" s="3"/>
      <c r="W178" s="3"/>
      <c r="X178" s="3"/>
      <c r="Y178" s="3"/>
      <c r="Z178" s="3"/>
      <c r="AA178" s="3"/>
      <c r="AB178" s="3"/>
      <c r="AC178" s="3"/>
    </row>
    <row r="179" customFormat="false" ht="75" hidden="false" customHeight="true" outlineLevel="0" collapsed="false">
      <c r="A179" s="3"/>
      <c r="B179" s="141" t="s">
        <v>53</v>
      </c>
      <c r="C179" s="110" t="s">
        <v>361</v>
      </c>
      <c r="D179" s="110" t="s">
        <v>1802</v>
      </c>
      <c r="E179" s="110" t="s">
        <v>361</v>
      </c>
      <c r="F179" s="117" t="s">
        <v>1804</v>
      </c>
      <c r="G179" s="99" t="n">
        <v>34</v>
      </c>
      <c r="H179" s="98" t="s">
        <v>333</v>
      </c>
      <c r="I179" s="98" t="s">
        <v>265</v>
      </c>
      <c r="J179" s="157" t="n">
        <v>0.21</v>
      </c>
      <c r="K179" s="146" t="n">
        <v>1</v>
      </c>
      <c r="L179" s="98" t="s">
        <v>632</v>
      </c>
      <c r="M179" s="158" t="n">
        <v>28.1</v>
      </c>
      <c r="N179" s="110" t="s">
        <v>702</v>
      </c>
      <c r="O179" s="110" t="s">
        <v>1803</v>
      </c>
      <c r="P179" s="110" t="s">
        <v>586</v>
      </c>
      <c r="Q179" s="158" t="s">
        <v>538</v>
      </c>
      <c r="R179" s="158" t="s">
        <v>538</v>
      </c>
      <c r="S179" s="110" t="n">
        <v>28.1</v>
      </c>
      <c r="T179" s="110" t="s">
        <v>538</v>
      </c>
      <c r="U179" s="110" t="s">
        <v>538</v>
      </c>
      <c r="V179" s="3"/>
      <c r="W179" s="3"/>
      <c r="X179" s="3"/>
      <c r="Y179" s="3"/>
      <c r="Z179" s="3"/>
      <c r="AA179" s="3"/>
      <c r="AB179" s="3"/>
      <c r="AC179" s="3"/>
    </row>
    <row r="180" customFormat="false" ht="75" hidden="false" customHeight="true" outlineLevel="0" collapsed="false">
      <c r="A180" s="3"/>
      <c r="B180" s="139" t="s">
        <v>6486</v>
      </c>
      <c r="C180" s="109" t="s">
        <v>354</v>
      </c>
      <c r="D180" s="109" t="s">
        <v>1827</v>
      </c>
      <c r="E180" s="109" t="s">
        <v>610</v>
      </c>
      <c r="F180" s="113" t="s">
        <v>1828</v>
      </c>
      <c r="G180" s="92" t="n">
        <v>413.52</v>
      </c>
      <c r="H180" s="91" t="s">
        <v>333</v>
      </c>
      <c r="I180" s="91" t="s">
        <v>590</v>
      </c>
      <c r="J180" s="155" t="n">
        <v>0.19</v>
      </c>
      <c r="K180" s="144" t="n">
        <v>1</v>
      </c>
      <c r="L180" s="91" t="s">
        <v>632</v>
      </c>
      <c r="M180" s="156" t="n">
        <v>413.52</v>
      </c>
      <c r="N180" s="109" t="s">
        <v>629</v>
      </c>
      <c r="O180" s="109" t="s">
        <v>1809</v>
      </c>
      <c r="P180" s="109" t="s">
        <v>586</v>
      </c>
      <c r="Q180" s="156" t="s">
        <v>538</v>
      </c>
      <c r="R180" s="156" t="s">
        <v>577</v>
      </c>
      <c r="S180" s="109" t="n">
        <v>413.52</v>
      </c>
      <c r="T180" s="109" t="s">
        <v>538</v>
      </c>
      <c r="U180" s="109" t="s">
        <v>577</v>
      </c>
      <c r="V180" s="3"/>
      <c r="W180" s="3"/>
      <c r="X180" s="3"/>
      <c r="Y180" s="3"/>
      <c r="Z180" s="3"/>
      <c r="AA180" s="3"/>
      <c r="AB180" s="3"/>
      <c r="AC180" s="3"/>
    </row>
    <row r="181" customFormat="false" ht="75" hidden="false" customHeight="true" outlineLevel="0" collapsed="false">
      <c r="A181" s="3"/>
      <c r="B181" s="141" t="s">
        <v>6486</v>
      </c>
      <c r="C181" s="110" t="s">
        <v>342</v>
      </c>
      <c r="D181" s="110" t="s">
        <v>1829</v>
      </c>
      <c r="E181" s="110" t="s">
        <v>388</v>
      </c>
      <c r="F181" s="117" t="s">
        <v>1831</v>
      </c>
      <c r="G181" s="99" t="n">
        <v>304</v>
      </c>
      <c r="H181" s="98" t="s">
        <v>333</v>
      </c>
      <c r="I181" s="98" t="s">
        <v>265</v>
      </c>
      <c r="J181" s="157" t="n">
        <v>0.21</v>
      </c>
      <c r="K181" s="146" t="n">
        <v>1</v>
      </c>
      <c r="L181" s="98" t="s">
        <v>632</v>
      </c>
      <c r="M181" s="158" t="n">
        <v>251.24</v>
      </c>
      <c r="N181" s="110" t="s">
        <v>629</v>
      </c>
      <c r="O181" s="110" t="s">
        <v>1830</v>
      </c>
      <c r="P181" s="110" t="s">
        <v>586</v>
      </c>
      <c r="Q181" s="158" t="s">
        <v>538</v>
      </c>
      <c r="R181" s="158" t="s">
        <v>577</v>
      </c>
      <c r="S181" s="110" t="n">
        <v>251.24</v>
      </c>
      <c r="T181" s="110" t="s">
        <v>538</v>
      </c>
      <c r="U181" s="110" t="s">
        <v>577</v>
      </c>
      <c r="V181" s="3"/>
      <c r="W181" s="3"/>
      <c r="X181" s="3"/>
      <c r="Y181" s="3"/>
      <c r="Z181" s="3"/>
      <c r="AA181" s="3"/>
      <c r="AB181" s="3"/>
      <c r="AC181" s="3"/>
    </row>
    <row r="182" customFormat="false" ht="75" hidden="false" customHeight="true" outlineLevel="0" collapsed="false">
      <c r="A182" s="3"/>
      <c r="B182" s="139" t="s">
        <v>6486</v>
      </c>
      <c r="C182" s="109" t="s">
        <v>346</v>
      </c>
      <c r="D182" s="109" t="s">
        <v>1832</v>
      </c>
      <c r="E182" s="109" t="s">
        <v>1074</v>
      </c>
      <c r="F182" s="113" t="s">
        <v>1834</v>
      </c>
      <c r="G182" s="92" t="n">
        <v>1082</v>
      </c>
      <c r="H182" s="91" t="s">
        <v>333</v>
      </c>
      <c r="I182" s="91" t="s">
        <v>265</v>
      </c>
      <c r="J182" s="155" t="n">
        <v>0.21</v>
      </c>
      <c r="K182" s="144" t="n">
        <v>1</v>
      </c>
      <c r="L182" s="91" t="s">
        <v>632</v>
      </c>
      <c r="M182" s="156" t="n">
        <v>894.21</v>
      </c>
      <c r="N182" s="109" t="s">
        <v>702</v>
      </c>
      <c r="O182" s="109" t="s">
        <v>1833</v>
      </c>
      <c r="P182" s="109" t="s">
        <v>586</v>
      </c>
      <c r="Q182" s="156" t="s">
        <v>538</v>
      </c>
      <c r="R182" s="156" t="s">
        <v>538</v>
      </c>
      <c r="S182" s="109" t="n">
        <v>894.21</v>
      </c>
      <c r="T182" s="109" t="s">
        <v>538</v>
      </c>
      <c r="U182" s="109" t="s">
        <v>538</v>
      </c>
      <c r="V182" s="3"/>
      <c r="W182" s="3"/>
      <c r="X182" s="3"/>
      <c r="Y182" s="3"/>
      <c r="Z182" s="3"/>
      <c r="AA182" s="3"/>
      <c r="AB182" s="3"/>
      <c r="AC182" s="3"/>
    </row>
    <row r="183" customFormat="false" ht="75" hidden="false" customHeight="true" outlineLevel="0" collapsed="false">
      <c r="A183" s="3"/>
      <c r="B183" s="141" t="s">
        <v>6486</v>
      </c>
      <c r="C183" s="110" t="s">
        <v>361</v>
      </c>
      <c r="D183" s="110" t="s">
        <v>1835</v>
      </c>
      <c r="E183" s="110" t="s">
        <v>361</v>
      </c>
      <c r="F183" s="117" t="s">
        <v>1837</v>
      </c>
      <c r="G183" s="99" t="n">
        <v>353</v>
      </c>
      <c r="H183" s="98" t="s">
        <v>333</v>
      </c>
      <c r="I183" s="98" t="s">
        <v>265</v>
      </c>
      <c r="J183" s="157" t="n">
        <v>0.21</v>
      </c>
      <c r="K183" s="146" t="n">
        <v>1</v>
      </c>
      <c r="L183" s="98" t="s">
        <v>632</v>
      </c>
      <c r="M183" s="158" t="n">
        <v>291.74</v>
      </c>
      <c r="N183" s="110" t="s">
        <v>629</v>
      </c>
      <c r="O183" s="110" t="s">
        <v>1836</v>
      </c>
      <c r="P183" s="110" t="s">
        <v>586</v>
      </c>
      <c r="Q183" s="158" t="s">
        <v>538</v>
      </c>
      <c r="R183" s="158" t="s">
        <v>577</v>
      </c>
      <c r="S183" s="110" t="n">
        <v>291.74</v>
      </c>
      <c r="T183" s="110" t="s">
        <v>538</v>
      </c>
      <c r="U183" s="110" t="s">
        <v>577</v>
      </c>
      <c r="V183" s="3"/>
      <c r="W183" s="3"/>
      <c r="X183" s="3"/>
      <c r="Y183" s="3"/>
      <c r="Z183" s="3"/>
      <c r="AA183" s="3"/>
      <c r="AB183" s="3"/>
      <c r="AC183" s="3"/>
    </row>
    <row r="184" customFormat="false" ht="75" hidden="false" customHeight="true" outlineLevel="0" collapsed="false">
      <c r="A184" s="3"/>
      <c r="B184" s="139" t="s">
        <v>6488</v>
      </c>
      <c r="C184" s="109" t="s">
        <v>354</v>
      </c>
      <c r="D184" s="109" t="s">
        <v>1854</v>
      </c>
      <c r="E184" s="109" t="s">
        <v>610</v>
      </c>
      <c r="F184" s="113" t="s">
        <v>1364</v>
      </c>
      <c r="G184" s="92" t="n">
        <v>1752.16</v>
      </c>
      <c r="H184" s="91" t="s">
        <v>333</v>
      </c>
      <c r="I184" s="91" t="s">
        <v>590</v>
      </c>
      <c r="J184" s="155" t="n">
        <v>0.19</v>
      </c>
      <c r="K184" s="144" t="n">
        <v>8</v>
      </c>
      <c r="L184" s="91" t="s">
        <v>625</v>
      </c>
      <c r="M184" s="156" t="n">
        <v>219.02</v>
      </c>
      <c r="N184" s="109" t="s">
        <v>702</v>
      </c>
      <c r="O184" s="109" t="s">
        <v>1855</v>
      </c>
      <c r="P184" s="109" t="s">
        <v>586</v>
      </c>
      <c r="Q184" s="156" t="s">
        <v>538</v>
      </c>
      <c r="R184" s="156" t="s">
        <v>538</v>
      </c>
      <c r="S184" s="109" t="n">
        <v>219.02</v>
      </c>
      <c r="T184" s="109" t="s">
        <v>538</v>
      </c>
      <c r="U184" s="109" t="s">
        <v>538</v>
      </c>
      <c r="V184" s="3"/>
      <c r="W184" s="3"/>
      <c r="X184" s="3"/>
      <c r="Y184" s="3"/>
      <c r="Z184" s="3"/>
      <c r="AA184" s="3"/>
      <c r="AB184" s="3"/>
      <c r="AC184" s="3"/>
    </row>
    <row r="185" customFormat="false" ht="75" hidden="false" customHeight="true" outlineLevel="0" collapsed="false">
      <c r="A185" s="3"/>
      <c r="B185" s="141" t="s">
        <v>6488</v>
      </c>
      <c r="C185" s="110" t="s">
        <v>332</v>
      </c>
      <c r="D185" s="110" t="s">
        <v>1250</v>
      </c>
      <c r="E185" s="110"/>
      <c r="F185" s="117" t="s">
        <v>1252</v>
      </c>
      <c r="G185" s="99" t="n">
        <v>390</v>
      </c>
      <c r="H185" s="98" t="s">
        <v>333</v>
      </c>
      <c r="I185" s="98" t="s">
        <v>590</v>
      </c>
      <c r="J185" s="157" t="n">
        <v>0.21</v>
      </c>
      <c r="K185" s="146" t="n">
        <v>1</v>
      </c>
      <c r="L185" s="98" t="s">
        <v>632</v>
      </c>
      <c r="M185" s="158" t="n">
        <v>390</v>
      </c>
      <c r="N185" s="110" t="s">
        <v>629</v>
      </c>
      <c r="O185" s="110" t="s">
        <v>1856</v>
      </c>
      <c r="P185" s="110" t="s">
        <v>586</v>
      </c>
      <c r="Q185" s="158" t="s">
        <v>538</v>
      </c>
      <c r="R185" s="158" t="s">
        <v>577</v>
      </c>
      <c r="S185" s="110" t="n">
        <v>390</v>
      </c>
      <c r="T185" s="110" t="s">
        <v>538</v>
      </c>
      <c r="U185" s="110" t="s">
        <v>577</v>
      </c>
      <c r="V185" s="3"/>
      <c r="W185" s="3"/>
      <c r="X185" s="3"/>
      <c r="Y185" s="3"/>
      <c r="Z185" s="3"/>
      <c r="AA185" s="3"/>
      <c r="AB185" s="3"/>
      <c r="AC185" s="3"/>
    </row>
    <row r="186" customFormat="false" ht="75" hidden="false" customHeight="true" outlineLevel="0" collapsed="false">
      <c r="A186" s="3"/>
      <c r="B186" s="139" t="s">
        <v>6488</v>
      </c>
      <c r="C186" s="109" t="s">
        <v>342</v>
      </c>
      <c r="D186" s="109" t="s">
        <v>1857</v>
      </c>
      <c r="E186" s="109" t="s">
        <v>361</v>
      </c>
      <c r="F186" s="113" t="s">
        <v>1859</v>
      </c>
      <c r="G186" s="92" t="n">
        <v>339</v>
      </c>
      <c r="H186" s="91" t="s">
        <v>333</v>
      </c>
      <c r="I186" s="91" t="s">
        <v>265</v>
      </c>
      <c r="J186" s="155" t="n">
        <v>0.21</v>
      </c>
      <c r="K186" s="144" t="n">
        <v>1</v>
      </c>
      <c r="L186" s="91" t="s">
        <v>632</v>
      </c>
      <c r="M186" s="156" t="n">
        <v>280.17</v>
      </c>
      <c r="N186" s="109" t="s">
        <v>530</v>
      </c>
      <c r="O186" s="109" t="s">
        <v>1858</v>
      </c>
      <c r="P186" s="109" t="s">
        <v>586</v>
      </c>
      <c r="Q186" s="156" t="s">
        <v>538</v>
      </c>
      <c r="R186" s="156" t="s">
        <v>538</v>
      </c>
      <c r="S186" s="109" t="n">
        <v>280.17</v>
      </c>
      <c r="T186" s="109" t="s">
        <v>538</v>
      </c>
      <c r="U186" s="109" t="s">
        <v>538</v>
      </c>
      <c r="V186" s="3"/>
      <c r="W186" s="3"/>
      <c r="X186" s="3"/>
      <c r="Y186" s="3"/>
      <c r="Z186" s="3"/>
      <c r="AA186" s="3"/>
      <c r="AB186" s="3"/>
      <c r="AC186" s="3"/>
    </row>
    <row r="187" customFormat="false" ht="75" hidden="false" customHeight="true" outlineLevel="0" collapsed="false">
      <c r="A187" s="3"/>
      <c r="B187" s="141" t="s">
        <v>6488</v>
      </c>
      <c r="C187" s="110" t="s">
        <v>346</v>
      </c>
      <c r="D187" s="110" t="s">
        <v>1369</v>
      </c>
      <c r="E187" s="110" t="s">
        <v>1372</v>
      </c>
      <c r="F187" s="117" t="s">
        <v>1371</v>
      </c>
      <c r="G187" s="99" t="n">
        <v>285</v>
      </c>
      <c r="H187" s="98" t="s">
        <v>333</v>
      </c>
      <c r="I187" s="98" t="s">
        <v>265</v>
      </c>
      <c r="J187" s="157" t="n">
        <v>0.21</v>
      </c>
      <c r="K187" s="146" t="n">
        <v>1</v>
      </c>
      <c r="L187" s="98" t="s">
        <v>632</v>
      </c>
      <c r="M187" s="158" t="n">
        <v>235.54</v>
      </c>
      <c r="N187" s="110" t="s">
        <v>702</v>
      </c>
      <c r="O187" s="110" t="s">
        <v>1860</v>
      </c>
      <c r="P187" s="110" t="s">
        <v>586</v>
      </c>
      <c r="Q187" s="158" t="s">
        <v>538</v>
      </c>
      <c r="R187" s="158" t="s">
        <v>538</v>
      </c>
      <c r="S187" s="110" t="n">
        <v>235.54</v>
      </c>
      <c r="T187" s="110" t="s">
        <v>538</v>
      </c>
      <c r="U187" s="110" t="s">
        <v>538</v>
      </c>
      <c r="V187" s="3"/>
      <c r="W187" s="3"/>
      <c r="X187" s="3"/>
      <c r="Y187" s="3"/>
      <c r="Z187" s="3"/>
      <c r="AA187" s="3"/>
      <c r="AB187" s="3"/>
      <c r="AC187" s="3"/>
    </row>
    <row r="188" customFormat="false" ht="75" hidden="false" customHeight="true" outlineLevel="0" collapsed="false">
      <c r="A188" s="3"/>
      <c r="B188" s="139" t="s">
        <v>6488</v>
      </c>
      <c r="C188" s="109" t="s">
        <v>361</v>
      </c>
      <c r="D188" s="109" t="s">
        <v>1259</v>
      </c>
      <c r="E188" s="109" t="s">
        <v>361</v>
      </c>
      <c r="F188" s="113" t="s">
        <v>1261</v>
      </c>
      <c r="G188" s="92" t="n">
        <v>339</v>
      </c>
      <c r="H188" s="91" t="s">
        <v>333</v>
      </c>
      <c r="I188" s="91" t="s">
        <v>265</v>
      </c>
      <c r="J188" s="155" t="n">
        <v>0.21</v>
      </c>
      <c r="K188" s="144" t="n">
        <v>1</v>
      </c>
      <c r="L188" s="91" t="s">
        <v>632</v>
      </c>
      <c r="M188" s="156" t="n">
        <v>280.17</v>
      </c>
      <c r="N188" s="109" t="s">
        <v>530</v>
      </c>
      <c r="O188" s="109" t="s">
        <v>1861</v>
      </c>
      <c r="P188" s="109" t="s">
        <v>586</v>
      </c>
      <c r="Q188" s="156" t="s">
        <v>538</v>
      </c>
      <c r="R188" s="156" t="s">
        <v>538</v>
      </c>
      <c r="S188" s="109" t="n">
        <v>280.17</v>
      </c>
      <c r="T188" s="109" t="s">
        <v>538</v>
      </c>
      <c r="U188" s="109" t="s">
        <v>538</v>
      </c>
      <c r="V188" s="3"/>
      <c r="W188" s="3"/>
      <c r="X188" s="3"/>
      <c r="Y188" s="3"/>
      <c r="Z188" s="3"/>
      <c r="AA188" s="3"/>
      <c r="AB188" s="3"/>
      <c r="AC188" s="3"/>
    </row>
    <row r="189" customFormat="false" ht="75" hidden="false" customHeight="true" outlineLevel="0" collapsed="false">
      <c r="A189" s="3"/>
      <c r="B189" s="141" t="s">
        <v>6490</v>
      </c>
      <c r="C189" s="110" t="s">
        <v>354</v>
      </c>
      <c r="D189" s="110" t="s">
        <v>1883</v>
      </c>
      <c r="E189" s="110" t="s">
        <v>610</v>
      </c>
      <c r="F189" s="117" t="s">
        <v>1884</v>
      </c>
      <c r="G189" s="99" t="n">
        <v>1314.06</v>
      </c>
      <c r="H189" s="98" t="s">
        <v>333</v>
      </c>
      <c r="I189" s="98" t="s">
        <v>590</v>
      </c>
      <c r="J189" s="157" t="n">
        <v>0.19</v>
      </c>
      <c r="K189" s="146" t="n">
        <v>6</v>
      </c>
      <c r="L189" s="98" t="s">
        <v>625</v>
      </c>
      <c r="M189" s="158" t="n">
        <v>219.01</v>
      </c>
      <c r="N189" s="110" t="s">
        <v>530</v>
      </c>
      <c r="O189" s="110" t="s">
        <v>696</v>
      </c>
      <c r="P189" s="110" t="s">
        <v>586</v>
      </c>
      <c r="Q189" s="158" t="s">
        <v>538</v>
      </c>
      <c r="R189" s="158" t="s">
        <v>538</v>
      </c>
      <c r="S189" s="110" t="n">
        <v>219.01</v>
      </c>
      <c r="T189" s="110" t="s">
        <v>538</v>
      </c>
      <c r="U189" s="110" t="s">
        <v>538</v>
      </c>
      <c r="V189" s="3"/>
      <c r="W189" s="3"/>
      <c r="X189" s="3"/>
      <c r="Y189" s="3"/>
      <c r="Z189" s="3"/>
      <c r="AA189" s="3"/>
      <c r="AB189" s="3"/>
      <c r="AC189" s="3"/>
    </row>
    <row r="190" customFormat="false" ht="75" hidden="false" customHeight="true" outlineLevel="0" collapsed="false">
      <c r="A190" s="3"/>
      <c r="B190" s="139" t="s">
        <v>6490</v>
      </c>
      <c r="C190" s="109" t="s">
        <v>332</v>
      </c>
      <c r="D190" s="109" t="s">
        <v>628</v>
      </c>
      <c r="E190" s="109"/>
      <c r="F190" s="113" t="s">
        <v>631</v>
      </c>
      <c r="G190" s="92" t="n">
        <v>289</v>
      </c>
      <c r="H190" s="91" t="s">
        <v>333</v>
      </c>
      <c r="I190" s="91" t="s">
        <v>590</v>
      </c>
      <c r="J190" s="155" t="n">
        <v>0.21</v>
      </c>
      <c r="K190" s="144" t="n">
        <v>1</v>
      </c>
      <c r="L190" s="91" t="s">
        <v>632</v>
      </c>
      <c r="M190" s="156" t="n">
        <v>289</v>
      </c>
      <c r="N190" s="109" t="s">
        <v>530</v>
      </c>
      <c r="O190" s="109" t="s">
        <v>1885</v>
      </c>
      <c r="P190" s="109" t="s">
        <v>586</v>
      </c>
      <c r="Q190" s="156" t="s">
        <v>538</v>
      </c>
      <c r="R190" s="156" t="s">
        <v>538</v>
      </c>
      <c r="S190" s="109" t="n">
        <v>289</v>
      </c>
      <c r="T190" s="109" t="s">
        <v>538</v>
      </c>
      <c r="U190" s="109" t="s">
        <v>538</v>
      </c>
      <c r="V190" s="3"/>
      <c r="W190" s="3"/>
      <c r="X190" s="3"/>
      <c r="Y190" s="3"/>
      <c r="Z190" s="3"/>
      <c r="AA190" s="3"/>
      <c r="AB190" s="3"/>
      <c r="AC190" s="3"/>
    </row>
    <row r="191" customFormat="false" ht="75" hidden="false" customHeight="true" outlineLevel="0" collapsed="false">
      <c r="A191" s="3"/>
      <c r="B191" s="141" t="s">
        <v>6490</v>
      </c>
      <c r="C191" s="110" t="s">
        <v>342</v>
      </c>
      <c r="D191" s="110" t="s">
        <v>1886</v>
      </c>
      <c r="E191" s="110" t="s">
        <v>1138</v>
      </c>
      <c r="F191" s="117" t="s">
        <v>1888</v>
      </c>
      <c r="G191" s="99" t="n">
        <v>294</v>
      </c>
      <c r="H191" s="98" t="s">
        <v>333</v>
      </c>
      <c r="I191" s="98" t="s">
        <v>265</v>
      </c>
      <c r="J191" s="157" t="n">
        <v>0.21</v>
      </c>
      <c r="K191" s="146" t="n">
        <v>1</v>
      </c>
      <c r="L191" s="98" t="s">
        <v>632</v>
      </c>
      <c r="M191" s="158" t="n">
        <v>242.98</v>
      </c>
      <c r="N191" s="110" t="s">
        <v>530</v>
      </c>
      <c r="O191" s="110" t="s">
        <v>1887</v>
      </c>
      <c r="P191" s="110" t="s">
        <v>586</v>
      </c>
      <c r="Q191" s="158" t="s">
        <v>538</v>
      </c>
      <c r="R191" s="158" t="s">
        <v>538</v>
      </c>
      <c r="S191" s="110" t="n">
        <v>242.98</v>
      </c>
      <c r="T191" s="110" t="s">
        <v>538</v>
      </c>
      <c r="U191" s="110" t="s">
        <v>538</v>
      </c>
      <c r="V191" s="3"/>
      <c r="W191" s="3"/>
      <c r="X191" s="3"/>
      <c r="Y191" s="3"/>
      <c r="Z191" s="3"/>
      <c r="AA191" s="3"/>
      <c r="AB191" s="3"/>
      <c r="AC191" s="3"/>
    </row>
    <row r="192" customFormat="false" ht="75" hidden="false" customHeight="true" outlineLevel="0" collapsed="false">
      <c r="A192" s="3"/>
      <c r="B192" s="139" t="s">
        <v>6490</v>
      </c>
      <c r="C192" s="109" t="s">
        <v>346</v>
      </c>
      <c r="D192" s="109" t="s">
        <v>1889</v>
      </c>
      <c r="E192" s="109" t="s">
        <v>565</v>
      </c>
      <c r="F192" s="113" t="s">
        <v>1891</v>
      </c>
      <c r="G192" s="92" t="n">
        <v>635</v>
      </c>
      <c r="H192" s="91" t="s">
        <v>333</v>
      </c>
      <c r="I192" s="91" t="s">
        <v>265</v>
      </c>
      <c r="J192" s="155" t="n">
        <v>0.21</v>
      </c>
      <c r="K192" s="144" t="n">
        <v>1</v>
      </c>
      <c r="L192" s="91" t="s">
        <v>632</v>
      </c>
      <c r="M192" s="156" t="n">
        <v>524.79</v>
      </c>
      <c r="N192" s="109" t="s">
        <v>530</v>
      </c>
      <c r="O192" s="109" t="s">
        <v>1890</v>
      </c>
      <c r="P192" s="109" t="s">
        <v>586</v>
      </c>
      <c r="Q192" s="156" t="s">
        <v>538</v>
      </c>
      <c r="R192" s="156" t="s">
        <v>538</v>
      </c>
      <c r="S192" s="109" t="n">
        <v>524.79</v>
      </c>
      <c r="T192" s="109" t="s">
        <v>538</v>
      </c>
      <c r="U192" s="109" t="s">
        <v>538</v>
      </c>
      <c r="V192" s="3"/>
      <c r="W192" s="3"/>
      <c r="X192" s="3"/>
      <c r="Y192" s="3"/>
      <c r="Z192" s="3"/>
      <c r="AA192" s="3"/>
      <c r="AB192" s="3"/>
      <c r="AC192" s="3"/>
    </row>
    <row r="193" customFormat="false" ht="75" hidden="false" customHeight="true" outlineLevel="0" collapsed="false">
      <c r="A193" s="3"/>
      <c r="B193" s="141" t="s">
        <v>6490</v>
      </c>
      <c r="C193" s="110" t="s">
        <v>361</v>
      </c>
      <c r="D193" s="110" t="s">
        <v>1892</v>
      </c>
      <c r="E193" s="110" t="s">
        <v>642</v>
      </c>
      <c r="F193" s="117" t="s">
        <v>1894</v>
      </c>
      <c r="G193" s="99" t="n">
        <v>509</v>
      </c>
      <c r="H193" s="98" t="s">
        <v>333</v>
      </c>
      <c r="I193" s="98" t="s">
        <v>265</v>
      </c>
      <c r="J193" s="157" t="n">
        <v>0.21</v>
      </c>
      <c r="K193" s="146" t="n">
        <v>1</v>
      </c>
      <c r="L193" s="98" t="s">
        <v>632</v>
      </c>
      <c r="M193" s="158" t="n">
        <v>420.66</v>
      </c>
      <c r="N193" s="110" t="s">
        <v>530</v>
      </c>
      <c r="O193" s="110" t="s">
        <v>1893</v>
      </c>
      <c r="P193" s="110" t="s">
        <v>586</v>
      </c>
      <c r="Q193" s="158" t="s">
        <v>538</v>
      </c>
      <c r="R193" s="158" t="s">
        <v>538</v>
      </c>
      <c r="S193" s="110" t="n">
        <v>420.66</v>
      </c>
      <c r="T193" s="110" t="s">
        <v>538</v>
      </c>
      <c r="U193" s="110" t="s">
        <v>538</v>
      </c>
      <c r="V193" s="3"/>
      <c r="W193" s="3"/>
      <c r="X193" s="3"/>
      <c r="Y193" s="3"/>
      <c r="Z193" s="3"/>
      <c r="AA193" s="3"/>
      <c r="AB193" s="3"/>
      <c r="AC193" s="3"/>
    </row>
    <row r="194" customFormat="false" ht="75" hidden="false" customHeight="true" outlineLevel="0" collapsed="false">
      <c r="A194" s="3"/>
      <c r="B194" s="139" t="s">
        <v>6491</v>
      </c>
      <c r="C194" s="109" t="s">
        <v>354</v>
      </c>
      <c r="D194" s="109" t="s">
        <v>1916</v>
      </c>
      <c r="E194" s="109" t="s">
        <v>610</v>
      </c>
      <c r="F194" s="113" t="s">
        <v>1917</v>
      </c>
      <c r="G194" s="92" t="n">
        <v>1143.69</v>
      </c>
      <c r="H194" s="91" t="s">
        <v>333</v>
      </c>
      <c r="I194" s="91" t="s">
        <v>590</v>
      </c>
      <c r="J194" s="155" t="n">
        <v>0.19</v>
      </c>
      <c r="K194" s="144" t="n">
        <v>12</v>
      </c>
      <c r="L194" s="91" t="s">
        <v>625</v>
      </c>
      <c r="M194" s="156" t="n">
        <v>95.31</v>
      </c>
      <c r="N194" s="109" t="s">
        <v>530</v>
      </c>
      <c r="O194" s="109"/>
      <c r="P194" s="109" t="s">
        <v>586</v>
      </c>
      <c r="Q194" s="156" t="s">
        <v>538</v>
      </c>
      <c r="R194" s="156" t="s">
        <v>538</v>
      </c>
      <c r="S194" s="109" t="n">
        <v>95.31</v>
      </c>
      <c r="T194" s="109" t="s">
        <v>538</v>
      </c>
      <c r="U194" s="109" t="s">
        <v>538</v>
      </c>
      <c r="V194" s="3"/>
      <c r="W194" s="3"/>
      <c r="X194" s="3"/>
      <c r="Y194" s="3"/>
      <c r="Z194" s="3"/>
      <c r="AA194" s="3"/>
      <c r="AB194" s="3"/>
      <c r="AC194" s="3"/>
    </row>
    <row r="195" customFormat="false" ht="75" hidden="false" customHeight="true" outlineLevel="0" collapsed="false">
      <c r="A195" s="3"/>
      <c r="B195" s="141" t="s">
        <v>6491</v>
      </c>
      <c r="C195" s="110" t="s">
        <v>342</v>
      </c>
      <c r="D195" s="110" t="s">
        <v>1918</v>
      </c>
      <c r="E195" s="110" t="s">
        <v>1138</v>
      </c>
      <c r="F195" s="117" t="s">
        <v>1920</v>
      </c>
      <c r="G195" s="99" t="n">
        <v>76</v>
      </c>
      <c r="H195" s="98" t="s">
        <v>333</v>
      </c>
      <c r="I195" s="98" t="s">
        <v>265</v>
      </c>
      <c r="J195" s="157" t="n">
        <v>0.21</v>
      </c>
      <c r="K195" s="146" t="n">
        <v>1</v>
      </c>
      <c r="L195" s="98" t="s">
        <v>632</v>
      </c>
      <c r="M195" s="158" t="n">
        <v>62.81</v>
      </c>
      <c r="N195" s="110" t="s">
        <v>530</v>
      </c>
      <c r="O195" s="110" t="s">
        <v>1919</v>
      </c>
      <c r="P195" s="110" t="s">
        <v>586</v>
      </c>
      <c r="Q195" s="158" t="s">
        <v>538</v>
      </c>
      <c r="R195" s="158" t="s">
        <v>538</v>
      </c>
      <c r="S195" s="110" t="n">
        <v>62.81</v>
      </c>
      <c r="T195" s="110" t="s">
        <v>538</v>
      </c>
      <c r="U195" s="110" t="s">
        <v>538</v>
      </c>
      <c r="V195" s="3"/>
      <c r="W195" s="3"/>
      <c r="X195" s="3"/>
      <c r="Y195" s="3"/>
      <c r="Z195" s="3"/>
      <c r="AA195" s="3"/>
      <c r="AB195" s="3"/>
      <c r="AC195" s="3"/>
    </row>
    <row r="196" customFormat="false" ht="75" hidden="false" customHeight="true" outlineLevel="0" collapsed="false">
      <c r="A196" s="3"/>
      <c r="B196" s="139" t="s">
        <v>6491</v>
      </c>
      <c r="C196" s="109" t="s">
        <v>346</v>
      </c>
      <c r="D196" s="109" t="s">
        <v>1921</v>
      </c>
      <c r="E196" s="109" t="s">
        <v>565</v>
      </c>
      <c r="F196" s="113" t="s">
        <v>1923</v>
      </c>
      <c r="G196" s="92" t="n">
        <v>162</v>
      </c>
      <c r="H196" s="91" t="s">
        <v>333</v>
      </c>
      <c r="I196" s="91" t="s">
        <v>265</v>
      </c>
      <c r="J196" s="155" t="n">
        <v>0.21</v>
      </c>
      <c r="K196" s="144" t="n">
        <v>1</v>
      </c>
      <c r="L196" s="91" t="s">
        <v>632</v>
      </c>
      <c r="M196" s="156" t="n">
        <v>133.88</v>
      </c>
      <c r="N196" s="109" t="s">
        <v>530</v>
      </c>
      <c r="O196" s="109" t="s">
        <v>1922</v>
      </c>
      <c r="P196" s="109" t="s">
        <v>586</v>
      </c>
      <c r="Q196" s="156" t="s">
        <v>538</v>
      </c>
      <c r="R196" s="156" t="s">
        <v>538</v>
      </c>
      <c r="S196" s="109" t="n">
        <v>133.88</v>
      </c>
      <c r="T196" s="109" t="s">
        <v>538</v>
      </c>
      <c r="U196" s="109" t="s">
        <v>538</v>
      </c>
      <c r="V196" s="3"/>
      <c r="W196" s="3"/>
      <c r="X196" s="3"/>
      <c r="Y196" s="3"/>
      <c r="Z196" s="3"/>
      <c r="AA196" s="3"/>
      <c r="AB196" s="3"/>
      <c r="AC196" s="3"/>
    </row>
    <row r="197" customFormat="false" ht="75" hidden="false" customHeight="true" outlineLevel="0" collapsed="false">
      <c r="A197" s="3"/>
      <c r="B197" s="141" t="s">
        <v>6491</v>
      </c>
      <c r="C197" s="110" t="s">
        <v>361</v>
      </c>
      <c r="D197" s="110" t="s">
        <v>1924</v>
      </c>
      <c r="E197" s="110" t="s">
        <v>642</v>
      </c>
      <c r="F197" s="117" t="s">
        <v>1926</v>
      </c>
      <c r="G197" s="99" t="n">
        <v>138</v>
      </c>
      <c r="H197" s="98" t="s">
        <v>333</v>
      </c>
      <c r="I197" s="98" t="s">
        <v>265</v>
      </c>
      <c r="J197" s="157" t="n">
        <v>0.21</v>
      </c>
      <c r="K197" s="146" t="n">
        <v>1</v>
      </c>
      <c r="L197" s="98" t="s">
        <v>632</v>
      </c>
      <c r="M197" s="158" t="n">
        <v>114.05</v>
      </c>
      <c r="N197" s="110" t="s">
        <v>530</v>
      </c>
      <c r="O197" s="110" t="s">
        <v>1925</v>
      </c>
      <c r="P197" s="110" t="s">
        <v>586</v>
      </c>
      <c r="Q197" s="158" t="s">
        <v>538</v>
      </c>
      <c r="R197" s="158" t="s">
        <v>538</v>
      </c>
      <c r="S197" s="110" t="n">
        <v>114.05</v>
      </c>
      <c r="T197" s="110" t="s">
        <v>538</v>
      </c>
      <c r="U197" s="110" t="s">
        <v>538</v>
      </c>
      <c r="V197" s="3"/>
      <c r="W197" s="3"/>
      <c r="X197" s="3"/>
      <c r="Y197" s="3"/>
      <c r="Z197" s="3"/>
      <c r="AA197" s="3"/>
      <c r="AB197" s="3"/>
      <c r="AC197" s="3"/>
    </row>
    <row r="198" customFormat="false" ht="75" hidden="false" customHeight="true" outlineLevel="0" collapsed="false">
      <c r="A198" s="3"/>
      <c r="B198" s="139" t="s">
        <v>6492</v>
      </c>
      <c r="C198" s="109" t="s">
        <v>354</v>
      </c>
      <c r="D198" s="109" t="s">
        <v>1949</v>
      </c>
      <c r="E198" s="109" t="s">
        <v>610</v>
      </c>
      <c r="F198" s="113" t="s">
        <v>1951</v>
      </c>
      <c r="G198" s="92" t="n">
        <v>632.57</v>
      </c>
      <c r="H198" s="91" t="s">
        <v>333</v>
      </c>
      <c r="I198" s="91" t="s">
        <v>590</v>
      </c>
      <c r="J198" s="155" t="n">
        <v>0.19</v>
      </c>
      <c r="K198" s="144" t="n">
        <v>1</v>
      </c>
      <c r="L198" s="91" t="s">
        <v>632</v>
      </c>
      <c r="M198" s="156" t="n">
        <v>632.57</v>
      </c>
      <c r="N198" s="109" t="s">
        <v>702</v>
      </c>
      <c r="O198" s="109" t="s">
        <v>1950</v>
      </c>
      <c r="P198" s="109" t="s">
        <v>586</v>
      </c>
      <c r="Q198" s="156" t="s">
        <v>538</v>
      </c>
      <c r="R198" s="156" t="s">
        <v>538</v>
      </c>
      <c r="S198" s="109" t="n">
        <v>632.57</v>
      </c>
      <c r="T198" s="109" t="s">
        <v>538</v>
      </c>
      <c r="U198" s="109" t="s">
        <v>538</v>
      </c>
      <c r="V198" s="3"/>
      <c r="W198" s="3"/>
      <c r="X198" s="3"/>
      <c r="Y198" s="3"/>
      <c r="Z198" s="3"/>
      <c r="AA198" s="3"/>
      <c r="AB198" s="3"/>
      <c r="AC198" s="3"/>
    </row>
    <row r="199" customFormat="false" ht="75" hidden="false" customHeight="true" outlineLevel="0" collapsed="false">
      <c r="A199" s="3"/>
      <c r="B199" s="141" t="s">
        <v>6492</v>
      </c>
      <c r="C199" s="110" t="s">
        <v>332</v>
      </c>
      <c r="D199" s="110" t="s">
        <v>1065</v>
      </c>
      <c r="E199" s="110"/>
      <c r="F199" s="117" t="s">
        <v>1067</v>
      </c>
      <c r="G199" s="99" t="n">
        <v>1090</v>
      </c>
      <c r="H199" s="98" t="s">
        <v>333</v>
      </c>
      <c r="I199" s="98" t="s">
        <v>590</v>
      </c>
      <c r="J199" s="157" t="n">
        <v>0.21</v>
      </c>
      <c r="K199" s="146" t="n">
        <v>1</v>
      </c>
      <c r="L199" s="98" t="s">
        <v>632</v>
      </c>
      <c r="M199" s="158" t="n">
        <v>1090</v>
      </c>
      <c r="N199" s="110" t="s">
        <v>702</v>
      </c>
      <c r="O199" s="110" t="s">
        <v>1952</v>
      </c>
      <c r="P199" s="110" t="s">
        <v>586</v>
      </c>
      <c r="Q199" s="158" t="s">
        <v>538</v>
      </c>
      <c r="R199" s="158" t="s">
        <v>538</v>
      </c>
      <c r="S199" s="110" t="n">
        <v>1090</v>
      </c>
      <c r="T199" s="110" t="s">
        <v>538</v>
      </c>
      <c r="U199" s="110" t="s">
        <v>538</v>
      </c>
      <c r="V199" s="3"/>
      <c r="W199" s="3"/>
      <c r="X199" s="3"/>
      <c r="Y199" s="3"/>
      <c r="Z199" s="3"/>
      <c r="AA199" s="3"/>
      <c r="AB199" s="3"/>
      <c r="AC199" s="3"/>
    </row>
    <row r="200" customFormat="false" ht="75" hidden="false" customHeight="true" outlineLevel="0" collapsed="false">
      <c r="A200" s="3"/>
      <c r="B200" s="139" t="s">
        <v>6492</v>
      </c>
      <c r="C200" s="109" t="s">
        <v>342</v>
      </c>
      <c r="D200" s="109" t="s">
        <v>1953</v>
      </c>
      <c r="E200" s="109" t="s">
        <v>733</v>
      </c>
      <c r="F200" s="113" t="s">
        <v>1955</v>
      </c>
      <c r="G200" s="92" t="n">
        <v>653</v>
      </c>
      <c r="H200" s="91" t="s">
        <v>333</v>
      </c>
      <c r="I200" s="91" t="s">
        <v>265</v>
      </c>
      <c r="J200" s="155" t="n">
        <v>0.21</v>
      </c>
      <c r="K200" s="144" t="n">
        <v>1</v>
      </c>
      <c r="L200" s="91" t="s">
        <v>632</v>
      </c>
      <c r="M200" s="156" t="n">
        <v>539.67</v>
      </c>
      <c r="N200" s="109" t="s">
        <v>702</v>
      </c>
      <c r="O200" s="109" t="s">
        <v>1954</v>
      </c>
      <c r="P200" s="109" t="s">
        <v>586</v>
      </c>
      <c r="Q200" s="156" t="s">
        <v>538</v>
      </c>
      <c r="R200" s="156" t="s">
        <v>538</v>
      </c>
      <c r="S200" s="109" t="n">
        <v>539.67</v>
      </c>
      <c r="T200" s="109" t="s">
        <v>538</v>
      </c>
      <c r="U200" s="109" t="s">
        <v>538</v>
      </c>
      <c r="V200" s="3"/>
      <c r="W200" s="3"/>
      <c r="X200" s="3"/>
      <c r="Y200" s="3"/>
      <c r="Z200" s="3"/>
      <c r="AA200" s="3"/>
      <c r="AB200" s="3"/>
      <c r="AC200" s="3"/>
    </row>
    <row r="201" customFormat="false" ht="75" hidden="false" customHeight="true" outlineLevel="0" collapsed="false">
      <c r="A201" s="3"/>
      <c r="B201" s="141" t="s">
        <v>6492</v>
      </c>
      <c r="C201" s="110" t="s">
        <v>346</v>
      </c>
      <c r="D201" s="110" t="s">
        <v>1956</v>
      </c>
      <c r="E201" s="110" t="s">
        <v>1074</v>
      </c>
      <c r="F201" s="117" t="s">
        <v>1073</v>
      </c>
      <c r="G201" s="99" t="n">
        <v>1531</v>
      </c>
      <c r="H201" s="98" t="s">
        <v>333</v>
      </c>
      <c r="I201" s="98" t="s">
        <v>265</v>
      </c>
      <c r="J201" s="157" t="n">
        <v>0.21</v>
      </c>
      <c r="K201" s="146" t="n">
        <v>1</v>
      </c>
      <c r="L201" s="98" t="s">
        <v>632</v>
      </c>
      <c r="M201" s="158" t="n">
        <v>1265.29</v>
      </c>
      <c r="N201" s="110" t="s">
        <v>702</v>
      </c>
      <c r="O201" s="110" t="s">
        <v>1957</v>
      </c>
      <c r="P201" s="110" t="s">
        <v>586</v>
      </c>
      <c r="Q201" s="158" t="s">
        <v>538</v>
      </c>
      <c r="R201" s="158" t="s">
        <v>538</v>
      </c>
      <c r="S201" s="110" t="n">
        <v>1265.29</v>
      </c>
      <c r="T201" s="110" t="s">
        <v>538</v>
      </c>
      <c r="U201" s="110" t="s">
        <v>538</v>
      </c>
      <c r="V201" s="3"/>
      <c r="W201" s="3"/>
      <c r="X201" s="3"/>
      <c r="Y201" s="3"/>
      <c r="Z201" s="3"/>
      <c r="AA201" s="3"/>
      <c r="AB201" s="3"/>
      <c r="AC201" s="3"/>
    </row>
    <row r="202" customFormat="false" ht="75" hidden="false" customHeight="true" outlineLevel="0" collapsed="false">
      <c r="A202" s="3"/>
      <c r="B202" s="139" t="s">
        <v>6492</v>
      </c>
      <c r="C202" s="109" t="s">
        <v>361</v>
      </c>
      <c r="D202" s="109" t="s">
        <v>1075</v>
      </c>
      <c r="E202" s="109" t="s">
        <v>361</v>
      </c>
      <c r="F202" s="113" t="s">
        <v>1077</v>
      </c>
      <c r="G202" s="92" t="n">
        <v>1016</v>
      </c>
      <c r="H202" s="91" t="s">
        <v>333</v>
      </c>
      <c r="I202" s="91" t="s">
        <v>265</v>
      </c>
      <c r="J202" s="155" t="n">
        <v>0.21</v>
      </c>
      <c r="K202" s="144" t="n">
        <v>1</v>
      </c>
      <c r="L202" s="91" t="s">
        <v>632</v>
      </c>
      <c r="M202" s="156" t="n">
        <v>839.67</v>
      </c>
      <c r="N202" s="109" t="s">
        <v>629</v>
      </c>
      <c r="O202" s="109" t="s">
        <v>1958</v>
      </c>
      <c r="P202" s="109" t="s">
        <v>586</v>
      </c>
      <c r="Q202" s="156" t="s">
        <v>538</v>
      </c>
      <c r="R202" s="156" t="s">
        <v>577</v>
      </c>
      <c r="S202" s="109" t="n">
        <v>839.67</v>
      </c>
      <c r="T202" s="109" t="s">
        <v>538</v>
      </c>
      <c r="U202" s="109" t="s">
        <v>577</v>
      </c>
      <c r="V202" s="3"/>
      <c r="W202" s="3"/>
      <c r="X202" s="3"/>
      <c r="Y202" s="3"/>
      <c r="Z202" s="3"/>
      <c r="AA202" s="3"/>
      <c r="AB202" s="3"/>
      <c r="AC202" s="3"/>
    </row>
    <row r="203" customFormat="false" ht="75" hidden="false" customHeight="true" outlineLevel="0" collapsed="false">
      <c r="A203" s="3"/>
      <c r="B203" s="141" t="s">
        <v>6493</v>
      </c>
      <c r="C203" s="110" t="s">
        <v>354</v>
      </c>
      <c r="D203" s="110" t="s">
        <v>1982</v>
      </c>
      <c r="E203" s="110" t="s">
        <v>642</v>
      </c>
      <c r="F203" s="117" t="s">
        <v>1984</v>
      </c>
      <c r="G203" s="99" t="n">
        <v>437.86</v>
      </c>
      <c r="H203" s="98" t="s">
        <v>333</v>
      </c>
      <c r="I203" s="98" t="s">
        <v>590</v>
      </c>
      <c r="J203" s="157" t="n">
        <v>0.19</v>
      </c>
      <c r="K203" s="146" t="n">
        <v>6</v>
      </c>
      <c r="L203" s="98" t="s">
        <v>625</v>
      </c>
      <c r="M203" s="158" t="n">
        <v>72.98</v>
      </c>
      <c r="N203" s="110" t="s">
        <v>530</v>
      </c>
      <c r="O203" s="110" t="s">
        <v>1983</v>
      </c>
      <c r="P203" s="110" t="s">
        <v>586</v>
      </c>
      <c r="Q203" s="158" t="s">
        <v>538</v>
      </c>
      <c r="R203" s="158" t="s">
        <v>538</v>
      </c>
      <c r="S203" s="110" t="n">
        <v>72.98</v>
      </c>
      <c r="T203" s="110" t="s">
        <v>538</v>
      </c>
      <c r="U203" s="110" t="s">
        <v>538</v>
      </c>
      <c r="V203" s="3"/>
      <c r="W203" s="3"/>
      <c r="X203" s="3"/>
      <c r="Y203" s="3"/>
      <c r="Z203" s="3"/>
      <c r="AA203" s="3"/>
      <c r="AB203" s="3"/>
      <c r="AC203" s="3"/>
    </row>
    <row r="204" customFormat="false" ht="75" hidden="false" customHeight="true" outlineLevel="0" collapsed="false">
      <c r="A204" s="3"/>
      <c r="B204" s="139" t="s">
        <v>6493</v>
      </c>
      <c r="C204" s="109" t="s">
        <v>332</v>
      </c>
      <c r="D204" s="109" t="s">
        <v>1985</v>
      </c>
      <c r="E204" s="109"/>
      <c r="F204" s="113" t="s">
        <v>1987</v>
      </c>
      <c r="G204" s="92" t="n">
        <v>60</v>
      </c>
      <c r="H204" s="91" t="s">
        <v>333</v>
      </c>
      <c r="I204" s="91" t="s">
        <v>590</v>
      </c>
      <c r="J204" s="155" t="n">
        <v>0.21</v>
      </c>
      <c r="K204" s="144" t="n">
        <v>1</v>
      </c>
      <c r="L204" s="91" t="s">
        <v>632</v>
      </c>
      <c r="M204" s="156" t="n">
        <v>60</v>
      </c>
      <c r="N204" s="109" t="s">
        <v>530</v>
      </c>
      <c r="O204" s="109" t="s">
        <v>1986</v>
      </c>
      <c r="P204" s="109" t="s">
        <v>586</v>
      </c>
      <c r="Q204" s="156" t="s">
        <v>538</v>
      </c>
      <c r="R204" s="156" t="s">
        <v>538</v>
      </c>
      <c r="S204" s="109" t="n">
        <v>60</v>
      </c>
      <c r="T204" s="109" t="s">
        <v>538</v>
      </c>
      <c r="U204" s="109" t="s">
        <v>538</v>
      </c>
      <c r="V204" s="3"/>
      <c r="W204" s="3"/>
      <c r="X204" s="3"/>
      <c r="Y204" s="3"/>
      <c r="Z204" s="3"/>
      <c r="AA204" s="3"/>
      <c r="AB204" s="3"/>
      <c r="AC204" s="3"/>
    </row>
    <row r="205" customFormat="false" ht="75" hidden="false" customHeight="true" outlineLevel="0" collapsed="false">
      <c r="A205" s="3"/>
      <c r="B205" s="141" t="s">
        <v>6493</v>
      </c>
      <c r="C205" s="110" t="s">
        <v>342</v>
      </c>
      <c r="D205" s="110" t="s">
        <v>1988</v>
      </c>
      <c r="E205" s="110" t="s">
        <v>733</v>
      </c>
      <c r="F205" s="117" t="s">
        <v>1990</v>
      </c>
      <c r="G205" s="99" t="n">
        <v>57</v>
      </c>
      <c r="H205" s="98" t="s">
        <v>333</v>
      </c>
      <c r="I205" s="98" t="s">
        <v>265</v>
      </c>
      <c r="J205" s="157" t="n">
        <v>0.21</v>
      </c>
      <c r="K205" s="146" t="n">
        <v>1</v>
      </c>
      <c r="L205" s="98" t="s">
        <v>632</v>
      </c>
      <c r="M205" s="158" t="n">
        <v>47.11</v>
      </c>
      <c r="N205" s="110" t="s">
        <v>530</v>
      </c>
      <c r="O205" s="110" t="s">
        <v>1989</v>
      </c>
      <c r="P205" s="110" t="s">
        <v>586</v>
      </c>
      <c r="Q205" s="158" t="s">
        <v>538</v>
      </c>
      <c r="R205" s="158" t="s">
        <v>538</v>
      </c>
      <c r="S205" s="110" t="n">
        <v>47.11</v>
      </c>
      <c r="T205" s="110" t="s">
        <v>538</v>
      </c>
      <c r="U205" s="110" t="s">
        <v>538</v>
      </c>
      <c r="V205" s="3"/>
      <c r="W205" s="3"/>
      <c r="X205" s="3"/>
      <c r="Y205" s="3"/>
      <c r="Z205" s="3"/>
      <c r="AA205" s="3"/>
      <c r="AB205" s="3"/>
      <c r="AC205" s="3"/>
    </row>
    <row r="206" customFormat="false" ht="75" hidden="false" customHeight="true" outlineLevel="0" collapsed="false">
      <c r="A206" s="3"/>
      <c r="B206" s="139" t="s">
        <v>6493</v>
      </c>
      <c r="C206" s="109" t="s">
        <v>346</v>
      </c>
      <c r="D206" s="109" t="s">
        <v>1991</v>
      </c>
      <c r="E206" s="109" t="s">
        <v>731</v>
      </c>
      <c r="F206" s="113" t="s">
        <v>1993</v>
      </c>
      <c r="G206" s="92" t="n">
        <v>181</v>
      </c>
      <c r="H206" s="91" t="s">
        <v>333</v>
      </c>
      <c r="I206" s="91" t="s">
        <v>265</v>
      </c>
      <c r="J206" s="155" t="n">
        <v>0.21</v>
      </c>
      <c r="K206" s="144" t="n">
        <v>1</v>
      </c>
      <c r="L206" s="91" t="s">
        <v>632</v>
      </c>
      <c r="M206" s="156" t="n">
        <v>149.59</v>
      </c>
      <c r="N206" s="109" t="s">
        <v>530</v>
      </c>
      <c r="O206" s="109" t="s">
        <v>1992</v>
      </c>
      <c r="P206" s="109" t="s">
        <v>586</v>
      </c>
      <c r="Q206" s="156" t="s">
        <v>538</v>
      </c>
      <c r="R206" s="156" t="s">
        <v>538</v>
      </c>
      <c r="S206" s="109" t="n">
        <v>149.59</v>
      </c>
      <c r="T206" s="109" t="s">
        <v>538</v>
      </c>
      <c r="U206" s="109" t="s">
        <v>538</v>
      </c>
      <c r="V206" s="3"/>
      <c r="W206" s="3"/>
      <c r="X206" s="3"/>
      <c r="Y206" s="3"/>
      <c r="Z206" s="3"/>
      <c r="AA206" s="3"/>
      <c r="AB206" s="3"/>
      <c r="AC206" s="3"/>
    </row>
    <row r="207" customFormat="false" ht="75" hidden="false" customHeight="true" outlineLevel="0" collapsed="false">
      <c r="A207" s="3"/>
      <c r="B207" s="141" t="s">
        <v>6493</v>
      </c>
      <c r="C207" s="110" t="s">
        <v>361</v>
      </c>
      <c r="D207" s="110" t="s">
        <v>1994</v>
      </c>
      <c r="E207" s="110" t="s">
        <v>642</v>
      </c>
      <c r="F207" s="117" t="s">
        <v>1996</v>
      </c>
      <c r="G207" s="99" t="n">
        <v>97</v>
      </c>
      <c r="H207" s="98" t="s">
        <v>333</v>
      </c>
      <c r="I207" s="98" t="s">
        <v>265</v>
      </c>
      <c r="J207" s="157" t="n">
        <v>0.21</v>
      </c>
      <c r="K207" s="146" t="n">
        <v>1</v>
      </c>
      <c r="L207" s="98" t="s">
        <v>632</v>
      </c>
      <c r="M207" s="158" t="n">
        <v>80.17</v>
      </c>
      <c r="N207" s="110" t="s">
        <v>702</v>
      </c>
      <c r="O207" s="110" t="s">
        <v>1995</v>
      </c>
      <c r="P207" s="110" t="s">
        <v>586</v>
      </c>
      <c r="Q207" s="158" t="s">
        <v>538</v>
      </c>
      <c r="R207" s="158" t="s">
        <v>538</v>
      </c>
      <c r="S207" s="110" t="n">
        <v>80.17</v>
      </c>
      <c r="T207" s="110" t="s">
        <v>538</v>
      </c>
      <c r="U207" s="110" t="s">
        <v>538</v>
      </c>
      <c r="V207" s="3"/>
      <c r="W207" s="3"/>
      <c r="X207" s="3"/>
      <c r="Y207" s="3"/>
      <c r="Z207" s="3"/>
      <c r="AA207" s="3"/>
      <c r="AB207" s="3"/>
      <c r="AC207" s="3"/>
    </row>
    <row r="208" customFormat="false" ht="75" hidden="false" customHeight="true" outlineLevel="0" collapsed="false">
      <c r="A208" s="3"/>
      <c r="B208" s="139" t="s">
        <v>62</v>
      </c>
      <c r="C208" s="109" t="s">
        <v>346</v>
      </c>
      <c r="D208" s="109" t="s">
        <v>2003</v>
      </c>
      <c r="E208" s="109" t="s">
        <v>662</v>
      </c>
      <c r="F208" s="113" t="s">
        <v>2005</v>
      </c>
      <c r="G208" s="92" t="n">
        <v>98</v>
      </c>
      <c r="H208" s="91" t="s">
        <v>333</v>
      </c>
      <c r="I208" s="91" t="s">
        <v>265</v>
      </c>
      <c r="J208" s="155" t="n">
        <v>0.21</v>
      </c>
      <c r="K208" s="144" t="n">
        <v>1</v>
      </c>
      <c r="L208" s="91" t="s">
        <v>632</v>
      </c>
      <c r="M208" s="156" t="n">
        <v>80.99</v>
      </c>
      <c r="N208" s="109" t="s">
        <v>702</v>
      </c>
      <c r="O208" s="109" t="s">
        <v>2004</v>
      </c>
      <c r="P208" s="109" t="s">
        <v>586</v>
      </c>
      <c r="Q208" s="156" t="s">
        <v>538</v>
      </c>
      <c r="R208" s="156" t="s">
        <v>538</v>
      </c>
      <c r="S208" s="109" t="n">
        <v>80.99</v>
      </c>
      <c r="T208" s="109" t="s">
        <v>538</v>
      </c>
      <c r="U208" s="109" t="s">
        <v>538</v>
      </c>
      <c r="V208" s="3"/>
      <c r="W208" s="3"/>
      <c r="X208" s="3"/>
      <c r="Y208" s="3"/>
      <c r="Z208" s="3"/>
      <c r="AA208" s="3"/>
      <c r="AB208" s="3"/>
      <c r="AC208" s="3"/>
    </row>
    <row r="209" customFormat="false" ht="75" hidden="false" customHeight="true" outlineLevel="0" collapsed="false">
      <c r="A209" s="3"/>
      <c r="B209" s="141" t="s">
        <v>6495</v>
      </c>
      <c r="C209" s="110" t="s">
        <v>361</v>
      </c>
      <c r="D209" s="110" t="s">
        <v>1192</v>
      </c>
      <c r="E209" s="110" t="s">
        <v>361</v>
      </c>
      <c r="F209" s="117" t="s">
        <v>1194</v>
      </c>
      <c r="G209" s="99" t="n">
        <v>115</v>
      </c>
      <c r="H209" s="98" t="s">
        <v>333</v>
      </c>
      <c r="I209" s="98" t="s">
        <v>265</v>
      </c>
      <c r="J209" s="157" t="n">
        <v>0.21</v>
      </c>
      <c r="K209" s="146" t="n">
        <v>1</v>
      </c>
      <c r="L209" s="98" t="s">
        <v>632</v>
      </c>
      <c r="M209" s="158" t="n">
        <v>95.04</v>
      </c>
      <c r="N209" s="110" t="s">
        <v>629</v>
      </c>
      <c r="O209" s="110" t="s">
        <v>2012</v>
      </c>
      <c r="P209" s="110" t="s">
        <v>586</v>
      </c>
      <c r="Q209" s="158" t="s">
        <v>538</v>
      </c>
      <c r="R209" s="158" t="s">
        <v>577</v>
      </c>
      <c r="S209" s="110" t="n">
        <v>95.04</v>
      </c>
      <c r="T209" s="110" t="s">
        <v>538</v>
      </c>
      <c r="U209" s="110" t="s">
        <v>577</v>
      </c>
      <c r="V209" s="3"/>
      <c r="W209" s="3"/>
      <c r="X209" s="3"/>
      <c r="Y209" s="3"/>
      <c r="Z209" s="3"/>
      <c r="AA209" s="3"/>
      <c r="AB209" s="3"/>
      <c r="AC209" s="3"/>
    </row>
    <row r="210" customFormat="false" ht="75" hidden="false" customHeight="true" outlineLevel="0" collapsed="false">
      <c r="A210" s="3"/>
      <c r="B210" s="139" t="s">
        <v>6496</v>
      </c>
      <c r="C210" s="109" t="s">
        <v>342</v>
      </c>
      <c r="D210" s="109" t="s">
        <v>2022</v>
      </c>
      <c r="E210" s="109" t="s">
        <v>733</v>
      </c>
      <c r="F210" s="113" t="s">
        <v>2024</v>
      </c>
      <c r="G210" s="92" t="n">
        <v>336</v>
      </c>
      <c r="H210" s="91" t="s">
        <v>333</v>
      </c>
      <c r="I210" s="91" t="s">
        <v>265</v>
      </c>
      <c r="J210" s="155" t="n">
        <v>0.21</v>
      </c>
      <c r="K210" s="144" t="n">
        <v>1</v>
      </c>
      <c r="L210" s="91" t="s">
        <v>632</v>
      </c>
      <c r="M210" s="156" t="n">
        <v>277.69</v>
      </c>
      <c r="N210" s="109" t="s">
        <v>702</v>
      </c>
      <c r="O210" s="109" t="s">
        <v>2023</v>
      </c>
      <c r="P210" s="109" t="s">
        <v>586</v>
      </c>
      <c r="Q210" s="156" t="s">
        <v>538</v>
      </c>
      <c r="R210" s="156" t="s">
        <v>538</v>
      </c>
      <c r="S210" s="109" t="n">
        <v>277.69</v>
      </c>
      <c r="T210" s="109" t="s">
        <v>538</v>
      </c>
      <c r="U210" s="109" t="s">
        <v>538</v>
      </c>
      <c r="V210" s="3"/>
      <c r="W210" s="3"/>
      <c r="X210" s="3"/>
      <c r="Y210" s="3"/>
      <c r="Z210" s="3"/>
      <c r="AA210" s="3"/>
      <c r="AB210" s="3"/>
      <c r="AC210" s="3"/>
    </row>
    <row r="211" customFormat="false" ht="30.75" hidden="false" customHeight="true" outlineLevel="0" collapsed="false">
      <c r="A211" s="3"/>
      <c r="B211" s="9"/>
      <c r="C211" s="9"/>
      <c r="D211" s="9"/>
      <c r="E211" s="9"/>
      <c r="F211" s="9"/>
      <c r="G211" s="10"/>
      <c r="H211" s="10"/>
      <c r="I211" s="10"/>
      <c r="J211" s="10"/>
      <c r="K211" s="10"/>
      <c r="L211" s="10"/>
      <c r="M211" s="9"/>
      <c r="N211" s="9"/>
      <c r="O211" s="9"/>
      <c r="P211" s="9"/>
      <c r="Q211" s="9"/>
      <c r="R211" s="9"/>
      <c r="S211" s="9"/>
      <c r="T211" s="9"/>
      <c r="U211" s="9"/>
      <c r="V211" s="3"/>
      <c r="W211" s="3"/>
      <c r="X211" s="3"/>
      <c r="Y211" s="3"/>
      <c r="Z211" s="3"/>
      <c r="AA211" s="3"/>
      <c r="AB211" s="3"/>
      <c r="AC211" s="3"/>
    </row>
    <row r="212" customFormat="false" ht="30.75" hidden="false" customHeight="true" outlineLevel="0" collapsed="false">
      <c r="A212" s="3"/>
      <c r="B212" s="9"/>
      <c r="C212" s="9"/>
      <c r="D212" s="9"/>
      <c r="E212" s="9"/>
      <c r="F212" s="9"/>
      <c r="G212" s="10"/>
      <c r="H212" s="10"/>
      <c r="I212" s="10"/>
      <c r="J212" s="10"/>
      <c r="K212" s="10"/>
      <c r="L212" s="10"/>
      <c r="M212" s="9"/>
      <c r="N212" s="9"/>
      <c r="O212" s="9"/>
      <c r="P212" s="9"/>
      <c r="Q212" s="9"/>
      <c r="R212" s="9"/>
      <c r="S212" s="9"/>
      <c r="T212" s="9"/>
      <c r="U212" s="9"/>
      <c r="V212" s="3"/>
      <c r="W212" s="3"/>
      <c r="X212" s="3"/>
      <c r="Y212" s="3"/>
      <c r="Z212" s="3"/>
      <c r="AA212" s="3"/>
      <c r="AB212" s="3"/>
      <c r="AC212" s="3"/>
    </row>
    <row r="213" customFormat="false" ht="30.75" hidden="false" customHeight="true" outlineLevel="0" collapsed="false">
      <c r="A213" s="3"/>
      <c r="B213" s="9"/>
      <c r="C213" s="9"/>
      <c r="D213" s="9"/>
      <c r="E213" s="9"/>
      <c r="F213" s="9"/>
      <c r="G213" s="10"/>
      <c r="H213" s="10"/>
      <c r="I213" s="10"/>
      <c r="J213" s="10"/>
      <c r="K213" s="10"/>
      <c r="L213" s="10"/>
      <c r="M213" s="9"/>
      <c r="N213" s="9"/>
      <c r="O213" s="9"/>
      <c r="P213" s="9"/>
      <c r="Q213" s="9"/>
      <c r="R213" s="9"/>
      <c r="S213" s="9"/>
      <c r="T213" s="9"/>
      <c r="U213" s="9"/>
      <c r="V213" s="3"/>
      <c r="W213" s="3"/>
      <c r="X213" s="3"/>
      <c r="Y213" s="3"/>
      <c r="Z213" s="3"/>
      <c r="AA213" s="3"/>
      <c r="AB213" s="3"/>
      <c r="AC213" s="3"/>
    </row>
    <row r="214" customFormat="false" ht="25.5" hidden="false" customHeight="true" outlineLevel="0" collapsed="false">
      <c r="A214" s="3"/>
      <c r="B214" s="133" t="s">
        <v>7048</v>
      </c>
      <c r="C214" s="133"/>
      <c r="D214" s="133"/>
      <c r="E214" s="133"/>
      <c r="F214" s="133"/>
      <c r="G214" s="40"/>
      <c r="H214" s="40"/>
      <c r="I214" s="10"/>
      <c r="J214" s="10"/>
      <c r="K214" s="10"/>
      <c r="L214" s="10"/>
      <c r="M214" s="9"/>
      <c r="N214" s="9"/>
      <c r="O214" s="9"/>
      <c r="P214" s="9"/>
      <c r="Q214" s="9"/>
      <c r="R214" s="9"/>
      <c r="S214" s="9"/>
      <c r="T214" s="9"/>
      <c r="U214" s="9"/>
      <c r="V214" s="3"/>
      <c r="W214" s="3"/>
      <c r="X214" s="3"/>
      <c r="Y214" s="3"/>
      <c r="Z214" s="3"/>
      <c r="AA214" s="3"/>
      <c r="AB214" s="3"/>
      <c r="AC214" s="3"/>
    </row>
    <row r="215" customFormat="false" ht="36" hidden="false" customHeight="true" outlineLevel="0" collapsed="false">
      <c r="A215" s="3"/>
      <c r="B215" s="123" t="s">
        <v>6927</v>
      </c>
      <c r="C215" s="22" t="s">
        <v>6928</v>
      </c>
      <c r="D215" s="22" t="s">
        <v>7149</v>
      </c>
      <c r="E215" s="22" t="s">
        <v>6930</v>
      </c>
      <c r="F215" s="22" t="s">
        <v>7150</v>
      </c>
      <c r="G215" s="22" t="s">
        <v>7151</v>
      </c>
      <c r="H215" s="22" t="s">
        <v>7152</v>
      </c>
      <c r="I215" s="22" t="s">
        <v>7153</v>
      </c>
      <c r="J215" s="22" t="s">
        <v>7154</v>
      </c>
      <c r="K215" s="22" t="s">
        <v>7155</v>
      </c>
      <c r="L215" s="22" t="s">
        <v>7156</v>
      </c>
      <c r="M215" s="22" t="s">
        <v>7157</v>
      </c>
      <c r="N215" s="22" t="s">
        <v>240</v>
      </c>
      <c r="O215" s="22" t="s">
        <v>7158</v>
      </c>
      <c r="P215" s="9"/>
      <c r="Q215" s="9"/>
      <c r="R215" s="9"/>
      <c r="S215" s="9"/>
      <c r="T215" s="9"/>
      <c r="U215" s="9"/>
      <c r="V215" s="3"/>
      <c r="W215" s="3"/>
      <c r="X215" s="3"/>
      <c r="Y215" s="3"/>
      <c r="Z215" s="3"/>
      <c r="AA215" s="3"/>
      <c r="AB215" s="3"/>
      <c r="AC215" s="3"/>
    </row>
    <row r="216" customFormat="false" ht="139.5" hidden="false" customHeight="true" outlineLevel="0" collapsed="false">
      <c r="A216" s="3"/>
      <c r="B216" s="139" t="s">
        <v>361</v>
      </c>
      <c r="C216" s="113" t="s">
        <v>7159</v>
      </c>
      <c r="D216" s="109" t="s">
        <v>6946</v>
      </c>
      <c r="E216" s="109" t="s">
        <v>7160</v>
      </c>
      <c r="F216" s="109" t="s">
        <v>7161</v>
      </c>
      <c r="G216" s="91" t="s">
        <v>7162</v>
      </c>
      <c r="H216" s="91" t="s">
        <v>7163</v>
      </c>
      <c r="I216" s="91" t="s">
        <v>7164</v>
      </c>
      <c r="J216" s="91" t="s">
        <v>7165</v>
      </c>
      <c r="K216" s="91" t="s">
        <v>7166</v>
      </c>
      <c r="L216" s="159" t="s">
        <v>7167</v>
      </c>
      <c r="M216" s="156" t="s">
        <v>538</v>
      </c>
      <c r="N216" s="109" t="s">
        <v>7168</v>
      </c>
      <c r="O216" s="109" t="s">
        <v>538</v>
      </c>
      <c r="P216" s="9"/>
      <c r="Q216" s="9"/>
      <c r="R216" s="9"/>
      <c r="S216" s="9"/>
      <c r="T216" s="9"/>
      <c r="U216" s="9"/>
      <c r="V216" s="3"/>
      <c r="W216" s="3"/>
      <c r="X216" s="3"/>
      <c r="Y216" s="3"/>
      <c r="Z216" s="3"/>
      <c r="AA216" s="3"/>
      <c r="AB216" s="3"/>
      <c r="AC216" s="3"/>
    </row>
    <row r="217" customFormat="false" ht="204.75" hidden="false" customHeight="true" outlineLevel="0" collapsed="false">
      <c r="A217" s="3"/>
      <c r="B217" s="141" t="s">
        <v>332</v>
      </c>
      <c r="C217" s="117" t="s">
        <v>7169</v>
      </c>
      <c r="D217" s="110" t="s">
        <v>6946</v>
      </c>
      <c r="E217" s="110" t="s">
        <v>7170</v>
      </c>
      <c r="F217" s="110" t="s">
        <v>7171</v>
      </c>
      <c r="G217" s="98" t="s">
        <v>7172</v>
      </c>
      <c r="H217" s="98" t="s">
        <v>7173</v>
      </c>
      <c r="I217" s="98" t="s">
        <v>7174</v>
      </c>
      <c r="J217" s="98" t="s">
        <v>7175</v>
      </c>
      <c r="K217" s="98" t="s">
        <v>7176</v>
      </c>
      <c r="L217" s="160" t="s">
        <v>7177</v>
      </c>
      <c r="M217" s="158" t="s">
        <v>538</v>
      </c>
      <c r="N217" s="110" t="s">
        <v>7178</v>
      </c>
      <c r="O217" s="110" t="s">
        <v>538</v>
      </c>
      <c r="P217" s="9"/>
      <c r="Q217" s="9"/>
      <c r="R217" s="9"/>
      <c r="S217" s="9"/>
      <c r="T217" s="9"/>
      <c r="U217" s="9"/>
      <c r="V217" s="3"/>
      <c r="W217" s="3"/>
      <c r="X217" s="3"/>
      <c r="Y217" s="3"/>
      <c r="Z217" s="3"/>
      <c r="AA217" s="3"/>
      <c r="AB217" s="3"/>
      <c r="AC217" s="3"/>
    </row>
    <row r="218" customFormat="false" ht="178.5" hidden="false" customHeight="true" outlineLevel="0" collapsed="false">
      <c r="A218" s="3"/>
      <c r="B218" s="139" t="s">
        <v>346</v>
      </c>
      <c r="C218" s="113" t="s">
        <v>7179</v>
      </c>
      <c r="D218" s="109" t="s">
        <v>6946</v>
      </c>
      <c r="E218" s="109" t="s">
        <v>7180</v>
      </c>
      <c r="F218" s="109" t="s">
        <v>7181</v>
      </c>
      <c r="G218" s="91" t="s">
        <v>7182</v>
      </c>
      <c r="H218" s="91" t="s">
        <v>7183</v>
      </c>
      <c r="I218" s="91" t="s">
        <v>7184</v>
      </c>
      <c r="J218" s="91" t="s">
        <v>7185</v>
      </c>
      <c r="K218" s="91" t="s">
        <v>7166</v>
      </c>
      <c r="L218" s="159" t="s">
        <v>7186</v>
      </c>
      <c r="M218" s="156" t="s">
        <v>538</v>
      </c>
      <c r="N218" s="109" t="s">
        <v>7187</v>
      </c>
      <c r="O218" s="109" t="s">
        <v>538</v>
      </c>
      <c r="P218" s="9"/>
      <c r="Q218" s="9"/>
      <c r="R218" s="9"/>
      <c r="S218" s="9"/>
      <c r="T218" s="9"/>
      <c r="U218" s="9"/>
      <c r="V218" s="3"/>
      <c r="W218" s="3"/>
      <c r="X218" s="3"/>
      <c r="Y218" s="3"/>
      <c r="Z218" s="3"/>
      <c r="AA218" s="3"/>
      <c r="AB218" s="3"/>
      <c r="AC218" s="3"/>
    </row>
    <row r="219" customFormat="false" ht="243.75" hidden="false" customHeight="true" outlineLevel="0" collapsed="false">
      <c r="A219" s="3"/>
      <c r="B219" s="141" t="s">
        <v>342</v>
      </c>
      <c r="C219" s="117" t="s">
        <v>7188</v>
      </c>
      <c r="D219" s="110" t="s">
        <v>6946</v>
      </c>
      <c r="E219" s="110" t="s">
        <v>7189</v>
      </c>
      <c r="F219" s="110" t="s">
        <v>7190</v>
      </c>
      <c r="G219" s="98" t="s">
        <v>7191</v>
      </c>
      <c r="H219" s="98" t="s">
        <v>7192</v>
      </c>
      <c r="I219" s="98" t="s">
        <v>7193</v>
      </c>
      <c r="J219" s="98" t="s">
        <v>7194</v>
      </c>
      <c r="K219" s="98" t="s">
        <v>7195</v>
      </c>
      <c r="L219" s="160" t="s">
        <v>7196</v>
      </c>
      <c r="M219" s="158" t="s">
        <v>538</v>
      </c>
      <c r="N219" s="110" t="s">
        <v>7197</v>
      </c>
      <c r="O219" s="110" t="s">
        <v>538</v>
      </c>
      <c r="P219" s="9"/>
      <c r="Q219" s="9"/>
      <c r="R219" s="9"/>
      <c r="S219" s="9"/>
      <c r="T219" s="9"/>
      <c r="U219" s="9"/>
      <c r="V219" s="3"/>
      <c r="W219" s="3"/>
      <c r="X219" s="3"/>
      <c r="Y219" s="3"/>
      <c r="Z219" s="3"/>
      <c r="AA219" s="3"/>
      <c r="AB219" s="3"/>
      <c r="AC219" s="3"/>
    </row>
    <row r="220" customFormat="false" ht="321.75" hidden="false" customHeight="true" outlineLevel="0" collapsed="false">
      <c r="A220" s="3"/>
      <c r="B220" s="139" t="s">
        <v>354</v>
      </c>
      <c r="C220" s="113" t="s">
        <v>7198</v>
      </c>
      <c r="D220" s="109" t="s">
        <v>6935</v>
      </c>
      <c r="E220" s="109" t="s">
        <v>7199</v>
      </c>
      <c r="F220" s="109" t="s">
        <v>7200</v>
      </c>
      <c r="G220" s="91" t="s">
        <v>7201</v>
      </c>
      <c r="H220" s="91" t="s">
        <v>7202</v>
      </c>
      <c r="I220" s="91" t="s">
        <v>7203</v>
      </c>
      <c r="J220" s="91" t="s">
        <v>7204</v>
      </c>
      <c r="K220" s="91" t="s">
        <v>7205</v>
      </c>
      <c r="L220" s="159" t="s">
        <v>7206</v>
      </c>
      <c r="M220" s="156" t="s">
        <v>538</v>
      </c>
      <c r="N220" s="109" t="s">
        <v>7207</v>
      </c>
      <c r="O220" s="109" t="s">
        <v>538</v>
      </c>
      <c r="P220" s="9"/>
      <c r="Q220" s="9"/>
      <c r="R220" s="9"/>
      <c r="S220" s="9"/>
      <c r="T220" s="9"/>
      <c r="U220" s="9"/>
      <c r="V220" s="3"/>
      <c r="W220" s="3"/>
      <c r="X220" s="3"/>
      <c r="Y220" s="3"/>
      <c r="Z220" s="3"/>
      <c r="AA220" s="3"/>
      <c r="AB220" s="3"/>
      <c r="AC220" s="3"/>
    </row>
    <row r="221" customFormat="false" ht="178.5" hidden="false" customHeight="true" outlineLevel="0" collapsed="false">
      <c r="A221" s="3"/>
      <c r="B221" s="141" t="s">
        <v>7208</v>
      </c>
      <c r="C221" s="117" t="s">
        <v>7209</v>
      </c>
      <c r="D221" s="110" t="s">
        <v>6946</v>
      </c>
      <c r="E221" s="110" t="s">
        <v>7210</v>
      </c>
      <c r="F221" s="110" t="s">
        <v>7211</v>
      </c>
      <c r="G221" s="98" t="s">
        <v>7212</v>
      </c>
      <c r="H221" s="98" t="s">
        <v>7213</v>
      </c>
      <c r="I221" s="98" t="s">
        <v>7214</v>
      </c>
      <c r="J221" s="98" t="s">
        <v>7214</v>
      </c>
      <c r="K221" s="98" t="s">
        <v>7215</v>
      </c>
      <c r="L221" s="160" t="s">
        <v>7216</v>
      </c>
      <c r="M221" s="110" t="s">
        <v>577</v>
      </c>
      <c r="N221" s="110" t="s">
        <v>7217</v>
      </c>
      <c r="O221" s="110" t="s">
        <v>577</v>
      </c>
      <c r="P221" s="9"/>
      <c r="Q221" s="9"/>
      <c r="R221" s="9"/>
      <c r="S221" s="9"/>
      <c r="T221" s="9"/>
      <c r="U221" s="9"/>
      <c r="V221" s="3"/>
      <c r="W221" s="3"/>
      <c r="X221" s="3"/>
      <c r="Y221" s="3"/>
      <c r="Z221" s="3"/>
      <c r="AA221" s="3"/>
      <c r="AB221" s="3"/>
      <c r="AC221" s="3"/>
    </row>
    <row r="222" customFormat="false" ht="282.75" hidden="false" customHeight="true" outlineLevel="0" collapsed="false">
      <c r="A222" s="3"/>
      <c r="B222" s="139" t="s">
        <v>7218</v>
      </c>
      <c r="C222" s="113" t="s">
        <v>7219</v>
      </c>
      <c r="D222" s="109" t="s">
        <v>6946</v>
      </c>
      <c r="E222" s="109" t="s">
        <v>7220</v>
      </c>
      <c r="F222" s="109" t="s">
        <v>7221</v>
      </c>
      <c r="G222" s="91" t="s">
        <v>376</v>
      </c>
      <c r="H222" s="91" t="s">
        <v>376</v>
      </c>
      <c r="I222" s="91" t="s">
        <v>376</v>
      </c>
      <c r="J222" s="91" t="s">
        <v>376</v>
      </c>
      <c r="K222" s="91" t="s">
        <v>376</v>
      </c>
      <c r="L222" s="159" t="s">
        <v>7219</v>
      </c>
      <c r="M222" s="109" t="s">
        <v>577</v>
      </c>
      <c r="N222" s="109" t="s">
        <v>7222</v>
      </c>
      <c r="O222" s="109" t="s">
        <v>577</v>
      </c>
      <c r="P222" s="9"/>
      <c r="Q222" s="9"/>
      <c r="R222" s="9"/>
      <c r="S222" s="9"/>
      <c r="T222" s="9"/>
      <c r="U222" s="9"/>
      <c r="V222" s="3"/>
      <c r="W222" s="3"/>
      <c r="X222" s="3"/>
      <c r="Y222" s="3"/>
      <c r="Z222" s="3"/>
      <c r="AA222" s="3"/>
      <c r="AB222" s="3"/>
      <c r="AC222" s="3"/>
    </row>
    <row r="223" customFormat="false" ht="30.75" hidden="false" customHeight="true" outlineLevel="0" collapsed="false">
      <c r="A223" s="3"/>
      <c r="B223" s="9"/>
      <c r="C223" s="9"/>
      <c r="D223" s="9"/>
      <c r="E223" s="9"/>
      <c r="F223" s="9"/>
      <c r="G223" s="10"/>
      <c r="H223" s="10"/>
      <c r="I223" s="10"/>
      <c r="J223" s="10"/>
      <c r="K223" s="10"/>
      <c r="L223" s="10"/>
      <c r="M223" s="9"/>
      <c r="N223" s="9"/>
      <c r="O223" s="9"/>
      <c r="P223" s="9"/>
      <c r="Q223" s="9"/>
      <c r="R223" s="9"/>
      <c r="S223" s="9"/>
      <c r="T223" s="9"/>
      <c r="U223" s="9"/>
      <c r="V223" s="3"/>
      <c r="W223" s="3"/>
      <c r="X223" s="3"/>
      <c r="Y223" s="3"/>
      <c r="Z223" s="3"/>
      <c r="AA223" s="3"/>
      <c r="AB223" s="3"/>
      <c r="AC223" s="3"/>
    </row>
    <row r="224" customFormat="false" ht="30.75" hidden="false" customHeight="true" outlineLevel="0" collapsed="false">
      <c r="A224" s="3"/>
      <c r="B224" s="9"/>
      <c r="C224" s="9"/>
      <c r="D224" s="9"/>
      <c r="E224" s="9"/>
      <c r="F224" s="9"/>
      <c r="G224" s="10"/>
      <c r="H224" s="10"/>
      <c r="I224" s="10"/>
      <c r="J224" s="10"/>
      <c r="K224" s="10"/>
      <c r="L224" s="10"/>
      <c r="M224" s="9"/>
      <c r="N224" s="9"/>
      <c r="O224" s="9"/>
      <c r="P224" s="9"/>
      <c r="Q224" s="9"/>
      <c r="R224" s="9"/>
      <c r="S224" s="9"/>
      <c r="T224" s="9"/>
      <c r="U224" s="9"/>
      <c r="V224" s="3"/>
      <c r="W224" s="3"/>
      <c r="X224" s="3"/>
      <c r="Y224" s="3"/>
      <c r="Z224" s="3"/>
      <c r="AA224" s="3"/>
      <c r="AB224" s="3"/>
      <c r="AC224" s="3"/>
    </row>
    <row r="225" customFormat="false" ht="30.75" hidden="false" customHeight="true" outlineLevel="0" collapsed="false">
      <c r="A225" s="3"/>
      <c r="B225" s="9"/>
      <c r="C225" s="9"/>
      <c r="D225" s="9"/>
      <c r="E225" s="9"/>
      <c r="F225" s="9"/>
      <c r="G225" s="10"/>
      <c r="H225" s="10"/>
      <c r="I225" s="10"/>
      <c r="J225" s="10"/>
      <c r="K225" s="10"/>
      <c r="L225" s="10"/>
      <c r="M225" s="9"/>
      <c r="N225" s="9"/>
      <c r="O225" s="9"/>
      <c r="P225" s="9"/>
      <c r="Q225" s="9"/>
      <c r="R225" s="9"/>
      <c r="S225" s="9"/>
      <c r="T225" s="9"/>
      <c r="U225" s="9"/>
      <c r="V225" s="3"/>
      <c r="W225" s="3"/>
      <c r="X225" s="3"/>
      <c r="Y225" s="3"/>
      <c r="Z225" s="3"/>
      <c r="AA225" s="3"/>
      <c r="AB225" s="3"/>
      <c r="AC225" s="3"/>
    </row>
    <row r="226" customFormat="false" ht="25.5" hidden="false" customHeight="true" outlineLevel="0" collapsed="false">
      <c r="A226" s="3"/>
      <c r="B226" s="133" t="s">
        <v>7056</v>
      </c>
      <c r="C226" s="133"/>
      <c r="D226" s="133"/>
      <c r="E226" s="133"/>
      <c r="F226" s="133"/>
      <c r="G226" s="40"/>
      <c r="H226" s="40"/>
      <c r="I226" s="10"/>
      <c r="J226" s="10"/>
      <c r="K226" s="10"/>
      <c r="L226" s="10"/>
      <c r="M226" s="9"/>
      <c r="N226" s="9"/>
      <c r="O226" s="9"/>
      <c r="P226" s="9"/>
      <c r="Q226" s="9"/>
      <c r="R226" s="9"/>
      <c r="S226" s="9"/>
      <c r="T226" s="9"/>
      <c r="U226" s="9"/>
      <c r="V226" s="3"/>
      <c r="W226" s="3"/>
      <c r="X226" s="3"/>
      <c r="Y226" s="3"/>
      <c r="Z226" s="3"/>
      <c r="AA226" s="3"/>
      <c r="AB226" s="3"/>
      <c r="AC226" s="3"/>
    </row>
    <row r="227" customFormat="false" ht="36" hidden="false" customHeight="true" outlineLevel="0" collapsed="false">
      <c r="A227" s="3"/>
      <c r="B227" s="152" t="s">
        <v>7223</v>
      </c>
      <c r="C227" s="23" t="s">
        <v>7224</v>
      </c>
      <c r="D227" s="23" t="s">
        <v>7225</v>
      </c>
      <c r="E227" s="23" t="s">
        <v>7226</v>
      </c>
      <c r="F227" s="23" t="s">
        <v>7227</v>
      </c>
      <c r="G227" s="23" t="s">
        <v>7228</v>
      </c>
      <c r="H227" s="23" t="s">
        <v>7229</v>
      </c>
      <c r="I227" s="23" t="s">
        <v>7230</v>
      </c>
      <c r="J227" s="23" t="s">
        <v>7231</v>
      </c>
      <c r="K227" s="10"/>
      <c r="L227" s="10"/>
      <c r="M227" s="9"/>
      <c r="N227" s="9"/>
      <c r="O227" s="9"/>
      <c r="P227" s="9"/>
      <c r="Q227" s="9"/>
      <c r="R227" s="9"/>
      <c r="S227" s="9"/>
      <c r="T227" s="9"/>
      <c r="U227" s="9"/>
      <c r="V227" s="3"/>
      <c r="W227" s="3"/>
      <c r="X227" s="3"/>
      <c r="Y227" s="3"/>
      <c r="Z227" s="3"/>
      <c r="AA227" s="3"/>
      <c r="AB227" s="3"/>
      <c r="AC227" s="3"/>
    </row>
    <row r="228" customFormat="false" ht="75" hidden="false" customHeight="true" outlineLevel="0" collapsed="false">
      <c r="A228" s="3"/>
      <c r="B228" s="139" t="s">
        <v>6479</v>
      </c>
      <c r="C228" s="156" t="n">
        <v>174.39</v>
      </c>
      <c r="D228" s="156" t="n">
        <v>185.54</v>
      </c>
      <c r="E228" s="156" t="n">
        <v>366.12</v>
      </c>
      <c r="F228" s="156" t="s">
        <v>7232</v>
      </c>
      <c r="G228" s="91" t="n">
        <v>174.39</v>
      </c>
      <c r="H228" s="91" t="n">
        <v>185.54</v>
      </c>
      <c r="I228" s="91" t="n">
        <v>366.12</v>
      </c>
      <c r="J228" s="91" t="s">
        <v>7232</v>
      </c>
      <c r="K228" s="10"/>
      <c r="L228" s="10"/>
      <c r="M228" s="9"/>
      <c r="N228" s="9"/>
      <c r="O228" s="9"/>
      <c r="P228" s="9"/>
      <c r="Q228" s="9"/>
      <c r="R228" s="9"/>
      <c r="S228" s="9"/>
      <c r="T228" s="9"/>
      <c r="U228" s="9"/>
      <c r="V228" s="3"/>
      <c r="W228" s="3"/>
      <c r="X228" s="3"/>
      <c r="Y228" s="3"/>
      <c r="Z228" s="3"/>
      <c r="AA228" s="3"/>
      <c r="AB228" s="3"/>
      <c r="AC228" s="3"/>
    </row>
    <row r="229" customFormat="false" ht="75" hidden="false" customHeight="true" outlineLevel="0" collapsed="false">
      <c r="A229" s="3"/>
      <c r="B229" s="141" t="s">
        <v>6481</v>
      </c>
      <c r="C229" s="158" t="n">
        <v>110.74</v>
      </c>
      <c r="D229" s="158" t="n">
        <v>159</v>
      </c>
      <c r="E229" s="158" t="n">
        <v>233.88</v>
      </c>
      <c r="F229" s="158" t="s">
        <v>7233</v>
      </c>
      <c r="G229" s="98" t="n">
        <v>110.74</v>
      </c>
      <c r="H229" s="98" t="n">
        <v>159</v>
      </c>
      <c r="I229" s="98" t="n">
        <v>233.88</v>
      </c>
      <c r="J229" s="98" t="s">
        <v>7233</v>
      </c>
      <c r="K229" s="10"/>
      <c r="L229" s="10"/>
      <c r="M229" s="9"/>
      <c r="N229" s="9"/>
      <c r="O229" s="9"/>
      <c r="P229" s="9"/>
      <c r="Q229" s="9"/>
      <c r="R229" s="9"/>
      <c r="S229" s="9"/>
      <c r="T229" s="9"/>
      <c r="U229" s="9"/>
      <c r="V229" s="3"/>
      <c r="W229" s="3"/>
      <c r="X229" s="3"/>
      <c r="Y229" s="3"/>
      <c r="Z229" s="3"/>
      <c r="AA229" s="3"/>
      <c r="AB229" s="3"/>
      <c r="AC229" s="3"/>
    </row>
    <row r="230" customFormat="false" ht="75" hidden="false" customHeight="true" outlineLevel="0" collapsed="false">
      <c r="A230" s="3"/>
      <c r="B230" s="139" t="s">
        <v>6482</v>
      </c>
      <c r="C230" s="156" t="n">
        <v>101.39</v>
      </c>
      <c r="D230" s="156" t="n">
        <v>140</v>
      </c>
      <c r="E230" s="156" t="n">
        <v>276.03</v>
      </c>
      <c r="F230" s="156" t="s">
        <v>7233</v>
      </c>
      <c r="G230" s="91" t="n">
        <v>101.39</v>
      </c>
      <c r="H230" s="91" t="n">
        <v>140</v>
      </c>
      <c r="I230" s="91" t="n">
        <v>276.03</v>
      </c>
      <c r="J230" s="91" t="s">
        <v>7233</v>
      </c>
      <c r="K230" s="10"/>
      <c r="L230" s="10"/>
      <c r="M230" s="9"/>
      <c r="N230" s="9"/>
      <c r="O230" s="9"/>
      <c r="P230" s="9"/>
      <c r="Q230" s="9"/>
      <c r="R230" s="9"/>
      <c r="S230" s="9"/>
      <c r="T230" s="9"/>
      <c r="U230" s="9"/>
      <c r="V230" s="3"/>
      <c r="W230" s="3"/>
      <c r="X230" s="3"/>
      <c r="Y230" s="3"/>
      <c r="Z230" s="3"/>
      <c r="AA230" s="3"/>
      <c r="AB230" s="3"/>
      <c r="AC230" s="3"/>
    </row>
    <row r="231" customFormat="false" ht="75" hidden="false" customHeight="true" outlineLevel="0" collapsed="false">
      <c r="A231" s="3"/>
      <c r="B231" s="141" t="s">
        <v>6483</v>
      </c>
      <c r="C231" s="158" t="n">
        <v>242.15</v>
      </c>
      <c r="D231" s="158" t="n">
        <v>279.86</v>
      </c>
      <c r="E231" s="158" t="n">
        <v>314.05</v>
      </c>
      <c r="F231" s="158" t="s">
        <v>7233</v>
      </c>
      <c r="G231" s="98" t="n">
        <v>242.15</v>
      </c>
      <c r="H231" s="98" t="n">
        <v>279.86</v>
      </c>
      <c r="I231" s="98" t="n">
        <v>314.05</v>
      </c>
      <c r="J231" s="98" t="s">
        <v>7233</v>
      </c>
      <c r="K231" s="10"/>
      <c r="L231" s="10"/>
      <c r="M231" s="9"/>
      <c r="N231" s="9"/>
      <c r="O231" s="9"/>
      <c r="P231" s="9"/>
      <c r="Q231" s="9"/>
      <c r="R231" s="9"/>
      <c r="S231" s="9"/>
      <c r="T231" s="9"/>
      <c r="U231" s="9"/>
      <c r="V231" s="3"/>
      <c r="W231" s="3"/>
      <c r="X231" s="3"/>
      <c r="Y231" s="3"/>
      <c r="Z231" s="3"/>
      <c r="AA231" s="3"/>
      <c r="AB231" s="3"/>
      <c r="AC231" s="3"/>
    </row>
    <row r="232" customFormat="false" ht="75" hidden="false" customHeight="true" outlineLevel="0" collapsed="false">
      <c r="A232" s="3"/>
      <c r="B232" s="139" t="s">
        <v>6484</v>
      </c>
      <c r="C232" s="156" t="n">
        <v>47.11</v>
      </c>
      <c r="D232" s="156" t="n">
        <v>77.69</v>
      </c>
      <c r="E232" s="156" t="n">
        <v>107.44</v>
      </c>
      <c r="F232" s="156" t="s">
        <v>7233</v>
      </c>
      <c r="G232" s="91" t="n">
        <v>47.11</v>
      </c>
      <c r="H232" s="91" t="n">
        <v>77.69</v>
      </c>
      <c r="I232" s="91" t="n">
        <v>107.44</v>
      </c>
      <c r="J232" s="91" t="s">
        <v>7233</v>
      </c>
      <c r="K232" s="10"/>
      <c r="L232" s="10"/>
      <c r="M232" s="9"/>
      <c r="N232" s="9"/>
      <c r="O232" s="9"/>
      <c r="P232" s="9"/>
      <c r="Q232" s="9"/>
      <c r="R232" s="9"/>
      <c r="S232" s="9"/>
      <c r="T232" s="9"/>
      <c r="U232" s="9"/>
      <c r="V232" s="3"/>
      <c r="W232" s="3"/>
      <c r="X232" s="3"/>
      <c r="Y232" s="3"/>
      <c r="Z232" s="3"/>
      <c r="AA232" s="3"/>
      <c r="AB232" s="3"/>
      <c r="AC232" s="3"/>
    </row>
    <row r="233" customFormat="false" ht="75" hidden="false" customHeight="true" outlineLevel="0" collapsed="false">
      <c r="A233" s="3"/>
      <c r="B233" s="141" t="s">
        <v>6485</v>
      </c>
      <c r="C233" s="158" t="n">
        <v>68.6</v>
      </c>
      <c r="D233" s="158" t="n">
        <v>84.96</v>
      </c>
      <c r="E233" s="158" t="n">
        <v>102.48</v>
      </c>
      <c r="F233" s="158" t="s">
        <v>7232</v>
      </c>
      <c r="G233" s="98" t="n">
        <v>68.6</v>
      </c>
      <c r="H233" s="98" t="n">
        <v>84.96</v>
      </c>
      <c r="I233" s="98" t="n">
        <v>102.48</v>
      </c>
      <c r="J233" s="98" t="s">
        <v>7232</v>
      </c>
      <c r="K233" s="10"/>
      <c r="L233" s="10"/>
      <c r="M233" s="9"/>
      <c r="N233" s="9"/>
      <c r="O233" s="9"/>
      <c r="P233" s="9"/>
      <c r="Q233" s="9"/>
      <c r="R233" s="9"/>
      <c r="S233" s="9"/>
      <c r="T233" s="9"/>
      <c r="U233" s="9"/>
      <c r="V233" s="3"/>
      <c r="W233" s="3"/>
      <c r="X233" s="3"/>
      <c r="Y233" s="3"/>
      <c r="Z233" s="3"/>
      <c r="AA233" s="3"/>
      <c r="AB233" s="3"/>
      <c r="AC233" s="3"/>
    </row>
    <row r="234" customFormat="false" ht="75" hidden="false" customHeight="true" outlineLevel="0" collapsed="false">
      <c r="A234" s="3"/>
      <c r="B234" s="139" t="s">
        <v>52</v>
      </c>
      <c r="C234" s="156" t="n">
        <v>35.54</v>
      </c>
      <c r="D234" s="156" t="n">
        <v>42.98</v>
      </c>
      <c r="E234" s="156" t="n">
        <v>81.82</v>
      </c>
      <c r="F234" s="156" t="s">
        <v>7236</v>
      </c>
      <c r="G234" s="91" t="n">
        <v>35.54</v>
      </c>
      <c r="H234" s="91" t="n">
        <v>42.98</v>
      </c>
      <c r="I234" s="91" t="n">
        <v>81.82</v>
      </c>
      <c r="J234" s="91" t="s">
        <v>7236</v>
      </c>
      <c r="K234" s="10"/>
      <c r="L234" s="10"/>
      <c r="M234" s="9"/>
      <c r="N234" s="9"/>
      <c r="O234" s="9"/>
      <c r="P234" s="9"/>
      <c r="Q234" s="9"/>
      <c r="R234" s="9"/>
      <c r="S234" s="9"/>
      <c r="T234" s="9"/>
      <c r="U234" s="9"/>
      <c r="V234" s="3"/>
      <c r="W234" s="3"/>
      <c r="X234" s="3"/>
      <c r="Y234" s="3"/>
      <c r="Z234" s="3"/>
      <c r="AA234" s="3"/>
      <c r="AB234" s="3"/>
      <c r="AC234" s="3"/>
    </row>
    <row r="235" customFormat="false" ht="75" hidden="false" customHeight="true" outlineLevel="0" collapsed="false">
      <c r="A235" s="3"/>
      <c r="B235" s="141" t="s">
        <v>53</v>
      </c>
      <c r="C235" s="158" t="n">
        <v>28.1</v>
      </c>
      <c r="D235" s="158" t="n">
        <v>39</v>
      </c>
      <c r="E235" s="158" t="n">
        <v>137.88</v>
      </c>
      <c r="F235" s="158" t="s">
        <v>7233</v>
      </c>
      <c r="G235" s="98" t="n">
        <v>28.1</v>
      </c>
      <c r="H235" s="98" t="n">
        <v>39</v>
      </c>
      <c r="I235" s="98" t="n">
        <v>137.88</v>
      </c>
      <c r="J235" s="98" t="s">
        <v>7233</v>
      </c>
      <c r="K235" s="10"/>
      <c r="L235" s="10"/>
      <c r="M235" s="9"/>
      <c r="N235" s="9"/>
      <c r="O235" s="9"/>
      <c r="P235" s="9"/>
      <c r="Q235" s="9"/>
      <c r="R235" s="9"/>
      <c r="S235" s="9"/>
      <c r="T235" s="9"/>
      <c r="U235" s="9"/>
      <c r="V235" s="3"/>
      <c r="W235" s="3"/>
      <c r="X235" s="3"/>
      <c r="Y235" s="3"/>
      <c r="Z235" s="3"/>
      <c r="AA235" s="3"/>
      <c r="AB235" s="3"/>
      <c r="AC235" s="3"/>
    </row>
    <row r="236" customFormat="false" ht="75" hidden="false" customHeight="true" outlineLevel="0" collapsed="false">
      <c r="A236" s="3"/>
      <c r="B236" s="139" t="s">
        <v>6486</v>
      </c>
      <c r="C236" s="156" t="n">
        <v>894.21</v>
      </c>
      <c r="D236" s="156" t="n">
        <v>894.21</v>
      </c>
      <c r="E236" s="156" t="n">
        <v>894.21</v>
      </c>
      <c r="F236" s="156" t="s">
        <v>346</v>
      </c>
      <c r="G236" s="91" t="n">
        <v>894.21</v>
      </c>
      <c r="H236" s="91" t="n">
        <v>894.21</v>
      </c>
      <c r="I236" s="91" t="n">
        <v>894.21</v>
      </c>
      <c r="J236" s="91" t="s">
        <v>346</v>
      </c>
      <c r="K236" s="10"/>
      <c r="L236" s="10"/>
      <c r="M236" s="9"/>
      <c r="N236" s="9"/>
      <c r="O236" s="9"/>
      <c r="P236" s="9"/>
      <c r="Q236" s="9"/>
      <c r="R236" s="9"/>
      <c r="S236" s="9"/>
      <c r="T236" s="9"/>
      <c r="U236" s="9"/>
      <c r="V236" s="3"/>
      <c r="W236" s="3"/>
      <c r="X236" s="3"/>
      <c r="Y236" s="3"/>
      <c r="Z236" s="3"/>
      <c r="AA236" s="3"/>
      <c r="AB236" s="3"/>
      <c r="AC236" s="3"/>
    </row>
    <row r="237" customFormat="false" ht="75" hidden="false" customHeight="true" outlineLevel="0" collapsed="false">
      <c r="A237" s="3"/>
      <c r="B237" s="141" t="s">
        <v>6488</v>
      </c>
      <c r="C237" s="158" t="n">
        <v>219.02</v>
      </c>
      <c r="D237" s="158" t="n">
        <v>257.855</v>
      </c>
      <c r="E237" s="158" t="n">
        <v>280.17</v>
      </c>
      <c r="F237" s="158" t="s">
        <v>7232</v>
      </c>
      <c r="G237" s="98" t="n">
        <v>219.02</v>
      </c>
      <c r="H237" s="98" t="n">
        <v>257.855</v>
      </c>
      <c r="I237" s="98" t="n">
        <v>280.17</v>
      </c>
      <c r="J237" s="98" t="s">
        <v>7232</v>
      </c>
      <c r="K237" s="10"/>
      <c r="L237" s="10"/>
      <c r="M237" s="9"/>
      <c r="N237" s="9"/>
      <c r="O237" s="9"/>
      <c r="P237" s="9"/>
      <c r="Q237" s="9"/>
      <c r="R237" s="9"/>
      <c r="S237" s="9"/>
      <c r="T237" s="9"/>
      <c r="U237" s="9"/>
      <c r="V237" s="3"/>
      <c r="W237" s="3"/>
      <c r="X237" s="3"/>
      <c r="Y237" s="3"/>
      <c r="Z237" s="3"/>
      <c r="AA237" s="3"/>
      <c r="AB237" s="3"/>
      <c r="AC237" s="3"/>
    </row>
    <row r="238" customFormat="false" ht="75" hidden="false" customHeight="true" outlineLevel="0" collapsed="false">
      <c r="A238" s="3"/>
      <c r="B238" s="139" t="s">
        <v>6490</v>
      </c>
      <c r="C238" s="156" t="n">
        <v>219.01</v>
      </c>
      <c r="D238" s="156" t="n">
        <v>289</v>
      </c>
      <c r="E238" s="156" t="n">
        <v>524.79</v>
      </c>
      <c r="F238" s="156" t="s">
        <v>7233</v>
      </c>
      <c r="G238" s="91" t="n">
        <v>219.01</v>
      </c>
      <c r="H238" s="91" t="n">
        <v>289</v>
      </c>
      <c r="I238" s="91" t="n">
        <v>524.79</v>
      </c>
      <c r="J238" s="91" t="s">
        <v>7233</v>
      </c>
      <c r="K238" s="10"/>
      <c r="L238" s="10"/>
      <c r="M238" s="9"/>
      <c r="N238" s="9"/>
      <c r="O238" s="9"/>
      <c r="P238" s="9"/>
      <c r="Q238" s="9"/>
      <c r="R238" s="9"/>
      <c r="S238" s="9"/>
      <c r="T238" s="9"/>
      <c r="U238" s="9"/>
      <c r="V238" s="3"/>
      <c r="W238" s="3"/>
      <c r="X238" s="3"/>
      <c r="Y238" s="3"/>
      <c r="Z238" s="3"/>
      <c r="AA238" s="3"/>
      <c r="AB238" s="3"/>
      <c r="AC238" s="3"/>
    </row>
    <row r="239" customFormat="false" ht="75" hidden="false" customHeight="true" outlineLevel="0" collapsed="false">
      <c r="A239" s="3"/>
      <c r="B239" s="141" t="s">
        <v>6491</v>
      </c>
      <c r="C239" s="158" t="n">
        <v>62.81</v>
      </c>
      <c r="D239" s="158" t="n">
        <v>104.68</v>
      </c>
      <c r="E239" s="158" t="n">
        <v>133.88</v>
      </c>
      <c r="F239" s="158" t="s">
        <v>7232</v>
      </c>
      <c r="G239" s="98" t="n">
        <v>62.81</v>
      </c>
      <c r="H239" s="98" t="n">
        <v>104.68</v>
      </c>
      <c r="I239" s="98" t="n">
        <v>133.88</v>
      </c>
      <c r="J239" s="98" t="s">
        <v>7232</v>
      </c>
      <c r="K239" s="10"/>
      <c r="L239" s="10"/>
      <c r="M239" s="9"/>
      <c r="N239" s="9"/>
      <c r="O239" s="9"/>
      <c r="P239" s="9"/>
      <c r="Q239" s="9"/>
      <c r="R239" s="9"/>
      <c r="S239" s="9"/>
      <c r="T239" s="9"/>
      <c r="U239" s="9"/>
      <c r="V239" s="3"/>
      <c r="W239" s="3"/>
      <c r="X239" s="3"/>
      <c r="Y239" s="3"/>
      <c r="Z239" s="3"/>
      <c r="AA239" s="3"/>
      <c r="AB239" s="3"/>
      <c r="AC239" s="3"/>
    </row>
    <row r="240" customFormat="false" ht="75" hidden="false" customHeight="true" outlineLevel="0" collapsed="false">
      <c r="A240" s="3"/>
      <c r="B240" s="139" t="s">
        <v>6492</v>
      </c>
      <c r="C240" s="156" t="n">
        <v>539.67</v>
      </c>
      <c r="D240" s="156" t="n">
        <v>861.285</v>
      </c>
      <c r="E240" s="156" t="n">
        <v>1265.29</v>
      </c>
      <c r="F240" s="156" t="s">
        <v>7235</v>
      </c>
      <c r="G240" s="91" t="n">
        <v>539.67</v>
      </c>
      <c r="H240" s="91" t="n">
        <v>861.285</v>
      </c>
      <c r="I240" s="91" t="n">
        <v>1265.29</v>
      </c>
      <c r="J240" s="91" t="s">
        <v>7235</v>
      </c>
      <c r="K240" s="10"/>
      <c r="L240" s="10"/>
      <c r="M240" s="9"/>
      <c r="N240" s="9"/>
      <c r="O240" s="9"/>
      <c r="P240" s="9"/>
      <c r="Q240" s="9"/>
      <c r="R240" s="9"/>
      <c r="S240" s="9"/>
      <c r="T240" s="9"/>
      <c r="U240" s="9"/>
      <c r="V240" s="3"/>
      <c r="W240" s="3"/>
      <c r="X240" s="3"/>
      <c r="Y240" s="3"/>
      <c r="Z240" s="3"/>
      <c r="AA240" s="3"/>
      <c r="AB240" s="3"/>
      <c r="AC240" s="3"/>
    </row>
    <row r="241" customFormat="false" ht="75" hidden="false" customHeight="true" outlineLevel="0" collapsed="false">
      <c r="A241" s="3"/>
      <c r="B241" s="141" t="s">
        <v>6493</v>
      </c>
      <c r="C241" s="158" t="n">
        <v>47.11</v>
      </c>
      <c r="D241" s="158" t="n">
        <v>72.98</v>
      </c>
      <c r="E241" s="158" t="n">
        <v>149.59</v>
      </c>
      <c r="F241" s="158" t="s">
        <v>7233</v>
      </c>
      <c r="G241" s="98" t="n">
        <v>47.11</v>
      </c>
      <c r="H241" s="98" t="n">
        <v>72.98</v>
      </c>
      <c r="I241" s="98" t="n">
        <v>149.59</v>
      </c>
      <c r="J241" s="98" t="s">
        <v>7233</v>
      </c>
      <c r="K241" s="10"/>
      <c r="L241" s="10"/>
      <c r="M241" s="9"/>
      <c r="N241" s="9"/>
      <c r="O241" s="9"/>
      <c r="P241" s="9"/>
      <c r="Q241" s="9"/>
      <c r="R241" s="9"/>
      <c r="S241" s="9"/>
      <c r="T241" s="9"/>
      <c r="U241" s="9"/>
      <c r="V241" s="3"/>
      <c r="W241" s="3"/>
      <c r="X241" s="3"/>
      <c r="Y241" s="3"/>
      <c r="Z241" s="3"/>
      <c r="AA241" s="3"/>
      <c r="AB241" s="3"/>
      <c r="AC241" s="3"/>
    </row>
    <row r="242" customFormat="false" ht="75" hidden="false" customHeight="true" outlineLevel="0" collapsed="false">
      <c r="A242" s="3"/>
      <c r="B242" s="139" t="s">
        <v>62</v>
      </c>
      <c r="C242" s="156" t="n">
        <v>80.99</v>
      </c>
      <c r="D242" s="156" t="n">
        <v>80.99</v>
      </c>
      <c r="E242" s="156" t="n">
        <v>80.99</v>
      </c>
      <c r="F242" s="156" t="s">
        <v>346</v>
      </c>
      <c r="G242" s="91" t="n">
        <v>80.99</v>
      </c>
      <c r="H242" s="91" t="n">
        <v>80.99</v>
      </c>
      <c r="I242" s="91" t="n">
        <v>80.99</v>
      </c>
      <c r="J242" s="91" t="s">
        <v>346</v>
      </c>
      <c r="K242" s="10"/>
      <c r="L242" s="10"/>
      <c r="M242" s="9"/>
      <c r="N242" s="9"/>
      <c r="O242" s="9"/>
      <c r="P242" s="9"/>
      <c r="Q242" s="9"/>
      <c r="R242" s="9"/>
      <c r="S242" s="9"/>
      <c r="T242" s="9"/>
      <c r="U242" s="9"/>
      <c r="V242" s="3"/>
      <c r="W242" s="3"/>
      <c r="X242" s="3"/>
      <c r="Y242" s="3"/>
      <c r="Z242" s="3"/>
      <c r="AA242" s="3"/>
      <c r="AB242" s="3"/>
      <c r="AC242" s="3"/>
    </row>
    <row r="243" customFormat="false" ht="75" hidden="false" customHeight="true" outlineLevel="0" collapsed="false">
      <c r="A243" s="3"/>
      <c r="B243" s="141" t="s">
        <v>6495</v>
      </c>
      <c r="C243" s="158"/>
      <c r="D243" s="158"/>
      <c r="E243" s="158"/>
      <c r="F243" s="158"/>
      <c r="G243" s="98"/>
      <c r="H243" s="98"/>
      <c r="I243" s="98"/>
      <c r="J243" s="98"/>
      <c r="K243" s="10"/>
      <c r="L243" s="10"/>
      <c r="M243" s="9"/>
      <c r="N243" s="9"/>
      <c r="O243" s="9"/>
      <c r="P243" s="9"/>
      <c r="Q243" s="9"/>
      <c r="R243" s="9"/>
      <c r="S243" s="9"/>
      <c r="T243" s="9"/>
      <c r="U243" s="9"/>
      <c r="V243" s="3"/>
      <c r="W243" s="3"/>
      <c r="X243" s="3"/>
      <c r="Y243" s="3"/>
      <c r="Z243" s="3"/>
      <c r="AA243" s="3"/>
      <c r="AB243" s="3"/>
      <c r="AC243" s="3"/>
    </row>
    <row r="244" customFormat="false" ht="75" hidden="false" customHeight="true" outlineLevel="0" collapsed="false">
      <c r="A244" s="3"/>
      <c r="B244" s="139" t="s">
        <v>6496</v>
      </c>
      <c r="C244" s="156" t="n">
        <v>277.69</v>
      </c>
      <c r="D244" s="156" t="n">
        <v>277.69</v>
      </c>
      <c r="E244" s="156" t="n">
        <v>277.69</v>
      </c>
      <c r="F244" s="156" t="s">
        <v>342</v>
      </c>
      <c r="G244" s="91" t="n">
        <v>277.69</v>
      </c>
      <c r="H244" s="91" t="n">
        <v>277.69</v>
      </c>
      <c r="I244" s="91" t="n">
        <v>277.69</v>
      </c>
      <c r="J244" s="91" t="s">
        <v>342</v>
      </c>
      <c r="K244" s="10"/>
      <c r="L244" s="10"/>
      <c r="M244" s="9"/>
      <c r="N244" s="9"/>
      <c r="O244" s="9"/>
      <c r="P244" s="9"/>
      <c r="Q244" s="9"/>
      <c r="R244" s="9"/>
      <c r="S244" s="9"/>
      <c r="T244" s="9"/>
      <c r="U244" s="9"/>
      <c r="V244" s="3"/>
      <c r="W244" s="3"/>
      <c r="X244" s="3"/>
      <c r="Y244" s="3"/>
      <c r="Z244" s="3"/>
      <c r="AA244" s="3"/>
      <c r="AB244" s="3"/>
      <c r="AC244" s="3"/>
    </row>
    <row r="245" customFormat="false" ht="30.75" hidden="false" customHeight="true" outlineLevel="0" collapsed="false">
      <c r="A245" s="3"/>
      <c r="B245" s="9"/>
      <c r="C245" s="9"/>
      <c r="D245" s="9"/>
      <c r="E245" s="9"/>
      <c r="F245" s="9"/>
      <c r="G245" s="10"/>
      <c r="H245" s="10"/>
      <c r="I245" s="10"/>
      <c r="J245" s="10"/>
      <c r="K245" s="10"/>
      <c r="L245" s="10"/>
      <c r="M245" s="9"/>
      <c r="N245" s="9"/>
      <c r="O245" s="9"/>
      <c r="P245" s="9"/>
      <c r="Q245" s="9"/>
      <c r="R245" s="9"/>
      <c r="S245" s="9"/>
      <c r="T245" s="9"/>
      <c r="U245" s="9"/>
      <c r="V245" s="3"/>
      <c r="W245" s="3"/>
      <c r="X245" s="3"/>
      <c r="Y245" s="3"/>
      <c r="Z245" s="3"/>
      <c r="AA245" s="3"/>
      <c r="AB245" s="3"/>
      <c r="AC245" s="3"/>
    </row>
    <row r="246" customFormat="false" ht="30.75" hidden="false" customHeight="true" outlineLevel="0" collapsed="false">
      <c r="A246" s="3"/>
      <c r="B246" s="161" t="s">
        <v>7238</v>
      </c>
      <c r="C246" s="161"/>
      <c r="D246" s="161"/>
      <c r="E246" s="161"/>
      <c r="F246" s="161"/>
      <c r="G246" s="161"/>
      <c r="H246" s="161"/>
      <c r="I246" s="161"/>
      <c r="J246" s="161"/>
      <c r="K246" s="10"/>
      <c r="L246" s="10"/>
      <c r="M246" s="9"/>
      <c r="N246" s="9"/>
      <c r="O246" s="9"/>
      <c r="P246" s="9"/>
      <c r="Q246" s="9"/>
      <c r="R246" s="9"/>
      <c r="S246" s="9"/>
      <c r="T246" s="9"/>
      <c r="U246" s="9"/>
      <c r="V246" s="3"/>
      <c r="W246" s="3"/>
      <c r="X246" s="3"/>
      <c r="Y246" s="3"/>
      <c r="Z246" s="3"/>
      <c r="AA246" s="3"/>
      <c r="AB246" s="3"/>
      <c r="AC246" s="3"/>
    </row>
    <row r="247" customFormat="false" ht="78" hidden="false" customHeight="true" outlineLevel="0" collapsed="false">
      <c r="A247" s="3"/>
      <c r="B247" s="161" t="s">
        <v>7239</v>
      </c>
      <c r="C247" s="161"/>
      <c r="D247" s="161"/>
      <c r="E247" s="161"/>
      <c r="F247" s="161"/>
      <c r="G247" s="161"/>
      <c r="H247" s="161"/>
      <c r="I247" s="161"/>
      <c r="J247" s="161"/>
      <c r="K247" s="10"/>
      <c r="L247" s="10"/>
      <c r="M247" s="9"/>
      <c r="N247" s="9"/>
      <c r="O247" s="9"/>
      <c r="P247" s="9"/>
      <c r="Q247" s="9"/>
      <c r="R247" s="9"/>
      <c r="S247" s="9"/>
      <c r="T247" s="9"/>
      <c r="U247" s="9"/>
      <c r="V247" s="3"/>
      <c r="W247" s="3"/>
      <c r="X247" s="3"/>
      <c r="Y247" s="3"/>
      <c r="Z247" s="3"/>
      <c r="AA247" s="3"/>
      <c r="AB247" s="3"/>
      <c r="AC247" s="3"/>
    </row>
    <row r="248" customFormat="false" ht="63.75" hidden="false" customHeight="true" outlineLevel="0" collapsed="false">
      <c r="A248" s="3"/>
      <c r="B248" s="161" t="s">
        <v>7240</v>
      </c>
      <c r="C248" s="161"/>
      <c r="D248" s="161"/>
      <c r="E248" s="161"/>
      <c r="F248" s="161"/>
      <c r="G248" s="161"/>
      <c r="H248" s="161"/>
      <c r="I248" s="161"/>
      <c r="J248" s="161"/>
      <c r="K248" s="10"/>
      <c r="L248" s="10"/>
      <c r="M248" s="9"/>
      <c r="N248" s="9"/>
      <c r="O248" s="9"/>
      <c r="P248" s="9"/>
      <c r="Q248" s="9"/>
      <c r="R248" s="9"/>
      <c r="S248" s="9"/>
      <c r="T248" s="9"/>
      <c r="U248" s="9"/>
      <c r="V248" s="3"/>
      <c r="W248" s="3"/>
      <c r="X248" s="3"/>
      <c r="Y248" s="3"/>
      <c r="Z248" s="3"/>
      <c r="AA248" s="3"/>
      <c r="AB248" s="3"/>
      <c r="AC248" s="3"/>
    </row>
    <row r="249" customFormat="false" ht="49.5" hidden="false" customHeight="true" outlineLevel="0" collapsed="false">
      <c r="A249" s="3"/>
      <c r="B249" s="161" t="s">
        <v>7241</v>
      </c>
      <c r="C249" s="161"/>
      <c r="D249" s="161"/>
      <c r="E249" s="161"/>
      <c r="F249" s="161"/>
      <c r="G249" s="161"/>
      <c r="H249" s="161"/>
      <c r="I249" s="161"/>
      <c r="J249" s="161"/>
      <c r="K249" s="10"/>
      <c r="L249" s="10"/>
      <c r="M249" s="9"/>
      <c r="N249" s="9"/>
      <c r="O249" s="9"/>
      <c r="P249" s="9"/>
      <c r="Q249" s="9"/>
      <c r="R249" s="9"/>
      <c r="S249" s="9"/>
      <c r="T249" s="9"/>
      <c r="U249" s="9"/>
      <c r="V249" s="3"/>
      <c r="W249" s="3"/>
      <c r="X249" s="3"/>
      <c r="Y249" s="3"/>
      <c r="Z249" s="3"/>
      <c r="AA249" s="3"/>
      <c r="AB249" s="3"/>
      <c r="AC249" s="3"/>
    </row>
    <row r="250" customFormat="false" ht="63.75" hidden="false" customHeight="true" outlineLevel="0" collapsed="false">
      <c r="A250" s="3"/>
      <c r="B250" s="161" t="s">
        <v>7242</v>
      </c>
      <c r="C250" s="161"/>
      <c r="D250" s="161"/>
      <c r="E250" s="161"/>
      <c r="F250" s="161"/>
      <c r="G250" s="161"/>
      <c r="H250" s="161"/>
      <c r="I250" s="161"/>
      <c r="J250" s="161"/>
      <c r="K250" s="10"/>
      <c r="L250" s="10"/>
      <c r="M250" s="9"/>
      <c r="N250" s="9"/>
      <c r="O250" s="9"/>
      <c r="P250" s="9"/>
      <c r="Q250" s="9"/>
      <c r="R250" s="9"/>
      <c r="S250" s="9"/>
      <c r="T250" s="9"/>
      <c r="U250" s="9"/>
      <c r="V250" s="3"/>
      <c r="W250" s="3"/>
      <c r="X250" s="3"/>
      <c r="Y250" s="3"/>
      <c r="Z250" s="3"/>
      <c r="AA250" s="3"/>
      <c r="AB250" s="3"/>
      <c r="AC250" s="3"/>
    </row>
    <row r="251" customFormat="false" ht="78" hidden="false" customHeight="true" outlineLevel="0" collapsed="false">
      <c r="A251" s="3"/>
      <c r="B251" s="161" t="s">
        <v>7243</v>
      </c>
      <c r="C251" s="161"/>
      <c r="D251" s="161"/>
      <c r="E251" s="161"/>
      <c r="F251" s="161"/>
      <c r="G251" s="161"/>
      <c r="H251" s="161"/>
      <c r="I251" s="161"/>
      <c r="J251" s="161"/>
      <c r="K251" s="10"/>
      <c r="L251" s="10"/>
      <c r="M251" s="9"/>
      <c r="N251" s="9"/>
      <c r="O251" s="9"/>
      <c r="P251" s="9"/>
      <c r="Q251" s="9"/>
      <c r="R251" s="9"/>
      <c r="S251" s="9"/>
      <c r="T251" s="9"/>
      <c r="U251" s="9"/>
      <c r="V251" s="3"/>
      <c r="W251" s="3"/>
      <c r="X251" s="3"/>
      <c r="Y251" s="3"/>
      <c r="Z251" s="3"/>
      <c r="AA251" s="3"/>
      <c r="AB251" s="3"/>
      <c r="AC251" s="3"/>
    </row>
    <row r="252" customFormat="false" ht="63.75" hidden="false" customHeight="true" outlineLevel="0" collapsed="false">
      <c r="A252" s="3"/>
      <c r="B252" s="161" t="s">
        <v>7244</v>
      </c>
      <c r="C252" s="161"/>
      <c r="D252" s="161"/>
      <c r="E252" s="161"/>
      <c r="F252" s="161"/>
      <c r="G252" s="161"/>
      <c r="H252" s="161"/>
      <c r="I252" s="161"/>
      <c r="J252" s="161"/>
      <c r="K252" s="10"/>
      <c r="L252" s="10"/>
      <c r="M252" s="9"/>
      <c r="N252" s="9"/>
      <c r="O252" s="9"/>
      <c r="P252" s="9"/>
      <c r="Q252" s="9"/>
      <c r="R252" s="9"/>
      <c r="S252" s="9"/>
      <c r="T252" s="9"/>
      <c r="U252" s="9"/>
      <c r="V252" s="3"/>
      <c r="W252" s="3"/>
      <c r="X252" s="3"/>
      <c r="Y252" s="3"/>
      <c r="Z252" s="3"/>
      <c r="AA252" s="3"/>
      <c r="AB252" s="3"/>
      <c r="AC252" s="3"/>
    </row>
    <row r="253" customFormat="false" ht="78" hidden="false" customHeight="true" outlineLevel="0" collapsed="false">
      <c r="A253" s="3"/>
      <c r="B253" s="161" t="s">
        <v>7264</v>
      </c>
      <c r="C253" s="161"/>
      <c r="D253" s="161"/>
      <c r="E253" s="161"/>
      <c r="F253" s="161"/>
      <c r="G253" s="161"/>
      <c r="H253" s="161"/>
      <c r="I253" s="161"/>
      <c r="J253" s="161"/>
      <c r="K253" s="10"/>
      <c r="L253" s="10"/>
      <c r="M253" s="9"/>
      <c r="N253" s="9"/>
      <c r="O253" s="9"/>
      <c r="P253" s="9"/>
      <c r="Q253" s="9"/>
      <c r="R253" s="9"/>
      <c r="S253" s="9"/>
      <c r="T253" s="9"/>
      <c r="U253" s="9"/>
      <c r="V253" s="3"/>
      <c r="W253" s="3"/>
      <c r="X253" s="3"/>
      <c r="Y253" s="3"/>
      <c r="Z253" s="3"/>
      <c r="AA253" s="3"/>
      <c r="AB253" s="3"/>
      <c r="AC253" s="3"/>
    </row>
    <row r="254" customFormat="false" ht="30.75" hidden="false" customHeight="true" outlineLevel="0" collapsed="false">
      <c r="A254" s="3"/>
      <c r="B254" s="9"/>
      <c r="C254" s="9"/>
      <c r="D254" s="9"/>
      <c r="E254" s="9"/>
      <c r="F254" s="9"/>
      <c r="G254" s="10"/>
      <c r="H254" s="10"/>
      <c r="I254" s="10"/>
      <c r="J254" s="10"/>
      <c r="K254" s="10"/>
      <c r="L254" s="10"/>
      <c r="M254" s="9"/>
      <c r="N254" s="9"/>
      <c r="O254" s="9"/>
      <c r="P254" s="9"/>
      <c r="Q254" s="9"/>
      <c r="R254" s="9"/>
      <c r="S254" s="9"/>
      <c r="T254" s="9"/>
      <c r="U254" s="9"/>
      <c r="V254" s="3"/>
      <c r="W254" s="3"/>
      <c r="X254" s="3"/>
      <c r="Y254" s="3"/>
      <c r="Z254" s="3"/>
      <c r="AA254" s="3"/>
      <c r="AB254" s="3"/>
      <c r="AC254" s="3"/>
    </row>
    <row r="255" customFormat="false" ht="30.75" hidden="false" customHeight="true" outlineLevel="0" collapsed="false">
      <c r="A255" s="3"/>
      <c r="B255" s="9"/>
      <c r="C255" s="9"/>
      <c r="D255" s="9"/>
      <c r="E255" s="9"/>
      <c r="F255" s="9"/>
      <c r="G255" s="10"/>
      <c r="H255" s="10"/>
      <c r="I255" s="10"/>
      <c r="J255" s="10"/>
      <c r="K255" s="10"/>
      <c r="L255" s="10"/>
      <c r="M255" s="9"/>
      <c r="N255" s="9"/>
      <c r="O255" s="9"/>
      <c r="P255" s="9"/>
      <c r="Q255" s="9"/>
      <c r="R255" s="9"/>
      <c r="S255" s="9"/>
      <c r="T255" s="9"/>
      <c r="U255" s="9"/>
      <c r="V255" s="3"/>
      <c r="W255" s="3"/>
      <c r="X255" s="3"/>
      <c r="Y255" s="3"/>
      <c r="Z255" s="3"/>
      <c r="AA255" s="3"/>
      <c r="AB255" s="3"/>
      <c r="AC255" s="3"/>
    </row>
    <row r="256" customFormat="false" ht="25.5" hidden="false" customHeight="true" outlineLevel="0" collapsed="false">
      <c r="A256" s="3"/>
      <c r="B256" s="133" t="s">
        <v>7068</v>
      </c>
      <c r="C256" s="133"/>
      <c r="D256" s="133"/>
      <c r="E256" s="133"/>
      <c r="F256" s="133"/>
      <c r="G256" s="10"/>
      <c r="H256" s="10"/>
      <c r="I256" s="10"/>
      <c r="J256" s="10"/>
      <c r="K256" s="10"/>
      <c r="L256" s="10"/>
      <c r="M256" s="9"/>
      <c r="N256" s="9"/>
      <c r="O256" s="9"/>
      <c r="P256" s="9"/>
      <c r="Q256" s="9"/>
      <c r="R256" s="9"/>
      <c r="S256" s="9"/>
      <c r="T256" s="9"/>
      <c r="U256" s="9"/>
      <c r="V256" s="3"/>
      <c r="W256" s="3"/>
      <c r="X256" s="3"/>
      <c r="Y256" s="3"/>
      <c r="Z256" s="3"/>
      <c r="AA256" s="3"/>
      <c r="AB256" s="3"/>
      <c r="AC256" s="3"/>
    </row>
    <row r="257" customFormat="false" ht="36" hidden="false" customHeight="true" outlineLevel="0" collapsed="false">
      <c r="A257" s="3"/>
      <c r="B257" s="121" t="s">
        <v>230</v>
      </c>
      <c r="C257" s="26" t="s">
        <v>6928</v>
      </c>
      <c r="D257" s="26" t="s">
        <v>6595</v>
      </c>
      <c r="E257" s="26" t="s">
        <v>242</v>
      </c>
      <c r="F257" s="26" t="s">
        <v>240</v>
      </c>
      <c r="G257" s="10"/>
      <c r="H257" s="10"/>
      <c r="I257" s="10"/>
      <c r="J257" s="10"/>
      <c r="K257" s="10"/>
      <c r="L257" s="10"/>
      <c r="M257" s="9"/>
      <c r="N257" s="9"/>
      <c r="O257" s="9"/>
      <c r="P257" s="9"/>
      <c r="Q257" s="9"/>
      <c r="R257" s="9"/>
      <c r="S257" s="9"/>
      <c r="T257" s="9"/>
      <c r="U257" s="9"/>
      <c r="V257" s="3"/>
      <c r="W257" s="3"/>
      <c r="X257" s="3"/>
      <c r="Y257" s="3"/>
      <c r="Z257" s="3"/>
      <c r="AA257" s="3"/>
      <c r="AB257" s="3"/>
      <c r="AC257" s="3"/>
    </row>
    <row r="258" customFormat="false" ht="61.5" hidden="false" customHeight="true" outlineLevel="0" collapsed="false">
      <c r="A258" s="3"/>
      <c r="B258" s="139" t="s">
        <v>7208</v>
      </c>
      <c r="C258" s="113" t="s">
        <v>7245</v>
      </c>
      <c r="D258" s="109" t="s">
        <v>7246</v>
      </c>
      <c r="E258" s="109" t="s">
        <v>586</v>
      </c>
      <c r="F258" s="109" t="s">
        <v>7247</v>
      </c>
      <c r="G258" s="10"/>
      <c r="H258" s="10"/>
      <c r="I258" s="10"/>
      <c r="J258" s="10"/>
      <c r="K258" s="10"/>
      <c r="L258" s="10"/>
      <c r="M258" s="9"/>
      <c r="N258" s="9"/>
      <c r="O258" s="9"/>
      <c r="P258" s="9"/>
      <c r="Q258" s="9"/>
      <c r="R258" s="9"/>
      <c r="S258" s="9"/>
      <c r="T258" s="9"/>
      <c r="U258" s="9"/>
      <c r="V258" s="3"/>
      <c r="W258" s="3"/>
      <c r="X258" s="3"/>
      <c r="Y258" s="3"/>
      <c r="Z258" s="3"/>
      <c r="AA258" s="3"/>
      <c r="AB258" s="3"/>
      <c r="AC258" s="3"/>
    </row>
    <row r="259" customFormat="false" ht="48.75" hidden="false" customHeight="true" outlineLevel="0" collapsed="false">
      <c r="A259" s="3"/>
      <c r="B259" s="141" t="s">
        <v>7208</v>
      </c>
      <c r="C259" s="117" t="s">
        <v>7248</v>
      </c>
      <c r="D259" s="110" t="s">
        <v>7249</v>
      </c>
      <c r="E259" s="110" t="s">
        <v>586</v>
      </c>
      <c r="F259" s="110"/>
      <c r="G259" s="10"/>
      <c r="H259" s="10"/>
      <c r="I259" s="10"/>
      <c r="J259" s="10"/>
      <c r="K259" s="10"/>
      <c r="L259" s="10"/>
      <c r="M259" s="9"/>
      <c r="N259" s="9"/>
      <c r="O259" s="9"/>
      <c r="P259" s="9"/>
      <c r="Q259" s="9"/>
      <c r="R259" s="9"/>
      <c r="S259" s="9"/>
      <c r="T259" s="9"/>
      <c r="U259" s="9"/>
      <c r="V259" s="3"/>
      <c r="W259" s="3"/>
      <c r="X259" s="3"/>
      <c r="Y259" s="3"/>
      <c r="Z259" s="3"/>
      <c r="AA259" s="3"/>
      <c r="AB259" s="3"/>
      <c r="AC259" s="3"/>
    </row>
    <row r="260" customFormat="false" ht="61.5" hidden="false" customHeight="true" outlineLevel="0" collapsed="false">
      <c r="A260" s="3"/>
      <c r="B260" s="139" t="s">
        <v>7218</v>
      </c>
      <c r="C260" s="113" t="s">
        <v>7219</v>
      </c>
      <c r="D260" s="109" t="s">
        <v>7250</v>
      </c>
      <c r="E260" s="109" t="s">
        <v>586</v>
      </c>
      <c r="F260" s="109" t="s">
        <v>7251</v>
      </c>
      <c r="G260" s="10"/>
      <c r="H260" s="10"/>
      <c r="I260" s="10"/>
      <c r="J260" s="10"/>
      <c r="K260" s="10"/>
      <c r="L260" s="10"/>
      <c r="M260" s="9"/>
      <c r="N260" s="9"/>
      <c r="O260" s="9"/>
      <c r="P260" s="9"/>
      <c r="Q260" s="9"/>
      <c r="R260" s="9"/>
      <c r="S260" s="9"/>
      <c r="T260" s="9"/>
      <c r="U260" s="9"/>
      <c r="V260" s="3"/>
      <c r="W260" s="3"/>
      <c r="X260" s="3"/>
      <c r="Y260" s="3"/>
      <c r="Z260" s="3"/>
      <c r="AA260" s="3"/>
      <c r="AB260" s="3"/>
      <c r="AC260" s="3"/>
    </row>
    <row r="261" customFormat="false" ht="36" hidden="false" customHeight="true" outlineLevel="0" collapsed="false">
      <c r="A261" s="3"/>
      <c r="B261" s="141" t="s">
        <v>7218</v>
      </c>
      <c r="C261" s="117" t="s">
        <v>7252</v>
      </c>
      <c r="D261" s="110" t="s">
        <v>7253</v>
      </c>
      <c r="E261" s="110" t="s">
        <v>586</v>
      </c>
      <c r="F261" s="110"/>
      <c r="G261" s="10"/>
      <c r="H261" s="10"/>
      <c r="I261" s="10"/>
      <c r="J261" s="10"/>
      <c r="K261" s="10"/>
      <c r="L261" s="10"/>
      <c r="M261" s="9"/>
      <c r="N261" s="9"/>
      <c r="O261" s="9"/>
      <c r="P261" s="9"/>
      <c r="Q261" s="9"/>
      <c r="R261" s="9"/>
      <c r="S261" s="9"/>
      <c r="T261" s="9"/>
      <c r="U261" s="9"/>
      <c r="V261" s="3"/>
      <c r="W261" s="3"/>
      <c r="X261" s="3"/>
      <c r="Y261" s="3"/>
      <c r="Z261" s="3"/>
      <c r="AA261" s="3"/>
      <c r="AB261" s="3"/>
      <c r="AC261" s="3"/>
    </row>
    <row r="262" customFormat="false" ht="48.75" hidden="false" customHeight="true" outlineLevel="0" collapsed="false">
      <c r="A262" s="3"/>
      <c r="B262" s="139" t="s">
        <v>354</v>
      </c>
      <c r="C262" s="113" t="s">
        <v>7254</v>
      </c>
      <c r="D262" s="109" t="s">
        <v>7255</v>
      </c>
      <c r="E262" s="109" t="s">
        <v>586</v>
      </c>
      <c r="F262" s="109" t="s">
        <v>7256</v>
      </c>
      <c r="G262" s="10"/>
      <c r="H262" s="10"/>
      <c r="I262" s="10"/>
      <c r="J262" s="10"/>
      <c r="K262" s="10"/>
      <c r="L262" s="10"/>
      <c r="M262" s="9"/>
      <c r="N262" s="9"/>
      <c r="O262" s="9"/>
      <c r="P262" s="9"/>
      <c r="Q262" s="9"/>
      <c r="R262" s="9"/>
      <c r="S262" s="9"/>
      <c r="T262" s="9"/>
      <c r="U262" s="9"/>
      <c r="V262" s="3"/>
      <c r="W262" s="3"/>
      <c r="X262" s="3"/>
      <c r="Y262" s="3"/>
      <c r="Z262" s="3"/>
      <c r="AA262" s="3"/>
      <c r="AB262" s="3"/>
      <c r="AC262" s="3"/>
    </row>
    <row r="263" customFormat="false" ht="87.75" hidden="false" customHeight="true" outlineLevel="0" collapsed="false">
      <c r="A263" s="3"/>
      <c r="B263" s="141" t="s">
        <v>354</v>
      </c>
      <c r="C263" s="117" t="s">
        <v>7257</v>
      </c>
      <c r="D263" s="110" t="s">
        <v>7258</v>
      </c>
      <c r="E263" s="110" t="s">
        <v>586</v>
      </c>
      <c r="F263" s="110" t="s">
        <v>7259</v>
      </c>
      <c r="G263" s="10"/>
      <c r="H263" s="10"/>
      <c r="I263" s="10"/>
      <c r="J263" s="10"/>
      <c r="K263" s="10"/>
      <c r="L263" s="10"/>
      <c r="M263" s="9"/>
      <c r="N263" s="9"/>
      <c r="O263" s="9"/>
      <c r="P263" s="9"/>
      <c r="Q263" s="9"/>
      <c r="R263" s="9"/>
      <c r="S263" s="9"/>
      <c r="T263" s="9"/>
      <c r="U263" s="9"/>
      <c r="V263" s="3"/>
      <c r="W263" s="3"/>
      <c r="X263" s="3"/>
      <c r="Y263" s="3"/>
      <c r="Z263" s="3"/>
      <c r="AA263" s="3"/>
      <c r="AB263" s="3"/>
      <c r="AC263" s="3"/>
    </row>
    <row r="264" customFormat="false" ht="61.5" hidden="false" customHeight="true" outlineLevel="0" collapsed="false">
      <c r="A264" s="3"/>
      <c r="B264" s="139" t="s">
        <v>342</v>
      </c>
      <c r="C264" s="113" t="s">
        <v>7260</v>
      </c>
      <c r="D264" s="109" t="s">
        <v>7261</v>
      </c>
      <c r="E264" s="109" t="s">
        <v>586</v>
      </c>
      <c r="F264" s="109" t="s">
        <v>7262</v>
      </c>
      <c r="G264" s="10"/>
      <c r="H264" s="10"/>
      <c r="I264" s="10"/>
      <c r="J264" s="10"/>
      <c r="K264" s="10"/>
      <c r="L264" s="10"/>
      <c r="M264" s="9"/>
      <c r="N264" s="9"/>
      <c r="O264" s="9"/>
      <c r="P264" s="9"/>
      <c r="Q264" s="9"/>
      <c r="R264" s="9"/>
      <c r="S264" s="9"/>
      <c r="T264" s="9"/>
      <c r="U264" s="9"/>
      <c r="V264" s="3"/>
      <c r="W264" s="3"/>
      <c r="X264" s="3"/>
      <c r="Y264" s="3"/>
      <c r="Z264" s="3"/>
      <c r="AA264" s="3"/>
      <c r="AB264" s="3"/>
      <c r="AC264" s="3"/>
    </row>
    <row r="265" customFormat="false" ht="30.75" hidden="false" customHeight="true" outlineLevel="0" collapsed="false">
      <c r="A265" s="3"/>
      <c r="B265" s="3"/>
      <c r="C265" s="3"/>
      <c r="D265" s="3"/>
      <c r="E265" s="3"/>
      <c r="F265" s="3"/>
      <c r="G265" s="4"/>
      <c r="H265" s="4"/>
      <c r="I265" s="4"/>
      <c r="J265" s="4"/>
      <c r="K265" s="4"/>
      <c r="L265" s="4"/>
      <c r="M265" s="3"/>
      <c r="N265" s="3"/>
      <c r="O265" s="3"/>
      <c r="P265" s="3"/>
      <c r="Q265" s="3"/>
      <c r="R265" s="3"/>
      <c r="S265" s="3"/>
      <c r="T265" s="3"/>
      <c r="U265" s="3"/>
      <c r="V265" s="3"/>
      <c r="W265" s="3"/>
      <c r="X265" s="3"/>
      <c r="Y265" s="3"/>
      <c r="Z265" s="3"/>
      <c r="AA265" s="3"/>
      <c r="AB265" s="3"/>
      <c r="AC265" s="3"/>
    </row>
    <row r="266" customFormat="false" ht="30.75" hidden="false" customHeight="true" outlineLevel="0" collapsed="false">
      <c r="A266" s="3"/>
      <c r="B266" s="3"/>
      <c r="C266" s="3"/>
      <c r="D266" s="3"/>
      <c r="E266" s="3"/>
      <c r="F266" s="3"/>
      <c r="G266" s="4"/>
      <c r="H266" s="4"/>
      <c r="I266" s="4"/>
      <c r="J266" s="4"/>
      <c r="K266" s="4"/>
      <c r="L266" s="4"/>
      <c r="M266" s="3"/>
      <c r="N266" s="3"/>
      <c r="O266" s="3"/>
      <c r="P266" s="3"/>
      <c r="Q266" s="3"/>
      <c r="R266" s="3"/>
      <c r="S266" s="3"/>
      <c r="T266" s="3"/>
      <c r="U266" s="3"/>
      <c r="V266" s="3"/>
      <c r="W266" s="3"/>
      <c r="X266" s="3"/>
      <c r="Y266" s="3"/>
      <c r="Z266" s="3"/>
      <c r="AA266" s="3"/>
      <c r="AB266" s="3"/>
      <c r="AC266" s="3"/>
    </row>
    <row r="267" customFormat="false" ht="30.75" hidden="false" customHeight="true" outlineLevel="0" collapsed="false">
      <c r="A267" s="3"/>
      <c r="B267" s="3"/>
      <c r="C267" s="3"/>
      <c r="D267" s="3"/>
      <c r="E267" s="3"/>
      <c r="F267" s="3"/>
      <c r="G267" s="4"/>
      <c r="H267" s="4"/>
      <c r="I267" s="4"/>
      <c r="J267" s="4"/>
      <c r="K267" s="4"/>
      <c r="L267" s="4"/>
      <c r="M267" s="3"/>
      <c r="N267" s="3"/>
      <c r="O267" s="3"/>
      <c r="P267" s="3"/>
      <c r="Q267" s="3"/>
      <c r="R267" s="3"/>
      <c r="S267" s="3"/>
      <c r="T267" s="3"/>
      <c r="U267" s="3"/>
      <c r="V267" s="3"/>
      <c r="W267" s="3"/>
      <c r="X267" s="3"/>
      <c r="Y267" s="3"/>
      <c r="Z267" s="3"/>
      <c r="AA267" s="3"/>
      <c r="AB267" s="3"/>
      <c r="AC267" s="3"/>
    </row>
    <row r="268" customFormat="false" ht="21.75" hidden="false" customHeight="true" outlineLevel="0" collapsed="false">
      <c r="A268" s="3"/>
      <c r="B268" s="3"/>
      <c r="C268" s="3"/>
      <c r="D268" s="3"/>
      <c r="E268" s="3"/>
      <c r="F268" s="3"/>
      <c r="G268" s="4"/>
      <c r="H268" s="4"/>
      <c r="I268" s="4"/>
      <c r="J268" s="4"/>
      <c r="K268" s="4"/>
      <c r="L268" s="4"/>
      <c r="M268" s="3"/>
      <c r="N268" s="3"/>
      <c r="O268" s="3"/>
      <c r="P268" s="3"/>
      <c r="Q268" s="3"/>
      <c r="R268" s="3"/>
      <c r="S268" s="3"/>
      <c r="T268" s="3"/>
      <c r="U268" s="3"/>
      <c r="V268" s="3"/>
      <c r="W268" s="3"/>
      <c r="X268" s="3"/>
      <c r="Y268" s="3"/>
      <c r="Z268" s="3"/>
      <c r="AA268" s="3"/>
      <c r="AB268" s="3"/>
      <c r="AC268" s="3"/>
    </row>
    <row r="269" customFormat="false" ht="21.75" hidden="false" customHeight="true" outlineLevel="0" collapsed="false">
      <c r="A269" s="3"/>
      <c r="B269" s="3"/>
      <c r="C269" s="3"/>
      <c r="D269" s="3"/>
      <c r="E269" s="3"/>
      <c r="F269" s="3"/>
      <c r="G269" s="4"/>
      <c r="H269" s="4"/>
      <c r="I269" s="4"/>
      <c r="J269" s="4"/>
      <c r="K269" s="4"/>
      <c r="L269" s="4"/>
      <c r="M269" s="3"/>
      <c r="N269" s="3"/>
      <c r="O269" s="3"/>
      <c r="P269" s="3"/>
      <c r="Q269" s="3"/>
      <c r="R269" s="3"/>
      <c r="S269" s="3"/>
      <c r="T269" s="3"/>
      <c r="U269" s="3"/>
      <c r="V269" s="3"/>
      <c r="W269" s="3"/>
      <c r="X269" s="3"/>
      <c r="Y269" s="3"/>
      <c r="Z269" s="3"/>
      <c r="AA269" s="3"/>
      <c r="AB269" s="3"/>
      <c r="AC269" s="3"/>
    </row>
    <row r="270" customFormat="false" ht="21.75" hidden="false" customHeight="true" outlineLevel="0" collapsed="false">
      <c r="A270" s="3"/>
      <c r="B270" s="3"/>
      <c r="C270" s="3"/>
      <c r="D270" s="3"/>
      <c r="E270" s="3"/>
      <c r="F270" s="3"/>
      <c r="G270" s="4"/>
      <c r="H270" s="4"/>
      <c r="I270" s="4"/>
      <c r="J270" s="4"/>
      <c r="K270" s="4"/>
      <c r="L270" s="4"/>
      <c r="M270" s="3"/>
      <c r="N270" s="3"/>
      <c r="O270" s="3"/>
      <c r="P270" s="3"/>
      <c r="Q270" s="3"/>
      <c r="R270" s="3"/>
      <c r="S270" s="3"/>
      <c r="T270" s="3"/>
      <c r="U270" s="3"/>
      <c r="V270" s="3"/>
      <c r="W270" s="3"/>
      <c r="X270" s="3"/>
      <c r="Y270" s="3"/>
      <c r="Z270" s="3"/>
      <c r="AA270" s="3"/>
      <c r="AB270" s="3"/>
      <c r="AC270" s="3"/>
    </row>
    <row r="271" customFormat="false" ht="21.75" hidden="false" customHeight="true" outlineLevel="0" collapsed="false">
      <c r="A271" s="3"/>
      <c r="B271" s="3"/>
      <c r="C271" s="3"/>
      <c r="D271" s="3"/>
      <c r="E271" s="3"/>
      <c r="F271" s="3"/>
      <c r="G271" s="4"/>
      <c r="H271" s="4"/>
      <c r="I271" s="4"/>
      <c r="J271" s="4"/>
      <c r="K271" s="4"/>
      <c r="L271" s="4"/>
      <c r="M271" s="3"/>
      <c r="N271" s="3"/>
      <c r="O271" s="3"/>
      <c r="P271" s="3"/>
      <c r="Q271" s="3"/>
      <c r="R271" s="3"/>
      <c r="S271" s="3"/>
      <c r="T271" s="3"/>
      <c r="U271" s="3"/>
      <c r="V271" s="3"/>
      <c r="W271" s="3"/>
      <c r="X271" s="3"/>
      <c r="Y271" s="3"/>
      <c r="Z271" s="3"/>
      <c r="AA271" s="3"/>
      <c r="AB271" s="3"/>
      <c r="AC271" s="3"/>
    </row>
    <row r="272" customFormat="false" ht="21.75" hidden="false" customHeight="true" outlineLevel="0" collapsed="false">
      <c r="A272" s="3"/>
      <c r="B272" s="3"/>
      <c r="C272" s="3"/>
      <c r="D272" s="3"/>
      <c r="E272" s="3"/>
      <c r="F272" s="3"/>
      <c r="G272" s="4"/>
      <c r="H272" s="4"/>
      <c r="I272" s="4"/>
      <c r="J272" s="4"/>
      <c r="K272" s="4"/>
      <c r="L272" s="4"/>
      <c r="M272" s="3"/>
      <c r="N272" s="3"/>
      <c r="O272" s="3"/>
      <c r="P272" s="3"/>
      <c r="Q272" s="3"/>
      <c r="R272" s="3"/>
      <c r="S272" s="3"/>
      <c r="T272" s="3"/>
      <c r="U272" s="3"/>
      <c r="V272" s="3"/>
      <c r="W272" s="3"/>
      <c r="X272" s="3"/>
      <c r="Y272" s="3"/>
      <c r="Z272" s="3"/>
      <c r="AA272" s="3"/>
      <c r="AB272" s="3"/>
      <c r="AC272" s="3"/>
    </row>
    <row r="273" customFormat="false" ht="21.75" hidden="false" customHeight="true" outlineLevel="0" collapsed="false">
      <c r="A273" s="3"/>
      <c r="B273" s="3"/>
      <c r="C273" s="3"/>
      <c r="D273" s="3"/>
      <c r="E273" s="3"/>
      <c r="F273" s="3"/>
      <c r="G273" s="4"/>
      <c r="H273" s="4"/>
      <c r="I273" s="4"/>
      <c r="J273" s="4"/>
      <c r="K273" s="4"/>
      <c r="L273" s="4"/>
      <c r="M273" s="3"/>
      <c r="N273" s="3"/>
      <c r="O273" s="3"/>
      <c r="P273" s="3"/>
      <c r="Q273" s="3"/>
      <c r="R273" s="3"/>
      <c r="S273" s="3"/>
      <c r="T273" s="3"/>
      <c r="U273" s="3"/>
      <c r="V273" s="3"/>
      <c r="W273" s="3"/>
      <c r="X273" s="3"/>
      <c r="Y273" s="3"/>
      <c r="Z273" s="3"/>
      <c r="AA273" s="3"/>
      <c r="AB273" s="3"/>
      <c r="AC273" s="3"/>
    </row>
    <row r="274" customFormat="false" ht="21.75" hidden="false" customHeight="true" outlineLevel="0" collapsed="false">
      <c r="A274" s="3"/>
      <c r="B274" s="3"/>
      <c r="C274" s="3"/>
      <c r="D274" s="3"/>
      <c r="E274" s="3"/>
      <c r="F274" s="3"/>
      <c r="G274" s="4"/>
      <c r="H274" s="4"/>
      <c r="I274" s="4"/>
      <c r="J274" s="4"/>
      <c r="K274" s="4"/>
      <c r="L274" s="4"/>
      <c r="M274" s="3"/>
      <c r="N274" s="3"/>
      <c r="O274" s="3"/>
      <c r="P274" s="3"/>
      <c r="Q274" s="3"/>
      <c r="R274" s="3"/>
      <c r="S274" s="3"/>
      <c r="T274" s="3"/>
      <c r="U274" s="3"/>
      <c r="V274" s="3"/>
      <c r="W274" s="3"/>
      <c r="X274" s="3"/>
      <c r="Y274" s="3"/>
      <c r="Z274" s="3"/>
      <c r="AA274" s="3"/>
      <c r="AB274" s="3"/>
      <c r="AC274" s="3"/>
    </row>
    <row r="275" customFormat="false" ht="21.75" hidden="false" customHeight="true" outlineLevel="0" collapsed="false">
      <c r="A275" s="3"/>
      <c r="B275" s="3"/>
      <c r="C275" s="3"/>
      <c r="D275" s="3"/>
      <c r="E275" s="3"/>
      <c r="F275" s="3"/>
      <c r="G275" s="4"/>
      <c r="H275" s="4"/>
      <c r="I275" s="4"/>
      <c r="J275" s="4"/>
      <c r="K275" s="4"/>
      <c r="L275" s="4"/>
      <c r="M275" s="3"/>
      <c r="N275" s="3"/>
      <c r="O275" s="3"/>
      <c r="P275" s="3"/>
      <c r="Q275" s="3"/>
      <c r="R275" s="3"/>
      <c r="S275" s="3"/>
      <c r="T275" s="3"/>
      <c r="U275" s="3"/>
      <c r="V275" s="3"/>
      <c r="W275" s="3"/>
      <c r="X275" s="3"/>
      <c r="Y275" s="3"/>
      <c r="Z275" s="3"/>
      <c r="AA275" s="3"/>
      <c r="AB275" s="3"/>
      <c r="AC275" s="3"/>
    </row>
    <row r="276" customFormat="false" ht="21.75" hidden="false" customHeight="true" outlineLevel="0" collapsed="false">
      <c r="A276" s="3"/>
      <c r="B276" s="3"/>
      <c r="C276" s="3"/>
      <c r="D276" s="3"/>
      <c r="E276" s="3"/>
      <c r="F276" s="3"/>
      <c r="G276" s="4"/>
      <c r="H276" s="4"/>
      <c r="I276" s="4"/>
      <c r="J276" s="4"/>
      <c r="K276" s="4"/>
      <c r="L276" s="4"/>
      <c r="M276" s="3"/>
      <c r="N276" s="3"/>
      <c r="O276" s="3"/>
      <c r="P276" s="3"/>
      <c r="Q276" s="3"/>
      <c r="R276" s="3"/>
      <c r="S276" s="3"/>
      <c r="T276" s="3"/>
      <c r="U276" s="3"/>
      <c r="V276" s="3"/>
      <c r="W276" s="3"/>
      <c r="X276" s="3"/>
      <c r="Y276" s="3"/>
      <c r="Z276" s="3"/>
      <c r="AA276" s="3"/>
      <c r="AB276" s="3"/>
      <c r="AC276" s="3"/>
    </row>
    <row r="277" customFormat="false" ht="21.75" hidden="false" customHeight="true" outlineLevel="0" collapsed="false">
      <c r="A277" s="3"/>
      <c r="B277" s="3"/>
      <c r="C277" s="3"/>
      <c r="D277" s="3"/>
      <c r="E277" s="3"/>
      <c r="F277" s="3"/>
      <c r="G277" s="4"/>
      <c r="H277" s="4"/>
      <c r="I277" s="4"/>
      <c r="J277" s="4"/>
      <c r="K277" s="4"/>
      <c r="L277" s="4"/>
      <c r="M277" s="3"/>
      <c r="N277" s="3"/>
      <c r="O277" s="3"/>
      <c r="P277" s="3"/>
      <c r="Q277" s="3"/>
      <c r="R277" s="3"/>
      <c r="S277" s="3"/>
      <c r="T277" s="3"/>
      <c r="U277" s="3"/>
      <c r="V277" s="3"/>
      <c r="W277" s="3"/>
      <c r="X277" s="3"/>
      <c r="Y277" s="3"/>
      <c r="Z277" s="3"/>
      <c r="AA277" s="3"/>
      <c r="AB277" s="3"/>
      <c r="AC277" s="3"/>
    </row>
    <row r="278" customFormat="false" ht="21.75" hidden="false" customHeight="true" outlineLevel="0" collapsed="false">
      <c r="A278" s="3"/>
      <c r="B278" s="3"/>
      <c r="C278" s="3"/>
      <c r="D278" s="3"/>
      <c r="E278" s="3"/>
      <c r="F278" s="3"/>
      <c r="G278" s="4"/>
      <c r="H278" s="4"/>
      <c r="I278" s="4"/>
      <c r="J278" s="4"/>
      <c r="K278" s="4"/>
      <c r="L278" s="4"/>
      <c r="M278" s="3"/>
      <c r="N278" s="3"/>
      <c r="O278" s="3"/>
      <c r="P278" s="3"/>
      <c r="Q278" s="3"/>
      <c r="R278" s="3"/>
      <c r="S278" s="3"/>
      <c r="T278" s="3"/>
      <c r="U278" s="3"/>
      <c r="V278" s="3"/>
      <c r="W278" s="3"/>
      <c r="X278" s="3"/>
      <c r="Y278" s="3"/>
      <c r="Z278" s="3"/>
      <c r="AA278" s="3"/>
      <c r="AB278" s="3"/>
      <c r="AC278" s="3"/>
    </row>
    <row r="279" customFormat="false" ht="21.75" hidden="false" customHeight="true" outlineLevel="0" collapsed="false">
      <c r="A279" s="3"/>
      <c r="B279" s="3"/>
      <c r="C279" s="3"/>
      <c r="D279" s="3"/>
      <c r="E279" s="3"/>
      <c r="F279" s="3"/>
      <c r="G279" s="4"/>
      <c r="H279" s="4"/>
      <c r="I279" s="4"/>
      <c r="J279" s="4"/>
      <c r="K279" s="4"/>
      <c r="L279" s="4"/>
      <c r="M279" s="3"/>
      <c r="N279" s="3"/>
      <c r="O279" s="3"/>
      <c r="P279" s="3"/>
      <c r="Q279" s="3"/>
      <c r="R279" s="3"/>
      <c r="S279" s="3"/>
      <c r="T279" s="3"/>
      <c r="U279" s="3"/>
      <c r="V279" s="3"/>
      <c r="W279" s="3"/>
      <c r="X279" s="3"/>
      <c r="Y279" s="3"/>
      <c r="Z279" s="3"/>
      <c r="AA279" s="3"/>
      <c r="AB279" s="3"/>
      <c r="AC279" s="3"/>
    </row>
    <row r="280" customFormat="false" ht="21.75" hidden="false" customHeight="true" outlineLevel="0" collapsed="false">
      <c r="A280" s="3"/>
      <c r="B280" s="3"/>
      <c r="C280" s="3"/>
      <c r="D280" s="3"/>
      <c r="E280" s="3"/>
      <c r="F280" s="3"/>
      <c r="G280" s="4"/>
      <c r="H280" s="4"/>
      <c r="I280" s="4"/>
      <c r="J280" s="4"/>
      <c r="K280" s="4"/>
      <c r="L280" s="4"/>
      <c r="M280" s="3"/>
      <c r="N280" s="3"/>
      <c r="O280" s="3"/>
      <c r="P280" s="3"/>
      <c r="Q280" s="3"/>
      <c r="R280" s="3"/>
      <c r="S280" s="3"/>
      <c r="T280" s="3"/>
      <c r="U280" s="3"/>
      <c r="V280" s="3"/>
      <c r="W280" s="3"/>
      <c r="X280" s="3"/>
      <c r="Y280" s="3"/>
      <c r="Z280" s="3"/>
      <c r="AA280" s="3"/>
      <c r="AB280" s="3"/>
      <c r="AC280" s="3"/>
    </row>
    <row r="281" customFormat="false" ht="21.75" hidden="false" customHeight="true" outlineLevel="0" collapsed="false">
      <c r="A281" s="3"/>
      <c r="B281" s="3"/>
      <c r="C281" s="3"/>
      <c r="D281" s="3"/>
      <c r="E281" s="3"/>
      <c r="F281" s="3"/>
      <c r="G281" s="4"/>
      <c r="H281" s="4"/>
      <c r="I281" s="4"/>
      <c r="J281" s="4"/>
      <c r="K281" s="4"/>
      <c r="L281" s="4"/>
      <c r="M281" s="3"/>
      <c r="N281" s="3"/>
      <c r="O281" s="3"/>
      <c r="P281" s="3"/>
      <c r="Q281" s="3"/>
      <c r="R281" s="3"/>
      <c r="S281" s="3"/>
      <c r="T281" s="3"/>
      <c r="U281" s="3"/>
      <c r="V281" s="3"/>
      <c r="W281" s="3"/>
      <c r="X281" s="3"/>
      <c r="Y281" s="3"/>
      <c r="Z281" s="3"/>
      <c r="AA281" s="3"/>
      <c r="AB281" s="3"/>
      <c r="AC281" s="3"/>
    </row>
    <row r="282" customFormat="false" ht="21.75" hidden="false" customHeight="true" outlineLevel="0" collapsed="false">
      <c r="A282" s="3"/>
      <c r="B282" s="3"/>
      <c r="C282" s="3"/>
      <c r="D282" s="3"/>
      <c r="E282" s="3"/>
      <c r="F282" s="3"/>
      <c r="G282" s="4"/>
      <c r="H282" s="4"/>
      <c r="I282" s="4"/>
      <c r="J282" s="4"/>
      <c r="K282" s="4"/>
      <c r="L282" s="4"/>
      <c r="M282" s="3"/>
      <c r="N282" s="3"/>
      <c r="O282" s="3"/>
      <c r="P282" s="3"/>
      <c r="Q282" s="3"/>
      <c r="R282" s="3"/>
      <c r="S282" s="3"/>
      <c r="T282" s="3"/>
      <c r="U282" s="3"/>
      <c r="V282" s="3"/>
      <c r="W282" s="3"/>
      <c r="X282" s="3"/>
      <c r="Y282" s="3"/>
      <c r="Z282" s="3"/>
      <c r="AA282" s="3"/>
      <c r="AB282" s="3"/>
      <c r="AC282" s="3"/>
    </row>
    <row r="283" customFormat="false" ht="21.75" hidden="false" customHeight="true" outlineLevel="0" collapsed="false">
      <c r="A283" s="3"/>
      <c r="B283" s="3"/>
      <c r="C283" s="3"/>
      <c r="D283" s="3"/>
      <c r="E283" s="3"/>
      <c r="F283" s="3"/>
      <c r="G283" s="4"/>
      <c r="H283" s="4"/>
      <c r="I283" s="4"/>
      <c r="J283" s="4"/>
      <c r="K283" s="4"/>
      <c r="L283" s="4"/>
      <c r="M283" s="3"/>
      <c r="N283" s="3"/>
      <c r="O283" s="3"/>
      <c r="P283" s="3"/>
      <c r="Q283" s="3"/>
      <c r="R283" s="3"/>
      <c r="S283" s="3"/>
      <c r="T283" s="3"/>
      <c r="U283" s="3"/>
      <c r="V283" s="3"/>
      <c r="W283" s="3"/>
      <c r="X283" s="3"/>
      <c r="Y283" s="3"/>
      <c r="Z283" s="3"/>
      <c r="AA283" s="3"/>
      <c r="AB283" s="3"/>
      <c r="AC283" s="3"/>
    </row>
    <row r="284" customFormat="false" ht="21.75" hidden="false" customHeight="true" outlineLevel="0" collapsed="false">
      <c r="A284" s="3"/>
      <c r="B284" s="3"/>
      <c r="C284" s="3"/>
      <c r="D284" s="3"/>
      <c r="E284" s="3"/>
      <c r="F284" s="3"/>
      <c r="G284" s="4"/>
      <c r="H284" s="4"/>
      <c r="I284" s="4"/>
      <c r="J284" s="4"/>
      <c r="K284" s="4"/>
      <c r="L284" s="4"/>
      <c r="M284" s="3"/>
      <c r="N284" s="3"/>
      <c r="O284" s="3"/>
      <c r="P284" s="3"/>
      <c r="Q284" s="3"/>
      <c r="R284" s="3"/>
      <c r="S284" s="3"/>
      <c r="T284" s="3"/>
      <c r="U284" s="3"/>
      <c r="V284" s="3"/>
      <c r="W284" s="3"/>
      <c r="X284" s="3"/>
      <c r="Y284" s="3"/>
      <c r="Z284" s="3"/>
      <c r="AA284" s="3"/>
      <c r="AB284" s="3"/>
      <c r="AC284" s="3"/>
    </row>
    <row r="285" customFormat="false" ht="21.75" hidden="false" customHeight="true" outlineLevel="0" collapsed="false">
      <c r="A285" s="3"/>
      <c r="B285" s="3"/>
      <c r="C285" s="3"/>
      <c r="D285" s="3"/>
      <c r="E285" s="3"/>
      <c r="F285" s="3"/>
      <c r="G285" s="4"/>
      <c r="H285" s="4"/>
      <c r="I285" s="4"/>
      <c r="J285" s="4"/>
      <c r="K285" s="4"/>
      <c r="L285" s="4"/>
      <c r="M285" s="3"/>
      <c r="N285" s="3"/>
      <c r="O285" s="3"/>
      <c r="P285" s="3"/>
      <c r="Q285" s="3"/>
      <c r="R285" s="3"/>
      <c r="S285" s="3"/>
      <c r="T285" s="3"/>
      <c r="U285" s="3"/>
      <c r="V285" s="3"/>
      <c r="W285" s="3"/>
      <c r="X285" s="3"/>
      <c r="Y285" s="3"/>
      <c r="Z285" s="3"/>
      <c r="AA285" s="3"/>
      <c r="AB285" s="3"/>
      <c r="AC285" s="3"/>
    </row>
    <row r="286" customFormat="false" ht="21.75" hidden="false" customHeight="true" outlineLevel="0" collapsed="false">
      <c r="A286" s="3"/>
      <c r="B286" s="3"/>
      <c r="C286" s="3"/>
      <c r="D286" s="3"/>
      <c r="E286" s="3"/>
      <c r="F286" s="3"/>
      <c r="G286" s="4"/>
      <c r="H286" s="4"/>
      <c r="I286" s="4"/>
      <c r="J286" s="4"/>
      <c r="K286" s="4"/>
      <c r="L286" s="4"/>
      <c r="M286" s="3"/>
      <c r="N286" s="3"/>
      <c r="O286" s="3"/>
      <c r="P286" s="3"/>
      <c r="Q286" s="3"/>
      <c r="R286" s="3"/>
      <c r="S286" s="3"/>
      <c r="T286" s="3"/>
      <c r="U286" s="3"/>
      <c r="V286" s="3"/>
      <c r="W286" s="3"/>
      <c r="X286" s="3"/>
      <c r="Y286" s="3"/>
      <c r="Z286" s="3"/>
      <c r="AA286" s="3"/>
      <c r="AB286" s="3"/>
      <c r="AC286" s="3"/>
    </row>
    <row r="287" customFormat="false" ht="21.75" hidden="false" customHeight="true" outlineLevel="0" collapsed="false">
      <c r="A287" s="3"/>
      <c r="B287" s="3"/>
      <c r="C287" s="3"/>
      <c r="D287" s="3"/>
      <c r="E287" s="3"/>
      <c r="F287" s="3"/>
      <c r="G287" s="4"/>
      <c r="H287" s="4"/>
      <c r="I287" s="4"/>
      <c r="J287" s="4"/>
      <c r="K287" s="4"/>
      <c r="L287" s="4"/>
      <c r="M287" s="3"/>
      <c r="N287" s="3"/>
      <c r="O287" s="3"/>
      <c r="P287" s="3"/>
      <c r="Q287" s="3"/>
      <c r="R287" s="3"/>
      <c r="S287" s="3"/>
      <c r="T287" s="3"/>
      <c r="U287" s="3"/>
      <c r="V287" s="3"/>
      <c r="W287" s="3"/>
      <c r="X287" s="3"/>
      <c r="Y287" s="3"/>
      <c r="Z287" s="3"/>
      <c r="AA287" s="3"/>
      <c r="AB287" s="3"/>
      <c r="AC287" s="3"/>
    </row>
    <row r="288" customFormat="false" ht="21.75" hidden="false" customHeight="true" outlineLevel="0" collapsed="false">
      <c r="A288" s="3"/>
      <c r="B288" s="3"/>
      <c r="C288" s="3"/>
      <c r="D288" s="3"/>
      <c r="E288" s="3"/>
      <c r="F288" s="3"/>
      <c r="G288" s="4"/>
      <c r="H288" s="4"/>
      <c r="I288" s="4"/>
      <c r="J288" s="4"/>
      <c r="K288" s="4"/>
      <c r="L288" s="4"/>
      <c r="M288" s="3"/>
      <c r="N288" s="3"/>
      <c r="O288" s="3"/>
      <c r="P288" s="3"/>
      <c r="Q288" s="3"/>
      <c r="R288" s="3"/>
      <c r="S288" s="3"/>
      <c r="T288" s="3"/>
      <c r="U288" s="3"/>
      <c r="V288" s="3"/>
      <c r="W288" s="3"/>
      <c r="X288" s="3"/>
      <c r="Y288" s="3"/>
      <c r="Z288" s="3"/>
      <c r="AA288" s="3"/>
      <c r="AB288" s="3"/>
      <c r="AC288" s="3"/>
    </row>
    <row r="289" customFormat="false" ht="21.75" hidden="false" customHeight="true" outlineLevel="0" collapsed="false">
      <c r="A289" s="3"/>
      <c r="B289" s="3"/>
      <c r="C289" s="3"/>
      <c r="D289" s="3"/>
      <c r="E289" s="3"/>
      <c r="F289" s="3"/>
      <c r="G289" s="4"/>
      <c r="H289" s="4"/>
      <c r="I289" s="4"/>
      <c r="J289" s="4"/>
      <c r="K289" s="4"/>
      <c r="L289" s="4"/>
      <c r="M289" s="3"/>
      <c r="N289" s="3"/>
      <c r="O289" s="3"/>
      <c r="P289" s="3"/>
      <c r="Q289" s="3"/>
      <c r="R289" s="3"/>
      <c r="S289" s="3"/>
      <c r="T289" s="3"/>
      <c r="U289" s="3"/>
      <c r="V289" s="3"/>
      <c r="W289" s="3"/>
      <c r="X289" s="3"/>
      <c r="Y289" s="3"/>
      <c r="Z289" s="3"/>
      <c r="AA289" s="3"/>
      <c r="AB289" s="3"/>
      <c r="AC289" s="3"/>
    </row>
    <row r="290" customFormat="false" ht="21.75" hidden="false" customHeight="true" outlineLevel="0" collapsed="false">
      <c r="A290" s="3"/>
      <c r="B290" s="3"/>
      <c r="C290" s="3"/>
      <c r="D290" s="3"/>
      <c r="E290" s="3"/>
      <c r="F290" s="3"/>
      <c r="G290" s="4"/>
      <c r="H290" s="4"/>
      <c r="I290" s="4"/>
      <c r="J290" s="4"/>
      <c r="K290" s="4"/>
      <c r="L290" s="4"/>
      <c r="M290" s="3"/>
      <c r="N290" s="3"/>
      <c r="O290" s="3"/>
      <c r="P290" s="3"/>
      <c r="Q290" s="3"/>
      <c r="R290" s="3"/>
      <c r="S290" s="3"/>
      <c r="T290" s="3"/>
      <c r="U290" s="3"/>
      <c r="V290" s="3"/>
      <c r="W290" s="3"/>
      <c r="X290" s="3"/>
      <c r="Y290" s="3"/>
      <c r="Z290" s="3"/>
      <c r="AA290" s="3"/>
      <c r="AB290" s="3"/>
      <c r="AC290" s="3"/>
    </row>
    <row r="291" customFormat="false" ht="21.75" hidden="false" customHeight="true" outlineLevel="0" collapsed="false">
      <c r="A291" s="3"/>
      <c r="B291" s="3"/>
      <c r="C291" s="3"/>
      <c r="D291" s="3"/>
      <c r="E291" s="3"/>
      <c r="F291" s="3"/>
      <c r="G291" s="4"/>
      <c r="H291" s="4"/>
      <c r="I291" s="4"/>
      <c r="J291" s="4"/>
      <c r="K291" s="4"/>
      <c r="L291" s="4"/>
      <c r="M291" s="3"/>
      <c r="N291" s="3"/>
      <c r="O291" s="3"/>
      <c r="P291" s="3"/>
      <c r="Q291" s="3"/>
      <c r="R291" s="3"/>
      <c r="S291" s="3"/>
      <c r="T291" s="3"/>
      <c r="U291" s="3"/>
      <c r="V291" s="3"/>
      <c r="W291" s="3"/>
      <c r="X291" s="3"/>
      <c r="Y291" s="3"/>
      <c r="Z291" s="3"/>
      <c r="AA291" s="3"/>
      <c r="AB291" s="3"/>
      <c r="AC291" s="3"/>
    </row>
    <row r="292" customFormat="false" ht="21.75" hidden="false" customHeight="true" outlineLevel="0" collapsed="false">
      <c r="A292" s="3"/>
      <c r="B292" s="3"/>
      <c r="C292" s="3"/>
      <c r="D292" s="3"/>
      <c r="E292" s="3"/>
      <c r="F292" s="3"/>
      <c r="G292" s="4"/>
      <c r="H292" s="4"/>
      <c r="I292" s="4"/>
      <c r="J292" s="4"/>
      <c r="K292" s="4"/>
      <c r="L292" s="4"/>
      <c r="M292" s="3"/>
      <c r="N292" s="3"/>
      <c r="O292" s="3"/>
      <c r="P292" s="3"/>
      <c r="Q292" s="3"/>
      <c r="R292" s="3"/>
      <c r="S292" s="3"/>
      <c r="T292" s="3"/>
      <c r="U292" s="3"/>
      <c r="V292" s="3"/>
      <c r="W292" s="3"/>
      <c r="X292" s="3"/>
      <c r="Y292" s="3"/>
      <c r="Z292" s="3"/>
      <c r="AA292" s="3"/>
      <c r="AB292" s="3"/>
      <c r="AC292" s="3"/>
    </row>
    <row r="293" customFormat="false" ht="21.75" hidden="false" customHeight="true" outlineLevel="0" collapsed="false">
      <c r="A293" s="3"/>
      <c r="B293" s="3"/>
      <c r="C293" s="3"/>
      <c r="D293" s="3"/>
      <c r="E293" s="3"/>
      <c r="F293" s="3"/>
      <c r="G293" s="4"/>
      <c r="H293" s="4"/>
      <c r="I293" s="4"/>
      <c r="J293" s="4"/>
      <c r="K293" s="4"/>
      <c r="L293" s="4"/>
      <c r="M293" s="3"/>
      <c r="N293" s="3"/>
      <c r="O293" s="3"/>
      <c r="P293" s="3"/>
      <c r="Q293" s="3"/>
      <c r="R293" s="3"/>
      <c r="S293" s="3"/>
      <c r="T293" s="3"/>
      <c r="U293" s="3"/>
      <c r="V293" s="3"/>
      <c r="W293" s="3"/>
      <c r="X293" s="3"/>
      <c r="Y293" s="3"/>
      <c r="Z293" s="3"/>
      <c r="AA293" s="3"/>
      <c r="AB293" s="3"/>
      <c r="AC293" s="3"/>
    </row>
    <row r="294" customFormat="false" ht="21.75" hidden="false" customHeight="true" outlineLevel="0" collapsed="false">
      <c r="A294" s="3"/>
      <c r="B294" s="3"/>
      <c r="C294" s="3"/>
      <c r="D294" s="3"/>
      <c r="E294" s="3"/>
      <c r="F294" s="3"/>
      <c r="G294" s="4"/>
      <c r="H294" s="4"/>
      <c r="I294" s="4"/>
      <c r="J294" s="4"/>
      <c r="K294" s="4"/>
      <c r="L294" s="4"/>
      <c r="M294" s="3"/>
      <c r="N294" s="3"/>
      <c r="O294" s="3"/>
      <c r="P294" s="3"/>
      <c r="Q294" s="3"/>
      <c r="R294" s="3"/>
      <c r="S294" s="3"/>
      <c r="T294" s="3"/>
      <c r="U294" s="3"/>
      <c r="V294" s="3"/>
      <c r="W294" s="3"/>
      <c r="X294" s="3"/>
      <c r="Y294" s="3"/>
      <c r="Z294" s="3"/>
      <c r="AA294" s="3"/>
      <c r="AB294" s="3"/>
      <c r="AC294" s="3"/>
    </row>
    <row r="295" customFormat="false" ht="21.75" hidden="false" customHeight="true" outlineLevel="0" collapsed="false">
      <c r="A295" s="3"/>
      <c r="B295" s="3"/>
      <c r="C295" s="3"/>
      <c r="D295" s="3"/>
      <c r="E295" s="3"/>
      <c r="F295" s="3"/>
      <c r="G295" s="4"/>
      <c r="H295" s="4"/>
      <c r="I295" s="4"/>
      <c r="J295" s="4"/>
      <c r="K295" s="4"/>
      <c r="L295" s="4"/>
      <c r="M295" s="3"/>
      <c r="N295" s="3"/>
      <c r="O295" s="3"/>
      <c r="P295" s="3"/>
      <c r="Q295" s="3"/>
      <c r="R295" s="3"/>
      <c r="S295" s="3"/>
      <c r="T295" s="3"/>
      <c r="U295" s="3"/>
      <c r="V295" s="3"/>
      <c r="W295" s="3"/>
      <c r="X295" s="3"/>
      <c r="Y295" s="3"/>
      <c r="Z295" s="3"/>
      <c r="AA295" s="3"/>
      <c r="AB295" s="3"/>
      <c r="AC295" s="3"/>
    </row>
    <row r="296" customFormat="false" ht="21.75" hidden="false" customHeight="true" outlineLevel="0" collapsed="false">
      <c r="A296" s="3"/>
      <c r="B296" s="3"/>
      <c r="C296" s="3"/>
      <c r="D296" s="3"/>
      <c r="E296" s="3"/>
      <c r="F296" s="3"/>
      <c r="G296" s="4"/>
      <c r="H296" s="4"/>
      <c r="I296" s="4"/>
      <c r="J296" s="4"/>
      <c r="K296" s="4"/>
      <c r="L296" s="4"/>
      <c r="M296" s="3"/>
      <c r="N296" s="3"/>
      <c r="O296" s="3"/>
      <c r="P296" s="3"/>
      <c r="Q296" s="3"/>
      <c r="R296" s="3"/>
      <c r="S296" s="3"/>
      <c r="T296" s="3"/>
      <c r="U296" s="3"/>
      <c r="V296" s="3"/>
      <c r="W296" s="3"/>
      <c r="X296" s="3"/>
      <c r="Y296" s="3"/>
      <c r="Z296" s="3"/>
      <c r="AA296" s="3"/>
      <c r="AB296" s="3"/>
      <c r="AC296" s="3"/>
    </row>
    <row r="297" customFormat="false" ht="21.75" hidden="false" customHeight="true" outlineLevel="0" collapsed="false">
      <c r="A297" s="3"/>
      <c r="B297" s="3"/>
      <c r="C297" s="3"/>
      <c r="D297" s="3"/>
      <c r="E297" s="3"/>
      <c r="F297" s="3"/>
      <c r="G297" s="4"/>
      <c r="H297" s="4"/>
      <c r="I297" s="4"/>
      <c r="J297" s="4"/>
      <c r="K297" s="4"/>
      <c r="L297" s="4"/>
      <c r="M297" s="3"/>
      <c r="N297" s="3"/>
      <c r="O297" s="3"/>
      <c r="P297" s="3"/>
      <c r="Q297" s="3"/>
      <c r="R297" s="3"/>
      <c r="S297" s="3"/>
      <c r="T297" s="3"/>
      <c r="U297" s="3"/>
      <c r="V297" s="3"/>
      <c r="W297" s="3"/>
      <c r="X297" s="3"/>
      <c r="Y297" s="3"/>
      <c r="Z297" s="3"/>
      <c r="AA297" s="3"/>
      <c r="AB297" s="3"/>
      <c r="AC297" s="3"/>
    </row>
    <row r="298" customFormat="false" ht="21.75" hidden="false" customHeight="true" outlineLevel="0" collapsed="false">
      <c r="A298" s="3"/>
      <c r="B298" s="3"/>
      <c r="C298" s="3"/>
      <c r="D298" s="3"/>
      <c r="E298" s="3"/>
      <c r="F298" s="3"/>
      <c r="G298" s="4"/>
      <c r="H298" s="4"/>
      <c r="I298" s="4"/>
      <c r="J298" s="4"/>
      <c r="K298" s="4"/>
      <c r="L298" s="4"/>
      <c r="M298" s="3"/>
      <c r="N298" s="3"/>
      <c r="O298" s="3"/>
      <c r="P298" s="3"/>
      <c r="Q298" s="3"/>
      <c r="R298" s="3"/>
      <c r="S298" s="3"/>
      <c r="T298" s="3"/>
      <c r="U298" s="3"/>
      <c r="V298" s="3"/>
      <c r="W298" s="3"/>
      <c r="X298" s="3"/>
      <c r="Y298" s="3"/>
      <c r="Z298" s="3"/>
      <c r="AA298" s="3"/>
      <c r="AB298" s="3"/>
      <c r="AC298" s="3"/>
    </row>
    <row r="299" customFormat="false" ht="21.75" hidden="false" customHeight="true" outlineLevel="0" collapsed="false">
      <c r="A299" s="3"/>
      <c r="B299" s="3"/>
      <c r="C299" s="3"/>
      <c r="D299" s="3"/>
      <c r="E299" s="3"/>
      <c r="F299" s="3"/>
      <c r="G299" s="4"/>
      <c r="H299" s="4"/>
      <c r="I299" s="4"/>
      <c r="J299" s="4"/>
      <c r="K299" s="4"/>
      <c r="L299" s="4"/>
      <c r="M299" s="3"/>
      <c r="N299" s="3"/>
      <c r="O299" s="3"/>
      <c r="P299" s="3"/>
      <c r="Q299" s="3"/>
      <c r="R299" s="3"/>
      <c r="S299" s="3"/>
      <c r="T299" s="3"/>
      <c r="U299" s="3"/>
      <c r="V299" s="3"/>
      <c r="W299" s="3"/>
      <c r="X299" s="3"/>
      <c r="Y299" s="3"/>
      <c r="Z299" s="3"/>
      <c r="AA299" s="3"/>
      <c r="AB299" s="3"/>
      <c r="AC299" s="3"/>
    </row>
    <row r="300" customFormat="false" ht="21.75" hidden="false" customHeight="true" outlineLevel="0" collapsed="false">
      <c r="A300" s="3"/>
      <c r="B300" s="3"/>
      <c r="C300" s="3"/>
      <c r="D300" s="3"/>
      <c r="E300" s="3"/>
      <c r="F300" s="3"/>
      <c r="G300" s="4"/>
      <c r="H300" s="4"/>
      <c r="I300" s="4"/>
      <c r="J300" s="4"/>
      <c r="K300" s="4"/>
      <c r="L300" s="4"/>
      <c r="M300" s="3"/>
      <c r="N300" s="3"/>
      <c r="O300" s="3"/>
      <c r="P300" s="3"/>
      <c r="Q300" s="3"/>
      <c r="R300" s="3"/>
      <c r="S300" s="3"/>
      <c r="T300" s="3"/>
      <c r="U300" s="3"/>
      <c r="V300" s="3"/>
      <c r="W300" s="3"/>
      <c r="X300" s="3"/>
      <c r="Y300" s="3"/>
      <c r="Z300" s="3"/>
      <c r="AA300" s="3"/>
      <c r="AB300" s="3"/>
      <c r="AC300" s="3"/>
    </row>
    <row r="301" customFormat="false" ht="21.75" hidden="false" customHeight="true" outlineLevel="0" collapsed="false">
      <c r="A301" s="3"/>
      <c r="B301" s="3"/>
      <c r="C301" s="3"/>
      <c r="D301" s="3"/>
      <c r="E301" s="3"/>
      <c r="F301" s="3"/>
      <c r="G301" s="4"/>
      <c r="H301" s="4"/>
      <c r="I301" s="4"/>
      <c r="J301" s="4"/>
      <c r="K301" s="4"/>
      <c r="L301" s="4"/>
      <c r="M301" s="3"/>
      <c r="N301" s="3"/>
      <c r="O301" s="3"/>
      <c r="P301" s="3"/>
      <c r="Q301" s="3"/>
      <c r="R301" s="3"/>
      <c r="S301" s="3"/>
      <c r="T301" s="3"/>
      <c r="U301" s="3"/>
      <c r="V301" s="3"/>
      <c r="W301" s="3"/>
      <c r="X301" s="3"/>
      <c r="Y301" s="3"/>
      <c r="Z301" s="3"/>
      <c r="AA301" s="3"/>
      <c r="AB301" s="3"/>
      <c r="AC301" s="3"/>
    </row>
    <row r="302" customFormat="false" ht="21.75" hidden="false" customHeight="true" outlineLevel="0" collapsed="false">
      <c r="A302" s="3"/>
      <c r="B302" s="3"/>
      <c r="C302" s="3"/>
      <c r="D302" s="3"/>
      <c r="E302" s="3"/>
      <c r="F302" s="3"/>
      <c r="G302" s="4"/>
      <c r="H302" s="4"/>
      <c r="I302" s="4"/>
      <c r="J302" s="4"/>
      <c r="K302" s="4"/>
      <c r="L302" s="4"/>
      <c r="M302" s="3"/>
      <c r="N302" s="3"/>
      <c r="O302" s="3"/>
      <c r="P302" s="3"/>
      <c r="Q302" s="3"/>
      <c r="R302" s="3"/>
      <c r="S302" s="3"/>
      <c r="T302" s="3"/>
      <c r="U302" s="3"/>
      <c r="V302" s="3"/>
      <c r="W302" s="3"/>
      <c r="X302" s="3"/>
      <c r="Y302" s="3"/>
      <c r="Z302" s="3"/>
      <c r="AA302" s="3"/>
      <c r="AB302" s="3"/>
      <c r="AC302" s="3"/>
    </row>
    <row r="303" customFormat="false" ht="21.75" hidden="false" customHeight="true" outlineLevel="0" collapsed="false">
      <c r="A303" s="3"/>
      <c r="B303" s="3"/>
      <c r="C303" s="3"/>
      <c r="D303" s="3"/>
      <c r="E303" s="3"/>
      <c r="F303" s="3"/>
      <c r="G303" s="4"/>
      <c r="H303" s="4"/>
      <c r="I303" s="4"/>
      <c r="J303" s="4"/>
      <c r="K303" s="4"/>
      <c r="L303" s="4"/>
      <c r="M303" s="3"/>
      <c r="N303" s="3"/>
      <c r="O303" s="3"/>
      <c r="P303" s="3"/>
      <c r="Q303" s="3"/>
      <c r="R303" s="3"/>
      <c r="S303" s="3"/>
      <c r="T303" s="3"/>
      <c r="U303" s="3"/>
      <c r="V303" s="3"/>
      <c r="W303" s="3"/>
      <c r="X303" s="3"/>
      <c r="Y303" s="3"/>
      <c r="Z303" s="3"/>
      <c r="AA303" s="3"/>
      <c r="AB303" s="3"/>
      <c r="AC303" s="3"/>
    </row>
    <row r="304" customFormat="false" ht="21.75" hidden="false" customHeight="true" outlineLevel="0" collapsed="false">
      <c r="A304" s="3"/>
      <c r="B304" s="3"/>
      <c r="C304" s="3"/>
      <c r="D304" s="3"/>
      <c r="E304" s="3"/>
      <c r="F304" s="3"/>
      <c r="G304" s="4"/>
      <c r="H304" s="4"/>
      <c r="I304" s="4"/>
      <c r="J304" s="4"/>
      <c r="K304" s="4"/>
      <c r="L304" s="4"/>
      <c r="M304" s="3"/>
      <c r="N304" s="3"/>
      <c r="O304" s="3"/>
      <c r="P304" s="3"/>
      <c r="Q304" s="3"/>
      <c r="R304" s="3"/>
      <c r="S304" s="3"/>
      <c r="T304" s="3"/>
      <c r="U304" s="3"/>
      <c r="V304" s="3"/>
      <c r="W304" s="3"/>
      <c r="X304" s="3"/>
      <c r="Y304" s="3"/>
      <c r="Z304" s="3"/>
      <c r="AA304" s="3"/>
      <c r="AB304" s="3"/>
      <c r="AC304" s="3"/>
    </row>
    <row r="305" customFormat="false" ht="21.75" hidden="false" customHeight="true" outlineLevel="0" collapsed="false">
      <c r="A305" s="3"/>
      <c r="B305" s="3"/>
      <c r="C305" s="3"/>
      <c r="D305" s="3"/>
      <c r="E305" s="3"/>
      <c r="F305" s="3"/>
      <c r="G305" s="4"/>
      <c r="H305" s="4"/>
      <c r="I305" s="4"/>
      <c r="J305" s="4"/>
      <c r="K305" s="4"/>
      <c r="L305" s="4"/>
      <c r="M305" s="3"/>
      <c r="N305" s="3"/>
      <c r="O305" s="3"/>
      <c r="P305" s="3"/>
      <c r="Q305" s="3"/>
      <c r="R305" s="3"/>
      <c r="S305" s="3"/>
      <c r="T305" s="3"/>
      <c r="U305" s="3"/>
      <c r="V305" s="3"/>
      <c r="W305" s="3"/>
      <c r="X305" s="3"/>
      <c r="Y305" s="3"/>
      <c r="Z305" s="3"/>
      <c r="AA305" s="3"/>
      <c r="AB305" s="3"/>
      <c r="AC305" s="3"/>
    </row>
    <row r="306" customFormat="false" ht="21.75" hidden="false" customHeight="true" outlineLevel="0" collapsed="false">
      <c r="A306" s="3"/>
      <c r="B306" s="3"/>
      <c r="C306" s="3"/>
      <c r="D306" s="3"/>
      <c r="E306" s="3"/>
      <c r="F306" s="3"/>
      <c r="G306" s="4"/>
      <c r="H306" s="4"/>
      <c r="I306" s="4"/>
      <c r="J306" s="4"/>
      <c r="K306" s="4"/>
      <c r="L306" s="4"/>
      <c r="M306" s="3"/>
      <c r="N306" s="3"/>
      <c r="O306" s="3"/>
      <c r="P306" s="3"/>
      <c r="Q306" s="3"/>
      <c r="R306" s="3"/>
      <c r="S306" s="3"/>
      <c r="T306" s="3"/>
      <c r="U306" s="3"/>
      <c r="V306" s="3"/>
      <c r="W306" s="3"/>
      <c r="X306" s="3"/>
      <c r="Y306" s="3"/>
      <c r="Z306" s="3"/>
      <c r="AA306" s="3"/>
      <c r="AB306" s="3"/>
      <c r="AC306" s="3"/>
    </row>
    <row r="307" customFormat="false" ht="21.75" hidden="false" customHeight="true" outlineLevel="0" collapsed="false">
      <c r="A307" s="3"/>
      <c r="B307" s="3"/>
      <c r="C307" s="3"/>
      <c r="D307" s="3"/>
      <c r="E307" s="3"/>
      <c r="F307" s="3"/>
      <c r="G307" s="4"/>
      <c r="H307" s="4"/>
      <c r="I307" s="4"/>
      <c r="J307" s="4"/>
      <c r="K307" s="4"/>
      <c r="L307" s="4"/>
      <c r="M307" s="3"/>
      <c r="N307" s="3"/>
      <c r="O307" s="3"/>
      <c r="P307" s="3"/>
      <c r="Q307" s="3"/>
      <c r="R307" s="3"/>
      <c r="S307" s="3"/>
      <c r="T307" s="3"/>
      <c r="U307" s="3"/>
      <c r="V307" s="3"/>
      <c r="W307" s="3"/>
      <c r="X307" s="3"/>
      <c r="Y307" s="3"/>
      <c r="Z307" s="3"/>
      <c r="AA307" s="3"/>
      <c r="AB307" s="3"/>
      <c r="AC307" s="3"/>
    </row>
    <row r="308" customFormat="false" ht="21.75" hidden="false" customHeight="true" outlineLevel="0" collapsed="false">
      <c r="A308" s="3"/>
      <c r="B308" s="3"/>
      <c r="C308" s="3"/>
      <c r="D308" s="3"/>
      <c r="E308" s="3"/>
      <c r="F308" s="3"/>
      <c r="G308" s="4"/>
      <c r="H308" s="4"/>
      <c r="I308" s="4"/>
      <c r="J308" s="4"/>
      <c r="K308" s="4"/>
      <c r="L308" s="4"/>
      <c r="M308" s="3"/>
      <c r="N308" s="3"/>
      <c r="O308" s="3"/>
      <c r="P308" s="3"/>
      <c r="Q308" s="3"/>
      <c r="R308" s="3"/>
      <c r="S308" s="3"/>
      <c r="T308" s="3"/>
      <c r="U308" s="3"/>
      <c r="V308" s="3"/>
      <c r="W308" s="3"/>
      <c r="X308" s="3"/>
      <c r="Y308" s="3"/>
      <c r="Z308" s="3"/>
      <c r="AA308" s="3"/>
      <c r="AB308" s="3"/>
      <c r="AC308" s="3"/>
    </row>
    <row r="309" customFormat="false" ht="21.75" hidden="false" customHeight="true" outlineLevel="0" collapsed="false">
      <c r="A309" s="3"/>
      <c r="B309" s="3"/>
      <c r="C309" s="3"/>
      <c r="D309" s="3"/>
      <c r="E309" s="3"/>
      <c r="F309" s="3"/>
      <c r="G309" s="4"/>
      <c r="H309" s="4"/>
      <c r="I309" s="4"/>
      <c r="J309" s="4"/>
      <c r="K309" s="4"/>
      <c r="L309" s="4"/>
      <c r="M309" s="3"/>
      <c r="N309" s="3"/>
      <c r="O309" s="3"/>
      <c r="P309" s="3"/>
      <c r="Q309" s="3"/>
      <c r="R309" s="3"/>
      <c r="S309" s="3"/>
      <c r="T309" s="3"/>
      <c r="U309" s="3"/>
      <c r="V309" s="3"/>
      <c r="W309" s="3"/>
      <c r="X309" s="3"/>
      <c r="Y309" s="3"/>
      <c r="Z309" s="3"/>
      <c r="AA309" s="3"/>
      <c r="AB309" s="3"/>
      <c r="AC309" s="3"/>
    </row>
    <row r="310" customFormat="false" ht="21.75" hidden="false" customHeight="true" outlineLevel="0" collapsed="false">
      <c r="A310" s="3"/>
      <c r="B310" s="3"/>
      <c r="C310" s="3"/>
      <c r="D310" s="3"/>
      <c r="E310" s="3"/>
      <c r="F310" s="3"/>
      <c r="G310" s="4"/>
      <c r="H310" s="4"/>
      <c r="I310" s="4"/>
      <c r="J310" s="4"/>
      <c r="K310" s="4"/>
      <c r="L310" s="4"/>
      <c r="M310" s="3"/>
      <c r="N310" s="3"/>
      <c r="O310" s="3"/>
      <c r="P310" s="3"/>
      <c r="Q310" s="3"/>
      <c r="R310" s="3"/>
      <c r="S310" s="3"/>
      <c r="T310" s="3"/>
      <c r="U310" s="3"/>
      <c r="V310" s="3"/>
      <c r="W310" s="3"/>
      <c r="X310" s="3"/>
      <c r="Y310" s="3"/>
      <c r="Z310" s="3"/>
      <c r="AA310" s="3"/>
      <c r="AB310" s="3"/>
      <c r="AC310" s="3"/>
    </row>
    <row r="311" customFormat="false" ht="21.75" hidden="false" customHeight="true" outlineLevel="0" collapsed="false">
      <c r="A311" s="3"/>
      <c r="B311" s="3"/>
      <c r="C311" s="3"/>
      <c r="D311" s="3"/>
      <c r="E311" s="3"/>
      <c r="F311" s="3"/>
      <c r="G311" s="4"/>
      <c r="H311" s="4"/>
      <c r="I311" s="4"/>
      <c r="J311" s="4"/>
      <c r="K311" s="4"/>
      <c r="L311" s="4"/>
      <c r="M311" s="3"/>
      <c r="N311" s="3"/>
      <c r="O311" s="3"/>
      <c r="P311" s="3"/>
      <c r="Q311" s="3"/>
      <c r="R311" s="3"/>
      <c r="S311" s="3"/>
      <c r="T311" s="3"/>
      <c r="U311" s="3"/>
      <c r="V311" s="3"/>
      <c r="W311" s="3"/>
      <c r="X311" s="3"/>
      <c r="Y311" s="3"/>
      <c r="Z311" s="3"/>
      <c r="AA311" s="3"/>
      <c r="AB311" s="3"/>
      <c r="AC311" s="3"/>
    </row>
    <row r="312" customFormat="false" ht="21.75" hidden="false" customHeight="true" outlineLevel="0" collapsed="false">
      <c r="A312" s="3"/>
      <c r="B312" s="3"/>
      <c r="C312" s="3"/>
      <c r="D312" s="3"/>
      <c r="E312" s="3"/>
      <c r="F312" s="3"/>
      <c r="G312" s="4"/>
      <c r="H312" s="4"/>
      <c r="I312" s="4"/>
      <c r="J312" s="4"/>
      <c r="K312" s="4"/>
      <c r="L312" s="4"/>
      <c r="M312" s="3"/>
      <c r="N312" s="3"/>
      <c r="O312" s="3"/>
      <c r="P312" s="3"/>
      <c r="Q312" s="3"/>
      <c r="R312" s="3"/>
      <c r="S312" s="3"/>
      <c r="T312" s="3"/>
      <c r="U312" s="3"/>
      <c r="V312" s="3"/>
      <c r="W312" s="3"/>
      <c r="X312" s="3"/>
      <c r="Y312" s="3"/>
      <c r="Z312" s="3"/>
      <c r="AA312" s="3"/>
      <c r="AB312" s="3"/>
      <c r="AC312" s="3"/>
    </row>
    <row r="313" customFormat="false" ht="21.75" hidden="false" customHeight="true" outlineLevel="0" collapsed="false">
      <c r="A313" s="3"/>
      <c r="B313" s="3"/>
      <c r="C313" s="3"/>
      <c r="D313" s="3"/>
      <c r="E313" s="3"/>
      <c r="F313" s="3"/>
      <c r="G313" s="4"/>
      <c r="H313" s="4"/>
      <c r="I313" s="4"/>
      <c r="J313" s="4"/>
      <c r="K313" s="4"/>
      <c r="L313" s="4"/>
      <c r="M313" s="3"/>
      <c r="N313" s="3"/>
      <c r="O313" s="3"/>
      <c r="P313" s="3"/>
      <c r="Q313" s="3"/>
      <c r="R313" s="3"/>
      <c r="S313" s="3"/>
      <c r="T313" s="3"/>
      <c r="U313" s="3"/>
      <c r="V313" s="3"/>
      <c r="W313" s="3"/>
      <c r="X313" s="3"/>
      <c r="Y313" s="3"/>
      <c r="Z313" s="3"/>
      <c r="AA313" s="3"/>
      <c r="AB313" s="3"/>
      <c r="AC313" s="3"/>
    </row>
    <row r="314" customFormat="false" ht="21.75" hidden="false" customHeight="true" outlineLevel="0" collapsed="false">
      <c r="A314" s="3"/>
      <c r="B314" s="3"/>
      <c r="C314" s="3"/>
      <c r="D314" s="3"/>
      <c r="E314" s="3"/>
      <c r="F314" s="3"/>
      <c r="G314" s="4"/>
      <c r="H314" s="4"/>
      <c r="I314" s="4"/>
      <c r="J314" s="4"/>
      <c r="K314" s="4"/>
      <c r="L314" s="4"/>
      <c r="M314" s="3"/>
      <c r="N314" s="3"/>
      <c r="O314" s="3"/>
      <c r="P314" s="3"/>
      <c r="Q314" s="3"/>
      <c r="R314" s="3"/>
      <c r="S314" s="3"/>
      <c r="T314" s="3"/>
      <c r="U314" s="3"/>
      <c r="V314" s="3"/>
      <c r="W314" s="3"/>
      <c r="X314" s="3"/>
      <c r="Y314" s="3"/>
      <c r="Z314" s="3"/>
      <c r="AA314" s="3"/>
      <c r="AB314" s="3"/>
      <c r="AC314" s="3"/>
    </row>
    <row r="315" customFormat="false" ht="21.75" hidden="false" customHeight="true" outlineLevel="0" collapsed="false">
      <c r="A315" s="3"/>
      <c r="B315" s="3"/>
      <c r="C315" s="3"/>
      <c r="D315" s="3"/>
      <c r="E315" s="3"/>
      <c r="F315" s="3"/>
      <c r="G315" s="4"/>
      <c r="H315" s="4"/>
      <c r="I315" s="4"/>
      <c r="J315" s="4"/>
      <c r="K315" s="4"/>
      <c r="L315" s="4"/>
      <c r="M315" s="3"/>
      <c r="N315" s="3"/>
      <c r="O315" s="3"/>
      <c r="P315" s="3"/>
      <c r="Q315" s="3"/>
      <c r="R315" s="3"/>
      <c r="S315" s="3"/>
      <c r="T315" s="3"/>
      <c r="U315" s="3"/>
      <c r="V315" s="3"/>
      <c r="W315" s="3"/>
      <c r="X315" s="3"/>
      <c r="Y315" s="3"/>
      <c r="Z315" s="3"/>
      <c r="AA315" s="3"/>
      <c r="AB315" s="3"/>
      <c r="AC315" s="3"/>
    </row>
    <row r="316" customFormat="false" ht="21.75" hidden="false" customHeight="true" outlineLevel="0" collapsed="false">
      <c r="A316" s="3"/>
      <c r="B316" s="3"/>
      <c r="C316" s="3"/>
      <c r="D316" s="3"/>
      <c r="E316" s="3"/>
      <c r="F316" s="3"/>
      <c r="G316" s="4"/>
      <c r="H316" s="4"/>
      <c r="I316" s="4"/>
      <c r="J316" s="4"/>
      <c r="K316" s="4"/>
      <c r="L316" s="4"/>
      <c r="M316" s="3"/>
      <c r="N316" s="3"/>
      <c r="O316" s="3"/>
      <c r="P316" s="3"/>
      <c r="Q316" s="3"/>
      <c r="R316" s="3"/>
      <c r="S316" s="3"/>
      <c r="T316" s="3"/>
      <c r="U316" s="3"/>
      <c r="V316" s="3"/>
      <c r="W316" s="3"/>
      <c r="X316" s="3"/>
      <c r="Y316" s="3"/>
      <c r="Z316" s="3"/>
      <c r="AA316" s="3"/>
      <c r="AB316" s="3"/>
      <c r="AC316" s="3"/>
    </row>
    <row r="317" customFormat="false" ht="21.75" hidden="false" customHeight="true" outlineLevel="0" collapsed="false">
      <c r="A317" s="3"/>
      <c r="B317" s="3"/>
      <c r="C317" s="3"/>
      <c r="D317" s="3"/>
      <c r="E317" s="3"/>
      <c r="F317" s="3"/>
      <c r="G317" s="4"/>
      <c r="H317" s="4"/>
      <c r="I317" s="4"/>
      <c r="J317" s="4"/>
      <c r="K317" s="4"/>
      <c r="L317" s="4"/>
      <c r="M317" s="3"/>
      <c r="N317" s="3"/>
      <c r="O317" s="3"/>
      <c r="P317" s="3"/>
      <c r="Q317" s="3"/>
      <c r="R317" s="3"/>
      <c r="S317" s="3"/>
      <c r="T317" s="3"/>
      <c r="U317" s="3"/>
      <c r="V317" s="3"/>
      <c r="W317" s="3"/>
      <c r="X317" s="3"/>
      <c r="Y317" s="3"/>
      <c r="Z317" s="3"/>
      <c r="AA317" s="3"/>
      <c r="AB317" s="3"/>
      <c r="AC317" s="3"/>
    </row>
    <row r="318" customFormat="false" ht="21.75" hidden="false" customHeight="true" outlineLevel="0" collapsed="false">
      <c r="A318" s="3"/>
      <c r="B318" s="3"/>
      <c r="C318" s="3"/>
      <c r="D318" s="3"/>
      <c r="E318" s="3"/>
      <c r="F318" s="3"/>
      <c r="G318" s="4"/>
      <c r="H318" s="4"/>
      <c r="I318" s="4"/>
      <c r="J318" s="4"/>
      <c r="K318" s="4"/>
      <c r="L318" s="4"/>
      <c r="M318" s="3"/>
      <c r="N318" s="3"/>
      <c r="O318" s="3"/>
      <c r="P318" s="3"/>
      <c r="Q318" s="3"/>
      <c r="R318" s="3"/>
      <c r="S318" s="3"/>
      <c r="T318" s="3"/>
      <c r="U318" s="3"/>
      <c r="V318" s="3"/>
      <c r="W318" s="3"/>
      <c r="X318" s="3"/>
      <c r="Y318" s="3"/>
      <c r="Z318" s="3"/>
      <c r="AA318" s="3"/>
      <c r="AB318" s="3"/>
      <c r="AC318" s="3"/>
    </row>
    <row r="319" customFormat="false" ht="21.75" hidden="false" customHeight="true" outlineLevel="0" collapsed="false">
      <c r="A319" s="3"/>
      <c r="B319" s="3"/>
      <c r="C319" s="3"/>
      <c r="D319" s="3"/>
      <c r="E319" s="3"/>
      <c r="F319" s="3"/>
      <c r="G319" s="4"/>
      <c r="H319" s="4"/>
      <c r="I319" s="4"/>
      <c r="J319" s="4"/>
      <c r="K319" s="4"/>
      <c r="L319" s="4"/>
      <c r="M319" s="3"/>
      <c r="N319" s="3"/>
      <c r="O319" s="3"/>
      <c r="P319" s="3"/>
      <c r="Q319" s="3"/>
      <c r="R319" s="3"/>
      <c r="S319" s="3"/>
      <c r="T319" s="3"/>
      <c r="U319" s="3"/>
      <c r="V319" s="3"/>
      <c r="W319" s="3"/>
      <c r="X319" s="3"/>
      <c r="Y319" s="3"/>
      <c r="Z319" s="3"/>
      <c r="AA319" s="3"/>
      <c r="AB319" s="3"/>
      <c r="AC319" s="3"/>
    </row>
    <row r="320" customFormat="false" ht="21.75" hidden="false" customHeight="true" outlineLevel="0" collapsed="false">
      <c r="A320" s="3"/>
      <c r="B320" s="3"/>
      <c r="C320" s="3"/>
      <c r="D320" s="3"/>
      <c r="E320" s="3"/>
      <c r="F320" s="3"/>
      <c r="G320" s="4"/>
      <c r="H320" s="4"/>
      <c r="I320" s="4"/>
      <c r="J320" s="4"/>
      <c r="K320" s="4"/>
      <c r="L320" s="4"/>
      <c r="M320" s="3"/>
      <c r="N320" s="3"/>
      <c r="O320" s="3"/>
      <c r="P320" s="3"/>
      <c r="Q320" s="3"/>
      <c r="R320" s="3"/>
      <c r="S320" s="3"/>
      <c r="T320" s="3"/>
      <c r="U320" s="3"/>
      <c r="V320" s="3"/>
      <c r="W320" s="3"/>
      <c r="X320" s="3"/>
      <c r="Y320" s="3"/>
      <c r="Z320" s="3"/>
      <c r="AA320" s="3"/>
      <c r="AB320" s="3"/>
      <c r="AC320" s="3"/>
    </row>
    <row r="321" customFormat="false" ht="21.75" hidden="false" customHeight="true" outlineLevel="0" collapsed="false">
      <c r="A321" s="3"/>
      <c r="B321" s="3"/>
      <c r="C321" s="3"/>
      <c r="D321" s="3"/>
      <c r="E321" s="3"/>
      <c r="F321" s="3"/>
      <c r="G321" s="4"/>
      <c r="H321" s="4"/>
      <c r="I321" s="4"/>
      <c r="J321" s="4"/>
      <c r="K321" s="4"/>
      <c r="L321" s="4"/>
      <c r="M321" s="3"/>
      <c r="N321" s="3"/>
      <c r="O321" s="3"/>
      <c r="P321" s="3"/>
      <c r="Q321" s="3"/>
      <c r="R321" s="3"/>
      <c r="S321" s="3"/>
      <c r="T321" s="3"/>
      <c r="U321" s="3"/>
      <c r="V321" s="3"/>
      <c r="W321" s="3"/>
      <c r="X321" s="3"/>
      <c r="Y321" s="3"/>
      <c r="Z321" s="3"/>
      <c r="AA321" s="3"/>
      <c r="AB321" s="3"/>
      <c r="AC321" s="3"/>
    </row>
    <row r="322" customFormat="false" ht="21.75" hidden="false" customHeight="true" outlineLevel="0" collapsed="false">
      <c r="A322" s="3"/>
      <c r="B322" s="3"/>
      <c r="C322" s="3"/>
      <c r="D322" s="3"/>
      <c r="E322" s="3"/>
      <c r="F322" s="3"/>
      <c r="G322" s="4"/>
      <c r="H322" s="4"/>
      <c r="I322" s="4"/>
      <c r="J322" s="4"/>
      <c r="K322" s="4"/>
      <c r="L322" s="4"/>
      <c r="M322" s="3"/>
      <c r="N322" s="3"/>
      <c r="O322" s="3"/>
      <c r="P322" s="3"/>
      <c r="Q322" s="3"/>
      <c r="R322" s="3"/>
      <c r="S322" s="3"/>
      <c r="T322" s="3"/>
      <c r="U322" s="3"/>
      <c r="V322" s="3"/>
      <c r="W322" s="3"/>
      <c r="X322" s="3"/>
      <c r="Y322" s="3"/>
      <c r="Z322" s="3"/>
      <c r="AA322" s="3"/>
      <c r="AB322" s="3"/>
      <c r="AC322" s="3"/>
    </row>
    <row r="323" customFormat="false" ht="21.75" hidden="false" customHeight="true" outlineLevel="0" collapsed="false">
      <c r="A323" s="3"/>
      <c r="B323" s="3"/>
      <c r="C323" s="3"/>
      <c r="D323" s="3"/>
      <c r="E323" s="3"/>
      <c r="F323" s="3"/>
      <c r="G323" s="4"/>
      <c r="H323" s="4"/>
      <c r="I323" s="4"/>
      <c r="J323" s="4"/>
      <c r="K323" s="4"/>
      <c r="L323" s="4"/>
      <c r="M323" s="3"/>
      <c r="N323" s="3"/>
      <c r="O323" s="3"/>
      <c r="P323" s="3"/>
      <c r="Q323" s="3"/>
      <c r="R323" s="3"/>
      <c r="S323" s="3"/>
      <c r="T323" s="3"/>
      <c r="U323" s="3"/>
      <c r="V323" s="3"/>
      <c r="W323" s="3"/>
      <c r="X323" s="3"/>
      <c r="Y323" s="3"/>
      <c r="Z323" s="3"/>
      <c r="AA323" s="3"/>
      <c r="AB323" s="3"/>
      <c r="AC323" s="3"/>
    </row>
    <row r="324" customFormat="false" ht="21.75" hidden="false" customHeight="true" outlineLevel="0" collapsed="false">
      <c r="A324" s="3"/>
      <c r="B324" s="3"/>
      <c r="C324" s="3"/>
      <c r="D324" s="3"/>
      <c r="E324" s="3"/>
      <c r="F324" s="3"/>
      <c r="G324" s="4"/>
      <c r="H324" s="4"/>
      <c r="I324" s="4"/>
      <c r="J324" s="4"/>
      <c r="K324" s="4"/>
      <c r="L324" s="4"/>
      <c r="M324" s="3"/>
      <c r="N324" s="3"/>
      <c r="O324" s="3"/>
      <c r="P324" s="3"/>
      <c r="Q324" s="3"/>
      <c r="R324" s="3"/>
      <c r="S324" s="3"/>
      <c r="T324" s="3"/>
      <c r="U324" s="3"/>
      <c r="V324" s="3"/>
      <c r="W324" s="3"/>
      <c r="X324" s="3"/>
      <c r="Y324" s="3"/>
      <c r="Z324" s="3"/>
      <c r="AA324" s="3"/>
      <c r="AB324" s="3"/>
      <c r="AC324" s="3"/>
    </row>
    <row r="325" customFormat="false" ht="21.75" hidden="false" customHeight="true" outlineLevel="0" collapsed="false">
      <c r="A325" s="3"/>
      <c r="B325" s="3"/>
      <c r="C325" s="3"/>
      <c r="D325" s="3"/>
      <c r="E325" s="3"/>
      <c r="F325" s="3"/>
      <c r="G325" s="4"/>
      <c r="H325" s="4"/>
      <c r="I325" s="4"/>
      <c r="J325" s="4"/>
      <c r="K325" s="4"/>
      <c r="L325" s="4"/>
      <c r="M325" s="3"/>
      <c r="N325" s="3"/>
      <c r="O325" s="3"/>
      <c r="P325" s="3"/>
      <c r="Q325" s="3"/>
      <c r="R325" s="3"/>
      <c r="S325" s="3"/>
      <c r="T325" s="3"/>
      <c r="U325" s="3"/>
      <c r="V325" s="3"/>
      <c r="W325" s="3"/>
      <c r="X325" s="3"/>
      <c r="Y325" s="3"/>
      <c r="Z325" s="3"/>
      <c r="AA325" s="3"/>
      <c r="AB325" s="3"/>
      <c r="AC325" s="3"/>
    </row>
    <row r="326" customFormat="false" ht="21.75" hidden="false" customHeight="true" outlineLevel="0" collapsed="false">
      <c r="A326" s="3"/>
      <c r="B326" s="3"/>
      <c r="C326" s="3"/>
      <c r="D326" s="3"/>
      <c r="E326" s="3"/>
      <c r="F326" s="3"/>
      <c r="G326" s="4"/>
      <c r="H326" s="4"/>
      <c r="I326" s="4"/>
      <c r="J326" s="4"/>
      <c r="K326" s="4"/>
      <c r="L326" s="4"/>
      <c r="M326" s="3"/>
      <c r="N326" s="3"/>
      <c r="O326" s="3"/>
      <c r="P326" s="3"/>
      <c r="Q326" s="3"/>
      <c r="R326" s="3"/>
      <c r="S326" s="3"/>
      <c r="T326" s="3"/>
      <c r="U326" s="3"/>
      <c r="V326" s="3"/>
      <c r="W326" s="3"/>
      <c r="X326" s="3"/>
      <c r="Y326" s="3"/>
      <c r="Z326" s="3"/>
      <c r="AA326" s="3"/>
      <c r="AB326" s="3"/>
      <c r="AC326" s="3"/>
    </row>
    <row r="327" customFormat="false" ht="21.75" hidden="false" customHeight="true" outlineLevel="0" collapsed="false">
      <c r="A327" s="3"/>
      <c r="B327" s="3"/>
      <c r="C327" s="3"/>
      <c r="D327" s="3"/>
      <c r="E327" s="3"/>
      <c r="F327" s="3"/>
      <c r="G327" s="4"/>
      <c r="H327" s="4"/>
      <c r="I327" s="4"/>
      <c r="J327" s="4"/>
      <c r="K327" s="4"/>
      <c r="L327" s="4"/>
      <c r="M327" s="3"/>
      <c r="N327" s="3"/>
      <c r="O327" s="3"/>
      <c r="P327" s="3"/>
      <c r="Q327" s="3"/>
      <c r="R327" s="3"/>
      <c r="S327" s="3"/>
      <c r="T327" s="3"/>
      <c r="U327" s="3"/>
      <c r="V327" s="3"/>
      <c r="W327" s="3"/>
      <c r="X327" s="3"/>
      <c r="Y327" s="3"/>
      <c r="Z327" s="3"/>
      <c r="AA327" s="3"/>
      <c r="AB327" s="3"/>
      <c r="AC327" s="3"/>
    </row>
    <row r="328" customFormat="false" ht="21.75" hidden="false" customHeight="true" outlineLevel="0" collapsed="false">
      <c r="A328" s="3"/>
      <c r="B328" s="3"/>
      <c r="C328" s="3"/>
      <c r="D328" s="3"/>
      <c r="E328" s="3"/>
      <c r="F328" s="3"/>
      <c r="G328" s="4"/>
      <c r="H328" s="4"/>
      <c r="I328" s="4"/>
      <c r="J328" s="4"/>
      <c r="K328" s="4"/>
      <c r="L328" s="4"/>
      <c r="M328" s="3"/>
      <c r="N328" s="3"/>
      <c r="O328" s="3"/>
      <c r="P328" s="3"/>
      <c r="Q328" s="3"/>
      <c r="R328" s="3"/>
      <c r="S328" s="3"/>
      <c r="T328" s="3"/>
      <c r="U328" s="3"/>
      <c r="V328" s="3"/>
      <c r="W328" s="3"/>
      <c r="X328" s="3"/>
      <c r="Y328" s="3"/>
      <c r="Z328" s="3"/>
      <c r="AA328" s="3"/>
      <c r="AB328" s="3"/>
      <c r="AC328" s="3"/>
    </row>
    <row r="329" customFormat="false" ht="21.75" hidden="false" customHeight="true" outlineLevel="0" collapsed="false">
      <c r="A329" s="3"/>
      <c r="B329" s="3"/>
      <c r="C329" s="3"/>
      <c r="D329" s="3"/>
      <c r="E329" s="3"/>
      <c r="F329" s="3"/>
      <c r="G329" s="4"/>
      <c r="H329" s="4"/>
      <c r="I329" s="4"/>
      <c r="J329" s="4"/>
      <c r="K329" s="4"/>
      <c r="L329" s="4"/>
      <c r="M329" s="3"/>
      <c r="N329" s="3"/>
      <c r="O329" s="3"/>
      <c r="P329" s="3"/>
      <c r="Q329" s="3"/>
      <c r="R329" s="3"/>
      <c r="S329" s="3"/>
      <c r="T329" s="3"/>
      <c r="U329" s="3"/>
      <c r="V329" s="3"/>
      <c r="W329" s="3"/>
      <c r="X329" s="3"/>
      <c r="Y329" s="3"/>
      <c r="Z329" s="3"/>
      <c r="AA329" s="3"/>
      <c r="AB329" s="3"/>
      <c r="AC329" s="3"/>
    </row>
    <row r="330" customFormat="false" ht="21.75" hidden="false" customHeight="true" outlineLevel="0" collapsed="false">
      <c r="A330" s="3"/>
      <c r="B330" s="3"/>
      <c r="C330" s="3"/>
      <c r="D330" s="3"/>
      <c r="E330" s="3"/>
      <c r="F330" s="3"/>
      <c r="G330" s="4"/>
      <c r="H330" s="4"/>
      <c r="I330" s="4"/>
      <c r="J330" s="4"/>
      <c r="K330" s="4"/>
      <c r="L330" s="4"/>
      <c r="M330" s="3"/>
      <c r="N330" s="3"/>
      <c r="O330" s="3"/>
      <c r="P330" s="3"/>
      <c r="Q330" s="3"/>
      <c r="R330" s="3"/>
      <c r="S330" s="3"/>
      <c r="T330" s="3"/>
      <c r="U330" s="3"/>
      <c r="V330" s="3"/>
      <c r="W330" s="3"/>
      <c r="X330" s="3"/>
      <c r="Y330" s="3"/>
      <c r="Z330" s="3"/>
      <c r="AA330" s="3"/>
      <c r="AB330" s="3"/>
      <c r="AC330" s="3"/>
    </row>
    <row r="331" customFormat="false" ht="21.75" hidden="false" customHeight="true" outlineLevel="0" collapsed="false">
      <c r="A331" s="3"/>
      <c r="B331" s="3"/>
      <c r="C331" s="3"/>
      <c r="D331" s="3"/>
      <c r="E331" s="3"/>
      <c r="F331" s="3"/>
      <c r="G331" s="4"/>
      <c r="H331" s="4"/>
      <c r="I331" s="4"/>
      <c r="J331" s="4"/>
      <c r="K331" s="4"/>
      <c r="L331" s="4"/>
      <c r="M331" s="3"/>
      <c r="N331" s="3"/>
      <c r="O331" s="3"/>
      <c r="P331" s="3"/>
      <c r="Q331" s="3"/>
      <c r="R331" s="3"/>
      <c r="S331" s="3"/>
      <c r="T331" s="3"/>
      <c r="U331" s="3"/>
      <c r="V331" s="3"/>
      <c r="W331" s="3"/>
      <c r="X331" s="3"/>
      <c r="Y331" s="3"/>
      <c r="Z331" s="3"/>
      <c r="AA331" s="3"/>
      <c r="AB331" s="3"/>
      <c r="AC331" s="3"/>
    </row>
    <row r="332" customFormat="false" ht="21.75" hidden="false" customHeight="true" outlineLevel="0" collapsed="false">
      <c r="A332" s="3"/>
      <c r="B332" s="3"/>
      <c r="C332" s="3"/>
      <c r="D332" s="3"/>
      <c r="E332" s="3"/>
      <c r="F332" s="3"/>
      <c r="G332" s="4"/>
      <c r="H332" s="4"/>
      <c r="I332" s="4"/>
      <c r="J332" s="4"/>
      <c r="K332" s="4"/>
      <c r="L332" s="4"/>
      <c r="M332" s="3"/>
      <c r="N332" s="3"/>
      <c r="O332" s="3"/>
      <c r="P332" s="3"/>
      <c r="Q332" s="3"/>
      <c r="R332" s="3"/>
      <c r="S332" s="3"/>
      <c r="T332" s="3"/>
      <c r="U332" s="3"/>
      <c r="V332" s="3"/>
      <c r="W332" s="3"/>
      <c r="X332" s="3"/>
      <c r="Y332" s="3"/>
      <c r="Z332" s="3"/>
      <c r="AA332" s="3"/>
      <c r="AB332" s="3"/>
      <c r="AC332" s="3"/>
    </row>
    <row r="333" customFormat="false" ht="21.75" hidden="false" customHeight="true" outlineLevel="0" collapsed="false">
      <c r="A333" s="3"/>
      <c r="B333" s="3"/>
      <c r="C333" s="3"/>
      <c r="D333" s="3"/>
      <c r="E333" s="3"/>
      <c r="F333" s="3"/>
      <c r="G333" s="4"/>
      <c r="H333" s="4"/>
      <c r="I333" s="4"/>
      <c r="J333" s="4"/>
      <c r="K333" s="4"/>
      <c r="L333" s="4"/>
      <c r="M333" s="3"/>
      <c r="N333" s="3"/>
      <c r="O333" s="3"/>
      <c r="P333" s="3"/>
      <c r="Q333" s="3"/>
      <c r="R333" s="3"/>
      <c r="S333" s="3"/>
      <c r="T333" s="3"/>
      <c r="U333" s="3"/>
      <c r="V333" s="3"/>
      <c r="W333" s="3"/>
      <c r="X333" s="3"/>
      <c r="Y333" s="3"/>
      <c r="Z333" s="3"/>
      <c r="AA333" s="3"/>
      <c r="AB333" s="3"/>
      <c r="AC333" s="3"/>
    </row>
    <row r="334" customFormat="false" ht="21.75" hidden="false" customHeight="true" outlineLevel="0" collapsed="false">
      <c r="A334" s="3"/>
      <c r="B334" s="3"/>
      <c r="C334" s="3"/>
      <c r="D334" s="3"/>
      <c r="E334" s="3"/>
      <c r="F334" s="3"/>
      <c r="G334" s="4"/>
      <c r="H334" s="4"/>
      <c r="I334" s="4"/>
      <c r="J334" s="4"/>
      <c r="K334" s="4"/>
      <c r="L334" s="4"/>
      <c r="M334" s="3"/>
      <c r="N334" s="3"/>
      <c r="O334" s="3"/>
      <c r="P334" s="3"/>
      <c r="Q334" s="3"/>
      <c r="R334" s="3"/>
      <c r="S334" s="3"/>
      <c r="T334" s="3"/>
      <c r="U334" s="3"/>
      <c r="V334" s="3"/>
      <c r="W334" s="3"/>
      <c r="X334" s="3"/>
      <c r="Y334" s="3"/>
      <c r="Z334" s="3"/>
      <c r="AA334" s="3"/>
      <c r="AB334" s="3"/>
      <c r="AC334" s="3"/>
    </row>
    <row r="335" customFormat="false" ht="21.75" hidden="false" customHeight="true" outlineLevel="0" collapsed="false">
      <c r="A335" s="3"/>
      <c r="B335" s="3"/>
      <c r="C335" s="3"/>
      <c r="D335" s="3"/>
      <c r="E335" s="3"/>
      <c r="F335" s="3"/>
      <c r="G335" s="4"/>
      <c r="H335" s="4"/>
      <c r="I335" s="4"/>
      <c r="J335" s="4"/>
      <c r="K335" s="4"/>
      <c r="L335" s="4"/>
      <c r="M335" s="3"/>
      <c r="N335" s="3"/>
      <c r="O335" s="3"/>
      <c r="P335" s="3"/>
      <c r="Q335" s="3"/>
      <c r="R335" s="3"/>
      <c r="S335" s="3"/>
      <c r="T335" s="3"/>
      <c r="U335" s="3"/>
      <c r="V335" s="3"/>
      <c r="W335" s="3"/>
      <c r="X335" s="3"/>
      <c r="Y335" s="3"/>
      <c r="Z335" s="3"/>
      <c r="AA335" s="3"/>
      <c r="AB335" s="3"/>
      <c r="AC335" s="3"/>
    </row>
    <row r="336" customFormat="false" ht="21.75" hidden="false" customHeight="true" outlineLevel="0" collapsed="false">
      <c r="A336" s="3"/>
      <c r="B336" s="3"/>
      <c r="C336" s="3"/>
      <c r="D336" s="3"/>
      <c r="E336" s="3"/>
      <c r="F336" s="3"/>
      <c r="G336" s="4"/>
      <c r="H336" s="4"/>
      <c r="I336" s="4"/>
      <c r="J336" s="4"/>
      <c r="K336" s="4"/>
      <c r="L336" s="4"/>
      <c r="M336" s="3"/>
      <c r="N336" s="3"/>
      <c r="O336" s="3"/>
      <c r="P336" s="3"/>
      <c r="Q336" s="3"/>
      <c r="R336" s="3"/>
      <c r="S336" s="3"/>
      <c r="T336" s="3"/>
      <c r="U336" s="3"/>
      <c r="V336" s="3"/>
      <c r="W336" s="3"/>
      <c r="X336" s="3"/>
      <c r="Y336" s="3"/>
      <c r="Z336" s="3"/>
      <c r="AA336" s="3"/>
      <c r="AB336" s="3"/>
      <c r="AC336" s="3"/>
    </row>
    <row r="337" customFormat="false" ht="21.75" hidden="false" customHeight="true" outlineLevel="0" collapsed="false">
      <c r="A337" s="3"/>
      <c r="B337" s="3"/>
      <c r="C337" s="3"/>
      <c r="D337" s="3"/>
      <c r="E337" s="3"/>
      <c r="F337" s="3"/>
      <c r="G337" s="4"/>
      <c r="H337" s="4"/>
      <c r="I337" s="4"/>
      <c r="J337" s="4"/>
      <c r="K337" s="4"/>
      <c r="L337" s="4"/>
      <c r="M337" s="3"/>
      <c r="N337" s="3"/>
      <c r="O337" s="3"/>
      <c r="P337" s="3"/>
      <c r="Q337" s="3"/>
      <c r="R337" s="3"/>
      <c r="S337" s="3"/>
      <c r="T337" s="3"/>
      <c r="U337" s="3"/>
      <c r="V337" s="3"/>
      <c r="W337" s="3"/>
      <c r="X337" s="3"/>
      <c r="Y337" s="3"/>
      <c r="Z337" s="3"/>
      <c r="AA337" s="3"/>
      <c r="AB337" s="3"/>
      <c r="AC337" s="3"/>
    </row>
    <row r="338" customFormat="false" ht="21.75" hidden="false" customHeight="true" outlineLevel="0" collapsed="false">
      <c r="A338" s="3"/>
      <c r="B338" s="3"/>
      <c r="C338" s="3"/>
      <c r="D338" s="3"/>
      <c r="E338" s="3"/>
      <c r="F338" s="3"/>
      <c r="G338" s="4"/>
      <c r="H338" s="4"/>
      <c r="I338" s="4"/>
      <c r="J338" s="4"/>
      <c r="K338" s="4"/>
      <c r="L338" s="4"/>
      <c r="M338" s="3"/>
      <c r="N338" s="3"/>
      <c r="O338" s="3"/>
      <c r="P338" s="3"/>
      <c r="Q338" s="3"/>
      <c r="R338" s="3"/>
      <c r="S338" s="3"/>
      <c r="T338" s="3"/>
      <c r="U338" s="3"/>
      <c r="V338" s="3"/>
      <c r="W338" s="3"/>
      <c r="X338" s="3"/>
      <c r="Y338" s="3"/>
      <c r="Z338" s="3"/>
      <c r="AA338" s="3"/>
      <c r="AB338" s="3"/>
      <c r="AC338" s="3"/>
    </row>
    <row r="339" customFormat="false" ht="21.75" hidden="false" customHeight="true" outlineLevel="0" collapsed="false">
      <c r="A339" s="3"/>
      <c r="B339" s="3"/>
      <c r="C339" s="3"/>
      <c r="D339" s="3"/>
      <c r="E339" s="3"/>
      <c r="F339" s="3"/>
      <c r="G339" s="4"/>
      <c r="H339" s="4"/>
      <c r="I339" s="4"/>
      <c r="J339" s="4"/>
      <c r="K339" s="4"/>
      <c r="L339" s="4"/>
      <c r="M339" s="3"/>
      <c r="N339" s="3"/>
      <c r="O339" s="3"/>
      <c r="P339" s="3"/>
      <c r="Q339" s="3"/>
      <c r="R339" s="3"/>
      <c r="S339" s="3"/>
      <c r="T339" s="3"/>
      <c r="U339" s="3"/>
      <c r="V339" s="3"/>
      <c r="W339" s="3"/>
      <c r="X339" s="3"/>
      <c r="Y339" s="3"/>
      <c r="Z339" s="3"/>
      <c r="AA339" s="3"/>
      <c r="AB339" s="3"/>
      <c r="AC339" s="3"/>
    </row>
    <row r="340" customFormat="false" ht="21.75" hidden="false" customHeight="true" outlineLevel="0" collapsed="false">
      <c r="A340" s="3"/>
      <c r="B340" s="3"/>
      <c r="C340" s="3"/>
      <c r="D340" s="3"/>
      <c r="E340" s="3"/>
      <c r="F340" s="3"/>
      <c r="G340" s="4"/>
      <c r="H340" s="4"/>
      <c r="I340" s="4"/>
      <c r="J340" s="4"/>
      <c r="K340" s="4"/>
      <c r="L340" s="4"/>
      <c r="M340" s="3"/>
      <c r="N340" s="3"/>
      <c r="O340" s="3"/>
      <c r="P340" s="3"/>
      <c r="Q340" s="3"/>
      <c r="R340" s="3"/>
      <c r="S340" s="3"/>
      <c r="T340" s="3"/>
      <c r="U340" s="3"/>
      <c r="V340" s="3"/>
      <c r="W340" s="3"/>
      <c r="X340" s="3"/>
      <c r="Y340" s="3"/>
      <c r="Z340" s="3"/>
      <c r="AA340" s="3"/>
      <c r="AB340" s="3"/>
      <c r="AC340" s="3"/>
    </row>
    <row r="341" customFormat="false" ht="21.75" hidden="false" customHeight="true" outlineLevel="0" collapsed="false">
      <c r="A341" s="3"/>
      <c r="B341" s="3"/>
      <c r="C341" s="3"/>
      <c r="D341" s="3"/>
      <c r="E341" s="3"/>
      <c r="F341" s="3"/>
      <c r="G341" s="4"/>
      <c r="H341" s="4"/>
      <c r="I341" s="4"/>
      <c r="J341" s="4"/>
      <c r="K341" s="4"/>
      <c r="L341" s="4"/>
      <c r="M341" s="3"/>
      <c r="N341" s="3"/>
      <c r="O341" s="3"/>
      <c r="P341" s="3"/>
      <c r="Q341" s="3"/>
      <c r="R341" s="3"/>
      <c r="S341" s="3"/>
      <c r="T341" s="3"/>
      <c r="U341" s="3"/>
      <c r="V341" s="3"/>
      <c r="W341" s="3"/>
      <c r="X341" s="3"/>
      <c r="Y341" s="3"/>
      <c r="Z341" s="3"/>
      <c r="AA341" s="3"/>
      <c r="AB341" s="3"/>
      <c r="AC341" s="3"/>
    </row>
    <row r="342" customFormat="false" ht="21.75" hidden="false" customHeight="true" outlineLevel="0" collapsed="false">
      <c r="A342" s="3"/>
      <c r="B342" s="3"/>
      <c r="C342" s="3"/>
      <c r="D342" s="3"/>
      <c r="E342" s="3"/>
      <c r="F342" s="3"/>
      <c r="G342" s="4"/>
      <c r="H342" s="4"/>
      <c r="I342" s="4"/>
      <c r="J342" s="4"/>
      <c r="K342" s="4"/>
      <c r="L342" s="4"/>
      <c r="M342" s="3"/>
      <c r="N342" s="3"/>
      <c r="O342" s="3"/>
      <c r="P342" s="3"/>
      <c r="Q342" s="3"/>
      <c r="R342" s="3"/>
      <c r="S342" s="3"/>
      <c r="T342" s="3"/>
      <c r="U342" s="3"/>
      <c r="V342" s="3"/>
      <c r="W342" s="3"/>
      <c r="X342" s="3"/>
      <c r="Y342" s="3"/>
      <c r="Z342" s="3"/>
      <c r="AA342" s="3"/>
      <c r="AB342" s="3"/>
      <c r="AC342" s="3"/>
    </row>
    <row r="343" customFormat="false" ht="21.75" hidden="false" customHeight="true" outlineLevel="0" collapsed="false">
      <c r="A343" s="3"/>
      <c r="B343" s="3"/>
      <c r="C343" s="3"/>
      <c r="D343" s="3"/>
      <c r="E343" s="3"/>
      <c r="F343" s="3"/>
      <c r="G343" s="4"/>
      <c r="H343" s="4"/>
      <c r="I343" s="4"/>
      <c r="J343" s="4"/>
      <c r="K343" s="4"/>
      <c r="L343" s="4"/>
      <c r="M343" s="3"/>
      <c r="N343" s="3"/>
      <c r="O343" s="3"/>
      <c r="P343" s="3"/>
      <c r="Q343" s="3"/>
      <c r="R343" s="3"/>
      <c r="S343" s="3"/>
      <c r="T343" s="3"/>
      <c r="U343" s="3"/>
      <c r="V343" s="3"/>
      <c r="W343" s="3"/>
      <c r="X343" s="3"/>
      <c r="Y343" s="3"/>
      <c r="Z343" s="3"/>
      <c r="AA343" s="3"/>
      <c r="AB343" s="3"/>
      <c r="AC343" s="3"/>
    </row>
    <row r="344" customFormat="false" ht="21.75" hidden="false" customHeight="true" outlineLevel="0" collapsed="false">
      <c r="A344" s="3"/>
      <c r="B344" s="3"/>
      <c r="C344" s="3"/>
      <c r="D344" s="3"/>
      <c r="E344" s="3"/>
      <c r="F344" s="3"/>
      <c r="G344" s="4"/>
      <c r="H344" s="4"/>
      <c r="I344" s="4"/>
      <c r="J344" s="4"/>
      <c r="K344" s="4"/>
      <c r="L344" s="4"/>
      <c r="M344" s="3"/>
      <c r="N344" s="3"/>
      <c r="O344" s="3"/>
      <c r="P344" s="3"/>
      <c r="Q344" s="3"/>
      <c r="R344" s="3"/>
      <c r="S344" s="3"/>
      <c r="T344" s="3"/>
      <c r="U344" s="3"/>
      <c r="V344" s="3"/>
      <c r="W344" s="3"/>
      <c r="X344" s="3"/>
      <c r="Y344" s="3"/>
      <c r="Z344" s="3"/>
      <c r="AA344" s="3"/>
      <c r="AB344" s="3"/>
      <c r="AC344" s="3"/>
    </row>
    <row r="345" customFormat="false" ht="21.75" hidden="false" customHeight="true" outlineLevel="0" collapsed="false">
      <c r="A345" s="3"/>
      <c r="B345" s="3"/>
      <c r="C345" s="3"/>
      <c r="D345" s="3"/>
      <c r="E345" s="3"/>
      <c r="F345" s="3"/>
      <c r="G345" s="4"/>
      <c r="H345" s="4"/>
      <c r="I345" s="4"/>
      <c r="J345" s="4"/>
      <c r="K345" s="4"/>
      <c r="L345" s="4"/>
      <c r="M345" s="3"/>
      <c r="N345" s="3"/>
      <c r="O345" s="3"/>
      <c r="P345" s="3"/>
      <c r="Q345" s="3"/>
      <c r="R345" s="3"/>
      <c r="S345" s="3"/>
      <c r="T345" s="3"/>
      <c r="U345" s="3"/>
      <c r="V345" s="3"/>
      <c r="W345" s="3"/>
      <c r="X345" s="3"/>
      <c r="Y345" s="3"/>
      <c r="Z345" s="3"/>
      <c r="AA345" s="3"/>
      <c r="AB345" s="3"/>
      <c r="AC345" s="3"/>
    </row>
    <row r="346" customFormat="false" ht="21.75" hidden="false" customHeight="true" outlineLevel="0" collapsed="false">
      <c r="A346" s="3"/>
      <c r="B346" s="3"/>
      <c r="C346" s="3"/>
      <c r="D346" s="3"/>
      <c r="E346" s="3"/>
      <c r="F346" s="3"/>
      <c r="G346" s="4"/>
      <c r="H346" s="4"/>
      <c r="I346" s="4"/>
      <c r="J346" s="4"/>
      <c r="K346" s="4"/>
      <c r="L346" s="4"/>
      <c r="M346" s="3"/>
      <c r="N346" s="3"/>
      <c r="O346" s="3"/>
      <c r="P346" s="3"/>
      <c r="Q346" s="3"/>
      <c r="R346" s="3"/>
      <c r="S346" s="3"/>
      <c r="T346" s="3"/>
      <c r="U346" s="3"/>
      <c r="V346" s="3"/>
      <c r="W346" s="3"/>
      <c r="X346" s="3"/>
      <c r="Y346" s="3"/>
      <c r="Z346" s="3"/>
      <c r="AA346" s="3"/>
      <c r="AB346" s="3"/>
      <c r="AC346" s="3"/>
    </row>
    <row r="347" customFormat="false" ht="21.75" hidden="false" customHeight="true" outlineLevel="0" collapsed="false">
      <c r="A347" s="3"/>
      <c r="B347" s="3"/>
      <c r="C347" s="3"/>
      <c r="D347" s="3"/>
      <c r="E347" s="3"/>
      <c r="F347" s="3"/>
      <c r="G347" s="4"/>
      <c r="H347" s="4"/>
      <c r="I347" s="4"/>
      <c r="J347" s="4"/>
      <c r="K347" s="4"/>
      <c r="L347" s="4"/>
      <c r="M347" s="3"/>
      <c r="N347" s="3"/>
      <c r="O347" s="3"/>
      <c r="P347" s="3"/>
      <c r="Q347" s="3"/>
      <c r="R347" s="3"/>
      <c r="S347" s="3"/>
      <c r="T347" s="3"/>
      <c r="U347" s="3"/>
      <c r="V347" s="3"/>
      <c r="W347" s="3"/>
      <c r="X347" s="3"/>
      <c r="Y347" s="3"/>
      <c r="Z347" s="3"/>
      <c r="AA347" s="3"/>
      <c r="AB347" s="3"/>
      <c r="AC347" s="3"/>
    </row>
    <row r="348" customFormat="false" ht="21.75" hidden="false" customHeight="true" outlineLevel="0" collapsed="false">
      <c r="A348" s="3"/>
      <c r="B348" s="3"/>
      <c r="C348" s="3"/>
      <c r="D348" s="3"/>
      <c r="E348" s="3"/>
      <c r="F348" s="3"/>
      <c r="G348" s="4"/>
      <c r="H348" s="4"/>
      <c r="I348" s="4"/>
      <c r="J348" s="4"/>
      <c r="K348" s="4"/>
      <c r="L348" s="4"/>
      <c r="M348" s="3"/>
      <c r="N348" s="3"/>
      <c r="O348" s="3"/>
      <c r="P348" s="3"/>
      <c r="Q348" s="3"/>
      <c r="R348" s="3"/>
      <c r="S348" s="3"/>
      <c r="T348" s="3"/>
      <c r="U348" s="3"/>
      <c r="V348" s="3"/>
      <c r="W348" s="3"/>
      <c r="X348" s="3"/>
      <c r="Y348" s="3"/>
      <c r="Z348" s="3"/>
      <c r="AA348" s="3"/>
      <c r="AB348" s="3"/>
      <c r="AC348" s="3"/>
    </row>
    <row r="349" customFormat="false" ht="21.75" hidden="false" customHeight="true" outlineLevel="0" collapsed="false">
      <c r="A349" s="3"/>
      <c r="B349" s="3"/>
      <c r="C349" s="3"/>
      <c r="D349" s="3"/>
      <c r="E349" s="3"/>
      <c r="F349" s="3"/>
      <c r="G349" s="4"/>
      <c r="H349" s="4"/>
      <c r="I349" s="4"/>
      <c r="J349" s="4"/>
      <c r="K349" s="4"/>
      <c r="L349" s="4"/>
      <c r="M349" s="3"/>
      <c r="N349" s="3"/>
      <c r="O349" s="3"/>
      <c r="P349" s="3"/>
      <c r="Q349" s="3"/>
      <c r="R349" s="3"/>
      <c r="S349" s="3"/>
      <c r="T349" s="3"/>
      <c r="U349" s="3"/>
      <c r="V349" s="3"/>
      <c r="W349" s="3"/>
      <c r="X349" s="3"/>
      <c r="Y349" s="3"/>
      <c r="Z349" s="3"/>
      <c r="AA349" s="3"/>
      <c r="AB349" s="3"/>
      <c r="AC349" s="3"/>
    </row>
    <row r="350" customFormat="false" ht="21.75" hidden="false" customHeight="true" outlineLevel="0" collapsed="false">
      <c r="A350" s="3"/>
      <c r="B350" s="3"/>
      <c r="C350" s="3"/>
      <c r="D350" s="3"/>
      <c r="E350" s="3"/>
      <c r="F350" s="3"/>
      <c r="G350" s="4"/>
      <c r="H350" s="4"/>
      <c r="I350" s="4"/>
      <c r="J350" s="4"/>
      <c r="K350" s="4"/>
      <c r="L350" s="4"/>
      <c r="M350" s="3"/>
      <c r="N350" s="3"/>
      <c r="O350" s="3"/>
      <c r="P350" s="3"/>
      <c r="Q350" s="3"/>
      <c r="R350" s="3"/>
      <c r="S350" s="3"/>
      <c r="T350" s="3"/>
      <c r="U350" s="3"/>
      <c r="V350" s="3"/>
      <c r="W350" s="3"/>
      <c r="X350" s="3"/>
      <c r="Y350" s="3"/>
      <c r="Z350" s="3"/>
      <c r="AA350" s="3"/>
      <c r="AB350" s="3"/>
      <c r="AC350" s="3"/>
    </row>
    <row r="351" customFormat="false" ht="21.75" hidden="false" customHeight="true" outlineLevel="0" collapsed="false">
      <c r="A351" s="3"/>
      <c r="B351" s="3"/>
      <c r="C351" s="3"/>
      <c r="D351" s="3"/>
      <c r="E351" s="3"/>
      <c r="F351" s="3"/>
      <c r="G351" s="4"/>
      <c r="H351" s="4"/>
      <c r="I351" s="4"/>
      <c r="J351" s="4"/>
      <c r="K351" s="4"/>
      <c r="L351" s="4"/>
      <c r="M351" s="3"/>
      <c r="N351" s="3"/>
      <c r="O351" s="3"/>
      <c r="P351" s="3"/>
      <c r="Q351" s="3"/>
      <c r="R351" s="3"/>
      <c r="S351" s="3"/>
      <c r="T351" s="3"/>
      <c r="U351" s="3"/>
      <c r="V351" s="3"/>
      <c r="W351" s="3"/>
      <c r="X351" s="3"/>
      <c r="Y351" s="3"/>
      <c r="Z351" s="3"/>
      <c r="AA351" s="3"/>
      <c r="AB351" s="3"/>
      <c r="AC351" s="3"/>
    </row>
    <row r="352" customFormat="false" ht="21.75" hidden="false" customHeight="true" outlineLevel="0" collapsed="false">
      <c r="A352" s="3"/>
      <c r="B352" s="3"/>
      <c r="C352" s="3"/>
      <c r="D352" s="3"/>
      <c r="E352" s="3"/>
      <c r="F352" s="3"/>
      <c r="G352" s="4"/>
      <c r="H352" s="4"/>
      <c r="I352" s="4"/>
      <c r="J352" s="4"/>
      <c r="K352" s="4"/>
      <c r="L352" s="4"/>
      <c r="M352" s="3"/>
      <c r="N352" s="3"/>
      <c r="O352" s="3"/>
      <c r="P352" s="3"/>
      <c r="Q352" s="3"/>
      <c r="R352" s="3"/>
      <c r="S352" s="3"/>
      <c r="T352" s="3"/>
      <c r="U352" s="3"/>
      <c r="V352" s="3"/>
      <c r="W352" s="3"/>
      <c r="X352" s="3"/>
      <c r="Y352" s="3"/>
      <c r="Z352" s="3"/>
      <c r="AA352" s="3"/>
      <c r="AB352" s="3"/>
      <c r="AC352" s="3"/>
    </row>
    <row r="353" customFormat="false" ht="21.75" hidden="false" customHeight="true" outlineLevel="0" collapsed="false">
      <c r="A353" s="3"/>
      <c r="B353" s="3"/>
      <c r="C353" s="3"/>
      <c r="D353" s="3"/>
      <c r="E353" s="3"/>
      <c r="F353" s="3"/>
      <c r="G353" s="4"/>
      <c r="H353" s="4"/>
      <c r="I353" s="4"/>
      <c r="J353" s="4"/>
      <c r="K353" s="4"/>
      <c r="L353" s="4"/>
      <c r="M353" s="3"/>
      <c r="N353" s="3"/>
      <c r="O353" s="3"/>
      <c r="P353" s="3"/>
      <c r="Q353" s="3"/>
      <c r="R353" s="3"/>
      <c r="S353" s="3"/>
      <c r="T353" s="3"/>
      <c r="U353" s="3"/>
      <c r="V353" s="3"/>
      <c r="W353" s="3"/>
      <c r="X353" s="3"/>
      <c r="Y353" s="3"/>
      <c r="Z353" s="3"/>
      <c r="AA353" s="3"/>
      <c r="AB353" s="3"/>
      <c r="AC353" s="3"/>
    </row>
    <row r="354" customFormat="false" ht="21.75" hidden="false" customHeight="true" outlineLevel="0" collapsed="false">
      <c r="A354" s="3"/>
      <c r="B354" s="3"/>
      <c r="C354" s="3"/>
      <c r="D354" s="3"/>
      <c r="E354" s="3"/>
      <c r="F354" s="3"/>
      <c r="G354" s="4"/>
      <c r="H354" s="4"/>
      <c r="I354" s="4"/>
      <c r="J354" s="4"/>
      <c r="K354" s="4"/>
      <c r="L354" s="4"/>
      <c r="M354" s="3"/>
      <c r="N354" s="3"/>
      <c r="O354" s="3"/>
      <c r="P354" s="3"/>
      <c r="Q354" s="3"/>
      <c r="R354" s="3"/>
      <c r="S354" s="3"/>
      <c r="T354" s="3"/>
      <c r="U354" s="3"/>
      <c r="V354" s="3"/>
      <c r="W354" s="3"/>
      <c r="X354" s="3"/>
      <c r="Y354" s="3"/>
      <c r="Z354" s="3"/>
      <c r="AA354" s="3"/>
      <c r="AB354" s="3"/>
      <c r="AC354" s="3"/>
    </row>
    <row r="355" customFormat="false" ht="21.75" hidden="false" customHeight="true" outlineLevel="0" collapsed="false">
      <c r="A355" s="3"/>
      <c r="B355" s="3"/>
      <c r="C355" s="3"/>
      <c r="D355" s="3"/>
      <c r="E355" s="3"/>
      <c r="F355" s="3"/>
      <c r="G355" s="4"/>
      <c r="H355" s="4"/>
      <c r="I355" s="4"/>
      <c r="J355" s="4"/>
      <c r="K355" s="4"/>
      <c r="L355" s="4"/>
      <c r="M355" s="3"/>
      <c r="N355" s="3"/>
      <c r="O355" s="3"/>
      <c r="P355" s="3"/>
      <c r="Q355" s="3"/>
      <c r="R355" s="3"/>
      <c r="S355" s="3"/>
      <c r="T355" s="3"/>
      <c r="U355" s="3"/>
      <c r="V355" s="3"/>
      <c r="W355" s="3"/>
      <c r="X355" s="3"/>
      <c r="Y355" s="3"/>
      <c r="Z355" s="3"/>
      <c r="AA355" s="3"/>
      <c r="AB355" s="3"/>
      <c r="AC355" s="3"/>
    </row>
    <row r="356" customFormat="false" ht="21.75" hidden="false" customHeight="true" outlineLevel="0" collapsed="false">
      <c r="A356" s="3"/>
      <c r="B356" s="3"/>
      <c r="C356" s="3"/>
      <c r="D356" s="3"/>
      <c r="E356" s="3"/>
      <c r="F356" s="3"/>
      <c r="G356" s="4"/>
      <c r="H356" s="4"/>
      <c r="I356" s="4"/>
      <c r="J356" s="4"/>
      <c r="K356" s="4"/>
      <c r="L356" s="4"/>
      <c r="M356" s="3"/>
      <c r="N356" s="3"/>
      <c r="O356" s="3"/>
      <c r="P356" s="3"/>
      <c r="Q356" s="3"/>
      <c r="R356" s="3"/>
      <c r="S356" s="3"/>
      <c r="T356" s="3"/>
      <c r="U356" s="3"/>
      <c r="V356" s="3"/>
      <c r="W356" s="3"/>
      <c r="X356" s="3"/>
      <c r="Y356" s="3"/>
      <c r="Z356" s="3"/>
      <c r="AA356" s="3"/>
      <c r="AB356" s="3"/>
      <c r="AC356" s="3"/>
    </row>
    <row r="357" customFormat="false" ht="21.75" hidden="false" customHeight="true" outlineLevel="0" collapsed="false">
      <c r="A357" s="3"/>
      <c r="B357" s="3"/>
      <c r="C357" s="3"/>
      <c r="D357" s="3"/>
      <c r="E357" s="3"/>
      <c r="F357" s="3"/>
      <c r="G357" s="4"/>
      <c r="H357" s="4"/>
      <c r="I357" s="4"/>
      <c r="J357" s="4"/>
      <c r="K357" s="4"/>
      <c r="L357" s="4"/>
      <c r="M357" s="3"/>
      <c r="N357" s="3"/>
      <c r="O357" s="3"/>
      <c r="P357" s="3"/>
      <c r="Q357" s="3"/>
      <c r="R357" s="3"/>
      <c r="S357" s="3"/>
      <c r="T357" s="3"/>
      <c r="U357" s="3"/>
      <c r="V357" s="3"/>
      <c r="W357" s="3"/>
      <c r="X357" s="3"/>
      <c r="Y357" s="3"/>
      <c r="Z357" s="3"/>
      <c r="AA357" s="3"/>
      <c r="AB357" s="3"/>
      <c r="AC357" s="3"/>
    </row>
    <row r="358" customFormat="false" ht="21.75" hidden="false" customHeight="true" outlineLevel="0" collapsed="false">
      <c r="A358" s="3"/>
      <c r="B358" s="3"/>
      <c r="C358" s="3"/>
      <c r="D358" s="3"/>
      <c r="E358" s="3"/>
      <c r="F358" s="3"/>
      <c r="G358" s="4"/>
      <c r="H358" s="4"/>
      <c r="I358" s="4"/>
      <c r="J358" s="4"/>
      <c r="K358" s="4"/>
      <c r="L358" s="4"/>
      <c r="M358" s="3"/>
      <c r="N358" s="3"/>
      <c r="O358" s="3"/>
      <c r="P358" s="3"/>
      <c r="Q358" s="3"/>
      <c r="R358" s="3"/>
      <c r="S358" s="3"/>
      <c r="T358" s="3"/>
      <c r="U358" s="3"/>
      <c r="V358" s="3"/>
      <c r="W358" s="3"/>
      <c r="X358" s="3"/>
      <c r="Y358" s="3"/>
      <c r="Z358" s="3"/>
      <c r="AA358" s="3"/>
      <c r="AB358" s="3"/>
      <c r="AC358" s="3"/>
    </row>
    <row r="359" customFormat="false" ht="21.75" hidden="false" customHeight="true" outlineLevel="0" collapsed="false">
      <c r="A359" s="3"/>
      <c r="B359" s="3"/>
      <c r="C359" s="3"/>
      <c r="D359" s="3"/>
      <c r="E359" s="3"/>
      <c r="F359" s="3"/>
      <c r="G359" s="4"/>
      <c r="H359" s="4"/>
      <c r="I359" s="4"/>
      <c r="J359" s="4"/>
      <c r="K359" s="4"/>
      <c r="L359" s="4"/>
      <c r="M359" s="3"/>
      <c r="N359" s="3"/>
      <c r="O359" s="3"/>
      <c r="P359" s="3"/>
      <c r="Q359" s="3"/>
      <c r="R359" s="3"/>
      <c r="S359" s="3"/>
      <c r="T359" s="3"/>
      <c r="U359" s="3"/>
      <c r="V359" s="3"/>
      <c r="W359" s="3"/>
      <c r="X359" s="3"/>
      <c r="Y359" s="3"/>
      <c r="Z359" s="3"/>
      <c r="AA359" s="3"/>
      <c r="AB359" s="3"/>
      <c r="AC359" s="3"/>
    </row>
    <row r="360" customFormat="false" ht="21.75" hidden="false" customHeight="true" outlineLevel="0" collapsed="false">
      <c r="A360" s="3"/>
      <c r="B360" s="3"/>
      <c r="C360" s="3"/>
      <c r="D360" s="3"/>
      <c r="E360" s="3"/>
      <c r="F360" s="3"/>
      <c r="G360" s="4"/>
      <c r="H360" s="4"/>
      <c r="I360" s="4"/>
      <c r="J360" s="4"/>
      <c r="K360" s="4"/>
      <c r="L360" s="4"/>
      <c r="M360" s="3"/>
      <c r="N360" s="3"/>
      <c r="O360" s="3"/>
      <c r="P360" s="3"/>
      <c r="Q360" s="3"/>
      <c r="R360" s="3"/>
      <c r="S360" s="3"/>
      <c r="T360" s="3"/>
      <c r="U360" s="3"/>
      <c r="V360" s="3"/>
      <c r="W360" s="3"/>
      <c r="X360" s="3"/>
      <c r="Y360" s="3"/>
      <c r="Z360" s="3"/>
      <c r="AA360" s="3"/>
      <c r="AB360" s="3"/>
      <c r="AC360" s="3"/>
    </row>
    <row r="361" customFormat="false" ht="21.75" hidden="false" customHeight="true" outlineLevel="0" collapsed="false">
      <c r="A361" s="3"/>
      <c r="B361" s="3"/>
      <c r="C361" s="3"/>
      <c r="D361" s="3"/>
      <c r="E361" s="3"/>
      <c r="F361" s="3"/>
      <c r="G361" s="4"/>
      <c r="H361" s="4"/>
      <c r="I361" s="4"/>
      <c r="J361" s="4"/>
      <c r="K361" s="4"/>
      <c r="L361" s="4"/>
      <c r="M361" s="3"/>
      <c r="N361" s="3"/>
      <c r="O361" s="3"/>
      <c r="P361" s="3"/>
      <c r="Q361" s="3"/>
      <c r="R361" s="3"/>
      <c r="S361" s="3"/>
      <c r="T361" s="3"/>
      <c r="U361" s="3"/>
      <c r="V361" s="3"/>
      <c r="W361" s="3"/>
      <c r="X361" s="3"/>
      <c r="Y361" s="3"/>
      <c r="Z361" s="3"/>
      <c r="AA361" s="3"/>
      <c r="AB361" s="3"/>
      <c r="AC361" s="3"/>
    </row>
    <row r="362" customFormat="false" ht="21.75" hidden="false" customHeight="true" outlineLevel="0" collapsed="false">
      <c r="A362" s="3"/>
      <c r="B362" s="3"/>
      <c r="C362" s="3"/>
      <c r="D362" s="3"/>
      <c r="E362" s="3"/>
      <c r="F362" s="3"/>
      <c r="G362" s="4"/>
      <c r="H362" s="4"/>
      <c r="I362" s="4"/>
      <c r="J362" s="4"/>
      <c r="K362" s="4"/>
      <c r="L362" s="4"/>
      <c r="M362" s="3"/>
      <c r="N362" s="3"/>
      <c r="O362" s="3"/>
      <c r="P362" s="3"/>
      <c r="Q362" s="3"/>
      <c r="R362" s="3"/>
      <c r="S362" s="3"/>
      <c r="T362" s="3"/>
      <c r="U362" s="3"/>
      <c r="V362" s="3"/>
      <c r="W362" s="3"/>
      <c r="X362" s="3"/>
      <c r="Y362" s="3"/>
      <c r="Z362" s="3"/>
      <c r="AA362" s="3"/>
      <c r="AB362" s="3"/>
      <c r="AC362" s="3"/>
    </row>
    <row r="363" customFormat="false" ht="21.75" hidden="false" customHeight="true" outlineLevel="0" collapsed="false">
      <c r="A363" s="3"/>
      <c r="B363" s="3"/>
      <c r="C363" s="3"/>
      <c r="D363" s="3"/>
      <c r="E363" s="3"/>
      <c r="F363" s="3"/>
      <c r="G363" s="4"/>
      <c r="H363" s="4"/>
      <c r="I363" s="4"/>
      <c r="J363" s="4"/>
      <c r="K363" s="4"/>
      <c r="L363" s="4"/>
      <c r="M363" s="3"/>
      <c r="N363" s="3"/>
      <c r="O363" s="3"/>
      <c r="P363" s="3"/>
      <c r="Q363" s="3"/>
      <c r="R363" s="3"/>
      <c r="S363" s="3"/>
      <c r="T363" s="3"/>
      <c r="U363" s="3"/>
      <c r="V363" s="3"/>
      <c r="W363" s="3"/>
      <c r="X363" s="3"/>
      <c r="Y363" s="3"/>
      <c r="Z363" s="3"/>
      <c r="AA363" s="3"/>
      <c r="AB363" s="3"/>
      <c r="AC363" s="3"/>
    </row>
    <row r="364" customFormat="false" ht="21.75" hidden="false" customHeight="true" outlineLevel="0" collapsed="false">
      <c r="A364" s="3"/>
      <c r="B364" s="3"/>
      <c r="C364" s="3"/>
      <c r="D364" s="3"/>
      <c r="E364" s="3"/>
      <c r="F364" s="3"/>
      <c r="G364" s="4"/>
      <c r="H364" s="4"/>
      <c r="I364" s="4"/>
      <c r="J364" s="4"/>
      <c r="K364" s="4"/>
      <c r="L364" s="4"/>
      <c r="M364" s="3"/>
      <c r="N364" s="3"/>
      <c r="O364" s="3"/>
      <c r="P364" s="3"/>
      <c r="Q364" s="3"/>
      <c r="R364" s="3"/>
      <c r="S364" s="3"/>
      <c r="T364" s="3"/>
      <c r="U364" s="3"/>
      <c r="V364" s="3"/>
      <c r="W364" s="3"/>
      <c r="X364" s="3"/>
      <c r="Y364" s="3"/>
      <c r="Z364" s="3"/>
      <c r="AA364" s="3"/>
      <c r="AB364" s="3"/>
      <c r="AC364" s="3"/>
    </row>
    <row r="365" customFormat="false" ht="21.75" hidden="false" customHeight="true" outlineLevel="0" collapsed="false">
      <c r="A365" s="3"/>
      <c r="B365" s="3"/>
      <c r="C365" s="3"/>
      <c r="D365" s="3"/>
      <c r="E365" s="3"/>
      <c r="F365" s="3"/>
      <c r="G365" s="4"/>
      <c r="H365" s="4"/>
      <c r="I365" s="4"/>
      <c r="J365" s="4"/>
      <c r="K365" s="4"/>
      <c r="L365" s="4"/>
      <c r="M365" s="3"/>
      <c r="N365" s="3"/>
      <c r="O365" s="3"/>
      <c r="P365" s="3"/>
      <c r="Q365" s="3"/>
      <c r="R365" s="3"/>
      <c r="S365" s="3"/>
      <c r="T365" s="3"/>
      <c r="U365" s="3"/>
      <c r="V365" s="3"/>
      <c r="W365" s="3"/>
      <c r="X365" s="3"/>
      <c r="Y365" s="3"/>
      <c r="Z365" s="3"/>
      <c r="AA365" s="3"/>
      <c r="AB365" s="3"/>
      <c r="AC365" s="3"/>
    </row>
    <row r="366" customFormat="false" ht="21.75" hidden="false" customHeight="true" outlineLevel="0" collapsed="false">
      <c r="A366" s="3"/>
      <c r="B366" s="3"/>
      <c r="C366" s="3"/>
      <c r="D366" s="3"/>
      <c r="E366" s="3"/>
      <c r="F366" s="3"/>
      <c r="G366" s="4"/>
      <c r="H366" s="4"/>
      <c r="I366" s="4"/>
      <c r="J366" s="4"/>
      <c r="K366" s="4"/>
      <c r="L366" s="4"/>
      <c r="M366" s="3"/>
      <c r="N366" s="3"/>
      <c r="O366" s="3"/>
      <c r="P366" s="3"/>
      <c r="Q366" s="3"/>
      <c r="R366" s="3"/>
      <c r="S366" s="3"/>
      <c r="T366" s="3"/>
      <c r="U366" s="3"/>
      <c r="V366" s="3"/>
      <c r="W366" s="3"/>
      <c r="X366" s="3"/>
      <c r="Y366" s="3"/>
      <c r="Z366" s="3"/>
      <c r="AA366" s="3"/>
      <c r="AB366" s="3"/>
      <c r="AC366" s="3"/>
    </row>
    <row r="367" customFormat="false" ht="21.75" hidden="false" customHeight="true" outlineLevel="0" collapsed="false">
      <c r="A367" s="3"/>
      <c r="B367" s="3"/>
      <c r="C367" s="3"/>
      <c r="D367" s="3"/>
      <c r="E367" s="3"/>
      <c r="F367" s="3"/>
      <c r="G367" s="4"/>
      <c r="H367" s="4"/>
      <c r="I367" s="4"/>
      <c r="J367" s="4"/>
      <c r="K367" s="4"/>
      <c r="L367" s="4"/>
      <c r="M367" s="3"/>
      <c r="N367" s="3"/>
      <c r="O367" s="3"/>
      <c r="P367" s="3"/>
      <c r="Q367" s="3"/>
      <c r="R367" s="3"/>
      <c r="S367" s="3"/>
      <c r="T367" s="3"/>
      <c r="U367" s="3"/>
      <c r="V367" s="3"/>
      <c r="W367" s="3"/>
      <c r="X367" s="3"/>
      <c r="Y367" s="3"/>
      <c r="Z367" s="3"/>
      <c r="AA367" s="3"/>
      <c r="AB367" s="3"/>
      <c r="AC367" s="3"/>
    </row>
    <row r="368" customFormat="false" ht="21.75" hidden="false" customHeight="true" outlineLevel="0" collapsed="false">
      <c r="A368" s="3"/>
      <c r="B368" s="3"/>
      <c r="C368" s="3"/>
      <c r="D368" s="3"/>
      <c r="E368" s="3"/>
      <c r="F368" s="3"/>
      <c r="G368" s="4"/>
      <c r="H368" s="4"/>
      <c r="I368" s="4"/>
      <c r="J368" s="4"/>
      <c r="K368" s="4"/>
      <c r="L368" s="4"/>
      <c r="M368" s="3"/>
      <c r="N368" s="3"/>
      <c r="O368" s="3"/>
      <c r="P368" s="3"/>
      <c r="Q368" s="3"/>
      <c r="R368" s="3"/>
      <c r="S368" s="3"/>
      <c r="T368" s="3"/>
      <c r="U368" s="3"/>
      <c r="V368" s="3"/>
      <c r="W368" s="3"/>
      <c r="X368" s="3"/>
      <c r="Y368" s="3"/>
      <c r="Z368" s="3"/>
      <c r="AA368" s="3"/>
      <c r="AB368" s="3"/>
      <c r="AC368" s="3"/>
    </row>
    <row r="369" customFormat="false" ht="21.75" hidden="false" customHeight="true" outlineLevel="0" collapsed="false">
      <c r="A369" s="3"/>
      <c r="B369" s="3"/>
      <c r="C369" s="3"/>
      <c r="D369" s="3"/>
      <c r="E369" s="3"/>
      <c r="F369" s="3"/>
      <c r="G369" s="4"/>
      <c r="H369" s="4"/>
      <c r="I369" s="4"/>
      <c r="J369" s="4"/>
      <c r="K369" s="4"/>
      <c r="L369" s="4"/>
      <c r="M369" s="3"/>
      <c r="N369" s="3"/>
      <c r="O369" s="3"/>
      <c r="P369" s="3"/>
      <c r="Q369" s="3"/>
      <c r="R369" s="3"/>
      <c r="S369" s="3"/>
      <c r="T369" s="3"/>
      <c r="U369" s="3"/>
      <c r="V369" s="3"/>
      <c r="W369" s="3"/>
      <c r="X369" s="3"/>
      <c r="Y369" s="3"/>
      <c r="Z369" s="3"/>
      <c r="AA369" s="3"/>
      <c r="AB369" s="3"/>
      <c r="AC369" s="3"/>
    </row>
    <row r="370" customFormat="false" ht="21.75" hidden="false" customHeight="true" outlineLevel="0" collapsed="false">
      <c r="A370" s="3"/>
      <c r="B370" s="3"/>
      <c r="C370" s="3"/>
      <c r="D370" s="3"/>
      <c r="E370" s="3"/>
      <c r="F370" s="3"/>
      <c r="G370" s="4"/>
      <c r="H370" s="4"/>
      <c r="I370" s="4"/>
      <c r="J370" s="4"/>
      <c r="K370" s="4"/>
      <c r="L370" s="4"/>
      <c r="M370" s="3"/>
      <c r="N370" s="3"/>
      <c r="O370" s="3"/>
      <c r="P370" s="3"/>
      <c r="Q370" s="3"/>
      <c r="R370" s="3"/>
      <c r="S370" s="3"/>
      <c r="T370" s="3"/>
      <c r="U370" s="3"/>
      <c r="V370" s="3"/>
      <c r="W370" s="3"/>
      <c r="X370" s="3"/>
      <c r="Y370" s="3"/>
      <c r="Z370" s="3"/>
      <c r="AA370" s="3"/>
      <c r="AB370" s="3"/>
      <c r="AC370" s="3"/>
    </row>
    <row r="371" customFormat="false" ht="21.75" hidden="false" customHeight="true" outlineLevel="0" collapsed="false">
      <c r="A371" s="3"/>
      <c r="B371" s="3"/>
      <c r="C371" s="3"/>
      <c r="D371" s="3"/>
      <c r="E371" s="3"/>
      <c r="F371" s="3"/>
      <c r="G371" s="4"/>
      <c r="H371" s="4"/>
      <c r="I371" s="4"/>
      <c r="J371" s="4"/>
      <c r="K371" s="4"/>
      <c r="L371" s="4"/>
      <c r="M371" s="3"/>
      <c r="N371" s="3"/>
      <c r="O371" s="3"/>
      <c r="P371" s="3"/>
      <c r="Q371" s="3"/>
      <c r="R371" s="3"/>
      <c r="S371" s="3"/>
      <c r="T371" s="3"/>
      <c r="U371" s="3"/>
      <c r="V371" s="3"/>
      <c r="W371" s="3"/>
      <c r="X371" s="3"/>
      <c r="Y371" s="3"/>
      <c r="Z371" s="3"/>
      <c r="AA371" s="3"/>
      <c r="AB371" s="3"/>
      <c r="AC371" s="3"/>
    </row>
    <row r="372" customFormat="false" ht="21.75" hidden="false" customHeight="true" outlineLevel="0" collapsed="false">
      <c r="A372" s="3"/>
      <c r="B372" s="3"/>
      <c r="C372" s="3"/>
      <c r="D372" s="3"/>
      <c r="E372" s="3"/>
      <c r="F372" s="3"/>
      <c r="G372" s="4"/>
      <c r="H372" s="4"/>
      <c r="I372" s="4"/>
      <c r="J372" s="4"/>
      <c r="K372" s="4"/>
      <c r="L372" s="4"/>
      <c r="M372" s="3"/>
      <c r="N372" s="3"/>
      <c r="O372" s="3"/>
      <c r="P372" s="3"/>
      <c r="Q372" s="3"/>
      <c r="R372" s="3"/>
      <c r="S372" s="3"/>
      <c r="T372" s="3"/>
      <c r="U372" s="3"/>
      <c r="V372" s="3"/>
      <c r="W372" s="3"/>
      <c r="X372" s="3"/>
      <c r="Y372" s="3"/>
      <c r="Z372" s="3"/>
      <c r="AA372" s="3"/>
      <c r="AB372" s="3"/>
      <c r="AC372" s="3"/>
    </row>
    <row r="373" customFormat="false" ht="21.75" hidden="false" customHeight="true" outlineLevel="0" collapsed="false">
      <c r="A373" s="3"/>
      <c r="B373" s="3"/>
      <c r="C373" s="3"/>
      <c r="D373" s="3"/>
      <c r="E373" s="3"/>
      <c r="F373" s="3"/>
      <c r="G373" s="4"/>
      <c r="H373" s="4"/>
      <c r="I373" s="4"/>
      <c r="J373" s="4"/>
      <c r="K373" s="4"/>
      <c r="L373" s="4"/>
      <c r="M373" s="3"/>
      <c r="N373" s="3"/>
      <c r="O373" s="3"/>
      <c r="P373" s="3"/>
      <c r="Q373" s="3"/>
      <c r="R373" s="3"/>
      <c r="S373" s="3"/>
      <c r="T373" s="3"/>
      <c r="U373" s="3"/>
      <c r="V373" s="3"/>
      <c r="W373" s="3"/>
      <c r="X373" s="3"/>
      <c r="Y373" s="3"/>
      <c r="Z373" s="3"/>
      <c r="AA373" s="3"/>
      <c r="AB373" s="3"/>
      <c r="AC373" s="3"/>
    </row>
    <row r="374" customFormat="false" ht="21.75" hidden="false" customHeight="true" outlineLevel="0" collapsed="false">
      <c r="A374" s="3"/>
      <c r="B374" s="3"/>
      <c r="C374" s="3"/>
      <c r="D374" s="3"/>
      <c r="E374" s="3"/>
      <c r="F374" s="3"/>
      <c r="G374" s="4"/>
      <c r="H374" s="4"/>
      <c r="I374" s="4"/>
      <c r="J374" s="4"/>
      <c r="K374" s="4"/>
      <c r="L374" s="4"/>
      <c r="M374" s="3"/>
      <c r="N374" s="3"/>
      <c r="O374" s="3"/>
      <c r="P374" s="3"/>
      <c r="Q374" s="3"/>
      <c r="R374" s="3"/>
      <c r="S374" s="3"/>
      <c r="T374" s="3"/>
      <c r="U374" s="3"/>
      <c r="V374" s="3"/>
      <c r="W374" s="3"/>
      <c r="X374" s="3"/>
      <c r="Y374" s="3"/>
      <c r="Z374" s="3"/>
      <c r="AA374" s="3"/>
      <c r="AB374" s="3"/>
      <c r="AC374" s="3"/>
    </row>
    <row r="375" customFormat="false" ht="21.75" hidden="false" customHeight="true" outlineLevel="0" collapsed="false">
      <c r="A375" s="3"/>
      <c r="B375" s="3"/>
      <c r="C375" s="3"/>
      <c r="D375" s="3"/>
      <c r="E375" s="3"/>
      <c r="F375" s="3"/>
      <c r="G375" s="4"/>
      <c r="H375" s="4"/>
      <c r="I375" s="4"/>
      <c r="J375" s="4"/>
      <c r="K375" s="4"/>
      <c r="L375" s="4"/>
      <c r="M375" s="3"/>
      <c r="N375" s="3"/>
      <c r="O375" s="3"/>
      <c r="P375" s="3"/>
      <c r="Q375" s="3"/>
      <c r="R375" s="3"/>
      <c r="S375" s="3"/>
      <c r="T375" s="3"/>
      <c r="U375" s="3"/>
      <c r="V375" s="3"/>
      <c r="W375" s="3"/>
      <c r="X375" s="3"/>
      <c r="Y375" s="3"/>
      <c r="Z375" s="3"/>
      <c r="AA375" s="3"/>
      <c r="AB375" s="3"/>
      <c r="AC375" s="3"/>
    </row>
    <row r="376" customFormat="false" ht="21.75" hidden="false" customHeight="true" outlineLevel="0" collapsed="false">
      <c r="A376" s="3"/>
      <c r="B376" s="3"/>
      <c r="C376" s="3"/>
      <c r="D376" s="3"/>
      <c r="E376" s="3"/>
      <c r="F376" s="3"/>
      <c r="G376" s="4"/>
      <c r="H376" s="4"/>
      <c r="I376" s="4"/>
      <c r="J376" s="4"/>
      <c r="K376" s="4"/>
      <c r="L376" s="4"/>
      <c r="M376" s="3"/>
      <c r="N376" s="3"/>
      <c r="O376" s="3"/>
      <c r="P376" s="3"/>
      <c r="Q376" s="3"/>
      <c r="R376" s="3"/>
      <c r="S376" s="3"/>
      <c r="T376" s="3"/>
      <c r="U376" s="3"/>
      <c r="V376" s="3"/>
      <c r="W376" s="3"/>
      <c r="X376" s="3"/>
      <c r="Y376" s="3"/>
      <c r="Z376" s="3"/>
      <c r="AA376" s="3"/>
      <c r="AB376" s="3"/>
      <c r="AC376" s="3"/>
    </row>
    <row r="377" customFormat="false" ht="21.75" hidden="false" customHeight="true" outlineLevel="0" collapsed="false">
      <c r="A377" s="3"/>
      <c r="B377" s="3"/>
      <c r="C377" s="3"/>
      <c r="D377" s="3"/>
      <c r="E377" s="3"/>
      <c r="F377" s="3"/>
      <c r="G377" s="4"/>
      <c r="H377" s="4"/>
      <c r="I377" s="4"/>
      <c r="J377" s="4"/>
      <c r="K377" s="4"/>
      <c r="L377" s="4"/>
      <c r="M377" s="3"/>
      <c r="N377" s="3"/>
      <c r="O377" s="3"/>
      <c r="P377" s="3"/>
      <c r="Q377" s="3"/>
      <c r="R377" s="3"/>
      <c r="S377" s="3"/>
      <c r="T377" s="3"/>
      <c r="U377" s="3"/>
      <c r="V377" s="3"/>
      <c r="W377" s="3"/>
      <c r="X377" s="3"/>
      <c r="Y377" s="3"/>
      <c r="Z377" s="3"/>
      <c r="AA377" s="3"/>
      <c r="AB377" s="3"/>
      <c r="AC377" s="3"/>
    </row>
    <row r="378" customFormat="false" ht="21.75" hidden="false" customHeight="true" outlineLevel="0" collapsed="false">
      <c r="A378" s="3"/>
      <c r="B378" s="3"/>
      <c r="C378" s="3"/>
      <c r="D378" s="3"/>
      <c r="E378" s="3"/>
      <c r="F378" s="3"/>
      <c r="G378" s="4"/>
      <c r="H378" s="4"/>
      <c r="I378" s="4"/>
      <c r="J378" s="4"/>
      <c r="K378" s="4"/>
      <c r="L378" s="4"/>
      <c r="M378" s="3"/>
      <c r="N378" s="3"/>
      <c r="O378" s="3"/>
      <c r="P378" s="3"/>
      <c r="Q378" s="3"/>
      <c r="R378" s="3"/>
      <c r="S378" s="3"/>
      <c r="T378" s="3"/>
      <c r="U378" s="3"/>
      <c r="V378" s="3"/>
      <c r="W378" s="3"/>
      <c r="X378" s="3"/>
      <c r="Y378" s="3"/>
      <c r="Z378" s="3"/>
      <c r="AA378" s="3"/>
      <c r="AB378" s="3"/>
      <c r="AC378" s="3"/>
    </row>
    <row r="379" customFormat="false" ht="21.75" hidden="false" customHeight="true" outlineLevel="0" collapsed="false">
      <c r="A379" s="3"/>
      <c r="B379" s="3"/>
      <c r="C379" s="3"/>
      <c r="D379" s="3"/>
      <c r="E379" s="3"/>
      <c r="F379" s="3"/>
      <c r="G379" s="4"/>
      <c r="H379" s="4"/>
      <c r="I379" s="4"/>
      <c r="J379" s="4"/>
      <c r="K379" s="4"/>
      <c r="L379" s="4"/>
      <c r="M379" s="3"/>
      <c r="N379" s="3"/>
      <c r="O379" s="3"/>
      <c r="P379" s="3"/>
      <c r="Q379" s="3"/>
      <c r="R379" s="3"/>
      <c r="S379" s="3"/>
      <c r="T379" s="3"/>
      <c r="U379" s="3"/>
      <c r="V379" s="3"/>
      <c r="W379" s="3"/>
      <c r="X379" s="3"/>
      <c r="Y379" s="3"/>
      <c r="Z379" s="3"/>
      <c r="AA379" s="3"/>
      <c r="AB379" s="3"/>
      <c r="AC379" s="3"/>
    </row>
    <row r="380" customFormat="false" ht="21.75" hidden="false" customHeight="true" outlineLevel="0" collapsed="false">
      <c r="A380" s="3"/>
      <c r="B380" s="3"/>
      <c r="C380" s="3"/>
      <c r="D380" s="3"/>
      <c r="E380" s="3"/>
      <c r="F380" s="3"/>
      <c r="G380" s="4"/>
      <c r="H380" s="4"/>
      <c r="I380" s="4"/>
      <c r="J380" s="4"/>
      <c r="K380" s="4"/>
      <c r="L380" s="4"/>
      <c r="M380" s="3"/>
      <c r="N380" s="3"/>
      <c r="O380" s="3"/>
      <c r="P380" s="3"/>
      <c r="Q380" s="3"/>
      <c r="R380" s="3"/>
      <c r="S380" s="3"/>
      <c r="T380" s="3"/>
      <c r="U380" s="3"/>
      <c r="V380" s="3"/>
      <c r="W380" s="3"/>
      <c r="X380" s="3"/>
      <c r="Y380" s="3"/>
      <c r="Z380" s="3"/>
      <c r="AA380" s="3"/>
      <c r="AB380" s="3"/>
      <c r="AC380" s="3"/>
    </row>
    <row r="381" customFormat="false" ht="21.75" hidden="false" customHeight="true" outlineLevel="0" collapsed="false">
      <c r="A381" s="3"/>
      <c r="B381" s="3"/>
      <c r="C381" s="3"/>
      <c r="D381" s="3"/>
      <c r="E381" s="3"/>
      <c r="F381" s="3"/>
      <c r="G381" s="4"/>
      <c r="H381" s="4"/>
      <c r="I381" s="4"/>
      <c r="J381" s="4"/>
      <c r="K381" s="4"/>
      <c r="L381" s="4"/>
      <c r="M381" s="3"/>
      <c r="N381" s="3"/>
      <c r="O381" s="3"/>
      <c r="P381" s="3"/>
      <c r="Q381" s="3"/>
      <c r="R381" s="3"/>
      <c r="S381" s="3"/>
      <c r="T381" s="3"/>
      <c r="U381" s="3"/>
      <c r="V381" s="3"/>
      <c r="W381" s="3"/>
      <c r="X381" s="3"/>
      <c r="Y381" s="3"/>
      <c r="Z381" s="3"/>
      <c r="AA381" s="3"/>
      <c r="AB381" s="3"/>
      <c r="AC381" s="3"/>
    </row>
    <row r="382" customFormat="false" ht="21.75" hidden="false" customHeight="true" outlineLevel="0" collapsed="false">
      <c r="A382" s="3"/>
      <c r="B382" s="3"/>
      <c r="C382" s="3"/>
      <c r="D382" s="3"/>
      <c r="E382" s="3"/>
      <c r="F382" s="3"/>
      <c r="G382" s="4"/>
      <c r="H382" s="4"/>
      <c r="I382" s="4"/>
      <c r="J382" s="4"/>
      <c r="K382" s="4"/>
      <c r="L382" s="4"/>
      <c r="M382" s="3"/>
      <c r="N382" s="3"/>
      <c r="O382" s="3"/>
      <c r="P382" s="3"/>
      <c r="Q382" s="3"/>
      <c r="R382" s="3"/>
      <c r="S382" s="3"/>
      <c r="T382" s="3"/>
      <c r="U382" s="3"/>
      <c r="V382" s="3"/>
      <c r="W382" s="3"/>
      <c r="X382" s="3"/>
      <c r="Y382" s="3"/>
      <c r="Z382" s="3"/>
      <c r="AA382" s="3"/>
      <c r="AB382" s="3"/>
      <c r="AC382" s="3"/>
    </row>
    <row r="383" customFormat="false" ht="21.75" hidden="false" customHeight="true" outlineLevel="0" collapsed="false">
      <c r="A383" s="3"/>
      <c r="B383" s="3"/>
      <c r="C383" s="3"/>
      <c r="D383" s="3"/>
      <c r="E383" s="3"/>
      <c r="F383" s="3"/>
      <c r="G383" s="4"/>
      <c r="H383" s="4"/>
      <c r="I383" s="4"/>
      <c r="J383" s="4"/>
      <c r="K383" s="4"/>
      <c r="L383" s="4"/>
      <c r="M383" s="3"/>
      <c r="N383" s="3"/>
      <c r="O383" s="3"/>
      <c r="P383" s="3"/>
      <c r="Q383" s="3"/>
      <c r="R383" s="3"/>
      <c r="S383" s="3"/>
      <c r="T383" s="3"/>
      <c r="U383" s="3"/>
      <c r="V383" s="3"/>
      <c r="W383" s="3"/>
      <c r="X383" s="3"/>
      <c r="Y383" s="3"/>
      <c r="Z383" s="3"/>
      <c r="AA383" s="3"/>
      <c r="AB383" s="3"/>
      <c r="AC383" s="3"/>
    </row>
    <row r="384" customFormat="false" ht="21.75" hidden="false" customHeight="true" outlineLevel="0" collapsed="false">
      <c r="A384" s="3"/>
      <c r="B384" s="3"/>
      <c r="C384" s="3"/>
      <c r="D384" s="3"/>
      <c r="E384" s="3"/>
      <c r="F384" s="3"/>
      <c r="G384" s="4"/>
      <c r="H384" s="4"/>
      <c r="I384" s="4"/>
      <c r="J384" s="4"/>
      <c r="K384" s="4"/>
      <c r="L384" s="4"/>
      <c r="M384" s="3"/>
      <c r="N384" s="3"/>
      <c r="O384" s="3"/>
      <c r="P384" s="3"/>
      <c r="Q384" s="3"/>
      <c r="R384" s="3"/>
      <c r="S384" s="3"/>
      <c r="T384" s="3"/>
      <c r="U384" s="3"/>
      <c r="V384" s="3"/>
      <c r="W384" s="3"/>
      <c r="X384" s="3"/>
      <c r="Y384" s="3"/>
      <c r="Z384" s="3"/>
      <c r="AA384" s="3"/>
      <c r="AB384" s="3"/>
      <c r="AC384" s="3"/>
    </row>
    <row r="385" customFormat="false" ht="21.75" hidden="false" customHeight="true" outlineLevel="0" collapsed="false">
      <c r="A385" s="3"/>
      <c r="B385" s="3"/>
      <c r="C385" s="3"/>
      <c r="D385" s="3"/>
      <c r="E385" s="3"/>
      <c r="F385" s="3"/>
      <c r="G385" s="4"/>
      <c r="H385" s="4"/>
      <c r="I385" s="4"/>
      <c r="J385" s="4"/>
      <c r="K385" s="4"/>
      <c r="L385" s="4"/>
      <c r="M385" s="3"/>
      <c r="N385" s="3"/>
      <c r="O385" s="3"/>
      <c r="P385" s="3"/>
      <c r="Q385" s="3"/>
      <c r="R385" s="3"/>
      <c r="S385" s="3"/>
      <c r="T385" s="3"/>
      <c r="U385" s="3"/>
      <c r="V385" s="3"/>
      <c r="W385" s="3"/>
      <c r="X385" s="3"/>
      <c r="Y385" s="3"/>
      <c r="Z385" s="3"/>
      <c r="AA385" s="3"/>
      <c r="AB385" s="3"/>
      <c r="AC385" s="3"/>
    </row>
    <row r="386" customFormat="false" ht="21.75" hidden="false" customHeight="true" outlineLevel="0" collapsed="false">
      <c r="A386" s="3"/>
      <c r="B386" s="3"/>
      <c r="C386" s="3"/>
      <c r="D386" s="3"/>
      <c r="E386" s="3"/>
      <c r="F386" s="3"/>
      <c r="G386" s="4"/>
      <c r="H386" s="4"/>
      <c r="I386" s="4"/>
      <c r="J386" s="4"/>
      <c r="K386" s="4"/>
      <c r="L386" s="4"/>
      <c r="M386" s="3"/>
      <c r="N386" s="3"/>
      <c r="O386" s="3"/>
      <c r="P386" s="3"/>
      <c r="Q386" s="3"/>
      <c r="R386" s="3"/>
      <c r="S386" s="3"/>
      <c r="T386" s="3"/>
      <c r="U386" s="3"/>
      <c r="V386" s="3"/>
      <c r="W386" s="3"/>
      <c r="X386" s="3"/>
      <c r="Y386" s="3"/>
      <c r="Z386" s="3"/>
      <c r="AA386" s="3"/>
      <c r="AB386" s="3"/>
      <c r="AC386" s="3"/>
    </row>
    <row r="387" customFormat="false" ht="21.75" hidden="false" customHeight="true" outlineLevel="0" collapsed="false">
      <c r="A387" s="3"/>
      <c r="B387" s="3"/>
      <c r="C387" s="3"/>
      <c r="D387" s="3"/>
      <c r="E387" s="3"/>
      <c r="F387" s="3"/>
      <c r="G387" s="4"/>
      <c r="H387" s="4"/>
      <c r="I387" s="4"/>
      <c r="J387" s="4"/>
      <c r="K387" s="4"/>
      <c r="L387" s="4"/>
      <c r="M387" s="3"/>
      <c r="N387" s="3"/>
      <c r="O387" s="3"/>
      <c r="P387" s="3"/>
      <c r="Q387" s="3"/>
      <c r="R387" s="3"/>
      <c r="S387" s="3"/>
      <c r="T387" s="3"/>
      <c r="U387" s="3"/>
      <c r="V387" s="3"/>
      <c r="W387" s="3"/>
      <c r="X387" s="3"/>
      <c r="Y387" s="3"/>
      <c r="Z387" s="3"/>
      <c r="AA387" s="3"/>
      <c r="AB387" s="3"/>
      <c r="AC387" s="3"/>
    </row>
    <row r="388" customFormat="false" ht="21.75" hidden="false" customHeight="true" outlineLevel="0" collapsed="false">
      <c r="A388" s="3"/>
      <c r="B388" s="3"/>
      <c r="C388" s="3"/>
      <c r="D388" s="3"/>
      <c r="E388" s="3"/>
      <c r="F388" s="3"/>
      <c r="G388" s="4"/>
      <c r="H388" s="4"/>
      <c r="I388" s="4"/>
      <c r="J388" s="4"/>
      <c r="K388" s="4"/>
      <c r="L388" s="4"/>
      <c r="M388" s="3"/>
      <c r="N388" s="3"/>
      <c r="O388" s="3"/>
      <c r="P388" s="3"/>
      <c r="Q388" s="3"/>
      <c r="R388" s="3"/>
      <c r="S388" s="3"/>
      <c r="T388" s="3"/>
      <c r="U388" s="3"/>
      <c r="V388" s="3"/>
      <c r="W388" s="3"/>
      <c r="X388" s="3"/>
      <c r="Y388" s="3"/>
      <c r="Z388" s="3"/>
      <c r="AA388" s="3"/>
      <c r="AB388" s="3"/>
      <c r="AC388" s="3"/>
    </row>
    <row r="389" customFormat="false" ht="21.75" hidden="false" customHeight="true" outlineLevel="0" collapsed="false">
      <c r="A389" s="3"/>
      <c r="B389" s="3"/>
      <c r="C389" s="3"/>
      <c r="D389" s="3"/>
      <c r="E389" s="3"/>
      <c r="F389" s="3"/>
      <c r="G389" s="4"/>
      <c r="H389" s="4"/>
      <c r="I389" s="4"/>
      <c r="J389" s="4"/>
      <c r="K389" s="4"/>
      <c r="L389" s="4"/>
      <c r="M389" s="3"/>
      <c r="N389" s="3"/>
      <c r="O389" s="3"/>
      <c r="P389" s="3"/>
      <c r="Q389" s="3"/>
      <c r="R389" s="3"/>
      <c r="S389" s="3"/>
      <c r="T389" s="3"/>
      <c r="U389" s="3"/>
      <c r="V389" s="3"/>
      <c r="W389" s="3"/>
      <c r="X389" s="3"/>
      <c r="Y389" s="3"/>
      <c r="Z389" s="3"/>
      <c r="AA389" s="3"/>
      <c r="AB389" s="3"/>
      <c r="AC389" s="3"/>
    </row>
    <row r="390" customFormat="false" ht="21.75" hidden="false" customHeight="true" outlineLevel="0" collapsed="false">
      <c r="A390" s="3"/>
      <c r="B390" s="3"/>
      <c r="C390" s="3"/>
      <c r="D390" s="3"/>
      <c r="E390" s="3"/>
      <c r="F390" s="3"/>
      <c r="G390" s="4"/>
      <c r="H390" s="4"/>
      <c r="I390" s="4"/>
      <c r="J390" s="4"/>
      <c r="K390" s="4"/>
      <c r="L390" s="4"/>
      <c r="M390" s="3"/>
      <c r="N390" s="3"/>
      <c r="O390" s="3"/>
      <c r="P390" s="3"/>
      <c r="Q390" s="3"/>
      <c r="R390" s="3"/>
      <c r="S390" s="3"/>
      <c r="T390" s="3"/>
      <c r="U390" s="3"/>
      <c r="V390" s="3"/>
      <c r="W390" s="3"/>
      <c r="X390" s="3"/>
      <c r="Y390" s="3"/>
      <c r="Z390" s="3"/>
      <c r="AA390" s="3"/>
      <c r="AB390" s="3"/>
      <c r="AC390" s="3"/>
    </row>
    <row r="391" customFormat="false" ht="21.75" hidden="false" customHeight="true" outlineLevel="0" collapsed="false">
      <c r="A391" s="3"/>
      <c r="B391" s="3"/>
      <c r="C391" s="3"/>
      <c r="D391" s="3"/>
      <c r="E391" s="3"/>
      <c r="F391" s="3"/>
      <c r="G391" s="4"/>
      <c r="H391" s="4"/>
      <c r="I391" s="4"/>
      <c r="J391" s="4"/>
      <c r="K391" s="4"/>
      <c r="L391" s="4"/>
      <c r="M391" s="3"/>
      <c r="N391" s="3"/>
      <c r="O391" s="3"/>
      <c r="P391" s="3"/>
      <c r="Q391" s="3"/>
      <c r="R391" s="3"/>
      <c r="S391" s="3"/>
      <c r="T391" s="3"/>
      <c r="U391" s="3"/>
      <c r="V391" s="3"/>
      <c r="W391" s="3"/>
      <c r="X391" s="3"/>
      <c r="Y391" s="3"/>
      <c r="Z391" s="3"/>
      <c r="AA391" s="3"/>
      <c r="AB391" s="3"/>
      <c r="AC391" s="3"/>
    </row>
    <row r="392" customFormat="false" ht="21.75" hidden="false" customHeight="true" outlineLevel="0" collapsed="false">
      <c r="A392" s="3"/>
      <c r="B392" s="3"/>
      <c r="C392" s="3"/>
      <c r="D392" s="3"/>
      <c r="E392" s="3"/>
      <c r="F392" s="3"/>
      <c r="G392" s="4"/>
      <c r="H392" s="4"/>
      <c r="I392" s="4"/>
      <c r="J392" s="4"/>
      <c r="K392" s="4"/>
      <c r="L392" s="4"/>
      <c r="M392" s="3"/>
      <c r="N392" s="3"/>
      <c r="O392" s="3"/>
      <c r="P392" s="3"/>
      <c r="Q392" s="3"/>
      <c r="R392" s="3"/>
      <c r="S392" s="3"/>
      <c r="T392" s="3"/>
      <c r="U392" s="3"/>
      <c r="V392" s="3"/>
      <c r="W392" s="3"/>
      <c r="X392" s="3"/>
      <c r="Y392" s="3"/>
      <c r="Z392" s="3"/>
      <c r="AA392" s="3"/>
      <c r="AB392" s="3"/>
      <c r="AC392" s="3"/>
    </row>
    <row r="393" customFormat="false" ht="21.75" hidden="false" customHeight="true" outlineLevel="0" collapsed="false">
      <c r="A393" s="3"/>
      <c r="B393" s="3"/>
      <c r="C393" s="3"/>
      <c r="D393" s="3"/>
      <c r="E393" s="3"/>
      <c r="F393" s="3"/>
      <c r="G393" s="4"/>
      <c r="H393" s="4"/>
      <c r="I393" s="4"/>
      <c r="J393" s="4"/>
      <c r="K393" s="4"/>
      <c r="L393" s="4"/>
      <c r="M393" s="3"/>
      <c r="N393" s="3"/>
      <c r="O393" s="3"/>
      <c r="P393" s="3"/>
      <c r="Q393" s="3"/>
      <c r="R393" s="3"/>
      <c r="S393" s="3"/>
      <c r="T393" s="3"/>
      <c r="U393" s="3"/>
      <c r="V393" s="3"/>
      <c r="W393" s="3"/>
      <c r="X393" s="3"/>
      <c r="Y393" s="3"/>
      <c r="Z393" s="3"/>
      <c r="AA393" s="3"/>
      <c r="AB393" s="3"/>
      <c r="AC393" s="3"/>
    </row>
    <row r="394" customFormat="false" ht="21.75" hidden="false" customHeight="true" outlineLevel="0" collapsed="false">
      <c r="A394" s="3"/>
      <c r="B394" s="3"/>
      <c r="C394" s="3"/>
      <c r="D394" s="3"/>
      <c r="E394" s="3"/>
      <c r="F394" s="3"/>
      <c r="G394" s="4"/>
      <c r="H394" s="4"/>
      <c r="I394" s="4"/>
      <c r="J394" s="4"/>
      <c r="K394" s="4"/>
      <c r="L394" s="4"/>
      <c r="M394" s="3"/>
      <c r="N394" s="3"/>
      <c r="O394" s="3"/>
      <c r="P394" s="3"/>
      <c r="Q394" s="3"/>
      <c r="R394" s="3"/>
      <c r="S394" s="3"/>
      <c r="T394" s="3"/>
      <c r="U394" s="3"/>
      <c r="V394" s="3"/>
      <c r="W394" s="3"/>
      <c r="X394" s="3"/>
      <c r="Y394" s="3"/>
      <c r="Z394" s="3"/>
      <c r="AA394" s="3"/>
      <c r="AB394" s="3"/>
      <c r="AC394" s="3"/>
    </row>
    <row r="395" customFormat="false" ht="21.75" hidden="false" customHeight="true" outlineLevel="0" collapsed="false">
      <c r="A395" s="3"/>
      <c r="B395" s="3"/>
      <c r="C395" s="3"/>
      <c r="D395" s="3"/>
      <c r="E395" s="3"/>
      <c r="F395" s="3"/>
      <c r="G395" s="4"/>
      <c r="H395" s="4"/>
      <c r="I395" s="4"/>
      <c r="J395" s="4"/>
      <c r="K395" s="4"/>
      <c r="L395" s="4"/>
      <c r="M395" s="3"/>
      <c r="N395" s="3"/>
      <c r="O395" s="3"/>
      <c r="P395" s="3"/>
      <c r="Q395" s="3"/>
      <c r="R395" s="3"/>
      <c r="S395" s="3"/>
      <c r="T395" s="3"/>
      <c r="U395" s="3"/>
      <c r="V395" s="3"/>
      <c r="W395" s="3"/>
      <c r="X395" s="3"/>
      <c r="Y395" s="3"/>
      <c r="Z395" s="3"/>
      <c r="AA395" s="3"/>
      <c r="AB395" s="3"/>
      <c r="AC395" s="3"/>
    </row>
    <row r="396" customFormat="false" ht="21.75" hidden="false" customHeight="true" outlineLevel="0" collapsed="false">
      <c r="A396" s="3"/>
      <c r="B396" s="3"/>
      <c r="C396" s="3"/>
      <c r="D396" s="3"/>
      <c r="E396" s="3"/>
      <c r="F396" s="3"/>
      <c r="G396" s="4"/>
      <c r="H396" s="4"/>
      <c r="I396" s="4"/>
      <c r="J396" s="4"/>
      <c r="K396" s="4"/>
      <c r="L396" s="4"/>
      <c r="M396" s="3"/>
      <c r="N396" s="3"/>
      <c r="O396" s="3"/>
      <c r="P396" s="3"/>
      <c r="Q396" s="3"/>
      <c r="R396" s="3"/>
      <c r="S396" s="3"/>
      <c r="T396" s="3"/>
      <c r="U396" s="3"/>
      <c r="V396" s="3"/>
      <c r="W396" s="3"/>
      <c r="X396" s="3"/>
      <c r="Y396" s="3"/>
      <c r="Z396" s="3"/>
      <c r="AA396" s="3"/>
      <c r="AB396" s="3"/>
      <c r="AC396" s="3"/>
    </row>
    <row r="397" customFormat="false" ht="21.75" hidden="false" customHeight="true" outlineLevel="0" collapsed="false">
      <c r="A397" s="3"/>
      <c r="B397" s="3"/>
      <c r="C397" s="3"/>
      <c r="D397" s="3"/>
      <c r="E397" s="3"/>
      <c r="F397" s="3"/>
      <c r="G397" s="4"/>
      <c r="H397" s="4"/>
      <c r="I397" s="4"/>
      <c r="J397" s="4"/>
      <c r="K397" s="4"/>
      <c r="L397" s="4"/>
      <c r="M397" s="3"/>
      <c r="N397" s="3"/>
      <c r="O397" s="3"/>
      <c r="P397" s="3"/>
      <c r="Q397" s="3"/>
      <c r="R397" s="3"/>
      <c r="S397" s="3"/>
      <c r="T397" s="3"/>
      <c r="U397" s="3"/>
      <c r="V397" s="3"/>
      <c r="W397" s="3"/>
      <c r="X397" s="3"/>
      <c r="Y397" s="3"/>
      <c r="Z397" s="3"/>
      <c r="AA397" s="3"/>
      <c r="AB397" s="3"/>
      <c r="AC397" s="3"/>
    </row>
    <row r="398" customFormat="false" ht="21.75" hidden="false" customHeight="true" outlineLevel="0" collapsed="false">
      <c r="A398" s="3"/>
      <c r="B398" s="3"/>
      <c r="C398" s="3"/>
      <c r="D398" s="3"/>
      <c r="E398" s="3"/>
      <c r="F398" s="3"/>
      <c r="G398" s="4"/>
      <c r="H398" s="4"/>
      <c r="I398" s="4"/>
      <c r="J398" s="4"/>
      <c r="K398" s="4"/>
      <c r="L398" s="4"/>
      <c r="M398" s="3"/>
      <c r="N398" s="3"/>
      <c r="O398" s="3"/>
      <c r="P398" s="3"/>
      <c r="Q398" s="3"/>
      <c r="R398" s="3"/>
      <c r="S398" s="3"/>
      <c r="T398" s="3"/>
      <c r="U398" s="3"/>
      <c r="V398" s="3"/>
      <c r="W398" s="3"/>
      <c r="X398" s="3"/>
      <c r="Y398" s="3"/>
      <c r="Z398" s="3"/>
      <c r="AA398" s="3"/>
      <c r="AB398" s="3"/>
      <c r="AC398" s="3"/>
    </row>
    <row r="399" customFormat="false" ht="21.75" hidden="false" customHeight="true" outlineLevel="0" collapsed="false">
      <c r="A399" s="3"/>
      <c r="B399" s="3"/>
      <c r="C399" s="3"/>
      <c r="D399" s="3"/>
      <c r="E399" s="3"/>
      <c r="F399" s="3"/>
      <c r="G399" s="4"/>
      <c r="H399" s="4"/>
      <c r="I399" s="4"/>
      <c r="J399" s="4"/>
      <c r="K399" s="4"/>
      <c r="L399" s="4"/>
      <c r="M399" s="3"/>
      <c r="N399" s="3"/>
      <c r="O399" s="3"/>
      <c r="P399" s="3"/>
      <c r="Q399" s="3"/>
      <c r="R399" s="3"/>
      <c r="S399" s="3"/>
      <c r="T399" s="3"/>
      <c r="U399" s="3"/>
      <c r="V399" s="3"/>
      <c r="W399" s="3"/>
      <c r="X399" s="3"/>
      <c r="Y399" s="3"/>
      <c r="Z399" s="3"/>
      <c r="AA399" s="3"/>
      <c r="AB399" s="3"/>
      <c r="AC399" s="3"/>
    </row>
    <row r="400" customFormat="false" ht="21.75" hidden="false" customHeight="true" outlineLevel="0" collapsed="false">
      <c r="A400" s="3"/>
      <c r="B400" s="3"/>
      <c r="C400" s="3"/>
      <c r="D400" s="3"/>
      <c r="E400" s="3"/>
      <c r="F400" s="3"/>
      <c r="G400" s="4"/>
      <c r="H400" s="4"/>
      <c r="I400" s="4"/>
      <c r="J400" s="4"/>
      <c r="K400" s="4"/>
      <c r="L400" s="4"/>
      <c r="M400" s="3"/>
      <c r="N400" s="3"/>
      <c r="O400" s="3"/>
      <c r="P400" s="3"/>
      <c r="Q400" s="3"/>
      <c r="R400" s="3"/>
      <c r="S400" s="3"/>
      <c r="T400" s="3"/>
      <c r="U400" s="3"/>
      <c r="V400" s="3"/>
      <c r="W400" s="3"/>
      <c r="X400" s="3"/>
      <c r="Y400" s="3"/>
      <c r="Z400" s="3"/>
      <c r="AA400" s="3"/>
      <c r="AB400" s="3"/>
      <c r="AC400" s="3"/>
    </row>
    <row r="401" customFormat="false" ht="21.75" hidden="false" customHeight="true" outlineLevel="0" collapsed="false">
      <c r="A401" s="3"/>
      <c r="B401" s="3"/>
      <c r="C401" s="3"/>
      <c r="D401" s="3"/>
      <c r="E401" s="3"/>
      <c r="F401" s="3"/>
      <c r="G401" s="4"/>
      <c r="H401" s="4"/>
      <c r="I401" s="4"/>
      <c r="J401" s="4"/>
      <c r="K401" s="4"/>
      <c r="L401" s="4"/>
      <c r="M401" s="3"/>
      <c r="N401" s="3"/>
      <c r="O401" s="3"/>
      <c r="P401" s="3"/>
      <c r="Q401" s="3"/>
      <c r="R401" s="3"/>
      <c r="S401" s="3"/>
      <c r="T401" s="3"/>
      <c r="U401" s="3"/>
      <c r="V401" s="3"/>
      <c r="W401" s="3"/>
      <c r="X401" s="3"/>
      <c r="Y401" s="3"/>
      <c r="Z401" s="3"/>
      <c r="AA401" s="3"/>
      <c r="AB401" s="3"/>
      <c r="AC401" s="3"/>
    </row>
    <row r="402" customFormat="false" ht="21.75" hidden="false" customHeight="true" outlineLevel="0" collapsed="false">
      <c r="A402" s="3"/>
      <c r="B402" s="3"/>
      <c r="C402" s="3"/>
      <c r="D402" s="3"/>
      <c r="E402" s="3"/>
      <c r="F402" s="3"/>
      <c r="G402" s="4"/>
      <c r="H402" s="4"/>
      <c r="I402" s="4"/>
      <c r="J402" s="4"/>
      <c r="K402" s="4"/>
      <c r="L402" s="4"/>
      <c r="M402" s="3"/>
      <c r="N402" s="3"/>
      <c r="O402" s="3"/>
      <c r="P402" s="3"/>
      <c r="Q402" s="3"/>
      <c r="R402" s="3"/>
      <c r="S402" s="3"/>
      <c r="T402" s="3"/>
      <c r="U402" s="3"/>
      <c r="V402" s="3"/>
      <c r="W402" s="3"/>
      <c r="X402" s="3"/>
      <c r="Y402" s="3"/>
      <c r="Z402" s="3"/>
      <c r="AA402" s="3"/>
      <c r="AB402" s="3"/>
      <c r="AC402" s="3"/>
    </row>
    <row r="403" customFormat="false" ht="21.75" hidden="false" customHeight="true" outlineLevel="0" collapsed="false">
      <c r="A403" s="3"/>
      <c r="B403" s="3"/>
      <c r="C403" s="3"/>
      <c r="D403" s="3"/>
      <c r="E403" s="3"/>
      <c r="F403" s="3"/>
      <c r="G403" s="4"/>
      <c r="H403" s="4"/>
      <c r="I403" s="4"/>
      <c r="J403" s="4"/>
      <c r="K403" s="4"/>
      <c r="L403" s="4"/>
      <c r="M403" s="3"/>
      <c r="N403" s="3"/>
      <c r="O403" s="3"/>
      <c r="P403" s="3"/>
      <c r="Q403" s="3"/>
      <c r="R403" s="3"/>
      <c r="S403" s="3"/>
      <c r="T403" s="3"/>
      <c r="U403" s="3"/>
      <c r="V403" s="3"/>
      <c r="W403" s="3"/>
      <c r="X403" s="3"/>
      <c r="Y403" s="3"/>
      <c r="Z403" s="3"/>
      <c r="AA403" s="3"/>
      <c r="AB403" s="3"/>
      <c r="AC403" s="3"/>
    </row>
    <row r="404" customFormat="false" ht="21.75" hidden="false" customHeight="true" outlineLevel="0" collapsed="false">
      <c r="A404" s="3"/>
      <c r="B404" s="3"/>
      <c r="C404" s="3"/>
      <c r="D404" s="3"/>
      <c r="E404" s="3"/>
      <c r="F404" s="3"/>
      <c r="G404" s="4"/>
      <c r="H404" s="4"/>
      <c r="I404" s="4"/>
      <c r="J404" s="4"/>
      <c r="K404" s="4"/>
      <c r="L404" s="4"/>
      <c r="M404" s="3"/>
      <c r="N404" s="3"/>
      <c r="O404" s="3"/>
      <c r="P404" s="3"/>
      <c r="Q404" s="3"/>
      <c r="R404" s="3"/>
      <c r="S404" s="3"/>
      <c r="T404" s="3"/>
      <c r="U404" s="3"/>
      <c r="V404" s="3"/>
      <c r="W404" s="3"/>
      <c r="X404" s="3"/>
      <c r="Y404" s="3"/>
      <c r="Z404" s="3"/>
      <c r="AA404" s="3"/>
      <c r="AB404" s="3"/>
      <c r="AC404" s="3"/>
    </row>
    <row r="405" customFormat="false" ht="21.75" hidden="false" customHeight="true" outlineLevel="0" collapsed="false">
      <c r="A405" s="3"/>
      <c r="B405" s="3"/>
      <c r="C405" s="3"/>
      <c r="D405" s="3"/>
      <c r="E405" s="3"/>
      <c r="F405" s="3"/>
      <c r="G405" s="4"/>
      <c r="H405" s="4"/>
      <c r="I405" s="4"/>
      <c r="J405" s="4"/>
      <c r="K405" s="4"/>
      <c r="L405" s="4"/>
      <c r="M405" s="3"/>
      <c r="N405" s="3"/>
      <c r="O405" s="3"/>
      <c r="P405" s="3"/>
      <c r="Q405" s="3"/>
      <c r="R405" s="3"/>
      <c r="S405" s="3"/>
      <c r="T405" s="3"/>
      <c r="U405" s="3"/>
      <c r="V405" s="3"/>
      <c r="W405" s="3"/>
      <c r="X405" s="3"/>
      <c r="Y405" s="3"/>
      <c r="Z405" s="3"/>
      <c r="AA405" s="3"/>
      <c r="AB405" s="3"/>
      <c r="AC405" s="3"/>
    </row>
    <row r="406" customFormat="false" ht="21.75" hidden="false" customHeight="true" outlineLevel="0" collapsed="false">
      <c r="A406" s="3"/>
      <c r="B406" s="3"/>
      <c r="C406" s="3"/>
      <c r="D406" s="3"/>
      <c r="E406" s="3"/>
      <c r="F406" s="3"/>
      <c r="G406" s="4"/>
      <c r="H406" s="4"/>
      <c r="I406" s="4"/>
      <c r="J406" s="4"/>
      <c r="K406" s="4"/>
      <c r="L406" s="4"/>
      <c r="M406" s="3"/>
      <c r="N406" s="3"/>
      <c r="O406" s="3"/>
      <c r="P406" s="3"/>
      <c r="Q406" s="3"/>
      <c r="R406" s="3"/>
      <c r="S406" s="3"/>
      <c r="T406" s="3"/>
      <c r="U406" s="3"/>
      <c r="V406" s="3"/>
      <c r="W406" s="3"/>
      <c r="X406" s="3"/>
      <c r="Y406" s="3"/>
      <c r="Z406" s="3"/>
      <c r="AA406" s="3"/>
      <c r="AB406" s="3"/>
      <c r="AC406" s="3"/>
    </row>
    <row r="407" customFormat="false" ht="21.75" hidden="false" customHeight="true" outlineLevel="0" collapsed="false">
      <c r="A407" s="3"/>
      <c r="B407" s="3"/>
      <c r="C407" s="3"/>
      <c r="D407" s="3"/>
      <c r="E407" s="3"/>
      <c r="F407" s="3"/>
      <c r="G407" s="4"/>
      <c r="H407" s="4"/>
      <c r="I407" s="4"/>
      <c r="J407" s="4"/>
      <c r="K407" s="4"/>
      <c r="L407" s="4"/>
      <c r="M407" s="3"/>
      <c r="N407" s="3"/>
      <c r="O407" s="3"/>
      <c r="P407" s="3"/>
      <c r="Q407" s="3"/>
      <c r="R407" s="3"/>
      <c r="S407" s="3"/>
      <c r="T407" s="3"/>
      <c r="U407" s="3"/>
      <c r="V407" s="3"/>
      <c r="W407" s="3"/>
      <c r="X407" s="3"/>
      <c r="Y407" s="3"/>
      <c r="Z407" s="3"/>
      <c r="AA407" s="3"/>
      <c r="AB407" s="3"/>
      <c r="AC407" s="3"/>
    </row>
    <row r="408" customFormat="false" ht="21.75" hidden="false" customHeight="true" outlineLevel="0" collapsed="false">
      <c r="A408" s="3"/>
      <c r="B408" s="3"/>
      <c r="C408" s="3"/>
      <c r="D408" s="3"/>
      <c r="E408" s="3"/>
      <c r="F408" s="3"/>
      <c r="G408" s="4"/>
      <c r="H408" s="4"/>
      <c r="I408" s="4"/>
      <c r="J408" s="4"/>
      <c r="K408" s="4"/>
      <c r="L408" s="4"/>
      <c r="M408" s="3"/>
      <c r="N408" s="3"/>
      <c r="O408" s="3"/>
      <c r="P408" s="3"/>
      <c r="Q408" s="3"/>
      <c r="R408" s="3"/>
      <c r="S408" s="3"/>
      <c r="T408" s="3"/>
      <c r="U408" s="3"/>
      <c r="V408" s="3"/>
      <c r="W408" s="3"/>
      <c r="X408" s="3"/>
      <c r="Y408" s="3"/>
      <c r="Z408" s="3"/>
      <c r="AA408" s="3"/>
      <c r="AB408" s="3"/>
      <c r="AC408" s="3"/>
    </row>
    <row r="409" customFormat="false" ht="21.75" hidden="false" customHeight="true" outlineLevel="0" collapsed="false">
      <c r="A409" s="3"/>
      <c r="B409" s="3"/>
      <c r="C409" s="3"/>
      <c r="D409" s="3"/>
      <c r="E409" s="3"/>
      <c r="F409" s="3"/>
      <c r="G409" s="4"/>
      <c r="H409" s="4"/>
      <c r="I409" s="4"/>
      <c r="J409" s="4"/>
      <c r="K409" s="4"/>
      <c r="L409" s="4"/>
      <c r="M409" s="3"/>
      <c r="N409" s="3"/>
      <c r="O409" s="3"/>
      <c r="P409" s="3"/>
      <c r="Q409" s="3"/>
      <c r="R409" s="3"/>
      <c r="S409" s="3"/>
      <c r="T409" s="3"/>
      <c r="U409" s="3"/>
      <c r="V409" s="3"/>
      <c r="W409" s="3"/>
      <c r="X409" s="3"/>
      <c r="Y409" s="3"/>
      <c r="Z409" s="3"/>
      <c r="AA409" s="3"/>
      <c r="AB409" s="3"/>
      <c r="AC409" s="3"/>
    </row>
    <row r="410" customFormat="false" ht="21.75" hidden="false" customHeight="true" outlineLevel="0" collapsed="false">
      <c r="A410" s="3"/>
      <c r="B410" s="3"/>
      <c r="C410" s="3"/>
      <c r="D410" s="3"/>
      <c r="E410" s="3"/>
      <c r="F410" s="3"/>
      <c r="G410" s="4"/>
      <c r="H410" s="4"/>
      <c r="I410" s="4"/>
      <c r="J410" s="4"/>
      <c r="K410" s="4"/>
      <c r="L410" s="4"/>
      <c r="M410" s="3"/>
      <c r="N410" s="3"/>
      <c r="O410" s="3"/>
      <c r="P410" s="3"/>
      <c r="Q410" s="3"/>
      <c r="R410" s="3"/>
      <c r="S410" s="3"/>
      <c r="T410" s="3"/>
      <c r="U410" s="3"/>
      <c r="V410" s="3"/>
      <c r="W410" s="3"/>
      <c r="X410" s="3"/>
      <c r="Y410" s="3"/>
      <c r="Z410" s="3"/>
      <c r="AA410" s="3"/>
      <c r="AB410" s="3"/>
      <c r="AC410" s="3"/>
    </row>
    <row r="411" customFormat="false" ht="21.75" hidden="false" customHeight="true" outlineLevel="0" collapsed="false">
      <c r="A411" s="3"/>
      <c r="B411" s="3"/>
      <c r="C411" s="3"/>
      <c r="D411" s="3"/>
      <c r="E411" s="3"/>
      <c r="F411" s="3"/>
      <c r="G411" s="4"/>
      <c r="H411" s="4"/>
      <c r="I411" s="4"/>
      <c r="J411" s="4"/>
      <c r="K411" s="4"/>
      <c r="L411" s="4"/>
      <c r="M411" s="3"/>
      <c r="N411" s="3"/>
      <c r="O411" s="3"/>
      <c r="P411" s="3"/>
      <c r="Q411" s="3"/>
      <c r="R411" s="3"/>
      <c r="S411" s="3"/>
      <c r="T411" s="3"/>
      <c r="U411" s="3"/>
      <c r="V411" s="3"/>
      <c r="W411" s="3"/>
      <c r="X411" s="3"/>
      <c r="Y411" s="3"/>
      <c r="Z411" s="3"/>
      <c r="AA411" s="3"/>
      <c r="AB411" s="3"/>
      <c r="AC411" s="3"/>
    </row>
    <row r="412" customFormat="false" ht="21.75" hidden="false" customHeight="true" outlineLevel="0" collapsed="false">
      <c r="A412" s="3"/>
      <c r="B412" s="3"/>
      <c r="C412" s="3"/>
      <c r="D412" s="3"/>
      <c r="E412" s="3"/>
      <c r="F412" s="3"/>
      <c r="G412" s="4"/>
      <c r="H412" s="4"/>
      <c r="I412" s="4"/>
      <c r="J412" s="4"/>
      <c r="K412" s="4"/>
      <c r="L412" s="4"/>
      <c r="M412" s="3"/>
      <c r="N412" s="3"/>
      <c r="O412" s="3"/>
      <c r="P412" s="3"/>
      <c r="Q412" s="3"/>
      <c r="R412" s="3"/>
      <c r="S412" s="3"/>
      <c r="T412" s="3"/>
      <c r="U412" s="3"/>
      <c r="V412" s="3"/>
      <c r="W412" s="3"/>
      <c r="X412" s="3"/>
      <c r="Y412" s="3"/>
      <c r="Z412" s="3"/>
      <c r="AA412" s="3"/>
      <c r="AB412" s="3"/>
      <c r="AC412" s="3"/>
    </row>
    <row r="413" customFormat="false" ht="21.75" hidden="false" customHeight="true" outlineLevel="0" collapsed="false">
      <c r="A413" s="3"/>
      <c r="B413" s="3"/>
      <c r="C413" s="3"/>
      <c r="D413" s="3"/>
      <c r="E413" s="3"/>
      <c r="F413" s="3"/>
      <c r="G413" s="4"/>
      <c r="H413" s="4"/>
      <c r="I413" s="4"/>
      <c r="J413" s="4"/>
      <c r="K413" s="4"/>
      <c r="L413" s="4"/>
      <c r="M413" s="3"/>
      <c r="N413" s="3"/>
      <c r="O413" s="3"/>
      <c r="P413" s="3"/>
      <c r="Q413" s="3"/>
      <c r="R413" s="3"/>
      <c r="S413" s="3"/>
      <c r="T413" s="3"/>
      <c r="U413" s="3"/>
      <c r="V413" s="3"/>
      <c r="W413" s="3"/>
      <c r="X413" s="3"/>
      <c r="Y413" s="3"/>
      <c r="Z413" s="3"/>
      <c r="AA413" s="3"/>
      <c r="AB413" s="3"/>
      <c r="AC413" s="3"/>
    </row>
    <row r="414" customFormat="false" ht="21.75" hidden="false" customHeight="true" outlineLevel="0" collapsed="false">
      <c r="A414" s="3"/>
      <c r="B414" s="3"/>
      <c r="C414" s="3"/>
      <c r="D414" s="3"/>
      <c r="E414" s="3"/>
      <c r="F414" s="3"/>
      <c r="G414" s="4"/>
      <c r="H414" s="4"/>
      <c r="I414" s="4"/>
      <c r="J414" s="4"/>
      <c r="K414" s="4"/>
      <c r="L414" s="4"/>
      <c r="M414" s="3"/>
      <c r="N414" s="3"/>
      <c r="O414" s="3"/>
      <c r="P414" s="3"/>
      <c r="Q414" s="3"/>
      <c r="R414" s="3"/>
      <c r="S414" s="3"/>
      <c r="T414" s="3"/>
      <c r="U414" s="3"/>
      <c r="V414" s="3"/>
      <c r="W414" s="3"/>
      <c r="X414" s="3"/>
      <c r="Y414" s="3"/>
      <c r="Z414" s="3"/>
      <c r="AA414" s="3"/>
      <c r="AB414" s="3"/>
      <c r="AC414" s="3"/>
    </row>
    <row r="415" customFormat="false" ht="21.75" hidden="false" customHeight="true" outlineLevel="0" collapsed="false">
      <c r="A415" s="3"/>
      <c r="B415" s="3"/>
      <c r="C415" s="3"/>
      <c r="D415" s="3"/>
      <c r="E415" s="3"/>
      <c r="F415" s="3"/>
      <c r="G415" s="4"/>
      <c r="H415" s="4"/>
      <c r="I415" s="4"/>
      <c r="J415" s="4"/>
      <c r="K415" s="4"/>
      <c r="L415" s="4"/>
      <c r="M415" s="3"/>
      <c r="N415" s="3"/>
      <c r="O415" s="3"/>
      <c r="P415" s="3"/>
      <c r="Q415" s="3"/>
      <c r="R415" s="3"/>
      <c r="S415" s="3"/>
      <c r="T415" s="3"/>
      <c r="U415" s="3"/>
      <c r="V415" s="3"/>
      <c r="W415" s="3"/>
      <c r="X415" s="3"/>
      <c r="Y415" s="3"/>
      <c r="Z415" s="3"/>
      <c r="AA415" s="3"/>
      <c r="AB415" s="3"/>
      <c r="AC415" s="3"/>
    </row>
    <row r="416" customFormat="false" ht="21.75" hidden="false" customHeight="true" outlineLevel="0" collapsed="false">
      <c r="A416" s="3"/>
      <c r="B416" s="3"/>
      <c r="C416" s="3"/>
      <c r="D416" s="3"/>
      <c r="E416" s="3"/>
      <c r="F416" s="3"/>
      <c r="G416" s="4"/>
      <c r="H416" s="4"/>
      <c r="I416" s="4"/>
      <c r="J416" s="4"/>
      <c r="K416" s="4"/>
      <c r="L416" s="4"/>
      <c r="M416" s="3"/>
      <c r="N416" s="3"/>
      <c r="O416" s="3"/>
      <c r="P416" s="3"/>
      <c r="Q416" s="3"/>
      <c r="R416" s="3"/>
      <c r="S416" s="3"/>
      <c r="T416" s="3"/>
      <c r="U416" s="3"/>
      <c r="V416" s="3"/>
      <c r="W416" s="3"/>
      <c r="X416" s="3"/>
      <c r="Y416" s="3"/>
      <c r="Z416" s="3"/>
      <c r="AA416" s="3"/>
      <c r="AB416" s="3"/>
      <c r="AC416" s="3"/>
    </row>
    <row r="417" customFormat="false" ht="21.75" hidden="false" customHeight="true" outlineLevel="0" collapsed="false">
      <c r="A417" s="3"/>
      <c r="B417" s="3"/>
      <c r="C417" s="3"/>
      <c r="D417" s="3"/>
      <c r="E417" s="3"/>
      <c r="F417" s="3"/>
      <c r="G417" s="4"/>
      <c r="H417" s="4"/>
      <c r="I417" s="4"/>
      <c r="J417" s="4"/>
      <c r="K417" s="4"/>
      <c r="L417" s="4"/>
      <c r="M417" s="3"/>
      <c r="N417" s="3"/>
      <c r="O417" s="3"/>
      <c r="P417" s="3"/>
      <c r="Q417" s="3"/>
      <c r="R417" s="3"/>
      <c r="S417" s="3"/>
      <c r="T417" s="3"/>
      <c r="U417" s="3"/>
      <c r="V417" s="3"/>
      <c r="W417" s="3"/>
      <c r="X417" s="3"/>
      <c r="Y417" s="3"/>
      <c r="Z417" s="3"/>
      <c r="AA417" s="3"/>
      <c r="AB417" s="3"/>
      <c r="AC417" s="3"/>
    </row>
    <row r="418" customFormat="false" ht="21.75" hidden="false" customHeight="true" outlineLevel="0" collapsed="false">
      <c r="A418" s="3"/>
      <c r="B418" s="3"/>
      <c r="C418" s="3"/>
      <c r="D418" s="3"/>
      <c r="E418" s="3"/>
      <c r="F418" s="3"/>
      <c r="G418" s="4"/>
      <c r="H418" s="4"/>
      <c r="I418" s="4"/>
      <c r="J418" s="4"/>
      <c r="K418" s="4"/>
      <c r="L418" s="4"/>
      <c r="M418" s="3"/>
      <c r="N418" s="3"/>
      <c r="O418" s="3"/>
      <c r="P418" s="3"/>
      <c r="Q418" s="3"/>
      <c r="R418" s="3"/>
      <c r="S418" s="3"/>
      <c r="T418" s="3"/>
      <c r="U418" s="3"/>
      <c r="V418" s="3"/>
      <c r="W418" s="3"/>
      <c r="X418" s="3"/>
      <c r="Y418" s="3"/>
      <c r="Z418" s="3"/>
      <c r="AA418" s="3"/>
      <c r="AB418" s="3"/>
      <c r="AC418" s="3"/>
    </row>
    <row r="419" customFormat="false" ht="21.75" hidden="false" customHeight="true" outlineLevel="0" collapsed="false">
      <c r="A419" s="3"/>
      <c r="B419" s="3"/>
      <c r="C419" s="3"/>
      <c r="D419" s="3"/>
      <c r="E419" s="3"/>
      <c r="F419" s="3"/>
      <c r="G419" s="4"/>
      <c r="H419" s="4"/>
      <c r="I419" s="4"/>
      <c r="J419" s="4"/>
      <c r="K419" s="4"/>
      <c r="L419" s="4"/>
      <c r="M419" s="3"/>
      <c r="N419" s="3"/>
      <c r="O419" s="3"/>
      <c r="P419" s="3"/>
      <c r="Q419" s="3"/>
      <c r="R419" s="3"/>
      <c r="S419" s="3"/>
      <c r="T419" s="3"/>
      <c r="U419" s="3"/>
      <c r="V419" s="3"/>
      <c r="W419" s="3"/>
      <c r="X419" s="3"/>
      <c r="Y419" s="3"/>
      <c r="Z419" s="3"/>
      <c r="AA419" s="3"/>
      <c r="AB419" s="3"/>
      <c r="AC419" s="3"/>
    </row>
    <row r="420" customFormat="false" ht="21.75" hidden="false" customHeight="true" outlineLevel="0" collapsed="false">
      <c r="A420" s="3"/>
      <c r="B420" s="3"/>
      <c r="C420" s="3"/>
      <c r="D420" s="3"/>
      <c r="E420" s="3"/>
      <c r="F420" s="3"/>
      <c r="G420" s="4"/>
      <c r="H420" s="4"/>
      <c r="I420" s="4"/>
      <c r="J420" s="4"/>
      <c r="K420" s="4"/>
      <c r="L420" s="4"/>
      <c r="M420" s="3"/>
      <c r="N420" s="3"/>
      <c r="O420" s="3"/>
      <c r="P420" s="3"/>
      <c r="Q420" s="3"/>
      <c r="R420" s="3"/>
      <c r="S420" s="3"/>
      <c r="T420" s="3"/>
      <c r="U420" s="3"/>
      <c r="V420" s="3"/>
      <c r="W420" s="3"/>
      <c r="X420" s="3"/>
      <c r="Y420" s="3"/>
      <c r="Z420" s="3"/>
      <c r="AA420" s="3"/>
      <c r="AB420" s="3"/>
      <c r="AC420" s="3"/>
    </row>
    <row r="421" customFormat="false" ht="21.75" hidden="false" customHeight="true" outlineLevel="0" collapsed="false">
      <c r="A421" s="3"/>
      <c r="B421" s="3"/>
      <c r="C421" s="3"/>
      <c r="D421" s="3"/>
      <c r="E421" s="3"/>
      <c r="F421" s="3"/>
      <c r="G421" s="4"/>
      <c r="H421" s="4"/>
      <c r="I421" s="4"/>
      <c r="J421" s="4"/>
      <c r="K421" s="4"/>
      <c r="L421" s="4"/>
      <c r="M421" s="3"/>
      <c r="N421" s="3"/>
      <c r="O421" s="3"/>
      <c r="P421" s="3"/>
      <c r="Q421" s="3"/>
      <c r="R421" s="3"/>
      <c r="S421" s="3"/>
      <c r="T421" s="3"/>
      <c r="U421" s="3"/>
      <c r="V421" s="3"/>
      <c r="W421" s="3"/>
      <c r="X421" s="3"/>
      <c r="Y421" s="3"/>
      <c r="Z421" s="3"/>
      <c r="AA421" s="3"/>
      <c r="AB421" s="3"/>
      <c r="AC421" s="3"/>
    </row>
    <row r="422" customFormat="false" ht="21.75" hidden="false" customHeight="true" outlineLevel="0" collapsed="false">
      <c r="A422" s="3"/>
      <c r="B422" s="3"/>
      <c r="C422" s="3"/>
      <c r="D422" s="3"/>
      <c r="E422" s="3"/>
      <c r="F422" s="3"/>
      <c r="G422" s="4"/>
      <c r="H422" s="4"/>
      <c r="I422" s="4"/>
      <c r="J422" s="4"/>
      <c r="K422" s="4"/>
      <c r="L422" s="4"/>
      <c r="M422" s="3"/>
      <c r="N422" s="3"/>
      <c r="O422" s="3"/>
      <c r="P422" s="3"/>
      <c r="Q422" s="3"/>
      <c r="R422" s="3"/>
      <c r="S422" s="3"/>
      <c r="T422" s="3"/>
      <c r="U422" s="3"/>
      <c r="V422" s="3"/>
      <c r="W422" s="3"/>
      <c r="X422" s="3"/>
      <c r="Y422" s="3"/>
      <c r="Z422" s="3"/>
      <c r="AA422" s="3"/>
      <c r="AB422" s="3"/>
      <c r="AC422" s="3"/>
    </row>
    <row r="423" customFormat="false" ht="21.75" hidden="false" customHeight="true" outlineLevel="0" collapsed="false">
      <c r="A423" s="3"/>
      <c r="B423" s="3"/>
      <c r="C423" s="3"/>
      <c r="D423" s="3"/>
      <c r="E423" s="3"/>
      <c r="F423" s="3"/>
      <c r="G423" s="4"/>
      <c r="H423" s="4"/>
      <c r="I423" s="4"/>
      <c r="J423" s="4"/>
      <c r="K423" s="4"/>
      <c r="L423" s="4"/>
      <c r="M423" s="3"/>
      <c r="N423" s="3"/>
      <c r="O423" s="3"/>
      <c r="P423" s="3"/>
      <c r="Q423" s="3"/>
      <c r="R423" s="3"/>
      <c r="S423" s="3"/>
      <c r="T423" s="3"/>
      <c r="U423" s="3"/>
      <c r="V423" s="3"/>
      <c r="W423" s="3"/>
      <c r="X423" s="3"/>
      <c r="Y423" s="3"/>
      <c r="Z423" s="3"/>
      <c r="AA423" s="3"/>
      <c r="AB423" s="3"/>
      <c r="AC423" s="3"/>
    </row>
    <row r="424" customFormat="false" ht="21.75" hidden="false" customHeight="true" outlineLevel="0" collapsed="false">
      <c r="A424" s="3"/>
      <c r="B424" s="3"/>
      <c r="C424" s="3"/>
      <c r="D424" s="3"/>
      <c r="E424" s="3"/>
      <c r="F424" s="3"/>
      <c r="G424" s="4"/>
      <c r="H424" s="4"/>
      <c r="I424" s="4"/>
      <c r="J424" s="4"/>
      <c r="K424" s="4"/>
      <c r="L424" s="4"/>
      <c r="M424" s="3"/>
      <c r="N424" s="3"/>
      <c r="O424" s="3"/>
      <c r="P424" s="3"/>
      <c r="Q424" s="3"/>
      <c r="R424" s="3"/>
      <c r="S424" s="3"/>
      <c r="T424" s="3"/>
      <c r="U424" s="3"/>
      <c r="V424" s="3"/>
      <c r="W424" s="3"/>
      <c r="X424" s="3"/>
      <c r="Y424" s="3"/>
      <c r="Z424" s="3"/>
      <c r="AA424" s="3"/>
      <c r="AB424" s="3"/>
      <c r="AC424" s="3"/>
    </row>
    <row r="425" customFormat="false" ht="21.75" hidden="false" customHeight="true" outlineLevel="0" collapsed="false">
      <c r="A425" s="3"/>
      <c r="B425" s="3"/>
      <c r="C425" s="3"/>
      <c r="D425" s="3"/>
      <c r="E425" s="3"/>
      <c r="F425" s="3"/>
      <c r="G425" s="4"/>
      <c r="H425" s="4"/>
      <c r="I425" s="4"/>
      <c r="J425" s="4"/>
      <c r="K425" s="4"/>
      <c r="L425" s="4"/>
      <c r="M425" s="3"/>
      <c r="N425" s="3"/>
      <c r="O425" s="3"/>
      <c r="P425" s="3"/>
      <c r="Q425" s="3"/>
      <c r="R425" s="3"/>
      <c r="S425" s="3"/>
      <c r="T425" s="3"/>
      <c r="U425" s="3"/>
      <c r="V425" s="3"/>
      <c r="W425" s="3"/>
      <c r="X425" s="3"/>
      <c r="Y425" s="3"/>
      <c r="Z425" s="3"/>
      <c r="AA425" s="3"/>
      <c r="AB425" s="3"/>
      <c r="AC425" s="3"/>
    </row>
    <row r="426" customFormat="false" ht="21.75" hidden="false" customHeight="true" outlineLevel="0" collapsed="false">
      <c r="A426" s="3"/>
      <c r="B426" s="3"/>
      <c r="C426" s="3"/>
      <c r="D426" s="3"/>
      <c r="E426" s="3"/>
      <c r="F426" s="3"/>
      <c r="G426" s="4"/>
      <c r="H426" s="4"/>
      <c r="I426" s="4"/>
      <c r="J426" s="4"/>
      <c r="K426" s="4"/>
      <c r="L426" s="4"/>
      <c r="M426" s="3"/>
      <c r="N426" s="3"/>
      <c r="O426" s="3"/>
      <c r="P426" s="3"/>
      <c r="Q426" s="3"/>
      <c r="R426" s="3"/>
      <c r="S426" s="3"/>
      <c r="T426" s="3"/>
      <c r="U426" s="3"/>
      <c r="V426" s="3"/>
      <c r="W426" s="3"/>
      <c r="X426" s="3"/>
      <c r="Y426" s="3"/>
      <c r="Z426" s="3"/>
      <c r="AA426" s="3"/>
      <c r="AB426" s="3"/>
      <c r="AC426" s="3"/>
    </row>
    <row r="427" customFormat="false" ht="21.75" hidden="false" customHeight="true" outlineLevel="0" collapsed="false">
      <c r="A427" s="3"/>
      <c r="B427" s="3"/>
      <c r="C427" s="3"/>
      <c r="D427" s="3"/>
      <c r="E427" s="3"/>
      <c r="F427" s="3"/>
      <c r="G427" s="4"/>
      <c r="H427" s="4"/>
      <c r="I427" s="4"/>
      <c r="J427" s="4"/>
      <c r="K427" s="4"/>
      <c r="L427" s="4"/>
      <c r="M427" s="3"/>
      <c r="N427" s="3"/>
      <c r="O427" s="3"/>
      <c r="P427" s="3"/>
      <c r="Q427" s="3"/>
      <c r="R427" s="3"/>
      <c r="S427" s="3"/>
      <c r="T427" s="3"/>
      <c r="U427" s="3"/>
      <c r="V427" s="3"/>
      <c r="W427" s="3"/>
      <c r="X427" s="3"/>
      <c r="Y427" s="3"/>
      <c r="Z427" s="3"/>
      <c r="AA427" s="3"/>
      <c r="AB427" s="3"/>
      <c r="AC427" s="3"/>
    </row>
    <row r="428" customFormat="false" ht="21.75" hidden="false" customHeight="true" outlineLevel="0" collapsed="false">
      <c r="A428" s="3"/>
      <c r="B428" s="3"/>
      <c r="C428" s="3"/>
      <c r="D428" s="3"/>
      <c r="E428" s="3"/>
      <c r="F428" s="3"/>
      <c r="G428" s="4"/>
      <c r="H428" s="4"/>
      <c r="I428" s="4"/>
      <c r="J428" s="4"/>
      <c r="K428" s="4"/>
      <c r="L428" s="4"/>
      <c r="M428" s="3"/>
      <c r="N428" s="3"/>
      <c r="O428" s="3"/>
      <c r="P428" s="3"/>
      <c r="Q428" s="3"/>
      <c r="R428" s="3"/>
      <c r="S428" s="3"/>
      <c r="T428" s="3"/>
      <c r="U428" s="3"/>
      <c r="V428" s="3"/>
      <c r="W428" s="3"/>
      <c r="X428" s="3"/>
      <c r="Y428" s="3"/>
      <c r="Z428" s="3"/>
      <c r="AA428" s="3"/>
      <c r="AB428" s="3"/>
      <c r="AC428" s="3"/>
    </row>
    <row r="429" customFormat="false" ht="21.75" hidden="false" customHeight="true" outlineLevel="0" collapsed="false">
      <c r="A429" s="3"/>
      <c r="B429" s="3"/>
      <c r="C429" s="3"/>
      <c r="D429" s="3"/>
      <c r="E429" s="3"/>
      <c r="F429" s="3"/>
      <c r="G429" s="4"/>
      <c r="H429" s="4"/>
      <c r="I429" s="4"/>
      <c r="J429" s="4"/>
      <c r="K429" s="4"/>
      <c r="L429" s="4"/>
      <c r="M429" s="3"/>
      <c r="N429" s="3"/>
      <c r="O429" s="3"/>
      <c r="P429" s="3"/>
      <c r="Q429" s="3"/>
      <c r="R429" s="3"/>
      <c r="S429" s="3"/>
      <c r="T429" s="3"/>
      <c r="U429" s="3"/>
      <c r="V429" s="3"/>
      <c r="W429" s="3"/>
      <c r="X429" s="3"/>
      <c r="Y429" s="3"/>
      <c r="Z429" s="3"/>
      <c r="AA429" s="3"/>
      <c r="AB429" s="3"/>
      <c r="AC429" s="3"/>
    </row>
    <row r="430" customFormat="false" ht="21.75" hidden="false" customHeight="true" outlineLevel="0" collapsed="false">
      <c r="A430" s="3"/>
      <c r="B430" s="3"/>
      <c r="C430" s="3"/>
      <c r="D430" s="3"/>
      <c r="E430" s="3"/>
      <c r="F430" s="3"/>
      <c r="G430" s="4"/>
      <c r="H430" s="4"/>
      <c r="I430" s="4"/>
      <c r="J430" s="4"/>
      <c r="K430" s="4"/>
      <c r="L430" s="4"/>
      <c r="M430" s="3"/>
      <c r="N430" s="3"/>
      <c r="O430" s="3"/>
      <c r="P430" s="3"/>
      <c r="Q430" s="3"/>
      <c r="R430" s="3"/>
      <c r="S430" s="3"/>
      <c r="T430" s="3"/>
      <c r="U430" s="3"/>
      <c r="V430" s="3"/>
      <c r="W430" s="3"/>
      <c r="X430" s="3"/>
      <c r="Y430" s="3"/>
      <c r="Z430" s="3"/>
      <c r="AA430" s="3"/>
      <c r="AB430" s="3"/>
      <c r="AC430" s="3"/>
    </row>
    <row r="431" customFormat="false" ht="21.75" hidden="false" customHeight="true" outlineLevel="0" collapsed="false">
      <c r="A431" s="3"/>
      <c r="B431" s="3"/>
      <c r="C431" s="3"/>
      <c r="D431" s="3"/>
      <c r="E431" s="3"/>
      <c r="F431" s="3"/>
      <c r="G431" s="4"/>
      <c r="H431" s="4"/>
      <c r="I431" s="4"/>
      <c r="J431" s="4"/>
      <c r="K431" s="4"/>
      <c r="L431" s="4"/>
      <c r="M431" s="3"/>
      <c r="N431" s="3"/>
      <c r="O431" s="3"/>
      <c r="P431" s="3"/>
      <c r="Q431" s="3"/>
      <c r="R431" s="3"/>
      <c r="S431" s="3"/>
      <c r="T431" s="3"/>
      <c r="U431" s="3"/>
      <c r="V431" s="3"/>
      <c r="W431" s="3"/>
      <c r="X431" s="3"/>
      <c r="Y431" s="3"/>
      <c r="Z431" s="3"/>
      <c r="AA431" s="3"/>
      <c r="AB431" s="3"/>
      <c r="AC431" s="3"/>
    </row>
    <row r="432" customFormat="false" ht="21.75" hidden="false" customHeight="true" outlineLevel="0" collapsed="false">
      <c r="A432" s="3"/>
      <c r="B432" s="3"/>
      <c r="C432" s="3"/>
      <c r="D432" s="3"/>
      <c r="E432" s="3"/>
      <c r="F432" s="3"/>
      <c r="G432" s="4"/>
      <c r="H432" s="4"/>
      <c r="I432" s="4"/>
      <c r="J432" s="4"/>
      <c r="K432" s="4"/>
      <c r="L432" s="4"/>
      <c r="M432" s="3"/>
      <c r="N432" s="3"/>
      <c r="O432" s="3"/>
      <c r="P432" s="3"/>
      <c r="Q432" s="3"/>
      <c r="R432" s="3"/>
      <c r="S432" s="3"/>
      <c r="T432" s="3"/>
      <c r="U432" s="3"/>
      <c r="V432" s="3"/>
      <c r="W432" s="3"/>
      <c r="X432" s="3"/>
      <c r="Y432" s="3"/>
      <c r="Z432" s="3"/>
      <c r="AA432" s="3"/>
      <c r="AB432" s="3"/>
      <c r="AC432" s="3"/>
    </row>
    <row r="433" customFormat="false" ht="21.75" hidden="false" customHeight="true" outlineLevel="0" collapsed="false">
      <c r="A433" s="3"/>
      <c r="B433" s="3"/>
      <c r="C433" s="3"/>
      <c r="D433" s="3"/>
      <c r="E433" s="3"/>
      <c r="F433" s="3"/>
      <c r="G433" s="4"/>
      <c r="H433" s="4"/>
      <c r="I433" s="4"/>
      <c r="J433" s="4"/>
      <c r="K433" s="4"/>
      <c r="L433" s="4"/>
      <c r="M433" s="3"/>
      <c r="N433" s="3"/>
      <c r="O433" s="3"/>
      <c r="P433" s="3"/>
      <c r="Q433" s="3"/>
      <c r="R433" s="3"/>
      <c r="S433" s="3"/>
      <c r="T433" s="3"/>
      <c r="U433" s="3"/>
      <c r="V433" s="3"/>
      <c r="W433" s="3"/>
      <c r="X433" s="3"/>
      <c r="Y433" s="3"/>
      <c r="Z433" s="3"/>
      <c r="AA433" s="3"/>
      <c r="AB433" s="3"/>
      <c r="AC433" s="3"/>
    </row>
    <row r="434" customFormat="false" ht="21.75" hidden="false" customHeight="true" outlineLevel="0" collapsed="false">
      <c r="A434" s="3"/>
      <c r="B434" s="3"/>
      <c r="C434" s="3"/>
      <c r="D434" s="3"/>
      <c r="E434" s="3"/>
      <c r="F434" s="3"/>
      <c r="G434" s="4"/>
      <c r="H434" s="4"/>
      <c r="I434" s="4"/>
      <c r="J434" s="4"/>
      <c r="K434" s="4"/>
      <c r="L434" s="4"/>
      <c r="M434" s="3"/>
      <c r="N434" s="3"/>
      <c r="O434" s="3"/>
      <c r="P434" s="3"/>
      <c r="Q434" s="3"/>
      <c r="R434" s="3"/>
      <c r="S434" s="3"/>
      <c r="T434" s="3"/>
      <c r="U434" s="3"/>
      <c r="V434" s="3"/>
      <c r="W434" s="3"/>
      <c r="X434" s="3"/>
      <c r="Y434" s="3"/>
      <c r="Z434" s="3"/>
      <c r="AA434" s="3"/>
      <c r="AB434" s="3"/>
      <c r="AC434" s="3"/>
    </row>
    <row r="435" customFormat="false" ht="21.75" hidden="false" customHeight="true" outlineLevel="0" collapsed="false">
      <c r="A435" s="3"/>
      <c r="B435" s="3"/>
      <c r="C435" s="3"/>
      <c r="D435" s="3"/>
      <c r="E435" s="3"/>
      <c r="F435" s="3"/>
      <c r="G435" s="4"/>
      <c r="H435" s="4"/>
      <c r="I435" s="4"/>
      <c r="J435" s="4"/>
      <c r="K435" s="4"/>
      <c r="L435" s="4"/>
      <c r="M435" s="3"/>
      <c r="N435" s="3"/>
      <c r="O435" s="3"/>
      <c r="P435" s="3"/>
      <c r="Q435" s="3"/>
      <c r="R435" s="3"/>
      <c r="S435" s="3"/>
      <c r="T435" s="3"/>
      <c r="U435" s="3"/>
      <c r="V435" s="3"/>
      <c r="W435" s="3"/>
      <c r="X435" s="3"/>
      <c r="Y435" s="3"/>
      <c r="Z435" s="3"/>
      <c r="AA435" s="3"/>
      <c r="AB435" s="3"/>
      <c r="AC435" s="3"/>
    </row>
    <row r="436" customFormat="false" ht="21.75" hidden="false" customHeight="true" outlineLevel="0" collapsed="false">
      <c r="A436" s="3"/>
      <c r="B436" s="3"/>
      <c r="C436" s="3"/>
      <c r="D436" s="3"/>
      <c r="E436" s="3"/>
      <c r="F436" s="3"/>
      <c r="G436" s="4"/>
      <c r="H436" s="4"/>
      <c r="I436" s="4"/>
      <c r="J436" s="4"/>
      <c r="K436" s="4"/>
      <c r="L436" s="4"/>
      <c r="M436" s="3"/>
      <c r="N436" s="3"/>
      <c r="O436" s="3"/>
      <c r="P436" s="3"/>
      <c r="Q436" s="3"/>
      <c r="R436" s="3"/>
      <c r="S436" s="3"/>
      <c r="T436" s="3"/>
      <c r="U436" s="3"/>
      <c r="V436" s="3"/>
      <c r="W436" s="3"/>
      <c r="X436" s="3"/>
      <c r="Y436" s="3"/>
      <c r="Z436" s="3"/>
      <c r="AA436" s="3"/>
      <c r="AB436" s="3"/>
      <c r="AC436" s="3"/>
    </row>
    <row r="437" customFormat="false" ht="21.75" hidden="false" customHeight="true" outlineLevel="0" collapsed="false">
      <c r="A437" s="3"/>
      <c r="B437" s="3"/>
      <c r="C437" s="3"/>
      <c r="D437" s="3"/>
      <c r="E437" s="3"/>
      <c r="F437" s="3"/>
      <c r="G437" s="4"/>
      <c r="H437" s="4"/>
      <c r="I437" s="4"/>
      <c r="J437" s="4"/>
      <c r="K437" s="4"/>
      <c r="L437" s="4"/>
      <c r="M437" s="3"/>
      <c r="N437" s="3"/>
      <c r="O437" s="3"/>
      <c r="P437" s="3"/>
      <c r="Q437" s="3"/>
      <c r="R437" s="3"/>
      <c r="S437" s="3"/>
      <c r="T437" s="3"/>
      <c r="U437" s="3"/>
      <c r="V437" s="3"/>
      <c r="W437" s="3"/>
      <c r="X437" s="3"/>
      <c r="Y437" s="3"/>
      <c r="Z437" s="3"/>
      <c r="AA437" s="3"/>
      <c r="AB437" s="3"/>
      <c r="AC437" s="3"/>
    </row>
    <row r="438" customFormat="false" ht="21.75" hidden="false" customHeight="true" outlineLevel="0" collapsed="false">
      <c r="A438" s="3"/>
      <c r="B438" s="3"/>
      <c r="C438" s="3"/>
      <c r="D438" s="3"/>
      <c r="E438" s="3"/>
      <c r="F438" s="3"/>
      <c r="G438" s="4"/>
      <c r="H438" s="4"/>
      <c r="I438" s="4"/>
      <c r="J438" s="4"/>
      <c r="K438" s="4"/>
      <c r="L438" s="4"/>
      <c r="M438" s="3"/>
      <c r="N438" s="3"/>
      <c r="O438" s="3"/>
      <c r="P438" s="3"/>
      <c r="Q438" s="3"/>
      <c r="R438" s="3"/>
      <c r="S438" s="3"/>
      <c r="T438" s="3"/>
      <c r="U438" s="3"/>
      <c r="V438" s="3"/>
      <c r="W438" s="3"/>
      <c r="X438" s="3"/>
      <c r="Y438" s="3"/>
      <c r="Z438" s="3"/>
      <c r="AA438" s="3"/>
      <c r="AB438" s="3"/>
      <c r="AC438" s="3"/>
    </row>
    <row r="439" customFormat="false" ht="21.75" hidden="false" customHeight="true" outlineLevel="0" collapsed="false">
      <c r="A439" s="3"/>
      <c r="B439" s="3"/>
      <c r="C439" s="3"/>
      <c r="D439" s="3"/>
      <c r="E439" s="3"/>
      <c r="F439" s="3"/>
      <c r="G439" s="4"/>
      <c r="H439" s="4"/>
      <c r="I439" s="4"/>
      <c r="J439" s="4"/>
      <c r="K439" s="4"/>
      <c r="L439" s="4"/>
      <c r="M439" s="3"/>
      <c r="N439" s="3"/>
      <c r="O439" s="3"/>
      <c r="P439" s="3"/>
      <c r="Q439" s="3"/>
      <c r="R439" s="3"/>
      <c r="S439" s="3"/>
      <c r="T439" s="3"/>
      <c r="U439" s="3"/>
      <c r="V439" s="3"/>
      <c r="W439" s="3"/>
      <c r="X439" s="3"/>
      <c r="Y439" s="3"/>
      <c r="Z439" s="3"/>
      <c r="AA439" s="3"/>
      <c r="AB439" s="3"/>
      <c r="AC439" s="3"/>
    </row>
    <row r="440" customFormat="false" ht="21.75" hidden="false" customHeight="true" outlineLevel="0" collapsed="false">
      <c r="A440" s="3"/>
      <c r="B440" s="3"/>
      <c r="C440" s="3"/>
      <c r="D440" s="3"/>
      <c r="E440" s="3"/>
      <c r="F440" s="3"/>
      <c r="G440" s="4"/>
      <c r="H440" s="4"/>
      <c r="I440" s="4"/>
      <c r="J440" s="4"/>
      <c r="K440" s="4"/>
      <c r="L440" s="4"/>
      <c r="M440" s="3"/>
      <c r="N440" s="3"/>
      <c r="O440" s="3"/>
      <c r="P440" s="3"/>
      <c r="Q440" s="3"/>
      <c r="R440" s="3"/>
      <c r="S440" s="3"/>
      <c r="T440" s="3"/>
      <c r="U440" s="3"/>
      <c r="V440" s="3"/>
      <c r="W440" s="3"/>
      <c r="X440" s="3"/>
      <c r="Y440" s="3"/>
      <c r="Z440" s="3"/>
      <c r="AA440" s="3"/>
      <c r="AB440" s="3"/>
      <c r="AC440" s="3"/>
    </row>
    <row r="441" customFormat="false" ht="21.75" hidden="false" customHeight="true" outlineLevel="0" collapsed="false">
      <c r="A441" s="3"/>
      <c r="B441" s="3"/>
      <c r="C441" s="3"/>
      <c r="D441" s="3"/>
      <c r="E441" s="3"/>
      <c r="F441" s="3"/>
      <c r="G441" s="4"/>
      <c r="H441" s="4"/>
      <c r="I441" s="4"/>
      <c r="J441" s="4"/>
      <c r="K441" s="4"/>
      <c r="L441" s="4"/>
      <c r="M441" s="3"/>
      <c r="N441" s="3"/>
      <c r="O441" s="3"/>
      <c r="P441" s="3"/>
      <c r="Q441" s="3"/>
      <c r="R441" s="3"/>
      <c r="S441" s="3"/>
      <c r="T441" s="3"/>
      <c r="U441" s="3"/>
      <c r="V441" s="3"/>
      <c r="W441" s="3"/>
      <c r="X441" s="3"/>
      <c r="Y441" s="3"/>
      <c r="Z441" s="3"/>
      <c r="AA441" s="3"/>
      <c r="AB441" s="3"/>
      <c r="AC441" s="3"/>
    </row>
    <row r="442" customFormat="false" ht="21.75" hidden="false" customHeight="true" outlineLevel="0" collapsed="false">
      <c r="A442" s="3"/>
      <c r="B442" s="3"/>
      <c r="C442" s="3"/>
      <c r="D442" s="3"/>
      <c r="E442" s="3"/>
      <c r="F442" s="3"/>
      <c r="G442" s="4"/>
      <c r="H442" s="4"/>
      <c r="I442" s="4"/>
      <c r="J442" s="4"/>
      <c r="K442" s="4"/>
      <c r="L442" s="4"/>
      <c r="M442" s="3"/>
      <c r="N442" s="3"/>
      <c r="O442" s="3"/>
      <c r="P442" s="3"/>
      <c r="Q442" s="3"/>
      <c r="R442" s="3"/>
      <c r="S442" s="3"/>
      <c r="T442" s="3"/>
      <c r="U442" s="3"/>
      <c r="V442" s="3"/>
      <c r="W442" s="3"/>
      <c r="X442" s="3"/>
      <c r="Y442" s="3"/>
      <c r="Z442" s="3"/>
      <c r="AA442" s="3"/>
      <c r="AB442" s="3"/>
      <c r="AC442" s="3"/>
    </row>
    <row r="443" customFormat="false" ht="21.75" hidden="false" customHeight="true" outlineLevel="0" collapsed="false">
      <c r="A443" s="3"/>
      <c r="B443" s="3"/>
      <c r="C443" s="3"/>
      <c r="D443" s="3"/>
      <c r="E443" s="3"/>
      <c r="F443" s="3"/>
      <c r="G443" s="4"/>
      <c r="H443" s="4"/>
      <c r="I443" s="4"/>
      <c r="J443" s="4"/>
      <c r="K443" s="4"/>
      <c r="L443" s="4"/>
      <c r="M443" s="3"/>
      <c r="N443" s="3"/>
      <c r="O443" s="3"/>
      <c r="P443" s="3"/>
      <c r="Q443" s="3"/>
      <c r="R443" s="3"/>
      <c r="S443" s="3"/>
      <c r="T443" s="3"/>
      <c r="U443" s="3"/>
      <c r="V443" s="3"/>
      <c r="W443" s="3"/>
      <c r="X443" s="3"/>
      <c r="Y443" s="3"/>
      <c r="Z443" s="3"/>
      <c r="AA443" s="3"/>
      <c r="AB443" s="3"/>
      <c r="AC443" s="3"/>
    </row>
    <row r="444" customFormat="false" ht="21.75" hidden="false" customHeight="true" outlineLevel="0" collapsed="false">
      <c r="A444" s="3"/>
      <c r="B444" s="3"/>
      <c r="C444" s="3"/>
      <c r="D444" s="3"/>
      <c r="E444" s="3"/>
      <c r="F444" s="3"/>
      <c r="G444" s="4"/>
      <c r="H444" s="4"/>
      <c r="I444" s="4"/>
      <c r="J444" s="4"/>
      <c r="K444" s="4"/>
      <c r="L444" s="4"/>
      <c r="M444" s="3"/>
      <c r="N444" s="3"/>
      <c r="O444" s="3"/>
      <c r="P444" s="3"/>
      <c r="Q444" s="3"/>
      <c r="R444" s="3"/>
      <c r="S444" s="3"/>
      <c r="T444" s="3"/>
      <c r="U444" s="3"/>
      <c r="V444" s="3"/>
      <c r="W444" s="3"/>
      <c r="X444" s="3"/>
      <c r="Y444" s="3"/>
      <c r="Z444" s="3"/>
      <c r="AA444" s="3"/>
      <c r="AB444" s="3"/>
      <c r="AC444" s="3"/>
    </row>
    <row r="445" customFormat="false" ht="21.75" hidden="false" customHeight="true" outlineLevel="0" collapsed="false">
      <c r="A445" s="3"/>
      <c r="B445" s="3"/>
      <c r="C445" s="3"/>
      <c r="D445" s="3"/>
      <c r="E445" s="3"/>
      <c r="F445" s="3"/>
      <c r="G445" s="4"/>
      <c r="H445" s="4"/>
      <c r="I445" s="4"/>
      <c r="J445" s="4"/>
      <c r="K445" s="4"/>
      <c r="L445" s="4"/>
      <c r="M445" s="3"/>
      <c r="N445" s="3"/>
      <c r="O445" s="3"/>
      <c r="P445" s="3"/>
      <c r="Q445" s="3"/>
      <c r="R445" s="3"/>
      <c r="S445" s="3"/>
      <c r="T445" s="3"/>
      <c r="U445" s="3"/>
      <c r="V445" s="3"/>
      <c r="W445" s="3"/>
      <c r="X445" s="3"/>
      <c r="Y445" s="3"/>
      <c r="Z445" s="3"/>
      <c r="AA445" s="3"/>
      <c r="AB445" s="3"/>
      <c r="AC445" s="3"/>
    </row>
    <row r="446" customFormat="false" ht="21.75" hidden="false" customHeight="true" outlineLevel="0" collapsed="false">
      <c r="A446" s="3"/>
      <c r="B446" s="3"/>
      <c r="C446" s="3"/>
      <c r="D446" s="3"/>
      <c r="E446" s="3"/>
      <c r="F446" s="3"/>
      <c r="G446" s="4"/>
      <c r="H446" s="4"/>
      <c r="I446" s="4"/>
      <c r="J446" s="4"/>
      <c r="K446" s="4"/>
      <c r="L446" s="4"/>
      <c r="M446" s="3"/>
      <c r="N446" s="3"/>
      <c r="O446" s="3"/>
      <c r="P446" s="3"/>
      <c r="Q446" s="3"/>
      <c r="R446" s="3"/>
      <c r="S446" s="3"/>
      <c r="T446" s="3"/>
      <c r="U446" s="3"/>
      <c r="V446" s="3"/>
      <c r="W446" s="3"/>
      <c r="X446" s="3"/>
      <c r="Y446" s="3"/>
      <c r="Z446" s="3"/>
      <c r="AA446" s="3"/>
      <c r="AB446" s="3"/>
      <c r="AC446" s="3"/>
    </row>
    <row r="447" customFormat="false" ht="21.75" hidden="false" customHeight="true" outlineLevel="0" collapsed="false">
      <c r="A447" s="3"/>
      <c r="B447" s="3"/>
      <c r="C447" s="3"/>
      <c r="D447" s="3"/>
      <c r="E447" s="3"/>
      <c r="F447" s="3"/>
      <c r="G447" s="4"/>
      <c r="H447" s="4"/>
      <c r="I447" s="4"/>
      <c r="J447" s="4"/>
      <c r="K447" s="4"/>
      <c r="L447" s="4"/>
      <c r="M447" s="3"/>
      <c r="N447" s="3"/>
      <c r="O447" s="3"/>
      <c r="P447" s="3"/>
      <c r="Q447" s="3"/>
      <c r="R447" s="3"/>
      <c r="S447" s="3"/>
      <c r="T447" s="3"/>
      <c r="U447" s="3"/>
      <c r="V447" s="3"/>
      <c r="W447" s="3"/>
      <c r="X447" s="3"/>
      <c r="Y447" s="3"/>
      <c r="Z447" s="3"/>
      <c r="AA447" s="3"/>
      <c r="AB447" s="3"/>
      <c r="AC447" s="3"/>
    </row>
    <row r="448" customFormat="false" ht="21.75" hidden="false" customHeight="true" outlineLevel="0" collapsed="false">
      <c r="A448" s="3"/>
      <c r="B448" s="3"/>
      <c r="C448" s="3"/>
      <c r="D448" s="3"/>
      <c r="E448" s="3"/>
      <c r="F448" s="3"/>
      <c r="G448" s="4"/>
      <c r="H448" s="4"/>
      <c r="I448" s="4"/>
      <c r="J448" s="4"/>
      <c r="K448" s="4"/>
      <c r="L448" s="4"/>
      <c r="M448" s="3"/>
      <c r="N448" s="3"/>
      <c r="O448" s="3"/>
      <c r="P448" s="3"/>
      <c r="Q448" s="3"/>
      <c r="R448" s="3"/>
      <c r="S448" s="3"/>
      <c r="T448" s="3"/>
      <c r="U448" s="3"/>
      <c r="V448" s="3"/>
      <c r="W448" s="3"/>
      <c r="X448" s="3"/>
      <c r="Y448" s="3"/>
      <c r="Z448" s="3"/>
      <c r="AA448" s="3"/>
      <c r="AB448" s="3"/>
      <c r="AC448" s="3"/>
    </row>
    <row r="449" customFormat="false" ht="21.75" hidden="false" customHeight="true" outlineLevel="0" collapsed="false">
      <c r="A449" s="3"/>
      <c r="B449" s="3"/>
      <c r="C449" s="3"/>
      <c r="D449" s="3"/>
      <c r="E449" s="3"/>
      <c r="F449" s="3"/>
      <c r="G449" s="4"/>
      <c r="H449" s="4"/>
      <c r="I449" s="4"/>
      <c r="J449" s="4"/>
      <c r="K449" s="4"/>
      <c r="L449" s="4"/>
      <c r="M449" s="3"/>
      <c r="N449" s="3"/>
      <c r="O449" s="3"/>
      <c r="P449" s="3"/>
      <c r="Q449" s="3"/>
      <c r="R449" s="3"/>
      <c r="S449" s="3"/>
      <c r="T449" s="3"/>
      <c r="U449" s="3"/>
      <c r="V449" s="3"/>
      <c r="W449" s="3"/>
      <c r="X449" s="3"/>
      <c r="Y449" s="3"/>
      <c r="Z449" s="3"/>
      <c r="AA449" s="3"/>
      <c r="AB449" s="3"/>
      <c r="AC449" s="3"/>
    </row>
    <row r="450" customFormat="false" ht="21.75" hidden="false" customHeight="true" outlineLevel="0" collapsed="false">
      <c r="A450" s="3"/>
      <c r="B450" s="3"/>
      <c r="C450" s="3"/>
      <c r="D450" s="3"/>
      <c r="E450" s="3"/>
      <c r="F450" s="3"/>
      <c r="G450" s="4"/>
      <c r="H450" s="4"/>
      <c r="I450" s="4"/>
      <c r="J450" s="4"/>
      <c r="K450" s="4"/>
      <c r="L450" s="4"/>
      <c r="M450" s="3"/>
      <c r="N450" s="3"/>
      <c r="O450" s="3"/>
      <c r="P450" s="3"/>
      <c r="Q450" s="3"/>
      <c r="R450" s="3"/>
      <c r="S450" s="3"/>
      <c r="T450" s="3"/>
      <c r="U450" s="3"/>
      <c r="V450" s="3"/>
      <c r="W450" s="3"/>
      <c r="X450" s="3"/>
      <c r="Y450" s="3"/>
      <c r="Z450" s="3"/>
      <c r="AA450" s="3"/>
      <c r="AB450" s="3"/>
      <c r="AC450" s="3"/>
    </row>
    <row r="451" customFormat="false" ht="21.75" hidden="false" customHeight="true" outlineLevel="0" collapsed="false">
      <c r="A451" s="3"/>
      <c r="B451" s="3"/>
      <c r="C451" s="3"/>
      <c r="D451" s="3"/>
      <c r="E451" s="3"/>
      <c r="F451" s="3"/>
      <c r="G451" s="4"/>
      <c r="H451" s="4"/>
      <c r="I451" s="4"/>
      <c r="J451" s="4"/>
      <c r="K451" s="4"/>
      <c r="L451" s="4"/>
      <c r="M451" s="3"/>
      <c r="N451" s="3"/>
      <c r="O451" s="3"/>
      <c r="P451" s="3"/>
      <c r="Q451" s="3"/>
      <c r="R451" s="3"/>
      <c r="S451" s="3"/>
      <c r="T451" s="3"/>
      <c r="U451" s="3"/>
      <c r="V451" s="3"/>
      <c r="W451" s="3"/>
      <c r="X451" s="3"/>
      <c r="Y451" s="3"/>
      <c r="Z451" s="3"/>
      <c r="AA451" s="3"/>
      <c r="AB451" s="3"/>
      <c r="AC451" s="3"/>
    </row>
    <row r="452" customFormat="false" ht="21.75" hidden="false" customHeight="true" outlineLevel="0" collapsed="false">
      <c r="A452" s="3"/>
      <c r="B452" s="3"/>
      <c r="C452" s="3"/>
      <c r="D452" s="3"/>
      <c r="E452" s="3"/>
      <c r="F452" s="3"/>
      <c r="G452" s="4"/>
      <c r="H452" s="4"/>
      <c r="I452" s="4"/>
      <c r="J452" s="4"/>
      <c r="K452" s="4"/>
      <c r="L452" s="4"/>
      <c r="M452" s="3"/>
      <c r="N452" s="3"/>
      <c r="O452" s="3"/>
      <c r="P452" s="3"/>
      <c r="Q452" s="3"/>
      <c r="R452" s="3"/>
      <c r="S452" s="3"/>
      <c r="T452" s="3"/>
      <c r="U452" s="3"/>
      <c r="V452" s="3"/>
      <c r="W452" s="3"/>
      <c r="X452" s="3"/>
      <c r="Y452" s="3"/>
      <c r="Z452" s="3"/>
      <c r="AA452" s="3"/>
      <c r="AB452" s="3"/>
      <c r="AC452" s="3"/>
    </row>
    <row r="453" customFormat="false" ht="21.75" hidden="false" customHeight="true" outlineLevel="0" collapsed="false">
      <c r="A453" s="3"/>
      <c r="B453" s="3"/>
      <c r="C453" s="3"/>
      <c r="D453" s="3"/>
      <c r="E453" s="3"/>
      <c r="F453" s="3"/>
      <c r="G453" s="4"/>
      <c r="H453" s="4"/>
      <c r="I453" s="4"/>
      <c r="J453" s="4"/>
      <c r="K453" s="4"/>
      <c r="L453" s="4"/>
      <c r="M453" s="3"/>
      <c r="N453" s="3"/>
      <c r="O453" s="3"/>
      <c r="P453" s="3"/>
      <c r="Q453" s="3"/>
      <c r="R453" s="3"/>
      <c r="S453" s="3"/>
      <c r="T453" s="3"/>
      <c r="U453" s="3"/>
      <c r="V453" s="3"/>
      <c r="W453" s="3"/>
      <c r="X453" s="3"/>
      <c r="Y453" s="3"/>
      <c r="Z453" s="3"/>
      <c r="AA453" s="3"/>
      <c r="AB453" s="3"/>
      <c r="AC453" s="3"/>
    </row>
    <row r="454" customFormat="false" ht="21.75" hidden="false" customHeight="true" outlineLevel="0" collapsed="false">
      <c r="A454" s="3"/>
      <c r="B454" s="3"/>
      <c r="C454" s="3"/>
      <c r="D454" s="3"/>
      <c r="E454" s="3"/>
      <c r="F454" s="3"/>
      <c r="G454" s="4"/>
      <c r="H454" s="4"/>
      <c r="I454" s="4"/>
      <c r="J454" s="4"/>
      <c r="K454" s="4"/>
      <c r="L454" s="4"/>
      <c r="M454" s="3"/>
      <c r="N454" s="3"/>
      <c r="O454" s="3"/>
      <c r="P454" s="3"/>
      <c r="Q454" s="3"/>
      <c r="R454" s="3"/>
      <c r="S454" s="3"/>
      <c r="T454" s="3"/>
      <c r="U454" s="3"/>
      <c r="V454" s="3"/>
      <c r="W454" s="3"/>
      <c r="X454" s="3"/>
      <c r="Y454" s="3"/>
      <c r="Z454" s="3"/>
      <c r="AA454" s="3"/>
      <c r="AB454" s="3"/>
      <c r="AC454" s="3"/>
    </row>
    <row r="455" customFormat="false" ht="21.75" hidden="false" customHeight="true" outlineLevel="0" collapsed="false">
      <c r="A455" s="3"/>
      <c r="B455" s="3"/>
      <c r="C455" s="3"/>
      <c r="D455" s="3"/>
      <c r="E455" s="3"/>
      <c r="F455" s="3"/>
      <c r="G455" s="4"/>
      <c r="H455" s="4"/>
      <c r="I455" s="4"/>
      <c r="J455" s="4"/>
      <c r="K455" s="4"/>
      <c r="L455" s="4"/>
      <c r="M455" s="3"/>
      <c r="N455" s="3"/>
      <c r="O455" s="3"/>
      <c r="P455" s="3"/>
      <c r="Q455" s="3"/>
      <c r="R455" s="3"/>
      <c r="S455" s="3"/>
      <c r="T455" s="3"/>
      <c r="U455" s="3"/>
      <c r="V455" s="3"/>
      <c r="W455" s="3"/>
      <c r="X455" s="3"/>
      <c r="Y455" s="3"/>
      <c r="Z455" s="3"/>
      <c r="AA455" s="3"/>
      <c r="AB455" s="3"/>
      <c r="AC455" s="3"/>
    </row>
    <row r="456" customFormat="false" ht="21.75" hidden="false" customHeight="true" outlineLevel="0" collapsed="false">
      <c r="A456" s="3"/>
      <c r="B456" s="3"/>
      <c r="C456" s="3"/>
      <c r="D456" s="3"/>
      <c r="E456" s="3"/>
      <c r="F456" s="3"/>
      <c r="G456" s="4"/>
      <c r="H456" s="4"/>
      <c r="I456" s="4"/>
      <c r="J456" s="4"/>
      <c r="K456" s="4"/>
      <c r="L456" s="4"/>
      <c r="M456" s="3"/>
      <c r="N456" s="3"/>
      <c r="O456" s="3"/>
      <c r="P456" s="3"/>
      <c r="Q456" s="3"/>
      <c r="R456" s="3"/>
      <c r="S456" s="3"/>
      <c r="T456" s="3"/>
      <c r="U456" s="3"/>
      <c r="V456" s="3"/>
      <c r="W456" s="3"/>
      <c r="X456" s="3"/>
      <c r="Y456" s="3"/>
      <c r="Z456" s="3"/>
      <c r="AA456" s="3"/>
      <c r="AB456" s="3"/>
      <c r="AC456" s="3"/>
    </row>
    <row r="457" customFormat="false" ht="21.75" hidden="false" customHeight="true" outlineLevel="0" collapsed="false">
      <c r="A457" s="3"/>
      <c r="B457" s="3"/>
      <c r="C457" s="3"/>
      <c r="D457" s="3"/>
      <c r="E457" s="3"/>
      <c r="F457" s="3"/>
      <c r="G457" s="4"/>
      <c r="H457" s="4"/>
      <c r="I457" s="4"/>
      <c r="J457" s="4"/>
      <c r="K457" s="4"/>
      <c r="L457" s="4"/>
      <c r="M457" s="3"/>
      <c r="N457" s="3"/>
      <c r="O457" s="3"/>
      <c r="P457" s="3"/>
      <c r="Q457" s="3"/>
      <c r="R457" s="3"/>
      <c r="S457" s="3"/>
      <c r="T457" s="3"/>
      <c r="U457" s="3"/>
      <c r="V457" s="3"/>
      <c r="W457" s="3"/>
      <c r="X457" s="3"/>
      <c r="Y457" s="3"/>
      <c r="Z457" s="3"/>
      <c r="AA457" s="3"/>
      <c r="AB457" s="3"/>
      <c r="AC457" s="3"/>
    </row>
    <row r="458" customFormat="false" ht="21.75" hidden="false" customHeight="true" outlineLevel="0" collapsed="false">
      <c r="A458" s="3"/>
      <c r="B458" s="3"/>
      <c r="C458" s="3"/>
      <c r="D458" s="3"/>
      <c r="E458" s="3"/>
      <c r="F458" s="3"/>
      <c r="G458" s="4"/>
      <c r="H458" s="4"/>
      <c r="I458" s="4"/>
      <c r="J458" s="4"/>
      <c r="K458" s="4"/>
      <c r="L458" s="4"/>
      <c r="M458" s="3"/>
      <c r="N458" s="3"/>
      <c r="O458" s="3"/>
      <c r="P458" s="3"/>
      <c r="Q458" s="3"/>
      <c r="R458" s="3"/>
      <c r="S458" s="3"/>
      <c r="T458" s="3"/>
      <c r="U458" s="3"/>
      <c r="V458" s="3"/>
      <c r="W458" s="3"/>
      <c r="X458" s="3"/>
      <c r="Y458" s="3"/>
      <c r="Z458" s="3"/>
      <c r="AA458" s="3"/>
      <c r="AB458" s="3"/>
      <c r="AC458" s="3"/>
    </row>
    <row r="459" customFormat="false" ht="21.75" hidden="false" customHeight="true" outlineLevel="0" collapsed="false">
      <c r="A459" s="3"/>
      <c r="B459" s="3"/>
      <c r="C459" s="3"/>
      <c r="D459" s="3"/>
      <c r="E459" s="3"/>
      <c r="F459" s="3"/>
      <c r="G459" s="4"/>
      <c r="H459" s="4"/>
      <c r="I459" s="4"/>
      <c r="J459" s="4"/>
      <c r="K459" s="4"/>
      <c r="L459" s="4"/>
      <c r="M459" s="3"/>
      <c r="N459" s="3"/>
      <c r="O459" s="3"/>
      <c r="P459" s="3"/>
      <c r="Q459" s="3"/>
      <c r="R459" s="3"/>
      <c r="S459" s="3"/>
      <c r="T459" s="3"/>
      <c r="U459" s="3"/>
      <c r="V459" s="3"/>
      <c r="W459" s="3"/>
      <c r="X459" s="3"/>
      <c r="Y459" s="3"/>
      <c r="Z459" s="3"/>
      <c r="AA459" s="3"/>
      <c r="AB459" s="3"/>
      <c r="AC459" s="3"/>
    </row>
    <row r="460" customFormat="false" ht="21.75" hidden="false" customHeight="true" outlineLevel="0" collapsed="false">
      <c r="A460" s="3"/>
      <c r="B460" s="3"/>
      <c r="C460" s="3"/>
      <c r="D460" s="3"/>
      <c r="E460" s="3"/>
      <c r="F460" s="3"/>
      <c r="G460" s="4"/>
      <c r="H460" s="4"/>
      <c r="I460" s="4"/>
      <c r="J460" s="4"/>
      <c r="K460" s="4"/>
      <c r="L460" s="4"/>
      <c r="M460" s="3"/>
      <c r="N460" s="3"/>
      <c r="O460" s="3"/>
      <c r="P460" s="3"/>
      <c r="Q460" s="3"/>
      <c r="R460" s="3"/>
      <c r="S460" s="3"/>
      <c r="T460" s="3"/>
      <c r="U460" s="3"/>
      <c r="V460" s="3"/>
      <c r="W460" s="3"/>
      <c r="X460" s="3"/>
      <c r="Y460" s="3"/>
      <c r="Z460" s="3"/>
      <c r="AA460" s="3"/>
      <c r="AB460" s="3"/>
      <c r="AC460" s="3"/>
    </row>
    <row r="461" customFormat="false" ht="21.75" hidden="false" customHeight="true" outlineLevel="0" collapsed="false">
      <c r="A461" s="3"/>
      <c r="B461" s="3"/>
      <c r="C461" s="3"/>
      <c r="D461" s="3"/>
      <c r="E461" s="3"/>
      <c r="F461" s="3"/>
      <c r="G461" s="4"/>
      <c r="H461" s="4"/>
      <c r="I461" s="4"/>
      <c r="J461" s="4"/>
      <c r="K461" s="4"/>
      <c r="L461" s="4"/>
      <c r="M461" s="3"/>
      <c r="N461" s="3"/>
      <c r="O461" s="3"/>
      <c r="P461" s="3"/>
      <c r="Q461" s="3"/>
      <c r="R461" s="3"/>
      <c r="S461" s="3"/>
      <c r="T461" s="3"/>
      <c r="U461" s="3"/>
      <c r="V461" s="3"/>
      <c r="W461" s="3"/>
      <c r="X461" s="3"/>
      <c r="Y461" s="3"/>
      <c r="Z461" s="3"/>
      <c r="AA461" s="3"/>
      <c r="AB461" s="3"/>
      <c r="AC461" s="3"/>
    </row>
    <row r="462" customFormat="false" ht="21.75" hidden="false" customHeight="true" outlineLevel="0" collapsed="false">
      <c r="A462" s="3"/>
      <c r="B462" s="3"/>
      <c r="C462" s="3"/>
      <c r="D462" s="3"/>
      <c r="E462" s="3"/>
      <c r="F462" s="3"/>
      <c r="G462" s="4"/>
      <c r="H462" s="4"/>
      <c r="I462" s="4"/>
      <c r="J462" s="4"/>
      <c r="K462" s="4"/>
      <c r="L462" s="4"/>
      <c r="M462" s="3"/>
      <c r="N462" s="3"/>
      <c r="O462" s="3"/>
      <c r="P462" s="3"/>
      <c r="Q462" s="3"/>
      <c r="R462" s="3"/>
      <c r="S462" s="3"/>
      <c r="T462" s="3"/>
      <c r="U462" s="3"/>
      <c r="V462" s="3"/>
      <c r="W462" s="3"/>
      <c r="X462" s="3"/>
      <c r="Y462" s="3"/>
      <c r="Z462" s="3"/>
      <c r="AA462" s="3"/>
      <c r="AB462" s="3"/>
      <c r="AC462" s="3"/>
    </row>
    <row r="463" customFormat="false" ht="21.75" hidden="false" customHeight="true" outlineLevel="0" collapsed="false">
      <c r="A463" s="3"/>
      <c r="B463" s="3"/>
      <c r="C463" s="3"/>
      <c r="D463" s="3"/>
      <c r="E463" s="3"/>
      <c r="F463" s="3"/>
      <c r="G463" s="4"/>
      <c r="H463" s="4"/>
      <c r="I463" s="4"/>
      <c r="J463" s="4"/>
      <c r="K463" s="4"/>
      <c r="L463" s="4"/>
      <c r="M463" s="3"/>
      <c r="N463" s="3"/>
      <c r="O463" s="3"/>
      <c r="P463" s="3"/>
      <c r="Q463" s="3"/>
      <c r="R463" s="3"/>
      <c r="S463" s="3"/>
      <c r="T463" s="3"/>
      <c r="U463" s="3"/>
      <c r="V463" s="3"/>
      <c r="W463" s="3"/>
      <c r="X463" s="3"/>
      <c r="Y463" s="3"/>
      <c r="Z463" s="3"/>
      <c r="AA463" s="3"/>
      <c r="AB463" s="3"/>
      <c r="AC463" s="3"/>
    </row>
    <row r="464" customFormat="false" ht="21.75" hidden="false" customHeight="true" outlineLevel="0" collapsed="false">
      <c r="A464" s="3"/>
      <c r="B464" s="3"/>
      <c r="C464" s="3"/>
      <c r="D464" s="3"/>
      <c r="E464" s="3"/>
      <c r="F464" s="3"/>
      <c r="G464" s="4"/>
      <c r="H464" s="4"/>
      <c r="I464" s="4"/>
      <c r="J464" s="4"/>
      <c r="K464" s="4"/>
      <c r="L464" s="4"/>
      <c r="M464" s="3"/>
      <c r="N464" s="3"/>
      <c r="O464" s="3"/>
      <c r="P464" s="3"/>
      <c r="Q464" s="3"/>
      <c r="R464" s="3"/>
      <c r="S464" s="3"/>
      <c r="T464" s="3"/>
      <c r="U464" s="3"/>
      <c r="V464" s="3"/>
      <c r="W464" s="3"/>
      <c r="X464" s="3"/>
      <c r="Y464" s="3"/>
      <c r="Z464" s="3"/>
      <c r="AA464" s="3"/>
      <c r="AB464" s="3"/>
      <c r="AC464" s="3"/>
    </row>
    <row r="465" customFormat="false" ht="21.75" hidden="false" customHeight="true" outlineLevel="0" collapsed="false">
      <c r="A465" s="3"/>
      <c r="B465" s="3"/>
      <c r="C465" s="3"/>
      <c r="D465" s="3"/>
      <c r="E465" s="3"/>
      <c r="F465" s="3"/>
      <c r="G465" s="4"/>
      <c r="H465" s="4"/>
      <c r="I465" s="4"/>
      <c r="J465" s="4"/>
      <c r="K465" s="4"/>
      <c r="L465" s="4"/>
      <c r="M465" s="3"/>
      <c r="N465" s="3"/>
      <c r="O465" s="3"/>
      <c r="P465" s="3"/>
      <c r="Q465" s="3"/>
      <c r="R465" s="3"/>
      <c r="S465" s="3"/>
      <c r="T465" s="3"/>
      <c r="U465" s="3"/>
      <c r="V465" s="3"/>
      <c r="W465" s="3"/>
      <c r="X465" s="3"/>
      <c r="Y465" s="3"/>
      <c r="Z465" s="3"/>
      <c r="AA465" s="3"/>
      <c r="AB465" s="3"/>
      <c r="AC465" s="3"/>
    </row>
    <row r="466" customFormat="false" ht="21.75" hidden="false" customHeight="true" outlineLevel="0" collapsed="false">
      <c r="A466" s="3"/>
      <c r="B466" s="3"/>
      <c r="C466" s="3"/>
      <c r="D466" s="3"/>
      <c r="E466" s="3"/>
      <c r="F466" s="3"/>
      <c r="G466" s="4"/>
      <c r="H466" s="4"/>
      <c r="I466" s="4"/>
      <c r="J466" s="4"/>
      <c r="K466" s="4"/>
      <c r="L466" s="4"/>
      <c r="M466" s="3"/>
      <c r="N466" s="3"/>
      <c r="O466" s="3"/>
      <c r="P466" s="3"/>
      <c r="Q466" s="3"/>
      <c r="R466" s="3"/>
      <c r="S466" s="3"/>
      <c r="T466" s="3"/>
      <c r="U466" s="3"/>
      <c r="V466" s="3"/>
      <c r="W466" s="3"/>
      <c r="X466" s="3"/>
      <c r="Y466" s="3"/>
      <c r="Z466" s="3"/>
      <c r="AA466" s="3"/>
      <c r="AB466" s="3"/>
      <c r="AC466" s="3"/>
    </row>
    <row r="467" customFormat="false" ht="21.75" hidden="false" customHeight="true" outlineLevel="0" collapsed="false">
      <c r="A467" s="3"/>
      <c r="B467" s="3"/>
      <c r="C467" s="3"/>
      <c r="D467" s="3"/>
      <c r="E467" s="3"/>
      <c r="F467" s="3"/>
      <c r="G467" s="4"/>
      <c r="H467" s="4"/>
      <c r="I467" s="4"/>
      <c r="J467" s="4"/>
      <c r="K467" s="4"/>
      <c r="L467" s="4"/>
      <c r="M467" s="3"/>
      <c r="N467" s="3"/>
      <c r="O467" s="3"/>
      <c r="P467" s="3"/>
      <c r="Q467" s="3"/>
      <c r="R467" s="3"/>
      <c r="S467" s="3"/>
      <c r="T467" s="3"/>
      <c r="U467" s="3"/>
      <c r="V467" s="3"/>
      <c r="W467" s="3"/>
      <c r="X467" s="3"/>
      <c r="Y467" s="3"/>
      <c r="Z467" s="3"/>
      <c r="AA467" s="3"/>
      <c r="AB467" s="3"/>
      <c r="AC467" s="3"/>
    </row>
    <row r="468" customFormat="false" ht="21.75" hidden="false" customHeight="true" outlineLevel="0" collapsed="false">
      <c r="A468" s="3"/>
      <c r="B468" s="3"/>
      <c r="C468" s="3"/>
      <c r="D468" s="3"/>
      <c r="E468" s="3"/>
      <c r="F468" s="3"/>
      <c r="G468" s="4"/>
      <c r="H468" s="4"/>
      <c r="I468" s="4"/>
      <c r="J468" s="4"/>
      <c r="K468" s="4"/>
      <c r="L468" s="4"/>
      <c r="M468" s="3"/>
      <c r="N468" s="3"/>
      <c r="O468" s="3"/>
      <c r="P468" s="3"/>
      <c r="Q468" s="3"/>
      <c r="R468" s="3"/>
      <c r="S468" s="3"/>
      <c r="T468" s="3"/>
      <c r="U468" s="3"/>
      <c r="V468" s="3"/>
      <c r="W468" s="3"/>
      <c r="X468" s="3"/>
      <c r="Y468" s="3"/>
      <c r="Z468" s="3"/>
      <c r="AA468" s="3"/>
      <c r="AB468" s="3"/>
      <c r="AC468" s="3"/>
    </row>
    <row r="469" customFormat="false" ht="21.75" hidden="false" customHeight="true" outlineLevel="0" collapsed="false">
      <c r="A469" s="3"/>
      <c r="B469" s="3"/>
      <c r="C469" s="3"/>
      <c r="D469" s="3"/>
      <c r="E469" s="3"/>
      <c r="F469" s="3"/>
      <c r="G469" s="4"/>
      <c r="H469" s="4"/>
      <c r="I469" s="4"/>
      <c r="J469" s="4"/>
      <c r="K469" s="4"/>
      <c r="L469" s="4"/>
      <c r="M469" s="3"/>
      <c r="N469" s="3"/>
      <c r="O469" s="3"/>
      <c r="P469" s="3"/>
      <c r="Q469" s="3"/>
      <c r="R469" s="3"/>
      <c r="S469" s="3"/>
      <c r="T469" s="3"/>
      <c r="U469" s="3"/>
      <c r="V469" s="3"/>
      <c r="W469" s="3"/>
      <c r="X469" s="3"/>
      <c r="Y469" s="3"/>
      <c r="Z469" s="3"/>
      <c r="AA469" s="3"/>
      <c r="AB469" s="3"/>
      <c r="AC469" s="3"/>
    </row>
    <row r="470" customFormat="false" ht="21.75" hidden="false" customHeight="true" outlineLevel="0" collapsed="false">
      <c r="A470" s="3"/>
      <c r="B470" s="3"/>
      <c r="C470" s="3"/>
      <c r="D470" s="3"/>
      <c r="E470" s="3"/>
      <c r="F470" s="3"/>
      <c r="G470" s="4"/>
      <c r="H470" s="4"/>
      <c r="I470" s="4"/>
      <c r="J470" s="4"/>
      <c r="K470" s="4"/>
      <c r="L470" s="4"/>
      <c r="M470" s="3"/>
      <c r="N470" s="3"/>
      <c r="O470" s="3"/>
      <c r="P470" s="3"/>
      <c r="Q470" s="3"/>
      <c r="R470" s="3"/>
      <c r="S470" s="3"/>
      <c r="T470" s="3"/>
      <c r="U470" s="3"/>
      <c r="V470" s="3"/>
      <c r="W470" s="3"/>
      <c r="X470" s="3"/>
      <c r="Y470" s="3"/>
      <c r="Z470" s="3"/>
      <c r="AA470" s="3"/>
      <c r="AB470" s="3"/>
      <c r="AC470" s="3"/>
    </row>
    <row r="471" customFormat="false" ht="21.75" hidden="false" customHeight="true" outlineLevel="0" collapsed="false">
      <c r="A471" s="3"/>
      <c r="B471" s="3"/>
      <c r="C471" s="3"/>
      <c r="D471" s="3"/>
      <c r="E471" s="3"/>
      <c r="F471" s="3"/>
      <c r="G471" s="4"/>
      <c r="H471" s="4"/>
      <c r="I471" s="4"/>
      <c r="J471" s="4"/>
      <c r="K471" s="4"/>
      <c r="L471" s="4"/>
      <c r="M471" s="3"/>
      <c r="N471" s="3"/>
      <c r="O471" s="3"/>
      <c r="P471" s="3"/>
      <c r="Q471" s="3"/>
      <c r="R471" s="3"/>
      <c r="S471" s="3"/>
      <c r="T471" s="3"/>
      <c r="U471" s="3"/>
      <c r="V471" s="3"/>
      <c r="W471" s="3"/>
      <c r="X471" s="3"/>
      <c r="Y471" s="3"/>
      <c r="Z471" s="3"/>
      <c r="AA471" s="3"/>
      <c r="AB471" s="3"/>
      <c r="AC471" s="3"/>
    </row>
    <row r="472" customFormat="false" ht="21.75" hidden="false" customHeight="true" outlineLevel="0" collapsed="false">
      <c r="A472" s="3"/>
      <c r="B472" s="3"/>
      <c r="C472" s="3"/>
      <c r="D472" s="3"/>
      <c r="E472" s="3"/>
      <c r="F472" s="3"/>
      <c r="G472" s="4"/>
      <c r="H472" s="4"/>
      <c r="I472" s="4"/>
      <c r="J472" s="4"/>
      <c r="K472" s="4"/>
      <c r="L472" s="4"/>
      <c r="M472" s="3"/>
      <c r="N472" s="3"/>
      <c r="O472" s="3"/>
      <c r="P472" s="3"/>
      <c r="Q472" s="3"/>
      <c r="R472" s="3"/>
      <c r="S472" s="3"/>
      <c r="T472" s="3"/>
      <c r="U472" s="3"/>
      <c r="V472" s="3"/>
      <c r="W472" s="3"/>
      <c r="X472" s="3"/>
      <c r="Y472" s="3"/>
      <c r="Z472" s="3"/>
      <c r="AA472" s="3"/>
      <c r="AB472" s="3"/>
      <c r="AC472" s="3"/>
    </row>
    <row r="473" customFormat="false" ht="21.75" hidden="false" customHeight="true" outlineLevel="0" collapsed="false">
      <c r="A473" s="3"/>
      <c r="B473" s="3"/>
      <c r="C473" s="3"/>
      <c r="D473" s="3"/>
      <c r="E473" s="3"/>
      <c r="F473" s="3"/>
      <c r="G473" s="4"/>
      <c r="H473" s="4"/>
      <c r="I473" s="4"/>
      <c r="J473" s="4"/>
      <c r="K473" s="4"/>
      <c r="L473" s="4"/>
      <c r="M473" s="3"/>
      <c r="N473" s="3"/>
      <c r="O473" s="3"/>
      <c r="P473" s="3"/>
      <c r="Q473" s="3"/>
      <c r="R473" s="3"/>
      <c r="S473" s="3"/>
      <c r="T473" s="3"/>
      <c r="U473" s="3"/>
      <c r="V473" s="3"/>
      <c r="W473" s="3"/>
      <c r="X473" s="3"/>
      <c r="Y473" s="3"/>
      <c r="Z473" s="3"/>
      <c r="AA473" s="3"/>
      <c r="AB473" s="3"/>
      <c r="AC473" s="3"/>
    </row>
    <row r="474" customFormat="false" ht="21.75" hidden="false" customHeight="true" outlineLevel="0" collapsed="false">
      <c r="A474" s="3"/>
      <c r="B474" s="3"/>
      <c r="C474" s="3"/>
      <c r="D474" s="3"/>
      <c r="E474" s="3"/>
      <c r="F474" s="3"/>
      <c r="G474" s="4"/>
      <c r="H474" s="4"/>
      <c r="I474" s="4"/>
      <c r="J474" s="4"/>
      <c r="K474" s="4"/>
      <c r="L474" s="4"/>
      <c r="M474" s="3"/>
      <c r="N474" s="3"/>
      <c r="O474" s="3"/>
      <c r="P474" s="3"/>
      <c r="Q474" s="3"/>
      <c r="R474" s="3"/>
      <c r="S474" s="3"/>
      <c r="T474" s="3"/>
      <c r="U474" s="3"/>
      <c r="V474" s="3"/>
      <c r="W474" s="3"/>
      <c r="X474" s="3"/>
      <c r="Y474" s="3"/>
      <c r="Z474" s="3"/>
      <c r="AA474" s="3"/>
      <c r="AB474" s="3"/>
      <c r="AC474" s="3"/>
    </row>
    <row r="475" customFormat="false" ht="21.75" hidden="false" customHeight="true" outlineLevel="0" collapsed="false">
      <c r="A475" s="3"/>
      <c r="B475" s="3"/>
      <c r="C475" s="3"/>
      <c r="D475" s="3"/>
      <c r="E475" s="3"/>
      <c r="F475" s="3"/>
      <c r="G475" s="4"/>
      <c r="H475" s="4"/>
      <c r="I475" s="4"/>
      <c r="J475" s="4"/>
      <c r="K475" s="4"/>
      <c r="L475" s="4"/>
      <c r="M475" s="3"/>
      <c r="N475" s="3"/>
      <c r="O475" s="3"/>
      <c r="P475" s="3"/>
      <c r="Q475" s="3"/>
      <c r="R475" s="3"/>
      <c r="S475" s="3"/>
      <c r="T475" s="3"/>
      <c r="U475" s="3"/>
      <c r="V475" s="3"/>
      <c r="W475" s="3"/>
      <c r="X475" s="3"/>
      <c r="Y475" s="3"/>
      <c r="Z475" s="3"/>
      <c r="AA475" s="3"/>
      <c r="AB475" s="3"/>
      <c r="AC475" s="3"/>
    </row>
    <row r="476" customFormat="false" ht="21.75" hidden="false" customHeight="true" outlineLevel="0" collapsed="false">
      <c r="A476" s="3"/>
      <c r="B476" s="3"/>
      <c r="C476" s="3"/>
      <c r="D476" s="3"/>
      <c r="E476" s="3"/>
      <c r="F476" s="3"/>
      <c r="G476" s="4"/>
      <c r="H476" s="4"/>
      <c r="I476" s="4"/>
      <c r="J476" s="4"/>
      <c r="K476" s="4"/>
      <c r="L476" s="4"/>
      <c r="M476" s="3"/>
      <c r="N476" s="3"/>
      <c r="O476" s="3"/>
      <c r="P476" s="3"/>
      <c r="Q476" s="3"/>
      <c r="R476" s="3"/>
      <c r="S476" s="3"/>
      <c r="T476" s="3"/>
      <c r="U476" s="3"/>
      <c r="V476" s="3"/>
      <c r="W476" s="3"/>
      <c r="X476" s="3"/>
      <c r="Y476" s="3"/>
      <c r="Z476" s="3"/>
      <c r="AA476" s="3"/>
      <c r="AB476" s="3"/>
      <c r="AC476" s="3"/>
    </row>
    <row r="477" customFormat="false" ht="21.75" hidden="false" customHeight="true" outlineLevel="0" collapsed="false">
      <c r="A477" s="3"/>
      <c r="B477" s="3"/>
      <c r="C477" s="3"/>
      <c r="D477" s="3"/>
      <c r="E477" s="3"/>
      <c r="F477" s="3"/>
      <c r="G477" s="4"/>
      <c r="H477" s="4"/>
      <c r="I477" s="4"/>
      <c r="J477" s="4"/>
      <c r="K477" s="4"/>
      <c r="L477" s="4"/>
      <c r="M477" s="3"/>
      <c r="N477" s="3"/>
      <c r="O477" s="3"/>
      <c r="P477" s="3"/>
      <c r="Q477" s="3"/>
      <c r="R477" s="3"/>
      <c r="S477" s="3"/>
      <c r="T477" s="3"/>
      <c r="U477" s="3"/>
      <c r="V477" s="3"/>
      <c r="W477" s="3"/>
      <c r="X477" s="3"/>
      <c r="Y477" s="3"/>
      <c r="Z477" s="3"/>
      <c r="AA477" s="3"/>
      <c r="AB477" s="3"/>
      <c r="AC477" s="3"/>
    </row>
    <row r="478" customFormat="false" ht="21.75" hidden="false" customHeight="true" outlineLevel="0" collapsed="false">
      <c r="A478" s="3"/>
      <c r="B478" s="3"/>
      <c r="C478" s="3"/>
      <c r="D478" s="3"/>
      <c r="E478" s="3"/>
      <c r="F478" s="3"/>
      <c r="G478" s="4"/>
      <c r="H478" s="4"/>
      <c r="I478" s="4"/>
      <c r="J478" s="4"/>
      <c r="K478" s="4"/>
      <c r="L478" s="4"/>
      <c r="M478" s="3"/>
      <c r="N478" s="3"/>
      <c r="O478" s="3"/>
      <c r="P478" s="3"/>
      <c r="Q478" s="3"/>
      <c r="R478" s="3"/>
      <c r="S478" s="3"/>
      <c r="T478" s="3"/>
      <c r="U478" s="3"/>
      <c r="V478" s="3"/>
      <c r="W478" s="3"/>
      <c r="X478" s="3"/>
      <c r="Y478" s="3"/>
      <c r="Z478" s="3"/>
      <c r="AA478" s="3"/>
      <c r="AB478" s="3"/>
      <c r="AC478" s="3"/>
    </row>
    <row r="479" customFormat="false" ht="21.75" hidden="false" customHeight="true" outlineLevel="0" collapsed="false">
      <c r="A479" s="3"/>
      <c r="B479" s="3"/>
      <c r="C479" s="3"/>
      <c r="D479" s="3"/>
      <c r="E479" s="3"/>
      <c r="F479" s="3"/>
      <c r="G479" s="4"/>
      <c r="H479" s="4"/>
      <c r="I479" s="4"/>
      <c r="J479" s="4"/>
      <c r="K479" s="4"/>
      <c r="L479" s="4"/>
      <c r="M479" s="3"/>
      <c r="N479" s="3"/>
      <c r="O479" s="3"/>
      <c r="P479" s="3"/>
      <c r="Q479" s="3"/>
      <c r="R479" s="3"/>
      <c r="S479" s="3"/>
      <c r="T479" s="3"/>
      <c r="U479" s="3"/>
      <c r="V479" s="3"/>
      <c r="W479" s="3"/>
      <c r="X479" s="3"/>
      <c r="Y479" s="3"/>
      <c r="Z479" s="3"/>
      <c r="AA479" s="3"/>
      <c r="AB479" s="3"/>
      <c r="AC479" s="3"/>
    </row>
    <row r="480" customFormat="false" ht="21.75" hidden="false" customHeight="true" outlineLevel="0" collapsed="false">
      <c r="A480" s="3"/>
      <c r="B480" s="3"/>
      <c r="C480" s="3"/>
      <c r="D480" s="3"/>
      <c r="E480" s="3"/>
      <c r="F480" s="3"/>
      <c r="G480" s="4"/>
      <c r="H480" s="4"/>
      <c r="I480" s="4"/>
      <c r="J480" s="4"/>
      <c r="K480" s="4"/>
      <c r="L480" s="4"/>
      <c r="M480" s="3"/>
      <c r="N480" s="3"/>
      <c r="O480" s="3"/>
      <c r="P480" s="3"/>
      <c r="Q480" s="3"/>
      <c r="R480" s="3"/>
      <c r="S480" s="3"/>
      <c r="T480" s="3"/>
      <c r="U480" s="3"/>
      <c r="V480" s="3"/>
      <c r="W480" s="3"/>
      <c r="X480" s="3"/>
      <c r="Y480" s="3"/>
      <c r="Z480" s="3"/>
      <c r="AA480" s="3"/>
      <c r="AB480" s="3"/>
      <c r="AC480" s="3"/>
    </row>
    <row r="481" customFormat="false" ht="21.75" hidden="false" customHeight="true" outlineLevel="0" collapsed="false">
      <c r="A481" s="3"/>
      <c r="B481" s="3"/>
      <c r="C481" s="3"/>
      <c r="D481" s="3"/>
      <c r="E481" s="3"/>
      <c r="F481" s="3"/>
      <c r="G481" s="4"/>
      <c r="H481" s="4"/>
      <c r="I481" s="4"/>
      <c r="J481" s="4"/>
      <c r="K481" s="4"/>
      <c r="L481" s="4"/>
      <c r="M481" s="3"/>
      <c r="N481" s="3"/>
      <c r="O481" s="3"/>
      <c r="P481" s="3"/>
      <c r="Q481" s="3"/>
      <c r="R481" s="3"/>
      <c r="S481" s="3"/>
      <c r="T481" s="3"/>
      <c r="U481" s="3"/>
      <c r="V481" s="3"/>
      <c r="W481" s="3"/>
      <c r="X481" s="3"/>
      <c r="Y481" s="3"/>
      <c r="Z481" s="3"/>
      <c r="AA481" s="3"/>
      <c r="AB481" s="3"/>
      <c r="AC481" s="3"/>
    </row>
    <row r="482" customFormat="false" ht="21.75" hidden="false" customHeight="true" outlineLevel="0" collapsed="false">
      <c r="A482" s="3"/>
      <c r="B482" s="3"/>
      <c r="C482" s="3"/>
      <c r="D482" s="3"/>
      <c r="E482" s="3"/>
      <c r="F482" s="3"/>
      <c r="G482" s="4"/>
      <c r="H482" s="4"/>
      <c r="I482" s="4"/>
      <c r="J482" s="4"/>
      <c r="K482" s="4"/>
      <c r="L482" s="4"/>
      <c r="M482" s="3"/>
      <c r="N482" s="3"/>
      <c r="O482" s="3"/>
      <c r="P482" s="3"/>
      <c r="Q482" s="3"/>
      <c r="R482" s="3"/>
      <c r="S482" s="3"/>
      <c r="T482" s="3"/>
      <c r="U482" s="3"/>
      <c r="V482" s="3"/>
      <c r="W482" s="3"/>
      <c r="X482" s="3"/>
      <c r="Y482" s="3"/>
      <c r="Z482" s="3"/>
      <c r="AA482" s="3"/>
      <c r="AB482" s="3"/>
      <c r="AC482" s="3"/>
    </row>
    <row r="483" customFormat="false" ht="21.75" hidden="false" customHeight="true" outlineLevel="0" collapsed="false">
      <c r="A483" s="3"/>
      <c r="B483" s="3"/>
      <c r="C483" s="3"/>
      <c r="D483" s="3"/>
      <c r="E483" s="3"/>
      <c r="F483" s="3"/>
      <c r="G483" s="4"/>
      <c r="H483" s="4"/>
      <c r="I483" s="4"/>
      <c r="J483" s="4"/>
      <c r="K483" s="4"/>
      <c r="L483" s="4"/>
      <c r="M483" s="3"/>
      <c r="N483" s="3"/>
      <c r="O483" s="3"/>
      <c r="P483" s="3"/>
      <c r="Q483" s="3"/>
      <c r="R483" s="3"/>
      <c r="S483" s="3"/>
      <c r="T483" s="3"/>
      <c r="U483" s="3"/>
      <c r="V483" s="3"/>
      <c r="W483" s="3"/>
      <c r="X483" s="3"/>
      <c r="Y483" s="3"/>
      <c r="Z483" s="3"/>
      <c r="AA483" s="3"/>
      <c r="AB483" s="3"/>
      <c r="AC483" s="3"/>
    </row>
    <row r="484" customFormat="false" ht="21.75" hidden="false" customHeight="true" outlineLevel="0" collapsed="false">
      <c r="A484" s="3"/>
      <c r="B484" s="3"/>
      <c r="C484" s="3"/>
      <c r="D484" s="3"/>
      <c r="E484" s="3"/>
      <c r="F484" s="3"/>
      <c r="G484" s="4"/>
      <c r="H484" s="4"/>
      <c r="I484" s="4"/>
      <c r="J484" s="4"/>
      <c r="K484" s="4"/>
      <c r="L484" s="4"/>
      <c r="M484" s="3"/>
      <c r="N484" s="3"/>
      <c r="O484" s="3"/>
      <c r="P484" s="3"/>
      <c r="Q484" s="3"/>
      <c r="R484" s="3"/>
      <c r="S484" s="3"/>
      <c r="T484" s="3"/>
      <c r="U484" s="3"/>
      <c r="V484" s="3"/>
      <c r="W484" s="3"/>
      <c r="X484" s="3"/>
      <c r="Y484" s="3"/>
      <c r="Z484" s="3"/>
      <c r="AA484" s="3"/>
      <c r="AB484" s="3"/>
      <c r="AC484" s="3"/>
    </row>
    <row r="485" customFormat="false" ht="21.75" hidden="false" customHeight="true" outlineLevel="0" collapsed="false">
      <c r="A485" s="3"/>
      <c r="B485" s="3"/>
      <c r="C485" s="3"/>
      <c r="D485" s="3"/>
      <c r="E485" s="3"/>
      <c r="F485" s="3"/>
      <c r="G485" s="4"/>
      <c r="H485" s="4"/>
      <c r="I485" s="4"/>
      <c r="J485" s="4"/>
      <c r="K485" s="4"/>
      <c r="L485" s="4"/>
      <c r="M485" s="3"/>
      <c r="N485" s="3"/>
      <c r="O485" s="3"/>
      <c r="P485" s="3"/>
      <c r="Q485" s="3"/>
      <c r="R485" s="3"/>
      <c r="S485" s="3"/>
      <c r="T485" s="3"/>
      <c r="U485" s="3"/>
      <c r="V485" s="3"/>
      <c r="W485" s="3"/>
      <c r="X485" s="3"/>
      <c r="Y485" s="3"/>
      <c r="Z485" s="3"/>
      <c r="AA485" s="3"/>
      <c r="AB485" s="3"/>
      <c r="AC485" s="3"/>
    </row>
    <row r="486" customFormat="false" ht="21.75" hidden="false" customHeight="true" outlineLevel="0" collapsed="false">
      <c r="A486" s="3"/>
      <c r="B486" s="3"/>
      <c r="C486" s="3"/>
      <c r="D486" s="3"/>
      <c r="E486" s="3"/>
      <c r="F486" s="3"/>
      <c r="G486" s="4"/>
      <c r="H486" s="4"/>
      <c r="I486" s="4"/>
      <c r="J486" s="4"/>
      <c r="K486" s="4"/>
      <c r="L486" s="4"/>
      <c r="M486" s="3"/>
      <c r="N486" s="3"/>
      <c r="O486" s="3"/>
      <c r="P486" s="3"/>
      <c r="Q486" s="3"/>
      <c r="R486" s="3"/>
      <c r="S486" s="3"/>
      <c r="T486" s="3"/>
      <c r="U486" s="3"/>
      <c r="V486" s="3"/>
      <c r="W486" s="3"/>
      <c r="X486" s="3"/>
      <c r="Y486" s="3"/>
      <c r="Z486" s="3"/>
      <c r="AA486" s="3"/>
      <c r="AB486" s="3"/>
      <c r="AC486" s="3"/>
    </row>
    <row r="487" customFormat="false" ht="21.75" hidden="false" customHeight="true" outlineLevel="0" collapsed="false">
      <c r="A487" s="3"/>
      <c r="B487" s="3"/>
      <c r="C487" s="3"/>
      <c r="D487" s="3"/>
      <c r="E487" s="3"/>
      <c r="F487" s="3"/>
      <c r="G487" s="4"/>
      <c r="H487" s="4"/>
      <c r="I487" s="4"/>
      <c r="J487" s="4"/>
      <c r="K487" s="4"/>
      <c r="L487" s="4"/>
      <c r="M487" s="3"/>
      <c r="N487" s="3"/>
      <c r="O487" s="3"/>
      <c r="P487" s="3"/>
      <c r="Q487" s="3"/>
      <c r="R487" s="3"/>
      <c r="S487" s="3"/>
      <c r="T487" s="3"/>
      <c r="U487" s="3"/>
      <c r="V487" s="3"/>
      <c r="W487" s="3"/>
      <c r="X487" s="3"/>
      <c r="Y487" s="3"/>
      <c r="Z487" s="3"/>
      <c r="AA487" s="3"/>
      <c r="AB487" s="3"/>
      <c r="AC487" s="3"/>
    </row>
    <row r="488" customFormat="false" ht="21.75" hidden="false" customHeight="true" outlineLevel="0" collapsed="false">
      <c r="A488" s="3"/>
      <c r="B488" s="3"/>
      <c r="C488" s="3"/>
      <c r="D488" s="3"/>
      <c r="E488" s="3"/>
      <c r="F488" s="3"/>
      <c r="G488" s="4"/>
      <c r="H488" s="4"/>
      <c r="I488" s="4"/>
      <c r="J488" s="4"/>
      <c r="K488" s="4"/>
      <c r="L488" s="4"/>
      <c r="M488" s="3"/>
      <c r="N488" s="3"/>
      <c r="O488" s="3"/>
      <c r="P488" s="3"/>
      <c r="Q488" s="3"/>
      <c r="R488" s="3"/>
      <c r="S488" s="3"/>
      <c r="T488" s="3"/>
      <c r="U488" s="3"/>
      <c r="V488" s="3"/>
      <c r="W488" s="3"/>
      <c r="X488" s="3"/>
      <c r="Y488" s="3"/>
      <c r="Z488" s="3"/>
      <c r="AA488" s="3"/>
      <c r="AB488" s="3"/>
      <c r="AC488" s="3"/>
    </row>
    <row r="489" customFormat="false" ht="21.75" hidden="false" customHeight="true" outlineLevel="0" collapsed="false">
      <c r="A489" s="3"/>
      <c r="B489" s="3"/>
      <c r="C489" s="3"/>
      <c r="D489" s="3"/>
      <c r="E489" s="3"/>
      <c r="F489" s="3"/>
      <c r="G489" s="4"/>
      <c r="H489" s="4"/>
      <c r="I489" s="4"/>
      <c r="J489" s="4"/>
      <c r="K489" s="4"/>
      <c r="L489" s="4"/>
      <c r="M489" s="3"/>
      <c r="N489" s="3"/>
      <c r="O489" s="3"/>
      <c r="P489" s="3"/>
      <c r="Q489" s="3"/>
      <c r="R489" s="3"/>
      <c r="S489" s="3"/>
      <c r="T489" s="3"/>
      <c r="U489" s="3"/>
      <c r="V489" s="3"/>
      <c r="W489" s="3"/>
      <c r="X489" s="3"/>
      <c r="Y489" s="3"/>
      <c r="Z489" s="3"/>
      <c r="AA489" s="3"/>
      <c r="AB489" s="3"/>
      <c r="AC489" s="3"/>
    </row>
    <row r="490" customFormat="false" ht="21.75" hidden="false" customHeight="true" outlineLevel="0" collapsed="false">
      <c r="A490" s="3"/>
      <c r="B490" s="3"/>
      <c r="C490" s="3"/>
      <c r="D490" s="3"/>
      <c r="E490" s="3"/>
      <c r="F490" s="3"/>
      <c r="G490" s="4"/>
      <c r="H490" s="4"/>
      <c r="I490" s="4"/>
      <c r="J490" s="4"/>
      <c r="K490" s="4"/>
      <c r="L490" s="4"/>
      <c r="M490" s="3"/>
      <c r="N490" s="3"/>
      <c r="O490" s="3"/>
      <c r="P490" s="3"/>
      <c r="Q490" s="3"/>
      <c r="R490" s="3"/>
      <c r="S490" s="3"/>
      <c r="T490" s="3"/>
      <c r="U490" s="3"/>
      <c r="V490" s="3"/>
      <c r="W490" s="3"/>
      <c r="X490" s="3"/>
      <c r="Y490" s="3"/>
      <c r="Z490" s="3"/>
      <c r="AA490" s="3"/>
      <c r="AB490" s="3"/>
      <c r="AC490" s="3"/>
    </row>
    <row r="491" customFormat="false" ht="21.75" hidden="false" customHeight="true" outlineLevel="0" collapsed="false">
      <c r="A491" s="3"/>
      <c r="B491" s="3"/>
      <c r="C491" s="3"/>
      <c r="D491" s="3"/>
      <c r="E491" s="3"/>
      <c r="F491" s="3"/>
      <c r="G491" s="4"/>
      <c r="H491" s="4"/>
      <c r="I491" s="4"/>
      <c r="J491" s="4"/>
      <c r="K491" s="4"/>
      <c r="L491" s="4"/>
      <c r="M491" s="3"/>
      <c r="N491" s="3"/>
      <c r="O491" s="3"/>
      <c r="P491" s="3"/>
      <c r="Q491" s="3"/>
      <c r="R491" s="3"/>
      <c r="S491" s="3"/>
      <c r="T491" s="3"/>
      <c r="U491" s="3"/>
      <c r="V491" s="3"/>
      <c r="W491" s="3"/>
      <c r="X491" s="3"/>
      <c r="Y491" s="3"/>
      <c r="Z491" s="3"/>
      <c r="AA491" s="3"/>
      <c r="AB491" s="3"/>
      <c r="AC491" s="3"/>
    </row>
    <row r="492" customFormat="false" ht="21.75" hidden="false" customHeight="true" outlineLevel="0" collapsed="false">
      <c r="A492" s="3"/>
      <c r="B492" s="3"/>
      <c r="C492" s="3"/>
      <c r="D492" s="3"/>
      <c r="E492" s="3"/>
      <c r="F492" s="3"/>
      <c r="G492" s="4"/>
      <c r="H492" s="4"/>
      <c r="I492" s="4"/>
      <c r="J492" s="4"/>
      <c r="K492" s="4"/>
      <c r="L492" s="4"/>
      <c r="M492" s="3"/>
      <c r="N492" s="3"/>
      <c r="O492" s="3"/>
      <c r="P492" s="3"/>
      <c r="Q492" s="3"/>
      <c r="R492" s="3"/>
      <c r="S492" s="3"/>
      <c r="T492" s="3"/>
      <c r="U492" s="3"/>
      <c r="V492" s="3"/>
      <c r="W492" s="3"/>
      <c r="X492" s="3"/>
      <c r="Y492" s="3"/>
      <c r="Z492" s="3"/>
      <c r="AA492" s="3"/>
      <c r="AB492" s="3"/>
      <c r="AC492" s="3"/>
    </row>
    <row r="493" customFormat="false" ht="21.75" hidden="false" customHeight="true" outlineLevel="0" collapsed="false">
      <c r="A493" s="3"/>
      <c r="B493" s="3"/>
      <c r="C493" s="3"/>
      <c r="D493" s="3"/>
      <c r="E493" s="3"/>
      <c r="F493" s="3"/>
      <c r="G493" s="4"/>
      <c r="H493" s="4"/>
      <c r="I493" s="4"/>
      <c r="J493" s="4"/>
      <c r="K493" s="4"/>
      <c r="L493" s="4"/>
      <c r="M493" s="3"/>
      <c r="N493" s="3"/>
      <c r="O493" s="3"/>
      <c r="P493" s="3"/>
      <c r="Q493" s="3"/>
      <c r="R493" s="3"/>
      <c r="S493" s="3"/>
      <c r="T493" s="3"/>
      <c r="U493" s="3"/>
      <c r="V493" s="3"/>
      <c r="W493" s="3"/>
      <c r="X493" s="3"/>
      <c r="Y493" s="3"/>
      <c r="Z493" s="3"/>
      <c r="AA493" s="3"/>
      <c r="AB493" s="3"/>
      <c r="AC493" s="3"/>
    </row>
    <row r="494" customFormat="false" ht="21.75" hidden="false" customHeight="true" outlineLevel="0" collapsed="false">
      <c r="A494" s="3"/>
      <c r="B494" s="3"/>
      <c r="C494" s="3"/>
      <c r="D494" s="3"/>
      <c r="E494" s="3"/>
      <c r="F494" s="3"/>
      <c r="G494" s="4"/>
      <c r="H494" s="4"/>
      <c r="I494" s="4"/>
      <c r="J494" s="4"/>
      <c r="K494" s="4"/>
      <c r="L494" s="4"/>
      <c r="M494" s="3"/>
      <c r="N494" s="3"/>
      <c r="O494" s="3"/>
      <c r="P494" s="3"/>
      <c r="Q494" s="3"/>
      <c r="R494" s="3"/>
      <c r="S494" s="3"/>
      <c r="T494" s="3"/>
      <c r="U494" s="3"/>
      <c r="V494" s="3"/>
      <c r="W494" s="3"/>
      <c r="X494" s="3"/>
      <c r="Y494" s="3"/>
      <c r="Z494" s="3"/>
      <c r="AA494" s="3"/>
      <c r="AB494" s="3"/>
      <c r="AC494" s="3"/>
    </row>
    <row r="495" customFormat="false" ht="21.75" hidden="false" customHeight="true" outlineLevel="0" collapsed="false">
      <c r="A495" s="3"/>
      <c r="B495" s="3"/>
      <c r="C495" s="3"/>
      <c r="D495" s="3"/>
      <c r="E495" s="3"/>
      <c r="F495" s="3"/>
      <c r="G495" s="4"/>
      <c r="H495" s="4"/>
      <c r="I495" s="4"/>
      <c r="J495" s="4"/>
      <c r="K495" s="4"/>
      <c r="L495" s="4"/>
      <c r="M495" s="3"/>
      <c r="N495" s="3"/>
      <c r="O495" s="3"/>
      <c r="P495" s="3"/>
      <c r="Q495" s="3"/>
      <c r="R495" s="3"/>
      <c r="S495" s="3"/>
      <c r="T495" s="3"/>
      <c r="U495" s="3"/>
      <c r="V495" s="3"/>
      <c r="W495" s="3"/>
      <c r="X495" s="3"/>
      <c r="Y495" s="3"/>
      <c r="Z495" s="3"/>
      <c r="AA495" s="3"/>
      <c r="AB495" s="3"/>
      <c r="AC495" s="3"/>
    </row>
    <row r="496" customFormat="false" ht="21.75" hidden="false" customHeight="true" outlineLevel="0" collapsed="false">
      <c r="A496" s="3"/>
      <c r="B496" s="3"/>
      <c r="C496" s="3"/>
      <c r="D496" s="3"/>
      <c r="E496" s="3"/>
      <c r="F496" s="3"/>
      <c r="G496" s="4"/>
      <c r="H496" s="4"/>
      <c r="I496" s="4"/>
      <c r="J496" s="4"/>
      <c r="K496" s="4"/>
      <c r="L496" s="4"/>
      <c r="M496" s="3"/>
      <c r="N496" s="3"/>
      <c r="O496" s="3"/>
      <c r="P496" s="3"/>
      <c r="Q496" s="3"/>
      <c r="R496" s="3"/>
      <c r="S496" s="3"/>
      <c r="T496" s="3"/>
      <c r="U496" s="3"/>
      <c r="V496" s="3"/>
      <c r="W496" s="3"/>
      <c r="X496" s="3"/>
      <c r="Y496" s="3"/>
      <c r="Z496" s="3"/>
      <c r="AA496" s="3"/>
      <c r="AB496" s="3"/>
      <c r="AC496" s="3"/>
    </row>
    <row r="497" customFormat="false" ht="21.75" hidden="false" customHeight="true" outlineLevel="0" collapsed="false">
      <c r="A497" s="3"/>
      <c r="B497" s="3"/>
      <c r="C497" s="3"/>
      <c r="D497" s="3"/>
      <c r="E497" s="3"/>
      <c r="F497" s="3"/>
      <c r="G497" s="4"/>
      <c r="H497" s="4"/>
      <c r="I497" s="4"/>
      <c r="J497" s="4"/>
      <c r="K497" s="4"/>
      <c r="L497" s="4"/>
      <c r="M497" s="3"/>
      <c r="N497" s="3"/>
      <c r="O497" s="3"/>
      <c r="P497" s="3"/>
      <c r="Q497" s="3"/>
      <c r="R497" s="3"/>
      <c r="S497" s="3"/>
      <c r="T497" s="3"/>
      <c r="U497" s="3"/>
      <c r="V497" s="3"/>
      <c r="W497" s="3"/>
      <c r="X497" s="3"/>
      <c r="Y497" s="3"/>
      <c r="Z497" s="3"/>
      <c r="AA497" s="3"/>
      <c r="AB497" s="3"/>
      <c r="AC497" s="3"/>
    </row>
    <row r="498" customFormat="false" ht="21.75" hidden="false" customHeight="true" outlineLevel="0" collapsed="false">
      <c r="A498" s="3"/>
      <c r="B498" s="3"/>
      <c r="C498" s="3"/>
      <c r="D498" s="3"/>
      <c r="E498" s="3"/>
      <c r="F498" s="3"/>
      <c r="G498" s="4"/>
      <c r="H498" s="4"/>
      <c r="I498" s="4"/>
      <c r="J498" s="4"/>
      <c r="K498" s="4"/>
      <c r="L498" s="4"/>
      <c r="M498" s="3"/>
      <c r="N498" s="3"/>
      <c r="O498" s="3"/>
      <c r="P498" s="3"/>
      <c r="Q498" s="3"/>
      <c r="R498" s="3"/>
      <c r="S498" s="3"/>
      <c r="T498" s="3"/>
      <c r="U498" s="3"/>
      <c r="V498" s="3"/>
      <c r="W498" s="3"/>
      <c r="X498" s="3"/>
      <c r="Y498" s="3"/>
      <c r="Z498" s="3"/>
      <c r="AA498" s="3"/>
      <c r="AB498" s="3"/>
      <c r="AC498" s="3"/>
    </row>
    <row r="499" customFormat="false" ht="21.75" hidden="false" customHeight="true" outlineLevel="0" collapsed="false">
      <c r="A499" s="3"/>
      <c r="B499" s="3"/>
      <c r="C499" s="3"/>
      <c r="D499" s="3"/>
      <c r="E499" s="3"/>
      <c r="F499" s="3"/>
      <c r="G499" s="4"/>
      <c r="H499" s="4"/>
      <c r="I499" s="4"/>
      <c r="J499" s="4"/>
      <c r="K499" s="4"/>
      <c r="L499" s="4"/>
      <c r="M499" s="3"/>
      <c r="N499" s="3"/>
      <c r="O499" s="3"/>
      <c r="P499" s="3"/>
      <c r="Q499" s="3"/>
      <c r="R499" s="3"/>
      <c r="S499" s="3"/>
      <c r="T499" s="3"/>
      <c r="U499" s="3"/>
      <c r="V499" s="3"/>
      <c r="W499" s="3"/>
      <c r="X499" s="3"/>
      <c r="Y499" s="3"/>
      <c r="Z499" s="3"/>
      <c r="AA499" s="3"/>
      <c r="AB499" s="3"/>
      <c r="AC499" s="3"/>
    </row>
    <row r="500" customFormat="false" ht="21.75" hidden="false" customHeight="true" outlineLevel="0" collapsed="false">
      <c r="A500" s="3"/>
      <c r="B500" s="3"/>
      <c r="C500" s="3"/>
      <c r="D500" s="3"/>
      <c r="E500" s="3"/>
      <c r="F500" s="3"/>
      <c r="G500" s="4"/>
      <c r="H500" s="4"/>
      <c r="I500" s="4"/>
      <c r="J500" s="4"/>
      <c r="K500" s="4"/>
      <c r="L500" s="4"/>
      <c r="M500" s="3"/>
      <c r="N500" s="3"/>
      <c r="O500" s="3"/>
      <c r="P500" s="3"/>
      <c r="Q500" s="3"/>
      <c r="R500" s="3"/>
      <c r="S500" s="3"/>
      <c r="T500" s="3"/>
      <c r="U500" s="3"/>
      <c r="V500" s="3"/>
      <c r="W500" s="3"/>
      <c r="X500" s="3"/>
      <c r="Y500" s="3"/>
      <c r="Z500" s="3"/>
      <c r="AA500" s="3"/>
      <c r="AB500" s="3"/>
      <c r="AC500" s="3"/>
    </row>
  </sheetData>
  <mergeCells count="15">
    <mergeCell ref="B116:J116"/>
    <mergeCell ref="B117:J117"/>
    <mergeCell ref="B118:J118"/>
    <mergeCell ref="B119:J119"/>
    <mergeCell ref="B120:J120"/>
    <mergeCell ref="B121:J121"/>
    <mergeCell ref="B122:J122"/>
    <mergeCell ref="B246:J246"/>
    <mergeCell ref="B247:J247"/>
    <mergeCell ref="B248:J248"/>
    <mergeCell ref="B249:J249"/>
    <mergeCell ref="B250:J250"/>
    <mergeCell ref="B251:J251"/>
    <mergeCell ref="B252:J252"/>
    <mergeCell ref="B253:J25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A8BB"/>
    <pageSetUpPr fitToPage="false"/>
  </sheetPr>
  <dimension ref="A1:AC230"/>
  <sheetViews>
    <sheetView showFormulas="false" showGridLines="false" showRowColHeaders="true" showZeros="true" rightToLeft="false" tabSelected="true" showOutlineSymbols="true" defaultGridColor="true" view="normal" topLeftCell="C1" colorId="64" zoomScale="100" zoomScaleNormal="100" zoomScalePageLayoutView="100" workbookViewId="0">
      <selection pane="topLeft" activeCell="F1" activeCellId="0" sqref="F1"/>
    </sheetView>
  </sheetViews>
  <sheetFormatPr defaultColWidth="8.6796875" defaultRowHeight="13.5" zeroHeight="false" outlineLevelRow="0" outlineLevelCol="0"/>
  <cols>
    <col collapsed="false" customWidth="true" hidden="false" outlineLevel="0" max="1" min="1" style="1" width="3"/>
    <col collapsed="false" customWidth="true" hidden="false" outlineLevel="0" max="2" min="2" style="1" width="27"/>
    <col collapsed="false" customWidth="true" hidden="false" outlineLevel="0" max="3" min="3" style="1" width="56"/>
    <col collapsed="false" customWidth="true" hidden="false" outlineLevel="0" max="4" min="4" style="1" width="24"/>
    <col collapsed="false" customWidth="true" hidden="false" outlineLevel="0" max="5" min="5" style="1" width="70"/>
    <col collapsed="false" customWidth="true" hidden="false" outlineLevel="0" max="13" min="6" style="2" width="24"/>
    <col collapsed="false" customWidth="true" hidden="false" outlineLevel="0" max="14" min="14" style="1" width="80"/>
    <col collapsed="false" customWidth="true" hidden="false" outlineLevel="0" max="29" min="15" style="1" width="24"/>
  </cols>
  <sheetData>
    <row r="1" customFormat="false" ht="21.75" hidden="false" customHeight="true" outlineLevel="0" collapsed="false">
      <c r="A1" s="3"/>
      <c r="B1" s="3"/>
      <c r="C1" s="3"/>
      <c r="D1" s="3"/>
      <c r="E1" s="3"/>
      <c r="F1" s="4"/>
      <c r="G1" s="4"/>
      <c r="H1" s="4"/>
      <c r="I1" s="4"/>
      <c r="J1" s="4"/>
      <c r="K1" s="4"/>
      <c r="L1" s="4"/>
      <c r="M1" s="4"/>
      <c r="N1" s="3"/>
      <c r="O1" s="3"/>
      <c r="P1" s="3"/>
      <c r="Q1" s="3"/>
      <c r="R1" s="3"/>
      <c r="S1" s="3"/>
      <c r="T1" s="3"/>
      <c r="U1" s="3"/>
      <c r="V1" s="3"/>
      <c r="W1" s="3"/>
      <c r="X1" s="3"/>
      <c r="Y1" s="3"/>
      <c r="Z1" s="3"/>
      <c r="AA1" s="3"/>
      <c r="AB1" s="3"/>
      <c r="AC1" s="3"/>
    </row>
    <row r="2" customFormat="false" ht="28.5" hidden="false" customHeight="true" outlineLevel="0" collapsed="false">
      <c r="A2" s="3"/>
      <c r="B2" s="5" t="s">
        <v>7265</v>
      </c>
      <c r="C2" s="7"/>
      <c r="D2" s="7"/>
      <c r="E2" s="7"/>
      <c r="F2" s="6"/>
      <c r="G2" s="6"/>
      <c r="H2" s="6"/>
      <c r="I2" s="6"/>
      <c r="J2" s="6"/>
      <c r="K2" s="6"/>
      <c r="L2" s="6"/>
      <c r="M2" s="6"/>
      <c r="N2" s="7"/>
      <c r="O2" s="7"/>
      <c r="P2" s="7"/>
      <c r="Q2" s="7"/>
      <c r="R2" s="7"/>
      <c r="S2" s="3"/>
      <c r="T2" s="3"/>
      <c r="U2" s="3"/>
      <c r="V2" s="3"/>
      <c r="W2" s="3"/>
      <c r="X2" s="3"/>
      <c r="Y2" s="3"/>
      <c r="Z2" s="3"/>
      <c r="AA2" s="3"/>
      <c r="AB2" s="3"/>
      <c r="AC2" s="3"/>
    </row>
    <row r="3" customFormat="false" ht="22.5" hidden="false" customHeight="true" outlineLevel="0" collapsed="false">
      <c r="A3" s="3"/>
      <c r="B3" s="8" t="s">
        <v>648</v>
      </c>
      <c r="C3" s="7"/>
      <c r="D3" s="7"/>
      <c r="E3" s="7"/>
      <c r="F3" s="6"/>
      <c r="G3" s="6"/>
      <c r="H3" s="6"/>
      <c r="I3" s="6"/>
      <c r="J3" s="6"/>
      <c r="K3" s="6"/>
      <c r="L3" s="6"/>
      <c r="M3" s="6"/>
      <c r="N3" s="7"/>
      <c r="O3" s="7"/>
      <c r="P3" s="7"/>
      <c r="Q3" s="7"/>
      <c r="R3" s="7"/>
      <c r="S3" s="3"/>
      <c r="T3" s="3"/>
      <c r="U3" s="3"/>
      <c r="V3" s="3"/>
      <c r="W3" s="3"/>
      <c r="X3" s="3"/>
      <c r="Y3" s="3"/>
      <c r="Z3" s="3"/>
      <c r="AA3" s="3"/>
      <c r="AB3" s="3"/>
      <c r="AC3" s="3"/>
    </row>
    <row r="4" customFormat="false" ht="21.75" hidden="false" customHeight="true" outlineLevel="0" collapsed="false">
      <c r="A4" s="3"/>
      <c r="B4" s="9"/>
      <c r="C4" s="9"/>
      <c r="D4" s="9"/>
      <c r="E4" s="9"/>
      <c r="F4" s="10"/>
      <c r="G4" s="10"/>
      <c r="H4" s="10"/>
      <c r="I4" s="10"/>
      <c r="J4" s="10"/>
      <c r="K4" s="10"/>
      <c r="L4" s="10"/>
      <c r="M4" s="10"/>
      <c r="N4" s="9"/>
      <c r="O4" s="9"/>
      <c r="P4" s="9"/>
      <c r="Q4" s="9"/>
      <c r="R4" s="9"/>
      <c r="S4" s="3"/>
      <c r="T4" s="3"/>
      <c r="U4" s="3"/>
      <c r="V4" s="3"/>
      <c r="W4" s="3"/>
      <c r="X4" s="3"/>
      <c r="Y4" s="3"/>
      <c r="Z4" s="3"/>
      <c r="AA4" s="3"/>
      <c r="AB4" s="3"/>
      <c r="AC4" s="3"/>
    </row>
    <row r="5" customFormat="false" ht="21.75" hidden="false" customHeight="true" outlineLevel="0" collapsed="false">
      <c r="A5" s="3"/>
      <c r="B5" s="17" t="s">
        <v>7266</v>
      </c>
      <c r="C5" s="9"/>
      <c r="D5" s="9"/>
      <c r="E5" s="9"/>
      <c r="F5" s="10"/>
      <c r="G5" s="10"/>
      <c r="H5" s="10"/>
      <c r="I5" s="10"/>
      <c r="J5" s="10"/>
      <c r="K5" s="10"/>
      <c r="L5" s="10"/>
      <c r="M5" s="10"/>
      <c r="N5" s="9"/>
      <c r="O5" s="9"/>
      <c r="P5" s="9"/>
      <c r="Q5" s="9"/>
      <c r="R5" s="9"/>
      <c r="S5" s="3"/>
      <c r="T5" s="3"/>
      <c r="U5" s="3"/>
      <c r="V5" s="3"/>
      <c r="W5" s="3"/>
      <c r="X5" s="3"/>
      <c r="Y5" s="3"/>
      <c r="Z5" s="3"/>
      <c r="AA5" s="3"/>
      <c r="AB5" s="3"/>
      <c r="AC5" s="3"/>
    </row>
    <row r="6" customFormat="false" ht="21.75" hidden="false" customHeight="true" outlineLevel="0" collapsed="false">
      <c r="A6" s="3"/>
      <c r="B6" s="9"/>
      <c r="C6" s="9"/>
      <c r="D6" s="9"/>
      <c r="E6" s="9"/>
      <c r="F6" s="10"/>
      <c r="G6" s="10"/>
      <c r="H6" s="10"/>
      <c r="I6" s="10"/>
      <c r="J6" s="10"/>
      <c r="K6" s="10"/>
      <c r="L6" s="10"/>
      <c r="M6" s="10"/>
      <c r="N6" s="9"/>
      <c r="O6" s="9"/>
      <c r="P6" s="9"/>
      <c r="Q6" s="9"/>
      <c r="R6" s="9"/>
      <c r="S6" s="3"/>
      <c r="T6" s="3"/>
      <c r="U6" s="3"/>
      <c r="V6" s="3"/>
      <c r="W6" s="3"/>
      <c r="X6" s="3"/>
      <c r="Y6" s="3"/>
      <c r="Z6" s="3"/>
      <c r="AA6" s="3"/>
      <c r="AB6" s="3"/>
      <c r="AC6" s="3"/>
    </row>
    <row r="7" customFormat="false" ht="25.5" hidden="false" customHeight="true" outlineLevel="0" collapsed="false">
      <c r="A7" s="3"/>
      <c r="B7" s="133" t="s">
        <v>6883</v>
      </c>
      <c r="C7" s="133"/>
      <c r="D7" s="133"/>
      <c r="E7" s="133"/>
      <c r="F7" s="40"/>
      <c r="G7" s="40"/>
      <c r="H7" s="40"/>
      <c r="I7" s="10"/>
      <c r="J7" s="10"/>
      <c r="K7" s="10"/>
      <c r="L7" s="10"/>
      <c r="M7" s="10"/>
      <c r="N7" s="9"/>
      <c r="O7" s="9"/>
      <c r="P7" s="9"/>
      <c r="Q7" s="9"/>
      <c r="R7" s="9"/>
      <c r="S7" s="3"/>
      <c r="T7" s="3"/>
      <c r="U7" s="3"/>
      <c r="V7" s="3"/>
      <c r="W7" s="3"/>
      <c r="X7" s="3"/>
      <c r="Y7" s="3"/>
      <c r="Z7" s="3"/>
      <c r="AA7" s="3"/>
      <c r="AB7" s="3"/>
      <c r="AC7" s="3"/>
    </row>
    <row r="8" customFormat="false" ht="36" hidden="false" customHeight="true" outlineLevel="0" collapsed="false">
      <c r="A8" s="3"/>
      <c r="B8" s="21" t="s">
        <v>230</v>
      </c>
      <c r="C8" s="30" t="s">
        <v>6918</v>
      </c>
      <c r="D8" s="30" t="s">
        <v>6903</v>
      </c>
      <c r="E8" s="30" t="s">
        <v>6919</v>
      </c>
      <c r="F8" s="30" t="s">
        <v>6632</v>
      </c>
      <c r="G8" s="30" t="s">
        <v>232</v>
      </c>
      <c r="H8" s="30" t="s">
        <v>6921</v>
      </c>
      <c r="I8" s="30" t="s">
        <v>7130</v>
      </c>
      <c r="J8" s="30" t="s">
        <v>7267</v>
      </c>
      <c r="K8" s="30" t="s">
        <v>7131</v>
      </c>
      <c r="L8" s="30" t="s">
        <v>6924</v>
      </c>
      <c r="M8" s="30" t="s">
        <v>6925</v>
      </c>
      <c r="N8" s="30" t="s">
        <v>240</v>
      </c>
      <c r="O8" s="30" t="s">
        <v>242</v>
      </c>
      <c r="P8" s="30" t="s">
        <v>7268</v>
      </c>
      <c r="Q8" s="30" t="s">
        <v>7269</v>
      </c>
      <c r="R8" s="30" t="s">
        <v>7270</v>
      </c>
      <c r="S8" s="3"/>
      <c r="T8" s="3"/>
      <c r="U8" s="3"/>
      <c r="V8" s="3"/>
      <c r="W8" s="3"/>
      <c r="X8" s="3"/>
      <c r="Y8" s="3"/>
      <c r="Z8" s="3"/>
      <c r="AA8" s="3"/>
      <c r="AB8" s="3"/>
      <c r="AC8" s="3"/>
    </row>
    <row r="9" customFormat="false" ht="87.75" hidden="false" customHeight="true" outlineLevel="0" collapsed="false">
      <c r="A9" s="3"/>
      <c r="B9" s="139" t="s">
        <v>365</v>
      </c>
      <c r="C9" s="109" t="s">
        <v>643</v>
      </c>
      <c r="D9" s="109" t="s">
        <v>646</v>
      </c>
      <c r="E9" s="113" t="s">
        <v>645</v>
      </c>
      <c r="F9" s="92" t="n">
        <v>20.48</v>
      </c>
      <c r="G9" s="91" t="s">
        <v>244</v>
      </c>
      <c r="H9" s="91" t="s">
        <v>590</v>
      </c>
      <c r="I9" s="91" t="s">
        <v>647</v>
      </c>
      <c r="J9" s="144" t="n">
        <v>1</v>
      </c>
      <c r="K9" s="91" t="s">
        <v>632</v>
      </c>
      <c r="L9" s="145" t="n">
        <v>20.48</v>
      </c>
      <c r="M9" s="91" t="s">
        <v>530</v>
      </c>
      <c r="N9" s="109" t="s">
        <v>644</v>
      </c>
      <c r="O9" s="109" t="s">
        <v>586</v>
      </c>
      <c r="P9" s="156" t="n">
        <v>20.48</v>
      </c>
      <c r="Q9" s="109" t="n">
        <v>20.48</v>
      </c>
      <c r="R9" s="109" t="n">
        <v>20.48</v>
      </c>
      <c r="S9" s="3"/>
      <c r="T9" s="3"/>
      <c r="U9" s="3"/>
      <c r="V9" s="3"/>
      <c r="W9" s="3"/>
      <c r="X9" s="3"/>
      <c r="Y9" s="3"/>
      <c r="Z9" s="3"/>
      <c r="AA9" s="3"/>
      <c r="AB9" s="3"/>
      <c r="AC9" s="3"/>
    </row>
    <row r="10" customFormat="false" ht="87.75" hidden="false" customHeight="true" outlineLevel="0" collapsed="false">
      <c r="A10" s="3"/>
      <c r="B10" s="141" t="s">
        <v>369</v>
      </c>
      <c r="C10" s="110" t="s">
        <v>649</v>
      </c>
      <c r="D10" s="110" t="s">
        <v>565</v>
      </c>
      <c r="E10" s="117" t="s">
        <v>651</v>
      </c>
      <c r="F10" s="99" t="n">
        <v>20.24</v>
      </c>
      <c r="G10" s="98" t="s">
        <v>244</v>
      </c>
      <c r="H10" s="98" t="s">
        <v>265</v>
      </c>
      <c r="I10" s="157" t="n">
        <v>0.23</v>
      </c>
      <c r="J10" s="146" t="n">
        <v>1</v>
      </c>
      <c r="K10" s="98" t="s">
        <v>632</v>
      </c>
      <c r="L10" s="147" t="n">
        <v>16.4552845528455</v>
      </c>
      <c r="M10" s="98" t="s">
        <v>530</v>
      </c>
      <c r="N10" s="110" t="s">
        <v>650</v>
      </c>
      <c r="O10" s="110" t="s">
        <v>586</v>
      </c>
      <c r="P10" s="158" t="n">
        <v>16.4552845528455</v>
      </c>
      <c r="Q10" s="110" t="n">
        <v>16.4552845528455</v>
      </c>
      <c r="R10" s="110" t="n">
        <v>16.4552845528455</v>
      </c>
      <c r="S10" s="3"/>
      <c r="T10" s="3"/>
      <c r="U10" s="3"/>
      <c r="V10" s="3"/>
      <c r="W10" s="3"/>
      <c r="X10" s="3"/>
      <c r="Y10" s="3"/>
      <c r="Z10" s="3"/>
      <c r="AA10" s="3"/>
      <c r="AB10" s="3"/>
      <c r="AC10" s="3"/>
    </row>
    <row r="11" customFormat="false" ht="87.75" hidden="false" customHeight="true" outlineLevel="0" collapsed="false">
      <c r="A11" s="3"/>
      <c r="B11" s="139" t="s">
        <v>365</v>
      </c>
      <c r="C11" s="109" t="s">
        <v>718</v>
      </c>
      <c r="D11" s="109" t="s">
        <v>646</v>
      </c>
      <c r="E11" s="113" t="s">
        <v>720</v>
      </c>
      <c r="F11" s="92" t="n">
        <v>16.15</v>
      </c>
      <c r="G11" s="91" t="s">
        <v>244</v>
      </c>
      <c r="H11" s="91" t="s">
        <v>590</v>
      </c>
      <c r="I11" s="91" t="s">
        <v>647</v>
      </c>
      <c r="J11" s="144" t="n">
        <v>1</v>
      </c>
      <c r="K11" s="91" t="s">
        <v>632</v>
      </c>
      <c r="L11" s="145" t="n">
        <v>16.15</v>
      </c>
      <c r="M11" s="91" t="s">
        <v>530</v>
      </c>
      <c r="N11" s="109" t="s">
        <v>719</v>
      </c>
      <c r="O11" s="109" t="s">
        <v>586</v>
      </c>
      <c r="P11" s="156" t="n">
        <v>16.15</v>
      </c>
      <c r="Q11" s="109" t="n">
        <v>16.15</v>
      </c>
      <c r="R11" s="109" t="n">
        <v>16.15</v>
      </c>
      <c r="S11" s="3"/>
      <c r="T11" s="3"/>
      <c r="U11" s="3"/>
      <c r="V11" s="3"/>
      <c r="W11" s="3"/>
      <c r="X11" s="3"/>
      <c r="Y11" s="3"/>
      <c r="Z11" s="3"/>
      <c r="AA11" s="3"/>
      <c r="AB11" s="3"/>
      <c r="AC11" s="3"/>
    </row>
    <row r="12" customFormat="false" ht="87.75" hidden="false" customHeight="true" outlineLevel="0" collapsed="false">
      <c r="A12" s="3"/>
      <c r="B12" s="141" t="s">
        <v>369</v>
      </c>
      <c r="C12" s="110" t="s">
        <v>721</v>
      </c>
      <c r="D12" s="110" t="s">
        <v>565</v>
      </c>
      <c r="E12" s="117" t="s">
        <v>723</v>
      </c>
      <c r="F12" s="99" t="n">
        <v>18.73</v>
      </c>
      <c r="G12" s="98" t="s">
        <v>244</v>
      </c>
      <c r="H12" s="98" t="s">
        <v>265</v>
      </c>
      <c r="I12" s="157" t="n">
        <v>0.23</v>
      </c>
      <c r="J12" s="146" t="n">
        <v>1</v>
      </c>
      <c r="K12" s="98" t="s">
        <v>632</v>
      </c>
      <c r="L12" s="147" t="n">
        <v>15.2276422764228</v>
      </c>
      <c r="M12" s="98" t="s">
        <v>530</v>
      </c>
      <c r="N12" s="110" t="s">
        <v>722</v>
      </c>
      <c r="O12" s="110" t="s">
        <v>586</v>
      </c>
      <c r="P12" s="158" t="n">
        <v>15.2276422764228</v>
      </c>
      <c r="Q12" s="110" t="n">
        <v>15.2276422764228</v>
      </c>
      <c r="R12" s="110" t="n">
        <v>15.2276422764228</v>
      </c>
      <c r="S12" s="3"/>
      <c r="T12" s="3"/>
      <c r="U12" s="3"/>
      <c r="V12" s="3"/>
      <c r="W12" s="3"/>
      <c r="X12" s="3"/>
      <c r="Y12" s="3"/>
      <c r="Z12" s="3"/>
      <c r="AA12" s="3"/>
      <c r="AB12" s="3"/>
      <c r="AC12" s="3"/>
    </row>
    <row r="13" customFormat="false" ht="87.75" hidden="false" customHeight="true" outlineLevel="0" collapsed="false">
      <c r="A13" s="3"/>
      <c r="B13" s="139" t="s">
        <v>365</v>
      </c>
      <c r="C13" s="109" t="s">
        <v>777</v>
      </c>
      <c r="D13" s="109" t="s">
        <v>646</v>
      </c>
      <c r="E13" s="113" t="s">
        <v>779</v>
      </c>
      <c r="F13" s="92" t="n">
        <v>17.61</v>
      </c>
      <c r="G13" s="91" t="s">
        <v>244</v>
      </c>
      <c r="H13" s="91" t="s">
        <v>590</v>
      </c>
      <c r="I13" s="91" t="s">
        <v>647</v>
      </c>
      <c r="J13" s="144" t="n">
        <v>1</v>
      </c>
      <c r="K13" s="91" t="s">
        <v>632</v>
      </c>
      <c r="L13" s="145" t="n">
        <v>17.61</v>
      </c>
      <c r="M13" s="91" t="s">
        <v>702</v>
      </c>
      <c r="N13" s="109" t="s">
        <v>778</v>
      </c>
      <c r="O13" s="109" t="s">
        <v>586</v>
      </c>
      <c r="P13" s="156" t="n">
        <v>17.61</v>
      </c>
      <c r="Q13" s="109" t="n">
        <v>17.61</v>
      </c>
      <c r="R13" s="109" t="n">
        <v>17.61</v>
      </c>
      <c r="S13" s="3"/>
      <c r="T13" s="3"/>
      <c r="U13" s="3"/>
      <c r="V13" s="3"/>
      <c r="W13" s="3"/>
      <c r="X13" s="3"/>
      <c r="Y13" s="3"/>
      <c r="Z13" s="3"/>
      <c r="AA13" s="3"/>
      <c r="AB13" s="3"/>
      <c r="AC13" s="3"/>
    </row>
    <row r="14" customFormat="false" ht="87.75" hidden="false" customHeight="true" outlineLevel="0" collapsed="false">
      <c r="A14" s="3"/>
      <c r="B14" s="141" t="s">
        <v>369</v>
      </c>
      <c r="C14" s="110" t="s">
        <v>780</v>
      </c>
      <c r="D14" s="110" t="s">
        <v>783</v>
      </c>
      <c r="E14" s="117" t="s">
        <v>782</v>
      </c>
      <c r="F14" s="99" t="n">
        <v>7.84</v>
      </c>
      <c r="G14" s="98" t="s">
        <v>244</v>
      </c>
      <c r="H14" s="98" t="s">
        <v>265</v>
      </c>
      <c r="I14" s="157" t="n">
        <v>0.23</v>
      </c>
      <c r="J14" s="146" t="n">
        <v>1</v>
      </c>
      <c r="K14" s="98" t="s">
        <v>632</v>
      </c>
      <c r="L14" s="147" t="n">
        <v>6.3739837398374</v>
      </c>
      <c r="M14" s="98" t="s">
        <v>530</v>
      </c>
      <c r="N14" s="110" t="s">
        <v>781</v>
      </c>
      <c r="O14" s="110" t="s">
        <v>586</v>
      </c>
      <c r="P14" s="158" t="n">
        <v>6.3739837398374</v>
      </c>
      <c r="Q14" s="110" t="n">
        <v>6.3739837398374</v>
      </c>
      <c r="R14" s="110" t="n">
        <v>6.3739837398374</v>
      </c>
      <c r="S14" s="3"/>
      <c r="T14" s="3"/>
      <c r="U14" s="3"/>
      <c r="V14" s="3"/>
      <c r="W14" s="3"/>
      <c r="X14" s="3"/>
      <c r="Y14" s="3"/>
      <c r="Z14" s="3"/>
      <c r="AA14" s="3"/>
      <c r="AB14" s="3"/>
      <c r="AC14" s="3"/>
    </row>
    <row r="15" customFormat="false" ht="87.75" hidden="false" customHeight="true" outlineLevel="0" collapsed="false">
      <c r="A15" s="3"/>
      <c r="B15" s="139" t="s">
        <v>365</v>
      </c>
      <c r="C15" s="109" t="s">
        <v>833</v>
      </c>
      <c r="D15" s="109" t="s">
        <v>646</v>
      </c>
      <c r="E15" s="113" t="s">
        <v>835</v>
      </c>
      <c r="F15" s="92" t="n">
        <v>8.46</v>
      </c>
      <c r="G15" s="91" t="s">
        <v>244</v>
      </c>
      <c r="H15" s="91" t="s">
        <v>590</v>
      </c>
      <c r="I15" s="91" t="s">
        <v>647</v>
      </c>
      <c r="J15" s="144" t="n">
        <v>1</v>
      </c>
      <c r="K15" s="91" t="s">
        <v>632</v>
      </c>
      <c r="L15" s="145" t="n">
        <v>8.46</v>
      </c>
      <c r="M15" s="91" t="s">
        <v>530</v>
      </c>
      <c r="N15" s="109" t="s">
        <v>834</v>
      </c>
      <c r="O15" s="109" t="s">
        <v>586</v>
      </c>
      <c r="P15" s="156" t="n">
        <v>8.46</v>
      </c>
      <c r="Q15" s="109" t="n">
        <v>8.46</v>
      </c>
      <c r="R15" s="109" t="n">
        <v>8.46</v>
      </c>
      <c r="S15" s="3"/>
      <c r="T15" s="3"/>
      <c r="U15" s="3"/>
      <c r="V15" s="3"/>
      <c r="W15" s="3"/>
      <c r="X15" s="3"/>
      <c r="Y15" s="3"/>
      <c r="Z15" s="3"/>
      <c r="AA15" s="3"/>
      <c r="AB15" s="3"/>
      <c r="AC15" s="3"/>
    </row>
    <row r="16" customFormat="false" ht="87.75" hidden="false" customHeight="true" outlineLevel="0" collapsed="false">
      <c r="A16" s="3"/>
      <c r="B16" s="141" t="s">
        <v>369</v>
      </c>
      <c r="C16" s="110" t="s">
        <v>836</v>
      </c>
      <c r="D16" s="110" t="s">
        <v>783</v>
      </c>
      <c r="E16" s="117" t="s">
        <v>838</v>
      </c>
      <c r="F16" s="99" t="n">
        <v>14.06</v>
      </c>
      <c r="G16" s="98" t="s">
        <v>244</v>
      </c>
      <c r="H16" s="98" t="s">
        <v>265</v>
      </c>
      <c r="I16" s="157" t="n">
        <v>0.23</v>
      </c>
      <c r="J16" s="146" t="n">
        <v>1</v>
      </c>
      <c r="K16" s="98" t="s">
        <v>632</v>
      </c>
      <c r="L16" s="147" t="n">
        <v>11.4308943089431</v>
      </c>
      <c r="M16" s="98" t="s">
        <v>530</v>
      </c>
      <c r="N16" s="110" t="s">
        <v>837</v>
      </c>
      <c r="O16" s="110" t="s">
        <v>586</v>
      </c>
      <c r="P16" s="158" t="n">
        <v>11.4308943089431</v>
      </c>
      <c r="Q16" s="110" t="n">
        <v>11.4308943089431</v>
      </c>
      <c r="R16" s="110" t="n">
        <v>11.4308943089431</v>
      </c>
      <c r="S16" s="3"/>
      <c r="T16" s="3"/>
      <c r="U16" s="3"/>
      <c r="V16" s="3"/>
      <c r="W16" s="3"/>
      <c r="X16" s="3"/>
      <c r="Y16" s="3"/>
      <c r="Z16" s="3"/>
      <c r="AA16" s="3"/>
      <c r="AB16" s="3"/>
      <c r="AC16" s="3"/>
    </row>
    <row r="17" customFormat="false" ht="87.75" hidden="false" customHeight="true" outlineLevel="0" collapsed="false">
      <c r="A17" s="3"/>
      <c r="B17" s="139" t="s">
        <v>365</v>
      </c>
      <c r="C17" s="109" t="s">
        <v>883</v>
      </c>
      <c r="D17" s="109" t="s">
        <v>875</v>
      </c>
      <c r="E17" s="113" t="s">
        <v>885</v>
      </c>
      <c r="F17" s="92" t="n">
        <v>13.68</v>
      </c>
      <c r="G17" s="91" t="s">
        <v>244</v>
      </c>
      <c r="H17" s="91" t="s">
        <v>590</v>
      </c>
      <c r="I17" s="91" t="s">
        <v>647</v>
      </c>
      <c r="J17" s="144" t="n">
        <v>1</v>
      </c>
      <c r="K17" s="91" t="s">
        <v>632</v>
      </c>
      <c r="L17" s="145" t="n">
        <v>13.68</v>
      </c>
      <c r="M17" s="91" t="s">
        <v>629</v>
      </c>
      <c r="N17" s="109" t="s">
        <v>884</v>
      </c>
      <c r="O17" s="109" t="s">
        <v>586</v>
      </c>
      <c r="P17" s="156"/>
      <c r="Q17" s="109" t="n">
        <v>13.68</v>
      </c>
      <c r="R17" s="109"/>
      <c r="S17" s="3"/>
      <c r="T17" s="3"/>
      <c r="U17" s="3"/>
      <c r="V17" s="3"/>
      <c r="W17" s="3"/>
      <c r="X17" s="3"/>
      <c r="Y17" s="3"/>
      <c r="Z17" s="3"/>
      <c r="AA17" s="3"/>
      <c r="AB17" s="3"/>
      <c r="AC17" s="3"/>
    </row>
    <row r="18" customFormat="false" ht="87.75" hidden="false" customHeight="true" outlineLevel="0" collapsed="false">
      <c r="A18" s="3"/>
      <c r="B18" s="141" t="s">
        <v>369</v>
      </c>
      <c r="C18" s="110" t="s">
        <v>886</v>
      </c>
      <c r="D18" s="110" t="s">
        <v>589</v>
      </c>
      <c r="E18" s="117" t="s">
        <v>888</v>
      </c>
      <c r="F18" s="99" t="n">
        <v>13.16</v>
      </c>
      <c r="G18" s="98" t="s">
        <v>244</v>
      </c>
      <c r="H18" s="98" t="s">
        <v>265</v>
      </c>
      <c r="I18" s="157" t="n">
        <v>0.23</v>
      </c>
      <c r="J18" s="146" t="n">
        <v>1</v>
      </c>
      <c r="K18" s="98" t="s">
        <v>632</v>
      </c>
      <c r="L18" s="147" t="n">
        <v>10.6991869918699</v>
      </c>
      <c r="M18" s="98" t="s">
        <v>629</v>
      </c>
      <c r="N18" s="110" t="s">
        <v>887</v>
      </c>
      <c r="O18" s="110" t="s">
        <v>586</v>
      </c>
      <c r="P18" s="158"/>
      <c r="Q18" s="110" t="n">
        <v>10.6991869918699</v>
      </c>
      <c r="R18" s="110"/>
      <c r="S18" s="3"/>
      <c r="T18" s="3"/>
      <c r="U18" s="3"/>
      <c r="V18" s="3"/>
      <c r="W18" s="3"/>
      <c r="X18" s="3"/>
      <c r="Y18" s="3"/>
      <c r="Z18" s="3"/>
      <c r="AA18" s="3"/>
      <c r="AB18" s="3"/>
      <c r="AC18" s="3"/>
    </row>
    <row r="19" customFormat="false" ht="87.75" hidden="false" customHeight="true" outlineLevel="0" collapsed="false">
      <c r="A19" s="3"/>
      <c r="B19" s="139" t="s">
        <v>365</v>
      </c>
      <c r="C19" s="109" t="s">
        <v>923</v>
      </c>
      <c r="D19" s="109" t="s">
        <v>926</v>
      </c>
      <c r="E19" s="113" t="s">
        <v>925</v>
      </c>
      <c r="F19" s="92" t="n">
        <v>1.28</v>
      </c>
      <c r="G19" s="91" t="s">
        <v>244</v>
      </c>
      <c r="H19" s="91" t="s">
        <v>590</v>
      </c>
      <c r="I19" s="91" t="s">
        <v>647</v>
      </c>
      <c r="J19" s="144" t="n">
        <v>1</v>
      </c>
      <c r="K19" s="91" t="s">
        <v>632</v>
      </c>
      <c r="L19" s="145" t="n">
        <v>1.28</v>
      </c>
      <c r="M19" s="91" t="s">
        <v>702</v>
      </c>
      <c r="N19" s="109" t="s">
        <v>924</v>
      </c>
      <c r="O19" s="109" t="s">
        <v>586</v>
      </c>
      <c r="P19" s="156" t="n">
        <v>1.28</v>
      </c>
      <c r="Q19" s="109" t="n">
        <v>1.28</v>
      </c>
      <c r="R19" s="109" t="n">
        <v>1.28</v>
      </c>
      <c r="S19" s="3"/>
      <c r="T19" s="3"/>
      <c r="U19" s="3"/>
      <c r="V19" s="3"/>
      <c r="W19" s="3"/>
      <c r="X19" s="3"/>
      <c r="Y19" s="3"/>
      <c r="Z19" s="3"/>
      <c r="AA19" s="3"/>
      <c r="AB19" s="3"/>
      <c r="AC19" s="3"/>
    </row>
    <row r="20" customFormat="false" ht="87.75" hidden="false" customHeight="true" outlineLevel="0" collapsed="false">
      <c r="A20" s="3"/>
      <c r="B20" s="141" t="s">
        <v>369</v>
      </c>
      <c r="C20" s="110" t="s">
        <v>927</v>
      </c>
      <c r="D20" s="110" t="s">
        <v>589</v>
      </c>
      <c r="E20" s="117" t="s">
        <v>929</v>
      </c>
      <c r="F20" s="99" t="n">
        <v>18.72</v>
      </c>
      <c r="G20" s="98" t="s">
        <v>244</v>
      </c>
      <c r="H20" s="98" t="s">
        <v>265</v>
      </c>
      <c r="I20" s="157" t="n">
        <v>0.23</v>
      </c>
      <c r="J20" s="146" t="n">
        <v>1</v>
      </c>
      <c r="K20" s="98" t="s">
        <v>632</v>
      </c>
      <c r="L20" s="147" t="n">
        <v>15.219512195122</v>
      </c>
      <c r="M20" s="98" t="s">
        <v>629</v>
      </c>
      <c r="N20" s="110" t="s">
        <v>928</v>
      </c>
      <c r="O20" s="110" t="s">
        <v>586</v>
      </c>
      <c r="P20" s="158"/>
      <c r="Q20" s="110" t="n">
        <v>15.219512195122</v>
      </c>
      <c r="R20" s="110"/>
      <c r="S20" s="3"/>
      <c r="T20" s="3"/>
      <c r="U20" s="3"/>
      <c r="V20" s="3"/>
      <c r="W20" s="3"/>
      <c r="X20" s="3"/>
      <c r="Y20" s="3"/>
      <c r="Z20" s="3"/>
      <c r="AA20" s="3"/>
      <c r="AB20" s="3"/>
      <c r="AC20" s="3"/>
    </row>
    <row r="21" customFormat="false" ht="87.75" hidden="false" customHeight="true" outlineLevel="0" collapsed="false">
      <c r="A21" s="3"/>
      <c r="B21" s="139" t="s">
        <v>365</v>
      </c>
      <c r="C21" s="109" t="s">
        <v>949</v>
      </c>
      <c r="D21" s="109"/>
      <c r="E21" s="113" t="s">
        <v>951</v>
      </c>
      <c r="F21" s="91"/>
      <c r="G21" s="91"/>
      <c r="H21" s="91"/>
      <c r="I21" s="91"/>
      <c r="J21" s="91"/>
      <c r="K21" s="91"/>
      <c r="L21" s="145"/>
      <c r="M21" s="91"/>
      <c r="N21" s="109" t="s">
        <v>950</v>
      </c>
      <c r="O21" s="109" t="s">
        <v>586</v>
      </c>
      <c r="P21" s="156"/>
      <c r="Q21" s="109"/>
      <c r="R21" s="109"/>
      <c r="S21" s="3"/>
      <c r="T21" s="3"/>
      <c r="U21" s="3"/>
      <c r="V21" s="3"/>
      <c r="W21" s="3"/>
      <c r="X21" s="3"/>
      <c r="Y21" s="3"/>
      <c r="Z21" s="3"/>
      <c r="AA21" s="3"/>
      <c r="AB21" s="3"/>
      <c r="AC21" s="3"/>
    </row>
    <row r="22" customFormat="false" ht="87.75" hidden="false" customHeight="true" outlineLevel="0" collapsed="false">
      <c r="A22" s="3"/>
      <c r="B22" s="141" t="s">
        <v>369</v>
      </c>
      <c r="C22" s="110" t="s">
        <v>952</v>
      </c>
      <c r="D22" s="110" t="s">
        <v>565</v>
      </c>
      <c r="E22" s="117" t="s">
        <v>954</v>
      </c>
      <c r="F22" s="99" t="n">
        <v>6.54</v>
      </c>
      <c r="G22" s="98" t="s">
        <v>244</v>
      </c>
      <c r="H22" s="98" t="s">
        <v>265</v>
      </c>
      <c r="I22" s="157" t="n">
        <v>0.23</v>
      </c>
      <c r="J22" s="146" t="n">
        <v>1</v>
      </c>
      <c r="K22" s="98" t="s">
        <v>632</v>
      </c>
      <c r="L22" s="147" t="n">
        <v>5.31707317073171</v>
      </c>
      <c r="M22" s="98" t="s">
        <v>629</v>
      </c>
      <c r="N22" s="110" t="s">
        <v>953</v>
      </c>
      <c r="O22" s="110" t="s">
        <v>586</v>
      </c>
      <c r="P22" s="158"/>
      <c r="Q22" s="110" t="n">
        <v>5.31707317073171</v>
      </c>
      <c r="R22" s="110"/>
      <c r="S22" s="3"/>
      <c r="T22" s="3"/>
      <c r="U22" s="3"/>
      <c r="V22" s="3"/>
      <c r="W22" s="3"/>
      <c r="X22" s="3"/>
      <c r="Y22" s="3"/>
      <c r="Z22" s="3"/>
      <c r="AA22" s="3"/>
      <c r="AB22" s="3"/>
      <c r="AC22" s="3"/>
    </row>
    <row r="23" customFormat="false" ht="87.75" hidden="false" customHeight="true" outlineLevel="0" collapsed="false">
      <c r="A23" s="3"/>
      <c r="B23" s="139" t="s">
        <v>365</v>
      </c>
      <c r="C23" s="109" t="s">
        <v>1007</v>
      </c>
      <c r="D23" s="109" t="s">
        <v>646</v>
      </c>
      <c r="E23" s="113" t="s">
        <v>1009</v>
      </c>
      <c r="F23" s="92" t="n">
        <v>19.42</v>
      </c>
      <c r="G23" s="91" t="s">
        <v>244</v>
      </c>
      <c r="H23" s="91" t="s">
        <v>590</v>
      </c>
      <c r="I23" s="91" t="s">
        <v>647</v>
      </c>
      <c r="J23" s="144" t="n">
        <v>1</v>
      </c>
      <c r="K23" s="91" t="s">
        <v>632</v>
      </c>
      <c r="L23" s="145" t="n">
        <v>19.42</v>
      </c>
      <c r="M23" s="91" t="s">
        <v>629</v>
      </c>
      <c r="N23" s="109" t="s">
        <v>1008</v>
      </c>
      <c r="O23" s="109" t="s">
        <v>586</v>
      </c>
      <c r="P23" s="156"/>
      <c r="Q23" s="109" t="n">
        <v>19.42</v>
      </c>
      <c r="R23" s="109"/>
      <c r="S23" s="3"/>
      <c r="T23" s="3"/>
      <c r="U23" s="3"/>
      <c r="V23" s="3"/>
      <c r="W23" s="3"/>
      <c r="X23" s="3"/>
      <c r="Y23" s="3"/>
      <c r="Z23" s="3"/>
      <c r="AA23" s="3"/>
      <c r="AB23" s="3"/>
      <c r="AC23" s="3"/>
    </row>
    <row r="24" customFormat="false" ht="87.75" hidden="false" customHeight="true" outlineLevel="0" collapsed="false">
      <c r="A24" s="3"/>
      <c r="B24" s="141" t="s">
        <v>369</v>
      </c>
      <c r="C24" s="110" t="s">
        <v>1010</v>
      </c>
      <c r="D24" s="110" t="s">
        <v>565</v>
      </c>
      <c r="E24" s="117" t="s">
        <v>1012</v>
      </c>
      <c r="F24" s="99" t="n">
        <v>26.69</v>
      </c>
      <c r="G24" s="98" t="s">
        <v>244</v>
      </c>
      <c r="H24" s="98" t="s">
        <v>265</v>
      </c>
      <c r="I24" s="157" t="n">
        <v>0.23</v>
      </c>
      <c r="J24" s="146" t="n">
        <v>1</v>
      </c>
      <c r="K24" s="98" t="s">
        <v>632</v>
      </c>
      <c r="L24" s="147" t="n">
        <v>21.6991869918699</v>
      </c>
      <c r="M24" s="98" t="s">
        <v>629</v>
      </c>
      <c r="N24" s="110" t="s">
        <v>1011</v>
      </c>
      <c r="O24" s="110" t="s">
        <v>586</v>
      </c>
      <c r="P24" s="158"/>
      <c r="Q24" s="110" t="n">
        <v>21.6991869918699</v>
      </c>
      <c r="R24" s="110"/>
      <c r="S24" s="3"/>
      <c r="T24" s="3"/>
      <c r="U24" s="3"/>
      <c r="V24" s="3"/>
      <c r="W24" s="3"/>
      <c r="X24" s="3"/>
      <c r="Y24" s="3"/>
      <c r="Z24" s="3"/>
      <c r="AA24" s="3"/>
      <c r="AB24" s="3"/>
      <c r="AC24" s="3"/>
    </row>
    <row r="25" customFormat="false" ht="87.75" hidden="false" customHeight="true" outlineLevel="0" collapsed="false">
      <c r="A25" s="3"/>
      <c r="B25" s="139" t="s">
        <v>365</v>
      </c>
      <c r="C25" s="109" t="s">
        <v>1078</v>
      </c>
      <c r="D25" s="109" t="s">
        <v>388</v>
      </c>
      <c r="E25" s="113" t="s">
        <v>1080</v>
      </c>
      <c r="F25" s="92" t="n">
        <v>20.35</v>
      </c>
      <c r="G25" s="91" t="s">
        <v>244</v>
      </c>
      <c r="H25" s="91" t="s">
        <v>590</v>
      </c>
      <c r="I25" s="91" t="s">
        <v>647</v>
      </c>
      <c r="J25" s="144" t="n">
        <v>1</v>
      </c>
      <c r="K25" s="91" t="s">
        <v>632</v>
      </c>
      <c r="L25" s="145" t="n">
        <v>20.35</v>
      </c>
      <c r="M25" s="91" t="s">
        <v>702</v>
      </c>
      <c r="N25" s="109" t="s">
        <v>1079</v>
      </c>
      <c r="O25" s="109" t="s">
        <v>586</v>
      </c>
      <c r="P25" s="156" t="n">
        <v>20.35</v>
      </c>
      <c r="Q25" s="109" t="n">
        <v>20.35</v>
      </c>
      <c r="R25" s="109" t="n">
        <v>20.35</v>
      </c>
      <c r="S25" s="3"/>
      <c r="T25" s="3"/>
      <c r="U25" s="3"/>
      <c r="V25" s="3"/>
      <c r="W25" s="3"/>
      <c r="X25" s="3"/>
      <c r="Y25" s="3"/>
      <c r="Z25" s="3"/>
      <c r="AA25" s="3"/>
      <c r="AB25" s="3"/>
      <c r="AC25" s="3"/>
    </row>
    <row r="26" customFormat="false" ht="87.75" hidden="false" customHeight="true" outlineLevel="0" collapsed="false">
      <c r="A26" s="3"/>
      <c r="B26" s="141" t="s">
        <v>369</v>
      </c>
      <c r="C26" s="110" t="s">
        <v>1081</v>
      </c>
      <c r="D26" s="110" t="s">
        <v>1074</v>
      </c>
      <c r="E26" s="117" t="s">
        <v>1083</v>
      </c>
      <c r="F26" s="99" t="n">
        <v>63.91</v>
      </c>
      <c r="G26" s="98" t="s">
        <v>244</v>
      </c>
      <c r="H26" s="98" t="s">
        <v>265</v>
      </c>
      <c r="I26" s="157" t="n">
        <v>0.23</v>
      </c>
      <c r="J26" s="146" t="n">
        <v>1</v>
      </c>
      <c r="K26" s="98" t="s">
        <v>632</v>
      </c>
      <c r="L26" s="147" t="n">
        <v>51.9593495934959</v>
      </c>
      <c r="M26" s="98" t="s">
        <v>702</v>
      </c>
      <c r="N26" s="110" t="s">
        <v>1082</v>
      </c>
      <c r="O26" s="110" t="s">
        <v>586</v>
      </c>
      <c r="P26" s="158" t="n">
        <v>51.9593495934959</v>
      </c>
      <c r="Q26" s="110" t="n">
        <v>51.9593495934959</v>
      </c>
      <c r="R26" s="110" t="n">
        <v>51.9593495934959</v>
      </c>
      <c r="S26" s="3"/>
      <c r="T26" s="3"/>
      <c r="U26" s="3"/>
      <c r="V26" s="3"/>
      <c r="W26" s="3"/>
      <c r="X26" s="3"/>
      <c r="Y26" s="3"/>
      <c r="Z26" s="3"/>
      <c r="AA26" s="3"/>
      <c r="AB26" s="3"/>
      <c r="AC26" s="3"/>
    </row>
    <row r="27" customFormat="false" ht="87.75" hidden="false" customHeight="true" outlineLevel="0" collapsed="false">
      <c r="A27" s="3"/>
      <c r="B27" s="139" t="s">
        <v>365</v>
      </c>
      <c r="C27" s="109" t="s">
        <v>1145</v>
      </c>
      <c r="D27" s="109" t="s">
        <v>1030</v>
      </c>
      <c r="E27" s="113" t="s">
        <v>1147</v>
      </c>
      <c r="F27" s="92" t="n">
        <v>32.85</v>
      </c>
      <c r="G27" s="91" t="s">
        <v>244</v>
      </c>
      <c r="H27" s="91" t="s">
        <v>590</v>
      </c>
      <c r="I27" s="91" t="s">
        <v>647</v>
      </c>
      <c r="J27" s="144" t="n">
        <v>1</v>
      </c>
      <c r="K27" s="91" t="s">
        <v>632</v>
      </c>
      <c r="L27" s="145" t="n">
        <v>32.85</v>
      </c>
      <c r="M27" s="91" t="s">
        <v>530</v>
      </c>
      <c r="N27" s="109" t="s">
        <v>1146</v>
      </c>
      <c r="O27" s="109" t="s">
        <v>586</v>
      </c>
      <c r="P27" s="156" t="n">
        <v>32.85</v>
      </c>
      <c r="Q27" s="109" t="n">
        <v>32.85</v>
      </c>
      <c r="R27" s="109" t="n">
        <v>32.85</v>
      </c>
      <c r="S27" s="3"/>
      <c r="T27" s="3"/>
      <c r="U27" s="3"/>
      <c r="V27" s="3"/>
      <c r="W27" s="3"/>
      <c r="X27" s="3"/>
      <c r="Y27" s="3"/>
      <c r="Z27" s="3"/>
      <c r="AA27" s="3"/>
      <c r="AB27" s="3"/>
      <c r="AC27" s="3"/>
    </row>
    <row r="28" customFormat="false" ht="87.75" hidden="false" customHeight="true" outlineLevel="0" collapsed="false">
      <c r="A28" s="3"/>
      <c r="B28" s="141" t="s">
        <v>369</v>
      </c>
      <c r="C28" s="110" t="s">
        <v>1148</v>
      </c>
      <c r="D28" s="110" t="s">
        <v>1074</v>
      </c>
      <c r="E28" s="117" t="s">
        <v>1150</v>
      </c>
      <c r="F28" s="99" t="n">
        <v>93.51</v>
      </c>
      <c r="G28" s="98" t="s">
        <v>244</v>
      </c>
      <c r="H28" s="98" t="s">
        <v>265</v>
      </c>
      <c r="I28" s="157" t="n">
        <v>0.23</v>
      </c>
      <c r="J28" s="146" t="n">
        <v>1</v>
      </c>
      <c r="K28" s="98" t="s">
        <v>632</v>
      </c>
      <c r="L28" s="147" t="n">
        <v>76.0243902439025</v>
      </c>
      <c r="M28" s="98" t="s">
        <v>629</v>
      </c>
      <c r="N28" s="110" t="s">
        <v>1149</v>
      </c>
      <c r="O28" s="110" t="s">
        <v>586</v>
      </c>
      <c r="P28" s="158"/>
      <c r="Q28" s="110" t="n">
        <v>76.0243902439025</v>
      </c>
      <c r="R28" s="110"/>
      <c r="S28" s="3"/>
      <c r="T28" s="3"/>
      <c r="U28" s="3"/>
      <c r="V28" s="3"/>
      <c r="W28" s="3"/>
      <c r="X28" s="3"/>
      <c r="Y28" s="3"/>
      <c r="Z28" s="3"/>
      <c r="AA28" s="3"/>
      <c r="AB28" s="3"/>
      <c r="AC28" s="3"/>
    </row>
    <row r="29" customFormat="false" ht="87.75" hidden="false" customHeight="true" outlineLevel="0" collapsed="false">
      <c r="A29" s="3"/>
      <c r="B29" s="139" t="s">
        <v>365</v>
      </c>
      <c r="C29" s="109" t="s">
        <v>1195</v>
      </c>
      <c r="D29" s="109" t="s">
        <v>388</v>
      </c>
      <c r="E29" s="113" t="s">
        <v>1197</v>
      </c>
      <c r="F29" s="92" t="n">
        <v>6.18</v>
      </c>
      <c r="G29" s="91" t="s">
        <v>244</v>
      </c>
      <c r="H29" s="91" t="s">
        <v>590</v>
      </c>
      <c r="I29" s="91" t="s">
        <v>647</v>
      </c>
      <c r="J29" s="144" t="n">
        <v>1</v>
      </c>
      <c r="K29" s="91" t="s">
        <v>632</v>
      </c>
      <c r="L29" s="145" t="n">
        <v>6.18</v>
      </c>
      <c r="M29" s="91" t="s">
        <v>702</v>
      </c>
      <c r="N29" s="109" t="s">
        <v>1196</v>
      </c>
      <c r="O29" s="109" t="s">
        <v>586</v>
      </c>
      <c r="P29" s="156" t="n">
        <v>6.18</v>
      </c>
      <c r="Q29" s="109" t="n">
        <v>6.18</v>
      </c>
      <c r="R29" s="109" t="n">
        <v>6.18</v>
      </c>
      <c r="S29" s="3"/>
      <c r="T29" s="3"/>
      <c r="U29" s="3"/>
      <c r="V29" s="3"/>
      <c r="W29" s="3"/>
      <c r="X29" s="3"/>
      <c r="Y29" s="3"/>
      <c r="Z29" s="3"/>
      <c r="AA29" s="3"/>
      <c r="AB29" s="3"/>
      <c r="AC29" s="3"/>
    </row>
    <row r="30" customFormat="false" ht="87.75" hidden="false" customHeight="true" outlineLevel="0" collapsed="false">
      <c r="A30" s="3"/>
      <c r="B30" s="141" t="s">
        <v>369</v>
      </c>
      <c r="C30" s="110" t="s">
        <v>1198</v>
      </c>
      <c r="D30" s="110" t="s">
        <v>388</v>
      </c>
      <c r="E30" s="117" t="s">
        <v>1200</v>
      </c>
      <c r="F30" s="99" t="n">
        <v>8.61</v>
      </c>
      <c r="G30" s="98" t="s">
        <v>244</v>
      </c>
      <c r="H30" s="98" t="s">
        <v>265</v>
      </c>
      <c r="I30" s="157" t="n">
        <v>0.23</v>
      </c>
      <c r="J30" s="146" t="n">
        <v>1</v>
      </c>
      <c r="K30" s="98" t="s">
        <v>632</v>
      </c>
      <c r="L30" s="147" t="n">
        <v>7</v>
      </c>
      <c r="M30" s="98" t="s">
        <v>702</v>
      </c>
      <c r="N30" s="110" t="s">
        <v>1199</v>
      </c>
      <c r="O30" s="110" t="s">
        <v>586</v>
      </c>
      <c r="P30" s="158" t="n">
        <v>7</v>
      </c>
      <c r="Q30" s="110" t="n">
        <v>7</v>
      </c>
      <c r="R30" s="110" t="n">
        <v>7</v>
      </c>
      <c r="S30" s="3"/>
      <c r="T30" s="3"/>
      <c r="U30" s="3"/>
      <c r="V30" s="3"/>
      <c r="W30" s="3"/>
      <c r="X30" s="3"/>
      <c r="Y30" s="3"/>
      <c r="Z30" s="3"/>
      <c r="AA30" s="3"/>
      <c r="AB30" s="3"/>
      <c r="AC30" s="3"/>
    </row>
    <row r="31" customFormat="false" ht="87.75" hidden="false" customHeight="true" outlineLevel="0" collapsed="false">
      <c r="A31" s="3"/>
      <c r="B31" s="139" t="s">
        <v>365</v>
      </c>
      <c r="C31" s="109" t="s">
        <v>1262</v>
      </c>
      <c r="D31" s="109" t="s">
        <v>388</v>
      </c>
      <c r="E31" s="113" t="s">
        <v>1264</v>
      </c>
      <c r="F31" s="92" t="n">
        <v>12.65</v>
      </c>
      <c r="G31" s="91" t="s">
        <v>244</v>
      </c>
      <c r="H31" s="91" t="s">
        <v>590</v>
      </c>
      <c r="I31" s="91" t="s">
        <v>647</v>
      </c>
      <c r="J31" s="144" t="n">
        <v>1</v>
      </c>
      <c r="K31" s="91" t="s">
        <v>632</v>
      </c>
      <c r="L31" s="145" t="n">
        <v>12.65</v>
      </c>
      <c r="M31" s="91" t="s">
        <v>702</v>
      </c>
      <c r="N31" s="109" t="s">
        <v>1263</v>
      </c>
      <c r="O31" s="109" t="s">
        <v>586</v>
      </c>
      <c r="P31" s="156" t="n">
        <v>12.65</v>
      </c>
      <c r="Q31" s="109" t="n">
        <v>12.65</v>
      </c>
      <c r="R31" s="109" t="n">
        <v>12.65</v>
      </c>
      <c r="S31" s="3"/>
      <c r="T31" s="3"/>
      <c r="U31" s="3"/>
      <c r="V31" s="3"/>
      <c r="W31" s="3"/>
      <c r="X31" s="3"/>
      <c r="Y31" s="3"/>
      <c r="Z31" s="3"/>
      <c r="AA31" s="3"/>
      <c r="AB31" s="3"/>
      <c r="AC31" s="3"/>
    </row>
    <row r="32" customFormat="false" ht="87.75" hidden="false" customHeight="true" outlineLevel="0" collapsed="false">
      <c r="A32" s="3"/>
      <c r="B32" s="141" t="s">
        <v>369</v>
      </c>
      <c r="C32" s="110" t="s">
        <v>1265</v>
      </c>
      <c r="D32" s="110" t="s">
        <v>565</v>
      </c>
      <c r="E32" s="117" t="s">
        <v>1267</v>
      </c>
      <c r="F32" s="99" t="n">
        <v>22.96</v>
      </c>
      <c r="G32" s="98" t="s">
        <v>244</v>
      </c>
      <c r="H32" s="98" t="s">
        <v>265</v>
      </c>
      <c r="I32" s="157" t="n">
        <v>0.23</v>
      </c>
      <c r="J32" s="146" t="n">
        <v>1</v>
      </c>
      <c r="K32" s="98" t="s">
        <v>632</v>
      </c>
      <c r="L32" s="147" t="n">
        <v>18.6666666666667</v>
      </c>
      <c r="M32" s="98" t="s">
        <v>530</v>
      </c>
      <c r="N32" s="110" t="s">
        <v>1266</v>
      </c>
      <c r="O32" s="110" t="s">
        <v>586</v>
      </c>
      <c r="P32" s="158" t="n">
        <v>18.6666666666667</v>
      </c>
      <c r="Q32" s="110" t="n">
        <v>18.6666666666667</v>
      </c>
      <c r="R32" s="110" t="n">
        <v>18.6666666666667</v>
      </c>
      <c r="S32" s="3"/>
      <c r="T32" s="3"/>
      <c r="U32" s="3"/>
      <c r="V32" s="3"/>
      <c r="W32" s="3"/>
      <c r="X32" s="3"/>
      <c r="Y32" s="3"/>
      <c r="Z32" s="3"/>
      <c r="AA32" s="3"/>
      <c r="AB32" s="3"/>
      <c r="AC32" s="3"/>
    </row>
    <row r="33" customFormat="false" ht="87.75" hidden="false" customHeight="true" outlineLevel="0" collapsed="false">
      <c r="A33" s="3"/>
      <c r="B33" s="139" t="s">
        <v>365</v>
      </c>
      <c r="C33" s="109" t="s">
        <v>1322</v>
      </c>
      <c r="D33" s="109" t="s">
        <v>646</v>
      </c>
      <c r="E33" s="113" t="s">
        <v>1324</v>
      </c>
      <c r="F33" s="92" t="n">
        <v>11.7</v>
      </c>
      <c r="G33" s="91" t="s">
        <v>244</v>
      </c>
      <c r="H33" s="91" t="s">
        <v>590</v>
      </c>
      <c r="I33" s="91" t="s">
        <v>647</v>
      </c>
      <c r="J33" s="144" t="n">
        <v>1</v>
      </c>
      <c r="K33" s="91" t="s">
        <v>632</v>
      </c>
      <c r="L33" s="145" t="n">
        <v>11.7</v>
      </c>
      <c r="M33" s="91" t="s">
        <v>530</v>
      </c>
      <c r="N33" s="109" t="s">
        <v>1323</v>
      </c>
      <c r="O33" s="109" t="s">
        <v>586</v>
      </c>
      <c r="P33" s="156" t="n">
        <v>11.7</v>
      </c>
      <c r="Q33" s="109" t="n">
        <v>11.7</v>
      </c>
      <c r="R33" s="109" t="n">
        <v>11.7</v>
      </c>
      <c r="S33" s="3"/>
      <c r="T33" s="3"/>
      <c r="U33" s="3"/>
      <c r="V33" s="3"/>
      <c r="W33" s="3"/>
      <c r="X33" s="3"/>
      <c r="Y33" s="3"/>
      <c r="Z33" s="3"/>
      <c r="AA33" s="3"/>
      <c r="AB33" s="3"/>
      <c r="AC33" s="3"/>
    </row>
    <row r="34" customFormat="false" ht="87.75" hidden="false" customHeight="true" outlineLevel="0" collapsed="false">
      <c r="A34" s="3"/>
      <c r="B34" s="141" t="s">
        <v>369</v>
      </c>
      <c r="C34" s="110" t="s">
        <v>1325</v>
      </c>
      <c r="D34" s="110" t="s">
        <v>565</v>
      </c>
      <c r="E34" s="117" t="s">
        <v>1327</v>
      </c>
      <c r="F34" s="99" t="n">
        <v>13.61</v>
      </c>
      <c r="G34" s="98" t="s">
        <v>244</v>
      </c>
      <c r="H34" s="98" t="s">
        <v>265</v>
      </c>
      <c r="I34" s="157" t="n">
        <v>0.23</v>
      </c>
      <c r="J34" s="146" t="n">
        <v>1</v>
      </c>
      <c r="K34" s="98" t="s">
        <v>632</v>
      </c>
      <c r="L34" s="147" t="n">
        <v>11.0650406504065</v>
      </c>
      <c r="M34" s="98" t="s">
        <v>530</v>
      </c>
      <c r="N34" s="110" t="s">
        <v>1326</v>
      </c>
      <c r="O34" s="110" t="s">
        <v>586</v>
      </c>
      <c r="P34" s="158" t="n">
        <v>11.0650406504065</v>
      </c>
      <c r="Q34" s="110" t="n">
        <v>11.0650406504065</v>
      </c>
      <c r="R34" s="110" t="n">
        <v>11.0650406504065</v>
      </c>
      <c r="S34" s="3"/>
      <c r="T34" s="3"/>
      <c r="U34" s="3"/>
      <c r="V34" s="3"/>
      <c r="W34" s="3"/>
      <c r="X34" s="3"/>
      <c r="Y34" s="3"/>
      <c r="Z34" s="3"/>
      <c r="AA34" s="3"/>
      <c r="AB34" s="3"/>
      <c r="AC34" s="3"/>
    </row>
    <row r="35" customFormat="false" ht="87.75" hidden="false" customHeight="true" outlineLevel="0" collapsed="false">
      <c r="A35" s="3"/>
      <c r="B35" s="139" t="s">
        <v>365</v>
      </c>
      <c r="C35" s="109" t="s">
        <v>1374</v>
      </c>
      <c r="D35" s="109" t="s">
        <v>646</v>
      </c>
      <c r="E35" s="113" t="s">
        <v>1376</v>
      </c>
      <c r="F35" s="92" t="n">
        <v>15.21</v>
      </c>
      <c r="G35" s="91" t="s">
        <v>244</v>
      </c>
      <c r="H35" s="91" t="s">
        <v>590</v>
      </c>
      <c r="I35" s="91" t="s">
        <v>647</v>
      </c>
      <c r="J35" s="144" t="n">
        <v>1</v>
      </c>
      <c r="K35" s="91" t="s">
        <v>632</v>
      </c>
      <c r="L35" s="145" t="n">
        <v>15.21</v>
      </c>
      <c r="M35" s="91" t="s">
        <v>530</v>
      </c>
      <c r="N35" s="109" t="s">
        <v>1375</v>
      </c>
      <c r="O35" s="109" t="s">
        <v>586</v>
      </c>
      <c r="P35" s="156" t="n">
        <v>15.21</v>
      </c>
      <c r="Q35" s="109" t="n">
        <v>15.21</v>
      </c>
      <c r="R35" s="109" t="n">
        <v>15.21</v>
      </c>
      <c r="S35" s="3"/>
      <c r="T35" s="3"/>
      <c r="U35" s="3"/>
      <c r="V35" s="3"/>
      <c r="W35" s="3"/>
      <c r="X35" s="3"/>
      <c r="Y35" s="3"/>
      <c r="Z35" s="3"/>
      <c r="AA35" s="3"/>
      <c r="AB35" s="3"/>
      <c r="AC35" s="3"/>
    </row>
    <row r="36" customFormat="false" ht="87.75" hidden="false" customHeight="true" outlineLevel="0" collapsed="false">
      <c r="A36" s="3"/>
      <c r="B36" s="141" t="s">
        <v>369</v>
      </c>
      <c r="C36" s="110" t="s">
        <v>1377</v>
      </c>
      <c r="D36" s="110" t="s">
        <v>1380</v>
      </c>
      <c r="E36" s="117" t="s">
        <v>1379</v>
      </c>
      <c r="F36" s="99" t="n">
        <v>12.3</v>
      </c>
      <c r="G36" s="98" t="s">
        <v>244</v>
      </c>
      <c r="H36" s="98" t="s">
        <v>265</v>
      </c>
      <c r="I36" s="157" t="n">
        <v>0.23</v>
      </c>
      <c r="J36" s="146" t="n">
        <v>1</v>
      </c>
      <c r="K36" s="98" t="s">
        <v>632</v>
      </c>
      <c r="L36" s="147" t="n">
        <v>10</v>
      </c>
      <c r="M36" s="98" t="s">
        <v>629</v>
      </c>
      <c r="N36" s="110" t="s">
        <v>1378</v>
      </c>
      <c r="O36" s="110" t="s">
        <v>586</v>
      </c>
      <c r="P36" s="158"/>
      <c r="Q36" s="110" t="n">
        <v>10</v>
      </c>
      <c r="R36" s="110"/>
      <c r="S36" s="3"/>
      <c r="T36" s="3"/>
      <c r="U36" s="3"/>
      <c r="V36" s="3"/>
      <c r="W36" s="3"/>
      <c r="X36" s="3"/>
      <c r="Y36" s="3"/>
      <c r="Z36" s="3"/>
      <c r="AA36" s="3"/>
      <c r="AB36" s="3"/>
      <c r="AC36" s="3"/>
    </row>
    <row r="37" customFormat="false" ht="87.75" hidden="false" customHeight="true" outlineLevel="0" collapsed="false">
      <c r="A37" s="3"/>
      <c r="B37" s="139" t="s">
        <v>365</v>
      </c>
      <c r="C37" s="109" t="s">
        <v>1430</v>
      </c>
      <c r="D37" s="109" t="s">
        <v>642</v>
      </c>
      <c r="E37" s="113" t="s">
        <v>1432</v>
      </c>
      <c r="F37" s="92" t="n">
        <v>228.24</v>
      </c>
      <c r="G37" s="91" t="s">
        <v>244</v>
      </c>
      <c r="H37" s="91" t="s">
        <v>590</v>
      </c>
      <c r="I37" s="91" t="s">
        <v>647</v>
      </c>
      <c r="J37" s="144" t="n">
        <v>1</v>
      </c>
      <c r="K37" s="91" t="s">
        <v>632</v>
      </c>
      <c r="L37" s="145" t="n">
        <v>228.24</v>
      </c>
      <c r="M37" s="91" t="s">
        <v>530</v>
      </c>
      <c r="N37" s="109" t="s">
        <v>1431</v>
      </c>
      <c r="O37" s="109" t="s">
        <v>586</v>
      </c>
      <c r="P37" s="156" t="n">
        <v>228.24</v>
      </c>
      <c r="Q37" s="109" t="n">
        <v>228.24</v>
      </c>
      <c r="R37" s="109" t="n">
        <v>228.24</v>
      </c>
      <c r="S37" s="3"/>
      <c r="T37" s="3"/>
      <c r="U37" s="3"/>
      <c r="V37" s="3"/>
      <c r="W37" s="3"/>
      <c r="X37" s="3"/>
      <c r="Y37" s="3"/>
      <c r="Z37" s="3"/>
      <c r="AA37" s="3"/>
      <c r="AB37" s="3"/>
      <c r="AC37" s="3"/>
    </row>
    <row r="38" customFormat="false" ht="87.75" hidden="false" customHeight="true" outlineLevel="0" collapsed="false">
      <c r="A38" s="3"/>
      <c r="B38" s="141" t="s">
        <v>369</v>
      </c>
      <c r="C38" s="110" t="s">
        <v>1433</v>
      </c>
      <c r="D38" s="110" t="s">
        <v>642</v>
      </c>
      <c r="E38" s="117" t="s">
        <v>1435</v>
      </c>
      <c r="F38" s="99" t="n">
        <v>228.78</v>
      </c>
      <c r="G38" s="98" t="s">
        <v>244</v>
      </c>
      <c r="H38" s="98" t="s">
        <v>265</v>
      </c>
      <c r="I38" s="157" t="n">
        <v>0.23</v>
      </c>
      <c r="J38" s="146" t="n">
        <v>1</v>
      </c>
      <c r="K38" s="98" t="s">
        <v>632</v>
      </c>
      <c r="L38" s="147" t="n">
        <v>186</v>
      </c>
      <c r="M38" s="98" t="s">
        <v>702</v>
      </c>
      <c r="N38" s="110" t="s">
        <v>1434</v>
      </c>
      <c r="O38" s="110" t="s">
        <v>586</v>
      </c>
      <c r="P38" s="158" t="n">
        <v>186</v>
      </c>
      <c r="Q38" s="110" t="n">
        <v>186</v>
      </c>
      <c r="R38" s="110" t="n">
        <v>186</v>
      </c>
      <c r="S38" s="3"/>
      <c r="T38" s="3"/>
      <c r="U38" s="3"/>
      <c r="V38" s="3"/>
      <c r="W38" s="3"/>
      <c r="X38" s="3"/>
      <c r="Y38" s="3"/>
      <c r="Z38" s="3"/>
      <c r="AA38" s="3"/>
      <c r="AB38" s="3"/>
      <c r="AC38" s="3"/>
    </row>
    <row r="39" customFormat="false" ht="87.75" hidden="false" customHeight="true" outlineLevel="0" collapsed="false">
      <c r="A39" s="3"/>
      <c r="B39" s="139" t="s">
        <v>365</v>
      </c>
      <c r="C39" s="109" t="s">
        <v>1487</v>
      </c>
      <c r="D39" s="109" t="s">
        <v>388</v>
      </c>
      <c r="E39" s="113" t="s">
        <v>1489</v>
      </c>
      <c r="F39" s="92" t="n">
        <v>4.88</v>
      </c>
      <c r="G39" s="91" t="s">
        <v>244</v>
      </c>
      <c r="H39" s="91" t="s">
        <v>590</v>
      </c>
      <c r="I39" s="91" t="s">
        <v>647</v>
      </c>
      <c r="J39" s="144" t="n">
        <v>1</v>
      </c>
      <c r="K39" s="91" t="s">
        <v>632</v>
      </c>
      <c r="L39" s="145" t="n">
        <v>4.88</v>
      </c>
      <c r="M39" s="91" t="s">
        <v>629</v>
      </c>
      <c r="N39" s="109" t="s">
        <v>1488</v>
      </c>
      <c r="O39" s="109" t="s">
        <v>586</v>
      </c>
      <c r="P39" s="156"/>
      <c r="Q39" s="109" t="n">
        <v>4.88</v>
      </c>
      <c r="R39" s="109"/>
      <c r="S39" s="3"/>
      <c r="T39" s="3"/>
      <c r="U39" s="3"/>
      <c r="V39" s="3"/>
      <c r="W39" s="3"/>
      <c r="X39" s="3"/>
      <c r="Y39" s="3"/>
      <c r="Z39" s="3"/>
      <c r="AA39" s="3"/>
      <c r="AB39" s="3"/>
      <c r="AC39" s="3"/>
    </row>
    <row r="40" customFormat="false" ht="87.75" hidden="false" customHeight="true" outlineLevel="0" collapsed="false">
      <c r="A40" s="3"/>
      <c r="B40" s="141" t="s">
        <v>369</v>
      </c>
      <c r="C40" s="110" t="s">
        <v>1490</v>
      </c>
      <c r="D40" s="110" t="s">
        <v>662</v>
      </c>
      <c r="E40" s="117" t="s">
        <v>1492</v>
      </c>
      <c r="F40" s="99" t="n">
        <v>11.47</v>
      </c>
      <c r="G40" s="98" t="s">
        <v>244</v>
      </c>
      <c r="H40" s="98" t="s">
        <v>265</v>
      </c>
      <c r="I40" s="157" t="n">
        <v>0.23</v>
      </c>
      <c r="J40" s="146" t="n">
        <v>1</v>
      </c>
      <c r="K40" s="98" t="s">
        <v>632</v>
      </c>
      <c r="L40" s="147" t="n">
        <v>9.32520325203252</v>
      </c>
      <c r="M40" s="98" t="s">
        <v>629</v>
      </c>
      <c r="N40" s="110" t="s">
        <v>1491</v>
      </c>
      <c r="O40" s="110" t="s">
        <v>586</v>
      </c>
      <c r="P40" s="158"/>
      <c r="Q40" s="110" t="n">
        <v>9.32520325203252</v>
      </c>
      <c r="R40" s="110"/>
      <c r="S40" s="3"/>
      <c r="T40" s="3"/>
      <c r="U40" s="3"/>
      <c r="V40" s="3"/>
      <c r="W40" s="3"/>
      <c r="X40" s="3"/>
      <c r="Y40" s="3"/>
      <c r="Z40" s="3"/>
      <c r="AA40" s="3"/>
      <c r="AB40" s="3"/>
      <c r="AC40" s="3"/>
    </row>
    <row r="41" customFormat="false" ht="87.75" hidden="false" customHeight="true" outlineLevel="0" collapsed="false">
      <c r="A41" s="3"/>
      <c r="B41" s="139" t="s">
        <v>365</v>
      </c>
      <c r="C41" s="109" t="s">
        <v>949</v>
      </c>
      <c r="D41" s="109"/>
      <c r="E41" s="113" t="s">
        <v>1529</v>
      </c>
      <c r="F41" s="91"/>
      <c r="G41" s="91"/>
      <c r="H41" s="91"/>
      <c r="I41" s="91"/>
      <c r="J41" s="91"/>
      <c r="K41" s="91"/>
      <c r="L41" s="145"/>
      <c r="M41" s="91"/>
      <c r="N41" s="109" t="s">
        <v>1528</v>
      </c>
      <c r="O41" s="109" t="s">
        <v>586</v>
      </c>
      <c r="P41" s="156"/>
      <c r="Q41" s="109"/>
      <c r="R41" s="109"/>
      <c r="S41" s="3"/>
      <c r="T41" s="3"/>
      <c r="U41" s="3"/>
      <c r="V41" s="3"/>
      <c r="W41" s="3"/>
      <c r="X41" s="3"/>
      <c r="Y41" s="3"/>
      <c r="Z41" s="3"/>
      <c r="AA41" s="3"/>
      <c r="AB41" s="3"/>
      <c r="AC41" s="3"/>
    </row>
    <row r="42" customFormat="false" ht="87.75" hidden="false" customHeight="true" outlineLevel="0" collapsed="false">
      <c r="A42" s="3"/>
      <c r="B42" s="141" t="s">
        <v>369</v>
      </c>
      <c r="C42" s="110" t="s">
        <v>949</v>
      </c>
      <c r="D42" s="110"/>
      <c r="E42" s="117" t="s">
        <v>1531</v>
      </c>
      <c r="F42" s="98"/>
      <c r="G42" s="98"/>
      <c r="H42" s="98"/>
      <c r="I42" s="98"/>
      <c r="J42" s="98"/>
      <c r="K42" s="98"/>
      <c r="L42" s="147"/>
      <c r="M42" s="98"/>
      <c r="N42" s="110" t="s">
        <v>1530</v>
      </c>
      <c r="O42" s="110" t="s">
        <v>586</v>
      </c>
      <c r="P42" s="158"/>
      <c r="Q42" s="110"/>
      <c r="R42" s="110"/>
      <c r="S42" s="3"/>
      <c r="T42" s="3"/>
      <c r="U42" s="3"/>
      <c r="V42" s="3"/>
      <c r="W42" s="3"/>
      <c r="X42" s="3"/>
      <c r="Y42" s="3"/>
      <c r="Z42" s="3"/>
      <c r="AA42" s="3"/>
      <c r="AB42" s="3"/>
      <c r="AC42" s="3"/>
    </row>
    <row r="43" customFormat="false" ht="30.75" hidden="false" customHeight="true" outlineLevel="0" collapsed="false">
      <c r="A43" s="3"/>
      <c r="B43" s="9"/>
      <c r="C43" s="9"/>
      <c r="D43" s="9"/>
      <c r="E43" s="9"/>
      <c r="F43" s="10"/>
      <c r="G43" s="10"/>
      <c r="H43" s="10"/>
      <c r="I43" s="10"/>
      <c r="J43" s="10"/>
      <c r="K43" s="10"/>
      <c r="L43" s="10"/>
      <c r="M43" s="10"/>
      <c r="N43" s="9"/>
      <c r="O43" s="9"/>
      <c r="P43" s="9"/>
      <c r="Q43" s="9"/>
      <c r="R43" s="9"/>
      <c r="S43" s="3"/>
      <c r="T43" s="3"/>
      <c r="U43" s="3"/>
      <c r="V43" s="3"/>
      <c r="W43" s="3"/>
      <c r="X43" s="3"/>
      <c r="Y43" s="3"/>
      <c r="Z43" s="3"/>
      <c r="AA43" s="3"/>
      <c r="AB43" s="3"/>
      <c r="AC43" s="3"/>
    </row>
    <row r="44" customFormat="false" ht="30.75" hidden="false" customHeight="true" outlineLevel="0" collapsed="false">
      <c r="A44" s="3"/>
      <c r="B44" s="9"/>
      <c r="C44" s="9"/>
      <c r="D44" s="9"/>
      <c r="E44" s="9"/>
      <c r="F44" s="10"/>
      <c r="G44" s="10"/>
      <c r="H44" s="10"/>
      <c r="I44" s="10"/>
      <c r="J44" s="10"/>
      <c r="K44" s="10"/>
      <c r="L44" s="10"/>
      <c r="M44" s="10"/>
      <c r="N44" s="9"/>
      <c r="O44" s="9"/>
      <c r="P44" s="9"/>
      <c r="Q44" s="9"/>
      <c r="R44" s="9"/>
      <c r="S44" s="3"/>
      <c r="T44" s="3"/>
      <c r="U44" s="3"/>
      <c r="V44" s="3"/>
      <c r="W44" s="3"/>
      <c r="X44" s="3"/>
      <c r="Y44" s="3"/>
      <c r="Z44" s="3"/>
      <c r="AA44" s="3"/>
      <c r="AB44" s="3"/>
      <c r="AC44" s="3"/>
    </row>
    <row r="45" customFormat="false" ht="30.75" hidden="false" customHeight="true" outlineLevel="0" collapsed="false">
      <c r="A45" s="3"/>
      <c r="B45" s="9"/>
      <c r="C45" s="9"/>
      <c r="D45" s="9"/>
      <c r="E45" s="9"/>
      <c r="F45" s="10"/>
      <c r="G45" s="10"/>
      <c r="H45" s="10"/>
      <c r="I45" s="10"/>
      <c r="J45" s="10"/>
      <c r="K45" s="10"/>
      <c r="L45" s="10"/>
      <c r="M45" s="10"/>
      <c r="N45" s="9"/>
      <c r="O45" s="9"/>
      <c r="P45" s="9"/>
      <c r="Q45" s="9"/>
      <c r="R45" s="9"/>
      <c r="S45" s="3"/>
      <c r="T45" s="3"/>
      <c r="U45" s="3"/>
      <c r="V45" s="3"/>
      <c r="W45" s="3"/>
      <c r="X45" s="3"/>
      <c r="Y45" s="3"/>
      <c r="Z45" s="3"/>
      <c r="AA45" s="3"/>
      <c r="AB45" s="3"/>
      <c r="AC45" s="3"/>
    </row>
    <row r="46" customFormat="false" ht="25.5" hidden="false" customHeight="true" outlineLevel="0" collapsed="false">
      <c r="A46" s="3"/>
      <c r="B46" s="133" t="s">
        <v>6926</v>
      </c>
      <c r="C46" s="133"/>
      <c r="D46" s="133"/>
      <c r="E46" s="133"/>
      <c r="F46" s="40"/>
      <c r="G46" s="40"/>
      <c r="H46" s="40"/>
      <c r="I46" s="10"/>
      <c r="J46" s="10"/>
      <c r="K46" s="10"/>
      <c r="L46" s="10"/>
      <c r="M46" s="10"/>
      <c r="N46" s="9"/>
      <c r="O46" s="9"/>
      <c r="P46" s="9"/>
      <c r="Q46" s="9"/>
      <c r="R46" s="9"/>
      <c r="S46" s="3"/>
      <c r="T46" s="3"/>
      <c r="U46" s="3"/>
      <c r="V46" s="3"/>
      <c r="W46" s="3"/>
      <c r="X46" s="3"/>
      <c r="Y46" s="3"/>
      <c r="Z46" s="3"/>
      <c r="AA46" s="3"/>
      <c r="AB46" s="3"/>
      <c r="AC46" s="3"/>
    </row>
    <row r="47" customFormat="false" ht="36" hidden="false" customHeight="true" outlineLevel="0" collapsed="false">
      <c r="A47" s="3"/>
      <c r="B47" s="123" t="s">
        <v>6927</v>
      </c>
      <c r="C47" s="22" t="s">
        <v>6928</v>
      </c>
      <c r="D47" s="22" t="s">
        <v>7149</v>
      </c>
      <c r="E47" s="22" t="s">
        <v>7271</v>
      </c>
      <c r="F47" s="22" t="s">
        <v>7150</v>
      </c>
      <c r="G47" s="22" t="s">
        <v>7272</v>
      </c>
      <c r="H47" s="22" t="s">
        <v>7273</v>
      </c>
      <c r="I47" s="22" t="s">
        <v>7153</v>
      </c>
      <c r="J47" s="22" t="s">
        <v>7154</v>
      </c>
      <c r="K47" s="22" t="s">
        <v>7155</v>
      </c>
      <c r="L47" s="22" t="s">
        <v>7274</v>
      </c>
      <c r="M47" s="22" t="s">
        <v>7157</v>
      </c>
      <c r="N47" s="22" t="s">
        <v>240</v>
      </c>
      <c r="O47" s="22" t="s">
        <v>7158</v>
      </c>
      <c r="P47" s="9"/>
      <c r="Q47" s="9"/>
      <c r="R47" s="9"/>
      <c r="S47" s="3"/>
      <c r="T47" s="3"/>
      <c r="U47" s="3"/>
      <c r="V47" s="3"/>
      <c r="W47" s="3"/>
      <c r="X47" s="3"/>
      <c r="Y47" s="3"/>
      <c r="Z47" s="3"/>
      <c r="AA47" s="3"/>
      <c r="AB47" s="3"/>
      <c r="AC47" s="3"/>
    </row>
    <row r="48" customFormat="false" ht="75" hidden="false" customHeight="true" outlineLevel="0" collapsed="false">
      <c r="A48" s="3"/>
      <c r="B48" s="139" t="s">
        <v>7275</v>
      </c>
      <c r="C48" s="113" t="s">
        <v>7276</v>
      </c>
      <c r="D48" s="109" t="s">
        <v>6946</v>
      </c>
      <c r="E48" s="109" t="s">
        <v>7277</v>
      </c>
      <c r="F48" s="91" t="s">
        <v>7278</v>
      </c>
      <c r="G48" s="91" t="s">
        <v>376</v>
      </c>
      <c r="H48" s="91" t="s">
        <v>376</v>
      </c>
      <c r="I48" s="91" t="s">
        <v>376</v>
      </c>
      <c r="J48" s="91" t="s">
        <v>376</v>
      </c>
      <c r="K48" s="91" t="s">
        <v>376</v>
      </c>
      <c r="L48" s="159" t="s">
        <v>7276</v>
      </c>
      <c r="M48" s="145" t="s">
        <v>577</v>
      </c>
      <c r="N48" s="109" t="s">
        <v>7279</v>
      </c>
      <c r="O48" s="109" t="s">
        <v>577</v>
      </c>
      <c r="P48" s="9"/>
      <c r="Q48" s="9"/>
      <c r="R48" s="9"/>
      <c r="S48" s="3"/>
      <c r="T48" s="3"/>
      <c r="U48" s="3"/>
      <c r="V48" s="3"/>
      <c r="W48" s="3"/>
      <c r="X48" s="3"/>
      <c r="Y48" s="3"/>
      <c r="Z48" s="3"/>
      <c r="AA48" s="3"/>
      <c r="AB48" s="3"/>
      <c r="AC48" s="3"/>
    </row>
    <row r="49" customFormat="false" ht="126.75" hidden="false" customHeight="true" outlineLevel="0" collapsed="false">
      <c r="A49" s="3"/>
      <c r="B49" s="141" t="s">
        <v>365</v>
      </c>
      <c r="C49" s="117" t="s">
        <v>7280</v>
      </c>
      <c r="D49" s="110" t="s">
        <v>6935</v>
      </c>
      <c r="E49" s="110" t="s">
        <v>7281</v>
      </c>
      <c r="F49" s="98" t="s">
        <v>7282</v>
      </c>
      <c r="G49" s="98" t="s">
        <v>7283</v>
      </c>
      <c r="H49" s="98" t="s">
        <v>7284</v>
      </c>
      <c r="I49" s="98" t="s">
        <v>7285</v>
      </c>
      <c r="J49" s="98" t="s">
        <v>7286</v>
      </c>
      <c r="K49" s="98" t="s">
        <v>7287</v>
      </c>
      <c r="L49" s="160" t="s">
        <v>7288</v>
      </c>
      <c r="M49" s="147" t="s">
        <v>538</v>
      </c>
      <c r="N49" s="110" t="s">
        <v>7289</v>
      </c>
      <c r="O49" s="110" t="s">
        <v>538</v>
      </c>
      <c r="P49" s="9"/>
      <c r="Q49" s="9"/>
      <c r="R49" s="9"/>
      <c r="S49" s="3"/>
      <c r="T49" s="3"/>
      <c r="U49" s="3"/>
      <c r="V49" s="3"/>
      <c r="W49" s="3"/>
      <c r="X49" s="3"/>
      <c r="Y49" s="3"/>
      <c r="Z49" s="3"/>
      <c r="AA49" s="3"/>
      <c r="AB49" s="3"/>
      <c r="AC49" s="3"/>
    </row>
    <row r="50" customFormat="false" ht="87.75" hidden="false" customHeight="true" outlineLevel="0" collapsed="false">
      <c r="A50" s="3"/>
      <c r="B50" s="139" t="s">
        <v>7290</v>
      </c>
      <c r="C50" s="113" t="s">
        <v>7291</v>
      </c>
      <c r="D50" s="109" t="s">
        <v>6946</v>
      </c>
      <c r="E50" s="109" t="s">
        <v>7292</v>
      </c>
      <c r="F50" s="91" t="s">
        <v>7293</v>
      </c>
      <c r="G50" s="91" t="s">
        <v>376</v>
      </c>
      <c r="H50" s="91" t="s">
        <v>376</v>
      </c>
      <c r="I50" s="91" t="s">
        <v>376</v>
      </c>
      <c r="J50" s="91" t="s">
        <v>376</v>
      </c>
      <c r="K50" s="91" t="s">
        <v>376</v>
      </c>
      <c r="L50" s="159" t="s">
        <v>7291</v>
      </c>
      <c r="M50" s="145" t="s">
        <v>577</v>
      </c>
      <c r="N50" s="109" t="s">
        <v>7294</v>
      </c>
      <c r="O50" s="109" t="s">
        <v>577</v>
      </c>
      <c r="P50" s="9"/>
      <c r="Q50" s="9"/>
      <c r="R50" s="9"/>
      <c r="S50" s="3"/>
      <c r="T50" s="3"/>
      <c r="U50" s="3"/>
      <c r="V50" s="3"/>
      <c r="W50" s="3"/>
      <c r="X50" s="3"/>
      <c r="Y50" s="3"/>
      <c r="Z50" s="3"/>
      <c r="AA50" s="3"/>
      <c r="AB50" s="3"/>
      <c r="AC50" s="3"/>
    </row>
    <row r="51" customFormat="false" ht="114" hidden="false" customHeight="true" outlineLevel="0" collapsed="false">
      <c r="A51" s="3"/>
      <c r="B51" s="141" t="s">
        <v>369</v>
      </c>
      <c r="C51" s="117" t="s">
        <v>7295</v>
      </c>
      <c r="D51" s="110" t="s">
        <v>6935</v>
      </c>
      <c r="E51" s="110" t="s">
        <v>7296</v>
      </c>
      <c r="F51" s="98" t="s">
        <v>7297</v>
      </c>
      <c r="G51" s="98" t="s">
        <v>7298</v>
      </c>
      <c r="H51" s="98" t="s">
        <v>7299</v>
      </c>
      <c r="I51" s="98" t="s">
        <v>7300</v>
      </c>
      <c r="J51" s="98" t="s">
        <v>7301</v>
      </c>
      <c r="K51" s="98" t="s">
        <v>7287</v>
      </c>
      <c r="L51" s="160" t="s">
        <v>7302</v>
      </c>
      <c r="M51" s="147" t="s">
        <v>538</v>
      </c>
      <c r="N51" s="110" t="s">
        <v>7303</v>
      </c>
      <c r="O51" s="110" t="s">
        <v>538</v>
      </c>
      <c r="P51" s="9"/>
      <c r="Q51" s="9"/>
      <c r="R51" s="9"/>
      <c r="S51" s="3"/>
      <c r="T51" s="3"/>
      <c r="U51" s="3"/>
      <c r="V51" s="3"/>
      <c r="W51" s="3"/>
      <c r="X51" s="3"/>
      <c r="Y51" s="3"/>
      <c r="Z51" s="3"/>
      <c r="AA51" s="3"/>
      <c r="AB51" s="3"/>
      <c r="AC51" s="3"/>
    </row>
    <row r="52" customFormat="false" ht="30.75" hidden="false" customHeight="true" outlineLevel="0" collapsed="false">
      <c r="A52" s="3"/>
      <c r="B52" s="9"/>
      <c r="C52" s="9"/>
      <c r="D52" s="9"/>
      <c r="E52" s="9"/>
      <c r="F52" s="10"/>
      <c r="G52" s="10"/>
      <c r="H52" s="10"/>
      <c r="I52" s="10"/>
      <c r="J52" s="10"/>
      <c r="K52" s="10"/>
      <c r="L52" s="10"/>
      <c r="M52" s="10"/>
      <c r="N52" s="9"/>
      <c r="O52" s="9"/>
      <c r="P52" s="9"/>
      <c r="Q52" s="9"/>
      <c r="R52" s="9"/>
      <c r="S52" s="3"/>
      <c r="T52" s="3"/>
      <c r="U52" s="3"/>
      <c r="V52" s="3"/>
      <c r="W52" s="3"/>
      <c r="X52" s="3"/>
      <c r="Y52" s="3"/>
      <c r="Z52" s="3"/>
      <c r="AA52" s="3"/>
      <c r="AB52" s="3"/>
      <c r="AC52" s="3"/>
    </row>
    <row r="53" customFormat="false" ht="30.75" hidden="false" customHeight="true" outlineLevel="0" collapsed="false">
      <c r="A53" s="3"/>
      <c r="B53" s="9"/>
      <c r="C53" s="9"/>
      <c r="D53" s="9"/>
      <c r="E53" s="9"/>
      <c r="F53" s="10"/>
      <c r="G53" s="10"/>
      <c r="H53" s="10"/>
      <c r="I53" s="10"/>
      <c r="J53" s="10"/>
      <c r="K53" s="10"/>
      <c r="L53" s="10"/>
      <c r="M53" s="10"/>
      <c r="N53" s="9"/>
      <c r="O53" s="9"/>
      <c r="P53" s="9"/>
      <c r="Q53" s="9"/>
      <c r="R53" s="9"/>
      <c r="S53" s="3"/>
      <c r="T53" s="3"/>
      <c r="U53" s="3"/>
      <c r="V53" s="3"/>
      <c r="W53" s="3"/>
      <c r="X53" s="3"/>
      <c r="Y53" s="3"/>
      <c r="Z53" s="3"/>
      <c r="AA53" s="3"/>
      <c r="AB53" s="3"/>
      <c r="AC53" s="3"/>
    </row>
    <row r="54" customFormat="false" ht="30.75" hidden="false" customHeight="true" outlineLevel="0" collapsed="false">
      <c r="A54" s="3"/>
      <c r="B54" s="9"/>
      <c r="C54" s="9"/>
      <c r="D54" s="9"/>
      <c r="E54" s="9"/>
      <c r="F54" s="10"/>
      <c r="G54" s="10"/>
      <c r="H54" s="10"/>
      <c r="I54" s="10"/>
      <c r="J54" s="10"/>
      <c r="K54" s="10"/>
      <c r="L54" s="10"/>
      <c r="M54" s="10"/>
      <c r="N54" s="9"/>
      <c r="O54" s="9"/>
      <c r="P54" s="9"/>
      <c r="Q54" s="9"/>
      <c r="R54" s="9"/>
      <c r="S54" s="3"/>
      <c r="T54" s="3"/>
      <c r="U54" s="3"/>
      <c r="V54" s="3"/>
      <c r="W54" s="3"/>
      <c r="X54" s="3"/>
      <c r="Y54" s="3"/>
      <c r="Z54" s="3"/>
      <c r="AA54" s="3"/>
      <c r="AB54" s="3"/>
      <c r="AC54" s="3"/>
    </row>
    <row r="55" customFormat="false" ht="25.5" hidden="false" customHeight="true" outlineLevel="0" collapsed="false">
      <c r="A55" s="3"/>
      <c r="B55" s="133" t="s">
        <v>6970</v>
      </c>
      <c r="C55" s="133"/>
      <c r="D55" s="133"/>
      <c r="E55" s="133"/>
      <c r="F55" s="40"/>
      <c r="G55" s="40"/>
      <c r="H55" s="40"/>
      <c r="I55" s="10"/>
      <c r="J55" s="10"/>
      <c r="K55" s="10"/>
      <c r="L55" s="10"/>
      <c r="M55" s="10"/>
      <c r="N55" s="9"/>
      <c r="O55" s="9"/>
      <c r="P55" s="9"/>
      <c r="Q55" s="9"/>
      <c r="R55" s="9"/>
      <c r="S55" s="3"/>
      <c r="T55" s="3"/>
      <c r="U55" s="3"/>
      <c r="V55" s="3"/>
      <c r="W55" s="3"/>
      <c r="X55" s="3"/>
      <c r="Y55" s="3"/>
      <c r="Z55" s="3"/>
      <c r="AA55" s="3"/>
      <c r="AB55" s="3"/>
      <c r="AC55" s="3"/>
    </row>
    <row r="56" customFormat="false" ht="36" hidden="false" customHeight="true" outlineLevel="0" collapsed="false">
      <c r="A56" s="3"/>
      <c r="B56" s="152" t="s">
        <v>7223</v>
      </c>
      <c r="C56" s="23" t="s">
        <v>7304</v>
      </c>
      <c r="D56" s="23" t="s">
        <v>7305</v>
      </c>
      <c r="E56" s="23" t="s">
        <v>7306</v>
      </c>
      <c r="F56" s="23" t="s">
        <v>7307</v>
      </c>
      <c r="G56" s="23" t="s">
        <v>7308</v>
      </c>
      <c r="H56" s="23" t="s">
        <v>7309</v>
      </c>
      <c r="I56" s="10"/>
      <c r="J56" s="10"/>
      <c r="K56" s="10"/>
      <c r="L56" s="10"/>
      <c r="M56" s="10"/>
      <c r="N56" s="9"/>
      <c r="O56" s="9"/>
      <c r="P56" s="9"/>
      <c r="Q56" s="9"/>
      <c r="R56" s="9"/>
      <c r="S56" s="3"/>
      <c r="T56" s="3"/>
      <c r="U56" s="3"/>
      <c r="V56" s="3"/>
      <c r="W56" s="3"/>
      <c r="X56" s="3"/>
      <c r="Y56" s="3"/>
      <c r="Z56" s="3"/>
      <c r="AA56" s="3"/>
      <c r="AB56" s="3"/>
      <c r="AC56" s="3"/>
    </row>
    <row r="57" customFormat="false" ht="75" hidden="false" customHeight="true" outlineLevel="0" collapsed="false">
      <c r="A57" s="3"/>
      <c r="B57" s="139" t="s">
        <v>6459</v>
      </c>
      <c r="C57" s="156" t="n">
        <v>16.4552845528455</v>
      </c>
      <c r="D57" s="156" t="n">
        <v>18.4676422764228</v>
      </c>
      <c r="E57" s="156" t="n">
        <v>20.48</v>
      </c>
      <c r="F57" s="91" t="n">
        <v>16.4552845528455</v>
      </c>
      <c r="G57" s="91" t="n">
        <v>18.4676422764228</v>
      </c>
      <c r="H57" s="91" t="n">
        <v>20.48</v>
      </c>
      <c r="I57" s="10"/>
      <c r="J57" s="10"/>
      <c r="K57" s="10"/>
      <c r="L57" s="10"/>
      <c r="M57" s="10"/>
      <c r="N57" s="9"/>
      <c r="O57" s="9"/>
      <c r="P57" s="9"/>
      <c r="Q57" s="9"/>
      <c r="R57" s="9"/>
      <c r="S57" s="3"/>
      <c r="T57" s="3"/>
      <c r="U57" s="3"/>
      <c r="V57" s="3"/>
      <c r="W57" s="3"/>
      <c r="X57" s="3"/>
      <c r="Y57" s="3"/>
      <c r="Z57" s="3"/>
      <c r="AA57" s="3"/>
      <c r="AB57" s="3"/>
      <c r="AC57" s="3"/>
    </row>
    <row r="58" customFormat="false" ht="75" hidden="false" customHeight="true" outlineLevel="0" collapsed="false">
      <c r="A58" s="3"/>
      <c r="B58" s="141" t="s">
        <v>6461</v>
      </c>
      <c r="C58" s="158" t="n">
        <v>15.2276422764228</v>
      </c>
      <c r="D58" s="158" t="n">
        <v>15.6888211382114</v>
      </c>
      <c r="E58" s="158" t="n">
        <v>16.15</v>
      </c>
      <c r="F58" s="98" t="n">
        <v>15.2276422764228</v>
      </c>
      <c r="G58" s="98" t="n">
        <v>15.6888211382114</v>
      </c>
      <c r="H58" s="98" t="n">
        <v>16.15</v>
      </c>
      <c r="I58" s="10"/>
      <c r="J58" s="10"/>
      <c r="K58" s="10"/>
      <c r="L58" s="10"/>
      <c r="M58" s="10"/>
      <c r="N58" s="9"/>
      <c r="O58" s="9"/>
      <c r="P58" s="9"/>
      <c r="Q58" s="9"/>
      <c r="R58" s="9"/>
      <c r="S58" s="3"/>
      <c r="T58" s="3"/>
      <c r="U58" s="3"/>
      <c r="V58" s="3"/>
      <c r="W58" s="3"/>
      <c r="X58" s="3"/>
      <c r="Y58" s="3"/>
      <c r="Z58" s="3"/>
      <c r="AA58" s="3"/>
      <c r="AB58" s="3"/>
      <c r="AC58" s="3"/>
    </row>
    <row r="59" customFormat="false" ht="75" hidden="false" customHeight="true" outlineLevel="0" collapsed="false">
      <c r="A59" s="3"/>
      <c r="B59" s="139" t="s">
        <v>6462</v>
      </c>
      <c r="C59" s="156" t="n">
        <v>6.3739837398374</v>
      </c>
      <c r="D59" s="156" t="n">
        <v>11.9919918699187</v>
      </c>
      <c r="E59" s="156" t="n">
        <v>17.61</v>
      </c>
      <c r="F59" s="91" t="n">
        <v>6.3739837398374</v>
      </c>
      <c r="G59" s="91" t="n">
        <v>11.9919918699187</v>
      </c>
      <c r="H59" s="91" t="n">
        <v>17.61</v>
      </c>
      <c r="I59" s="10"/>
      <c r="J59" s="10"/>
      <c r="K59" s="10"/>
      <c r="L59" s="10"/>
      <c r="M59" s="10"/>
      <c r="N59" s="9"/>
      <c r="O59" s="9"/>
      <c r="P59" s="9"/>
      <c r="Q59" s="9"/>
      <c r="R59" s="9"/>
      <c r="S59" s="3"/>
      <c r="T59" s="3"/>
      <c r="U59" s="3"/>
      <c r="V59" s="3"/>
      <c r="W59" s="3"/>
      <c r="X59" s="3"/>
      <c r="Y59" s="3"/>
      <c r="Z59" s="3"/>
      <c r="AA59" s="3"/>
      <c r="AB59" s="3"/>
      <c r="AC59" s="3"/>
    </row>
    <row r="60" customFormat="false" ht="75" hidden="false" customHeight="true" outlineLevel="0" collapsed="false">
      <c r="A60" s="3"/>
      <c r="B60" s="141" t="s">
        <v>6463</v>
      </c>
      <c r="C60" s="158" t="n">
        <v>8.46</v>
      </c>
      <c r="D60" s="158" t="n">
        <v>9.94544715447155</v>
      </c>
      <c r="E60" s="158" t="n">
        <v>11.4308943089431</v>
      </c>
      <c r="F60" s="98" t="n">
        <v>8.46</v>
      </c>
      <c r="G60" s="98" t="n">
        <v>9.94544715447155</v>
      </c>
      <c r="H60" s="98" t="n">
        <v>11.4308943089431</v>
      </c>
      <c r="I60" s="10"/>
      <c r="J60" s="10"/>
      <c r="K60" s="10"/>
      <c r="L60" s="10"/>
      <c r="M60" s="10"/>
      <c r="N60" s="9"/>
      <c r="O60" s="9"/>
      <c r="P60" s="9"/>
      <c r="Q60" s="9"/>
      <c r="R60" s="9"/>
      <c r="S60" s="3"/>
      <c r="T60" s="3"/>
      <c r="U60" s="3"/>
      <c r="V60" s="3"/>
      <c r="W60" s="3"/>
      <c r="X60" s="3"/>
      <c r="Y60" s="3"/>
      <c r="Z60" s="3"/>
      <c r="AA60" s="3"/>
      <c r="AB60" s="3"/>
      <c r="AC60" s="3"/>
    </row>
    <row r="61" customFormat="false" ht="75" hidden="false" customHeight="true" outlineLevel="0" collapsed="false">
      <c r="A61" s="3"/>
      <c r="B61" s="139" t="s">
        <v>7138</v>
      </c>
      <c r="C61" s="156"/>
      <c r="D61" s="156"/>
      <c r="E61" s="156"/>
      <c r="F61" s="91"/>
      <c r="G61" s="91"/>
      <c r="H61" s="91"/>
      <c r="I61" s="10"/>
      <c r="J61" s="10"/>
      <c r="K61" s="10"/>
      <c r="L61" s="10"/>
      <c r="M61" s="10"/>
      <c r="N61" s="9"/>
      <c r="O61" s="9"/>
      <c r="P61" s="9"/>
      <c r="Q61" s="9"/>
      <c r="R61" s="9"/>
      <c r="S61" s="3"/>
      <c r="T61" s="3"/>
      <c r="U61" s="3"/>
      <c r="V61" s="3"/>
      <c r="W61" s="3"/>
      <c r="X61" s="3"/>
      <c r="Y61" s="3"/>
      <c r="Z61" s="3"/>
      <c r="AA61" s="3"/>
      <c r="AB61" s="3"/>
      <c r="AC61" s="3"/>
    </row>
    <row r="62" customFormat="false" ht="75" hidden="false" customHeight="true" outlineLevel="0" collapsed="false">
      <c r="A62" s="3"/>
      <c r="B62" s="141" t="s">
        <v>7139</v>
      </c>
      <c r="C62" s="158" t="n">
        <v>1.28</v>
      </c>
      <c r="D62" s="158" t="n">
        <v>1.28</v>
      </c>
      <c r="E62" s="158" t="n">
        <v>1.28</v>
      </c>
      <c r="F62" s="98" t="n">
        <v>1.28</v>
      </c>
      <c r="G62" s="98" t="n">
        <v>1.28</v>
      </c>
      <c r="H62" s="98" t="n">
        <v>1.28</v>
      </c>
      <c r="I62" s="10"/>
      <c r="J62" s="10"/>
      <c r="K62" s="10"/>
      <c r="L62" s="10"/>
      <c r="M62" s="10"/>
      <c r="N62" s="9"/>
      <c r="O62" s="9"/>
      <c r="P62" s="9"/>
      <c r="Q62" s="9"/>
      <c r="R62" s="9"/>
      <c r="S62" s="3"/>
      <c r="T62" s="3"/>
      <c r="U62" s="3"/>
      <c r="V62" s="3"/>
      <c r="W62" s="3"/>
      <c r="X62" s="3"/>
      <c r="Y62" s="3"/>
      <c r="Z62" s="3"/>
      <c r="AA62" s="3"/>
      <c r="AB62" s="3"/>
      <c r="AC62" s="3"/>
    </row>
    <row r="63" customFormat="false" ht="75" hidden="false" customHeight="true" outlineLevel="0" collapsed="false">
      <c r="A63" s="3"/>
      <c r="B63" s="139" t="s">
        <v>7140</v>
      </c>
      <c r="C63" s="156"/>
      <c r="D63" s="156"/>
      <c r="E63" s="156"/>
      <c r="F63" s="91"/>
      <c r="G63" s="91"/>
      <c r="H63" s="91"/>
      <c r="I63" s="10"/>
      <c r="J63" s="10"/>
      <c r="K63" s="10"/>
      <c r="L63" s="10"/>
      <c r="M63" s="10"/>
      <c r="N63" s="9"/>
      <c r="O63" s="9"/>
      <c r="P63" s="9"/>
      <c r="Q63" s="9"/>
      <c r="R63" s="9"/>
      <c r="S63" s="3"/>
      <c r="T63" s="3"/>
      <c r="U63" s="3"/>
      <c r="V63" s="3"/>
      <c r="W63" s="3"/>
      <c r="X63" s="3"/>
      <c r="Y63" s="3"/>
      <c r="Z63" s="3"/>
      <c r="AA63" s="3"/>
      <c r="AB63" s="3"/>
      <c r="AC63" s="3"/>
    </row>
    <row r="64" customFormat="false" ht="75" hidden="false" customHeight="true" outlineLevel="0" collapsed="false">
      <c r="A64" s="3"/>
      <c r="B64" s="141" t="s">
        <v>6466</v>
      </c>
      <c r="C64" s="158"/>
      <c r="D64" s="158"/>
      <c r="E64" s="158"/>
      <c r="F64" s="98"/>
      <c r="G64" s="98"/>
      <c r="H64" s="98"/>
      <c r="I64" s="10"/>
      <c r="J64" s="10"/>
      <c r="K64" s="10"/>
      <c r="L64" s="10"/>
      <c r="M64" s="10"/>
      <c r="N64" s="9"/>
      <c r="O64" s="9"/>
      <c r="P64" s="9"/>
      <c r="Q64" s="9"/>
      <c r="R64" s="9"/>
      <c r="S64" s="3"/>
      <c r="T64" s="3"/>
      <c r="U64" s="3"/>
      <c r="V64" s="3"/>
      <c r="W64" s="3"/>
      <c r="X64" s="3"/>
      <c r="Y64" s="3"/>
      <c r="Z64" s="3"/>
      <c r="AA64" s="3"/>
      <c r="AB64" s="3"/>
      <c r="AC64" s="3"/>
    </row>
    <row r="65" customFormat="false" ht="75" hidden="false" customHeight="true" outlineLevel="0" collapsed="false">
      <c r="A65" s="3"/>
      <c r="B65" s="139" t="s">
        <v>7310</v>
      </c>
      <c r="C65" s="156" t="n">
        <v>20.35</v>
      </c>
      <c r="D65" s="156" t="n">
        <v>36.154674796748</v>
      </c>
      <c r="E65" s="156" t="n">
        <v>51.9593495934959</v>
      </c>
      <c r="F65" s="91" t="n">
        <v>20.35</v>
      </c>
      <c r="G65" s="91" t="n">
        <v>36.154674796748</v>
      </c>
      <c r="H65" s="91" t="n">
        <v>51.9593495934959</v>
      </c>
      <c r="I65" s="10"/>
      <c r="J65" s="10"/>
      <c r="K65" s="10"/>
      <c r="L65" s="10"/>
      <c r="M65" s="10"/>
      <c r="N65" s="9"/>
      <c r="O65" s="9"/>
      <c r="P65" s="9"/>
      <c r="Q65" s="9"/>
      <c r="R65" s="9"/>
      <c r="S65" s="3"/>
      <c r="T65" s="3"/>
      <c r="U65" s="3"/>
      <c r="V65" s="3"/>
      <c r="W65" s="3"/>
      <c r="X65" s="3"/>
      <c r="Y65" s="3"/>
      <c r="Z65" s="3"/>
      <c r="AA65" s="3"/>
      <c r="AB65" s="3"/>
      <c r="AC65" s="3"/>
    </row>
    <row r="66" customFormat="false" ht="75" hidden="false" customHeight="true" outlineLevel="0" collapsed="false">
      <c r="A66" s="3"/>
      <c r="B66" s="141" t="s">
        <v>7311</v>
      </c>
      <c r="C66" s="158" t="n">
        <v>32.85</v>
      </c>
      <c r="D66" s="158" t="n">
        <v>32.85</v>
      </c>
      <c r="E66" s="158" t="n">
        <v>32.85</v>
      </c>
      <c r="F66" s="98" t="n">
        <v>32.85</v>
      </c>
      <c r="G66" s="98" t="n">
        <v>32.85</v>
      </c>
      <c r="H66" s="98" t="n">
        <v>32.85</v>
      </c>
      <c r="I66" s="10"/>
      <c r="J66" s="10"/>
      <c r="K66" s="10"/>
      <c r="L66" s="10"/>
      <c r="M66" s="10"/>
      <c r="N66" s="9"/>
      <c r="O66" s="9"/>
      <c r="P66" s="9"/>
      <c r="Q66" s="9"/>
      <c r="R66" s="9"/>
      <c r="S66" s="3"/>
      <c r="T66" s="3"/>
      <c r="U66" s="3"/>
      <c r="V66" s="3"/>
      <c r="W66" s="3"/>
      <c r="X66" s="3"/>
      <c r="Y66" s="3"/>
      <c r="Z66" s="3"/>
      <c r="AA66" s="3"/>
      <c r="AB66" s="3"/>
      <c r="AC66" s="3"/>
    </row>
    <row r="67" customFormat="false" ht="75" hidden="false" customHeight="true" outlineLevel="0" collapsed="false">
      <c r="A67" s="3"/>
      <c r="B67" s="139" t="s">
        <v>7312</v>
      </c>
      <c r="C67" s="156" t="n">
        <v>6.18</v>
      </c>
      <c r="D67" s="156" t="n">
        <v>6.59</v>
      </c>
      <c r="E67" s="156" t="n">
        <v>7</v>
      </c>
      <c r="F67" s="91" t="n">
        <v>6.18</v>
      </c>
      <c r="G67" s="91" t="n">
        <v>6.59</v>
      </c>
      <c r="H67" s="91" t="n">
        <v>7</v>
      </c>
      <c r="I67" s="10"/>
      <c r="J67" s="10"/>
      <c r="K67" s="10"/>
      <c r="L67" s="10"/>
      <c r="M67" s="10"/>
      <c r="N67" s="9"/>
      <c r="O67" s="9"/>
      <c r="P67" s="9"/>
      <c r="Q67" s="9"/>
      <c r="R67" s="9"/>
      <c r="S67" s="3"/>
      <c r="T67" s="3"/>
      <c r="U67" s="3"/>
      <c r="V67" s="3"/>
      <c r="W67" s="3"/>
      <c r="X67" s="3"/>
      <c r="Y67" s="3"/>
      <c r="Z67" s="3"/>
      <c r="AA67" s="3"/>
      <c r="AB67" s="3"/>
      <c r="AC67" s="3"/>
    </row>
    <row r="68" customFormat="false" ht="75" hidden="false" customHeight="true" outlineLevel="0" collapsed="false">
      <c r="A68" s="3"/>
      <c r="B68" s="141" t="s">
        <v>7144</v>
      </c>
      <c r="C68" s="158" t="n">
        <v>12.65</v>
      </c>
      <c r="D68" s="158" t="n">
        <v>15.6583333333333</v>
      </c>
      <c r="E68" s="158" t="n">
        <v>18.6666666666667</v>
      </c>
      <c r="F68" s="98" t="n">
        <v>12.65</v>
      </c>
      <c r="G68" s="98" t="n">
        <v>15.6583333333333</v>
      </c>
      <c r="H68" s="98" t="n">
        <v>18.6666666666667</v>
      </c>
      <c r="I68" s="10"/>
      <c r="J68" s="10"/>
      <c r="K68" s="10"/>
      <c r="L68" s="10"/>
      <c r="M68" s="10"/>
      <c r="N68" s="9"/>
      <c r="O68" s="9"/>
      <c r="P68" s="9"/>
      <c r="Q68" s="9"/>
      <c r="R68" s="9"/>
      <c r="S68" s="3"/>
      <c r="T68" s="3"/>
      <c r="U68" s="3"/>
      <c r="V68" s="3"/>
      <c r="W68" s="3"/>
      <c r="X68" s="3"/>
      <c r="Y68" s="3"/>
      <c r="Z68" s="3"/>
      <c r="AA68" s="3"/>
      <c r="AB68" s="3"/>
      <c r="AC68" s="3"/>
    </row>
    <row r="69" customFormat="false" ht="75" hidden="false" customHeight="true" outlineLevel="0" collapsed="false">
      <c r="A69" s="3"/>
      <c r="B69" s="139" t="s">
        <v>7145</v>
      </c>
      <c r="C69" s="156" t="n">
        <v>11.0650406504065</v>
      </c>
      <c r="D69" s="156" t="n">
        <v>11.3825203252033</v>
      </c>
      <c r="E69" s="156" t="n">
        <v>11.7</v>
      </c>
      <c r="F69" s="91" t="n">
        <v>11.0650406504065</v>
      </c>
      <c r="G69" s="91" t="n">
        <v>11.3825203252033</v>
      </c>
      <c r="H69" s="91" t="n">
        <v>11.7</v>
      </c>
      <c r="I69" s="10"/>
      <c r="J69" s="10"/>
      <c r="K69" s="10"/>
      <c r="L69" s="10"/>
      <c r="M69" s="10"/>
      <c r="N69" s="9"/>
      <c r="O69" s="9"/>
      <c r="P69" s="9"/>
      <c r="Q69" s="9"/>
      <c r="R69" s="9"/>
      <c r="S69" s="3"/>
      <c r="T69" s="3"/>
      <c r="U69" s="3"/>
      <c r="V69" s="3"/>
      <c r="W69" s="3"/>
      <c r="X69" s="3"/>
      <c r="Y69" s="3"/>
      <c r="Z69" s="3"/>
      <c r="AA69" s="3"/>
      <c r="AB69" s="3"/>
      <c r="AC69" s="3"/>
    </row>
    <row r="70" customFormat="false" ht="75" hidden="false" customHeight="true" outlineLevel="0" collapsed="false">
      <c r="A70" s="3"/>
      <c r="B70" s="141" t="s">
        <v>7146</v>
      </c>
      <c r="C70" s="158" t="n">
        <v>15.21</v>
      </c>
      <c r="D70" s="158" t="n">
        <v>15.21</v>
      </c>
      <c r="E70" s="158" t="n">
        <v>15.21</v>
      </c>
      <c r="F70" s="98" t="n">
        <v>15.21</v>
      </c>
      <c r="G70" s="98" t="n">
        <v>15.21</v>
      </c>
      <c r="H70" s="98" t="n">
        <v>15.21</v>
      </c>
      <c r="I70" s="10"/>
      <c r="J70" s="10"/>
      <c r="K70" s="10"/>
      <c r="L70" s="10"/>
      <c r="M70" s="10"/>
      <c r="N70" s="9"/>
      <c r="O70" s="9"/>
      <c r="P70" s="9"/>
      <c r="Q70" s="9"/>
      <c r="R70" s="9"/>
      <c r="S70" s="3"/>
      <c r="T70" s="3"/>
      <c r="U70" s="3"/>
      <c r="V70" s="3"/>
      <c r="W70" s="3"/>
      <c r="X70" s="3"/>
      <c r="Y70" s="3"/>
      <c r="Z70" s="3"/>
      <c r="AA70" s="3"/>
      <c r="AB70" s="3"/>
      <c r="AC70" s="3"/>
    </row>
    <row r="71" customFormat="false" ht="75" hidden="false" customHeight="true" outlineLevel="0" collapsed="false">
      <c r="A71" s="3"/>
      <c r="B71" s="139" t="s">
        <v>7147</v>
      </c>
      <c r="C71" s="156" t="n">
        <v>186</v>
      </c>
      <c r="D71" s="156" t="n">
        <v>207.12</v>
      </c>
      <c r="E71" s="156" t="n">
        <v>228.24</v>
      </c>
      <c r="F71" s="91" t="n">
        <v>186</v>
      </c>
      <c r="G71" s="91" t="n">
        <v>207.12</v>
      </c>
      <c r="H71" s="91" t="n">
        <v>228.24</v>
      </c>
      <c r="I71" s="10"/>
      <c r="J71" s="10"/>
      <c r="K71" s="10"/>
      <c r="L71" s="10"/>
      <c r="M71" s="10"/>
      <c r="N71" s="9"/>
      <c r="O71" s="9"/>
      <c r="P71" s="9"/>
      <c r="Q71" s="9"/>
      <c r="R71" s="9"/>
      <c r="S71" s="3"/>
      <c r="T71" s="3"/>
      <c r="U71" s="3"/>
      <c r="V71" s="3"/>
      <c r="W71" s="3"/>
      <c r="X71" s="3"/>
      <c r="Y71" s="3"/>
      <c r="Z71" s="3"/>
      <c r="AA71" s="3"/>
      <c r="AB71" s="3"/>
      <c r="AC71" s="3"/>
    </row>
    <row r="72" customFormat="false" ht="75" hidden="false" customHeight="true" outlineLevel="0" collapsed="false">
      <c r="A72" s="3"/>
      <c r="B72" s="141" t="s">
        <v>7148</v>
      </c>
      <c r="C72" s="158"/>
      <c r="D72" s="158"/>
      <c r="E72" s="158"/>
      <c r="F72" s="98"/>
      <c r="G72" s="98"/>
      <c r="H72" s="98"/>
      <c r="I72" s="10"/>
      <c r="J72" s="10"/>
      <c r="K72" s="10"/>
      <c r="L72" s="10"/>
      <c r="M72" s="10"/>
      <c r="N72" s="9"/>
      <c r="O72" s="9"/>
      <c r="P72" s="9"/>
      <c r="Q72" s="9"/>
      <c r="R72" s="9"/>
      <c r="S72" s="3"/>
      <c r="T72" s="3"/>
      <c r="U72" s="3"/>
      <c r="V72" s="3"/>
      <c r="W72" s="3"/>
      <c r="X72" s="3"/>
      <c r="Y72" s="3"/>
      <c r="Z72" s="3"/>
      <c r="AA72" s="3"/>
      <c r="AB72" s="3"/>
      <c r="AC72" s="3"/>
    </row>
    <row r="73" customFormat="false" ht="75" hidden="false" customHeight="true" outlineLevel="0" collapsed="false">
      <c r="A73" s="3"/>
      <c r="B73" s="139" t="s">
        <v>6478</v>
      </c>
      <c r="C73" s="156"/>
      <c r="D73" s="156"/>
      <c r="E73" s="156"/>
      <c r="F73" s="91"/>
      <c r="G73" s="91"/>
      <c r="H73" s="91"/>
      <c r="I73" s="10"/>
      <c r="J73" s="10"/>
      <c r="K73" s="10"/>
      <c r="L73" s="10"/>
      <c r="M73" s="10"/>
      <c r="N73" s="9"/>
      <c r="O73" s="9"/>
      <c r="P73" s="9"/>
      <c r="Q73" s="9"/>
      <c r="R73" s="9"/>
      <c r="S73" s="3"/>
      <c r="T73" s="3"/>
      <c r="U73" s="3"/>
      <c r="V73" s="3"/>
      <c r="W73" s="3"/>
      <c r="X73" s="3"/>
      <c r="Y73" s="3"/>
      <c r="Z73" s="3"/>
      <c r="AA73" s="3"/>
      <c r="AB73" s="3"/>
      <c r="AC73" s="3"/>
    </row>
    <row r="74" customFormat="false" ht="30.75" hidden="false" customHeight="true" outlineLevel="0" collapsed="false">
      <c r="A74" s="3"/>
      <c r="B74" s="9"/>
      <c r="C74" s="9"/>
      <c r="D74" s="9"/>
      <c r="E74" s="9"/>
      <c r="F74" s="10"/>
      <c r="G74" s="10"/>
      <c r="H74" s="10"/>
      <c r="I74" s="10"/>
      <c r="J74" s="10"/>
      <c r="K74" s="10"/>
      <c r="L74" s="10"/>
      <c r="M74" s="10"/>
      <c r="N74" s="9"/>
      <c r="O74" s="9"/>
      <c r="P74" s="9"/>
      <c r="Q74" s="9"/>
      <c r="R74" s="9"/>
      <c r="S74" s="3"/>
      <c r="T74" s="3"/>
      <c r="U74" s="3"/>
      <c r="V74" s="3"/>
      <c r="W74" s="3"/>
      <c r="X74" s="3"/>
      <c r="Y74" s="3"/>
      <c r="Z74" s="3"/>
      <c r="AA74" s="3"/>
      <c r="AB74" s="3"/>
      <c r="AC74" s="3"/>
    </row>
    <row r="75" customFormat="false" ht="91.5" hidden="false" customHeight="true" outlineLevel="0" collapsed="false">
      <c r="A75" s="3"/>
      <c r="B75" s="161" t="s">
        <v>7313</v>
      </c>
      <c r="C75" s="161"/>
      <c r="D75" s="161"/>
      <c r="E75" s="161"/>
      <c r="F75" s="161"/>
      <c r="G75" s="161"/>
      <c r="H75" s="161"/>
      <c r="I75" s="10"/>
      <c r="J75" s="10"/>
      <c r="K75" s="10"/>
      <c r="L75" s="10"/>
      <c r="M75" s="10"/>
      <c r="N75" s="9"/>
      <c r="O75" s="9"/>
      <c r="P75" s="9"/>
      <c r="Q75" s="9"/>
      <c r="R75" s="9"/>
      <c r="S75" s="3"/>
      <c r="T75" s="3"/>
      <c r="U75" s="3"/>
      <c r="V75" s="3"/>
      <c r="W75" s="3"/>
      <c r="X75" s="3"/>
      <c r="Y75" s="3"/>
      <c r="Z75" s="3"/>
      <c r="AA75" s="3"/>
      <c r="AB75" s="3"/>
      <c r="AC75" s="3"/>
    </row>
    <row r="76" customFormat="false" ht="91.5" hidden="false" customHeight="true" outlineLevel="0" collapsed="false">
      <c r="A76" s="3"/>
      <c r="B76" s="161" t="s">
        <v>7314</v>
      </c>
      <c r="C76" s="161"/>
      <c r="D76" s="161"/>
      <c r="E76" s="161"/>
      <c r="F76" s="161"/>
      <c r="G76" s="161"/>
      <c r="H76" s="161"/>
      <c r="I76" s="10"/>
      <c r="J76" s="10"/>
      <c r="K76" s="10"/>
      <c r="L76" s="10"/>
      <c r="M76" s="10"/>
      <c r="N76" s="9"/>
      <c r="O76" s="9"/>
      <c r="P76" s="9"/>
      <c r="Q76" s="9"/>
      <c r="R76" s="9"/>
      <c r="S76" s="3"/>
      <c r="T76" s="3"/>
      <c r="U76" s="3"/>
      <c r="V76" s="3"/>
      <c r="W76" s="3"/>
      <c r="X76" s="3"/>
      <c r="Y76" s="3"/>
      <c r="Z76" s="3"/>
      <c r="AA76" s="3"/>
      <c r="AB76" s="3"/>
      <c r="AC76" s="3"/>
    </row>
    <row r="77" customFormat="false" ht="78" hidden="false" customHeight="true" outlineLevel="0" collapsed="false">
      <c r="A77" s="3"/>
      <c r="B77" s="161" t="s">
        <v>7315</v>
      </c>
      <c r="C77" s="161"/>
      <c r="D77" s="161"/>
      <c r="E77" s="161"/>
      <c r="F77" s="161"/>
      <c r="G77" s="161"/>
      <c r="H77" s="161"/>
      <c r="I77" s="10"/>
      <c r="J77" s="10"/>
      <c r="K77" s="10"/>
      <c r="L77" s="10"/>
      <c r="M77" s="10"/>
      <c r="N77" s="9"/>
      <c r="O77" s="9"/>
      <c r="P77" s="9"/>
      <c r="Q77" s="9"/>
      <c r="R77" s="9"/>
      <c r="S77" s="3"/>
      <c r="T77" s="3"/>
      <c r="U77" s="3"/>
      <c r="V77" s="3"/>
      <c r="W77" s="3"/>
      <c r="X77" s="3"/>
      <c r="Y77" s="3"/>
      <c r="Z77" s="3"/>
      <c r="AA77" s="3"/>
      <c r="AB77" s="3"/>
      <c r="AC77" s="3"/>
    </row>
    <row r="78" customFormat="false" ht="30.75" hidden="false" customHeight="true" outlineLevel="0" collapsed="false">
      <c r="A78" s="3"/>
      <c r="B78" s="9"/>
      <c r="C78" s="9"/>
      <c r="D78" s="9"/>
      <c r="E78" s="9"/>
      <c r="F78" s="10"/>
      <c r="G78" s="10"/>
      <c r="H78" s="10"/>
      <c r="I78" s="10"/>
      <c r="J78" s="10"/>
      <c r="K78" s="10"/>
      <c r="L78" s="10"/>
      <c r="M78" s="10"/>
      <c r="N78" s="9"/>
      <c r="O78" s="9"/>
      <c r="P78" s="9"/>
      <c r="Q78" s="9"/>
      <c r="R78" s="9"/>
      <c r="S78" s="3"/>
      <c r="T78" s="3"/>
      <c r="U78" s="3"/>
      <c r="V78" s="3"/>
      <c r="W78" s="3"/>
      <c r="X78" s="3"/>
      <c r="Y78" s="3"/>
      <c r="Z78" s="3"/>
      <c r="AA78" s="3"/>
      <c r="AB78" s="3"/>
      <c r="AC78" s="3"/>
    </row>
    <row r="79" customFormat="false" ht="30.75" hidden="false" customHeight="true" outlineLevel="0" collapsed="false">
      <c r="A79" s="3"/>
      <c r="B79" s="9"/>
      <c r="C79" s="9"/>
      <c r="D79" s="9"/>
      <c r="E79" s="9"/>
      <c r="F79" s="10"/>
      <c r="G79" s="10"/>
      <c r="H79" s="10"/>
      <c r="I79" s="10"/>
      <c r="J79" s="10"/>
      <c r="K79" s="10"/>
      <c r="L79" s="10"/>
      <c r="M79" s="10"/>
      <c r="N79" s="9"/>
      <c r="O79" s="9"/>
      <c r="P79" s="9"/>
      <c r="Q79" s="9"/>
      <c r="R79" s="9"/>
      <c r="S79" s="3"/>
      <c r="T79" s="3"/>
      <c r="U79" s="3"/>
      <c r="V79" s="3"/>
      <c r="W79" s="3"/>
      <c r="X79" s="3"/>
      <c r="Y79" s="3"/>
      <c r="Z79" s="3"/>
      <c r="AA79" s="3"/>
      <c r="AB79" s="3"/>
      <c r="AC79" s="3"/>
    </row>
    <row r="80" customFormat="false" ht="25.5" hidden="false" customHeight="true" outlineLevel="0" collapsed="false">
      <c r="A80" s="3"/>
      <c r="B80" s="133" t="s">
        <v>6986</v>
      </c>
      <c r="C80" s="133"/>
      <c r="D80" s="133"/>
      <c r="E80" s="133"/>
      <c r="F80" s="40"/>
      <c r="G80" s="10"/>
      <c r="H80" s="10"/>
      <c r="I80" s="10"/>
      <c r="J80" s="10"/>
      <c r="K80" s="10"/>
      <c r="L80" s="10"/>
      <c r="M80" s="10"/>
      <c r="N80" s="9"/>
      <c r="O80" s="9"/>
      <c r="P80" s="9"/>
      <c r="Q80" s="9"/>
      <c r="R80" s="9"/>
      <c r="S80" s="3"/>
      <c r="T80" s="3"/>
      <c r="U80" s="3"/>
      <c r="V80" s="3"/>
      <c r="W80" s="3"/>
      <c r="X80" s="3"/>
      <c r="Y80" s="3"/>
      <c r="Z80" s="3"/>
      <c r="AA80" s="3"/>
      <c r="AB80" s="3"/>
      <c r="AC80" s="3"/>
    </row>
    <row r="81" customFormat="false" ht="36" hidden="false" customHeight="true" outlineLevel="0" collapsed="false">
      <c r="A81" s="3"/>
      <c r="B81" s="121" t="s">
        <v>7316</v>
      </c>
      <c r="C81" s="26" t="s">
        <v>6928</v>
      </c>
      <c r="D81" s="26" t="s">
        <v>6595</v>
      </c>
      <c r="E81" s="26" t="s">
        <v>242</v>
      </c>
      <c r="F81" s="26" t="s">
        <v>240</v>
      </c>
      <c r="G81" s="10"/>
      <c r="H81" s="10"/>
      <c r="I81" s="10"/>
      <c r="J81" s="10"/>
      <c r="K81" s="10"/>
      <c r="L81" s="10"/>
      <c r="M81" s="10"/>
      <c r="N81" s="9"/>
      <c r="O81" s="9"/>
      <c r="P81" s="9"/>
      <c r="Q81" s="9"/>
      <c r="R81" s="9"/>
      <c r="S81" s="3"/>
      <c r="T81" s="3"/>
      <c r="U81" s="3"/>
      <c r="V81" s="3"/>
      <c r="W81" s="3"/>
      <c r="X81" s="3"/>
      <c r="Y81" s="3"/>
      <c r="Z81" s="3"/>
      <c r="AA81" s="3"/>
      <c r="AB81" s="3"/>
      <c r="AC81" s="3"/>
    </row>
    <row r="82" customFormat="false" ht="139.5" hidden="false" customHeight="true" outlineLevel="0" collapsed="false">
      <c r="A82" s="3"/>
      <c r="B82" s="139" t="s">
        <v>7275</v>
      </c>
      <c r="C82" s="113" t="s">
        <v>7276</v>
      </c>
      <c r="D82" s="109" t="s">
        <v>7317</v>
      </c>
      <c r="E82" s="109" t="s">
        <v>586</v>
      </c>
      <c r="F82" s="91" t="s">
        <v>7318</v>
      </c>
      <c r="G82" s="10"/>
      <c r="H82" s="10"/>
      <c r="I82" s="10"/>
      <c r="J82" s="10"/>
      <c r="K82" s="10"/>
      <c r="L82" s="10"/>
      <c r="M82" s="10"/>
      <c r="N82" s="9"/>
      <c r="O82" s="9"/>
      <c r="P82" s="9"/>
      <c r="Q82" s="9"/>
      <c r="R82" s="9"/>
      <c r="S82" s="3"/>
      <c r="T82" s="3"/>
      <c r="U82" s="3"/>
      <c r="V82" s="3"/>
      <c r="W82" s="3"/>
      <c r="X82" s="3"/>
      <c r="Y82" s="3"/>
      <c r="Z82" s="3"/>
      <c r="AA82" s="3"/>
      <c r="AB82" s="3"/>
      <c r="AC82" s="3"/>
    </row>
    <row r="83" customFormat="false" ht="87.75" hidden="false" customHeight="true" outlineLevel="0" collapsed="false">
      <c r="A83" s="3"/>
      <c r="B83" s="141" t="s">
        <v>7290</v>
      </c>
      <c r="C83" s="117" t="s">
        <v>7291</v>
      </c>
      <c r="D83" s="110" t="s">
        <v>7319</v>
      </c>
      <c r="E83" s="110" t="s">
        <v>586</v>
      </c>
      <c r="F83" s="98" t="s">
        <v>7320</v>
      </c>
      <c r="G83" s="10"/>
      <c r="H83" s="10"/>
      <c r="I83" s="10"/>
      <c r="J83" s="10"/>
      <c r="K83" s="10"/>
      <c r="L83" s="10"/>
      <c r="M83" s="10"/>
      <c r="N83" s="9"/>
      <c r="O83" s="9"/>
      <c r="P83" s="9"/>
      <c r="Q83" s="9"/>
      <c r="R83" s="9"/>
      <c r="S83" s="3"/>
      <c r="T83" s="3"/>
      <c r="U83" s="3"/>
      <c r="V83" s="3"/>
      <c r="W83" s="3"/>
      <c r="X83" s="3"/>
      <c r="Y83" s="3"/>
      <c r="Z83" s="3"/>
      <c r="AA83" s="3"/>
      <c r="AB83" s="3"/>
      <c r="AC83" s="3"/>
    </row>
    <row r="84" customFormat="false" ht="126.75" hidden="false" customHeight="true" outlineLevel="0" collapsed="false">
      <c r="A84" s="3"/>
      <c r="B84" s="139" t="s">
        <v>7321</v>
      </c>
      <c r="C84" s="113" t="s">
        <v>7280</v>
      </c>
      <c r="D84" s="109" t="s">
        <v>7322</v>
      </c>
      <c r="E84" s="109" t="s">
        <v>586</v>
      </c>
      <c r="F84" s="91" t="s">
        <v>7323</v>
      </c>
      <c r="G84" s="10"/>
      <c r="H84" s="10"/>
      <c r="I84" s="10"/>
      <c r="J84" s="10"/>
      <c r="K84" s="10"/>
      <c r="L84" s="10"/>
      <c r="M84" s="10"/>
      <c r="N84" s="9"/>
      <c r="O84" s="9"/>
      <c r="P84" s="9"/>
      <c r="Q84" s="9"/>
      <c r="R84" s="9"/>
      <c r="S84" s="3"/>
      <c r="T84" s="3"/>
      <c r="U84" s="3"/>
      <c r="V84" s="3"/>
      <c r="W84" s="3"/>
      <c r="X84" s="3"/>
      <c r="Y84" s="3"/>
      <c r="Z84" s="3"/>
      <c r="AA84" s="3"/>
      <c r="AB84" s="3"/>
      <c r="AC84" s="3"/>
    </row>
    <row r="85" customFormat="false" ht="30.75" hidden="false" customHeight="true" outlineLevel="0" collapsed="false">
      <c r="A85" s="3"/>
      <c r="B85" s="3"/>
      <c r="C85" s="3"/>
      <c r="D85" s="3"/>
      <c r="E85" s="3"/>
      <c r="F85" s="4"/>
      <c r="G85" s="4"/>
      <c r="H85" s="4"/>
      <c r="I85" s="4"/>
      <c r="J85" s="4"/>
      <c r="K85" s="4"/>
      <c r="L85" s="4"/>
      <c r="M85" s="4"/>
      <c r="N85" s="3"/>
      <c r="O85" s="3"/>
      <c r="P85" s="3"/>
      <c r="Q85" s="3"/>
      <c r="R85" s="3"/>
      <c r="S85" s="3"/>
      <c r="T85" s="3"/>
      <c r="U85" s="3"/>
      <c r="V85" s="3"/>
      <c r="W85" s="3"/>
      <c r="X85" s="3"/>
      <c r="Y85" s="3"/>
      <c r="Z85" s="3"/>
      <c r="AA85" s="3"/>
      <c r="AB85" s="3"/>
      <c r="AC85" s="3"/>
    </row>
    <row r="86" customFormat="false" ht="30.75" hidden="false" customHeight="true" outlineLevel="0" collapsed="false">
      <c r="A86" s="3"/>
      <c r="B86" s="3"/>
      <c r="C86" s="3"/>
      <c r="D86" s="3"/>
      <c r="E86" s="3"/>
      <c r="F86" s="4"/>
      <c r="G86" s="4"/>
      <c r="H86" s="4"/>
      <c r="I86" s="4"/>
      <c r="J86" s="4"/>
      <c r="K86" s="4"/>
      <c r="L86" s="4"/>
      <c r="M86" s="4"/>
      <c r="N86" s="3"/>
      <c r="O86" s="3"/>
      <c r="P86" s="3"/>
      <c r="Q86" s="3"/>
      <c r="R86" s="3"/>
      <c r="S86" s="3"/>
      <c r="T86" s="3"/>
      <c r="U86" s="3"/>
      <c r="V86" s="3"/>
      <c r="W86" s="3"/>
      <c r="X86" s="3"/>
      <c r="Y86" s="3"/>
      <c r="Z86" s="3"/>
      <c r="AA86" s="3"/>
      <c r="AB86" s="3"/>
      <c r="AC86" s="3"/>
    </row>
    <row r="87" customFormat="false" ht="30.75" hidden="false" customHeight="true" outlineLevel="0" collapsed="false">
      <c r="A87" s="3"/>
      <c r="B87" s="3"/>
      <c r="C87" s="3"/>
      <c r="D87" s="3"/>
      <c r="E87" s="3"/>
      <c r="F87" s="4"/>
      <c r="G87" s="4"/>
      <c r="H87" s="4"/>
      <c r="I87" s="4"/>
      <c r="J87" s="4"/>
      <c r="K87" s="4"/>
      <c r="L87" s="4"/>
      <c r="M87" s="4"/>
      <c r="N87" s="3"/>
      <c r="O87" s="3"/>
      <c r="P87" s="3"/>
      <c r="Q87" s="3"/>
      <c r="R87" s="3"/>
      <c r="S87" s="3"/>
      <c r="T87" s="3"/>
      <c r="U87" s="3"/>
      <c r="V87" s="3"/>
      <c r="W87" s="3"/>
      <c r="X87" s="3"/>
      <c r="Y87" s="3"/>
      <c r="Z87" s="3"/>
      <c r="AA87" s="3"/>
      <c r="AB87" s="3"/>
      <c r="AC87" s="3"/>
    </row>
    <row r="88" customFormat="false" ht="21.75" hidden="false" customHeight="true" outlineLevel="0" collapsed="false">
      <c r="A88" s="3"/>
      <c r="B88" s="3"/>
      <c r="C88" s="3"/>
      <c r="D88" s="3"/>
      <c r="E88" s="3"/>
      <c r="F88" s="4"/>
      <c r="G88" s="4"/>
      <c r="H88" s="4"/>
      <c r="I88" s="4"/>
      <c r="J88" s="4"/>
      <c r="K88" s="4"/>
      <c r="L88" s="4"/>
      <c r="M88" s="4"/>
      <c r="N88" s="3"/>
      <c r="O88" s="3"/>
      <c r="P88" s="3"/>
      <c r="Q88" s="3"/>
      <c r="R88" s="3"/>
      <c r="S88" s="3"/>
      <c r="T88" s="3"/>
      <c r="U88" s="3"/>
      <c r="V88" s="3"/>
      <c r="W88" s="3"/>
      <c r="X88" s="3"/>
      <c r="Y88" s="3"/>
      <c r="Z88" s="3"/>
      <c r="AA88" s="3"/>
      <c r="AB88" s="3"/>
      <c r="AC88" s="3"/>
    </row>
    <row r="89" customFormat="false" ht="21.75" hidden="false" customHeight="true" outlineLevel="0" collapsed="false">
      <c r="A89" s="3"/>
      <c r="B89" s="3"/>
      <c r="C89" s="3"/>
      <c r="D89" s="3"/>
      <c r="E89" s="3"/>
      <c r="F89" s="4"/>
      <c r="G89" s="4"/>
      <c r="H89" s="4"/>
      <c r="I89" s="4"/>
      <c r="J89" s="4"/>
      <c r="K89" s="4"/>
      <c r="L89" s="4"/>
      <c r="M89" s="4"/>
      <c r="N89" s="3"/>
      <c r="O89" s="3"/>
      <c r="P89" s="3"/>
      <c r="Q89" s="3"/>
      <c r="R89" s="3"/>
      <c r="S89" s="3"/>
      <c r="T89" s="3"/>
      <c r="U89" s="3"/>
      <c r="V89" s="3"/>
      <c r="W89" s="3"/>
      <c r="X89" s="3"/>
      <c r="Y89" s="3"/>
      <c r="Z89" s="3"/>
      <c r="AA89" s="3"/>
      <c r="AB89" s="3"/>
      <c r="AC89" s="3"/>
    </row>
    <row r="90" customFormat="false" ht="21.75" hidden="false" customHeight="true" outlineLevel="0" collapsed="false">
      <c r="A90" s="3"/>
      <c r="B90" s="3"/>
      <c r="C90" s="3"/>
      <c r="D90" s="3"/>
      <c r="E90" s="3"/>
      <c r="F90" s="4"/>
      <c r="G90" s="4"/>
      <c r="H90" s="4"/>
      <c r="I90" s="4"/>
      <c r="J90" s="4"/>
      <c r="K90" s="4"/>
      <c r="L90" s="4"/>
      <c r="M90" s="4"/>
      <c r="N90" s="3"/>
      <c r="O90" s="3"/>
      <c r="P90" s="3"/>
      <c r="Q90" s="3"/>
      <c r="R90" s="3"/>
      <c r="S90" s="3"/>
      <c r="T90" s="3"/>
      <c r="U90" s="3"/>
      <c r="V90" s="3"/>
      <c r="W90" s="3"/>
      <c r="X90" s="3"/>
      <c r="Y90" s="3"/>
      <c r="Z90" s="3"/>
      <c r="AA90" s="3"/>
      <c r="AB90" s="3"/>
      <c r="AC90" s="3"/>
    </row>
    <row r="91" customFormat="false" ht="21.75" hidden="false" customHeight="true" outlineLevel="0" collapsed="false">
      <c r="A91" s="3"/>
      <c r="B91" s="3"/>
      <c r="C91" s="3"/>
      <c r="D91" s="3"/>
      <c r="E91" s="3"/>
      <c r="F91" s="4"/>
      <c r="G91" s="4"/>
      <c r="H91" s="4"/>
      <c r="I91" s="4"/>
      <c r="J91" s="4"/>
      <c r="K91" s="4"/>
      <c r="L91" s="4"/>
      <c r="M91" s="4"/>
      <c r="N91" s="3"/>
      <c r="O91" s="3"/>
      <c r="P91" s="3"/>
      <c r="Q91" s="3"/>
      <c r="R91" s="3"/>
      <c r="S91" s="3"/>
      <c r="T91" s="3"/>
      <c r="U91" s="3"/>
      <c r="V91" s="3"/>
      <c r="W91" s="3"/>
      <c r="X91" s="3"/>
      <c r="Y91" s="3"/>
      <c r="Z91" s="3"/>
      <c r="AA91" s="3"/>
      <c r="AB91" s="3"/>
      <c r="AC91" s="3"/>
    </row>
    <row r="92" customFormat="false" ht="21.75" hidden="false" customHeight="true" outlineLevel="0" collapsed="false">
      <c r="A92" s="3"/>
      <c r="B92" s="3"/>
      <c r="C92" s="3"/>
      <c r="D92" s="3"/>
      <c r="E92" s="3"/>
      <c r="F92" s="4"/>
      <c r="G92" s="4"/>
      <c r="H92" s="4"/>
      <c r="I92" s="4"/>
      <c r="J92" s="4"/>
      <c r="K92" s="4"/>
      <c r="L92" s="4"/>
      <c r="M92" s="4"/>
      <c r="N92" s="3"/>
      <c r="O92" s="3"/>
      <c r="P92" s="3"/>
      <c r="Q92" s="3"/>
      <c r="R92" s="3"/>
      <c r="S92" s="3"/>
      <c r="T92" s="3"/>
      <c r="U92" s="3"/>
      <c r="V92" s="3"/>
      <c r="W92" s="3"/>
      <c r="X92" s="3"/>
      <c r="Y92" s="3"/>
      <c r="Z92" s="3"/>
      <c r="AA92" s="3"/>
      <c r="AB92" s="3"/>
      <c r="AC92" s="3"/>
    </row>
    <row r="93" customFormat="false" ht="21.75" hidden="false" customHeight="true" outlineLevel="0" collapsed="false">
      <c r="A93" s="3"/>
      <c r="B93" s="3"/>
      <c r="C93" s="3"/>
      <c r="D93" s="3"/>
      <c r="E93" s="3"/>
      <c r="F93" s="4"/>
      <c r="G93" s="4"/>
      <c r="H93" s="4"/>
      <c r="I93" s="4"/>
      <c r="J93" s="4"/>
      <c r="K93" s="4"/>
      <c r="L93" s="4"/>
      <c r="M93" s="4"/>
      <c r="N93" s="3"/>
      <c r="O93" s="3"/>
      <c r="P93" s="3"/>
      <c r="Q93" s="3"/>
      <c r="R93" s="3"/>
      <c r="S93" s="3"/>
      <c r="T93" s="3"/>
      <c r="U93" s="3"/>
      <c r="V93" s="3"/>
      <c r="W93" s="3"/>
      <c r="X93" s="3"/>
      <c r="Y93" s="3"/>
      <c r="Z93" s="3"/>
      <c r="AA93" s="3"/>
      <c r="AB93" s="3"/>
      <c r="AC93" s="3"/>
    </row>
    <row r="94" customFormat="false" ht="21.75" hidden="false" customHeight="true" outlineLevel="0" collapsed="false">
      <c r="A94" s="3"/>
      <c r="B94" s="3"/>
      <c r="C94" s="3"/>
      <c r="D94" s="3"/>
      <c r="E94" s="3"/>
      <c r="F94" s="4"/>
      <c r="G94" s="4"/>
      <c r="H94" s="4"/>
      <c r="I94" s="4"/>
      <c r="J94" s="4"/>
      <c r="K94" s="4"/>
      <c r="L94" s="4"/>
      <c r="M94" s="4"/>
      <c r="N94" s="3"/>
      <c r="O94" s="3"/>
      <c r="P94" s="3"/>
      <c r="Q94" s="3"/>
      <c r="R94" s="3"/>
      <c r="S94" s="3"/>
      <c r="T94" s="3"/>
      <c r="U94" s="3"/>
      <c r="V94" s="3"/>
      <c r="W94" s="3"/>
      <c r="X94" s="3"/>
      <c r="Y94" s="3"/>
      <c r="Z94" s="3"/>
      <c r="AA94" s="3"/>
      <c r="AB94" s="3"/>
      <c r="AC94" s="3"/>
    </row>
    <row r="95" customFormat="false" ht="21.75" hidden="false" customHeight="true" outlineLevel="0" collapsed="false">
      <c r="A95" s="3"/>
      <c r="B95" s="3"/>
      <c r="C95" s="3"/>
      <c r="D95" s="3"/>
      <c r="E95" s="3"/>
      <c r="F95" s="4"/>
      <c r="G95" s="4"/>
      <c r="H95" s="4"/>
      <c r="I95" s="4"/>
      <c r="J95" s="4"/>
      <c r="K95" s="4"/>
      <c r="L95" s="4"/>
      <c r="M95" s="4"/>
      <c r="N95" s="3"/>
      <c r="O95" s="3"/>
      <c r="P95" s="3"/>
      <c r="Q95" s="3"/>
      <c r="R95" s="3"/>
      <c r="S95" s="3"/>
      <c r="T95" s="3"/>
      <c r="U95" s="3"/>
      <c r="V95" s="3"/>
      <c r="W95" s="3"/>
      <c r="X95" s="3"/>
      <c r="Y95" s="3"/>
      <c r="Z95" s="3"/>
      <c r="AA95" s="3"/>
      <c r="AB95" s="3"/>
      <c r="AC95" s="3"/>
    </row>
    <row r="96" customFormat="false" ht="21.75" hidden="false" customHeight="true" outlineLevel="0" collapsed="false">
      <c r="A96" s="3"/>
      <c r="B96" s="3"/>
      <c r="C96" s="3"/>
      <c r="D96" s="3"/>
      <c r="E96" s="3"/>
      <c r="F96" s="4"/>
      <c r="G96" s="4"/>
      <c r="H96" s="4"/>
      <c r="I96" s="4"/>
      <c r="J96" s="4"/>
      <c r="K96" s="4"/>
      <c r="L96" s="4"/>
      <c r="M96" s="4"/>
      <c r="N96" s="3"/>
      <c r="O96" s="3"/>
      <c r="P96" s="3"/>
      <c r="Q96" s="3"/>
      <c r="R96" s="3"/>
      <c r="S96" s="3"/>
      <c r="T96" s="3"/>
      <c r="U96" s="3"/>
      <c r="V96" s="3"/>
      <c r="W96" s="3"/>
      <c r="X96" s="3"/>
      <c r="Y96" s="3"/>
      <c r="Z96" s="3"/>
      <c r="AA96" s="3"/>
      <c r="AB96" s="3"/>
      <c r="AC96" s="3"/>
    </row>
    <row r="97" customFormat="false" ht="21.75" hidden="false" customHeight="true" outlineLevel="0" collapsed="false">
      <c r="A97" s="3"/>
      <c r="B97" s="3"/>
      <c r="C97" s="3"/>
      <c r="D97" s="3"/>
      <c r="E97" s="3"/>
      <c r="F97" s="4"/>
      <c r="G97" s="4"/>
      <c r="H97" s="4"/>
      <c r="I97" s="4"/>
      <c r="J97" s="4"/>
      <c r="K97" s="4"/>
      <c r="L97" s="4"/>
      <c r="M97" s="4"/>
      <c r="N97" s="3"/>
      <c r="O97" s="3"/>
      <c r="P97" s="3"/>
      <c r="Q97" s="3"/>
      <c r="R97" s="3"/>
      <c r="S97" s="3"/>
      <c r="T97" s="3"/>
      <c r="U97" s="3"/>
      <c r="V97" s="3"/>
      <c r="W97" s="3"/>
      <c r="X97" s="3"/>
      <c r="Y97" s="3"/>
      <c r="Z97" s="3"/>
      <c r="AA97" s="3"/>
      <c r="AB97" s="3"/>
      <c r="AC97" s="3"/>
    </row>
    <row r="98" customFormat="false" ht="21.75" hidden="false" customHeight="true" outlineLevel="0" collapsed="false">
      <c r="A98" s="3"/>
      <c r="B98" s="3"/>
      <c r="C98" s="3"/>
      <c r="D98" s="3"/>
      <c r="E98" s="3"/>
      <c r="F98" s="4"/>
      <c r="G98" s="4"/>
      <c r="H98" s="4"/>
      <c r="I98" s="4"/>
      <c r="J98" s="4"/>
      <c r="K98" s="4"/>
      <c r="L98" s="4"/>
      <c r="M98" s="4"/>
      <c r="N98" s="3"/>
      <c r="O98" s="3"/>
      <c r="P98" s="3"/>
      <c r="Q98" s="3"/>
      <c r="R98" s="3"/>
      <c r="S98" s="3"/>
      <c r="T98" s="3"/>
      <c r="U98" s="3"/>
      <c r="V98" s="3"/>
      <c r="W98" s="3"/>
      <c r="X98" s="3"/>
      <c r="Y98" s="3"/>
      <c r="Z98" s="3"/>
      <c r="AA98" s="3"/>
      <c r="AB98" s="3"/>
      <c r="AC98" s="3"/>
    </row>
    <row r="99" customFormat="false" ht="21.75" hidden="false" customHeight="true" outlineLevel="0" collapsed="false">
      <c r="A99" s="3"/>
      <c r="B99" s="3"/>
      <c r="C99" s="3"/>
      <c r="D99" s="3"/>
      <c r="E99" s="3"/>
      <c r="F99" s="4"/>
      <c r="G99" s="4"/>
      <c r="H99" s="4"/>
      <c r="I99" s="4"/>
      <c r="J99" s="4"/>
      <c r="K99" s="4"/>
      <c r="L99" s="4"/>
      <c r="M99" s="4"/>
      <c r="N99" s="3"/>
      <c r="O99" s="3"/>
      <c r="P99" s="3"/>
      <c r="Q99" s="3"/>
      <c r="R99" s="3"/>
      <c r="S99" s="3"/>
      <c r="T99" s="3"/>
      <c r="U99" s="3"/>
      <c r="V99" s="3"/>
      <c r="W99" s="3"/>
      <c r="X99" s="3"/>
      <c r="Y99" s="3"/>
      <c r="Z99" s="3"/>
      <c r="AA99" s="3"/>
      <c r="AB99" s="3"/>
      <c r="AC99" s="3"/>
    </row>
    <row r="100" customFormat="false" ht="21.75" hidden="false" customHeight="true" outlineLevel="0" collapsed="false">
      <c r="A100" s="3"/>
      <c r="B100" s="3"/>
      <c r="C100" s="3"/>
      <c r="D100" s="3"/>
      <c r="E100" s="3"/>
      <c r="F100" s="4"/>
      <c r="G100" s="4"/>
      <c r="H100" s="4"/>
      <c r="I100" s="4"/>
      <c r="J100" s="4"/>
      <c r="K100" s="4"/>
      <c r="L100" s="4"/>
      <c r="M100" s="4"/>
      <c r="N100" s="3"/>
      <c r="O100" s="3"/>
      <c r="P100" s="3"/>
      <c r="Q100" s="3"/>
      <c r="R100" s="3"/>
      <c r="S100" s="3"/>
      <c r="T100" s="3"/>
      <c r="U100" s="3"/>
      <c r="V100" s="3"/>
      <c r="W100" s="3"/>
      <c r="X100" s="3"/>
      <c r="Y100" s="3"/>
      <c r="Z100" s="3"/>
      <c r="AA100" s="3"/>
      <c r="AB100" s="3"/>
      <c r="AC100" s="3"/>
    </row>
    <row r="101" customFormat="false" ht="21.75" hidden="false" customHeight="true" outlineLevel="0" collapsed="false">
      <c r="A101" s="3"/>
      <c r="B101" s="3"/>
      <c r="C101" s="3"/>
      <c r="D101" s="3"/>
      <c r="E101" s="3"/>
      <c r="F101" s="4"/>
      <c r="G101" s="4"/>
      <c r="H101" s="4"/>
      <c r="I101" s="4"/>
      <c r="J101" s="4"/>
      <c r="K101" s="4"/>
      <c r="L101" s="4"/>
      <c r="M101" s="4"/>
      <c r="N101" s="3"/>
      <c r="O101" s="3"/>
      <c r="P101" s="3"/>
      <c r="Q101" s="3"/>
      <c r="R101" s="3"/>
      <c r="S101" s="3"/>
      <c r="T101" s="3"/>
      <c r="U101" s="3"/>
      <c r="V101" s="3"/>
      <c r="W101" s="3"/>
      <c r="X101" s="3"/>
      <c r="Y101" s="3"/>
      <c r="Z101" s="3"/>
      <c r="AA101" s="3"/>
      <c r="AB101" s="3"/>
      <c r="AC101" s="3"/>
    </row>
    <row r="102" customFormat="false" ht="21.75" hidden="false" customHeight="true" outlineLevel="0" collapsed="false">
      <c r="A102" s="3"/>
      <c r="B102" s="3"/>
      <c r="C102" s="3"/>
      <c r="D102" s="3"/>
      <c r="E102" s="3"/>
      <c r="F102" s="4"/>
      <c r="G102" s="4"/>
      <c r="H102" s="4"/>
      <c r="I102" s="4"/>
      <c r="J102" s="4"/>
      <c r="K102" s="4"/>
      <c r="L102" s="4"/>
      <c r="M102" s="4"/>
      <c r="N102" s="3"/>
      <c r="O102" s="3"/>
      <c r="P102" s="3"/>
      <c r="Q102" s="3"/>
      <c r="R102" s="3"/>
      <c r="S102" s="3"/>
      <c r="T102" s="3"/>
      <c r="U102" s="3"/>
      <c r="V102" s="3"/>
      <c r="W102" s="3"/>
      <c r="X102" s="3"/>
      <c r="Y102" s="3"/>
      <c r="Z102" s="3"/>
      <c r="AA102" s="3"/>
      <c r="AB102" s="3"/>
      <c r="AC102" s="3"/>
    </row>
    <row r="103" customFormat="false" ht="21.75" hidden="false" customHeight="true" outlineLevel="0" collapsed="false">
      <c r="A103" s="3"/>
      <c r="B103" s="3"/>
      <c r="C103" s="3"/>
      <c r="D103" s="3"/>
      <c r="E103" s="3"/>
      <c r="F103" s="4"/>
      <c r="G103" s="4"/>
      <c r="H103" s="4"/>
      <c r="I103" s="4"/>
      <c r="J103" s="4"/>
      <c r="K103" s="4"/>
      <c r="L103" s="4"/>
      <c r="M103" s="4"/>
      <c r="N103" s="3"/>
      <c r="O103" s="3"/>
      <c r="P103" s="3"/>
      <c r="Q103" s="3"/>
      <c r="R103" s="3"/>
      <c r="S103" s="3"/>
      <c r="T103" s="3"/>
      <c r="U103" s="3"/>
      <c r="V103" s="3"/>
      <c r="W103" s="3"/>
      <c r="X103" s="3"/>
      <c r="Y103" s="3"/>
      <c r="Z103" s="3"/>
      <c r="AA103" s="3"/>
      <c r="AB103" s="3"/>
      <c r="AC103" s="3"/>
    </row>
    <row r="104" customFormat="false" ht="21.75" hidden="false" customHeight="true" outlineLevel="0" collapsed="false">
      <c r="A104" s="3"/>
      <c r="B104" s="3"/>
      <c r="C104" s="3"/>
      <c r="D104" s="3"/>
      <c r="E104" s="3"/>
      <c r="F104" s="4"/>
      <c r="G104" s="4"/>
      <c r="H104" s="4"/>
      <c r="I104" s="4"/>
      <c r="J104" s="4"/>
      <c r="K104" s="4"/>
      <c r="L104" s="4"/>
      <c r="M104" s="4"/>
      <c r="N104" s="3"/>
      <c r="O104" s="3"/>
      <c r="P104" s="3"/>
      <c r="Q104" s="3"/>
      <c r="R104" s="3"/>
      <c r="S104" s="3"/>
      <c r="T104" s="3"/>
      <c r="U104" s="3"/>
      <c r="V104" s="3"/>
      <c r="W104" s="3"/>
      <c r="X104" s="3"/>
      <c r="Y104" s="3"/>
      <c r="Z104" s="3"/>
      <c r="AA104" s="3"/>
      <c r="AB104" s="3"/>
      <c r="AC104" s="3"/>
    </row>
    <row r="105" customFormat="false" ht="21.75" hidden="false" customHeight="true" outlineLevel="0" collapsed="false">
      <c r="A105" s="3"/>
      <c r="B105" s="3"/>
      <c r="C105" s="3"/>
      <c r="D105" s="3"/>
      <c r="E105" s="3"/>
      <c r="F105" s="4"/>
      <c r="G105" s="4"/>
      <c r="H105" s="4"/>
      <c r="I105" s="4"/>
      <c r="J105" s="4"/>
      <c r="K105" s="4"/>
      <c r="L105" s="4"/>
      <c r="M105" s="4"/>
      <c r="N105" s="3"/>
      <c r="O105" s="3"/>
      <c r="P105" s="3"/>
      <c r="Q105" s="3"/>
      <c r="R105" s="3"/>
      <c r="S105" s="3"/>
      <c r="T105" s="3"/>
      <c r="U105" s="3"/>
      <c r="V105" s="3"/>
      <c r="W105" s="3"/>
      <c r="X105" s="3"/>
      <c r="Y105" s="3"/>
      <c r="Z105" s="3"/>
      <c r="AA105" s="3"/>
      <c r="AB105" s="3"/>
      <c r="AC105" s="3"/>
    </row>
    <row r="106" customFormat="false" ht="21.75" hidden="false" customHeight="true" outlineLevel="0" collapsed="false">
      <c r="A106" s="3"/>
      <c r="B106" s="3"/>
      <c r="C106" s="3"/>
      <c r="D106" s="3"/>
      <c r="E106" s="3"/>
      <c r="F106" s="4"/>
      <c r="G106" s="4"/>
      <c r="H106" s="4"/>
      <c r="I106" s="4"/>
      <c r="J106" s="4"/>
      <c r="K106" s="4"/>
      <c r="L106" s="4"/>
      <c r="M106" s="4"/>
      <c r="N106" s="3"/>
      <c r="O106" s="3"/>
      <c r="P106" s="3"/>
      <c r="Q106" s="3"/>
      <c r="R106" s="3"/>
      <c r="S106" s="3"/>
      <c r="T106" s="3"/>
      <c r="U106" s="3"/>
      <c r="V106" s="3"/>
      <c r="W106" s="3"/>
      <c r="X106" s="3"/>
      <c r="Y106" s="3"/>
      <c r="Z106" s="3"/>
      <c r="AA106" s="3"/>
      <c r="AB106" s="3"/>
      <c r="AC106" s="3"/>
    </row>
    <row r="107" customFormat="false" ht="21.75" hidden="false" customHeight="true" outlineLevel="0" collapsed="false">
      <c r="A107" s="3"/>
      <c r="B107" s="3"/>
      <c r="C107" s="3"/>
      <c r="D107" s="3"/>
      <c r="E107" s="3"/>
      <c r="F107" s="4"/>
      <c r="G107" s="4"/>
      <c r="H107" s="4"/>
      <c r="I107" s="4"/>
      <c r="J107" s="4"/>
      <c r="K107" s="4"/>
      <c r="L107" s="4"/>
      <c r="M107" s="4"/>
      <c r="N107" s="3"/>
      <c r="O107" s="3"/>
      <c r="P107" s="3"/>
      <c r="Q107" s="3"/>
      <c r="R107" s="3"/>
      <c r="S107" s="3"/>
      <c r="T107" s="3"/>
      <c r="U107" s="3"/>
      <c r="V107" s="3"/>
      <c r="W107" s="3"/>
      <c r="X107" s="3"/>
      <c r="Y107" s="3"/>
      <c r="Z107" s="3"/>
      <c r="AA107" s="3"/>
      <c r="AB107" s="3"/>
      <c r="AC107" s="3"/>
    </row>
    <row r="108" customFormat="false" ht="21.75" hidden="false" customHeight="true" outlineLevel="0" collapsed="false">
      <c r="A108" s="3"/>
      <c r="B108" s="3"/>
      <c r="C108" s="3"/>
      <c r="D108" s="3"/>
      <c r="E108" s="3"/>
      <c r="F108" s="4"/>
      <c r="G108" s="4"/>
      <c r="H108" s="4"/>
      <c r="I108" s="4"/>
      <c r="J108" s="4"/>
      <c r="K108" s="4"/>
      <c r="L108" s="4"/>
      <c r="M108" s="4"/>
      <c r="N108" s="3"/>
      <c r="O108" s="3"/>
      <c r="P108" s="3"/>
      <c r="Q108" s="3"/>
      <c r="R108" s="3"/>
      <c r="S108" s="3"/>
      <c r="T108" s="3"/>
      <c r="U108" s="3"/>
      <c r="V108" s="3"/>
      <c r="W108" s="3"/>
      <c r="X108" s="3"/>
      <c r="Y108" s="3"/>
      <c r="Z108" s="3"/>
      <c r="AA108" s="3"/>
      <c r="AB108" s="3"/>
      <c r="AC108" s="3"/>
    </row>
    <row r="109" customFormat="false" ht="21.75" hidden="false" customHeight="true" outlineLevel="0" collapsed="false">
      <c r="A109" s="3"/>
      <c r="B109" s="3"/>
      <c r="C109" s="3"/>
      <c r="D109" s="3"/>
      <c r="E109" s="3"/>
      <c r="F109" s="4"/>
      <c r="G109" s="4"/>
      <c r="H109" s="4"/>
      <c r="I109" s="4"/>
      <c r="J109" s="4"/>
      <c r="K109" s="4"/>
      <c r="L109" s="4"/>
      <c r="M109" s="4"/>
      <c r="N109" s="3"/>
      <c r="O109" s="3"/>
      <c r="P109" s="3"/>
      <c r="Q109" s="3"/>
      <c r="R109" s="3"/>
      <c r="S109" s="3"/>
      <c r="T109" s="3"/>
      <c r="U109" s="3"/>
      <c r="V109" s="3"/>
      <c r="W109" s="3"/>
      <c r="X109" s="3"/>
      <c r="Y109" s="3"/>
      <c r="Z109" s="3"/>
      <c r="AA109" s="3"/>
      <c r="AB109" s="3"/>
      <c r="AC109" s="3"/>
    </row>
    <row r="110" customFormat="false" ht="21.75" hidden="false" customHeight="true" outlineLevel="0" collapsed="false">
      <c r="A110" s="3"/>
      <c r="B110" s="3"/>
      <c r="C110" s="3"/>
      <c r="D110" s="3"/>
      <c r="E110" s="3"/>
      <c r="F110" s="4"/>
      <c r="G110" s="4"/>
      <c r="H110" s="4"/>
      <c r="I110" s="4"/>
      <c r="J110" s="4"/>
      <c r="K110" s="4"/>
      <c r="L110" s="4"/>
      <c r="M110" s="4"/>
      <c r="N110" s="3"/>
      <c r="O110" s="3"/>
      <c r="P110" s="3"/>
      <c r="Q110" s="3"/>
      <c r="R110" s="3"/>
      <c r="S110" s="3"/>
      <c r="T110" s="3"/>
      <c r="U110" s="3"/>
      <c r="V110" s="3"/>
      <c r="W110" s="3"/>
      <c r="X110" s="3"/>
      <c r="Y110" s="3"/>
      <c r="Z110" s="3"/>
      <c r="AA110" s="3"/>
      <c r="AB110" s="3"/>
      <c r="AC110" s="3"/>
    </row>
    <row r="111" customFormat="false" ht="21.75" hidden="false" customHeight="true" outlineLevel="0" collapsed="false">
      <c r="A111" s="3"/>
      <c r="B111" s="3"/>
      <c r="C111" s="3"/>
      <c r="D111" s="3"/>
      <c r="E111" s="3"/>
      <c r="F111" s="4"/>
      <c r="G111" s="4"/>
      <c r="H111" s="4"/>
      <c r="I111" s="4"/>
      <c r="J111" s="4"/>
      <c r="K111" s="4"/>
      <c r="L111" s="4"/>
      <c r="M111" s="4"/>
      <c r="N111" s="3"/>
      <c r="O111" s="3"/>
      <c r="P111" s="3"/>
      <c r="Q111" s="3"/>
      <c r="R111" s="3"/>
      <c r="S111" s="3"/>
      <c r="T111" s="3"/>
      <c r="U111" s="3"/>
      <c r="V111" s="3"/>
      <c r="W111" s="3"/>
      <c r="X111" s="3"/>
      <c r="Y111" s="3"/>
      <c r="Z111" s="3"/>
      <c r="AA111" s="3"/>
      <c r="AB111" s="3"/>
      <c r="AC111" s="3"/>
    </row>
    <row r="112" customFormat="false" ht="21.75" hidden="false" customHeight="true" outlineLevel="0" collapsed="false">
      <c r="A112" s="3"/>
      <c r="B112" s="3"/>
      <c r="C112" s="3"/>
      <c r="D112" s="3"/>
      <c r="E112" s="3"/>
      <c r="F112" s="4"/>
      <c r="G112" s="4"/>
      <c r="H112" s="4"/>
      <c r="I112" s="4"/>
      <c r="J112" s="4"/>
      <c r="K112" s="4"/>
      <c r="L112" s="4"/>
      <c r="M112" s="4"/>
      <c r="N112" s="3"/>
      <c r="O112" s="3"/>
      <c r="P112" s="3"/>
      <c r="Q112" s="3"/>
      <c r="R112" s="3"/>
      <c r="S112" s="3"/>
      <c r="T112" s="3"/>
      <c r="U112" s="3"/>
      <c r="V112" s="3"/>
      <c r="W112" s="3"/>
      <c r="X112" s="3"/>
      <c r="Y112" s="3"/>
      <c r="Z112" s="3"/>
      <c r="AA112" s="3"/>
      <c r="AB112" s="3"/>
      <c r="AC112" s="3"/>
    </row>
    <row r="113" customFormat="false" ht="21.75" hidden="false" customHeight="true" outlineLevel="0" collapsed="false">
      <c r="A113" s="3"/>
      <c r="B113" s="3"/>
      <c r="C113" s="3"/>
      <c r="D113" s="3"/>
      <c r="E113" s="3"/>
      <c r="F113" s="4"/>
      <c r="G113" s="4"/>
      <c r="H113" s="4"/>
      <c r="I113" s="4"/>
      <c r="J113" s="4"/>
      <c r="K113" s="4"/>
      <c r="L113" s="4"/>
      <c r="M113" s="4"/>
      <c r="N113" s="3"/>
      <c r="O113" s="3"/>
      <c r="P113" s="3"/>
      <c r="Q113" s="3"/>
      <c r="R113" s="3"/>
      <c r="S113" s="3"/>
      <c r="T113" s="3"/>
      <c r="U113" s="3"/>
      <c r="V113" s="3"/>
      <c r="W113" s="3"/>
      <c r="X113" s="3"/>
      <c r="Y113" s="3"/>
      <c r="Z113" s="3"/>
      <c r="AA113" s="3"/>
      <c r="AB113" s="3"/>
      <c r="AC113" s="3"/>
    </row>
    <row r="114" customFormat="false" ht="21.75" hidden="false" customHeight="true" outlineLevel="0" collapsed="false">
      <c r="A114" s="3"/>
      <c r="B114" s="3"/>
      <c r="C114" s="3"/>
      <c r="D114" s="3"/>
      <c r="E114" s="3"/>
      <c r="F114" s="4"/>
      <c r="G114" s="4"/>
      <c r="H114" s="4"/>
      <c r="I114" s="4"/>
      <c r="J114" s="4"/>
      <c r="K114" s="4"/>
      <c r="L114" s="4"/>
      <c r="M114" s="4"/>
      <c r="N114" s="3"/>
      <c r="O114" s="3"/>
      <c r="P114" s="3"/>
      <c r="Q114" s="3"/>
      <c r="R114" s="3"/>
      <c r="S114" s="3"/>
      <c r="T114" s="3"/>
      <c r="U114" s="3"/>
      <c r="V114" s="3"/>
      <c r="W114" s="3"/>
      <c r="X114" s="3"/>
      <c r="Y114" s="3"/>
      <c r="Z114" s="3"/>
      <c r="AA114" s="3"/>
      <c r="AB114" s="3"/>
      <c r="AC114" s="3"/>
    </row>
    <row r="115" customFormat="false" ht="21.75" hidden="false" customHeight="true" outlineLevel="0" collapsed="false">
      <c r="A115" s="3"/>
      <c r="B115" s="3"/>
      <c r="C115" s="3"/>
      <c r="D115" s="3"/>
      <c r="E115" s="3"/>
      <c r="F115" s="4"/>
      <c r="G115" s="4"/>
      <c r="H115" s="4"/>
      <c r="I115" s="4"/>
      <c r="J115" s="4"/>
      <c r="K115" s="4"/>
      <c r="L115" s="4"/>
      <c r="M115" s="4"/>
      <c r="N115" s="3"/>
      <c r="O115" s="3"/>
      <c r="P115" s="3"/>
      <c r="Q115" s="3"/>
      <c r="R115" s="3"/>
      <c r="S115" s="3"/>
      <c r="T115" s="3"/>
      <c r="U115" s="3"/>
      <c r="V115" s="3"/>
      <c r="W115" s="3"/>
      <c r="X115" s="3"/>
      <c r="Y115" s="3"/>
      <c r="Z115" s="3"/>
      <c r="AA115" s="3"/>
      <c r="AB115" s="3"/>
      <c r="AC115" s="3"/>
    </row>
    <row r="116" customFormat="false" ht="21.75" hidden="false" customHeight="true" outlineLevel="0" collapsed="false">
      <c r="A116" s="3"/>
      <c r="B116" s="3"/>
      <c r="C116" s="3"/>
      <c r="D116" s="3"/>
      <c r="E116" s="3"/>
      <c r="F116" s="4"/>
      <c r="G116" s="4"/>
      <c r="H116" s="4"/>
      <c r="I116" s="4"/>
      <c r="J116" s="4"/>
      <c r="K116" s="4"/>
      <c r="L116" s="4"/>
      <c r="M116" s="4"/>
      <c r="N116" s="3"/>
      <c r="O116" s="3"/>
      <c r="P116" s="3"/>
      <c r="Q116" s="3"/>
      <c r="R116" s="3"/>
      <c r="S116" s="3"/>
      <c r="T116" s="3"/>
      <c r="U116" s="3"/>
      <c r="V116" s="3"/>
      <c r="W116" s="3"/>
      <c r="X116" s="3"/>
      <c r="Y116" s="3"/>
      <c r="Z116" s="3"/>
      <c r="AA116" s="3"/>
      <c r="AB116" s="3"/>
      <c r="AC116" s="3"/>
    </row>
    <row r="117" customFormat="false" ht="21.75" hidden="false" customHeight="true" outlineLevel="0" collapsed="false">
      <c r="A117" s="3"/>
      <c r="B117" s="3"/>
      <c r="C117" s="3"/>
      <c r="D117" s="3"/>
      <c r="E117" s="3"/>
      <c r="F117" s="4"/>
      <c r="G117" s="4"/>
      <c r="H117" s="4"/>
      <c r="I117" s="4"/>
      <c r="J117" s="4"/>
      <c r="K117" s="4"/>
      <c r="L117" s="4"/>
      <c r="M117" s="4"/>
      <c r="N117" s="3"/>
      <c r="O117" s="3"/>
      <c r="P117" s="3"/>
      <c r="Q117" s="3"/>
      <c r="R117" s="3"/>
      <c r="S117" s="3"/>
      <c r="T117" s="3"/>
      <c r="U117" s="3"/>
      <c r="V117" s="3"/>
      <c r="W117" s="3"/>
      <c r="X117" s="3"/>
      <c r="Y117" s="3"/>
      <c r="Z117" s="3"/>
      <c r="AA117" s="3"/>
      <c r="AB117" s="3"/>
      <c r="AC117" s="3"/>
    </row>
    <row r="118" customFormat="false" ht="21.75" hidden="false" customHeight="true" outlineLevel="0" collapsed="false">
      <c r="A118" s="3"/>
      <c r="B118" s="3"/>
      <c r="C118" s="3"/>
      <c r="D118" s="3"/>
      <c r="E118" s="3"/>
      <c r="F118" s="4"/>
      <c r="G118" s="4"/>
      <c r="H118" s="4"/>
      <c r="I118" s="4"/>
      <c r="J118" s="4"/>
      <c r="K118" s="4"/>
      <c r="L118" s="4"/>
      <c r="M118" s="4"/>
      <c r="N118" s="3"/>
      <c r="O118" s="3"/>
      <c r="P118" s="3"/>
      <c r="Q118" s="3"/>
      <c r="R118" s="3"/>
      <c r="S118" s="3"/>
      <c r="T118" s="3"/>
      <c r="U118" s="3"/>
      <c r="V118" s="3"/>
      <c r="W118" s="3"/>
      <c r="X118" s="3"/>
      <c r="Y118" s="3"/>
      <c r="Z118" s="3"/>
      <c r="AA118" s="3"/>
      <c r="AB118" s="3"/>
      <c r="AC118" s="3"/>
    </row>
    <row r="119" customFormat="false" ht="21.75" hidden="false" customHeight="true" outlineLevel="0" collapsed="false">
      <c r="A119" s="3"/>
      <c r="B119" s="3"/>
      <c r="C119" s="3"/>
      <c r="D119" s="3"/>
      <c r="E119" s="3"/>
      <c r="F119" s="4"/>
      <c r="G119" s="4"/>
      <c r="H119" s="4"/>
      <c r="I119" s="4"/>
      <c r="J119" s="4"/>
      <c r="K119" s="4"/>
      <c r="L119" s="4"/>
      <c r="M119" s="4"/>
      <c r="N119" s="3"/>
      <c r="O119" s="3"/>
      <c r="P119" s="3"/>
      <c r="Q119" s="3"/>
      <c r="R119" s="3"/>
      <c r="S119" s="3"/>
      <c r="T119" s="3"/>
      <c r="U119" s="3"/>
      <c r="V119" s="3"/>
      <c r="W119" s="3"/>
      <c r="X119" s="3"/>
      <c r="Y119" s="3"/>
      <c r="Z119" s="3"/>
      <c r="AA119" s="3"/>
      <c r="AB119" s="3"/>
      <c r="AC119" s="3"/>
    </row>
    <row r="120" customFormat="false" ht="21.75" hidden="false" customHeight="true" outlineLevel="0" collapsed="false">
      <c r="A120" s="3"/>
      <c r="B120" s="3"/>
      <c r="C120" s="3"/>
      <c r="D120" s="3"/>
      <c r="E120" s="3"/>
      <c r="F120" s="4"/>
      <c r="G120" s="4"/>
      <c r="H120" s="4"/>
      <c r="I120" s="4"/>
      <c r="J120" s="4"/>
      <c r="K120" s="4"/>
      <c r="L120" s="4"/>
      <c r="M120" s="4"/>
      <c r="N120" s="3"/>
      <c r="O120" s="3"/>
      <c r="P120" s="3"/>
      <c r="Q120" s="3"/>
      <c r="R120" s="3"/>
      <c r="S120" s="3"/>
      <c r="T120" s="3"/>
      <c r="U120" s="3"/>
      <c r="V120" s="3"/>
      <c r="W120" s="3"/>
      <c r="X120" s="3"/>
      <c r="Y120" s="3"/>
      <c r="Z120" s="3"/>
      <c r="AA120" s="3"/>
      <c r="AB120" s="3"/>
      <c r="AC120" s="3"/>
    </row>
    <row r="121" customFormat="false" ht="21.75" hidden="false" customHeight="true" outlineLevel="0" collapsed="false">
      <c r="A121" s="3"/>
      <c r="B121" s="3"/>
      <c r="C121" s="3"/>
      <c r="D121" s="3"/>
      <c r="E121" s="3"/>
      <c r="F121" s="4"/>
      <c r="G121" s="4"/>
      <c r="H121" s="4"/>
      <c r="I121" s="4"/>
      <c r="J121" s="4"/>
      <c r="K121" s="4"/>
      <c r="L121" s="4"/>
      <c r="M121" s="4"/>
      <c r="N121" s="3"/>
      <c r="O121" s="3"/>
      <c r="P121" s="3"/>
      <c r="Q121" s="3"/>
      <c r="R121" s="3"/>
      <c r="S121" s="3"/>
      <c r="T121" s="3"/>
      <c r="U121" s="3"/>
      <c r="V121" s="3"/>
      <c r="W121" s="3"/>
      <c r="X121" s="3"/>
      <c r="Y121" s="3"/>
      <c r="Z121" s="3"/>
      <c r="AA121" s="3"/>
      <c r="AB121" s="3"/>
      <c r="AC121" s="3"/>
    </row>
    <row r="122" customFormat="false" ht="21.75" hidden="false" customHeight="true" outlineLevel="0" collapsed="false">
      <c r="A122" s="3"/>
      <c r="B122" s="3"/>
      <c r="C122" s="3"/>
      <c r="D122" s="3"/>
      <c r="E122" s="3"/>
      <c r="F122" s="4"/>
      <c r="G122" s="4"/>
      <c r="H122" s="4"/>
      <c r="I122" s="4"/>
      <c r="J122" s="4"/>
      <c r="K122" s="4"/>
      <c r="L122" s="4"/>
      <c r="M122" s="4"/>
      <c r="N122" s="3"/>
      <c r="O122" s="3"/>
      <c r="P122" s="3"/>
      <c r="Q122" s="3"/>
      <c r="R122" s="3"/>
      <c r="S122" s="3"/>
      <c r="T122" s="3"/>
      <c r="U122" s="3"/>
      <c r="V122" s="3"/>
      <c r="W122" s="3"/>
      <c r="X122" s="3"/>
      <c r="Y122" s="3"/>
      <c r="Z122" s="3"/>
      <c r="AA122" s="3"/>
      <c r="AB122" s="3"/>
      <c r="AC122" s="3"/>
    </row>
    <row r="123" customFormat="false" ht="21.75" hidden="false" customHeight="true" outlineLevel="0" collapsed="false">
      <c r="A123" s="3"/>
      <c r="B123" s="3"/>
      <c r="C123" s="3"/>
      <c r="D123" s="3"/>
      <c r="E123" s="3"/>
      <c r="F123" s="4"/>
      <c r="G123" s="4"/>
      <c r="H123" s="4"/>
      <c r="I123" s="4"/>
      <c r="J123" s="4"/>
      <c r="K123" s="4"/>
      <c r="L123" s="4"/>
      <c r="M123" s="4"/>
      <c r="N123" s="3"/>
      <c r="O123" s="3"/>
      <c r="P123" s="3"/>
      <c r="Q123" s="3"/>
      <c r="R123" s="3"/>
      <c r="S123" s="3"/>
      <c r="T123" s="3"/>
      <c r="U123" s="3"/>
      <c r="V123" s="3"/>
      <c r="W123" s="3"/>
      <c r="X123" s="3"/>
      <c r="Y123" s="3"/>
      <c r="Z123" s="3"/>
      <c r="AA123" s="3"/>
      <c r="AB123" s="3"/>
      <c r="AC123" s="3"/>
    </row>
    <row r="124" customFormat="false" ht="21.75" hidden="false" customHeight="true" outlineLevel="0" collapsed="false">
      <c r="A124" s="3"/>
      <c r="B124" s="3"/>
      <c r="C124" s="3"/>
      <c r="D124" s="3"/>
      <c r="E124" s="3"/>
      <c r="F124" s="4"/>
      <c r="G124" s="4"/>
      <c r="H124" s="4"/>
      <c r="I124" s="4"/>
      <c r="J124" s="4"/>
      <c r="K124" s="4"/>
      <c r="L124" s="4"/>
      <c r="M124" s="4"/>
      <c r="N124" s="3"/>
      <c r="O124" s="3"/>
      <c r="P124" s="3"/>
      <c r="Q124" s="3"/>
      <c r="R124" s="3"/>
      <c r="S124" s="3"/>
      <c r="T124" s="3"/>
      <c r="U124" s="3"/>
      <c r="V124" s="3"/>
      <c r="W124" s="3"/>
      <c r="X124" s="3"/>
      <c r="Y124" s="3"/>
      <c r="Z124" s="3"/>
      <c r="AA124" s="3"/>
      <c r="AB124" s="3"/>
      <c r="AC124" s="3"/>
    </row>
    <row r="125" customFormat="false" ht="21.75" hidden="false" customHeight="true" outlineLevel="0" collapsed="false">
      <c r="A125" s="3"/>
      <c r="B125" s="3"/>
      <c r="C125" s="3"/>
      <c r="D125" s="3"/>
      <c r="E125" s="3"/>
      <c r="F125" s="4"/>
      <c r="G125" s="4"/>
      <c r="H125" s="4"/>
      <c r="I125" s="4"/>
      <c r="J125" s="4"/>
      <c r="K125" s="4"/>
      <c r="L125" s="4"/>
      <c r="M125" s="4"/>
      <c r="N125" s="3"/>
      <c r="O125" s="3"/>
      <c r="P125" s="3"/>
      <c r="Q125" s="3"/>
      <c r="R125" s="3"/>
      <c r="S125" s="3"/>
      <c r="T125" s="3"/>
      <c r="U125" s="3"/>
      <c r="V125" s="3"/>
      <c r="W125" s="3"/>
      <c r="X125" s="3"/>
      <c r="Y125" s="3"/>
      <c r="Z125" s="3"/>
      <c r="AA125" s="3"/>
      <c r="AB125" s="3"/>
      <c r="AC125" s="3"/>
    </row>
    <row r="126" customFormat="false" ht="21.75" hidden="false" customHeight="true" outlineLevel="0" collapsed="false">
      <c r="A126" s="3"/>
      <c r="B126" s="3"/>
      <c r="C126" s="3"/>
      <c r="D126" s="3"/>
      <c r="E126" s="3"/>
      <c r="F126" s="4"/>
      <c r="G126" s="4"/>
      <c r="H126" s="4"/>
      <c r="I126" s="4"/>
      <c r="J126" s="4"/>
      <c r="K126" s="4"/>
      <c r="L126" s="4"/>
      <c r="M126" s="4"/>
      <c r="N126" s="3"/>
      <c r="O126" s="3"/>
      <c r="P126" s="3"/>
      <c r="Q126" s="3"/>
      <c r="R126" s="3"/>
      <c r="S126" s="3"/>
      <c r="T126" s="3"/>
      <c r="U126" s="3"/>
      <c r="V126" s="3"/>
      <c r="W126" s="3"/>
      <c r="X126" s="3"/>
      <c r="Y126" s="3"/>
      <c r="Z126" s="3"/>
      <c r="AA126" s="3"/>
      <c r="AB126" s="3"/>
      <c r="AC126" s="3"/>
    </row>
    <row r="127" customFormat="false" ht="21.75" hidden="false" customHeight="true" outlineLevel="0" collapsed="false">
      <c r="A127" s="3"/>
      <c r="B127" s="3"/>
      <c r="C127" s="3"/>
      <c r="D127" s="3"/>
      <c r="E127" s="3"/>
      <c r="F127" s="4"/>
      <c r="G127" s="4"/>
      <c r="H127" s="4"/>
      <c r="I127" s="4"/>
      <c r="J127" s="4"/>
      <c r="K127" s="4"/>
      <c r="L127" s="4"/>
      <c r="M127" s="4"/>
      <c r="N127" s="3"/>
      <c r="O127" s="3"/>
      <c r="P127" s="3"/>
      <c r="Q127" s="3"/>
      <c r="R127" s="3"/>
      <c r="S127" s="3"/>
      <c r="T127" s="3"/>
      <c r="U127" s="3"/>
      <c r="V127" s="3"/>
      <c r="W127" s="3"/>
      <c r="X127" s="3"/>
      <c r="Y127" s="3"/>
      <c r="Z127" s="3"/>
      <c r="AA127" s="3"/>
      <c r="AB127" s="3"/>
      <c r="AC127" s="3"/>
    </row>
    <row r="128" customFormat="false" ht="21.75" hidden="false" customHeight="true" outlineLevel="0" collapsed="false">
      <c r="A128" s="3"/>
      <c r="B128" s="3"/>
      <c r="C128" s="3"/>
      <c r="D128" s="3"/>
      <c r="E128" s="3"/>
      <c r="F128" s="4"/>
      <c r="G128" s="4"/>
      <c r="H128" s="4"/>
      <c r="I128" s="4"/>
      <c r="J128" s="4"/>
      <c r="K128" s="4"/>
      <c r="L128" s="4"/>
      <c r="M128" s="4"/>
      <c r="N128" s="3"/>
      <c r="O128" s="3"/>
      <c r="P128" s="3"/>
      <c r="Q128" s="3"/>
      <c r="R128" s="3"/>
      <c r="S128" s="3"/>
      <c r="T128" s="3"/>
      <c r="U128" s="3"/>
      <c r="V128" s="3"/>
      <c r="W128" s="3"/>
      <c r="X128" s="3"/>
      <c r="Y128" s="3"/>
      <c r="Z128" s="3"/>
      <c r="AA128" s="3"/>
      <c r="AB128" s="3"/>
      <c r="AC128" s="3"/>
    </row>
    <row r="129" customFormat="false" ht="21.75" hidden="false" customHeight="true" outlineLevel="0" collapsed="false">
      <c r="A129" s="3"/>
      <c r="B129" s="3"/>
      <c r="C129" s="3"/>
      <c r="D129" s="3"/>
      <c r="E129" s="3"/>
      <c r="F129" s="4"/>
      <c r="G129" s="4"/>
      <c r="H129" s="4"/>
      <c r="I129" s="4"/>
      <c r="J129" s="4"/>
      <c r="K129" s="4"/>
      <c r="L129" s="4"/>
      <c r="M129" s="4"/>
      <c r="N129" s="3"/>
      <c r="O129" s="3"/>
      <c r="P129" s="3"/>
      <c r="Q129" s="3"/>
      <c r="R129" s="3"/>
      <c r="S129" s="3"/>
      <c r="T129" s="3"/>
      <c r="U129" s="3"/>
      <c r="V129" s="3"/>
      <c r="W129" s="3"/>
      <c r="X129" s="3"/>
      <c r="Y129" s="3"/>
      <c r="Z129" s="3"/>
      <c r="AA129" s="3"/>
      <c r="AB129" s="3"/>
      <c r="AC129" s="3"/>
    </row>
    <row r="130" customFormat="false" ht="21.75" hidden="false" customHeight="true" outlineLevel="0" collapsed="false">
      <c r="A130" s="3"/>
      <c r="B130" s="3"/>
      <c r="C130" s="3"/>
      <c r="D130" s="3"/>
      <c r="E130" s="3"/>
      <c r="F130" s="4"/>
      <c r="G130" s="4"/>
      <c r="H130" s="4"/>
      <c r="I130" s="4"/>
      <c r="J130" s="4"/>
      <c r="K130" s="4"/>
      <c r="L130" s="4"/>
      <c r="M130" s="4"/>
      <c r="N130" s="3"/>
      <c r="O130" s="3"/>
      <c r="P130" s="3"/>
      <c r="Q130" s="3"/>
      <c r="R130" s="3"/>
      <c r="S130" s="3"/>
      <c r="T130" s="3"/>
      <c r="U130" s="3"/>
      <c r="V130" s="3"/>
      <c r="W130" s="3"/>
      <c r="X130" s="3"/>
      <c r="Y130" s="3"/>
      <c r="Z130" s="3"/>
      <c r="AA130" s="3"/>
      <c r="AB130" s="3"/>
      <c r="AC130" s="3"/>
    </row>
    <row r="131" customFormat="false" ht="21.75" hidden="false" customHeight="true" outlineLevel="0" collapsed="false">
      <c r="A131" s="3"/>
      <c r="B131" s="3"/>
      <c r="C131" s="3"/>
      <c r="D131" s="3"/>
      <c r="E131" s="3"/>
      <c r="F131" s="4"/>
      <c r="G131" s="4"/>
      <c r="H131" s="4"/>
      <c r="I131" s="4"/>
      <c r="J131" s="4"/>
      <c r="K131" s="4"/>
      <c r="L131" s="4"/>
      <c r="M131" s="4"/>
      <c r="N131" s="3"/>
      <c r="O131" s="3"/>
      <c r="P131" s="3"/>
      <c r="Q131" s="3"/>
      <c r="R131" s="3"/>
      <c r="S131" s="3"/>
      <c r="T131" s="3"/>
      <c r="U131" s="3"/>
      <c r="V131" s="3"/>
      <c r="W131" s="3"/>
      <c r="X131" s="3"/>
      <c r="Y131" s="3"/>
      <c r="Z131" s="3"/>
      <c r="AA131" s="3"/>
      <c r="AB131" s="3"/>
      <c r="AC131" s="3"/>
    </row>
    <row r="132" customFormat="false" ht="21.75" hidden="false" customHeight="true" outlineLevel="0" collapsed="false">
      <c r="A132" s="3"/>
      <c r="B132" s="3"/>
      <c r="C132" s="3"/>
      <c r="D132" s="3"/>
      <c r="E132" s="3"/>
      <c r="F132" s="4"/>
      <c r="G132" s="4"/>
      <c r="H132" s="4"/>
      <c r="I132" s="4"/>
      <c r="J132" s="4"/>
      <c r="K132" s="4"/>
      <c r="L132" s="4"/>
      <c r="M132" s="4"/>
      <c r="N132" s="3"/>
      <c r="O132" s="3"/>
      <c r="P132" s="3"/>
      <c r="Q132" s="3"/>
      <c r="R132" s="3"/>
      <c r="S132" s="3"/>
      <c r="T132" s="3"/>
      <c r="U132" s="3"/>
      <c r="V132" s="3"/>
      <c r="W132" s="3"/>
      <c r="X132" s="3"/>
      <c r="Y132" s="3"/>
      <c r="Z132" s="3"/>
      <c r="AA132" s="3"/>
      <c r="AB132" s="3"/>
      <c r="AC132" s="3"/>
    </row>
    <row r="133" customFormat="false" ht="21.75" hidden="false" customHeight="true" outlineLevel="0" collapsed="false">
      <c r="A133" s="3"/>
      <c r="B133" s="3"/>
      <c r="C133" s="3"/>
      <c r="D133" s="3"/>
      <c r="E133" s="3"/>
      <c r="F133" s="4"/>
      <c r="G133" s="4"/>
      <c r="H133" s="4"/>
      <c r="I133" s="4"/>
      <c r="J133" s="4"/>
      <c r="K133" s="4"/>
      <c r="L133" s="4"/>
      <c r="M133" s="4"/>
      <c r="N133" s="3"/>
      <c r="O133" s="3"/>
      <c r="P133" s="3"/>
      <c r="Q133" s="3"/>
      <c r="R133" s="3"/>
      <c r="S133" s="3"/>
      <c r="T133" s="3"/>
      <c r="U133" s="3"/>
      <c r="V133" s="3"/>
      <c r="W133" s="3"/>
      <c r="X133" s="3"/>
      <c r="Y133" s="3"/>
      <c r="Z133" s="3"/>
      <c r="AA133" s="3"/>
      <c r="AB133" s="3"/>
      <c r="AC133" s="3"/>
    </row>
    <row r="134" customFormat="false" ht="21.75" hidden="false" customHeight="true" outlineLevel="0" collapsed="false">
      <c r="A134" s="3"/>
      <c r="B134" s="3"/>
      <c r="C134" s="3"/>
      <c r="D134" s="3"/>
      <c r="E134" s="3"/>
      <c r="F134" s="4"/>
      <c r="G134" s="4"/>
      <c r="H134" s="4"/>
      <c r="I134" s="4"/>
      <c r="J134" s="4"/>
      <c r="K134" s="4"/>
      <c r="L134" s="4"/>
      <c r="M134" s="4"/>
      <c r="N134" s="3"/>
      <c r="O134" s="3"/>
      <c r="P134" s="3"/>
      <c r="Q134" s="3"/>
      <c r="R134" s="3"/>
      <c r="S134" s="3"/>
      <c r="T134" s="3"/>
      <c r="U134" s="3"/>
      <c r="V134" s="3"/>
      <c r="W134" s="3"/>
      <c r="X134" s="3"/>
      <c r="Y134" s="3"/>
      <c r="Z134" s="3"/>
      <c r="AA134" s="3"/>
      <c r="AB134" s="3"/>
      <c r="AC134" s="3"/>
    </row>
    <row r="135" customFormat="false" ht="21.75" hidden="false" customHeight="true" outlineLevel="0" collapsed="false">
      <c r="A135" s="3"/>
      <c r="B135" s="3"/>
      <c r="C135" s="3"/>
      <c r="D135" s="3"/>
      <c r="E135" s="3"/>
      <c r="F135" s="4"/>
      <c r="G135" s="4"/>
      <c r="H135" s="4"/>
      <c r="I135" s="4"/>
      <c r="J135" s="4"/>
      <c r="K135" s="4"/>
      <c r="L135" s="4"/>
      <c r="M135" s="4"/>
      <c r="N135" s="3"/>
      <c r="O135" s="3"/>
      <c r="P135" s="3"/>
      <c r="Q135" s="3"/>
      <c r="R135" s="3"/>
      <c r="S135" s="3"/>
      <c r="T135" s="3"/>
      <c r="U135" s="3"/>
      <c r="V135" s="3"/>
      <c r="W135" s="3"/>
      <c r="X135" s="3"/>
      <c r="Y135" s="3"/>
      <c r="Z135" s="3"/>
      <c r="AA135" s="3"/>
      <c r="AB135" s="3"/>
      <c r="AC135" s="3"/>
    </row>
    <row r="136" customFormat="false" ht="21.75" hidden="false" customHeight="true" outlineLevel="0" collapsed="false">
      <c r="A136" s="3"/>
      <c r="B136" s="3"/>
      <c r="C136" s="3"/>
      <c r="D136" s="3"/>
      <c r="E136" s="3"/>
      <c r="F136" s="4"/>
      <c r="G136" s="4"/>
      <c r="H136" s="4"/>
      <c r="I136" s="4"/>
      <c r="J136" s="4"/>
      <c r="K136" s="4"/>
      <c r="L136" s="4"/>
      <c r="M136" s="4"/>
      <c r="N136" s="3"/>
      <c r="O136" s="3"/>
      <c r="P136" s="3"/>
      <c r="Q136" s="3"/>
      <c r="R136" s="3"/>
      <c r="S136" s="3"/>
      <c r="T136" s="3"/>
      <c r="U136" s="3"/>
      <c r="V136" s="3"/>
      <c r="W136" s="3"/>
      <c r="X136" s="3"/>
      <c r="Y136" s="3"/>
      <c r="Z136" s="3"/>
      <c r="AA136" s="3"/>
      <c r="AB136" s="3"/>
      <c r="AC136" s="3"/>
    </row>
    <row r="137" customFormat="false" ht="21.75" hidden="false" customHeight="true" outlineLevel="0" collapsed="false">
      <c r="A137" s="3"/>
      <c r="B137" s="3"/>
      <c r="C137" s="3"/>
      <c r="D137" s="3"/>
      <c r="E137" s="3"/>
      <c r="F137" s="4"/>
      <c r="G137" s="4"/>
      <c r="H137" s="4"/>
      <c r="I137" s="4"/>
      <c r="J137" s="4"/>
      <c r="K137" s="4"/>
      <c r="L137" s="4"/>
      <c r="M137" s="4"/>
      <c r="N137" s="3"/>
      <c r="O137" s="3"/>
      <c r="P137" s="3"/>
      <c r="Q137" s="3"/>
      <c r="R137" s="3"/>
      <c r="S137" s="3"/>
      <c r="T137" s="3"/>
      <c r="U137" s="3"/>
      <c r="V137" s="3"/>
      <c r="W137" s="3"/>
      <c r="X137" s="3"/>
      <c r="Y137" s="3"/>
      <c r="Z137" s="3"/>
      <c r="AA137" s="3"/>
      <c r="AB137" s="3"/>
      <c r="AC137" s="3"/>
    </row>
    <row r="138" customFormat="false" ht="21.75" hidden="false" customHeight="true" outlineLevel="0" collapsed="false">
      <c r="A138" s="3"/>
      <c r="B138" s="3"/>
      <c r="C138" s="3"/>
      <c r="D138" s="3"/>
      <c r="E138" s="3"/>
      <c r="F138" s="4"/>
      <c r="G138" s="4"/>
      <c r="H138" s="4"/>
      <c r="I138" s="4"/>
      <c r="J138" s="4"/>
      <c r="K138" s="4"/>
      <c r="L138" s="4"/>
      <c r="M138" s="4"/>
      <c r="N138" s="3"/>
      <c r="O138" s="3"/>
      <c r="P138" s="3"/>
      <c r="Q138" s="3"/>
      <c r="R138" s="3"/>
      <c r="S138" s="3"/>
      <c r="T138" s="3"/>
      <c r="U138" s="3"/>
      <c r="V138" s="3"/>
      <c r="W138" s="3"/>
      <c r="X138" s="3"/>
      <c r="Y138" s="3"/>
      <c r="Z138" s="3"/>
      <c r="AA138" s="3"/>
      <c r="AB138" s="3"/>
      <c r="AC138" s="3"/>
    </row>
    <row r="139" customFormat="false" ht="21.75" hidden="false" customHeight="true" outlineLevel="0" collapsed="false">
      <c r="A139" s="3"/>
      <c r="B139" s="3"/>
      <c r="C139" s="3"/>
      <c r="D139" s="3"/>
      <c r="E139" s="3"/>
      <c r="F139" s="4"/>
      <c r="G139" s="4"/>
      <c r="H139" s="4"/>
      <c r="I139" s="4"/>
      <c r="J139" s="4"/>
      <c r="K139" s="4"/>
      <c r="L139" s="4"/>
      <c r="M139" s="4"/>
      <c r="N139" s="3"/>
      <c r="O139" s="3"/>
      <c r="P139" s="3"/>
      <c r="Q139" s="3"/>
      <c r="R139" s="3"/>
      <c r="S139" s="3"/>
      <c r="T139" s="3"/>
      <c r="U139" s="3"/>
      <c r="V139" s="3"/>
      <c r="W139" s="3"/>
      <c r="X139" s="3"/>
      <c r="Y139" s="3"/>
      <c r="Z139" s="3"/>
      <c r="AA139" s="3"/>
      <c r="AB139" s="3"/>
      <c r="AC139" s="3"/>
    </row>
    <row r="140" customFormat="false" ht="21.75" hidden="false" customHeight="true" outlineLevel="0" collapsed="false">
      <c r="A140" s="3"/>
      <c r="B140" s="3"/>
      <c r="C140" s="3"/>
      <c r="D140" s="3"/>
      <c r="E140" s="3"/>
      <c r="F140" s="4"/>
      <c r="G140" s="4"/>
      <c r="H140" s="4"/>
      <c r="I140" s="4"/>
      <c r="J140" s="4"/>
      <c r="K140" s="4"/>
      <c r="L140" s="4"/>
      <c r="M140" s="4"/>
      <c r="N140" s="3"/>
      <c r="O140" s="3"/>
      <c r="P140" s="3"/>
      <c r="Q140" s="3"/>
      <c r="R140" s="3"/>
      <c r="S140" s="3"/>
      <c r="T140" s="3"/>
      <c r="U140" s="3"/>
      <c r="V140" s="3"/>
      <c r="W140" s="3"/>
      <c r="X140" s="3"/>
      <c r="Y140" s="3"/>
      <c r="Z140" s="3"/>
      <c r="AA140" s="3"/>
      <c r="AB140" s="3"/>
      <c r="AC140" s="3"/>
    </row>
    <row r="141" customFormat="false" ht="21.75" hidden="false" customHeight="true" outlineLevel="0" collapsed="false">
      <c r="A141" s="3"/>
      <c r="B141" s="3"/>
      <c r="C141" s="3"/>
      <c r="D141" s="3"/>
      <c r="E141" s="3"/>
      <c r="F141" s="4"/>
      <c r="G141" s="4"/>
      <c r="H141" s="4"/>
      <c r="I141" s="4"/>
      <c r="J141" s="4"/>
      <c r="K141" s="4"/>
      <c r="L141" s="4"/>
      <c r="M141" s="4"/>
      <c r="N141" s="3"/>
      <c r="O141" s="3"/>
      <c r="P141" s="3"/>
      <c r="Q141" s="3"/>
      <c r="R141" s="3"/>
      <c r="S141" s="3"/>
      <c r="T141" s="3"/>
      <c r="U141" s="3"/>
      <c r="V141" s="3"/>
      <c r="W141" s="3"/>
      <c r="X141" s="3"/>
      <c r="Y141" s="3"/>
      <c r="Z141" s="3"/>
      <c r="AA141" s="3"/>
      <c r="AB141" s="3"/>
      <c r="AC141" s="3"/>
    </row>
    <row r="142" customFormat="false" ht="21.75" hidden="false" customHeight="true" outlineLevel="0" collapsed="false">
      <c r="A142" s="3"/>
      <c r="B142" s="3"/>
      <c r="C142" s="3"/>
      <c r="D142" s="3"/>
      <c r="E142" s="3"/>
      <c r="F142" s="4"/>
      <c r="G142" s="4"/>
      <c r="H142" s="4"/>
      <c r="I142" s="4"/>
      <c r="J142" s="4"/>
      <c r="K142" s="4"/>
      <c r="L142" s="4"/>
      <c r="M142" s="4"/>
      <c r="N142" s="3"/>
      <c r="O142" s="3"/>
      <c r="P142" s="3"/>
      <c r="Q142" s="3"/>
      <c r="R142" s="3"/>
      <c r="S142" s="3"/>
      <c r="T142" s="3"/>
      <c r="U142" s="3"/>
      <c r="V142" s="3"/>
      <c r="W142" s="3"/>
      <c r="X142" s="3"/>
      <c r="Y142" s="3"/>
      <c r="Z142" s="3"/>
      <c r="AA142" s="3"/>
      <c r="AB142" s="3"/>
      <c r="AC142" s="3"/>
    </row>
    <row r="143" customFormat="false" ht="21.75" hidden="false" customHeight="true" outlineLevel="0" collapsed="false">
      <c r="A143" s="3"/>
      <c r="B143" s="3"/>
      <c r="C143" s="3"/>
      <c r="D143" s="3"/>
      <c r="E143" s="3"/>
      <c r="F143" s="4"/>
      <c r="G143" s="4"/>
      <c r="H143" s="4"/>
      <c r="I143" s="4"/>
      <c r="J143" s="4"/>
      <c r="K143" s="4"/>
      <c r="L143" s="4"/>
      <c r="M143" s="4"/>
      <c r="N143" s="3"/>
      <c r="O143" s="3"/>
      <c r="P143" s="3"/>
      <c r="Q143" s="3"/>
      <c r="R143" s="3"/>
      <c r="S143" s="3"/>
      <c r="T143" s="3"/>
      <c r="U143" s="3"/>
      <c r="V143" s="3"/>
      <c r="W143" s="3"/>
      <c r="X143" s="3"/>
      <c r="Y143" s="3"/>
      <c r="Z143" s="3"/>
      <c r="AA143" s="3"/>
      <c r="AB143" s="3"/>
      <c r="AC143" s="3"/>
    </row>
    <row r="144" customFormat="false" ht="21.75" hidden="false" customHeight="true" outlineLevel="0" collapsed="false">
      <c r="A144" s="3"/>
      <c r="B144" s="3"/>
      <c r="C144" s="3"/>
      <c r="D144" s="3"/>
      <c r="E144" s="3"/>
      <c r="F144" s="4"/>
      <c r="G144" s="4"/>
      <c r="H144" s="4"/>
      <c r="I144" s="4"/>
      <c r="J144" s="4"/>
      <c r="K144" s="4"/>
      <c r="L144" s="4"/>
      <c r="M144" s="4"/>
      <c r="N144" s="3"/>
      <c r="O144" s="3"/>
      <c r="P144" s="3"/>
      <c r="Q144" s="3"/>
      <c r="R144" s="3"/>
      <c r="S144" s="3"/>
      <c r="T144" s="3"/>
      <c r="U144" s="3"/>
      <c r="V144" s="3"/>
      <c r="W144" s="3"/>
      <c r="X144" s="3"/>
      <c r="Y144" s="3"/>
      <c r="Z144" s="3"/>
      <c r="AA144" s="3"/>
      <c r="AB144" s="3"/>
      <c r="AC144" s="3"/>
    </row>
    <row r="145" customFormat="false" ht="21.75" hidden="false" customHeight="true" outlineLevel="0" collapsed="false">
      <c r="A145" s="3"/>
      <c r="B145" s="3"/>
      <c r="C145" s="3"/>
      <c r="D145" s="3"/>
      <c r="E145" s="3"/>
      <c r="F145" s="4"/>
      <c r="G145" s="4"/>
      <c r="H145" s="4"/>
      <c r="I145" s="4"/>
      <c r="J145" s="4"/>
      <c r="K145" s="4"/>
      <c r="L145" s="4"/>
      <c r="M145" s="4"/>
      <c r="N145" s="3"/>
      <c r="O145" s="3"/>
      <c r="P145" s="3"/>
      <c r="Q145" s="3"/>
      <c r="R145" s="3"/>
      <c r="S145" s="3"/>
      <c r="T145" s="3"/>
      <c r="U145" s="3"/>
      <c r="V145" s="3"/>
      <c r="W145" s="3"/>
      <c r="X145" s="3"/>
      <c r="Y145" s="3"/>
      <c r="Z145" s="3"/>
      <c r="AA145" s="3"/>
      <c r="AB145" s="3"/>
      <c r="AC145" s="3"/>
    </row>
    <row r="146" customFormat="false" ht="21.75" hidden="false" customHeight="true" outlineLevel="0" collapsed="false">
      <c r="A146" s="3"/>
      <c r="B146" s="3"/>
      <c r="C146" s="3"/>
      <c r="D146" s="3"/>
      <c r="E146" s="3"/>
      <c r="F146" s="4"/>
      <c r="G146" s="4"/>
      <c r="H146" s="4"/>
      <c r="I146" s="4"/>
      <c r="J146" s="4"/>
      <c r="K146" s="4"/>
      <c r="L146" s="4"/>
      <c r="M146" s="4"/>
      <c r="N146" s="3"/>
      <c r="O146" s="3"/>
      <c r="P146" s="3"/>
      <c r="Q146" s="3"/>
      <c r="R146" s="3"/>
      <c r="S146" s="3"/>
      <c r="T146" s="3"/>
      <c r="U146" s="3"/>
      <c r="V146" s="3"/>
      <c r="W146" s="3"/>
      <c r="X146" s="3"/>
      <c r="Y146" s="3"/>
      <c r="Z146" s="3"/>
      <c r="AA146" s="3"/>
      <c r="AB146" s="3"/>
      <c r="AC146" s="3"/>
    </row>
    <row r="147" customFormat="false" ht="21.75" hidden="false" customHeight="true" outlineLevel="0" collapsed="false">
      <c r="A147" s="3"/>
      <c r="B147" s="3"/>
      <c r="C147" s="3"/>
      <c r="D147" s="3"/>
      <c r="E147" s="3"/>
      <c r="F147" s="4"/>
      <c r="G147" s="4"/>
      <c r="H147" s="4"/>
      <c r="I147" s="4"/>
      <c r="J147" s="4"/>
      <c r="K147" s="4"/>
      <c r="L147" s="4"/>
      <c r="M147" s="4"/>
      <c r="N147" s="3"/>
      <c r="O147" s="3"/>
      <c r="P147" s="3"/>
      <c r="Q147" s="3"/>
      <c r="R147" s="3"/>
      <c r="S147" s="3"/>
      <c r="T147" s="3"/>
      <c r="U147" s="3"/>
      <c r="V147" s="3"/>
      <c r="W147" s="3"/>
      <c r="X147" s="3"/>
      <c r="Y147" s="3"/>
      <c r="Z147" s="3"/>
      <c r="AA147" s="3"/>
      <c r="AB147" s="3"/>
      <c r="AC147" s="3"/>
    </row>
    <row r="148" customFormat="false" ht="21.75" hidden="false" customHeight="true" outlineLevel="0" collapsed="false">
      <c r="A148" s="3"/>
      <c r="B148" s="3"/>
      <c r="C148" s="3"/>
      <c r="D148" s="3"/>
      <c r="E148" s="3"/>
      <c r="F148" s="4"/>
      <c r="G148" s="4"/>
      <c r="H148" s="4"/>
      <c r="I148" s="4"/>
      <c r="J148" s="4"/>
      <c r="K148" s="4"/>
      <c r="L148" s="4"/>
      <c r="M148" s="4"/>
      <c r="N148" s="3"/>
      <c r="O148" s="3"/>
      <c r="P148" s="3"/>
      <c r="Q148" s="3"/>
      <c r="R148" s="3"/>
      <c r="S148" s="3"/>
      <c r="T148" s="3"/>
      <c r="U148" s="3"/>
      <c r="V148" s="3"/>
      <c r="W148" s="3"/>
      <c r="X148" s="3"/>
      <c r="Y148" s="3"/>
      <c r="Z148" s="3"/>
      <c r="AA148" s="3"/>
      <c r="AB148" s="3"/>
      <c r="AC148" s="3"/>
    </row>
    <row r="149" customFormat="false" ht="21.75" hidden="false" customHeight="true" outlineLevel="0" collapsed="false">
      <c r="A149" s="3"/>
      <c r="B149" s="3"/>
      <c r="C149" s="3"/>
      <c r="D149" s="3"/>
      <c r="E149" s="3"/>
      <c r="F149" s="4"/>
      <c r="G149" s="4"/>
      <c r="H149" s="4"/>
      <c r="I149" s="4"/>
      <c r="J149" s="4"/>
      <c r="K149" s="4"/>
      <c r="L149" s="4"/>
      <c r="M149" s="4"/>
      <c r="N149" s="3"/>
      <c r="O149" s="3"/>
      <c r="P149" s="3"/>
      <c r="Q149" s="3"/>
      <c r="R149" s="3"/>
      <c r="S149" s="3"/>
      <c r="T149" s="3"/>
      <c r="U149" s="3"/>
      <c r="V149" s="3"/>
      <c r="W149" s="3"/>
      <c r="X149" s="3"/>
      <c r="Y149" s="3"/>
      <c r="Z149" s="3"/>
      <c r="AA149" s="3"/>
      <c r="AB149" s="3"/>
      <c r="AC149" s="3"/>
    </row>
    <row r="150" customFormat="false" ht="21.75" hidden="false" customHeight="true" outlineLevel="0" collapsed="false">
      <c r="A150" s="3"/>
      <c r="B150" s="3"/>
      <c r="C150" s="3"/>
      <c r="D150" s="3"/>
      <c r="E150" s="3"/>
      <c r="F150" s="4"/>
      <c r="G150" s="4"/>
      <c r="H150" s="4"/>
      <c r="I150" s="4"/>
      <c r="J150" s="4"/>
      <c r="K150" s="4"/>
      <c r="L150" s="4"/>
      <c r="M150" s="4"/>
      <c r="N150" s="3"/>
      <c r="O150" s="3"/>
      <c r="P150" s="3"/>
      <c r="Q150" s="3"/>
      <c r="R150" s="3"/>
      <c r="S150" s="3"/>
      <c r="T150" s="3"/>
      <c r="U150" s="3"/>
      <c r="V150" s="3"/>
      <c r="W150" s="3"/>
      <c r="X150" s="3"/>
      <c r="Y150" s="3"/>
      <c r="Z150" s="3"/>
      <c r="AA150" s="3"/>
      <c r="AB150" s="3"/>
      <c r="AC150" s="3"/>
    </row>
    <row r="151" customFormat="false" ht="21.75" hidden="false" customHeight="true" outlineLevel="0" collapsed="false">
      <c r="A151" s="3"/>
      <c r="B151" s="3"/>
      <c r="C151" s="3"/>
      <c r="D151" s="3"/>
      <c r="E151" s="3"/>
      <c r="F151" s="4"/>
      <c r="G151" s="4"/>
      <c r="H151" s="4"/>
      <c r="I151" s="4"/>
      <c r="J151" s="4"/>
      <c r="K151" s="4"/>
      <c r="L151" s="4"/>
      <c r="M151" s="4"/>
      <c r="N151" s="3"/>
      <c r="O151" s="3"/>
      <c r="P151" s="3"/>
      <c r="Q151" s="3"/>
      <c r="R151" s="3"/>
      <c r="S151" s="3"/>
      <c r="T151" s="3"/>
      <c r="U151" s="3"/>
      <c r="V151" s="3"/>
      <c r="W151" s="3"/>
      <c r="X151" s="3"/>
      <c r="Y151" s="3"/>
      <c r="Z151" s="3"/>
      <c r="AA151" s="3"/>
      <c r="AB151" s="3"/>
      <c r="AC151" s="3"/>
    </row>
    <row r="152" customFormat="false" ht="21.75" hidden="false" customHeight="true" outlineLevel="0" collapsed="false">
      <c r="A152" s="3"/>
      <c r="B152" s="3"/>
      <c r="C152" s="3"/>
      <c r="D152" s="3"/>
      <c r="E152" s="3"/>
      <c r="F152" s="4"/>
      <c r="G152" s="4"/>
      <c r="H152" s="4"/>
      <c r="I152" s="4"/>
      <c r="J152" s="4"/>
      <c r="K152" s="4"/>
      <c r="L152" s="4"/>
      <c r="M152" s="4"/>
      <c r="N152" s="3"/>
      <c r="O152" s="3"/>
      <c r="P152" s="3"/>
      <c r="Q152" s="3"/>
      <c r="R152" s="3"/>
      <c r="S152" s="3"/>
      <c r="T152" s="3"/>
      <c r="U152" s="3"/>
      <c r="V152" s="3"/>
      <c r="W152" s="3"/>
      <c r="X152" s="3"/>
      <c r="Y152" s="3"/>
      <c r="Z152" s="3"/>
      <c r="AA152" s="3"/>
      <c r="AB152" s="3"/>
      <c r="AC152" s="3"/>
    </row>
    <row r="153" customFormat="false" ht="21.75" hidden="false" customHeight="true" outlineLevel="0" collapsed="false">
      <c r="A153" s="3"/>
      <c r="B153" s="3"/>
      <c r="C153" s="3"/>
      <c r="D153" s="3"/>
      <c r="E153" s="3"/>
      <c r="F153" s="4"/>
      <c r="G153" s="4"/>
      <c r="H153" s="4"/>
      <c r="I153" s="4"/>
      <c r="J153" s="4"/>
      <c r="K153" s="4"/>
      <c r="L153" s="4"/>
      <c r="M153" s="4"/>
      <c r="N153" s="3"/>
      <c r="O153" s="3"/>
      <c r="P153" s="3"/>
      <c r="Q153" s="3"/>
      <c r="R153" s="3"/>
      <c r="S153" s="3"/>
      <c r="T153" s="3"/>
      <c r="U153" s="3"/>
      <c r="V153" s="3"/>
      <c r="W153" s="3"/>
      <c r="X153" s="3"/>
      <c r="Y153" s="3"/>
      <c r="Z153" s="3"/>
      <c r="AA153" s="3"/>
      <c r="AB153" s="3"/>
      <c r="AC153" s="3"/>
    </row>
    <row r="154" customFormat="false" ht="21.75" hidden="false" customHeight="true" outlineLevel="0" collapsed="false">
      <c r="A154" s="3"/>
      <c r="B154" s="3"/>
      <c r="C154" s="3"/>
      <c r="D154" s="3"/>
      <c r="E154" s="3"/>
      <c r="F154" s="4"/>
      <c r="G154" s="4"/>
      <c r="H154" s="4"/>
      <c r="I154" s="4"/>
      <c r="J154" s="4"/>
      <c r="K154" s="4"/>
      <c r="L154" s="4"/>
      <c r="M154" s="4"/>
      <c r="N154" s="3"/>
      <c r="O154" s="3"/>
      <c r="P154" s="3"/>
      <c r="Q154" s="3"/>
      <c r="R154" s="3"/>
      <c r="S154" s="3"/>
      <c r="T154" s="3"/>
      <c r="U154" s="3"/>
      <c r="V154" s="3"/>
      <c r="W154" s="3"/>
      <c r="X154" s="3"/>
      <c r="Y154" s="3"/>
      <c r="Z154" s="3"/>
      <c r="AA154" s="3"/>
      <c r="AB154" s="3"/>
      <c r="AC154" s="3"/>
    </row>
    <row r="155" customFormat="false" ht="21.75" hidden="false" customHeight="true" outlineLevel="0" collapsed="false">
      <c r="A155" s="3"/>
      <c r="B155" s="3"/>
      <c r="C155" s="3"/>
      <c r="D155" s="3"/>
      <c r="E155" s="3"/>
      <c r="F155" s="4"/>
      <c r="G155" s="4"/>
      <c r="H155" s="4"/>
      <c r="I155" s="4"/>
      <c r="J155" s="4"/>
      <c r="K155" s="4"/>
      <c r="L155" s="4"/>
      <c r="M155" s="4"/>
      <c r="N155" s="3"/>
      <c r="O155" s="3"/>
      <c r="P155" s="3"/>
      <c r="Q155" s="3"/>
      <c r="R155" s="3"/>
      <c r="S155" s="3"/>
      <c r="T155" s="3"/>
      <c r="U155" s="3"/>
      <c r="V155" s="3"/>
      <c r="W155" s="3"/>
      <c r="X155" s="3"/>
      <c r="Y155" s="3"/>
      <c r="Z155" s="3"/>
      <c r="AA155" s="3"/>
      <c r="AB155" s="3"/>
      <c r="AC155" s="3"/>
    </row>
    <row r="156" customFormat="false" ht="21.75" hidden="false" customHeight="true" outlineLevel="0" collapsed="false">
      <c r="A156" s="3"/>
      <c r="B156" s="3"/>
      <c r="C156" s="3"/>
      <c r="D156" s="3"/>
      <c r="E156" s="3"/>
      <c r="F156" s="4"/>
      <c r="G156" s="4"/>
      <c r="H156" s="4"/>
      <c r="I156" s="4"/>
      <c r="J156" s="4"/>
      <c r="K156" s="4"/>
      <c r="L156" s="4"/>
      <c r="M156" s="4"/>
      <c r="N156" s="3"/>
      <c r="O156" s="3"/>
      <c r="P156" s="3"/>
      <c r="Q156" s="3"/>
      <c r="R156" s="3"/>
      <c r="S156" s="3"/>
      <c r="T156" s="3"/>
      <c r="U156" s="3"/>
      <c r="V156" s="3"/>
      <c r="W156" s="3"/>
      <c r="X156" s="3"/>
      <c r="Y156" s="3"/>
      <c r="Z156" s="3"/>
      <c r="AA156" s="3"/>
      <c r="AB156" s="3"/>
      <c r="AC156" s="3"/>
    </row>
    <row r="157" customFormat="false" ht="21.75" hidden="false" customHeight="true" outlineLevel="0" collapsed="false">
      <c r="A157" s="3"/>
      <c r="B157" s="3"/>
      <c r="C157" s="3"/>
      <c r="D157" s="3"/>
      <c r="E157" s="3"/>
      <c r="F157" s="4"/>
      <c r="G157" s="4"/>
      <c r="H157" s="4"/>
      <c r="I157" s="4"/>
      <c r="J157" s="4"/>
      <c r="K157" s="4"/>
      <c r="L157" s="4"/>
      <c r="M157" s="4"/>
      <c r="N157" s="3"/>
      <c r="O157" s="3"/>
      <c r="P157" s="3"/>
      <c r="Q157" s="3"/>
      <c r="R157" s="3"/>
      <c r="S157" s="3"/>
      <c r="T157" s="3"/>
      <c r="U157" s="3"/>
      <c r="V157" s="3"/>
      <c r="W157" s="3"/>
      <c r="X157" s="3"/>
      <c r="Y157" s="3"/>
      <c r="Z157" s="3"/>
      <c r="AA157" s="3"/>
      <c r="AB157" s="3"/>
      <c r="AC157" s="3"/>
    </row>
    <row r="158" customFormat="false" ht="21.75" hidden="false" customHeight="true" outlineLevel="0" collapsed="false">
      <c r="A158" s="3"/>
      <c r="B158" s="3"/>
      <c r="C158" s="3"/>
      <c r="D158" s="3"/>
      <c r="E158" s="3"/>
      <c r="F158" s="4"/>
      <c r="G158" s="4"/>
      <c r="H158" s="4"/>
      <c r="I158" s="4"/>
      <c r="J158" s="4"/>
      <c r="K158" s="4"/>
      <c r="L158" s="4"/>
      <c r="M158" s="4"/>
      <c r="N158" s="3"/>
      <c r="O158" s="3"/>
      <c r="P158" s="3"/>
      <c r="Q158" s="3"/>
      <c r="R158" s="3"/>
      <c r="S158" s="3"/>
      <c r="T158" s="3"/>
      <c r="U158" s="3"/>
      <c r="V158" s="3"/>
      <c r="W158" s="3"/>
      <c r="X158" s="3"/>
      <c r="Y158" s="3"/>
      <c r="Z158" s="3"/>
      <c r="AA158" s="3"/>
      <c r="AB158" s="3"/>
      <c r="AC158" s="3"/>
    </row>
    <row r="159" customFormat="false" ht="21.75" hidden="false" customHeight="true" outlineLevel="0" collapsed="false">
      <c r="A159" s="3"/>
      <c r="B159" s="3"/>
      <c r="C159" s="3"/>
      <c r="D159" s="3"/>
      <c r="E159" s="3"/>
      <c r="F159" s="4"/>
      <c r="G159" s="4"/>
      <c r="H159" s="4"/>
      <c r="I159" s="4"/>
      <c r="J159" s="4"/>
      <c r="K159" s="4"/>
      <c r="L159" s="4"/>
      <c r="M159" s="4"/>
      <c r="N159" s="3"/>
      <c r="O159" s="3"/>
      <c r="P159" s="3"/>
      <c r="Q159" s="3"/>
      <c r="R159" s="3"/>
      <c r="S159" s="3"/>
      <c r="T159" s="3"/>
      <c r="U159" s="3"/>
      <c r="V159" s="3"/>
      <c r="W159" s="3"/>
      <c r="X159" s="3"/>
      <c r="Y159" s="3"/>
      <c r="Z159" s="3"/>
      <c r="AA159" s="3"/>
      <c r="AB159" s="3"/>
      <c r="AC159" s="3"/>
    </row>
    <row r="160" customFormat="false" ht="21.75" hidden="false" customHeight="true" outlineLevel="0" collapsed="false">
      <c r="A160" s="3"/>
      <c r="B160" s="3"/>
      <c r="C160" s="3"/>
      <c r="D160" s="3"/>
      <c r="E160" s="3"/>
      <c r="F160" s="4"/>
      <c r="G160" s="4"/>
      <c r="H160" s="4"/>
      <c r="I160" s="4"/>
      <c r="J160" s="4"/>
      <c r="K160" s="4"/>
      <c r="L160" s="4"/>
      <c r="M160" s="4"/>
      <c r="N160" s="3"/>
      <c r="O160" s="3"/>
      <c r="P160" s="3"/>
      <c r="Q160" s="3"/>
      <c r="R160" s="3"/>
      <c r="S160" s="3"/>
      <c r="T160" s="3"/>
      <c r="U160" s="3"/>
      <c r="V160" s="3"/>
      <c r="W160" s="3"/>
      <c r="X160" s="3"/>
      <c r="Y160" s="3"/>
      <c r="Z160" s="3"/>
      <c r="AA160" s="3"/>
      <c r="AB160" s="3"/>
      <c r="AC160" s="3"/>
    </row>
    <row r="161" customFormat="false" ht="21.75" hidden="false" customHeight="true" outlineLevel="0" collapsed="false">
      <c r="A161" s="3"/>
      <c r="B161" s="3"/>
      <c r="C161" s="3"/>
      <c r="D161" s="3"/>
      <c r="E161" s="3"/>
      <c r="F161" s="4"/>
      <c r="G161" s="4"/>
      <c r="H161" s="4"/>
      <c r="I161" s="4"/>
      <c r="J161" s="4"/>
      <c r="K161" s="4"/>
      <c r="L161" s="4"/>
      <c r="M161" s="4"/>
      <c r="N161" s="3"/>
      <c r="O161" s="3"/>
      <c r="P161" s="3"/>
      <c r="Q161" s="3"/>
      <c r="R161" s="3"/>
      <c r="S161" s="3"/>
      <c r="T161" s="3"/>
      <c r="U161" s="3"/>
      <c r="V161" s="3"/>
      <c r="W161" s="3"/>
      <c r="X161" s="3"/>
      <c r="Y161" s="3"/>
      <c r="Z161" s="3"/>
      <c r="AA161" s="3"/>
      <c r="AB161" s="3"/>
      <c r="AC161" s="3"/>
    </row>
    <row r="162" customFormat="false" ht="21.75" hidden="false" customHeight="true" outlineLevel="0" collapsed="false">
      <c r="A162" s="3"/>
      <c r="B162" s="3"/>
      <c r="C162" s="3"/>
      <c r="D162" s="3"/>
      <c r="E162" s="3"/>
      <c r="F162" s="4"/>
      <c r="G162" s="4"/>
      <c r="H162" s="4"/>
      <c r="I162" s="4"/>
      <c r="J162" s="4"/>
      <c r="K162" s="4"/>
      <c r="L162" s="4"/>
      <c r="M162" s="4"/>
      <c r="N162" s="3"/>
      <c r="O162" s="3"/>
      <c r="P162" s="3"/>
      <c r="Q162" s="3"/>
      <c r="R162" s="3"/>
      <c r="S162" s="3"/>
      <c r="T162" s="3"/>
      <c r="U162" s="3"/>
      <c r="V162" s="3"/>
      <c r="W162" s="3"/>
      <c r="X162" s="3"/>
      <c r="Y162" s="3"/>
      <c r="Z162" s="3"/>
      <c r="AA162" s="3"/>
      <c r="AB162" s="3"/>
      <c r="AC162" s="3"/>
    </row>
    <row r="163" customFormat="false" ht="21.75" hidden="false" customHeight="true" outlineLevel="0" collapsed="false">
      <c r="A163" s="3"/>
      <c r="B163" s="3"/>
      <c r="C163" s="3"/>
      <c r="D163" s="3"/>
      <c r="E163" s="3"/>
      <c r="F163" s="4"/>
      <c r="G163" s="4"/>
      <c r="H163" s="4"/>
      <c r="I163" s="4"/>
      <c r="J163" s="4"/>
      <c r="K163" s="4"/>
      <c r="L163" s="4"/>
      <c r="M163" s="4"/>
      <c r="N163" s="3"/>
      <c r="O163" s="3"/>
      <c r="P163" s="3"/>
      <c r="Q163" s="3"/>
      <c r="R163" s="3"/>
      <c r="S163" s="3"/>
      <c r="T163" s="3"/>
      <c r="U163" s="3"/>
      <c r="V163" s="3"/>
      <c r="W163" s="3"/>
      <c r="X163" s="3"/>
      <c r="Y163" s="3"/>
      <c r="Z163" s="3"/>
      <c r="AA163" s="3"/>
      <c r="AB163" s="3"/>
      <c r="AC163" s="3"/>
    </row>
    <row r="164" customFormat="false" ht="21.75" hidden="false" customHeight="true" outlineLevel="0" collapsed="false">
      <c r="A164" s="3"/>
      <c r="B164" s="3"/>
      <c r="C164" s="3"/>
      <c r="D164" s="3"/>
      <c r="E164" s="3"/>
      <c r="F164" s="4"/>
      <c r="G164" s="4"/>
      <c r="H164" s="4"/>
      <c r="I164" s="4"/>
      <c r="J164" s="4"/>
      <c r="K164" s="4"/>
      <c r="L164" s="4"/>
      <c r="M164" s="4"/>
      <c r="N164" s="3"/>
      <c r="O164" s="3"/>
      <c r="P164" s="3"/>
      <c r="Q164" s="3"/>
      <c r="R164" s="3"/>
      <c r="S164" s="3"/>
      <c r="T164" s="3"/>
      <c r="U164" s="3"/>
      <c r="V164" s="3"/>
      <c r="W164" s="3"/>
      <c r="X164" s="3"/>
      <c r="Y164" s="3"/>
      <c r="Z164" s="3"/>
      <c r="AA164" s="3"/>
      <c r="AB164" s="3"/>
      <c r="AC164" s="3"/>
    </row>
    <row r="165" customFormat="false" ht="21.75" hidden="false" customHeight="true" outlineLevel="0" collapsed="false">
      <c r="A165" s="3"/>
      <c r="B165" s="3"/>
      <c r="C165" s="3"/>
      <c r="D165" s="3"/>
      <c r="E165" s="3"/>
      <c r="F165" s="4"/>
      <c r="G165" s="4"/>
      <c r="H165" s="4"/>
      <c r="I165" s="4"/>
      <c r="J165" s="4"/>
      <c r="K165" s="4"/>
      <c r="L165" s="4"/>
      <c r="M165" s="4"/>
      <c r="N165" s="3"/>
      <c r="O165" s="3"/>
      <c r="P165" s="3"/>
      <c r="Q165" s="3"/>
      <c r="R165" s="3"/>
      <c r="S165" s="3"/>
      <c r="T165" s="3"/>
      <c r="U165" s="3"/>
      <c r="V165" s="3"/>
      <c r="W165" s="3"/>
      <c r="X165" s="3"/>
      <c r="Y165" s="3"/>
      <c r="Z165" s="3"/>
      <c r="AA165" s="3"/>
      <c r="AB165" s="3"/>
      <c r="AC165" s="3"/>
    </row>
    <row r="166" customFormat="false" ht="21.75" hidden="false" customHeight="true" outlineLevel="0" collapsed="false">
      <c r="A166" s="3"/>
      <c r="B166" s="3"/>
      <c r="C166" s="3"/>
      <c r="D166" s="3"/>
      <c r="E166" s="3"/>
      <c r="F166" s="4"/>
      <c r="G166" s="4"/>
      <c r="H166" s="4"/>
      <c r="I166" s="4"/>
      <c r="J166" s="4"/>
      <c r="K166" s="4"/>
      <c r="L166" s="4"/>
      <c r="M166" s="4"/>
      <c r="N166" s="3"/>
      <c r="O166" s="3"/>
      <c r="P166" s="3"/>
      <c r="Q166" s="3"/>
      <c r="R166" s="3"/>
      <c r="S166" s="3"/>
      <c r="T166" s="3"/>
      <c r="U166" s="3"/>
      <c r="V166" s="3"/>
      <c r="W166" s="3"/>
      <c r="X166" s="3"/>
      <c r="Y166" s="3"/>
      <c r="Z166" s="3"/>
      <c r="AA166" s="3"/>
      <c r="AB166" s="3"/>
      <c r="AC166" s="3"/>
    </row>
    <row r="167" customFormat="false" ht="21.75" hidden="false" customHeight="true" outlineLevel="0" collapsed="false">
      <c r="A167" s="3"/>
      <c r="B167" s="3"/>
      <c r="C167" s="3"/>
      <c r="D167" s="3"/>
      <c r="E167" s="3"/>
      <c r="F167" s="4"/>
      <c r="G167" s="4"/>
      <c r="H167" s="4"/>
      <c r="I167" s="4"/>
      <c r="J167" s="4"/>
      <c r="K167" s="4"/>
      <c r="L167" s="4"/>
      <c r="M167" s="4"/>
      <c r="N167" s="3"/>
      <c r="O167" s="3"/>
      <c r="P167" s="3"/>
      <c r="Q167" s="3"/>
      <c r="R167" s="3"/>
      <c r="S167" s="3"/>
      <c r="T167" s="3"/>
      <c r="U167" s="3"/>
      <c r="V167" s="3"/>
      <c r="W167" s="3"/>
      <c r="X167" s="3"/>
      <c r="Y167" s="3"/>
      <c r="Z167" s="3"/>
      <c r="AA167" s="3"/>
      <c r="AB167" s="3"/>
      <c r="AC167" s="3"/>
    </row>
    <row r="168" customFormat="false" ht="21.75" hidden="false" customHeight="true" outlineLevel="0" collapsed="false">
      <c r="A168" s="3"/>
      <c r="B168" s="3"/>
      <c r="C168" s="3"/>
      <c r="D168" s="3"/>
      <c r="E168" s="3"/>
      <c r="F168" s="4"/>
      <c r="G168" s="4"/>
      <c r="H168" s="4"/>
      <c r="I168" s="4"/>
      <c r="J168" s="4"/>
      <c r="K168" s="4"/>
      <c r="L168" s="4"/>
      <c r="M168" s="4"/>
      <c r="N168" s="3"/>
      <c r="O168" s="3"/>
      <c r="P168" s="3"/>
      <c r="Q168" s="3"/>
      <c r="R168" s="3"/>
      <c r="S168" s="3"/>
      <c r="T168" s="3"/>
      <c r="U168" s="3"/>
      <c r="V168" s="3"/>
      <c r="W168" s="3"/>
      <c r="X168" s="3"/>
      <c r="Y168" s="3"/>
      <c r="Z168" s="3"/>
      <c r="AA168" s="3"/>
      <c r="AB168" s="3"/>
      <c r="AC168" s="3"/>
    </row>
    <row r="169" customFormat="false" ht="21.75" hidden="false" customHeight="true" outlineLevel="0" collapsed="false">
      <c r="A169" s="3"/>
      <c r="B169" s="3"/>
      <c r="C169" s="3"/>
      <c r="D169" s="3"/>
      <c r="E169" s="3"/>
      <c r="F169" s="4"/>
      <c r="G169" s="4"/>
      <c r="H169" s="4"/>
      <c r="I169" s="4"/>
      <c r="J169" s="4"/>
      <c r="K169" s="4"/>
      <c r="L169" s="4"/>
      <c r="M169" s="4"/>
      <c r="N169" s="3"/>
      <c r="O169" s="3"/>
      <c r="P169" s="3"/>
      <c r="Q169" s="3"/>
      <c r="R169" s="3"/>
      <c r="S169" s="3"/>
      <c r="T169" s="3"/>
      <c r="U169" s="3"/>
      <c r="V169" s="3"/>
      <c r="W169" s="3"/>
      <c r="X169" s="3"/>
      <c r="Y169" s="3"/>
      <c r="Z169" s="3"/>
      <c r="AA169" s="3"/>
      <c r="AB169" s="3"/>
      <c r="AC169" s="3"/>
    </row>
    <row r="170" customFormat="false" ht="21.75" hidden="false" customHeight="true" outlineLevel="0" collapsed="false">
      <c r="A170" s="3"/>
      <c r="B170" s="3"/>
      <c r="C170" s="3"/>
      <c r="D170" s="3"/>
      <c r="E170" s="3"/>
      <c r="F170" s="4"/>
      <c r="G170" s="4"/>
      <c r="H170" s="4"/>
      <c r="I170" s="4"/>
      <c r="J170" s="4"/>
      <c r="K170" s="4"/>
      <c r="L170" s="4"/>
      <c r="M170" s="4"/>
      <c r="N170" s="3"/>
      <c r="O170" s="3"/>
      <c r="P170" s="3"/>
      <c r="Q170" s="3"/>
      <c r="R170" s="3"/>
      <c r="S170" s="3"/>
      <c r="T170" s="3"/>
      <c r="U170" s="3"/>
      <c r="V170" s="3"/>
      <c r="W170" s="3"/>
      <c r="X170" s="3"/>
      <c r="Y170" s="3"/>
      <c r="Z170" s="3"/>
      <c r="AA170" s="3"/>
      <c r="AB170" s="3"/>
      <c r="AC170" s="3"/>
    </row>
    <row r="171" customFormat="false" ht="21.75" hidden="false" customHeight="true" outlineLevel="0" collapsed="false">
      <c r="A171" s="3"/>
      <c r="B171" s="3"/>
      <c r="C171" s="3"/>
      <c r="D171" s="3"/>
      <c r="E171" s="3"/>
      <c r="F171" s="4"/>
      <c r="G171" s="4"/>
      <c r="H171" s="4"/>
      <c r="I171" s="4"/>
      <c r="J171" s="4"/>
      <c r="K171" s="4"/>
      <c r="L171" s="4"/>
      <c r="M171" s="4"/>
      <c r="N171" s="3"/>
      <c r="O171" s="3"/>
      <c r="P171" s="3"/>
      <c r="Q171" s="3"/>
      <c r="R171" s="3"/>
      <c r="S171" s="3"/>
      <c r="T171" s="3"/>
      <c r="U171" s="3"/>
      <c r="V171" s="3"/>
      <c r="W171" s="3"/>
      <c r="X171" s="3"/>
      <c r="Y171" s="3"/>
      <c r="Z171" s="3"/>
      <c r="AA171" s="3"/>
      <c r="AB171" s="3"/>
      <c r="AC171" s="3"/>
    </row>
    <row r="172" customFormat="false" ht="21.75" hidden="false" customHeight="true" outlineLevel="0" collapsed="false">
      <c r="A172" s="3"/>
      <c r="B172" s="3"/>
      <c r="C172" s="3"/>
      <c r="D172" s="3"/>
      <c r="E172" s="3"/>
      <c r="F172" s="4"/>
      <c r="G172" s="4"/>
      <c r="H172" s="4"/>
      <c r="I172" s="4"/>
      <c r="J172" s="4"/>
      <c r="K172" s="4"/>
      <c r="L172" s="4"/>
      <c r="M172" s="4"/>
      <c r="N172" s="3"/>
      <c r="O172" s="3"/>
      <c r="P172" s="3"/>
      <c r="Q172" s="3"/>
      <c r="R172" s="3"/>
      <c r="S172" s="3"/>
      <c r="T172" s="3"/>
      <c r="U172" s="3"/>
      <c r="V172" s="3"/>
      <c r="W172" s="3"/>
      <c r="X172" s="3"/>
      <c r="Y172" s="3"/>
      <c r="Z172" s="3"/>
      <c r="AA172" s="3"/>
      <c r="AB172" s="3"/>
      <c r="AC172" s="3"/>
    </row>
    <row r="173" customFormat="false" ht="21.75" hidden="false" customHeight="true" outlineLevel="0" collapsed="false">
      <c r="A173" s="3"/>
      <c r="B173" s="3"/>
      <c r="C173" s="3"/>
      <c r="D173" s="3"/>
      <c r="E173" s="3"/>
      <c r="F173" s="4"/>
      <c r="G173" s="4"/>
      <c r="H173" s="4"/>
      <c r="I173" s="4"/>
      <c r="J173" s="4"/>
      <c r="K173" s="4"/>
      <c r="L173" s="4"/>
      <c r="M173" s="4"/>
      <c r="N173" s="3"/>
      <c r="O173" s="3"/>
      <c r="P173" s="3"/>
      <c r="Q173" s="3"/>
      <c r="R173" s="3"/>
      <c r="S173" s="3"/>
      <c r="T173" s="3"/>
      <c r="U173" s="3"/>
      <c r="V173" s="3"/>
      <c r="W173" s="3"/>
      <c r="X173" s="3"/>
      <c r="Y173" s="3"/>
      <c r="Z173" s="3"/>
      <c r="AA173" s="3"/>
      <c r="AB173" s="3"/>
      <c r="AC173" s="3"/>
    </row>
    <row r="174" customFormat="false" ht="21.75" hidden="false" customHeight="true" outlineLevel="0" collapsed="false">
      <c r="A174" s="3"/>
      <c r="B174" s="3"/>
      <c r="C174" s="3"/>
      <c r="D174" s="3"/>
      <c r="E174" s="3"/>
      <c r="F174" s="4"/>
      <c r="G174" s="4"/>
      <c r="H174" s="4"/>
      <c r="I174" s="4"/>
      <c r="J174" s="4"/>
      <c r="K174" s="4"/>
      <c r="L174" s="4"/>
      <c r="M174" s="4"/>
      <c r="N174" s="3"/>
      <c r="O174" s="3"/>
      <c r="P174" s="3"/>
      <c r="Q174" s="3"/>
      <c r="R174" s="3"/>
      <c r="S174" s="3"/>
      <c r="T174" s="3"/>
      <c r="U174" s="3"/>
      <c r="V174" s="3"/>
      <c r="W174" s="3"/>
      <c r="X174" s="3"/>
      <c r="Y174" s="3"/>
      <c r="Z174" s="3"/>
      <c r="AA174" s="3"/>
      <c r="AB174" s="3"/>
      <c r="AC174" s="3"/>
    </row>
    <row r="175" customFormat="false" ht="21.75" hidden="false" customHeight="true" outlineLevel="0" collapsed="false">
      <c r="A175" s="3"/>
      <c r="B175" s="3"/>
      <c r="C175" s="3"/>
      <c r="D175" s="3"/>
      <c r="E175" s="3"/>
      <c r="F175" s="4"/>
      <c r="G175" s="4"/>
      <c r="H175" s="4"/>
      <c r="I175" s="4"/>
      <c r="J175" s="4"/>
      <c r="K175" s="4"/>
      <c r="L175" s="4"/>
      <c r="M175" s="4"/>
      <c r="N175" s="3"/>
      <c r="O175" s="3"/>
      <c r="P175" s="3"/>
      <c r="Q175" s="3"/>
      <c r="R175" s="3"/>
      <c r="S175" s="3"/>
      <c r="T175" s="3"/>
      <c r="U175" s="3"/>
      <c r="V175" s="3"/>
      <c r="W175" s="3"/>
      <c r="X175" s="3"/>
      <c r="Y175" s="3"/>
      <c r="Z175" s="3"/>
      <c r="AA175" s="3"/>
      <c r="AB175" s="3"/>
      <c r="AC175" s="3"/>
    </row>
    <row r="176" customFormat="false" ht="21.75" hidden="false" customHeight="true" outlineLevel="0" collapsed="false">
      <c r="A176" s="3"/>
      <c r="B176" s="3"/>
      <c r="C176" s="3"/>
      <c r="D176" s="3"/>
      <c r="E176" s="3"/>
      <c r="F176" s="4"/>
      <c r="G176" s="4"/>
      <c r="H176" s="4"/>
      <c r="I176" s="4"/>
      <c r="J176" s="4"/>
      <c r="K176" s="4"/>
      <c r="L176" s="4"/>
      <c r="M176" s="4"/>
      <c r="N176" s="3"/>
      <c r="O176" s="3"/>
      <c r="P176" s="3"/>
      <c r="Q176" s="3"/>
      <c r="R176" s="3"/>
      <c r="S176" s="3"/>
      <c r="T176" s="3"/>
      <c r="U176" s="3"/>
      <c r="V176" s="3"/>
      <c r="W176" s="3"/>
      <c r="X176" s="3"/>
      <c r="Y176" s="3"/>
      <c r="Z176" s="3"/>
      <c r="AA176" s="3"/>
      <c r="AB176" s="3"/>
      <c r="AC176" s="3"/>
    </row>
    <row r="177" customFormat="false" ht="21.75" hidden="false" customHeight="true" outlineLevel="0" collapsed="false">
      <c r="A177" s="3"/>
      <c r="B177" s="3"/>
      <c r="C177" s="3"/>
      <c r="D177" s="3"/>
      <c r="E177" s="3"/>
      <c r="F177" s="4"/>
      <c r="G177" s="4"/>
      <c r="H177" s="4"/>
      <c r="I177" s="4"/>
      <c r="J177" s="4"/>
      <c r="K177" s="4"/>
      <c r="L177" s="4"/>
      <c r="M177" s="4"/>
      <c r="N177" s="3"/>
      <c r="O177" s="3"/>
      <c r="P177" s="3"/>
      <c r="Q177" s="3"/>
      <c r="R177" s="3"/>
      <c r="S177" s="3"/>
      <c r="T177" s="3"/>
      <c r="U177" s="3"/>
      <c r="V177" s="3"/>
      <c r="W177" s="3"/>
      <c r="X177" s="3"/>
      <c r="Y177" s="3"/>
      <c r="Z177" s="3"/>
      <c r="AA177" s="3"/>
      <c r="AB177" s="3"/>
      <c r="AC177" s="3"/>
    </row>
    <row r="178" customFormat="false" ht="21.75" hidden="false" customHeight="true" outlineLevel="0" collapsed="false">
      <c r="A178" s="3"/>
      <c r="B178" s="3"/>
      <c r="C178" s="3"/>
      <c r="D178" s="3"/>
      <c r="E178" s="3"/>
      <c r="F178" s="4"/>
      <c r="G178" s="4"/>
      <c r="H178" s="4"/>
      <c r="I178" s="4"/>
      <c r="J178" s="4"/>
      <c r="K178" s="4"/>
      <c r="L178" s="4"/>
      <c r="M178" s="4"/>
      <c r="N178" s="3"/>
      <c r="O178" s="3"/>
      <c r="P178" s="3"/>
      <c r="Q178" s="3"/>
      <c r="R178" s="3"/>
      <c r="S178" s="3"/>
      <c r="T178" s="3"/>
      <c r="U178" s="3"/>
      <c r="V178" s="3"/>
      <c r="W178" s="3"/>
      <c r="X178" s="3"/>
      <c r="Y178" s="3"/>
      <c r="Z178" s="3"/>
      <c r="AA178" s="3"/>
      <c r="AB178" s="3"/>
      <c r="AC178" s="3"/>
    </row>
    <row r="179" customFormat="false" ht="21.75" hidden="false" customHeight="true" outlineLevel="0" collapsed="false">
      <c r="A179" s="3"/>
      <c r="B179" s="3"/>
      <c r="C179" s="3"/>
      <c r="D179" s="3"/>
      <c r="E179" s="3"/>
      <c r="F179" s="4"/>
      <c r="G179" s="4"/>
      <c r="H179" s="4"/>
      <c r="I179" s="4"/>
      <c r="J179" s="4"/>
      <c r="K179" s="4"/>
      <c r="L179" s="4"/>
      <c r="M179" s="4"/>
      <c r="N179" s="3"/>
      <c r="O179" s="3"/>
      <c r="P179" s="3"/>
      <c r="Q179" s="3"/>
      <c r="R179" s="3"/>
      <c r="S179" s="3"/>
      <c r="T179" s="3"/>
      <c r="U179" s="3"/>
      <c r="V179" s="3"/>
      <c r="W179" s="3"/>
      <c r="X179" s="3"/>
      <c r="Y179" s="3"/>
      <c r="Z179" s="3"/>
      <c r="AA179" s="3"/>
      <c r="AB179" s="3"/>
      <c r="AC179" s="3"/>
    </row>
    <row r="180" customFormat="false" ht="21.75" hidden="false" customHeight="true" outlineLevel="0" collapsed="false">
      <c r="A180" s="3"/>
      <c r="B180" s="3"/>
      <c r="C180" s="3"/>
      <c r="D180" s="3"/>
      <c r="E180" s="3"/>
      <c r="F180" s="4"/>
      <c r="G180" s="4"/>
      <c r="H180" s="4"/>
      <c r="I180" s="4"/>
      <c r="J180" s="4"/>
      <c r="K180" s="4"/>
      <c r="L180" s="4"/>
      <c r="M180" s="4"/>
      <c r="N180" s="3"/>
      <c r="O180" s="3"/>
      <c r="P180" s="3"/>
      <c r="Q180" s="3"/>
      <c r="R180" s="3"/>
      <c r="S180" s="3"/>
      <c r="T180" s="3"/>
      <c r="U180" s="3"/>
      <c r="V180" s="3"/>
      <c r="W180" s="3"/>
      <c r="X180" s="3"/>
      <c r="Y180" s="3"/>
      <c r="Z180" s="3"/>
      <c r="AA180" s="3"/>
      <c r="AB180" s="3"/>
      <c r="AC180" s="3"/>
    </row>
    <row r="181" customFormat="false" ht="21.75" hidden="false" customHeight="true" outlineLevel="0" collapsed="false">
      <c r="A181" s="3"/>
      <c r="B181" s="3"/>
      <c r="C181" s="3"/>
      <c r="D181" s="3"/>
      <c r="E181" s="3"/>
      <c r="F181" s="4"/>
      <c r="G181" s="4"/>
      <c r="H181" s="4"/>
      <c r="I181" s="4"/>
      <c r="J181" s="4"/>
      <c r="K181" s="4"/>
      <c r="L181" s="4"/>
      <c r="M181" s="4"/>
      <c r="N181" s="3"/>
      <c r="O181" s="3"/>
      <c r="P181" s="3"/>
      <c r="Q181" s="3"/>
      <c r="R181" s="3"/>
      <c r="S181" s="3"/>
      <c r="T181" s="3"/>
      <c r="U181" s="3"/>
      <c r="V181" s="3"/>
      <c r="W181" s="3"/>
      <c r="X181" s="3"/>
      <c r="Y181" s="3"/>
      <c r="Z181" s="3"/>
      <c r="AA181" s="3"/>
      <c r="AB181" s="3"/>
      <c r="AC181" s="3"/>
    </row>
    <row r="182" customFormat="false" ht="21.75" hidden="false" customHeight="true" outlineLevel="0" collapsed="false">
      <c r="A182" s="3"/>
      <c r="B182" s="3"/>
      <c r="C182" s="3"/>
      <c r="D182" s="3"/>
      <c r="E182" s="3"/>
      <c r="F182" s="4"/>
      <c r="G182" s="4"/>
      <c r="H182" s="4"/>
      <c r="I182" s="4"/>
      <c r="J182" s="4"/>
      <c r="K182" s="4"/>
      <c r="L182" s="4"/>
      <c r="M182" s="4"/>
      <c r="N182" s="3"/>
      <c r="O182" s="3"/>
      <c r="P182" s="3"/>
      <c r="Q182" s="3"/>
      <c r="R182" s="3"/>
      <c r="S182" s="3"/>
      <c r="T182" s="3"/>
      <c r="U182" s="3"/>
      <c r="V182" s="3"/>
      <c r="W182" s="3"/>
      <c r="X182" s="3"/>
      <c r="Y182" s="3"/>
      <c r="Z182" s="3"/>
      <c r="AA182" s="3"/>
      <c r="AB182" s="3"/>
      <c r="AC182" s="3"/>
    </row>
    <row r="183" customFormat="false" ht="21.75" hidden="false" customHeight="true" outlineLevel="0" collapsed="false">
      <c r="A183" s="3"/>
      <c r="B183" s="3"/>
      <c r="C183" s="3"/>
      <c r="D183" s="3"/>
      <c r="E183" s="3"/>
      <c r="F183" s="4"/>
      <c r="G183" s="4"/>
      <c r="H183" s="4"/>
      <c r="I183" s="4"/>
      <c r="J183" s="4"/>
      <c r="K183" s="4"/>
      <c r="L183" s="4"/>
      <c r="M183" s="4"/>
      <c r="N183" s="3"/>
      <c r="O183" s="3"/>
      <c r="P183" s="3"/>
      <c r="Q183" s="3"/>
      <c r="R183" s="3"/>
      <c r="S183" s="3"/>
      <c r="T183" s="3"/>
      <c r="U183" s="3"/>
      <c r="V183" s="3"/>
      <c r="W183" s="3"/>
      <c r="X183" s="3"/>
      <c r="Y183" s="3"/>
      <c r="Z183" s="3"/>
      <c r="AA183" s="3"/>
      <c r="AB183" s="3"/>
      <c r="AC183" s="3"/>
    </row>
    <row r="184" customFormat="false" ht="21.75" hidden="false" customHeight="true" outlineLevel="0" collapsed="false">
      <c r="A184" s="3"/>
      <c r="B184" s="3"/>
      <c r="C184" s="3"/>
      <c r="D184" s="3"/>
      <c r="E184" s="3"/>
      <c r="F184" s="4"/>
      <c r="G184" s="4"/>
      <c r="H184" s="4"/>
      <c r="I184" s="4"/>
      <c r="J184" s="4"/>
      <c r="K184" s="4"/>
      <c r="L184" s="4"/>
      <c r="M184" s="4"/>
      <c r="N184" s="3"/>
      <c r="O184" s="3"/>
      <c r="P184" s="3"/>
      <c r="Q184" s="3"/>
      <c r="R184" s="3"/>
      <c r="S184" s="3"/>
      <c r="T184" s="3"/>
      <c r="U184" s="3"/>
      <c r="V184" s="3"/>
      <c r="W184" s="3"/>
      <c r="X184" s="3"/>
      <c r="Y184" s="3"/>
      <c r="Z184" s="3"/>
      <c r="AA184" s="3"/>
      <c r="AB184" s="3"/>
      <c r="AC184" s="3"/>
    </row>
    <row r="185" customFormat="false" ht="21.75" hidden="false" customHeight="true" outlineLevel="0" collapsed="false">
      <c r="A185" s="3"/>
      <c r="B185" s="3"/>
      <c r="C185" s="3"/>
      <c r="D185" s="3"/>
      <c r="E185" s="3"/>
      <c r="F185" s="4"/>
      <c r="G185" s="4"/>
      <c r="H185" s="4"/>
      <c r="I185" s="4"/>
      <c r="J185" s="4"/>
      <c r="K185" s="4"/>
      <c r="L185" s="4"/>
      <c r="M185" s="4"/>
      <c r="N185" s="3"/>
      <c r="O185" s="3"/>
      <c r="P185" s="3"/>
      <c r="Q185" s="3"/>
      <c r="R185" s="3"/>
      <c r="S185" s="3"/>
      <c r="T185" s="3"/>
      <c r="U185" s="3"/>
      <c r="V185" s="3"/>
      <c r="W185" s="3"/>
      <c r="X185" s="3"/>
      <c r="Y185" s="3"/>
      <c r="Z185" s="3"/>
      <c r="AA185" s="3"/>
      <c r="AB185" s="3"/>
      <c r="AC185" s="3"/>
    </row>
    <row r="186" customFormat="false" ht="21.75" hidden="false" customHeight="true" outlineLevel="0" collapsed="false">
      <c r="A186" s="3"/>
      <c r="B186" s="3"/>
      <c r="C186" s="3"/>
      <c r="D186" s="3"/>
      <c r="E186" s="3"/>
      <c r="F186" s="4"/>
      <c r="G186" s="4"/>
      <c r="H186" s="4"/>
      <c r="I186" s="4"/>
      <c r="J186" s="4"/>
      <c r="K186" s="4"/>
      <c r="L186" s="4"/>
      <c r="M186" s="4"/>
      <c r="N186" s="3"/>
      <c r="O186" s="3"/>
      <c r="P186" s="3"/>
      <c r="Q186" s="3"/>
      <c r="R186" s="3"/>
      <c r="S186" s="3"/>
      <c r="T186" s="3"/>
      <c r="U186" s="3"/>
      <c r="V186" s="3"/>
      <c r="W186" s="3"/>
      <c r="X186" s="3"/>
      <c r="Y186" s="3"/>
      <c r="Z186" s="3"/>
      <c r="AA186" s="3"/>
      <c r="AB186" s="3"/>
      <c r="AC186" s="3"/>
    </row>
    <row r="187" customFormat="false" ht="21.75" hidden="false" customHeight="true" outlineLevel="0" collapsed="false">
      <c r="A187" s="3"/>
      <c r="B187" s="3"/>
      <c r="C187" s="3"/>
      <c r="D187" s="3"/>
      <c r="E187" s="3"/>
      <c r="F187" s="4"/>
      <c r="G187" s="4"/>
      <c r="H187" s="4"/>
      <c r="I187" s="4"/>
      <c r="J187" s="4"/>
      <c r="K187" s="4"/>
      <c r="L187" s="4"/>
      <c r="M187" s="4"/>
      <c r="N187" s="3"/>
      <c r="O187" s="3"/>
      <c r="P187" s="3"/>
      <c r="Q187" s="3"/>
      <c r="R187" s="3"/>
      <c r="S187" s="3"/>
      <c r="T187" s="3"/>
      <c r="U187" s="3"/>
      <c r="V187" s="3"/>
      <c r="W187" s="3"/>
      <c r="X187" s="3"/>
      <c r="Y187" s="3"/>
      <c r="Z187" s="3"/>
      <c r="AA187" s="3"/>
      <c r="AB187" s="3"/>
      <c r="AC187" s="3"/>
    </row>
    <row r="188" customFormat="false" ht="21.75" hidden="false" customHeight="true" outlineLevel="0" collapsed="false">
      <c r="A188" s="3"/>
      <c r="B188" s="3"/>
      <c r="C188" s="3"/>
      <c r="D188" s="3"/>
      <c r="E188" s="3"/>
      <c r="F188" s="4"/>
      <c r="G188" s="4"/>
      <c r="H188" s="4"/>
      <c r="I188" s="4"/>
      <c r="J188" s="4"/>
      <c r="K188" s="4"/>
      <c r="L188" s="4"/>
      <c r="M188" s="4"/>
      <c r="N188" s="3"/>
      <c r="O188" s="3"/>
      <c r="P188" s="3"/>
      <c r="Q188" s="3"/>
      <c r="R188" s="3"/>
      <c r="S188" s="3"/>
      <c r="T188" s="3"/>
      <c r="U188" s="3"/>
      <c r="V188" s="3"/>
      <c r="W188" s="3"/>
      <c r="X188" s="3"/>
      <c r="Y188" s="3"/>
      <c r="Z188" s="3"/>
      <c r="AA188" s="3"/>
      <c r="AB188" s="3"/>
      <c r="AC188" s="3"/>
    </row>
    <row r="189" customFormat="false" ht="21.75" hidden="false" customHeight="true" outlineLevel="0" collapsed="false">
      <c r="A189" s="3"/>
      <c r="B189" s="3"/>
      <c r="C189" s="3"/>
      <c r="D189" s="3"/>
      <c r="E189" s="3"/>
      <c r="F189" s="4"/>
      <c r="G189" s="4"/>
      <c r="H189" s="4"/>
      <c r="I189" s="4"/>
      <c r="J189" s="4"/>
      <c r="K189" s="4"/>
      <c r="L189" s="4"/>
      <c r="M189" s="4"/>
      <c r="N189" s="3"/>
      <c r="O189" s="3"/>
      <c r="P189" s="3"/>
      <c r="Q189" s="3"/>
      <c r="R189" s="3"/>
      <c r="S189" s="3"/>
      <c r="T189" s="3"/>
      <c r="U189" s="3"/>
      <c r="V189" s="3"/>
      <c r="W189" s="3"/>
      <c r="X189" s="3"/>
      <c r="Y189" s="3"/>
      <c r="Z189" s="3"/>
      <c r="AA189" s="3"/>
      <c r="AB189" s="3"/>
      <c r="AC189" s="3"/>
    </row>
    <row r="190" customFormat="false" ht="21.75" hidden="false" customHeight="true" outlineLevel="0" collapsed="false">
      <c r="A190" s="3"/>
      <c r="B190" s="3"/>
      <c r="C190" s="3"/>
      <c r="D190" s="3"/>
      <c r="E190" s="3"/>
      <c r="F190" s="4"/>
      <c r="G190" s="4"/>
      <c r="H190" s="4"/>
      <c r="I190" s="4"/>
      <c r="J190" s="4"/>
      <c r="K190" s="4"/>
      <c r="L190" s="4"/>
      <c r="M190" s="4"/>
      <c r="N190" s="3"/>
      <c r="O190" s="3"/>
      <c r="P190" s="3"/>
      <c r="Q190" s="3"/>
      <c r="R190" s="3"/>
      <c r="S190" s="3"/>
      <c r="T190" s="3"/>
      <c r="U190" s="3"/>
      <c r="V190" s="3"/>
      <c r="W190" s="3"/>
      <c r="X190" s="3"/>
      <c r="Y190" s="3"/>
      <c r="Z190" s="3"/>
      <c r="AA190" s="3"/>
      <c r="AB190" s="3"/>
      <c r="AC190" s="3"/>
    </row>
    <row r="191" customFormat="false" ht="21.75" hidden="false" customHeight="true" outlineLevel="0" collapsed="false">
      <c r="A191" s="3"/>
      <c r="B191" s="3"/>
      <c r="C191" s="3"/>
      <c r="D191" s="3"/>
      <c r="E191" s="3"/>
      <c r="F191" s="4"/>
      <c r="G191" s="4"/>
      <c r="H191" s="4"/>
      <c r="I191" s="4"/>
      <c r="J191" s="4"/>
      <c r="K191" s="4"/>
      <c r="L191" s="4"/>
      <c r="M191" s="4"/>
      <c r="N191" s="3"/>
      <c r="O191" s="3"/>
      <c r="P191" s="3"/>
      <c r="Q191" s="3"/>
      <c r="R191" s="3"/>
      <c r="S191" s="3"/>
      <c r="T191" s="3"/>
      <c r="U191" s="3"/>
      <c r="V191" s="3"/>
      <c r="W191" s="3"/>
      <c r="X191" s="3"/>
      <c r="Y191" s="3"/>
      <c r="Z191" s="3"/>
      <c r="AA191" s="3"/>
      <c r="AB191" s="3"/>
      <c r="AC191" s="3"/>
    </row>
    <row r="192" customFormat="false" ht="21.75" hidden="false" customHeight="true" outlineLevel="0" collapsed="false">
      <c r="A192" s="3"/>
      <c r="B192" s="3"/>
      <c r="C192" s="3"/>
      <c r="D192" s="3"/>
      <c r="E192" s="3"/>
      <c r="F192" s="4"/>
      <c r="G192" s="4"/>
      <c r="H192" s="4"/>
      <c r="I192" s="4"/>
      <c r="J192" s="4"/>
      <c r="K192" s="4"/>
      <c r="L192" s="4"/>
      <c r="M192" s="4"/>
      <c r="N192" s="3"/>
      <c r="O192" s="3"/>
      <c r="P192" s="3"/>
      <c r="Q192" s="3"/>
      <c r="R192" s="3"/>
      <c r="S192" s="3"/>
      <c r="T192" s="3"/>
      <c r="U192" s="3"/>
      <c r="V192" s="3"/>
      <c r="W192" s="3"/>
      <c r="X192" s="3"/>
      <c r="Y192" s="3"/>
      <c r="Z192" s="3"/>
      <c r="AA192" s="3"/>
      <c r="AB192" s="3"/>
      <c r="AC192" s="3"/>
    </row>
    <row r="193" customFormat="false" ht="21.75" hidden="false" customHeight="true" outlineLevel="0" collapsed="false">
      <c r="A193" s="3"/>
      <c r="B193" s="3"/>
      <c r="C193" s="3"/>
      <c r="D193" s="3"/>
      <c r="E193" s="3"/>
      <c r="F193" s="4"/>
      <c r="G193" s="4"/>
      <c r="H193" s="4"/>
      <c r="I193" s="4"/>
      <c r="J193" s="4"/>
      <c r="K193" s="4"/>
      <c r="L193" s="4"/>
      <c r="M193" s="4"/>
      <c r="N193" s="3"/>
      <c r="O193" s="3"/>
      <c r="P193" s="3"/>
      <c r="Q193" s="3"/>
      <c r="R193" s="3"/>
      <c r="S193" s="3"/>
      <c r="T193" s="3"/>
      <c r="U193" s="3"/>
      <c r="V193" s="3"/>
      <c r="W193" s="3"/>
      <c r="X193" s="3"/>
      <c r="Y193" s="3"/>
      <c r="Z193" s="3"/>
      <c r="AA193" s="3"/>
      <c r="AB193" s="3"/>
      <c r="AC193" s="3"/>
    </row>
    <row r="194" customFormat="false" ht="21.75" hidden="false" customHeight="true" outlineLevel="0" collapsed="false">
      <c r="A194" s="3"/>
      <c r="B194" s="3"/>
      <c r="C194" s="3"/>
      <c r="D194" s="3"/>
      <c r="E194" s="3"/>
      <c r="F194" s="4"/>
      <c r="G194" s="4"/>
      <c r="H194" s="4"/>
      <c r="I194" s="4"/>
      <c r="J194" s="4"/>
      <c r="K194" s="4"/>
      <c r="L194" s="4"/>
      <c r="M194" s="4"/>
      <c r="N194" s="3"/>
      <c r="O194" s="3"/>
      <c r="P194" s="3"/>
      <c r="Q194" s="3"/>
      <c r="R194" s="3"/>
      <c r="S194" s="3"/>
      <c r="T194" s="3"/>
      <c r="U194" s="3"/>
      <c r="V194" s="3"/>
      <c r="W194" s="3"/>
      <c r="X194" s="3"/>
      <c r="Y194" s="3"/>
      <c r="Z194" s="3"/>
      <c r="AA194" s="3"/>
      <c r="AB194" s="3"/>
      <c r="AC194" s="3"/>
    </row>
    <row r="195" customFormat="false" ht="21.75" hidden="false" customHeight="true" outlineLevel="0" collapsed="false">
      <c r="A195" s="3"/>
      <c r="B195" s="3"/>
      <c r="C195" s="3"/>
      <c r="D195" s="3"/>
      <c r="E195" s="3"/>
      <c r="F195" s="4"/>
      <c r="G195" s="4"/>
      <c r="H195" s="4"/>
      <c r="I195" s="4"/>
      <c r="J195" s="4"/>
      <c r="K195" s="4"/>
      <c r="L195" s="4"/>
      <c r="M195" s="4"/>
      <c r="N195" s="3"/>
      <c r="O195" s="3"/>
      <c r="P195" s="3"/>
      <c r="Q195" s="3"/>
      <c r="R195" s="3"/>
      <c r="S195" s="3"/>
      <c r="T195" s="3"/>
      <c r="U195" s="3"/>
      <c r="V195" s="3"/>
      <c r="W195" s="3"/>
      <c r="X195" s="3"/>
      <c r="Y195" s="3"/>
      <c r="Z195" s="3"/>
      <c r="AA195" s="3"/>
      <c r="AB195" s="3"/>
      <c r="AC195" s="3"/>
    </row>
    <row r="196" customFormat="false" ht="21.75" hidden="false" customHeight="true" outlineLevel="0" collapsed="false">
      <c r="A196" s="3"/>
      <c r="B196" s="3"/>
      <c r="C196" s="3"/>
      <c r="D196" s="3"/>
      <c r="E196" s="3"/>
      <c r="F196" s="4"/>
      <c r="G196" s="4"/>
      <c r="H196" s="4"/>
      <c r="I196" s="4"/>
      <c r="J196" s="4"/>
      <c r="K196" s="4"/>
      <c r="L196" s="4"/>
      <c r="M196" s="4"/>
      <c r="N196" s="3"/>
      <c r="O196" s="3"/>
      <c r="P196" s="3"/>
      <c r="Q196" s="3"/>
      <c r="R196" s="3"/>
      <c r="S196" s="3"/>
      <c r="T196" s="3"/>
      <c r="U196" s="3"/>
      <c r="V196" s="3"/>
      <c r="W196" s="3"/>
      <c r="X196" s="3"/>
      <c r="Y196" s="3"/>
      <c r="Z196" s="3"/>
      <c r="AA196" s="3"/>
      <c r="AB196" s="3"/>
      <c r="AC196" s="3"/>
    </row>
    <row r="197" customFormat="false" ht="21.75" hidden="false" customHeight="true" outlineLevel="0" collapsed="false">
      <c r="A197" s="3"/>
      <c r="B197" s="3"/>
      <c r="C197" s="3"/>
      <c r="D197" s="3"/>
      <c r="E197" s="3"/>
      <c r="F197" s="4"/>
      <c r="G197" s="4"/>
      <c r="H197" s="4"/>
      <c r="I197" s="4"/>
      <c r="J197" s="4"/>
      <c r="K197" s="4"/>
      <c r="L197" s="4"/>
      <c r="M197" s="4"/>
      <c r="N197" s="3"/>
      <c r="O197" s="3"/>
      <c r="P197" s="3"/>
      <c r="Q197" s="3"/>
      <c r="R197" s="3"/>
      <c r="S197" s="3"/>
      <c r="T197" s="3"/>
      <c r="U197" s="3"/>
      <c r="V197" s="3"/>
      <c r="W197" s="3"/>
      <c r="X197" s="3"/>
      <c r="Y197" s="3"/>
      <c r="Z197" s="3"/>
      <c r="AA197" s="3"/>
      <c r="AB197" s="3"/>
      <c r="AC197" s="3"/>
    </row>
    <row r="198" customFormat="false" ht="21.75" hidden="false" customHeight="true" outlineLevel="0" collapsed="false">
      <c r="A198" s="3"/>
      <c r="B198" s="3"/>
      <c r="C198" s="3"/>
      <c r="D198" s="3"/>
      <c r="E198" s="3"/>
      <c r="F198" s="4"/>
      <c r="G198" s="4"/>
      <c r="H198" s="4"/>
      <c r="I198" s="4"/>
      <c r="J198" s="4"/>
      <c r="K198" s="4"/>
      <c r="L198" s="4"/>
      <c r="M198" s="4"/>
      <c r="N198" s="3"/>
      <c r="O198" s="3"/>
      <c r="P198" s="3"/>
      <c r="Q198" s="3"/>
      <c r="R198" s="3"/>
      <c r="S198" s="3"/>
      <c r="T198" s="3"/>
      <c r="U198" s="3"/>
      <c r="V198" s="3"/>
      <c r="W198" s="3"/>
      <c r="X198" s="3"/>
      <c r="Y198" s="3"/>
      <c r="Z198" s="3"/>
      <c r="AA198" s="3"/>
      <c r="AB198" s="3"/>
      <c r="AC198" s="3"/>
    </row>
    <row r="199" customFormat="false" ht="21.75" hidden="false" customHeight="true" outlineLevel="0" collapsed="false">
      <c r="A199" s="3"/>
      <c r="B199" s="3"/>
      <c r="C199" s="3"/>
      <c r="D199" s="3"/>
      <c r="E199" s="3"/>
      <c r="F199" s="4"/>
      <c r="G199" s="4"/>
      <c r="H199" s="4"/>
      <c r="I199" s="4"/>
      <c r="J199" s="4"/>
      <c r="K199" s="4"/>
      <c r="L199" s="4"/>
      <c r="M199" s="4"/>
      <c r="N199" s="3"/>
      <c r="O199" s="3"/>
      <c r="P199" s="3"/>
      <c r="Q199" s="3"/>
      <c r="R199" s="3"/>
      <c r="S199" s="3"/>
      <c r="T199" s="3"/>
      <c r="U199" s="3"/>
      <c r="V199" s="3"/>
      <c r="W199" s="3"/>
      <c r="X199" s="3"/>
      <c r="Y199" s="3"/>
      <c r="Z199" s="3"/>
      <c r="AA199" s="3"/>
      <c r="AB199" s="3"/>
      <c r="AC199" s="3"/>
    </row>
    <row r="200" customFormat="false" ht="21.75" hidden="false" customHeight="true" outlineLevel="0" collapsed="false">
      <c r="A200" s="3"/>
      <c r="B200" s="3"/>
      <c r="C200" s="3"/>
      <c r="D200" s="3"/>
      <c r="E200" s="3"/>
      <c r="F200" s="4"/>
      <c r="G200" s="4"/>
      <c r="H200" s="4"/>
      <c r="I200" s="4"/>
      <c r="J200" s="4"/>
      <c r="K200" s="4"/>
      <c r="L200" s="4"/>
      <c r="M200" s="4"/>
      <c r="N200" s="3"/>
      <c r="O200" s="3"/>
      <c r="P200" s="3"/>
      <c r="Q200" s="3"/>
      <c r="R200" s="3"/>
      <c r="S200" s="3"/>
      <c r="T200" s="3"/>
      <c r="U200" s="3"/>
      <c r="V200" s="3"/>
      <c r="W200" s="3"/>
      <c r="X200" s="3"/>
      <c r="Y200" s="3"/>
      <c r="Z200" s="3"/>
      <c r="AA200" s="3"/>
      <c r="AB200" s="3"/>
      <c r="AC200" s="3"/>
    </row>
    <row r="201" customFormat="false" ht="21.75" hidden="false" customHeight="true" outlineLevel="0" collapsed="false">
      <c r="A201" s="3"/>
      <c r="B201" s="3"/>
      <c r="C201" s="3"/>
      <c r="D201" s="3"/>
      <c r="E201" s="3"/>
      <c r="F201" s="4"/>
      <c r="G201" s="4"/>
      <c r="H201" s="4"/>
      <c r="I201" s="4"/>
      <c r="J201" s="4"/>
      <c r="K201" s="4"/>
      <c r="L201" s="4"/>
      <c r="M201" s="4"/>
      <c r="N201" s="3"/>
      <c r="O201" s="3"/>
      <c r="P201" s="3"/>
      <c r="Q201" s="3"/>
      <c r="R201" s="3"/>
      <c r="S201" s="3"/>
      <c r="T201" s="3"/>
      <c r="U201" s="3"/>
      <c r="V201" s="3"/>
      <c r="W201" s="3"/>
      <c r="X201" s="3"/>
      <c r="Y201" s="3"/>
      <c r="Z201" s="3"/>
      <c r="AA201" s="3"/>
      <c r="AB201" s="3"/>
      <c r="AC201" s="3"/>
    </row>
    <row r="202" customFormat="false" ht="21.75" hidden="false" customHeight="true" outlineLevel="0" collapsed="false">
      <c r="A202" s="3"/>
      <c r="B202" s="3"/>
      <c r="C202" s="3"/>
      <c r="D202" s="3"/>
      <c r="E202" s="3"/>
      <c r="F202" s="4"/>
      <c r="G202" s="4"/>
      <c r="H202" s="4"/>
      <c r="I202" s="4"/>
      <c r="J202" s="4"/>
      <c r="K202" s="4"/>
      <c r="L202" s="4"/>
      <c r="M202" s="4"/>
      <c r="N202" s="3"/>
      <c r="O202" s="3"/>
      <c r="P202" s="3"/>
      <c r="Q202" s="3"/>
      <c r="R202" s="3"/>
      <c r="S202" s="3"/>
      <c r="T202" s="3"/>
      <c r="U202" s="3"/>
      <c r="V202" s="3"/>
      <c r="W202" s="3"/>
      <c r="X202" s="3"/>
      <c r="Y202" s="3"/>
      <c r="Z202" s="3"/>
      <c r="AA202" s="3"/>
      <c r="AB202" s="3"/>
      <c r="AC202" s="3"/>
    </row>
    <row r="203" customFormat="false" ht="21.75" hidden="false" customHeight="true" outlineLevel="0" collapsed="false">
      <c r="A203" s="3"/>
      <c r="B203" s="3"/>
      <c r="C203" s="3"/>
      <c r="D203" s="3"/>
      <c r="E203" s="3"/>
      <c r="F203" s="4"/>
      <c r="G203" s="4"/>
      <c r="H203" s="4"/>
      <c r="I203" s="4"/>
      <c r="J203" s="4"/>
      <c r="K203" s="4"/>
      <c r="L203" s="4"/>
      <c r="M203" s="4"/>
      <c r="N203" s="3"/>
      <c r="O203" s="3"/>
      <c r="P203" s="3"/>
      <c r="Q203" s="3"/>
      <c r="R203" s="3"/>
      <c r="S203" s="3"/>
      <c r="T203" s="3"/>
      <c r="U203" s="3"/>
      <c r="V203" s="3"/>
      <c r="W203" s="3"/>
      <c r="X203" s="3"/>
      <c r="Y203" s="3"/>
      <c r="Z203" s="3"/>
      <c r="AA203" s="3"/>
      <c r="AB203" s="3"/>
      <c r="AC203" s="3"/>
    </row>
    <row r="204" customFormat="false" ht="21.75" hidden="false" customHeight="true" outlineLevel="0" collapsed="false">
      <c r="A204" s="3"/>
      <c r="B204" s="3"/>
      <c r="C204" s="3"/>
      <c r="D204" s="3"/>
      <c r="E204" s="3"/>
      <c r="F204" s="4"/>
      <c r="G204" s="4"/>
      <c r="H204" s="4"/>
      <c r="I204" s="4"/>
      <c r="J204" s="4"/>
      <c r="K204" s="4"/>
      <c r="L204" s="4"/>
      <c r="M204" s="4"/>
      <c r="N204" s="3"/>
      <c r="O204" s="3"/>
      <c r="P204" s="3"/>
      <c r="Q204" s="3"/>
      <c r="R204" s="3"/>
      <c r="S204" s="3"/>
      <c r="T204" s="3"/>
      <c r="U204" s="3"/>
      <c r="V204" s="3"/>
      <c r="W204" s="3"/>
      <c r="X204" s="3"/>
      <c r="Y204" s="3"/>
      <c r="Z204" s="3"/>
      <c r="AA204" s="3"/>
      <c r="AB204" s="3"/>
      <c r="AC204" s="3"/>
    </row>
    <row r="205" customFormat="false" ht="21.75" hidden="false" customHeight="true" outlineLevel="0" collapsed="false">
      <c r="A205" s="3"/>
      <c r="B205" s="3"/>
      <c r="C205" s="3"/>
      <c r="D205" s="3"/>
      <c r="E205" s="3"/>
      <c r="F205" s="4"/>
      <c r="G205" s="4"/>
      <c r="H205" s="4"/>
      <c r="I205" s="4"/>
      <c r="J205" s="4"/>
      <c r="K205" s="4"/>
      <c r="L205" s="4"/>
      <c r="M205" s="4"/>
      <c r="N205" s="3"/>
      <c r="O205" s="3"/>
      <c r="P205" s="3"/>
      <c r="Q205" s="3"/>
      <c r="R205" s="3"/>
      <c r="S205" s="3"/>
      <c r="T205" s="3"/>
      <c r="U205" s="3"/>
      <c r="V205" s="3"/>
      <c r="W205" s="3"/>
      <c r="X205" s="3"/>
      <c r="Y205" s="3"/>
      <c r="Z205" s="3"/>
      <c r="AA205" s="3"/>
      <c r="AB205" s="3"/>
      <c r="AC205" s="3"/>
    </row>
    <row r="206" customFormat="false" ht="21.75" hidden="false" customHeight="true" outlineLevel="0" collapsed="false">
      <c r="A206" s="3"/>
      <c r="B206" s="3"/>
      <c r="C206" s="3"/>
      <c r="D206" s="3"/>
      <c r="E206" s="3"/>
      <c r="F206" s="4"/>
      <c r="G206" s="4"/>
      <c r="H206" s="4"/>
      <c r="I206" s="4"/>
      <c r="J206" s="4"/>
      <c r="K206" s="4"/>
      <c r="L206" s="4"/>
      <c r="M206" s="4"/>
      <c r="N206" s="3"/>
      <c r="O206" s="3"/>
      <c r="P206" s="3"/>
      <c r="Q206" s="3"/>
      <c r="R206" s="3"/>
      <c r="S206" s="3"/>
      <c r="T206" s="3"/>
      <c r="U206" s="3"/>
      <c r="V206" s="3"/>
      <c r="W206" s="3"/>
      <c r="X206" s="3"/>
      <c r="Y206" s="3"/>
      <c r="Z206" s="3"/>
      <c r="AA206" s="3"/>
      <c r="AB206" s="3"/>
      <c r="AC206" s="3"/>
    </row>
    <row r="207" customFormat="false" ht="21.75" hidden="false" customHeight="true" outlineLevel="0" collapsed="false">
      <c r="A207" s="3"/>
      <c r="B207" s="3"/>
      <c r="C207" s="3"/>
      <c r="D207" s="3"/>
      <c r="E207" s="3"/>
      <c r="F207" s="4"/>
      <c r="G207" s="4"/>
      <c r="H207" s="4"/>
      <c r="I207" s="4"/>
      <c r="J207" s="4"/>
      <c r="K207" s="4"/>
      <c r="L207" s="4"/>
      <c r="M207" s="4"/>
      <c r="N207" s="3"/>
      <c r="O207" s="3"/>
      <c r="P207" s="3"/>
      <c r="Q207" s="3"/>
      <c r="R207" s="3"/>
      <c r="S207" s="3"/>
      <c r="T207" s="3"/>
      <c r="U207" s="3"/>
      <c r="V207" s="3"/>
      <c r="W207" s="3"/>
      <c r="X207" s="3"/>
      <c r="Y207" s="3"/>
      <c r="Z207" s="3"/>
      <c r="AA207" s="3"/>
      <c r="AB207" s="3"/>
      <c r="AC207" s="3"/>
    </row>
    <row r="208" customFormat="false" ht="21.75" hidden="false" customHeight="true" outlineLevel="0" collapsed="false">
      <c r="A208" s="3"/>
      <c r="B208" s="3"/>
      <c r="C208" s="3"/>
      <c r="D208" s="3"/>
      <c r="E208" s="3"/>
      <c r="F208" s="4"/>
      <c r="G208" s="4"/>
      <c r="H208" s="4"/>
      <c r="I208" s="4"/>
      <c r="J208" s="4"/>
      <c r="K208" s="4"/>
      <c r="L208" s="4"/>
      <c r="M208" s="4"/>
      <c r="N208" s="3"/>
      <c r="O208" s="3"/>
      <c r="P208" s="3"/>
      <c r="Q208" s="3"/>
      <c r="R208" s="3"/>
      <c r="S208" s="3"/>
      <c r="T208" s="3"/>
      <c r="U208" s="3"/>
      <c r="V208" s="3"/>
      <c r="W208" s="3"/>
      <c r="X208" s="3"/>
      <c r="Y208" s="3"/>
      <c r="Z208" s="3"/>
      <c r="AA208" s="3"/>
      <c r="AB208" s="3"/>
      <c r="AC208" s="3"/>
    </row>
    <row r="209" customFormat="false" ht="21.75" hidden="false" customHeight="true" outlineLevel="0" collapsed="false">
      <c r="A209" s="3"/>
      <c r="B209" s="3"/>
      <c r="C209" s="3"/>
      <c r="D209" s="3"/>
      <c r="E209" s="3"/>
      <c r="F209" s="4"/>
      <c r="G209" s="4"/>
      <c r="H209" s="4"/>
      <c r="I209" s="4"/>
      <c r="J209" s="4"/>
      <c r="K209" s="4"/>
      <c r="L209" s="4"/>
      <c r="M209" s="4"/>
      <c r="N209" s="3"/>
      <c r="O209" s="3"/>
      <c r="P209" s="3"/>
      <c r="Q209" s="3"/>
      <c r="R209" s="3"/>
      <c r="S209" s="3"/>
      <c r="T209" s="3"/>
      <c r="U209" s="3"/>
      <c r="V209" s="3"/>
      <c r="W209" s="3"/>
      <c r="X209" s="3"/>
      <c r="Y209" s="3"/>
      <c r="Z209" s="3"/>
      <c r="AA209" s="3"/>
      <c r="AB209" s="3"/>
      <c r="AC209" s="3"/>
    </row>
    <row r="210" customFormat="false" ht="21.75" hidden="false" customHeight="true" outlineLevel="0" collapsed="false">
      <c r="A210" s="3"/>
      <c r="B210" s="3"/>
      <c r="C210" s="3"/>
      <c r="D210" s="3"/>
      <c r="E210" s="3"/>
      <c r="F210" s="4"/>
      <c r="G210" s="4"/>
      <c r="H210" s="4"/>
      <c r="I210" s="4"/>
      <c r="J210" s="4"/>
      <c r="K210" s="4"/>
      <c r="L210" s="4"/>
      <c r="M210" s="4"/>
      <c r="N210" s="3"/>
      <c r="O210" s="3"/>
      <c r="P210" s="3"/>
      <c r="Q210" s="3"/>
      <c r="R210" s="3"/>
      <c r="S210" s="3"/>
      <c r="T210" s="3"/>
      <c r="U210" s="3"/>
      <c r="V210" s="3"/>
      <c r="W210" s="3"/>
      <c r="X210" s="3"/>
      <c r="Y210" s="3"/>
      <c r="Z210" s="3"/>
      <c r="AA210" s="3"/>
      <c r="AB210" s="3"/>
      <c r="AC210" s="3"/>
    </row>
    <row r="211" customFormat="false" ht="21.75" hidden="false" customHeight="true" outlineLevel="0" collapsed="false">
      <c r="A211" s="3"/>
      <c r="B211" s="3"/>
      <c r="C211" s="3"/>
      <c r="D211" s="3"/>
      <c r="E211" s="3"/>
      <c r="F211" s="4"/>
      <c r="G211" s="4"/>
      <c r="H211" s="4"/>
      <c r="I211" s="4"/>
      <c r="J211" s="4"/>
      <c r="K211" s="4"/>
      <c r="L211" s="4"/>
      <c r="M211" s="4"/>
      <c r="N211" s="3"/>
      <c r="O211" s="3"/>
      <c r="P211" s="3"/>
      <c r="Q211" s="3"/>
      <c r="R211" s="3"/>
      <c r="S211" s="3"/>
      <c r="T211" s="3"/>
      <c r="U211" s="3"/>
      <c r="V211" s="3"/>
      <c r="W211" s="3"/>
      <c r="X211" s="3"/>
      <c r="Y211" s="3"/>
      <c r="Z211" s="3"/>
      <c r="AA211" s="3"/>
      <c r="AB211" s="3"/>
      <c r="AC211" s="3"/>
    </row>
    <row r="212" customFormat="false" ht="21.75" hidden="false" customHeight="true" outlineLevel="0" collapsed="false">
      <c r="A212" s="3"/>
      <c r="B212" s="3"/>
      <c r="C212" s="3"/>
      <c r="D212" s="3"/>
      <c r="E212" s="3"/>
      <c r="F212" s="4"/>
      <c r="G212" s="4"/>
      <c r="H212" s="4"/>
      <c r="I212" s="4"/>
      <c r="J212" s="4"/>
      <c r="K212" s="4"/>
      <c r="L212" s="4"/>
      <c r="M212" s="4"/>
      <c r="N212" s="3"/>
      <c r="O212" s="3"/>
      <c r="P212" s="3"/>
      <c r="Q212" s="3"/>
      <c r="R212" s="3"/>
      <c r="S212" s="3"/>
      <c r="T212" s="3"/>
      <c r="U212" s="3"/>
      <c r="V212" s="3"/>
      <c r="W212" s="3"/>
      <c r="X212" s="3"/>
      <c r="Y212" s="3"/>
      <c r="Z212" s="3"/>
      <c r="AA212" s="3"/>
      <c r="AB212" s="3"/>
      <c r="AC212" s="3"/>
    </row>
    <row r="213" customFormat="false" ht="21.75" hidden="false" customHeight="true" outlineLevel="0" collapsed="false">
      <c r="A213" s="3"/>
      <c r="B213" s="3"/>
      <c r="C213" s="3"/>
      <c r="D213" s="3"/>
      <c r="E213" s="3"/>
      <c r="F213" s="4"/>
      <c r="G213" s="4"/>
      <c r="H213" s="4"/>
      <c r="I213" s="4"/>
      <c r="J213" s="4"/>
      <c r="K213" s="4"/>
      <c r="L213" s="4"/>
      <c r="M213" s="4"/>
      <c r="N213" s="3"/>
      <c r="O213" s="3"/>
      <c r="P213" s="3"/>
      <c r="Q213" s="3"/>
      <c r="R213" s="3"/>
      <c r="S213" s="3"/>
      <c r="T213" s="3"/>
      <c r="U213" s="3"/>
      <c r="V213" s="3"/>
      <c r="W213" s="3"/>
      <c r="X213" s="3"/>
      <c r="Y213" s="3"/>
      <c r="Z213" s="3"/>
      <c r="AA213" s="3"/>
      <c r="AB213" s="3"/>
      <c r="AC213" s="3"/>
    </row>
    <row r="214" customFormat="false" ht="21.75" hidden="false" customHeight="true" outlineLevel="0" collapsed="false">
      <c r="A214" s="3"/>
      <c r="B214" s="3"/>
      <c r="C214" s="3"/>
      <c r="D214" s="3"/>
      <c r="E214" s="3"/>
      <c r="F214" s="4"/>
      <c r="G214" s="4"/>
      <c r="H214" s="4"/>
      <c r="I214" s="4"/>
      <c r="J214" s="4"/>
      <c r="K214" s="4"/>
      <c r="L214" s="4"/>
      <c r="M214" s="4"/>
      <c r="N214" s="3"/>
      <c r="O214" s="3"/>
      <c r="P214" s="3"/>
      <c r="Q214" s="3"/>
      <c r="R214" s="3"/>
      <c r="S214" s="3"/>
      <c r="T214" s="3"/>
      <c r="U214" s="3"/>
      <c r="V214" s="3"/>
      <c r="W214" s="3"/>
      <c r="X214" s="3"/>
      <c r="Y214" s="3"/>
      <c r="Z214" s="3"/>
      <c r="AA214" s="3"/>
      <c r="AB214" s="3"/>
      <c r="AC214" s="3"/>
    </row>
    <row r="215" customFormat="false" ht="21.75" hidden="false" customHeight="true" outlineLevel="0" collapsed="false">
      <c r="A215" s="3"/>
      <c r="B215" s="3"/>
      <c r="C215" s="3"/>
      <c r="D215" s="3"/>
      <c r="E215" s="3"/>
      <c r="F215" s="4"/>
      <c r="G215" s="4"/>
      <c r="H215" s="4"/>
      <c r="I215" s="4"/>
      <c r="J215" s="4"/>
      <c r="K215" s="4"/>
      <c r="L215" s="4"/>
      <c r="M215" s="4"/>
      <c r="N215" s="3"/>
      <c r="O215" s="3"/>
      <c r="P215" s="3"/>
      <c r="Q215" s="3"/>
      <c r="R215" s="3"/>
      <c r="S215" s="3"/>
      <c r="T215" s="3"/>
      <c r="U215" s="3"/>
      <c r="V215" s="3"/>
      <c r="W215" s="3"/>
      <c r="X215" s="3"/>
      <c r="Y215" s="3"/>
      <c r="Z215" s="3"/>
      <c r="AA215" s="3"/>
      <c r="AB215" s="3"/>
      <c r="AC215" s="3"/>
    </row>
    <row r="216" customFormat="false" ht="21.75" hidden="false" customHeight="true" outlineLevel="0" collapsed="false">
      <c r="A216" s="3"/>
      <c r="B216" s="3"/>
      <c r="C216" s="3"/>
      <c r="D216" s="3"/>
      <c r="E216" s="3"/>
      <c r="F216" s="4"/>
      <c r="G216" s="4"/>
      <c r="H216" s="4"/>
      <c r="I216" s="4"/>
      <c r="J216" s="4"/>
      <c r="K216" s="4"/>
      <c r="L216" s="4"/>
      <c r="M216" s="4"/>
      <c r="N216" s="3"/>
      <c r="O216" s="3"/>
      <c r="P216" s="3"/>
      <c r="Q216" s="3"/>
      <c r="R216" s="3"/>
      <c r="S216" s="3"/>
      <c r="T216" s="3"/>
      <c r="U216" s="3"/>
      <c r="V216" s="3"/>
      <c r="W216" s="3"/>
      <c r="X216" s="3"/>
      <c r="Y216" s="3"/>
      <c r="Z216" s="3"/>
      <c r="AA216" s="3"/>
      <c r="AB216" s="3"/>
      <c r="AC216" s="3"/>
    </row>
    <row r="217" customFormat="false" ht="21.75" hidden="false" customHeight="true" outlineLevel="0" collapsed="false">
      <c r="A217" s="3"/>
      <c r="B217" s="3"/>
      <c r="C217" s="3"/>
      <c r="D217" s="3"/>
      <c r="E217" s="3"/>
      <c r="F217" s="4"/>
      <c r="G217" s="4"/>
      <c r="H217" s="4"/>
      <c r="I217" s="4"/>
      <c r="J217" s="4"/>
      <c r="K217" s="4"/>
      <c r="L217" s="4"/>
      <c r="M217" s="4"/>
      <c r="N217" s="3"/>
      <c r="O217" s="3"/>
      <c r="P217" s="3"/>
      <c r="Q217" s="3"/>
      <c r="R217" s="3"/>
      <c r="S217" s="3"/>
      <c r="T217" s="3"/>
      <c r="U217" s="3"/>
      <c r="V217" s="3"/>
      <c r="W217" s="3"/>
      <c r="X217" s="3"/>
      <c r="Y217" s="3"/>
      <c r="Z217" s="3"/>
      <c r="AA217" s="3"/>
      <c r="AB217" s="3"/>
      <c r="AC217" s="3"/>
    </row>
    <row r="218" customFormat="false" ht="21.75" hidden="false" customHeight="true" outlineLevel="0" collapsed="false">
      <c r="A218" s="3"/>
      <c r="B218" s="3"/>
      <c r="C218" s="3"/>
      <c r="D218" s="3"/>
      <c r="E218" s="3"/>
      <c r="F218" s="4"/>
      <c r="G218" s="4"/>
      <c r="H218" s="4"/>
      <c r="I218" s="4"/>
      <c r="J218" s="4"/>
      <c r="K218" s="4"/>
      <c r="L218" s="4"/>
      <c r="M218" s="4"/>
      <c r="N218" s="3"/>
      <c r="O218" s="3"/>
      <c r="P218" s="3"/>
      <c r="Q218" s="3"/>
      <c r="R218" s="3"/>
      <c r="S218" s="3"/>
      <c r="T218" s="3"/>
      <c r="U218" s="3"/>
      <c r="V218" s="3"/>
      <c r="W218" s="3"/>
      <c r="X218" s="3"/>
      <c r="Y218" s="3"/>
      <c r="Z218" s="3"/>
      <c r="AA218" s="3"/>
      <c r="AB218" s="3"/>
      <c r="AC218" s="3"/>
    </row>
    <row r="219" customFormat="false" ht="21.75" hidden="false" customHeight="true" outlineLevel="0" collapsed="false">
      <c r="A219" s="3"/>
      <c r="B219" s="3"/>
      <c r="C219" s="3"/>
      <c r="D219" s="3"/>
      <c r="E219" s="3"/>
      <c r="F219" s="4"/>
      <c r="G219" s="4"/>
      <c r="H219" s="4"/>
      <c r="I219" s="4"/>
      <c r="J219" s="4"/>
      <c r="K219" s="4"/>
      <c r="L219" s="4"/>
      <c r="M219" s="4"/>
      <c r="N219" s="3"/>
      <c r="O219" s="3"/>
      <c r="P219" s="3"/>
      <c r="Q219" s="3"/>
      <c r="R219" s="3"/>
      <c r="S219" s="3"/>
      <c r="T219" s="3"/>
      <c r="U219" s="3"/>
      <c r="V219" s="3"/>
      <c r="W219" s="3"/>
      <c r="X219" s="3"/>
      <c r="Y219" s="3"/>
      <c r="Z219" s="3"/>
      <c r="AA219" s="3"/>
      <c r="AB219" s="3"/>
      <c r="AC219" s="3"/>
    </row>
    <row r="220" customFormat="false" ht="21.75" hidden="false" customHeight="true" outlineLevel="0" collapsed="false">
      <c r="A220" s="3"/>
      <c r="B220" s="3"/>
      <c r="C220" s="3"/>
      <c r="D220" s="3"/>
      <c r="E220" s="3"/>
      <c r="F220" s="4"/>
      <c r="G220" s="4"/>
      <c r="H220" s="4"/>
      <c r="I220" s="4"/>
      <c r="J220" s="4"/>
      <c r="K220" s="4"/>
      <c r="L220" s="4"/>
      <c r="M220" s="4"/>
      <c r="N220" s="3"/>
      <c r="O220" s="3"/>
      <c r="P220" s="3"/>
      <c r="Q220" s="3"/>
      <c r="R220" s="3"/>
      <c r="S220" s="3"/>
      <c r="T220" s="3"/>
      <c r="U220" s="3"/>
      <c r="V220" s="3"/>
      <c r="W220" s="3"/>
      <c r="X220" s="3"/>
      <c r="Y220" s="3"/>
      <c r="Z220" s="3"/>
      <c r="AA220" s="3"/>
      <c r="AB220" s="3"/>
      <c r="AC220" s="3"/>
    </row>
    <row r="221" customFormat="false" ht="21.75" hidden="false" customHeight="true" outlineLevel="0" collapsed="false">
      <c r="A221" s="3"/>
      <c r="B221" s="3"/>
      <c r="C221" s="3"/>
      <c r="D221" s="3"/>
      <c r="E221" s="3"/>
      <c r="F221" s="4"/>
      <c r="G221" s="4"/>
      <c r="H221" s="4"/>
      <c r="I221" s="4"/>
      <c r="J221" s="4"/>
      <c r="K221" s="4"/>
      <c r="L221" s="4"/>
      <c r="M221" s="4"/>
      <c r="N221" s="3"/>
      <c r="O221" s="3"/>
      <c r="P221" s="3"/>
      <c r="Q221" s="3"/>
      <c r="R221" s="3"/>
      <c r="S221" s="3"/>
      <c r="T221" s="3"/>
      <c r="U221" s="3"/>
      <c r="V221" s="3"/>
      <c r="W221" s="3"/>
      <c r="X221" s="3"/>
      <c r="Y221" s="3"/>
      <c r="Z221" s="3"/>
      <c r="AA221" s="3"/>
      <c r="AB221" s="3"/>
      <c r="AC221" s="3"/>
    </row>
    <row r="222" customFormat="false" ht="21.75" hidden="false" customHeight="true" outlineLevel="0" collapsed="false">
      <c r="A222" s="3"/>
      <c r="B222" s="3"/>
      <c r="C222" s="3"/>
      <c r="D222" s="3"/>
      <c r="E222" s="3"/>
      <c r="F222" s="4"/>
      <c r="G222" s="4"/>
      <c r="H222" s="4"/>
      <c r="I222" s="4"/>
      <c r="J222" s="4"/>
      <c r="K222" s="4"/>
      <c r="L222" s="4"/>
      <c r="M222" s="4"/>
      <c r="N222" s="3"/>
      <c r="O222" s="3"/>
      <c r="P222" s="3"/>
      <c r="Q222" s="3"/>
      <c r="R222" s="3"/>
      <c r="S222" s="3"/>
      <c r="T222" s="3"/>
      <c r="U222" s="3"/>
      <c r="V222" s="3"/>
      <c r="W222" s="3"/>
      <c r="X222" s="3"/>
      <c r="Y222" s="3"/>
      <c r="Z222" s="3"/>
      <c r="AA222" s="3"/>
      <c r="AB222" s="3"/>
      <c r="AC222" s="3"/>
    </row>
    <row r="223" customFormat="false" ht="21.75" hidden="false" customHeight="true" outlineLevel="0" collapsed="false">
      <c r="A223" s="3"/>
      <c r="B223" s="3"/>
      <c r="C223" s="3"/>
      <c r="D223" s="3"/>
      <c r="E223" s="3"/>
      <c r="F223" s="4"/>
      <c r="G223" s="4"/>
      <c r="H223" s="4"/>
      <c r="I223" s="4"/>
      <c r="J223" s="4"/>
      <c r="K223" s="4"/>
      <c r="L223" s="4"/>
      <c r="M223" s="4"/>
      <c r="N223" s="3"/>
      <c r="O223" s="3"/>
      <c r="P223" s="3"/>
      <c r="Q223" s="3"/>
      <c r="R223" s="3"/>
      <c r="S223" s="3"/>
      <c r="T223" s="3"/>
      <c r="U223" s="3"/>
      <c r="V223" s="3"/>
      <c r="W223" s="3"/>
      <c r="X223" s="3"/>
      <c r="Y223" s="3"/>
      <c r="Z223" s="3"/>
      <c r="AA223" s="3"/>
      <c r="AB223" s="3"/>
      <c r="AC223" s="3"/>
    </row>
    <row r="224" customFormat="false" ht="21.75" hidden="false" customHeight="true" outlineLevel="0" collapsed="false">
      <c r="A224" s="3"/>
      <c r="B224" s="3"/>
      <c r="C224" s="3"/>
      <c r="D224" s="3"/>
      <c r="E224" s="3"/>
      <c r="F224" s="4"/>
      <c r="G224" s="4"/>
      <c r="H224" s="4"/>
      <c r="I224" s="4"/>
      <c r="J224" s="4"/>
      <c r="K224" s="4"/>
      <c r="L224" s="4"/>
      <c r="M224" s="4"/>
      <c r="N224" s="3"/>
      <c r="O224" s="3"/>
      <c r="P224" s="3"/>
      <c r="Q224" s="3"/>
      <c r="R224" s="3"/>
      <c r="S224" s="3"/>
      <c r="T224" s="3"/>
      <c r="U224" s="3"/>
      <c r="V224" s="3"/>
      <c r="W224" s="3"/>
      <c r="X224" s="3"/>
      <c r="Y224" s="3"/>
      <c r="Z224" s="3"/>
      <c r="AA224" s="3"/>
      <c r="AB224" s="3"/>
      <c r="AC224" s="3"/>
    </row>
    <row r="225" customFormat="false" ht="21.75" hidden="false" customHeight="true" outlineLevel="0" collapsed="false">
      <c r="A225" s="3"/>
      <c r="B225" s="3"/>
      <c r="C225" s="3"/>
      <c r="D225" s="3"/>
      <c r="E225" s="3"/>
      <c r="F225" s="4"/>
      <c r="G225" s="4"/>
      <c r="H225" s="4"/>
      <c r="I225" s="4"/>
      <c r="J225" s="4"/>
      <c r="K225" s="4"/>
      <c r="L225" s="4"/>
      <c r="M225" s="4"/>
      <c r="N225" s="3"/>
      <c r="O225" s="3"/>
      <c r="P225" s="3"/>
      <c r="Q225" s="3"/>
      <c r="R225" s="3"/>
      <c r="S225" s="3"/>
      <c r="T225" s="3"/>
      <c r="U225" s="3"/>
      <c r="V225" s="3"/>
      <c r="W225" s="3"/>
      <c r="X225" s="3"/>
      <c r="Y225" s="3"/>
      <c r="Z225" s="3"/>
      <c r="AA225" s="3"/>
      <c r="AB225" s="3"/>
      <c r="AC225" s="3"/>
    </row>
    <row r="226" customFormat="false" ht="21.75" hidden="false" customHeight="true" outlineLevel="0" collapsed="false">
      <c r="A226" s="3"/>
      <c r="B226" s="3"/>
      <c r="C226" s="3"/>
      <c r="D226" s="3"/>
      <c r="E226" s="3"/>
      <c r="F226" s="4"/>
      <c r="G226" s="4"/>
      <c r="H226" s="4"/>
      <c r="I226" s="4"/>
      <c r="J226" s="4"/>
      <c r="K226" s="4"/>
      <c r="L226" s="4"/>
      <c r="M226" s="4"/>
      <c r="N226" s="3"/>
      <c r="O226" s="3"/>
      <c r="P226" s="3"/>
      <c r="Q226" s="3"/>
      <c r="R226" s="3"/>
      <c r="S226" s="3"/>
      <c r="T226" s="3"/>
      <c r="U226" s="3"/>
      <c r="V226" s="3"/>
      <c r="W226" s="3"/>
      <c r="X226" s="3"/>
      <c r="Y226" s="3"/>
      <c r="Z226" s="3"/>
      <c r="AA226" s="3"/>
      <c r="AB226" s="3"/>
      <c r="AC226" s="3"/>
    </row>
    <row r="227" customFormat="false" ht="21.75" hidden="false" customHeight="true" outlineLevel="0" collapsed="false">
      <c r="A227" s="3"/>
      <c r="B227" s="3"/>
      <c r="C227" s="3"/>
      <c r="D227" s="3"/>
      <c r="E227" s="3"/>
      <c r="F227" s="4"/>
      <c r="G227" s="4"/>
      <c r="H227" s="4"/>
      <c r="I227" s="4"/>
      <c r="J227" s="4"/>
      <c r="K227" s="4"/>
      <c r="L227" s="4"/>
      <c r="M227" s="4"/>
      <c r="N227" s="3"/>
      <c r="O227" s="3"/>
      <c r="P227" s="3"/>
      <c r="Q227" s="3"/>
      <c r="R227" s="3"/>
      <c r="S227" s="3"/>
      <c r="T227" s="3"/>
      <c r="U227" s="3"/>
      <c r="V227" s="3"/>
      <c r="W227" s="3"/>
      <c r="X227" s="3"/>
      <c r="Y227" s="3"/>
      <c r="Z227" s="3"/>
      <c r="AA227" s="3"/>
      <c r="AB227" s="3"/>
      <c r="AC227" s="3"/>
    </row>
    <row r="228" customFormat="false" ht="21.75" hidden="false" customHeight="true" outlineLevel="0" collapsed="false">
      <c r="A228" s="3"/>
      <c r="B228" s="3"/>
      <c r="C228" s="3"/>
      <c r="D228" s="3"/>
      <c r="E228" s="3"/>
      <c r="F228" s="4"/>
      <c r="G228" s="4"/>
      <c r="H228" s="4"/>
      <c r="I228" s="4"/>
      <c r="J228" s="4"/>
      <c r="K228" s="4"/>
      <c r="L228" s="4"/>
      <c r="M228" s="4"/>
      <c r="N228" s="3"/>
      <c r="O228" s="3"/>
      <c r="P228" s="3"/>
      <c r="Q228" s="3"/>
      <c r="R228" s="3"/>
      <c r="S228" s="3"/>
      <c r="T228" s="3"/>
      <c r="U228" s="3"/>
      <c r="V228" s="3"/>
      <c r="W228" s="3"/>
      <c r="X228" s="3"/>
      <c r="Y228" s="3"/>
      <c r="Z228" s="3"/>
      <c r="AA228" s="3"/>
      <c r="AB228" s="3"/>
      <c r="AC228" s="3"/>
    </row>
    <row r="229" customFormat="false" ht="21.75" hidden="false" customHeight="true" outlineLevel="0" collapsed="false">
      <c r="A229" s="3"/>
      <c r="B229" s="3"/>
      <c r="C229" s="3"/>
      <c r="D229" s="3"/>
      <c r="E229" s="3"/>
      <c r="F229" s="4"/>
      <c r="G229" s="4"/>
      <c r="H229" s="4"/>
      <c r="I229" s="4"/>
      <c r="J229" s="4"/>
      <c r="K229" s="4"/>
      <c r="L229" s="4"/>
      <c r="M229" s="4"/>
      <c r="N229" s="3"/>
      <c r="O229" s="3"/>
      <c r="P229" s="3"/>
      <c r="Q229" s="3"/>
      <c r="R229" s="3"/>
      <c r="S229" s="3"/>
      <c r="T229" s="3"/>
      <c r="U229" s="3"/>
      <c r="V229" s="3"/>
      <c r="W229" s="3"/>
      <c r="X229" s="3"/>
      <c r="Y229" s="3"/>
      <c r="Z229" s="3"/>
      <c r="AA229" s="3"/>
      <c r="AB229" s="3"/>
      <c r="AC229" s="3"/>
    </row>
    <row r="230" customFormat="false" ht="21.75" hidden="false" customHeight="true" outlineLevel="0" collapsed="false">
      <c r="A230" s="3"/>
      <c r="B230" s="3"/>
      <c r="C230" s="3"/>
      <c r="D230" s="3"/>
      <c r="E230" s="3"/>
      <c r="F230" s="4"/>
      <c r="G230" s="4"/>
      <c r="H230" s="4"/>
      <c r="I230" s="4"/>
      <c r="J230" s="4"/>
      <c r="K230" s="4"/>
      <c r="L230" s="4"/>
      <c r="M230" s="4"/>
      <c r="N230" s="3"/>
      <c r="O230" s="3"/>
      <c r="P230" s="3"/>
      <c r="Q230" s="3"/>
      <c r="R230" s="3"/>
      <c r="S230" s="3"/>
      <c r="T230" s="3"/>
      <c r="U230" s="3"/>
      <c r="V230" s="3"/>
      <c r="W230" s="3"/>
      <c r="X230" s="3"/>
      <c r="Y230" s="3"/>
      <c r="Z230" s="3"/>
      <c r="AA230" s="3"/>
      <c r="AB230" s="3"/>
      <c r="AC230" s="3"/>
    </row>
  </sheetData>
  <mergeCells count="3">
    <mergeCell ref="B75:H75"/>
    <mergeCell ref="B76:H76"/>
    <mergeCell ref="B77:H7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2026-10-02T08:39:09Z</dcterms:created>
  <dc:creator>openpyxl</dc:creator>
  <dc:description/>
  <dc:language>en-US</dc:language>
  <cp:lastModifiedBy>Dogukan</cp:lastModifiedBy>
  <dcterms:modified xsi:type="dcterms:W3CDTF">2026-10-02T09:43:51Z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